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ÍNDICE" sheetId="1" r:id="rId1"/>
    <sheet name="Crítico" sheetId="2" r:id="rId2"/>
    <sheet name="80-20" sheetId="3" r:id="rId3"/>
    <sheet name="ACANA Y ORIJEN" sheetId="4" r:id="rId4"/>
    <sheet name="ACUARISTICA" sheetId="5" r:id="rId5"/>
    <sheet name="AGILITY - OWNAT - DOG EVOLUTION" sheetId="6" r:id="rId6"/>
    <sheet name="AGROVET" sheetId="7" r:id="rId7"/>
    <sheet name="ALTA TECNOLOGIA VET" sheetId="8" r:id="rId8"/>
    <sheet name="Ancestral" sheetId="9" r:id="rId9"/>
    <sheet name="ANDIS" sheetId="10" r:id="rId10"/>
    <sheet name="ANIMALES PEQUEÑOS" sheetId="11" r:id="rId11"/>
    <sheet name="AVES" sheetId="12" r:id="rId12"/>
    <sheet name="BILJAC" sheetId="13" r:id="rId13"/>
    <sheet name="BIOLINE" sheetId="14" r:id="rId14"/>
    <sheet name="BOEHRINGER" sheetId="15" r:id="rId15"/>
    <sheet name="BRAVERY" sheetId="16" r:id="rId16"/>
    <sheet name="BRIT CARE" sheetId="17" r:id="rId17"/>
    <sheet name="CHURU" sheetId="18" r:id="rId18"/>
    <sheet name="DRAG PHARMA" sheetId="19" r:id="rId19"/>
    <sheet name="DROGUERIA ÑUÑOA" sheetId="20" r:id="rId20"/>
    <sheet name="EASY CLEAN" sheetId="21" r:id="rId21"/>
    <sheet name="ELANCO" sheetId="22" r:id="rId22"/>
    <sheet name="FARMACIA" sheetId="23" r:id="rId23"/>
    <sheet name="FELLINI" sheetId="24" r:id="rId24"/>
    <sheet name="FEMA" sheetId="25" r:id="rId25"/>
    <sheet name="FIT FORMULA" sheetId="26" r:id="rId26"/>
    <sheet name="FROST" sheetId="27" r:id="rId27"/>
    <sheet name="GOOFY" sheetId="28" r:id="rId28"/>
    <sheet name="GORCHEN" sheetId="29" r:id="rId29"/>
    <sheet name="HAPPYCAT" sheetId="30" r:id="rId30"/>
    <sheet name="HILL'S SCIENCE DIET" sheetId="31" r:id="rId31"/>
    <sheet name="INSUFARMA" sheetId="32" r:id="rId32"/>
    <sheet name="JOSERA" sheetId="33" r:id="rId33"/>
    <sheet name="KETUNPET" sheetId="34" r:id="rId34"/>
    <sheet name="KOBOR" sheetId="35" r:id="rId35"/>
    <sheet name="LEONARDO Y BELCANDO" sheetId="36" r:id="rId36"/>
    <sheet name="Mascotas" sheetId="37" r:id="rId37"/>
    <sheet name="NATURAL FOOD" sheetId="38" r:id="rId38"/>
    <sheet name="NOMADE" sheetId="39" r:id="rId39"/>
    <sheet name="NUTRA GOLD" sheetId="40" r:id="rId40"/>
    <sheet name="NUTRAM" sheetId="41" r:id="rId41"/>
    <sheet name="ovenbaked" sheetId="42" r:id="rId42"/>
    <sheet name="PATAGON" sheetId="43" r:id="rId43"/>
    <sheet name="PECES" sheetId="44" r:id="rId44"/>
    <sheet name="Peluquería canina" sheetId="45" r:id="rId45"/>
    <sheet name="PEPOLLI" sheetId="46" r:id="rId46"/>
    <sheet name="PERROS Y GATOS" sheetId="47" r:id="rId47"/>
    <sheet name="PETHOME" sheetId="48" r:id="rId48"/>
    <sheet name="POEMA" sheetId="49" r:id="rId49"/>
    <sheet name="PRODAC" sheetId="50" r:id="rId50"/>
    <sheet name="PROPLAN" sheetId="51" r:id="rId51"/>
    <sheet name="ROYAL CANIN" sheetId="52" r:id="rId52"/>
    <sheet name="SMILE FOR PETS" sheetId="53" r:id="rId53"/>
    <sheet name="TASTE OF THE WILD" sheetId="54" r:id="rId54"/>
    <sheet name="TOPK9" sheetId="55" r:id="rId55"/>
    <sheet name="TROPICAL" sheetId="56" r:id="rId56"/>
    <sheet name="VETERQUIMICA" sheetId="57" r:id="rId57"/>
    <sheet name="VIRBAC" sheetId="58" r:id="rId58"/>
    <sheet name="VITALCAN QUIROMAS" sheetId="59" r:id="rId59"/>
    <sheet name="VITANIMAL" sheetId="60" r:id="rId60"/>
    <sheet name="WANPY" sheetId="61" r:id="rId61"/>
    <sheet name="WARRIOR" sheetId="62" r:id="rId62"/>
  </sheets>
  <definedNames>
    <definedName name="_xlnm._FilterDatabase" localSheetId="2" hidden="1">'80-20'!$A$2:$N$10301</definedName>
    <definedName name="_xlnm._FilterDatabase" localSheetId="3" hidden="1">'ACANA Y ORIJEN'!$A$2:$S$51</definedName>
    <definedName name="_xlnm._FilterDatabase" localSheetId="4" hidden="1">ACUARISTICA!$A$2:$S$694</definedName>
    <definedName name="_xlnm._FilterDatabase" localSheetId="5" hidden="1">'AGILITY - OWNAT - DOG EVOLUTION'!$A$2:$S$61</definedName>
    <definedName name="_xlnm._FilterDatabase" localSheetId="6" hidden="1">AGROVET!$A$2:$S$52</definedName>
    <definedName name="_xlnm._FilterDatabase" localSheetId="7" hidden="1">'ALTA TECNOLOGIA VET'!$A$2:$S$18</definedName>
    <definedName name="_xlnm._FilterDatabase" localSheetId="8" hidden="1">Ancestral!$A$2:$S$3</definedName>
    <definedName name="_xlnm._FilterDatabase" localSheetId="9" hidden="1">ANDIS!$A$2:$S$13</definedName>
    <definedName name="_xlnm._FilterDatabase" localSheetId="10" hidden="1">'ANIMALES PEQUEÑOS'!$A$2:$S$673</definedName>
    <definedName name="_xlnm._FilterDatabase" localSheetId="11" hidden="1">AVES!$A$2:$S$203</definedName>
    <definedName name="_xlnm._FilterDatabase" localSheetId="12" hidden="1">BILJAC!$A$2:$S$45</definedName>
    <definedName name="_xlnm._FilterDatabase" localSheetId="13" hidden="1">BIOLINE!$A$2:$S$134</definedName>
    <definedName name="_xlnm._FilterDatabase" localSheetId="14" hidden="1">BOEHRINGER!$A$2:$S$36</definedName>
    <definedName name="_xlnm._FilterDatabase" localSheetId="15" hidden="1">BRAVERY!$A$2:$S$73</definedName>
    <definedName name="_xlnm._FilterDatabase" localSheetId="16" hidden="1">'BRIT CARE'!$A$2:$S$193</definedName>
    <definedName name="_xlnm._FilterDatabase" localSheetId="17" hidden="1">CHURU!$A$2:$S$104</definedName>
    <definedName name="_xlnm._FilterDatabase" localSheetId="1" hidden="1">Crítico!$A$2:$S$52</definedName>
    <definedName name="_xlnm._FilterDatabase" localSheetId="18" hidden="1">'DRAG PHARMA'!$A$2:$S$157</definedName>
    <definedName name="_xlnm._FilterDatabase" localSheetId="19" hidden="1">'DROGUERIA ÑUÑOA'!$A$2:$S$244</definedName>
    <definedName name="_xlnm._FilterDatabase" localSheetId="20" hidden="1">'EASY CLEAN'!$A$2:$S$27</definedName>
    <definedName name="_xlnm._FilterDatabase" localSheetId="21" hidden="1">ELANCO!$A$2:$S$51</definedName>
    <definedName name="_xlnm._FilterDatabase" localSheetId="22" hidden="1">FARMACIA!$A$2:$S$154</definedName>
    <definedName name="_xlnm._FilterDatabase" localSheetId="23" hidden="1">FELLINI!$A$2:$S$11</definedName>
    <definedName name="_xlnm._FilterDatabase" localSheetId="24" hidden="1">FEMA!$A$2:$S$4</definedName>
    <definedName name="_xlnm._FilterDatabase" localSheetId="25" hidden="1">'FIT FORMULA'!$A$2:$S$68</definedName>
    <definedName name="_xlnm._FilterDatabase" localSheetId="26" hidden="1">FROST!$A$2:$S$157</definedName>
    <definedName name="_xlnm._FilterDatabase" localSheetId="27" hidden="1">GOOFY!$A$2:$S$21</definedName>
    <definedName name="_xlnm._FilterDatabase" localSheetId="28" hidden="1">GORCHEN!$A$2:$S$8</definedName>
    <definedName name="_xlnm._FilterDatabase" localSheetId="29" hidden="1">HAPPYCAT!$A$2:$S$3</definedName>
    <definedName name="_xlnm._FilterDatabase" localSheetId="30" hidden="1">'HILL''S SCIENCE DIET'!$A$2:$S$134</definedName>
    <definedName name="_xlnm._FilterDatabase" localSheetId="31" hidden="1">INSUFARMA!$A$2:$S$56</definedName>
    <definedName name="_xlnm._FilterDatabase" localSheetId="32" hidden="1">JOSERA!$A$2:$S$66</definedName>
    <definedName name="_xlnm._FilterDatabase" localSheetId="33" hidden="1">KETUNPET!$A$2:$S$9</definedName>
    <definedName name="_xlnm._FilterDatabase" localSheetId="34" hidden="1">KOBOR!$A$2:$S$184</definedName>
    <definedName name="_xlnm._FilterDatabase" localSheetId="35" hidden="1">'LEONARDO Y BELCANDO'!$A$2:$S$61</definedName>
    <definedName name="_xlnm._FilterDatabase" localSheetId="36" hidden="1">Mascotas!$A$2:$S$33</definedName>
    <definedName name="_xlnm._FilterDatabase" localSheetId="37" hidden="1">'NATURAL FOOD'!$A$2:$S$12</definedName>
    <definedName name="_xlnm._FilterDatabase" localSheetId="38" hidden="1">NOMADE!$A$2:$S$15</definedName>
    <definedName name="_xlnm._FilterDatabase" localSheetId="39" hidden="1">'NUTRA GOLD'!$A$2:$S$17</definedName>
    <definedName name="_xlnm._FilterDatabase" localSheetId="40" hidden="1">NUTRAM!$A$2:$S$13</definedName>
    <definedName name="_xlnm._FilterDatabase" localSheetId="41" hidden="1">ovenbaked!$A$2:$S$319</definedName>
    <definedName name="_xlnm._FilterDatabase" localSheetId="42" hidden="1">PATAGON!$A$2:$S$17</definedName>
    <definedName name="_xlnm._FilterDatabase" localSheetId="43" hidden="1">PECES!$A$2:$S$176</definedName>
    <definedName name="_xlnm._FilterDatabase" localSheetId="44" hidden="1">'Peluquería canina'!$A$2:$S$3</definedName>
    <definedName name="_xlnm._FilterDatabase" localSheetId="45" hidden="1">PEPOLLI!$A$2:$S$22</definedName>
    <definedName name="_xlnm._FilterDatabase" localSheetId="46" hidden="1">'PERROS Y GATOS'!$A$2:$S$5335</definedName>
    <definedName name="_xlnm._FilterDatabase" localSheetId="47" hidden="1">PETHOME!$A$2:$S$26</definedName>
    <definedName name="_xlnm._FilterDatabase" localSheetId="48" hidden="1">POEMA!$A$2:$S$20</definedName>
    <definedName name="_xlnm._FilterDatabase" localSheetId="49" hidden="1">PRODAC!$A$2:$S$16</definedName>
    <definedName name="_xlnm._FilterDatabase" localSheetId="50" hidden="1">PROPLAN!$A$2:$S$29</definedName>
    <definedName name="_xlnm._FilterDatabase" localSheetId="51" hidden="1">'ROYAL CANIN'!$A$2:$S$230</definedName>
    <definedName name="_xlnm._FilterDatabase" localSheetId="52" hidden="1">'SMILE FOR PETS'!$A$2:$S$8</definedName>
    <definedName name="_xlnm._FilterDatabase" localSheetId="53" hidden="1">'TASTE OF THE WILD'!$A$2:$S$22</definedName>
    <definedName name="_xlnm._FilterDatabase" localSheetId="54" hidden="1">TOPK9!$A$2:$S$103</definedName>
    <definedName name="_xlnm._FilterDatabase" localSheetId="55" hidden="1">TROPICAL!$A$2:$S$53</definedName>
    <definedName name="_xlnm._FilterDatabase" localSheetId="56" hidden="1">VETERQUIMICA!$A$2:$S$92</definedName>
    <definedName name="_xlnm._FilterDatabase" localSheetId="57" hidden="1">VIRBAC!$A$2:$S$33</definedName>
    <definedName name="_xlnm._FilterDatabase" localSheetId="58" hidden="1">'VITALCAN QUIROMAS'!$A$2:$S$13</definedName>
    <definedName name="_xlnm._FilterDatabase" localSheetId="59" hidden="1">VITANIMAL!$A$2:$S$13</definedName>
    <definedName name="_xlnm._FilterDatabase" localSheetId="60" hidden="1">WANPY!$A$2:$S$10</definedName>
    <definedName name="_xlnm._FilterDatabase" localSheetId="61" hidden="1">WARRIOR!$A$2:$S$19</definedName>
  </definedNames>
  <calcPr calcId="124519" fullCalcOnLoad="1"/>
</workbook>
</file>

<file path=xl/sharedStrings.xml><?xml version="1.0" encoding="utf-8"?>
<sst xmlns="http://schemas.openxmlformats.org/spreadsheetml/2006/main" count="73631" uniqueCount="11309">
  <si>
    <t>MENÚ DE TIPOS DE PRODUCTOS</t>
  </si>
  <si>
    <t>Crítico (Top 50)</t>
  </si>
  <si>
    <t>Ir a Crítico</t>
  </si>
  <si>
    <t>80/20 (Pareto)</t>
  </si>
  <si>
    <t>Ir a 80/20</t>
  </si>
  <si>
    <t>Tipo de Producto</t>
  </si>
  <si>
    <t>Producto</t>
  </si>
  <si>
    <t>SKU</t>
  </si>
  <si>
    <t>Dic 25</t>
  </si>
  <si>
    <t>Ene 26</t>
  </si>
  <si>
    <t>Feb 26</t>
  </si>
  <si>
    <t>Mar 26</t>
  </si>
  <si>
    <t>total_ult4</t>
  </si>
  <si>
    <t>mediana_ult4</t>
  </si>
  <si>
    <t>Stock Actual</t>
  </si>
  <si>
    <t>Valor Total Existencia</t>
  </si>
  <si>
    <t>Costo Neto Unidad</t>
  </si>
  <si>
    <t>Pedido Sugerido</t>
  </si>
  <si>
    <t>Costo Pedido</t>
  </si>
  <si>
    <t>prioridad</t>
  </si>
  <si>
    <t>Total Venta Bruta Marzo 2026</t>
  </si>
  <si>
    <t>Margen Marzo 2026</t>
  </si>
  <si>
    <t>% Margen Marzo 2026</t>
  </si>
  <si>
    <t>tend_pos</t>
  </si>
  <si>
    <t>DRAG PHARMA</t>
  </si>
  <si>
    <t>ANIMALES PEQUEÑOS</t>
  </si>
  <si>
    <t>NOMADE</t>
  </si>
  <si>
    <t>CHURU</t>
  </si>
  <si>
    <t>EASY CLEAN</t>
  </si>
  <si>
    <t>ACUARISTICA</t>
  </si>
  <si>
    <t>BRIT CARE</t>
  </si>
  <si>
    <t>BOEHRINGER</t>
  </si>
  <si>
    <t>DROGUERIA ÑUÑOA</t>
  </si>
  <si>
    <t>TOPK9</t>
  </si>
  <si>
    <t>JOSERA</t>
  </si>
  <si>
    <t>PERROS Y GATOS</t>
  </si>
  <si>
    <t>ELANCO</t>
  </si>
  <si>
    <t>FIT FORMULA</t>
  </si>
  <si>
    <t>BILJAC</t>
  </si>
  <si>
    <t>VIRBAC</t>
  </si>
  <si>
    <t>AGROVET</t>
  </si>
  <si>
    <t>INSUFARMA</t>
  </si>
  <si>
    <t>MEBERMIC PASTILLA ANTIPARASITARIA INTERNA 10 KG</t>
  </si>
  <si>
    <t>HENO 1 KILO</t>
  </si>
  <si>
    <t>NOMADE GATO 10 KG</t>
  </si>
  <si>
    <t>CHURU FOR KITTEN POLLO 4 tubitos (USA692)</t>
  </si>
  <si>
    <t>EASY CLEAN 20KG ORIGINAL</t>
  </si>
  <si>
    <t>EASY CLEAN 20 KG TALCO BEBE</t>
  </si>
  <si>
    <t>EASY CLEAN 8 KGS 10 LITROS MANZANA PRESENTACION DE 24 KG</t>
  </si>
  <si>
    <t>NOMADE PERRO ADULTO 20 KG</t>
  </si>
  <si>
    <t>PELLET TORTUGA MIX</t>
  </si>
  <si>
    <t>EASY CLEAN 8 KGS 10 LITROS LAVANDA PRESENTACION DE 24 KG</t>
  </si>
  <si>
    <t>NOMADE SENIOR RAZAS MEDIANAS Y GRANDES 15KG</t>
  </si>
  <si>
    <t>CHURU FOR KITTEN ATUN 4 tubitos (USA691)</t>
  </si>
  <si>
    <t>BRIT CARE DOG HYPOALLERGENIC WEIGHT LOSS RABBIT 12 KG</t>
  </si>
  <si>
    <t>NOMADE ADULTO RAZAS PEQUEÑAS 10 KG</t>
  </si>
  <si>
    <t>NEXGARD COMBO L CAT 2.5 - 7.5KG 0.9ML</t>
  </si>
  <si>
    <t>NUP! PETS PRO CAPS POWER GASTRIC (2 CÁPSULAS)</t>
  </si>
  <si>
    <t>EASY CLEAN 20KG LAVANDA</t>
  </si>
  <si>
    <t>FIPRODRAG GATOS</t>
  </si>
  <si>
    <t>TOPK9 AGLUTINANTE IONES CAFE MOKA 2 KG</t>
  </si>
  <si>
    <t>JOSERA NATURELLE 10 KG</t>
  </si>
  <si>
    <t>BRIT MONO PROTEIN TURKEY 400G</t>
  </si>
  <si>
    <t>TOPK9 AGLUTINANTE IONES LIMON 2 KG</t>
  </si>
  <si>
    <t>BRIT MONO PROTEIN TURKEY Y SWEET POTATO 400G</t>
  </si>
  <si>
    <t>ULTRAFIL PLUS SUSP 20ML</t>
  </si>
  <si>
    <t>NOMADE CACHORRO 10 KG</t>
  </si>
  <si>
    <t>BRIT CARE DOG GRAIN FREE PUPPY SALMON 12 KG</t>
  </si>
  <si>
    <t>BRIT CARE DOG GRAIN FREE SENIOR &amp; LIGHT SALMON 12 KG</t>
  </si>
  <si>
    <t>RATONCITOS CON COLA DE PLUMAS (1 UNIDAD)</t>
  </si>
  <si>
    <t>JOSERA NATURECAT 10 KG</t>
  </si>
  <si>
    <t>CANIFORT 1 COMPRIMIDO</t>
  </si>
  <si>
    <t>BRAVECTO 1 COMP 20 - 40 KG</t>
  </si>
  <si>
    <t>SERESTO COLLAR PERROS 70 CM</t>
  </si>
  <si>
    <t>FIT FORMULA GATO 10 KG</t>
  </si>
  <si>
    <t>BARRITAS CON POLLO Y 8 CM DE CARTÍLAGO</t>
  </si>
  <si>
    <t>LOVE IS WHERE A CAT IS - CHICKEN &amp; RABBIT PURE LATA 200 GR</t>
  </si>
  <si>
    <t>BRIT CARE DOG HYPOALLERGENIC SENIOR LAMB 12 KG</t>
  </si>
  <si>
    <t>VIRUTA DORMILON 1.5 KG CANAIMA</t>
  </si>
  <si>
    <t>ARENA WBCL MULTICAT LAVANDA 3.18 KG</t>
  </si>
  <si>
    <t>BRIT CARE DOG GRAIN FREE ADULT LARGE BREED SALMON 12 KG</t>
  </si>
  <si>
    <t>BRIT PREMIUM BY NATURE ADULT SMALL 3 KG</t>
  </si>
  <si>
    <t>NOMADE SENIOR RAZA PEQUEÑAS 9 KG</t>
  </si>
  <si>
    <t>RASCADOR CON AJUSTE AL TECHO 43*27*220--285CM CAFE BEIGE</t>
  </si>
  <si>
    <t>ADVANTAGE GATO HASTA 4 KG (0.4ml)</t>
  </si>
  <si>
    <t>LOVE IS WHERE A CAT IS - CHICKEN PURE LATA 200 GR</t>
  </si>
  <si>
    <t>VIRBAC D-CAT UROLOGY DISSOLUTION &amp; PREVENTION 3 kgs</t>
  </si>
  <si>
    <t>NEXGARD SPECTRA 7.5 - 15 KG 1 COMPRIMIDO</t>
  </si>
  <si>
    <t>CHURU STEW sabor POLLO &amp; ATUN 40gr (USA841)</t>
  </si>
  <si>
    <t>JOSERA MARINESSE 10 KG</t>
  </si>
  <si>
    <t>RASCADOR GATOS CAT001 DISEÑO AZUL 50*35*140</t>
  </si>
  <si>
    <t>VERMIC TOTAL 10 COMPR</t>
  </si>
  <si>
    <t>140.220</t>
  </si>
  <si>
    <t>-2.980</t>
  </si>
  <si>
    <t>1.999.200</t>
  </si>
  <si>
    <t>91.920</t>
  </si>
  <si>
    <t>512.090</t>
  </si>
  <si>
    <t>462.130</t>
  </si>
  <si>
    <t>560.096</t>
  </si>
  <si>
    <t>1.835.460</t>
  </si>
  <si>
    <t>0</t>
  </si>
  <si>
    <t>464.156</t>
  </si>
  <si>
    <t>869.700</t>
  </si>
  <si>
    <t>74.420</t>
  </si>
  <si>
    <t>1.364.790</t>
  </si>
  <si>
    <t>521.710</t>
  </si>
  <si>
    <t>264.491</t>
  </si>
  <si>
    <t>44.035</t>
  </si>
  <si>
    <t>372.539</t>
  </si>
  <si>
    <t>56.700</t>
  </si>
  <si>
    <t>838.600</t>
  </si>
  <si>
    <t>80.190</t>
  </si>
  <si>
    <t>59.220</t>
  </si>
  <si>
    <t>209.850</t>
  </si>
  <si>
    <t>330.830</t>
  </si>
  <si>
    <t>899.850</t>
  </si>
  <si>
    <t>737.880</t>
  </si>
  <si>
    <t>898.500</t>
  </si>
  <si>
    <t>41.070</t>
  </si>
  <si>
    <t>215.910</t>
  </si>
  <si>
    <t>757.863</t>
  </si>
  <si>
    <t>335.860</t>
  </si>
  <si>
    <t>21.890</t>
  </si>
  <si>
    <t>21.900</t>
  </si>
  <si>
    <t>599.000</t>
  </si>
  <si>
    <t>84.888</t>
  </si>
  <si>
    <t>718.800</t>
  </si>
  <si>
    <t>139.900</t>
  </si>
  <si>
    <t>89.950</t>
  </si>
  <si>
    <t>639.800</t>
  </si>
  <si>
    <t>100.640</t>
  </si>
  <si>
    <t>16.920</t>
  </si>
  <si>
    <t>283.410</t>
  </si>
  <si>
    <t>89.910</t>
  </si>
  <si>
    <t>6.025</t>
  </si>
  <si>
    <t>479.200</t>
  </si>
  <si>
    <t>307.890</t>
  </si>
  <si>
    <t>111.760</t>
  </si>
  <si>
    <t>639</t>
  </si>
  <si>
    <t>7584</t>
  </si>
  <si>
    <t>2522</t>
  </si>
  <si>
    <t>146</t>
  </si>
  <si>
    <t>2854</t>
  </si>
  <si>
    <t>2861</t>
  </si>
  <si>
    <t>2335</t>
  </si>
  <si>
    <t>00</t>
  </si>
  <si>
    <t>2862</t>
  </si>
  <si>
    <t>167</t>
  </si>
  <si>
    <t>2389</t>
  </si>
  <si>
    <t>1642</t>
  </si>
  <si>
    <t>1984</t>
  </si>
  <si>
    <t>176</t>
  </si>
  <si>
    <t>-693</t>
  </si>
  <si>
    <t>2813</t>
  </si>
  <si>
    <t>36</t>
  </si>
  <si>
    <t>1439</t>
  </si>
  <si>
    <t>1146</t>
  </si>
  <si>
    <t>-277</t>
  </si>
  <si>
    <t>1595</t>
  </si>
  <si>
    <t>1693</t>
  </si>
  <si>
    <t>99</t>
  </si>
  <si>
    <t>1762</t>
  </si>
  <si>
    <t>144</t>
  </si>
  <si>
    <t>5049</t>
  </si>
  <si>
    <t>115</t>
  </si>
  <si>
    <t>2398</t>
  </si>
  <si>
    <t>1819</t>
  </si>
  <si>
    <t>2196</t>
  </si>
  <si>
    <t>-039</t>
  </si>
  <si>
    <t>2241</t>
  </si>
  <si>
    <t>-1111</t>
  </si>
  <si>
    <t>1543</t>
  </si>
  <si>
    <t>-166</t>
  </si>
  <si>
    <t>1444</t>
  </si>
  <si>
    <t>2318</t>
  </si>
  <si>
    <t>1928</t>
  </si>
  <si>
    <t>-395</t>
  </si>
  <si>
    <t>892</t>
  </si>
  <si>
    <t>170</t>
  </si>
  <si>
    <t>1302</t>
  </si>
  <si>
    <t>1458</t>
  </si>
  <si>
    <t>2292</t>
  </si>
  <si>
    <t>2122</t>
  </si>
  <si>
    <t>⬅ Volver al índice</t>
  </si>
  <si>
    <t>Cobertura_meses</t>
  </si>
  <si>
    <t>periodos_con_venta</t>
  </si>
  <si>
    <t>Score mixto (60% unidades, 35% margen, 5% escasez)</t>
  </si>
  <si>
    <t>Prom Ventas 30d</t>
  </si>
  <si>
    <t>Pedido Sugerido 30d</t>
  </si>
  <si>
    <t>Costo Pedido 30d</t>
  </si>
  <si>
    <t>%Acum</t>
  </si>
  <si>
    <t>ABC</t>
  </si>
  <si>
    <t>AVES</t>
  </si>
  <si>
    <t>KOBOR</t>
  </si>
  <si>
    <t>FROST</t>
  </si>
  <si>
    <t>ovenbaked</t>
  </si>
  <si>
    <t>BIOLINE</t>
  </si>
  <si>
    <t>GOOFY</t>
  </si>
  <si>
    <t>FELLINI</t>
  </si>
  <si>
    <t>FEMA</t>
  </si>
  <si>
    <t>WARRIOR</t>
  </si>
  <si>
    <t>HAPPYCAT</t>
  </si>
  <si>
    <t>HILL'S SCIENCE DIET</t>
  </si>
  <si>
    <t>LEONARDO Y BELCANDO</t>
  </si>
  <si>
    <t>PROPLAN</t>
  </si>
  <si>
    <t>PETHOME</t>
  </si>
  <si>
    <t>SMILE FOR PETS</t>
  </si>
  <si>
    <t>Mascotas</t>
  </si>
  <si>
    <t>VITANIMAL</t>
  </si>
  <si>
    <t>BRAVERY</t>
  </si>
  <si>
    <t>AGILITY - OWNAT - DOG EVOLUTION</t>
  </si>
  <si>
    <t>POEMA</t>
  </si>
  <si>
    <t>ANDIS</t>
  </si>
  <si>
    <t>VETERQUIMICA</t>
  </si>
  <si>
    <t>TROPICAL</t>
  </si>
  <si>
    <t>ACANA Y ORIJEN</t>
  </si>
  <si>
    <t>PECES</t>
  </si>
  <si>
    <t>ALTA TECNOLOGIA VET</t>
  </si>
  <si>
    <t>FARMACIA</t>
  </si>
  <si>
    <t>PATAGON</t>
  </si>
  <si>
    <t>KETUNPET</t>
  </si>
  <si>
    <t>VITALCAN QUIROMAS</t>
  </si>
  <si>
    <t>PEPOLLI</t>
  </si>
  <si>
    <t>ROYAL CANIN</t>
  </si>
  <si>
    <t>Ancestral</t>
  </si>
  <si>
    <t>PRODAC</t>
  </si>
  <si>
    <t>NATURAL FOOD</t>
  </si>
  <si>
    <t>NUTRAM</t>
  </si>
  <si>
    <t>NUTRA GOLD</t>
  </si>
  <si>
    <t>GORCHEN</t>
  </si>
  <si>
    <t>WANPY</t>
  </si>
  <si>
    <t>Peluquería canina</t>
  </si>
  <si>
    <t>TASTE OF THE WILD</t>
  </si>
  <si>
    <t>LATA GATO DR LINK - SP DIET RENAL CHICKEN &amp; SALMON 200GR</t>
  </si>
  <si>
    <t>RASQUETA GRANDE (con palanca expulsa pelos</t>
  </si>
  <si>
    <t>TRONCO DE TIMOTHY 180GR</t>
  </si>
  <si>
    <t>ROSTRUM PLUS OTICO X 15ML GOTAS</t>
  </si>
  <si>
    <t>PET SPRAY CALMING</t>
  </si>
  <si>
    <t>CAT CALMING FEROMONAS RECARGA</t>
  </si>
  <si>
    <t>GALLETA RELLENA OMEGAS Y SALMON CRUNCHY 60G</t>
  </si>
  <si>
    <t>SNACK GALLETAS CON HIERBA GATERA SABOR SALMON 80G</t>
  </si>
  <si>
    <t>SET CEPILLO DE DIENTES 4 PIEZAS PERRITOS</t>
  </si>
  <si>
    <t>FIT SNACK PERRO MIX 65G</t>
  </si>
  <si>
    <t>PETBRILL SHAMPOO ALOE VERA 500ML</t>
  </si>
  <si>
    <t>JUGUETE INTERACTIVO PARA GATOS CAJA CON BOLA</t>
  </si>
  <si>
    <t>BEBEDERO PARA COLIBRI</t>
  </si>
  <si>
    <t>INDOMITABLE GALLETA HORNEADA SMOKY CLASSIC 460GR</t>
  </si>
  <si>
    <t>LENTES PARA PERRO (ROJO)</t>
  </si>
  <si>
    <t>JUGUETE PEZ CON CATNIP BEIGE</t>
  </si>
  <si>
    <t>JUGUETE WOODY CUERDA CON MADERA 35 CM</t>
  </si>
  <si>
    <t>RASCADOR ESQUINAS PARA GATO (DESMONTABLE)</t>
  </si>
  <si>
    <t>COLLAR SEGURO ANTI-AHORQUE PECES JEANS</t>
  </si>
  <si>
    <t>SNACK GALLETAS RELLENAS CON SALMON Y HIERBA GATERA 80 G</t>
  </si>
  <si>
    <t>YUMM STIX MID POLLO CON CARNE DE RES 50G</t>
  </si>
  <si>
    <t>BIO BOLAS 30MM (1 UNID)</t>
  </si>
  <si>
    <t>VIRBAC D-DOG DERMATOLOGY SUPPPORT 3 kgs</t>
  </si>
  <si>
    <t>NEPTRA OTIC SOLUTION 2X1 ML CL</t>
  </si>
  <si>
    <t>COLLAR GATO CORAZONES</t>
  </si>
  <si>
    <t>SPIRULINA GRANULAT 250 ML / 110 GR</t>
  </si>
  <si>
    <t>SNACK CREMOSO DE ATUN CON CATNIP 15G</t>
  </si>
  <si>
    <t>RUEDA METALICA ERIZO (30cm diametro, 13 cm ancho) AZUL</t>
  </si>
  <si>
    <t>CHURU CON POLLO Y SABOR CANGREJO</t>
  </si>
  <si>
    <t>CAT WHITE ORANGE 8 KG</t>
  </si>
  <si>
    <t>2 PELOTAS DE TENIS FLUFFY 10.2 CM</t>
  </si>
  <si>
    <t>RABBIT 500 GRAMOS TROPIFIT</t>
  </si>
  <si>
    <t>RATONCITOS CON COLA PELUDA (1 UNIDAD)</t>
  </si>
  <si>
    <t>CHURU BITES WRAPS DE ATUN PARA GATOS</t>
  </si>
  <si>
    <t>NANORMEN PLUS GATO 1 COMP</t>
  </si>
  <si>
    <t>CHURU BITES WRAPS DE ATUN CON SALMON PARA GATOS</t>
  </si>
  <si>
    <t>PELUCHE GOLDFISH CON CATNIP 50CM</t>
  </si>
  <si>
    <t>PELUCHE MONSTRUITO 8CM CON CATNIP CELESTE</t>
  </si>
  <si>
    <t>CHURU BROTH CHICKEN RECIPE (USA821)</t>
  </si>
  <si>
    <t>PELOTA BOUNCE FUN CERDO 9x9 CM</t>
  </si>
  <si>
    <t>SMAKERS ECONOMIC FOR GUINEA PIG</t>
  </si>
  <si>
    <t>CHURU CAT CHICKEN 4 TUBES / 14 GRS</t>
  </si>
  <si>
    <t>CHURU BROTH CHICKEN TUNA RECIPE (USA)</t>
  </si>
  <si>
    <t>PLATO PARA COLGAR 890 ML</t>
  </si>
  <si>
    <t>SHAMPOO LAUBE KELCO BCK STAR 345 ML</t>
  </si>
  <si>
    <t>PLATO REPTILES 20X16X3.5CM</t>
  </si>
  <si>
    <t>BRAMTON NEW PUPPY AID TRAINING SPRAY 500 ML (SPRAY ENTRENAMIENTO)</t>
  </si>
  <si>
    <t>CHURU GATOS SABOR POLLO CON QUESO 4 TUBOS</t>
  </si>
  <si>
    <t>ZEEPAD GREEY (30 UNIT BAG)</t>
  </si>
  <si>
    <t>ACEITE PARA ACAROS DE OIDOS 30 ML BIOLINE</t>
  </si>
  <si>
    <t>CORTADOR DE UÑAS ERGONOMICO</t>
  </si>
  <si>
    <t>SACADOR DE PULGAS Y GARRAPATAS</t>
  </si>
  <si>
    <t>CAPA 3XL DE 28 A 48 KG VERDE</t>
  </si>
  <si>
    <t>NEW FROST CAT INDOOR STERILIZED 1.5 KG</t>
  </si>
  <si>
    <t>EHLIQUANTEL FORTE 1 COMP</t>
  </si>
  <si>
    <t>REVOLUTION 6% GATO PERRO 0 HASTA 2.5 KG</t>
  </si>
  <si>
    <t>GOOFY HUESO MASTICABLE DELI DOG 1 UNIDAD 50 G</t>
  </si>
  <si>
    <t>RECORTE OREJAS DE CONEJO 100 GRS TASTY FARM</t>
  </si>
  <si>
    <t>SET DE 5 PELOTAS DE CATNIP</t>
  </si>
  <si>
    <t>SIMPARICA</t>
  </si>
  <si>
    <t>DENTAL BARRA CON CUERDA - SNACK</t>
  </si>
  <si>
    <t>FLOR CON CATNIP ROSADA</t>
  </si>
  <si>
    <t>ALFOMBRILLA HUELLA AZUL</t>
  </si>
  <si>
    <t>CARRUSEL CON CASCABEL (1 UNIDAD)</t>
  </si>
  <si>
    <t>Cojin Para Gatos O Cachorros XL Rosado Claro</t>
  </si>
  <si>
    <t>COMEDERO MEDIO MASCOTAS PEQUEÑAS FUCSIA</t>
  </si>
  <si>
    <t>TASTY FRESHEST ATUN Y ANCHOAS LATA 80G</t>
  </si>
  <si>
    <t>SNACK GALLETAS CON HIERBA GATERA SABOR ATUN 80G</t>
  </si>
  <si>
    <t>SNACK PASTELES DE FLORES MIXTAS 275 GRS</t>
  </si>
  <si>
    <t>LANGOSTA DE CAUCHO CON PELOTA Y SONIDO</t>
  </si>
  <si>
    <t>PETBRILL SHAMPOO PELOS OSCUROS 500 ML</t>
  </si>
  <si>
    <t>PELUCHE MONSTRUITO 8CM CON CATNIP VERDE</t>
  </si>
  <si>
    <t>CHURU ROLLS DOG CHICKEN X 8 (USD731)</t>
  </si>
  <si>
    <t>COLLAR ECO DOG</t>
  </si>
  <si>
    <t>VARILLA CON CABEZA DE ROEDOR</t>
  </si>
  <si>
    <t>CAMA ROEDORES DISEÑOS POLAR Y GANCHOS AZUL MARINO TALLA S</t>
  </si>
  <si>
    <t>VIRUTA VEGETAL 1.5K</t>
  </si>
  <si>
    <t>CALZON DE CELO PARA PERROS M (33-50) MORADO</t>
  </si>
  <si>
    <t>NATURAL PETS BALSAMO NASAL PARA MASCOTAS 17 GR BIOLINE</t>
  </si>
  <si>
    <t>FELLINI SNACKS VARITAS POLLO SALMON NAT 50 GR</t>
  </si>
  <si>
    <t>MIXANTIP PLUS CREMA 15G</t>
  </si>
  <si>
    <t>COLLAR GATO MOÑOS (ANTI AHORQUE)</t>
  </si>
  <si>
    <t>BALON CON DIENTES + CUERDA DE ALGODON</t>
  </si>
  <si>
    <t>CAMA ROEDORES DISEÑOS POLAR Y GANCHOS AMARILLO TALLA L</t>
  </si>
  <si>
    <t>VARILLA ALAMBRE CON PLUMAS 110CM</t>
  </si>
  <si>
    <t>SMAKERS ECONOMIC FOR HAMSTER</t>
  </si>
  <si>
    <t>BANDANAS CON DISEÑOS M ROSADO CON FLAMENCO</t>
  </si>
  <si>
    <t>ARNES CUERPO + TRAILLA</t>
  </si>
  <si>
    <t>JUGUETE GATO CASCABEL CON PLUMAS 32CM</t>
  </si>
  <si>
    <t>CHURU FILETE GRILLADO POLLO</t>
  </si>
  <si>
    <t>SNACK TOPK9 TROCITOS DELI POLLO 85 GRS</t>
  </si>
  <si>
    <t>JUGUETE WOODY PALO DE CAFE CON PELOTA DE TENIS S</t>
  </si>
  <si>
    <t>ARO WARRIOR 15 CM</t>
  </si>
  <si>
    <t>MIX SEMILLAS PARA DIAMANTES 500GR</t>
  </si>
  <si>
    <t>CAMA ROEDORES DISEÑOS POLAR Y GANCHOS ROSADO OSCURO TALLA L</t>
  </si>
  <si>
    <t>JUGUETE ANTIMICROBIAL NYLON HUESO POLLO 7.25"</t>
  </si>
  <si>
    <t>DELICIOUS CATNIP Y CAMARON 50G</t>
  </si>
  <si>
    <t>PIPETA FRONTLINE PLUS PERROS 2 - 10 KGS (0.67ml)</t>
  </si>
  <si>
    <t>Comedero Granja o pajareras (Capacidad 1,5 kg)</t>
  </si>
  <si>
    <t>CHURU CAT MEAL TOPPER TUNA 14GR/4TUB</t>
  </si>
  <si>
    <t>DOG TRAINING GALLETAS JENGIBRE MANZANA 180 GRS</t>
  </si>
  <si>
    <t>LOMBRIMIC SUSP ORAL 100 ML</t>
  </si>
  <si>
    <t>REPUESTO PET ROLLER 2 UNIDADES</t>
  </si>
  <si>
    <t>BRIT CARE CAT FILLETS IN GRAVY WITH SAVORY SALMON 85G POUCH</t>
  </si>
  <si>
    <t>INVERMIC GOTAS GATO 10 ML</t>
  </si>
  <si>
    <t>DENTAL DRUM CON CUERDA DE ALGODON</t>
  </si>
  <si>
    <t>SUPERVIT TABLETS A (150 ML 150 GR)</t>
  </si>
  <si>
    <t>JUGUETE PORFIADO CON PLUMAS WONDER CAT</t>
  </si>
  <si>
    <t>EASY CLEAN 2 KILOS LAVANDA</t>
  </si>
  <si>
    <t>BARRITAS DE CARTILAGO ENVUELTAS EN POLLO</t>
  </si>
  <si>
    <t>NEXGARD SPECTRA 2 - 3.5 KG X 1 COMP</t>
  </si>
  <si>
    <t>SMAKERS FRUIT FOR CANARY 2 PCS 60G</t>
  </si>
  <si>
    <t>LIMPIA PATAS PEQUEÑO</t>
  </si>
  <si>
    <t>EASY CLEAN 4 KGS 5 LITROS LIMON PRESENTACION DE 24 KG</t>
  </si>
  <si>
    <t>LATA GATO DR LINK - SP DIET HEPATIC CHICKEN &amp; TURKEY 200GR</t>
  </si>
  <si>
    <t>TOPK9 AGLUTINANTE IONES LAVANDA 10 KG</t>
  </si>
  <si>
    <t>ALFOMBRILLA RECTANGULAR VERDE</t>
  </si>
  <si>
    <t>PETBRILL SHAMPOO DE ACAI Y GUARANA 500ML</t>
  </si>
  <si>
    <t>FRUIT SMAKERS PARA ROEDORES Y CONEJOS</t>
  </si>
  <si>
    <t>FLOVOVERMIC 1 COMP</t>
  </si>
  <si>
    <t>NUP! PETS PRO CAPS POWER DIGESTIVE (2 CÁPSULAS)</t>
  </si>
  <si>
    <t>ARNES WONDERDOG S FIGURAS AZUL</t>
  </si>
  <si>
    <t>SMAKERS ECONOMIC FOR RABBIT</t>
  </si>
  <si>
    <t>CAMA ROEDORES DISEÑOS POLAR Y GANCHOS AZUL MARINO TALLA L</t>
  </si>
  <si>
    <t>PORTA BOLSAS PRO ROSADO</t>
  </si>
  <si>
    <t>JOSERA JOSIDOG REGULAR 18 KG</t>
  </si>
  <si>
    <t>CHURU GATO ATUN CON CAMARONES 4P</t>
  </si>
  <si>
    <t>JUGUETE PARA MORDER EN FORMA DE ARDILLA</t>
  </si>
  <si>
    <t>JUGUETE COLGANTE LOOFAH RODAJA</t>
  </si>
  <si>
    <t>JUGUETE WARRIOR BALON CON CUERDA 7x28 CM (CAUCHO + CUERDA)</t>
  </si>
  <si>
    <t>PLACA DE FONDO 70 X 30 CM HAILEA</t>
  </si>
  <si>
    <t>FIT GALLETA GATO SALMON 100G</t>
  </si>
  <si>
    <t>BRIT JERKY SNACK PUPPY TURKEY MEATY COINS FOR DOGS 80G</t>
  </si>
  <si>
    <t>SNACK GALLETAS RELLENAS CON SALMON Y POLLO 80 G</t>
  </si>
  <si>
    <t>DOG CHURU 4P POLLO CON ATUN</t>
  </si>
  <si>
    <t>ARENA SANITARIA BENTONITA 18 KGS HAPPY CAT</t>
  </si>
  <si>
    <t>CHURU GATO ATUN CON COPOS DE BONITO 4P</t>
  </si>
  <si>
    <t>FIT LATA PARA PERROS SABOR POLLO 280 GRS</t>
  </si>
  <si>
    <t>BOLSAS PARA FECAS DISEÑO EMOJI HUESITOS</t>
  </si>
  <si>
    <t>NEXGARD COMBO PIPETA GATO 0.8 - 2.5 KG 0.3ML X 1 UNID</t>
  </si>
  <si>
    <t>HIERRO PLANTMIX 500ML</t>
  </si>
  <si>
    <t>BRIT CARE DOG GRAIN FREE ADULT SALMON 12 KG</t>
  </si>
  <si>
    <t>NOMADE ARENA SANITARIA 10K</t>
  </si>
  <si>
    <t>CHURU FUN BITES ATUN - GATO (3 SACHETS)</t>
  </si>
  <si>
    <t>FIT LATA GOURMET GATOS VEGETALES 80GR</t>
  </si>
  <si>
    <t>VENDA COHESIVA COBAN 5 CM ANCHO - AZUL</t>
  </si>
  <si>
    <t>EASY CLEAN 8 KGS 10 LITROS</t>
  </si>
  <si>
    <t>CHURU GATO ATUN CON MARISCOS 4P</t>
  </si>
  <si>
    <t>COLLAR S (1.0*20‐31 CM) DISEÑO TRAMAS AZUL WONDER DOG</t>
  </si>
  <si>
    <t>PLATO ACERO INOXIDABLE PINTADO 2900 ML</t>
  </si>
  <si>
    <t>MAINTENANCE CRIADORES ADULTO 22 KG + 2 KG</t>
  </si>
  <si>
    <t>COLLAR L (1.9*35‐50 CM) DISEÑO CORAZONES WONDER DOG</t>
  </si>
  <si>
    <t>DERMISOLONA 10 COMP</t>
  </si>
  <si>
    <t>JUGUETE DE ALGODON CON GOMA</t>
  </si>
  <si>
    <t>CHURU FUN BITES POLLO - GATO (3 SACHETS)</t>
  </si>
  <si>
    <t>CHURU STEW sabor POLLO &amp; SALMON 40gr (USA843)</t>
  </si>
  <si>
    <t>CHALECO FRANJAS COLORES MACHO XS</t>
  </si>
  <si>
    <t>BRIT CARE DOG HYPOALLERGENIC ADULT LARGE BREED LAMB 12 KG</t>
  </si>
  <si>
    <t>FIT LATA GOURMET GATOS CANGREJO PALITOS 80GR</t>
  </si>
  <si>
    <t>COLLAR S (1.0*20‐31 CM) DISEÑO ZIGZAG NEGRO Y NARANJA WONDER DOG</t>
  </si>
  <si>
    <t>DISCO VOLADOR DE GOMA FRISBEE PARA PERROS 22x2.8 CM</t>
  </si>
  <si>
    <t>HILLS CANINE I/D LATA LOW FAT 13OZ</t>
  </si>
  <si>
    <t>LEONARDO LATA PATO 200 GR</t>
  </si>
  <si>
    <t>LATA GATO DR LINK - OBES - DIABET CHICKEN &amp; WHITE FISH 200GR</t>
  </si>
  <si>
    <t>CHURU STEW POLLO &amp; SCALLOP 40gr (USA844)</t>
  </si>
  <si>
    <t>Brit care cat grain-free Sterilized weight control 7 kg</t>
  </si>
  <si>
    <t>SNACK GALLETAS CON HIERBA GATERA SABOR A POLLO 80 G</t>
  </si>
  <si>
    <t>MAMADERA PARA MASCOTAS 120ML</t>
  </si>
  <si>
    <t>SIMPARICA TRIO 2.5 - 5 KG X 1 COMP</t>
  </si>
  <si>
    <t>LOVE IS WHERE A CAT IS - TURKEY PURE LATA 200 GR</t>
  </si>
  <si>
    <t>EASY CLEAN 20KG COFFEE</t>
  </si>
  <si>
    <t>JOSERA BALANCE 12.5K</t>
  </si>
  <si>
    <t>COLLAR L (1.9*35‐50 CM) DISEÑO MIXTO 2 WONDER DOG</t>
  </si>
  <si>
    <t>COLLAR XL (2.5*40‐55 CM) DISEÑO AZUL CON RAYAS WONDER DOG</t>
  </si>
  <si>
    <t>VIRUTA TOPK9 ECOMIX 2 KG</t>
  </si>
  <si>
    <t>MAINTENANCE CRIADORES ADULTOS HIGH PRO 22 KG + 2kg</t>
  </si>
  <si>
    <t>ARENERO PARA GATOS 50.5*38*23 FELIX CAFE</t>
  </si>
  <si>
    <t>BRAVECTO 1 COMP 10 - 20 KG</t>
  </si>
  <si>
    <t>COLLAR S (1.0*20‐31 CM) DISEÑO AZUL CON RAYAS WONDER DOG</t>
  </si>
  <si>
    <t>CHURU BISQUE TUNA 40gr (USA851)</t>
  </si>
  <si>
    <t>INDOMITABLE GALLETA CREAMY GRAIN FREE VEGAN FRAMBUESA 120GR</t>
  </si>
  <si>
    <t>COLLAR L (1.9*35‐50 CM) DISEÑO ZIGZAG NEGRO Y NARANJA WONDER DOG</t>
  </si>
  <si>
    <t>BRIT CARE DOG HYPOALLERGENIC ADULT MEDIUM BREED LAMB 12 KG</t>
  </si>
  <si>
    <t>CHURU GATO ATUN CON CARNE 4P</t>
  </si>
  <si>
    <t>FIT FORMULA CACHORRO PERRO 10 KG</t>
  </si>
  <si>
    <t>CHURU GATO ATUN CON ALMEJAS 4P</t>
  </si>
  <si>
    <t>PLACA CALEFACTORA 24W PVC</t>
  </si>
  <si>
    <t>INDOMITABLE GALLETA CREAMY GRAIN FREE VEGAN ARANDANO 120GR</t>
  </si>
  <si>
    <t>JOSERA NATURECAT 2 KG</t>
  </si>
  <si>
    <t>NITROGENO PLANTMIX 500ML</t>
  </si>
  <si>
    <t>COLLAR L (1.9*35‐50 CM) DISEÑO AZUL CON RAYAS WONDER DOG</t>
  </si>
  <si>
    <t>COLLAR L (1.9*35‐50 CM) DISEÑO MINI ZIGZAG AZUL WONDER DOG</t>
  </si>
  <si>
    <t>COLLAR M (1.6*30‐45 CM) DISEÑO TRAMAS AZUL WONDER DOG</t>
  </si>
  <si>
    <t>FIT LATA CACHORRO POLLO</t>
  </si>
  <si>
    <t>JOSERA FESTIVAL 12.5K</t>
  </si>
  <si>
    <t>PELOTA ESTILO TENIS DISENO FUTBOL 15.2CM</t>
  </si>
  <si>
    <t>SNACK TOPK9 BITE BOCADITOS PATO / CAMOTE 100 GRS</t>
  </si>
  <si>
    <t>GEMON CAT SALM/SHRIMPS 415GR</t>
  </si>
  <si>
    <t>PROPLAN POUCH KITTEN POLLO 85G</t>
  </si>
  <si>
    <t>VIRBAC D-CAT ALLERGY 3 kgs</t>
  </si>
  <si>
    <t>MIXANTIP PLUS POTE 50G</t>
  </si>
  <si>
    <t>COLLAR M (1.6*30‐45 CM) DISEÑO AZUL CON RAYAS WONDER DOG</t>
  </si>
  <si>
    <t>SNACK TOPK9 BITE CUBITOS PATO / BACALAO 100 GRS</t>
  </si>
  <si>
    <t>NOMADE GATO 3 KG</t>
  </si>
  <si>
    <t>VIRBAC D-CAT WEIGHT LOSS &amp; DIABETES 1.5 kgs</t>
  </si>
  <si>
    <t>VARILLA CON RATON Y LINEA ELASTICA</t>
  </si>
  <si>
    <t>Vital fiber brush HONEY X8PCS/80G</t>
  </si>
  <si>
    <t>CIPROVET LABYES SOL OFT 5ML</t>
  </si>
  <si>
    <t>LATA GATO DR LINK - GASTROINTESTINAL TURKEY 200GR</t>
  </si>
  <si>
    <t>VIRBAC BALDE CHICO</t>
  </si>
  <si>
    <t>FIT LATA PARA GATOS SABOR PESCADO 290 GR</t>
  </si>
  <si>
    <t>BRIT PREMIUM BY NATURE ADULT MEDIUM 15 KG</t>
  </si>
  <si>
    <t>HENO DE ALFALFA 3 KG</t>
  </si>
  <si>
    <t>COLLAR L (1.9*35‐50 CM)</t>
  </si>
  <si>
    <t>HYALORAL RAZAS PEQ Y MED 90 COMP</t>
  </si>
  <si>
    <t>PET OTIC X 100ML SOL</t>
  </si>
  <si>
    <t>PLATO DE ALIMENTACIÓN LENTA CON FORMA PEZ VERDE</t>
  </si>
  <si>
    <t>EASY CLEAN 8 KGS 10 LITROS COFFEE PRESENTACION DE 24 KG</t>
  </si>
  <si>
    <t>FIT LATA GATO POLLO</t>
  </si>
  <si>
    <t>EASY CLEAN 4 KGS 5 LITROS LAVANDA PRESENTACION DE 24 KG</t>
  </si>
  <si>
    <t>PLATO ALIMENTACION LENTA #2</t>
  </si>
  <si>
    <t>PLATO BAMBU COLORES 250 ml AZUL-GRIS</t>
  </si>
  <si>
    <t>CHURU STEW sabor POLLO 40gr (USA842)</t>
  </si>
  <si>
    <t>ARENA SANITARIA LEO BLANCA C/CARBON 17 KG</t>
  </si>
  <si>
    <t>BRAVECTO 1M PERRO 4.5-10 KG 1 COMP</t>
  </si>
  <si>
    <t>DOXIMICIN JARABE 60 ML</t>
  </si>
  <si>
    <t>FIT POUCH GATO SALMON 85G</t>
  </si>
  <si>
    <t>FIT POUCH PERRO CORDERO 85G</t>
  </si>
  <si>
    <t>FIT LATA PERRO CARNE</t>
  </si>
  <si>
    <t>HILLS CANINE I/D DIGESTIVE LOW FAT 8.5 LB (3.86KG)</t>
  </si>
  <si>
    <t>CHURU MEGACHURU DOG TUNA 48GR / 3 TUBES</t>
  </si>
  <si>
    <t>FIT FORMULA ADULTO LIGHT PERRO 20 KG</t>
  </si>
  <si>
    <t>SUPERPET OMEGA 3 - 6 SENIOR 125 ML</t>
  </si>
  <si>
    <t>COMEDERO PARA AVES - 80 ML (6 x 4 x 7 cm)</t>
  </si>
  <si>
    <t>BRIT CARE DOG CHICKEN &amp; INSECT JUNIOR LARGE BREED 12K</t>
  </si>
  <si>
    <t>ARENA SANITARIA LEO FRESH 7KG</t>
  </si>
  <si>
    <t>MASTIG PALITO FLEXIBLE TOCINO 70GR</t>
  </si>
  <si>
    <t>FIT POUCH PERRO POLLO 85G</t>
  </si>
  <si>
    <t>PROPLAN POUCH GATO ADULTO POLLO 85G</t>
  </si>
  <si>
    <t>FIT POUCH PERRO CARNE 85G</t>
  </si>
  <si>
    <t>TRANSIMED X 15 ML GOTAS</t>
  </si>
  <si>
    <t>PREVICOX 227MG X 10 COMP</t>
  </si>
  <si>
    <t>CHURU BISQUE sabor POLLO &amp; CARNE 40gr (USA854)</t>
  </si>
  <si>
    <t>GALLETA SABOR CANGREJO CON HIERBA GATERA</t>
  </si>
  <si>
    <t>VETLIFE FELINE RENAL 2KG</t>
  </si>
  <si>
    <t>BRAVECTO 1M PERRO 20-40 KG 1 COMP</t>
  </si>
  <si>
    <t>DERMISOLONA SUSP 0.4% 30ML</t>
  </si>
  <si>
    <t>CATMANIA LAVANDA 8.5 KG</t>
  </si>
  <si>
    <t>PREVICOX 227 MG X 30 COMP MASTICABLE</t>
  </si>
  <si>
    <t>BAÑO INTELIGENTE PARA GATO</t>
  </si>
  <si>
    <t>FIT SNACK FILETE DE ATUN</t>
  </si>
  <si>
    <t>HILLS FELINE C/D MULTICARE 3.8 KG CAT</t>
  </si>
  <si>
    <t>PLATO PERRO JOSERA 1.6L</t>
  </si>
  <si>
    <t>COLLAR GATO DISEÑO ESPINA DE PEZ 1</t>
  </si>
  <si>
    <t>ROSTRUM 150MG X 10 COMP</t>
  </si>
  <si>
    <t>SNACK GALLETAS RELLENAS CON ATUN Y POLLO 80 G</t>
  </si>
  <si>
    <t>BRAVECTO 1 COMP 2 - 4.5 KG</t>
  </si>
  <si>
    <t>HYALORAL GEL 50 ML</t>
  </si>
  <si>
    <t>COLLAR L (1.9*35‐50 CM) DISEÑO MIXTO 1 WONDER DOG</t>
  </si>
  <si>
    <t>COLLAR M (1.6*30‐45 CM) DISEÑO ETNICO 3 WONDER DOG</t>
  </si>
  <si>
    <t>COLLAR L (1.9*35‐50 CM) DISEÑO ETNICO 1 WONDER DOG</t>
  </si>
  <si>
    <t>COLLAR M (1.6*30‐45 CM) DISEÑO CORAZONES WONDER DOG</t>
  </si>
  <si>
    <t>SNACK TOPK9 TROCITOS DELI CORDERO 85 GRS</t>
  </si>
  <si>
    <t>JUGUETE RATON EN JAULA WPS275</t>
  </si>
  <si>
    <t>ZAGREB PREMIUM ESPECIAL 20 K</t>
  </si>
  <si>
    <t>SMILE FOR PETS TOALLITA DENTAL MAXIGUARD 100 UNID</t>
  </si>
  <si>
    <t>BILJAC LITTLE JACS TREATS 113 GRS</t>
  </si>
  <si>
    <t>BRAVECTO 1M PERRO 10-20 KG 1 COMP</t>
  </si>
  <si>
    <t>CLINDABONE 165MG 20 COMP</t>
  </si>
  <si>
    <t>NEXGARD SPECTRA 30.1 - 60 KG 3 COMPRIMIDOS</t>
  </si>
  <si>
    <t>Brit care cat grain-free senior weight control 7 kg</t>
  </si>
  <si>
    <t>TRAÍLLA 1,6 (1.6*120 CM) M Blanco y Negro</t>
  </si>
  <si>
    <t>BRIT CARE DOG CHICKEN &amp; INSECT ADULT SMALL BREED 3K</t>
  </si>
  <si>
    <t>BILJAC SENIOR 13.6 KG</t>
  </si>
  <si>
    <t>MAINTENANCE CRIADORES GATOS 15 KG</t>
  </si>
  <si>
    <t>COLAGEPET SNACK PERRO SABOR CARNE XS x 1</t>
  </si>
  <si>
    <t>FIT POUCH GATO POLLO 85G</t>
  </si>
  <si>
    <t>FOREST FRUIT SMAKERS FOR RODENTS</t>
  </si>
  <si>
    <t>SNACK GALLETAS CON HIERBA GATERA SABOR A SALMON Y POLLO 80 G</t>
  </si>
  <si>
    <t>CHURU VARIEDADES ATUN Y POLLO 50 UNIDADES</t>
  </si>
  <si>
    <t>ARENA AMERICALITTER QUICK CLUMPING SIN AROMA 20 KG</t>
  </si>
  <si>
    <t>CHURU FUN BITES ATUN Y OSTION - GATO (3 SACHETS)</t>
  </si>
  <si>
    <t>CHURUDOG MEAL TOPPER CHICKEN 14GR/4T</t>
  </si>
  <si>
    <t>INDOMITABLE GALLETA CREAMY GRAIN FREE VEGAN MAQUI 120GR</t>
  </si>
  <si>
    <t>CHURU DOG TWIN PACK CHICKEN VEG &amp; BEEF (USD802)</t>
  </si>
  <si>
    <t>GALLETA RELLENA SABOR POLLO CON CAMARON</t>
  </si>
  <si>
    <t>PROPLAN POUCH GATO ESTERILIZADO POLLO 85G</t>
  </si>
  <si>
    <t>RUGBY BICOLOR WARRIOR</t>
  </si>
  <si>
    <t>DOG TRAINING GALLETAS ARANDANOS 180 GRS</t>
  </si>
  <si>
    <t>BRIT CARE DOG HYPOALLERGENIC DOG SHOW CHAMPION 12 KG</t>
  </si>
  <si>
    <t>CHURUDOG MEAL TOPPER CHICKEN/SALMON 14GR/4T</t>
  </si>
  <si>
    <t>JOSERA JOSIDOG FAMILY 15 KG</t>
  </si>
  <si>
    <t>JAULA AVE IGLESIA SIMPLE (47,5 x 36 x 67 cms) BLANCA</t>
  </si>
  <si>
    <t>VIRBAC MILPRO 12.5/125 MG PERRO +5KG X 2 COMP</t>
  </si>
  <si>
    <t>VIRUTA PAPEL PRENSADO 2 KG CANAIMA</t>
  </si>
  <si>
    <t>CHURU VARIEDADES POLLO 50 UNIDADES</t>
  </si>
  <si>
    <t>COLLAR GATO DISEÑO ESPINA DE PEZ 2</t>
  </si>
  <si>
    <t>CHURU DOG TWIN PACK CHICKEN VEG RECIPE (USD801)</t>
  </si>
  <si>
    <t>JOSERA MINIWELL 900 GR</t>
  </si>
  <si>
    <t>ARENERO PARA GATOS MEDIANO 49*34*22.5 GRIS</t>
  </si>
  <si>
    <t>NEXGARD SPECTRA 3.6 - 7.5 KG 3 COMPRIMIDOS</t>
  </si>
  <si>
    <t>ALERDRAG SHAMPOO 150 ML</t>
  </si>
  <si>
    <t>CANISH SHAMPOO HIPOALERGENICO 390 ML</t>
  </si>
  <si>
    <t>COLLAR GATO (ANTI AHORQUE) 1003</t>
  </si>
  <si>
    <t>COLLAR M (1.6*30‐45 CM) DISEÑO ZIGZAG ROJO WONDER DOG</t>
  </si>
  <si>
    <t>CHURU CAT VARIETY TUNA 14 GR / 60 TUBES</t>
  </si>
  <si>
    <t>INDOMITABLE GALLETA HORNEADA GRAIN FREE BEEF VEGAN 460GR</t>
  </si>
  <si>
    <t>CHURU CAT VARIEDADES ATUN 50 TUBES / 14 GRS</t>
  </si>
  <si>
    <t>MATISSE CASTRADO SALMAO X7,5KG</t>
  </si>
  <si>
    <t>HILLS FELINE K/D 1.81 KG CAT</t>
  </si>
  <si>
    <t>COLLAR M (1.6*30‐45 CM) DISEÑO ETNICO 1 WONDER DOG</t>
  </si>
  <si>
    <t>CHURU DOG VARIETY CHICKEN 14GR/50 TUB</t>
  </si>
  <si>
    <t>CHURU TUNA/CHEESE 14GR / 4 TUBES</t>
  </si>
  <si>
    <t>JAULA LOROS CON RUEDA (53.5x53.5x133.5 cm) BLANCA</t>
  </si>
  <si>
    <t>TOPK9 ARENA CRISTAL FRESH 1.6K</t>
  </si>
  <si>
    <t>RASCADOR CON CAPSULA Y CASA MADERA</t>
  </si>
  <si>
    <t>BAÑO PARA GATOS BIGCAT XL ROSADO</t>
  </si>
  <si>
    <t>GEMON CAT ADULT TUNA/OC.FISH 415GR</t>
  </si>
  <si>
    <t>VETGASTRIL 50 ML</t>
  </si>
  <si>
    <t>SMILE FOR PETS GEL DENTAL MAXIGUARD 118 ML</t>
  </si>
  <si>
    <t>SINPUL SPOT PLUS 2 ML HASTA 15 KG</t>
  </si>
  <si>
    <t>ARENA WBCL CLUMPING FORMULA 6,35 KG</t>
  </si>
  <si>
    <t>ASAN PET PURE 42L</t>
  </si>
  <si>
    <t>COLLAR M DISEÑO DOG LOVER</t>
  </si>
  <si>
    <t>DRONTAL PLUS 35 KG</t>
  </si>
  <si>
    <t>CHURU BISQUE sabor POLLO 1,4oz 40gr</t>
  </si>
  <si>
    <t>LOVE IS WHERE A CAT IS - BEEF/RIND PURE LATA 200 GR</t>
  </si>
  <si>
    <t>ARENA WBCL MULTICAT LAVANDA 6,35 KG</t>
  </si>
  <si>
    <t>N&amp;D PRIME FELINE FRANGO ADULT 7,5KG</t>
  </si>
  <si>
    <t>CHURU VET NOURISH X 50 (UVC111)</t>
  </si>
  <si>
    <t>CRIADORES HIGH PRO ADULTO CORDERO 20 + 3 KG</t>
  </si>
  <si>
    <t>FIT SNACK COSTILLITAS DE CORDERO 400G</t>
  </si>
  <si>
    <t>ARENA AMERICALITTER QUICK CLUMPING SIN AROMA 7KG</t>
  </si>
  <si>
    <t>Churu Hairball Control Pollo para Gatos (USA676)</t>
  </si>
  <si>
    <t>SMILE FOR PETS PASTA DENTAL LONDON BROIL 70 GRS</t>
  </si>
  <si>
    <t>MALLA DE SEGURIDAD PARA GATOS XS</t>
  </si>
  <si>
    <t>Gel Dental para mascotas OraZn 59 ml</t>
  </si>
  <si>
    <t>BRIT CARE DOG INSECT &amp; FISH SENSITIVE 12K</t>
  </si>
  <si>
    <t>SUPERPET OMEGA 3 - 6 PERRO 125 ML</t>
  </si>
  <si>
    <t>PROPLAN ADULT MEDIUM 12KG</t>
  </si>
  <si>
    <t>BILJAC ADULT SELECT 13.6 KG</t>
  </si>
  <si>
    <t>DRONTAL PUPPY 20 ML</t>
  </si>
  <si>
    <t>ARENA AMERICALITTER ULTRA ODOR SEAL 15 KG (ACTIVATED CARBON)</t>
  </si>
  <si>
    <t>HENO DE ALFALFA 5KG</t>
  </si>
  <si>
    <t>BILJAC PUPPY SMALL BREED 2.75 KG</t>
  </si>
  <si>
    <t>HILLS FELINE ADULTO HAIRBALL 7.03KG</t>
  </si>
  <si>
    <t>VIRUTA PREMIUM CON AROMA LIMON 1 KG</t>
  </si>
  <si>
    <t>BRIT PREMIUM BY NATURE JUNIOR MEDIUM 15 KG</t>
  </si>
  <si>
    <t>PREVICOX 57 MG X 30 COMP MASTICABLE</t>
  </si>
  <si>
    <t>NIDO PARA AVES BAMBU Y FIBRA ABIERTO CON GANCHO 13x10x15 CM</t>
  </si>
  <si>
    <t>MALLA DE SEGURIDAD PARA GATOS L</t>
  </si>
  <si>
    <t>ARENA FIT CARBON 10KG AGLUTINANTE</t>
  </si>
  <si>
    <t>CHURU BISQUE TUNA &amp; SALMON 40gr (USA852)</t>
  </si>
  <si>
    <t>JAULA LORO DOBLE XL 165 X 84 X 182 CM</t>
  </si>
  <si>
    <t>PAÑAL ADIESTRAMIENTO 60 X 90 CM 30 UNIDADES</t>
  </si>
  <si>
    <t>PLATO ACERO INOXIDABLE TALLA L</t>
  </si>
  <si>
    <t>FLT SHAMPOO X 150ML</t>
  </si>
  <si>
    <t>GOLDEN S PERRO ADULTO POLLO Y CARNE 20KG</t>
  </si>
  <si>
    <t>LOVE IS WHERE A CAT IS - SALMON PURE LATA 190 GR</t>
  </si>
  <si>
    <t>MIX SEMILLAS PARA HAMSTER 500 GR</t>
  </si>
  <si>
    <t>HILLS FELINE C/D MULTICARE CHICKEN 1.81 KG CAT</t>
  </si>
  <si>
    <t>ARENERO PARA GATOS XL 56*42*23.5 CELESTE</t>
  </si>
  <si>
    <t>BILJAC PICKY NO MORE SMALL BREED 2.7KG</t>
  </si>
  <si>
    <t>JUGUETE VARILLA CONEJITO BLANCO 40CM</t>
  </si>
  <si>
    <t>LEONARDO LATA QUALITY SELECCION TERNERA 200 GR</t>
  </si>
  <si>
    <t>CHURU CAT TUNA / SALMON 4 TUBES / 14 GRS</t>
  </si>
  <si>
    <t>Tirador corto (1,0 mmX60 cm)</t>
  </si>
  <si>
    <t>SMILE FOR PETS PASTA DENTAL ROTISSERIE CHICKEN 70 GRS</t>
  </si>
  <si>
    <t>CRACUL</t>
  </si>
  <si>
    <t>INVERMIC PERRO 10ML</t>
  </si>
  <si>
    <t>JUGUETE WOODY CHEW STICK XL</t>
  </si>
  <si>
    <t>TUNEL (FIBRA VEGETAL)</t>
  </si>
  <si>
    <t>ARENERO PARA GATOS XL 56*42*23.5 GRIS</t>
  </si>
  <si>
    <t>BILJAC SENSITIVE 2.75 KGS</t>
  </si>
  <si>
    <t>MIX SEMILLAS PARA NINFAS E INSEPARABLES 500GR</t>
  </si>
  <si>
    <t>Traje para gatos talla M</t>
  </si>
  <si>
    <t>ANTICLORO TORTUGA MARBEN</t>
  </si>
  <si>
    <t>VERAFLOX SUSPENSION 25 ML</t>
  </si>
  <si>
    <t>FAWNA GATOS ADULTOS URINARY 7.5 KG</t>
  </si>
  <si>
    <t>HYALORAL RAZAS PEQ Y MED 270 COMP</t>
  </si>
  <si>
    <t>Galliprant 100mg - 30 comprimidos</t>
  </si>
  <si>
    <t>BRIT CARE DOG CHICKEN &amp; INSECT ADULT SMALL BREED 7K</t>
  </si>
  <si>
    <t>SENILPET CEREBRAL 20 X 30 COMP</t>
  </si>
  <si>
    <t>ALPISTE SACO 25K</t>
  </si>
  <si>
    <t>BEBEDERO COLIBRI (11.5x22CM)</t>
  </si>
  <si>
    <t>SHAMPOO SEBOCALM SPHERULITES X 250ML</t>
  </si>
  <si>
    <t>TRUTITOS DE PATO CON HUESITO DE CALCIO 100 GRS TASTY FARM</t>
  </si>
  <si>
    <t>PROPLAN KITTEN 7.5K</t>
  </si>
  <si>
    <t>ARENERO PARA GATOS MEDIANO 49*34*22.5 ROSADO</t>
  </si>
  <si>
    <t>MATISSE CAT MOUSSE CODFISH 85 GR</t>
  </si>
  <si>
    <t>ALLERMYL GLYCO SHAMPOO 250ML</t>
  </si>
  <si>
    <t>INDOMITABLE NAVIDEÑAS HORNEADAS TURKEY 180GR</t>
  </si>
  <si>
    <t>BILJAC SENIOR 2.75 KG</t>
  </si>
  <si>
    <t>BILJAC SLIM JACS LOW FAT 113 G</t>
  </si>
  <si>
    <t>PROPLAN URINARY CAT 7.5K</t>
  </si>
  <si>
    <t>TOPK9 AGLUTINANTE IONES LAVANDA 2 KG</t>
  </si>
  <si>
    <t>HILLS CANINE GASTROINTESTINAL BIOME 3.63KG</t>
  </si>
  <si>
    <t>HILLS FELINE K/D 3.8 KG CAT</t>
  </si>
  <si>
    <t>TOPK9 AGLUTINANTE IONES CAFE MOKA 10 KG</t>
  </si>
  <si>
    <t>FIT SNACK TIRITA POLLO DESHIDRATADO</t>
  </si>
  <si>
    <t>NUTRIBOUND GATO 150ML</t>
  </si>
  <si>
    <t>VETLIFE FELINE RENAL 7.5KG</t>
  </si>
  <si>
    <t>OLD PRINCE NOVEL CERDO Y LEGUMBRES ADULTO 15 KG</t>
  </si>
  <si>
    <t>RASCADOR FORMA DE HONGO BLANCO CON ROJO (28X34CM)</t>
  </si>
  <si>
    <t>VITA HERBAL - PATCH FOR RODENTS ECONOMIC 40GR</t>
  </si>
  <si>
    <t>BAVARO TASK 18 KG</t>
  </si>
  <si>
    <t>ARTICULARVET 30 COMPRIMIDOS</t>
  </si>
  <si>
    <t>HILLS FELINE ONC CARE LATA 2,9oz 82gr</t>
  </si>
  <si>
    <t>COLLAR S (1.0*20‐31 CM) DISEÑO MINI ZIGZAG AZUL WONDER DOG</t>
  </si>
  <si>
    <t>COLLAR M (1.6*30‐45 CM) DISEÑO MINI ZIGZAG AZUL WONDER DOG</t>
  </si>
  <si>
    <t>RASCADOR 130 CM PARA GATOS</t>
  </si>
  <si>
    <t>VIRBAC C.E.T. PASTA DENTAL ENZIMATICA 70g</t>
  </si>
  <si>
    <t>PETBRILL COLONIA LADY DOG 100 ML</t>
  </si>
  <si>
    <t>JAULA HÁMSTER 2 PISOS XXL (47X30X37)</t>
  </si>
  <si>
    <t>REVOLUTION 12% 20 - 40 KG PERROS</t>
  </si>
  <si>
    <t>FIT SNACK CAMOTE Y CORDERO 400G</t>
  </si>
  <si>
    <t>RASCADOR GATOS CAT001 COLOR BEIGE</t>
  </si>
  <si>
    <t>RASCADOR CURVO CON DISEÑOS DE FLORES (43X22X4CM)</t>
  </si>
  <si>
    <t>BRACCO TRAVEL 5 81 X 60 X 61.5 CM</t>
  </si>
  <si>
    <t>JUGUETE FUNCION CEPILLO DENTAL Y PORTA SNACK</t>
  </si>
  <si>
    <t>CANVIT SNACK DENTAL 200 G</t>
  </si>
  <si>
    <t>Juguete raton lanudo con vibracion</t>
  </si>
  <si>
    <t>CATS SNACK TUBITO CREMOSO SABOR ALBACORA</t>
  </si>
  <si>
    <t>LIMPIADOR AURICULAR PHISIO ANTIOLORX100ML</t>
  </si>
  <si>
    <t>RASCADOR REDONDO INTERACTIVO CON PELOTAS</t>
  </si>
  <si>
    <t>COLLAR M DISEÑO CANDY</t>
  </si>
  <si>
    <t>GUANTE ESPECIAL PARA SACAR PELOS</t>
  </si>
  <si>
    <t>COLLAR S DISEÑO CANDY</t>
  </si>
  <si>
    <t>FIT SNACK CONEJO 400G</t>
  </si>
  <si>
    <t>ARENA SANITARIA LEO TALCO BEBE 7KG</t>
  </si>
  <si>
    <t>PACIFOR 10 COMP</t>
  </si>
  <si>
    <t>BRAVERY MACKEREL KITTEN WET FOOD 70GR</t>
  </si>
  <si>
    <t>CHURU ROLLS CAT CHICKEN X 4 (USA733)</t>
  </si>
  <si>
    <t>N&amp;D PRIME FELINE FRANGO ADULT 1,5KG</t>
  </si>
  <si>
    <t>N&amp;D OCEAN FELINE SALMON CASTRADO 7,5 KG</t>
  </si>
  <si>
    <t>NAILS POWER 14G POLVO PARA HERIDAS BIOLINE</t>
  </si>
  <si>
    <t>HILLS CANINE ADULT 7+ SB 6.87K</t>
  </si>
  <si>
    <t>BRIT PREMIUM BY NATURE CAT STERILIZED CHICKEN 8K</t>
  </si>
  <si>
    <t>BRIT PATE Y MEAT TURKEY 400G</t>
  </si>
  <si>
    <t>FIT DUO ATUN POLLO OSTION 35G X 2</t>
  </si>
  <si>
    <t>SKINDRAG SHAMPOO CERAMIDAS 250 ML</t>
  </si>
  <si>
    <t>DELICIOUS CATNIP Y CANGREJO 50G</t>
  </si>
  <si>
    <t>PAÑAL 50 TRAINING PADS</t>
  </si>
  <si>
    <t>ADAPTIL REPUESTO 48 ML</t>
  </si>
  <si>
    <t>GEMON CAT STERILIZED TURKEY 7 KG</t>
  </si>
  <si>
    <t>Conejo oreja caida Mascota</t>
  </si>
  <si>
    <t>ARTRI TABS COMPLEX 60 COMP</t>
  </si>
  <si>
    <t>BAÑO PARA GATOS BIGCAT XL CAFE</t>
  </si>
  <si>
    <t>TROPIFIT ALL IN 1 HAMSTER &amp; GERBIL 500G</t>
  </si>
  <si>
    <t>JOSERA CULINESSE GATO 10K</t>
  </si>
  <si>
    <t>SMAKERS VEGETABLE FOR RODENTS AND RABBIT 2PCS 90G</t>
  </si>
  <si>
    <t>PECHUGA DE POLLO CON PALITO DE CARNAZA 100 GRS TASTY FARM</t>
  </si>
  <si>
    <t>BIO POWER X 100GR ORAL</t>
  </si>
  <si>
    <t>PELUCHE MONSTRUITO 8CM CON CATNIP MORADO</t>
  </si>
  <si>
    <t>DOYPACK COLAGEPET CARNE S 6 PCS</t>
  </si>
  <si>
    <t>BEBEDERO AVE 80 ML</t>
  </si>
  <si>
    <t>FIT SNACK ESPIRAL DE SALMON 400 G</t>
  </si>
  <si>
    <t>BOXO COMFORT BEDDING 26L / 1,45KG</t>
  </si>
  <si>
    <t>SABANILLAS CARBON ACTIVADO 100UN 60X90CM</t>
  </si>
  <si>
    <t>APETIPET JAB X 100ML</t>
  </si>
  <si>
    <t>REVOLUTION 12% 5 - 10 KG PERROS</t>
  </si>
  <si>
    <t>SNACK TOPK9 BITE CUBITOS SUSHI ROLL PATO / BACALAO 100 GRS</t>
  </si>
  <si>
    <t>GALLETA RELLENA OMEGAS Y POLLO CRUNCHY 60G</t>
  </si>
  <si>
    <t>NUTRIBOUND PERRO 150ML</t>
  </si>
  <si>
    <t>Brit care cat grain-free indoor anti-stress 2 kg</t>
  </si>
  <si>
    <t>COLLAR L DISEÑO CANDY</t>
  </si>
  <si>
    <t>FRONTLINE SPRAY 250 ML</t>
  </si>
  <si>
    <t>PACIFOR X 10ML GOTAS</t>
  </si>
  <si>
    <t>COLLAR PROTECCION ANTI-LAMIDO DISEÑO DONAS S</t>
  </si>
  <si>
    <t>ARENA AMERICALITTER CLEAN PAWS 15 KG</t>
  </si>
  <si>
    <t>PROPLAN URINARY CAT 3K</t>
  </si>
  <si>
    <t>PROPLAN PUPPY MEDIUM 12KG</t>
  </si>
  <si>
    <t>JUGUETE WOODY PALO DE CAFE CON PELOTA DE TENIS M</t>
  </si>
  <si>
    <t>TRANSPORTADORA GIPSY L (GRIS/LILA)</t>
  </si>
  <si>
    <t>LEONARDO LATA QUALITY SELECCION HIGADO 200 GR</t>
  </si>
  <si>
    <t>ARENERO PARA GATOS XL 56*42*23.5 ROSADO</t>
  </si>
  <si>
    <t>INDOMITABLE GALLETA DENTAL MANZANA CANELA 180 GR</t>
  </si>
  <si>
    <t>JAULA DE CATNIP CON BOLA DE HIERBA GATERA (12CM)</t>
  </si>
  <si>
    <t>HILLS FELINE GASTROINTESTINAL BIOME STRESS 1.81KG</t>
  </si>
  <si>
    <t>HUESO REDONDO</t>
  </si>
  <si>
    <t>CHURU VET DIET X 50 (UVC211)</t>
  </si>
  <si>
    <t>TABLERO RASCADOR CON GATO 44*23.5*4.5CM</t>
  </si>
  <si>
    <t>PROPLAN KITTEN 3 KG</t>
  </si>
  <si>
    <t>LEONARDO LATA AVE 200 GR</t>
  </si>
  <si>
    <t>SET DE BOLSA PARA FECAS (3 ROLLOS X15 BOLSAS) INCLUYE PORTA ROLLOS</t>
  </si>
  <si>
    <t>Leonardo latas quality Gatos KITTEN 200 GR</t>
  </si>
  <si>
    <t>CHURU BITES POLLO CON SALMON 8 TUBOS PERRO</t>
  </si>
  <si>
    <t>CABATINA VITAM K1 ORAL 25ML</t>
  </si>
  <si>
    <t>ARENERO PARA GATOS XL 56*42*23.5 CAFE</t>
  </si>
  <si>
    <t>TALCO DESODORANTE DE ARENA SANITARIA</t>
  </si>
  <si>
    <t>BAYTRIL SABORIZADO COMP 50 MG 1X10</t>
  </si>
  <si>
    <t>JAULA CRIADORA CON SEPARACION (24 x 16 x 16 cm)</t>
  </si>
  <si>
    <t>FILTRO INTERNO ACUARIO 15W-1200L/H</t>
  </si>
  <si>
    <t>DOXIMICIN 10 COMP</t>
  </si>
  <si>
    <t>GALLETA HUESOS MIX SABORES TALLA M 350GR LOLOPETS</t>
  </si>
  <si>
    <t>PETBRILL SHAMPOO PELOS CLAROS 500 ML</t>
  </si>
  <si>
    <t>PREMIER AMBIENTE INTERNO DOG ADULT POLLO/SALMON 2.5KG</t>
  </si>
  <si>
    <t>BRIT MONO PROTEIN LAMB 400G</t>
  </si>
  <si>
    <t>DELICIOUS CATNIP Y PESCADO DE OCEANO 50G</t>
  </si>
  <si>
    <t>ELECTROLITICO PET 10G</t>
  </si>
  <si>
    <t>FAWNA PERROS ADULTOS SENIOR 15 KG</t>
  </si>
  <si>
    <t>DISPENSADOR BOLSA FECA DISEÑO CHOCLO</t>
  </si>
  <si>
    <t>DOG EVOLUTION ADULTO 15 KG + 3K</t>
  </si>
  <si>
    <t>PELOTA NEXGARD</t>
  </si>
  <si>
    <t>COLLAR GATO ANTIPULGAS Y GARRAPATAS</t>
  </si>
  <si>
    <t>BRIT CARE DOG GRAIN-FREE SENIOR &amp; LIGHT SALMON 12 KG</t>
  </si>
  <si>
    <t>ALMOHADILLA PARA LAMER CON VENTOSA DE FIJACION 1</t>
  </si>
  <si>
    <t>SNACK EN PASTA YELLOWFIN TUNA 15 G SACHET BIOLINE</t>
  </si>
  <si>
    <t>PALITOS DE CARNAZA ENVUELTO EN CONEJO 100 GR TASTY FARM</t>
  </si>
  <si>
    <t>FAWNA PERROS ADULTOS MEDIUM AND LARGE 15+3 KG</t>
  </si>
  <si>
    <t>BALLENA WARRIOR</t>
  </si>
  <si>
    <t>TROCITOS DE PATO 100 GRS TASTY FARM</t>
  </si>
  <si>
    <t>ARENA FIT BABY 10KG AGLUTINANTE</t>
  </si>
  <si>
    <t>POEMA SENIOR POLLO 3KG</t>
  </si>
  <si>
    <t>TIRITAS DE SALMON 100 GRS TASTY FARM</t>
  </si>
  <si>
    <t>N&amp;D PRIME FELINE CASTRADO FRANGO 7,5K</t>
  </si>
  <si>
    <t>N&amp;D Grano Ancestral Pollo para Perros Medianos</t>
  </si>
  <si>
    <t>N&amp;D Grano Ancestral Pollo para Perros Pequeños 2.5kg</t>
  </si>
  <si>
    <t>INDOMITABLE GALLETA DENTAL PEREJIL MENTA 180 GR</t>
  </si>
  <si>
    <t>ARENA FIT MOCCA 10KG AGLUTINANTE</t>
  </si>
  <si>
    <t>CALMING COLLARS PERRO PACK 3 GLOW IN THE DARK</t>
  </si>
  <si>
    <t>TRANSPORTADORA PLASTICA NEGRA 60x45x41</t>
  </si>
  <si>
    <t>INDOMITABLE GALLETA CREAMY GRAIN FREE VEGAN CHOCO MANZANA 120GR</t>
  </si>
  <si>
    <t>ARENERO PARA GATOS MEDIANO 49*34*22.5 AZUL</t>
  </si>
  <si>
    <t>PROPLAN ADULT CAT 7.5KG</t>
  </si>
  <si>
    <t>PROPLAN EXIGENT DOG SMALL BREED 3K</t>
  </si>
  <si>
    <t>JAULA HAMSTER 3 PISOS SIN TUBOS</t>
  </si>
  <si>
    <t>PREMIER COOKIE DOG ADULT SMALL COCO/AVEN 250GR</t>
  </si>
  <si>
    <t>JUGUETE COLGANTE DE PIEDRA POMEZ</t>
  </si>
  <si>
    <t>TRANSPORTADORA GIPSY L (GRIS/CELESTE)</t>
  </si>
  <si>
    <t>CEPILLO DE DIENTES SET BIOLINE</t>
  </si>
  <si>
    <t>JUGUETE PELUCHE CUERDA + PELOTA</t>
  </si>
  <si>
    <t>JUGUETE TURBO DOG PELOTA 6.3 CM</t>
  </si>
  <si>
    <t>BILJAC PUPPY LARGE BREED 13.6 KG</t>
  </si>
  <si>
    <t>3 PELOTAS ESTILO TENIS 6.3CM DISEÑO HUESOS</t>
  </si>
  <si>
    <t>3 PELOTAS ESTILO TENIS DISENO DEPORTE</t>
  </si>
  <si>
    <t>GEMON DOG BREEDER MINI AD.SAL/RICE 20 KG</t>
  </si>
  <si>
    <t>N&amp;D Granos Ancestrales Frango Kitten 1.5Kg</t>
  </si>
  <si>
    <t>SIFON DE GRAVA A BATERIA</t>
  </si>
  <si>
    <t>REPISA MADERA MASISA PARA GATOS 25*18CM</t>
  </si>
  <si>
    <t>VET EXPERT VETOSKIN 60 COMP</t>
  </si>
  <si>
    <t>ORGANEW 100 G</t>
  </si>
  <si>
    <t>ANDIS CUCHILLA ULTRAEDGE N°5FC</t>
  </si>
  <si>
    <t>COLLAR ANTI AHORQUE WONDER CAT (1*20-31 CM) DISEÑO OSITOS</t>
  </si>
  <si>
    <t>JOSERA PACK ON THE GO</t>
  </si>
  <si>
    <t>GEL CUIDADO DENTAL PERROS Y GATOS 100GR - BEAPHAR</t>
  </si>
  <si>
    <t>COLLAR WONDER CAT ANTI AHORQUE DISEÑO DE ESTRELLAS CON LAZO</t>
  </si>
  <si>
    <t>JUGUETE RATON CON COLA COLORES CON CATNIP (ROSADO)</t>
  </si>
  <si>
    <t>EASY CLEAN 8 KGS 10 LITROS - COFFEE</t>
  </si>
  <si>
    <t>EASY CLEAN 4 KGS 5 LITROS</t>
  </si>
  <si>
    <t>SACA PELUSA MASCOTAS NEXGARD</t>
  </si>
  <si>
    <t>FAWNA PERROS CACHORROS MEDIUM AND LARGE 3 KG</t>
  </si>
  <si>
    <t>PORTA MEDICINA PARA AVES</t>
  </si>
  <si>
    <t>PET IT SPRAY PROTECTOR E HIDRATANTE DE ALMOHADILLAS "RESTORE IT"</t>
  </si>
  <si>
    <t>VITOFTAL 50 ML</t>
  </si>
  <si>
    <t>CATCOMFORT SPRAY 60ML - BEAPHAR</t>
  </si>
  <si>
    <t>TRANSPORTADORA ANIMALES PEQUEÑOS N1 ROJO</t>
  </si>
  <si>
    <t>TRANSPORTADORA GIPSY L (GRIS/VERDE CLARO)</t>
  </si>
  <si>
    <t>COLLAR PERRO ANTIPULGAS Y GARRAPATAS</t>
  </si>
  <si>
    <t>ARENERO PARA GATOS MEDIANO 49*34*22.5 CAFE</t>
  </si>
  <si>
    <t>JAULA PLEGABLE 2 PUERTAS 124X75X82 CM</t>
  </si>
  <si>
    <t>PALITOS DE CARNAZA ENVUELTO EN PESCADO 100 GR TASTY FARM</t>
  </si>
  <si>
    <t>VET EXPERT RENALVET FRASCO 60 COMP.</t>
  </si>
  <si>
    <t>PROPLAN ADULT CAT 3KG</t>
  </si>
  <si>
    <t>PREMIER COOKIE DOG ADULT FIT POLLO/PAPA 250GR</t>
  </si>
  <si>
    <t>CHURU ROLLS CAT TUNA X 4 (USA731)</t>
  </si>
  <si>
    <t>TOPK9 AGLUTINANTE IONES TALCO BEBE 10 KG</t>
  </si>
  <si>
    <t>TRANSPORTADORA PLASTICA NEGRA 50x35x35</t>
  </si>
  <si>
    <t>FUENTE PARA PERRO 100 CM</t>
  </si>
  <si>
    <t>CHURU CAT VARIETY CHICKEN 14GR/60 TUB</t>
  </si>
  <si>
    <t>CHURU BROTH SALMON RECIPE (USA824)</t>
  </si>
  <si>
    <t>FAWNA GATOS KITTEN 3 KG</t>
  </si>
  <si>
    <t>CONEJERA (101.5*51*37.5 cm)</t>
  </si>
  <si>
    <t>FAWNA PERROS ADULTOS LIGHT 15 KG</t>
  </si>
  <si>
    <t>PELUCHE SALMON CON CATNIP 20CM</t>
  </si>
  <si>
    <t>VET EXPERT VETOMUNE 60 COMP</t>
  </si>
  <si>
    <t>POLVO ANTI ACAROS DE OIDO E INFECCIONES 30 GR BIOLINE</t>
  </si>
  <si>
    <t>PREMIER COOKIE DOG ADULT SMALL F ROJOS/AVEN 250GR</t>
  </si>
  <si>
    <t>PREMIER COOKIE PUPPY COCO/AVENA 250GR</t>
  </si>
  <si>
    <t>LETRINA CON MALLA 16 X 12 X 8 CMS - MORADO</t>
  </si>
  <si>
    <t>LETRINA CON MALLA 16 X 12 X 8 CMS - ROSADO</t>
  </si>
  <si>
    <t>EQUIFLEX 1L</t>
  </si>
  <si>
    <t>BIO BOLSAS MARBEN PETS (8 ROLLOS)</t>
  </si>
  <si>
    <t>PIPETA POWER</t>
  </si>
  <si>
    <t>PELUCHE MONSTRUITO 8CM CON CATNIP ROSADO</t>
  </si>
  <si>
    <t>JUGUETE PEZ WONDER CAT</t>
  </si>
  <si>
    <t>Vital fiber brush BANANA MOUNTAIN X8PCS/80G</t>
  </si>
  <si>
    <t>DOGUIVIT ADULTO 60 COMP</t>
  </si>
  <si>
    <t>COLLAR BAYTICOL 35 CM</t>
  </si>
  <si>
    <t>BEBEDERO COLGANTE PARA PEQUEÑA 350ML</t>
  </si>
  <si>
    <t>BAÑO ECOLOGICO PERRO EXTRA GRANDE (50*76 CM</t>
  </si>
  <si>
    <t>N&amp;D Grano Ancestral Pollo para Gatos Castrados</t>
  </si>
  <si>
    <t>PROPLAN LATA URINARY TRACT HEALTH BEEF CHICKEN 85GR</t>
  </si>
  <si>
    <t>HILLS CANINE ADULT &amp; TOY BREED 2.04 KG</t>
  </si>
  <si>
    <t>PROFINE GRAIN FREE SNACK CHICKEN 200 G</t>
  </si>
  <si>
    <t>INDOMITABLE GALLETA CRACKERS CARNE AHUMADA 130GR</t>
  </si>
  <si>
    <t>PUPPY TRAINER 120ML</t>
  </si>
  <si>
    <t>DOYPACK COLAGEPET PATO S 6 PCS</t>
  </si>
  <si>
    <t>DOYPACK COLAGEPET POLLO M 3 PCS</t>
  </si>
  <si>
    <t>BEBEDERO COLGANTE PARA PEQUEÑAS MASCOTAS 180 ML</t>
  </si>
  <si>
    <t>DRONTAL GATOS X 24 COMPRIMIDOS DISPLAY</t>
  </si>
  <si>
    <t>NEW FROST ADULT LIGHT MINI &amp; SMALL 15K</t>
  </si>
  <si>
    <t>HILLS CANINE K/D 3.85 KG DOG</t>
  </si>
  <si>
    <t>POEMA SALMON KRILL Y POLLO (TODAS LAS EDADES) 20K</t>
  </si>
  <si>
    <t>BRIT CARE ADULT SB LAMB 7.5 KG</t>
  </si>
  <si>
    <t>INDOMITABLE GALLETA PREBIOTICO GRAIN FREE JENGIBRE MANZANA180GR</t>
  </si>
  <si>
    <t>NEW FROST KITTEN 7.5 KG</t>
  </si>
  <si>
    <t>VARILLA CON PLUMAS (27 CM) ROSADO</t>
  </si>
  <si>
    <t>VARILLA DE MADERA CON ESTRELLA Y CINTAS</t>
  </si>
  <si>
    <t>Varilla pompom con plumas 47cm</t>
  </si>
  <si>
    <t>VARILLA PEZ DE COLORES 41 CM</t>
  </si>
  <si>
    <t>JAULA ACRILICA ALVIN LARGE - CELESTE</t>
  </si>
  <si>
    <t>INDOMITABLE GALLETA HORNEADA PUPPY CLASSIC 460GR</t>
  </si>
  <si>
    <t>HAMACA GRIS PARA GATO</t>
  </si>
  <si>
    <t>JOSERA JOSICAT CRISPY DUCK 1.9K</t>
  </si>
  <si>
    <t>LEONARDO LATA QUALITY SELECCION KITTEN 400GR</t>
  </si>
  <si>
    <t>OREJAS DE CONEJO 100 GRS TASTY FARM</t>
  </si>
  <si>
    <t>FAWNA GATOS ADULTOS 7.5 KG</t>
  </si>
  <si>
    <t>FAWNA GATOS ADULTOS URINARY 3 KG</t>
  </si>
  <si>
    <t>SOULPETS PERRO CELOS Y AGRESIVIDAD</t>
  </si>
  <si>
    <t>Flotador Sirena para perros XS</t>
  </si>
  <si>
    <t>ARNES MALLA TRANSPIRABLE + TRAILLA XXS</t>
  </si>
  <si>
    <t>RASCADOR 5 PISOS CASITA HAMACA BEIGE (61x51x146CM)</t>
  </si>
  <si>
    <t>PROPLAN STERILIZED CAT 7.5KG</t>
  </si>
  <si>
    <t>TRUTITOS DE POLLO CON HUESITO DE CALCIO 100 GRS TASTY FARM</t>
  </si>
  <si>
    <t>TRANSPORTADORA GIPSY S (NEGRA / GRIS)</t>
  </si>
  <si>
    <t>JUGUETE WOODY PALO DE CAFE CON PELOTA DE TENIS L</t>
  </si>
  <si>
    <t>BIONAUTIC FLAKES 1000 ML/ 200G</t>
  </si>
  <si>
    <t>ARNES TRAJE CON TRAILLA M NEGRO Y BLANCO</t>
  </si>
  <si>
    <t>FAWNA PERROS ADULTOS SMALL 3 KG</t>
  </si>
  <si>
    <t>AQUACID PH MINUS 250 ML</t>
  </si>
  <si>
    <t>PETBRILL SHAMPOO NEUTRO 500 ML</t>
  </si>
  <si>
    <t>BITES PATO 60 GRS PINK</t>
  </si>
  <si>
    <t>Leonardo latas quality Gatos TERNERA 400 GR</t>
  </si>
  <si>
    <t>LEONARDO LATA AVE 400G</t>
  </si>
  <si>
    <t>JUGUETE ARGOLLA DE GOMA DURA 16.5*3.2CM</t>
  </si>
  <si>
    <t>DROPS SURTIDOS VERSIÓN ECONÓMICA (VEGETAL) 75 GR</t>
  </si>
  <si>
    <t>ALFOMBRILLA RECTANGULAR ROSADO</t>
  </si>
  <si>
    <t>ALFOMBRILLA HUELLA GRIS</t>
  </si>
  <si>
    <t>TOPK9 BABY POWDER SCENT BLACK EDITION 15K</t>
  </si>
  <si>
    <t>ACANA CLASSIC WILD COAST 2K</t>
  </si>
  <si>
    <t>BASIC STICKS 1 L / 90 GR PELLET BLANCO TROPICAL</t>
  </si>
  <si>
    <t>VIRUTA ASAN PETIT 5L, (1.35K)</t>
  </si>
  <si>
    <t>CASA IGLU CONEJO (41X31X20 CM) ROJO</t>
  </si>
  <si>
    <t>PLATO DOBLE ACERO INOXIDABLE ANTI-HORMIGA NARANJO</t>
  </si>
  <si>
    <t>PLATO DOBLE ACERO INOXIDABLE ANTI-HORMIGA VERDE</t>
  </si>
  <si>
    <t>SMAKERS ECONOMIC FOR BUDGIE</t>
  </si>
  <si>
    <t>ESCONDITE DE TIMOTHY CON PETALOS</t>
  </si>
  <si>
    <t>Vital fiber brush PEAR PURPLE X8PCS/85G</t>
  </si>
  <si>
    <t>WEEKEND FOOD (SACHET 20 G)</t>
  </si>
  <si>
    <t>ALFOMBRA PARA GATOS DOBLE CAPA GRIS</t>
  </si>
  <si>
    <t>CATNIP BUBBLES</t>
  </si>
  <si>
    <t>SAPECA ADULTO 20 KG</t>
  </si>
  <si>
    <t>PREMIER COOKIE PUPPY FRUTOS ROJOS/AVENA 250GR</t>
  </si>
  <si>
    <t>Cepillo dientes para gato o pequeñas mascotas (4 pcs/set)</t>
  </si>
  <si>
    <t>Leonardo latas quality Gatos CONEJO 400 GR</t>
  </si>
  <si>
    <t>Leonardo latas quality Gatos HIGADO 400 GR</t>
  </si>
  <si>
    <t>TRANSPORTADORA ANIMALES PEQUEÑOS N1 VERDE</t>
  </si>
  <si>
    <t>LETRINA ERIZO HURON CON MALLA 35x24x19CM (ROSADO)</t>
  </si>
  <si>
    <t>KOI &amp; GOLDFISH BASIC STICKS 20 LT /1600 GR</t>
  </si>
  <si>
    <t>EQUIFORT JARABE 1L</t>
  </si>
  <si>
    <t>EQUILIBRIO ADULTO RAZA PEQUEÑA 2K</t>
  </si>
  <si>
    <t>PEZ CONCHONIUS</t>
  </si>
  <si>
    <t>LIMPIA PATAS GRANDE</t>
  </si>
  <si>
    <t>ENJUAGUE BUCAL PERROS Y GATOS 250ML - BEAPHAR</t>
  </si>
  <si>
    <t>JUGUETE RATON CON COLA COLORES CON CATNIP (ARCOIRIS)</t>
  </si>
  <si>
    <t>ALFOMBRILLA HUELLA ROSADA</t>
  </si>
  <si>
    <t>COMEDERO FORMA DE GATO DOBLE PATAS RETRACTIL 60ML - MORADO</t>
  </si>
  <si>
    <t>ALFOMBRILLA RECTANGULAR GRIS</t>
  </si>
  <si>
    <t>CAMA DISEÑO AZUL XL</t>
  </si>
  <si>
    <t>PELUCHE SALMON CON CATNIP 30CM</t>
  </si>
  <si>
    <t>FAWNA PERROS ADULTOS SMALL 7.5 KG</t>
  </si>
  <si>
    <t>COMEDERO O BEBEDERO INDIVIDUAL - ANTIDES. VERDE</t>
  </si>
  <si>
    <t>JAULA AVE OVAL GRANDE BLANCA (42 x 30 x 58 cm)</t>
  </si>
  <si>
    <t>JAULA AVE OVAL GRANDE CELESTE (42 x 30 x 58 cm)</t>
  </si>
  <si>
    <t>PALO PARA AVES S AMARILLO 10X3.5 CM</t>
  </si>
  <si>
    <t>OLD PRINCE NOVEL ADULTO M/L CORDERO Y ARROZ 15+3 KG</t>
  </si>
  <si>
    <t>JUGUETE DE FELPA CON CATNIP (ROSADO) 27CM</t>
  </si>
  <si>
    <t>BRAVERY SALMON ADULT CATSTERILIZED 2KG</t>
  </si>
  <si>
    <t>FILTRO INTERNO ACUARIO 20W-1000L/H</t>
  </si>
  <si>
    <t>REGEPIPEL PLUS 150 ML</t>
  </si>
  <si>
    <t>PACK DE PELOTAS DE CATNIP</t>
  </si>
  <si>
    <t>MATISSE FILHOTE X2KG</t>
  </si>
  <si>
    <t>FUENTE DE AGUA (18X18X16CM) 2L. USB ROSADO</t>
  </si>
  <si>
    <t>RASCADOR PARA ESQUINAS MUBLES CAFE OSCURO</t>
  </si>
  <si>
    <t>FIT SNACK TRUTRO POLLO DESHIDRATADO</t>
  </si>
  <si>
    <t>FUNDA MANTA CUBRE ASIENTO PARA AUTO (128*142 cm)</t>
  </si>
  <si>
    <t>PUERTA PERRO XL</t>
  </si>
  <si>
    <t>BURBUJAS CON ESENCIA DE TOCINO 120ML</t>
  </si>
  <si>
    <t>CALCETINES PARA PERROS M - GRIS</t>
  </si>
  <si>
    <t>JAULA AVE GRANDE S/N DIVISION</t>
  </si>
  <si>
    <t>BRIT CARE DOG CHICKEN &amp; INSECT SENIOR 12K</t>
  </si>
  <si>
    <t>Brit care cat grain-free senior weight control 2 kg</t>
  </si>
  <si>
    <t>BRIT CARE DOG CHICKEN &amp; INSECT ADULT MEDIUM BREED 12K</t>
  </si>
  <si>
    <t>PLATO INDIVIDUAL 18*5-4cm 67g 5 550 (10%) ROSADO</t>
  </si>
  <si>
    <t>GEMON CAT ADULT CHICKEN/TURKEY 2 KG</t>
  </si>
  <si>
    <t>POEMA ADULTO SALMON 12KG</t>
  </si>
  <si>
    <t>INDOMITABLE GALLETA DENTAL FRAMBUESA 180 GR</t>
  </si>
  <si>
    <t>INDOMITABLE GALLETA DENTAL CANELA JENGIBRE 180 GR</t>
  </si>
  <si>
    <t>CALMING COLLARS PERRO PACK 3</t>
  </si>
  <si>
    <t>POEMA ADULTO POLLO 3KG</t>
  </si>
  <si>
    <t>GOLDEN GATOS CASTRADOS SABOR POLLO 3KG</t>
  </si>
  <si>
    <t>PLATO MELAMINA DISENOS (RENO) 150 ml</t>
  </si>
  <si>
    <t>HEMOLITAN PET 60ML</t>
  </si>
  <si>
    <t>VARILLA DE MADERA CON PEZ Y CINTAS</t>
  </si>
  <si>
    <t>PUERTA PERRO L</t>
  </si>
  <si>
    <t>COLLAR CALMING PERRO</t>
  </si>
  <si>
    <t>PROPLAN LATA CLASSIC ADULT CHICKEN RICE 368G</t>
  </si>
  <si>
    <t>HILLS CANINE Z/D ULTRA ALERGENIC 3.63 KG</t>
  </si>
  <si>
    <t>Cojin Para Gatos O Cachorros S Beige</t>
  </si>
  <si>
    <t>ARNES HURONES CONEJOS ENANOS</t>
  </si>
  <si>
    <t>HUESO DE JIBIA EN DISPLAY (INCLUYE CLIP DE METAL)</t>
  </si>
  <si>
    <t>DISPENSADOR ALIMENTO 3.5 L BARRIL ROSADO</t>
  </si>
  <si>
    <t>BIO BOLSAS MARBEN PETS (16 ROLLOS)</t>
  </si>
  <si>
    <t>SENTRY PETRODEX VS DENTAL CARE KIT CAT MALT TOOTHPASTE</t>
  </si>
  <si>
    <t>IRCVET 60 COMPRIMIDOS</t>
  </si>
  <si>
    <t>Turbo ATP 1 Jer x 45 GR</t>
  </si>
  <si>
    <t>NIDO PARA GATO 60*40*30</t>
  </si>
  <si>
    <t>COCHE PARA MASCOTAS 4 RUEDAS ROJO</t>
  </si>
  <si>
    <t>SIMPARICA TRIO 2.5 - 5 KG X 3 COMP</t>
  </si>
  <si>
    <t>ULMOVET CU GEL TOPICO PERROS Y GATOS 30Gr</t>
  </si>
  <si>
    <t>EQUILIBRIO ADULT 18 K</t>
  </si>
  <si>
    <t>GASTROENTERIL 2.5% X 120ML ORAL</t>
  </si>
  <si>
    <t>CASA HAMSTER TECHO INCLINADO</t>
  </si>
  <si>
    <t>JUGUETE ARGOLLA DE GOMA DURA 16*5.5CM</t>
  </si>
  <si>
    <t>COLLAR S (1.0*20‐31 CM) DISEÑO ZIGZAG ROJO WONDER DOG</t>
  </si>
  <si>
    <t>HILLS CANINE ONC CARE LATA 12,5oz 354gr sabor POLLO</t>
  </si>
  <si>
    <t>JUGUETE BALON RUGBY SOLIDO GOMA DURA (16.5X7CM)</t>
  </si>
  <si>
    <t>OTIBACT GEL OTICO 5 GR</t>
  </si>
  <si>
    <t>RUEDA (FIBRA VEGETAL)</t>
  </si>
  <si>
    <t>DOYPACK COLAGEPET CARNE M 3 PCS</t>
  </si>
  <si>
    <t>CAT CALMING FEROMONAS KIT DIFUSOR CON RECARGAS</t>
  </si>
  <si>
    <t>Juguete con base y ave con plumas</t>
  </si>
  <si>
    <t>PASTA+ CEPILLO DENTAL PERROS Y GATOS 100GR BEAPHAR</t>
  </si>
  <si>
    <t>BRAMTON VB HYPO-ALLERGENIC SHAMPOO 500ML</t>
  </si>
  <si>
    <t>JUGUETE WOODY CUERDA CON MADERA 5-7 CM</t>
  </si>
  <si>
    <t>HUESO DE JIBIA GRANEL (15-17 CM)</t>
  </si>
  <si>
    <t>Brit Mini Light y Esterilizado – 2Kg</t>
  </si>
  <si>
    <t>NEW FROST ADULT MINI &amp; SMALL 2.5 KG</t>
  </si>
  <si>
    <t>N&amp;D PRIME FELINE KITTEN X1,5KG</t>
  </si>
  <si>
    <t>ZAPATOS PARA PERROS TELA Y VELCRO TALLA L VERDE</t>
  </si>
  <si>
    <t>HILLS CANINE W/D 3.85 KG</t>
  </si>
  <si>
    <t>COLGANTE LUMINOSO CIRCULAR PARA MASCOTAS (ROSADO)</t>
  </si>
  <si>
    <t>HIDROCORTISONA ACEPONATO SPRAY 76 ML</t>
  </si>
  <si>
    <t>COLLAR BAYTICOL 66 CM</t>
  </si>
  <si>
    <t>COLLAR GATO DISEÑOS (ANTI AHORQUE)</t>
  </si>
  <si>
    <t>COLLAR ISABELINO INFLABLE XL</t>
  </si>
  <si>
    <t>MOCHILA TRANSPORTADORA DE AVES Y PEQUEÑAS MASCOTAS ROJO 33x17x38 cm</t>
  </si>
  <si>
    <t>BRIT PATE Y MEAT SALMON 800G</t>
  </si>
  <si>
    <t>HILLS CANINE YOUTHFUL V SMALL Y MINI 3.5LB (1.59KG)</t>
  </si>
  <si>
    <t>PROFINE CAT SEMI MOIST SNACK DUCK GOJI 50G</t>
  </si>
  <si>
    <t>COLLAR ANTI PULGA Y GARRAPATAS PARA PERROS (MARGOSA + NARANJA DULCE)</t>
  </si>
  <si>
    <t>ARENA FIT LAVANDA 4 KG AGLUTINANTE</t>
  </si>
  <si>
    <t>LEONARDO LATA PATO 400GR</t>
  </si>
  <si>
    <t>CAMA VERANO VARIEDAD DISENOS 50*65*8.5 L ROSADO</t>
  </si>
  <si>
    <t>BEBEDERO COLGANTE PARA JAULA - CELESTE 500ML</t>
  </si>
  <si>
    <t>JUGUETE PEZ CON CATNIP CELESTE</t>
  </si>
  <si>
    <t>PETBRIL ELIMINADOR DE OLORES 2 L.</t>
  </si>
  <si>
    <t>ANDIS CUCHILLA ULTRAEDGE N°4FC</t>
  </si>
  <si>
    <t>CANICOMFORT SPRAY 60ML - BEAPHAR</t>
  </si>
  <si>
    <t>CRUSTA STICKS 100ML 70GR</t>
  </si>
  <si>
    <t>DOYPACK COLAGEPET CARNE L 1 PCS</t>
  </si>
  <si>
    <t>DOYPACK COLAGEPET MANÍ L 1 PCS</t>
  </si>
  <si>
    <t>CAMA VERANO VARIEDAD DISENOS 50*65*8.5 L CELESTE</t>
  </si>
  <si>
    <t>BAÑO PARA GATOS BIGCAT ROOMCAT ROSADO OSCURO Y CLARO</t>
  </si>
  <si>
    <t>BEBEDERO ROEDORES 250 ML BLISTER</t>
  </si>
  <si>
    <t>BIO BOLSAS MARBEN PETS (4 ROLLOS)</t>
  </si>
  <si>
    <t>ZAPATOS PARA PERROS TELA Y VELCRO TALLA L ROSA</t>
  </si>
  <si>
    <t>POEMA FELINO ADULTO ESTERILIZADO CONTROL PESO 7K</t>
  </si>
  <si>
    <t>POEMA ADULTO SALMON 3KG</t>
  </si>
  <si>
    <t>INDOMITABLE GALLETA CRACKERS CORDERO 130GR</t>
  </si>
  <si>
    <t>Traje para gatos talla s</t>
  </si>
  <si>
    <t>HELADO DE TIMOTHY Y FLORES 35GR</t>
  </si>
  <si>
    <t>TRAILLA PVC A PRUEBA DE AGUA L 2.5X130CM NEGRO-AZUL</t>
  </si>
  <si>
    <t>VARILLA GATO RESORTE Y PELOTITAS LILA</t>
  </si>
  <si>
    <t>GOOFY HUESO COMPACTO RAZA PEQ 6 UNIDADES 108 G</t>
  </si>
  <si>
    <t>POEMA SALMON KRILL Y POLLO (TODAS LAS EDADES) 3K</t>
  </si>
  <si>
    <t>COLLAR ISABELINO VELCRO (61x35x36)</t>
  </si>
  <si>
    <t>NANOVIT GRANULAT 10G</t>
  </si>
  <si>
    <t>POEMA SENIOR SALMON 12K</t>
  </si>
  <si>
    <t>POEMA SENIOR POLLO 12K</t>
  </si>
  <si>
    <t>BRIT PATE Y MEAT DUCK 400G</t>
  </si>
  <si>
    <t>HUESITOS DE CALCIO ENVUELTAS EN CORDERO 100 GRS TASTY FARM</t>
  </si>
  <si>
    <t>MINI BOLITAS DE CATNIP 110GR</t>
  </si>
  <si>
    <t>JAULA AVE IGLESIA SIMPLE</t>
  </si>
  <si>
    <t>TRANSPORTADORA KENNEL S (60*39*39 CM)</t>
  </si>
  <si>
    <t>PREMIER AMBIENTE INTERNO CAT ADULT POLLO 1.5KG</t>
  </si>
  <si>
    <t>TRANSPORTADORA KENNEL XXL (99*67*81CM)</t>
  </si>
  <si>
    <t>MANCUERNA DENTADA (5x13.5 cm)</t>
  </si>
  <si>
    <t>MANTA DISEÑO CAMUFLAJES TALLA M</t>
  </si>
  <si>
    <t>SOULPETS GATO SOLOS EN CASA</t>
  </si>
  <si>
    <t>POEMA SALMON KRILL Y POLLO (TODAS LAS EDADES) 12K</t>
  </si>
  <si>
    <t>GEMON CAT STERILIZED TUNA/SALMON 7 KG</t>
  </si>
  <si>
    <t>BRIT CARE DOG HYPOALLERGENIC WEIGHT LOSS RABBIT 3K</t>
  </si>
  <si>
    <t>PLATO INDIVIDUAL 21*5-8 cm 90 g 5 690 (10%) ROSADO</t>
  </si>
  <si>
    <t>PLATO INDIVIDUAL 15*13*5cm 45g VERDE</t>
  </si>
  <si>
    <t>MINI PASTEL FRUTOS SECOS Y CHOCOLATE 40 GR</t>
  </si>
  <si>
    <t>MINI PELUCHES CON CATNIP MODELOS SURTIDOS</t>
  </si>
  <si>
    <t>GEL EYE - GEL OCULAR - BEAPHAR</t>
  </si>
  <si>
    <t>MIJO BLANCO 25K</t>
  </si>
  <si>
    <t>JUGUETE ANTIMICROBIAL NYLON CAUCHO CARNE 7.25"</t>
  </si>
  <si>
    <t>PROFINE GRAIN FREE SNACK TURKEY 200 G</t>
  </si>
  <si>
    <t>PROFENDER SPOT HASTA 5 KG</t>
  </si>
  <si>
    <t>RASCADOR CAT TREE 45x28x17</t>
  </si>
  <si>
    <t>RASCADOR PARA ESQUINAS 50X50X138CM</t>
  </si>
  <si>
    <t>JAULA PERRO BLOQUEO 5 PUNTOS M (76x47.5x52.5 H)</t>
  </si>
  <si>
    <t>JAULA AVE (76 x 46 x 91 cm) NEGRA</t>
  </si>
  <si>
    <t>JAULA ARMABLE 27 PANELES</t>
  </si>
  <si>
    <t>OLD PRINCE PUPPY CORDERO 3 KG</t>
  </si>
  <si>
    <t>OWNAT JUST GRAIN FREE ADULT CHICKEN CAT 1 KG</t>
  </si>
  <si>
    <t>BRAVERY TUNA AND VEGETABLES ADULT DOG WET FOOD 80GR</t>
  </si>
  <si>
    <t>PELUCHE SONORO BURRO PARA PERRO (26x13 CM)</t>
  </si>
  <si>
    <t>CAMA INTERIOR DE TELA BLU TALLA S AZUL 45*35*15 CM</t>
  </si>
  <si>
    <t>OLD PRINCE SENIOR CORDERO 15 + 2 KG</t>
  </si>
  <si>
    <t>OLD PRINCE SUPER PREMIUM ADULTO MEDIANO Y GRANDE 15 KG</t>
  </si>
  <si>
    <t>RASCADOR ELEFANTE 20*20*28CM</t>
  </si>
  <si>
    <t>TRANSPORTADORA GIPSY S (NEGRA / MIEL)</t>
  </si>
  <si>
    <t>JUGUETE DE FELPA CON CATNIP (VERDE) 27CM</t>
  </si>
  <si>
    <t>Leonardo Adult Pato Gato 7.5 GR</t>
  </si>
  <si>
    <t>TRANSPORTADORA GIPSY XS (PUERTA PLASTICA) AMARILLO-GRIS</t>
  </si>
  <si>
    <t>MERA FINEST FIT SENIOR 4K</t>
  </si>
  <si>
    <t>PREMIER AMBIENTE INTERNO DOG SENIOR POLLO/SALMON 2.5KG</t>
  </si>
  <si>
    <t>PREMIER AMBIENTE INTERNO PUPPY POLLO/SALMON 2.5KG</t>
  </si>
  <si>
    <t>PREMIER AMBIENTE INTERNO CAT STERIL POLLO 1.5KG</t>
  </si>
  <si>
    <t>SOULPETS GATO VALOR Y CORAJE</t>
  </si>
  <si>
    <t>SUPER TUBO FLEXIBLE 200</t>
  </si>
  <si>
    <t>FRUIT SMAKERS FOR ZEBRA FINCH &amp; EXOTIC</t>
  </si>
  <si>
    <t>FLOTADOR PARA PERROS TIBURON XS</t>
  </si>
  <si>
    <t>PLATO INDIVIDUAL 15*13*5cm ROSADO</t>
  </si>
  <si>
    <t>PLATOS DOBLES ANTIVUELCOS M 28*16*5cm ROSADO</t>
  </si>
  <si>
    <t>Jaula ave iglesia extra (47x36x102 cm) Blanca</t>
  </si>
  <si>
    <t>GEMON CAT STERILIZED TUNA/SALMON 2KG</t>
  </si>
  <si>
    <t>SIMPARICA TRIO 40 - 60 KG X 1 COMP</t>
  </si>
  <si>
    <t>FELIWAY SPRAY 60 ML</t>
  </si>
  <si>
    <t>FEMUR VACUNO 1 U. (40CM APROX)</t>
  </si>
  <si>
    <t>FILTRO CASCADA DOPHIN 360 L/H</t>
  </si>
  <si>
    <t>REBANADAS DE VACUNO 100 GRS TASTY FARM</t>
  </si>
  <si>
    <t>BRAVERY LIGHT IBERIAN PORK MINI ADULT SB 2K</t>
  </si>
  <si>
    <t>PALA PET LITTER SCOOP CON ROLLO (29x9x13 cm)</t>
  </si>
  <si>
    <t>RASQUETA MEDIANA (con palanca expulsa pelos)</t>
  </si>
  <si>
    <t>ARENERO PARA GATOS 50.5*38*23 FELIX AZUL</t>
  </si>
  <si>
    <t>PATAGON RAW POLLO PERROS 40gr</t>
  </si>
  <si>
    <t>BOTELLA MULTIFUNCIONAL 3 EN 1 (AGUA COMIDA 10x10x26cm)</t>
  </si>
  <si>
    <t>SMALL WISEBONES SALMON WITH LEMON 200G</t>
  </si>
  <si>
    <t>SMAKERS FOR RODENTS/RABBI - POPCORN 90GR</t>
  </si>
  <si>
    <t>BRACCO TRAVEL 2 55 X 36 X 35</t>
  </si>
  <si>
    <t>BOMBA DE AIRE 2W-1.2L/MIN</t>
  </si>
  <si>
    <t>BOMBA SUMERGIBLE SUNSUN 500L/H 7W</t>
  </si>
  <si>
    <t>CAMA COLGANTE PARA PEQUEÑAS MASCOTAS</t>
  </si>
  <si>
    <t>CAMA DISEÑO ESCOSES</t>
  </si>
  <si>
    <t>CONDROVET 30 COMP</t>
  </si>
  <si>
    <t>FAWNA GATOS KITTEN 1 KG</t>
  </si>
  <si>
    <t>FAWNA PERROS ADULTOS LIGHT 3 KG</t>
  </si>
  <si>
    <t>FAWNA PERROS ADULTOS MEDIUM AND LARGE 15 KG</t>
  </si>
  <si>
    <t>FAWNA PERROS ADULTOS MEDIUM AND LARGE 3 KG</t>
  </si>
  <si>
    <t>CATCOMFORT SPRAY POCKET 30ML - BEAPHAR</t>
  </si>
  <si>
    <t>CATNIP BURBUJAS 120 ML</t>
  </si>
  <si>
    <t>JUGUETE PARA MASCOTAS PELUCHE PIEL DE CEBRA SON SONIDO</t>
  </si>
  <si>
    <t>JUGUETE PARA PERRO (PEZ VERDE 30CM)</t>
  </si>
  <si>
    <t>PREMIER NUTRICION CLINICA CAT OBESITY ADULT 1.5KG</t>
  </si>
  <si>
    <t>JUGUETE DE ALGODON EN FORMA DE HUESO CON PELOTAS DE FIELTRO</t>
  </si>
  <si>
    <t>JUGUETE CONEJO ROSA DE PELUCHE PARA MASCOTAS CON SONIDO 27x11.5 CM</t>
  </si>
  <si>
    <t>TUBO RECTO XL PARA HURONES ROSADO</t>
  </si>
  <si>
    <t>ACANA INDOOR ENTREE CAT 1.8 KG</t>
  </si>
  <si>
    <t>CASA PERRO POPULAR STYLE L</t>
  </si>
  <si>
    <t>CHAPA MASCOTAS PARA GRABAR PT117</t>
  </si>
  <si>
    <t>CERENIA 24MG - 4 COMP</t>
  </si>
  <si>
    <t>PREMIER NUTRICION CLINICA CAT RENAL ADULT 1.5KG</t>
  </si>
  <si>
    <t>SEMILLAS DE MARAVILLA 1K</t>
  </si>
  <si>
    <t>BIO BOLSAS MARBEN PETS CON ESTUCHE (2 ROLLOS)</t>
  </si>
  <si>
    <t>LEONARDO KITTEN GRAIN FREE 1.8K</t>
  </si>
  <si>
    <t>CASA IGLU HAMSTER (15X15X9 CM) AZUL</t>
  </si>
  <si>
    <t>BOLSO PARA BOCADILLOS (6x10x12 cm ROJO)</t>
  </si>
  <si>
    <t>PIPETA POWER ULTRA 21-40 KG</t>
  </si>
  <si>
    <t>PLATO ACERO INOXIDABLE PINTADO Y DISEÑOS 710 ML</t>
  </si>
  <si>
    <t>JUGUETE PEZ WARRIOR (13.5*4cm /90G) (Saborizado: Tocino)</t>
  </si>
  <si>
    <t>JUGUETE VARILLA CONEJITO ROSADO 40CM</t>
  </si>
  <si>
    <t>JUGUETE WOODY CHEW STICK L</t>
  </si>
  <si>
    <t>BOLA DE CATNIP EN JAULA DE DENTAL STICKS</t>
  </si>
  <si>
    <t>LEONARDO KITTEN GRAIN FREE 7.5K</t>
  </si>
  <si>
    <t>JUGUETE WOODY CHEW CHUNK L</t>
  </si>
  <si>
    <t>JUGUETE WOODY CHEW STICK M</t>
  </si>
  <si>
    <t>PREMIER NUTRICION CLINICA DOG OBESITY ADULT SMALL 2KG</t>
  </si>
  <si>
    <t>PREMIER NUTRICION CLINICA DOG HYPO ADULT SMALL 2 KG</t>
  </si>
  <si>
    <t>PREMIER NUTRICION CLINICA DOG RENAL ADULT SMALL 2KG</t>
  </si>
  <si>
    <t>JUGUETE PERRO CONEJO SUPER REALISTA</t>
  </si>
  <si>
    <t>JUGUETE PELUCHE ERIZO CON CATNIP (CAFE) 10CM</t>
  </si>
  <si>
    <t>ESPUMA LIMPIA PATAS PERROS</t>
  </si>
  <si>
    <t>SABANILLA CARBON 60X60 30 UNI</t>
  </si>
  <si>
    <t>CORREA + ARNÉS PREMIUM GATO ROCAS AZUL</t>
  </si>
  <si>
    <t>PIPETA POWER ULTRA 41-60KG</t>
  </si>
  <si>
    <t>APOQUEL 3.6 MG X 20 MG</t>
  </si>
  <si>
    <t>PESCADITO ENVUELTO EN POLLO 100 GRS TASTY FARM</t>
  </si>
  <si>
    <t>PET DREAM SOFT BLUE</t>
  </si>
  <si>
    <t>VITADRAG PASTA DISPLAY 90 G</t>
  </si>
  <si>
    <t>ZEEL 100 COMP</t>
  </si>
  <si>
    <t>ALFOMBRILLA HUELLA VERDE</t>
  </si>
  <si>
    <t>PARACAN PLUS 60 COMPRIMIDOS</t>
  </si>
  <si>
    <t>Cojin Para Gatos O Cachorros M Rosado Claro</t>
  </si>
  <si>
    <t>BRIT CARE DOG CHICKEN &amp; INSECT ADULT LARGE BREED 3K</t>
  </si>
  <si>
    <t>ADAPTIL DIFUSOR 48 ML + REPUESTO 48 ML</t>
  </si>
  <si>
    <t>TROPIFIT NATURALS - HIERBA TIMOTHY GRANULADA 600G</t>
  </si>
  <si>
    <t>TIMOTHY SNACK BOWL M</t>
  </si>
  <si>
    <t>ARNES GUAU GUARD XS AZUL</t>
  </si>
  <si>
    <t>CONTENEDOR PARA ALIMENTOS 2.5L</t>
  </si>
  <si>
    <t>DIARREPAS X 100ML ORAL</t>
  </si>
  <si>
    <t>RUEDA METALICA ERIZO (30cm diametro, 13 cm ancho) VERDE</t>
  </si>
  <si>
    <t>JUGUETE PELUCHE CON CATNIP (SUSHI SESAMO) 10CM</t>
  </si>
  <si>
    <t>SILIMARINA X 90 COMP</t>
  </si>
  <si>
    <t>TRAILLA PVC A PRUEBA DE AGUA L 2.5X130CM VERDE-MORADO</t>
  </si>
  <si>
    <t>BRIT CARE DOG GRAIN FREE JUNIOR LARGE BREED SALMON 12 KG</t>
  </si>
  <si>
    <t>COOLPET SHAMPOO SIN EJUAGUE PARA GATO</t>
  </si>
  <si>
    <t>METRICINA X 10 COMP</t>
  </si>
  <si>
    <t>MERA FINEST FIT STERILIZED 4K</t>
  </si>
  <si>
    <t>CAMA EXTRA RELLENO MOSTAZA-ROSADO S (40X35X15)</t>
  </si>
  <si>
    <t>POEMA CACHORRO SALMON 3KG</t>
  </si>
  <si>
    <t>KIT INICIO FAWNA PUPPY</t>
  </si>
  <si>
    <t>BRIT CARE DOG HYPOALLERGENIC ADULT SMALL BREED LAMB 3KG</t>
  </si>
  <si>
    <t>BRIT CARE DOG HYPOALLERGENIC JUNIOR LARGE BREED LAMB 3K</t>
  </si>
  <si>
    <t>KETUNPET ADULTO MEDIANO 10KG</t>
  </si>
  <si>
    <t>BRIT CARE DOG HYPOALLERGENIC PUPPY LAMB 1 KG</t>
  </si>
  <si>
    <t>JUGUETE ZANAHORIA CARRUSEL 6X4,5 CM</t>
  </si>
  <si>
    <t>ARNES CON CORREA PARA PERROS Y GATOS XS BEIGE</t>
  </si>
  <si>
    <t>LEONARDO KITTEN 1.8 K</t>
  </si>
  <si>
    <t>BRIT CRUNCHY SNACK INSECTS WITH SALMON 200 GR</t>
  </si>
  <si>
    <t>LEROY GRILLE DE CARNES 1 KG GATO</t>
  </si>
  <si>
    <t>BRIT PATE Y MEAT PUPPY 400G</t>
  </si>
  <si>
    <t>CAMA INTERIOR DE TELA BLU TALLA S NEGRO 45*35*15 CM</t>
  </si>
  <si>
    <t>CAMA EXTRA RELLENO NEGRO-GRIS M (55X45X16)</t>
  </si>
  <si>
    <t>CAMA DE TELA OXFORD, INTERIOR DE FELPA TALLA L 100*70*22 CM</t>
  </si>
  <si>
    <t>MOCHILA TRANSPORTADORA DE AVES Y PEQUEÑAS MASCOTAS NEGRO 33x17x38 cm</t>
  </si>
  <si>
    <t>NATURALISTIC MEATBALLS SALMON AND SWEET POTATO 100GR</t>
  </si>
  <si>
    <t>ALIMENTADOR DE COLIBRIES</t>
  </si>
  <si>
    <t>PLATOS DOBLES ANTIVUELCOS S (23*13*4cm) CELESTE</t>
  </si>
  <si>
    <t>PLATO DOBLE ANTIHORMIGAS 152 GRM</t>
  </si>
  <si>
    <t>ARENA SANITARIA LEO LAVANDA 7 KG</t>
  </si>
  <si>
    <t>NATURALISTIC TASTY BEEF BURGER WITH BBQ 220 grs, 5 U.</t>
  </si>
  <si>
    <t>POLLO CHILLON S 17 CM</t>
  </si>
  <si>
    <t>MAMADERA 60ML AMARILLO</t>
  </si>
  <si>
    <t>MERA FINEST FIT STERILIZED 10K</t>
  </si>
  <si>
    <t>CAMA EXTRA RELLENO MOSTAZA-ROSADO M (55X45X16)</t>
  </si>
  <si>
    <t>NEW FROST PUPPY MINI &amp; SMALL 15K</t>
  </si>
  <si>
    <t>TRAUMEEL X 250 COMP</t>
  </si>
  <si>
    <t>TRAUMEEL X 100 COMP</t>
  </si>
  <si>
    <t>CAMA ACOLCHADA CUADROS AZUL S (40X40X16)</t>
  </si>
  <si>
    <t>CALMING COLLAR PERRO - BEAPHAR</t>
  </si>
  <si>
    <t>CALCETINES PARA PERROS M - ROSADO</t>
  </si>
  <si>
    <t>MINI HAMSTER 150 GRAMOS TROPIFIT</t>
  </si>
  <si>
    <t>ARENERO ECO VERDE</t>
  </si>
  <si>
    <t>BRIT CARE DOG HYPOALLERGENIC ADULT MEDIUM BREED LAMB 3 KG</t>
  </si>
  <si>
    <t>MERA EXKLUSIV SENSITIVE SENIOR TRUTHAHN &amp; REIS 15K</t>
  </si>
  <si>
    <t>MASTIG BARRAS FUNCIONALES PARA PERROS</t>
  </si>
  <si>
    <t>CASA IGLU HAMSTER (15X15X9 CM) VERDE</t>
  </si>
  <si>
    <t>JUGUETE PELUCHE PATITA DE GATO (NEGRO) 33CM</t>
  </si>
  <si>
    <t>JUGUETE PELUCHE ERIZO CON CATNIP (BLANCO) 10CM</t>
  </si>
  <si>
    <t>JUGUETE PARA PERRO (PEZ AZUL 30CM)</t>
  </si>
  <si>
    <t>JUGUETE PARA PERRO (LOBO 23x15x23CM)</t>
  </si>
  <si>
    <t>JUGUETE PARA MASTICAR FORMA ERIZO (12X8X8CM)</t>
  </si>
  <si>
    <t>JUGUETE PELUCHE ELEFANTE 20X15CM</t>
  </si>
  <si>
    <t>ALFOMBRA OLFATIVA PARA PERROS 70X70CM</t>
  </si>
  <si>
    <t>ALFOMBRA OLFATIVA PARA PERRO ERIZO 32*16cm</t>
  </si>
  <si>
    <t>PREMIER NUTRICION CLINICA CAT URINARY ADULT 1.5KG</t>
  </si>
  <si>
    <t>CADENA DE AMARRE 3.5 MM</t>
  </si>
  <si>
    <t>JUGUETE ELECTRO INSECTO PARA GATOS ( GRILLO VERDE )</t>
  </si>
  <si>
    <t>JUGUETE CIRCULO ESPIRAL CON PLUMAS PARA GATOS 5 CM</t>
  </si>
  <si>
    <t>JUGUETE BOLA FELPA LUMINOSA 5.5CM ROSADO</t>
  </si>
  <si>
    <t>TRANSPORTADOR ACRIL. MINI TORTUGA (18x13x11 cm) AZUL</t>
  </si>
  <si>
    <t>TRAMPA PARA CARACOLES</t>
  </si>
  <si>
    <t>ARNES WONDER DOUMM S MILITAR</t>
  </si>
  <si>
    <t>CHAPA MASCOTAS PARA GRABAR PT121</t>
  </si>
  <si>
    <t>CHAPA MASCOTAS PARA GRABAR PT144</t>
  </si>
  <si>
    <t>PREMIER AMBIENTE INTERNO CAT STERIL POLLO 7.5KG</t>
  </si>
  <si>
    <t>JUGUETE PELUCHE CUY CON CATNIP (CAFE) 10CM</t>
  </si>
  <si>
    <t>JUGUETE ZORRO MAPACHE ARDILLA CON SONIDO 45x15 cm</t>
  </si>
  <si>
    <t>CALMING COLLARS PERRO PACK 4</t>
  </si>
  <si>
    <t>ALGIN 100 ML</t>
  </si>
  <si>
    <t>ALGAE TABLETS B 250 ML 150 GR</t>
  </si>
  <si>
    <t>ALFOMBRILLA RECTANGULAR CALIPSO</t>
  </si>
  <si>
    <t>JUGUETE TURBO DOG HUESO 15 CM</t>
  </si>
  <si>
    <t>CASA IGLU CONEJO (41X31X20 CM) AZUL</t>
  </si>
  <si>
    <t>CASA HAMSTER SIMPLE VERDE</t>
  </si>
  <si>
    <t>CANVIT HEALTH CARE URINARY CAT 100 G</t>
  </si>
  <si>
    <t>CAMISETA ALGODON SIN MANGAS XL</t>
  </si>
  <si>
    <t>CAMA M NARANJO/GRIS CLARO REDONDA</t>
  </si>
  <si>
    <t>CAMA PERRO ACOLCHADA VERDE S</t>
  </si>
  <si>
    <t>CASA PARA GATOS 2 PISOS CON HAMACA</t>
  </si>
  <si>
    <t>CAMA INTERIOR DE TELA BLU TALLA M AZUL 53*45*15 CM</t>
  </si>
  <si>
    <t>CAMA PARA MASCOTA 80*60*10</t>
  </si>
  <si>
    <t>CAMA INTERIOR DE TELA BLU TALLA S ROJO 45*35*15 CM</t>
  </si>
  <si>
    <t>LAXAVET PASTA ORAL X 40GR</t>
  </si>
  <si>
    <t>ARNES CHESTPLATE L ROJO - EZYDOG</t>
  </si>
  <si>
    <t>LEONARDO ADULT LIGHT &amp; STERILISED 1.8K</t>
  </si>
  <si>
    <t>LARGE WISEBONES VENISON WITH ROSEMARY 2 UN</t>
  </si>
  <si>
    <t>KIT VARRE XIXI 250 GRS + ESCOBA + PALA</t>
  </si>
  <si>
    <t>CATNIP SPRAY 50 ML</t>
  </si>
  <si>
    <t>CATCOMFORT REFILL 48ML - BEAPHAR</t>
  </si>
  <si>
    <t>CAT GRASS KIT</t>
  </si>
  <si>
    <t>ARNES WONDERDOG L CAMUFLAJE CUADRADO</t>
  </si>
  <si>
    <t>BOLA GIRATORIA DE CATNIP VERDE</t>
  </si>
  <si>
    <t>BODY COBRE PERRO/GATO 25-30KG T-10 KIMBA</t>
  </si>
  <si>
    <t>BODY COBRE PERRO/GATO 13-17KG T-7 KIMBA</t>
  </si>
  <si>
    <t>PETEVER ORAL PLUS SOLUCION 100 ML</t>
  </si>
  <si>
    <t>PETBRIL SHAMPOO SENSITIVE SIN PERFUME 500ML</t>
  </si>
  <si>
    <t>PELUCHE SONORO ERIZO (20x13 CM)</t>
  </si>
  <si>
    <t>PET DREAM SOFT PINK</t>
  </si>
  <si>
    <t>PATAGON RAW CORAZON CORDERO GATOS 35gr</t>
  </si>
  <si>
    <t>BRAVERY LAMB MINI ADULT SB 2KG</t>
  </si>
  <si>
    <t>BRAVERY IBERIAN PORK MINI ADULT SB 2KG</t>
  </si>
  <si>
    <t>PLATOS DOBLES ANTIVUELCOS S (23*13*4cm ) ROSADO</t>
  </si>
  <si>
    <t>BOMBA SUMERGIBLE SUNSUN 1500L/H 25W</t>
  </si>
  <si>
    <t>Bomba SUNSUN 10.000 L/H (A.max: 6 m)</t>
  </si>
  <si>
    <t>BOMBA SUMERGIBLE SUNSUN 900L/H 20W</t>
  </si>
  <si>
    <t>BOLSO PET GO ROSADO M (40x21x27 cm)</t>
  </si>
  <si>
    <t>BOLSO PET GO ROSADO L (50x22x30 cm)</t>
  </si>
  <si>
    <t>BOLSO PET CLASS BICOLOR AMARILLO BLANCO (40x26x25 cm)</t>
  </si>
  <si>
    <t>Plato Alimentacion Lenta Redondo Pet In Care Celeste</t>
  </si>
  <si>
    <t>PLATO ALIMENTACION LENTA #1</t>
  </si>
  <si>
    <t>PLATO ACERO INOXIDABLE TALLA M</t>
  </si>
  <si>
    <t>PLACA ID PARA GRABAR (AZUL) 3 CM</t>
  </si>
  <si>
    <t>PLACA PARA GRABADO ANIMALES 4.7 X 3 CM</t>
  </si>
  <si>
    <t>BRACCO TRAVEL 7 REJILLA METÁLICA</t>
  </si>
  <si>
    <t>PEZ ZEBRA</t>
  </si>
  <si>
    <t>PIEDRAS REMOVEDORAS DE AMONIACO 500G</t>
  </si>
  <si>
    <t>PEZ PLATTY CELESTE</t>
  </si>
  <si>
    <t>PEZ MOLLY ALBINA</t>
  </si>
  <si>
    <t>PEZ PELUCHE (CARGADOR USB) NEMO COLOR NARANJA</t>
  </si>
  <si>
    <t>PEZ PELUCHE (CARGADOR USB) KOI SANKE COLOR BLANCO</t>
  </si>
  <si>
    <t>PEZ PAYASO WARRIOR</t>
  </si>
  <si>
    <t>PEZ ESPADA NEGRO</t>
  </si>
  <si>
    <t>PEZ ESPADA AMARILLA</t>
  </si>
  <si>
    <t>VITA-VETC 30ML</t>
  </si>
  <si>
    <t>3 PELOTAS DE TENIS DE 6.3CM CON SONIDO BICOLOR</t>
  </si>
  <si>
    <t>BODY COBRE PERRO/GATO 6-7.5KG T-4 KIMBA</t>
  </si>
  <si>
    <t>ZAPATOS PARA PERROS TELA Y VELCRO TALLA XL ROSA</t>
  </si>
  <si>
    <t>VOLT COLLAR LARGE</t>
  </si>
  <si>
    <t>WAFFLE STRANGER TOY ZEEDOG</t>
  </si>
  <si>
    <t>Peluches rellenos con hierba gatera</t>
  </si>
  <si>
    <t>PELUCHE SONORO PAVO PARA PERRO (15x46.5 CM)</t>
  </si>
  <si>
    <t>BOLSO PARA GATOS CON CUPULA AZUL (44x28x25 cm)</t>
  </si>
  <si>
    <t>BOLSO PARA MASCOTAS MILITAR S</t>
  </si>
  <si>
    <t>BOLSO PARA BOCADILLOS (6x10x12 cm ROSADO)</t>
  </si>
  <si>
    <t>BAÑO CERRADO PARA GATOS MICIA CAFE</t>
  </si>
  <si>
    <t>BOLA DE RATAN CON PLUMAS (5CM)</t>
  </si>
  <si>
    <t>BODY COBRE PERRO/GATO 7.5-10KG T-5 KIMBA</t>
  </si>
  <si>
    <t>VIRUTA ASAN PET SILVER 42L, (8.7K)</t>
  </si>
  <si>
    <t>ORIJEN ORIGINAL CAT 1.8 KG GATO</t>
  </si>
  <si>
    <t>OLD PRINCE EQUILIBRIUM GATO ADULTO ESTERILIZADO 7.5K</t>
  </si>
  <si>
    <t>OLD PRINCE EQUILIBRIUM GATITOS 3K</t>
  </si>
  <si>
    <t>OLD PRINCE SMALL BREED CORDERO 7.5 KG</t>
  </si>
  <si>
    <t>PASTA DE DIENTES PARA GATOS SABOR QUESO 50G</t>
  </si>
  <si>
    <t>PARKA IMPERMEABLE COLORES L</t>
  </si>
  <si>
    <t>NUP! PETS BEAUTY &amp; SKIN 120GR</t>
  </si>
  <si>
    <t>ARENA SILICA GEL</t>
  </si>
  <si>
    <t>NEXGARD 11.3 MG X 1 COMP 2 - 4 KG</t>
  </si>
  <si>
    <t>APOQUEL 5.4 MG X 20 MG</t>
  </si>
  <si>
    <t>BRIT CARE MINI GF YORKSHIRE 2 KG</t>
  </si>
  <si>
    <t>BRIT CARE DOG GRAIN FREE PUPPY SALMON 3 KG</t>
  </si>
  <si>
    <t>Varilla ratones de tela 47cm</t>
  </si>
  <si>
    <t>ACUARIO 60 LITROS NEGRO</t>
  </si>
  <si>
    <t>VARILLA LENTEJUELAS Y COLA AMARILLO</t>
  </si>
  <si>
    <t>VARILLA CON PLUMAS (27 CM) CELESTE</t>
  </si>
  <si>
    <t>UNIVERSAL COSMETICS WIPES</t>
  </si>
  <si>
    <t>JUGUETE PARA MASCOTAS VACA-CERDO-PERRO CON SONIDO</t>
  </si>
  <si>
    <t>PLATOS DOBLES ANTIVUELCOS M 28*16*5cm VERDE</t>
  </si>
  <si>
    <t>PLATOS DOBLES ANTIVUELCOS M 28*16*5cm CELESTE</t>
  </si>
  <si>
    <t>POEMA CACHORRO POLLO 12KG</t>
  </si>
  <si>
    <t>NEW FROST TECHNICAL ALL BREEDS 15K</t>
  </si>
  <si>
    <t>PALA PORUÑA GRIS (28x11x8cm)</t>
  </si>
  <si>
    <t>PALO PARA AVES L AMARILLO 15X3.5 CM</t>
  </si>
  <si>
    <t>OWNAT JUST GRAIN FREE STERILIZED CAT 3 KG</t>
  </si>
  <si>
    <t>VETLIFE FELINE OBESITY 2KG</t>
  </si>
  <si>
    <t>VESTIDO MERRY CHRISTMAS ROJO XL - 38 CM</t>
  </si>
  <si>
    <t>BRAVERY HERRING MINI ADULT SMALL BREEDS 2KG</t>
  </si>
  <si>
    <t>BRAVERY HERRING ADULT CAT STERILIZED 2 KG</t>
  </si>
  <si>
    <t>BRAVERY SALMON MINI PUPPY SB 7KG</t>
  </si>
  <si>
    <t>BAMBU TEJIDO + PAPEL PICADO EN TIRAS PARA AVES</t>
  </si>
  <si>
    <t>BRAVERY CHICKEN ADULT LARGE/MEDIUM BREEDS 12KG</t>
  </si>
  <si>
    <t>PELUCHE SONORO OSO PARA PERRO (23x18.5 CM)</t>
  </si>
  <si>
    <t>ORIJEN PUPPY 10.7 KG PERRO</t>
  </si>
  <si>
    <t>PELOTA BEISBOL DENTAL CON CUERDA DE ALGODON GRANDE</t>
  </si>
  <si>
    <t>PATAGON RAW POLLO GATOS 35gr</t>
  </si>
  <si>
    <t>PATAGON RAW LOMO PERROS 40gr</t>
  </si>
  <si>
    <t>AMPOLLETA DE CERAMICA 50W</t>
  </si>
  <si>
    <t>PLATO MELAMINA ACERO INOX 340 ml (GATO CAFE)</t>
  </si>
  <si>
    <t>PLATO INDIVIDUAL 21*5-8 cm 90 g 5 690 (10%) CELESTE</t>
  </si>
  <si>
    <t>PLATO DOBLE ANTIHORMIGAS 285</t>
  </si>
  <si>
    <t>BRIT CARE DOG CHICKEN &amp; INSECT ADULT MEDIUM BREED 1K</t>
  </si>
  <si>
    <t>BRIT CARE DOG HYPOALLERGENIC ADULT MEDIUM BREED LAMB 1 KG</t>
  </si>
  <si>
    <t>BRAVERY SALMON PUPPY LARGE/MEDIUM 4KG</t>
  </si>
  <si>
    <t>OLD PRINCE NOVEL GATO STERILIZED CORDERO Y ARROZ 3K</t>
  </si>
  <si>
    <t>PELOTA CROSS TREAT TURBODOG</t>
  </si>
  <si>
    <t>FILTRO UV EXTERNO CANISTER 1400 L/H</t>
  </si>
  <si>
    <t>FILTRO INTERNO ACUARIO 30W-1500L/H</t>
  </si>
  <si>
    <t>FILTRO INTERNO ACUARIO 25W-1200L/H</t>
  </si>
  <si>
    <t>FILTRO CANISTER EXTERNO UV 5W 800L/HR</t>
  </si>
  <si>
    <t>FILTRO ACUARIO EXTERNO CICLONICO</t>
  </si>
  <si>
    <t>FELLINI ALIM HUM SALMON LIGHT X 85 GR</t>
  </si>
  <si>
    <t>FELIWAY FRIENDS REPÚESTO 48 ML</t>
  </si>
  <si>
    <t>FELIWAY CLASSIC REPUESTO 48 ML</t>
  </si>
  <si>
    <t>Flotador para Perro Pequeño Rosado</t>
  </si>
  <si>
    <t>FIT ROLLO X 2 UNID</t>
  </si>
  <si>
    <t>JUEGUETE HUESO DE TELA DE OXFORD</t>
  </si>
  <si>
    <t>EQUILIBRIO ADULT 15K</t>
  </si>
  <si>
    <t>ECO LOCION LAVANDA TRAPER VAL/DOS X 250 ML</t>
  </si>
  <si>
    <t>FELIWAY CLASSIC DIFUSOR 48 ML + REPUESTO 48 ML</t>
  </si>
  <si>
    <t>FAWNA GATOS ADULTOS 3 KG</t>
  </si>
  <si>
    <t>CONTENEDOR GATO JOSERA</t>
  </si>
  <si>
    <t>CONEJERA R1 (60x36x32) GRIS</t>
  </si>
  <si>
    <t>CONEJERA (69*44*36.5 cm)</t>
  </si>
  <si>
    <t>COMEDERO PARA ROEDORES EDO - MARCHIORO</t>
  </si>
  <si>
    <t>COMEDERO AUTOMATICO REDONDO LILA</t>
  </si>
  <si>
    <t>COMEDERO AUTOMATICO REDONDO VERDE OSCURO</t>
  </si>
  <si>
    <t>SMAKERS EXCELLENT COBAYOS 110GR</t>
  </si>
  <si>
    <t>EQUILIBRIO GATO ADULTO CASTRADO+7 AÑOS 1.5 K</t>
  </si>
  <si>
    <t>GEMON CAT ADULT COMPLETE CHICKEN/TURKEY 7 KG</t>
  </si>
  <si>
    <t>HEMOLITAN PET 30ML</t>
  </si>
  <si>
    <t>AGILITY PERRO ADULTO 20 KG</t>
  </si>
  <si>
    <t>REPISA PUENTE DE MADERA PARA GATOS 75 CM</t>
  </si>
  <si>
    <t>RASQUETA PEQUEÑA NEGRA</t>
  </si>
  <si>
    <t>COLLAR TACTICO REFORZADO Y ASA L CELESTE</t>
  </si>
  <si>
    <t>COLLAR REFRESCANTE TALLA M</t>
  </si>
  <si>
    <t>ADORNO ESTRELLA DE MAR 8.6x7.5x5.5 cm.</t>
  </si>
  <si>
    <t>SMASH LEASH LARGE ZEEDOG</t>
  </si>
  <si>
    <t>COLLAR PROTECCION ANTI-LAMIDO DISEÑO DONAS M</t>
  </si>
  <si>
    <t>FIT HUESOS PALOS GRANDES X 8 UNID</t>
  </si>
  <si>
    <t>RASCADOR FORMA DE LEON 51*16.5*18CM</t>
  </si>
  <si>
    <t>RASCADOR BURRO 20*20*28CM</t>
  </si>
  <si>
    <t>Flotador para Perro Pequeño Naranja</t>
  </si>
  <si>
    <t>FUENTE DE AGUA PARA GATOS EN FORMA DE FLOR 1.6 LT AZUL</t>
  </si>
  <si>
    <t>FROST SENSITIVE SKIN 2.5 KG</t>
  </si>
  <si>
    <t>COLLAR XL DISEÑO CANDY</t>
  </si>
  <si>
    <t>COLLAR WONDER CAT ANTI AHORQUE- LUNAS VERDE</t>
  </si>
  <si>
    <t>COLLAR TACTICO REFORZADO Y ASA XL NEGRO</t>
  </si>
  <si>
    <t>COLLAR TACTICO REFORZADO Y ASA M CELESTE</t>
  </si>
  <si>
    <t>COLLAR TACTICO REFORZADO Y ASA L NEGRO</t>
  </si>
  <si>
    <t>COLLAR PARA GATOS DISEÑO CONEJO/OSO</t>
  </si>
  <si>
    <t>DISPENSADOR DE AGUA DE FLOR PEQUEÑA ROSADO</t>
  </si>
  <si>
    <t>DISPENSADOR BOLSA FECA CON LINTERNA VERDE</t>
  </si>
  <si>
    <t>DISPENSADOR AGUA 3 , 5 L BARRIL CALIPSO</t>
  </si>
  <si>
    <t>DISCUS GRAN D-50 PLUS (250 ML / 110 GR)</t>
  </si>
  <si>
    <t>DIFUSOR BLISTER 30 CM</t>
  </si>
  <si>
    <t>DEMOGORGON STRANGER TOY ZEEDOG</t>
  </si>
  <si>
    <t>CRYSTAL SAND TRANSPARENTE CON AZUL 400GR</t>
  </si>
  <si>
    <t>VOLT COLLAR EXTRA SMALL</t>
  </si>
  <si>
    <t>VITO SENIOR PERRO PVO ORAL X 100 GR</t>
  </si>
  <si>
    <t>VITO PREÑEZ PERRO PVO ORAL X 100 GR</t>
  </si>
  <si>
    <t>SMASH COLLAR SMALL ZEEDOG</t>
  </si>
  <si>
    <t>BEBEDERO COLGANTE PARA JAULA - VERDE 500ML</t>
  </si>
  <si>
    <t>BAÑERA AVES HOJA CON JUEGO</t>
  </si>
  <si>
    <t>BEBEDERO DE AGUA PARA MASCOTAS GRANDE</t>
  </si>
  <si>
    <t>BEBEDERO 200ML</t>
  </si>
  <si>
    <t>BEBEDERO CON MOVIMIENTO O FUENTE DE AGUA</t>
  </si>
  <si>
    <t>BAÑO PARA GATOS BIGCAT ROOMCAT GRIS OSCURO</t>
  </si>
  <si>
    <t>BAÑO PARA GATOS BIGCAT XL GRIS OSCURO</t>
  </si>
  <si>
    <t>BAÑO ECOLOGICO PERRO PEQUEÑO (47*34*5 CM)</t>
  </si>
  <si>
    <t>ZANAHORIAS - WOODIES PLAY CARROTS - 6 PACK</t>
  </si>
  <si>
    <t>3 PELOTAS DE TENIS 6.3 CM CON SONIDO DISEÑO DEPORTE</t>
  </si>
  <si>
    <t>SHAMPOO SECO PULGAS Y GARRAPATAS 100 GRS BIOLINE</t>
  </si>
  <si>
    <t>VITALITY &amp; COLOR FLAKES 100 ML 20 GR</t>
  </si>
  <si>
    <t>SKIPDAWG NEON DUROFLEX GLOW DISC</t>
  </si>
  <si>
    <t>SKINDRAG ACONDICIONADOR VITAMINA E 250 ML</t>
  </si>
  <si>
    <t>COLUMPIO BASE MADERA DE COLORES</t>
  </si>
  <si>
    <t>CRIADORA 2 COMPARTIMENTOS (SIN TAPA)</t>
  </si>
  <si>
    <t>CORREA ANTIDES ENTRENAMIENTO 10M (AZUL)</t>
  </si>
  <si>
    <t>CORBATA PARA PERROS (BURDEO)</t>
  </si>
  <si>
    <t>CORRAL PLEGABLE (80*60CM)</t>
  </si>
  <si>
    <t>CORBATA CORTA PARA PERROS Y GATOS ROSADO</t>
  </si>
  <si>
    <t>SACA PELOS LAVABLE</t>
  </si>
  <si>
    <t>RUEDA METALICA ERIZO (30cm diametro, 13 cm ancho) ROSADO</t>
  </si>
  <si>
    <t>REVOLUTION PLUS PIPETA GATO 2.5-5 K (0.50 ML)</t>
  </si>
  <si>
    <t>DISPENSADOR DE BOLSAS CORAZON REPUESTO</t>
  </si>
  <si>
    <t>DROPS SURTIDOS VERSIÓN ECONÓMICA (FRUTOS DEL BOSQUE) 75 GR</t>
  </si>
  <si>
    <t>DROP WITH MILK AND VITAMINS 75 GR</t>
  </si>
  <si>
    <t>ESFERA ALIMENTADORA ROSADO</t>
  </si>
  <si>
    <t>EQUILIBRIO GATO FILHOTES 1.5 K</t>
  </si>
  <si>
    <t>SET RUEDAS TRANSPORTADORA BRACCO TRAVEL (HASTA N6)</t>
  </si>
  <si>
    <t>SENTRY CALMING COLLAR DOG</t>
  </si>
  <si>
    <t>DOYPACK COLAGEPET POLLO S 6 PCS</t>
  </si>
  <si>
    <t>DOYPACK COLAGEPET PATO L 1 PCS</t>
  </si>
  <si>
    <t>DOYPACK COLAGEPET MANÍ S 6 PCS</t>
  </si>
  <si>
    <t>DOYPACK COLAGEPET MANÍ M 3 PCS</t>
  </si>
  <si>
    <t>DOG EVOLUTION CACHORRO 15 KG</t>
  </si>
  <si>
    <t>RINOCERONTE CON PELOTA Y SONIDO TURBODOG</t>
  </si>
  <si>
    <t>TRAILLA RETRACTIL 5 METROS VERDE LIMON</t>
  </si>
  <si>
    <t>TRAILLA COLOR SOLIDO L (2.5x120cm) NEGRO</t>
  </si>
  <si>
    <t>TOPK9 TERAPHY TOALLA HUMEDA RELAJANTE XG 30 UNID ROSAS</t>
  </si>
  <si>
    <t>TOPK9 TERAPHY TOALLA HUMEDA RELAJANTE XG 30 UNID NARANJA</t>
  </si>
  <si>
    <t>TOPK9 AGLUTINANTE LAVANDA 10 KG</t>
  </si>
  <si>
    <t>JAULA CORRAL PERRO 126X64X7.5 CM</t>
  </si>
  <si>
    <t>JAULA HAMSTER FULL EQUIPADA (51*36.5*29 cm) ROSADO CELESTE</t>
  </si>
  <si>
    <t>JAULA ACRILICA ALVIN LARGE - ROSADO</t>
  </si>
  <si>
    <t>JAULA 2 PISOS (30*23*31CM)</t>
  </si>
  <si>
    <t>JUGUETE ARAÑA WONDER CAT</t>
  </si>
  <si>
    <t>GEMON CAT KITTEN CHICKEN/RICE 2K</t>
  </si>
  <si>
    <t>Hueso imitación molar 43 GR</t>
  </si>
  <si>
    <t>HOLLIDAY OHM 21 COMP</t>
  </si>
  <si>
    <t>HOLLIDAY ENZIMAX 20 COMP</t>
  </si>
  <si>
    <t>HOLLIDAY PROTELIV 21 COMP</t>
  </si>
  <si>
    <t>ARNES GUAU GUARD M VERDE</t>
  </si>
  <si>
    <t>ACUARIO SUNSUN 127 LITROS CON MUEBLE BLANCO</t>
  </si>
  <si>
    <t>SUSTRATO NUTRITIVO PARA ACUARIOS PLANTADOS 9L/BOLSA (9KG)</t>
  </si>
  <si>
    <t>SUPERVIT 12 G</t>
  </si>
  <si>
    <t>SUPERVIT 100 ML</t>
  </si>
  <si>
    <t>Churu Hairball Control Atún para Gatos</t>
  </si>
  <si>
    <t>INDOMITABLE GALLETA PREBIOTICO GRAIN FREE AVENA 180GR</t>
  </si>
  <si>
    <t>ARNES DE SEGURIDAD ROSADO S</t>
  </si>
  <si>
    <t>JUGUETE PARA MASCOTAS PELUCHE ELEFANTE CON SONIDO</t>
  </si>
  <si>
    <t>JUGUETE MASCOTAS INTERACTIVO ROMPECABEZA ROSADO</t>
  </si>
  <si>
    <t>CEDE MINERALS</t>
  </si>
  <si>
    <t>CATS SNACK TUBITO CREMOSO SABOR CANGREJO</t>
  </si>
  <si>
    <t>BEBEDERO 400ML</t>
  </si>
  <si>
    <t>JAULA PERRO BLOQUEO 5 PUNTOS XL (106x72.7x75 H)</t>
  </si>
  <si>
    <t>JAULA PARA PERROS DE DOBLE PUERTA CON PLACA DE MDF</t>
  </si>
  <si>
    <t>Jaula Transporte Vision Rosada M</t>
  </si>
  <si>
    <t>JAULA HURON 4 NIVELES</t>
  </si>
  <si>
    <t>JAULA PARA LOROS (102,5X80X172 CM) RECTANGULAR</t>
  </si>
  <si>
    <t>JUGUETE ANILLO DE TENSION GRANDE PARA PERROS 27.5x3.6 CM</t>
  </si>
  <si>
    <t>TRAILLA TRENZADA 20 MM X 100 CM</t>
  </si>
  <si>
    <t>ACANA WILD ATLANTIC GATO 4.5 KG GATO</t>
  </si>
  <si>
    <t>ACANA WILD ATLANTIC GATO 1.8 KG GATO</t>
  </si>
  <si>
    <t>TRANSPORTADORA GIPSY XS (PUERTA PLASTICA) VERDE-GRIS</t>
  </si>
  <si>
    <t>TRANSPORTADORA GIPSY XS (PUERTA PLASTICA) MORADO-GRIS</t>
  </si>
  <si>
    <t>Juguete Hueso Fun See</t>
  </si>
  <si>
    <t>JUGUETE FAISAN PARA PERRO SUPER REALISTA</t>
  </si>
  <si>
    <t>JUGUETE EN FORMA FRUTILLA CAUCHO PARA PREMIOS (8X9CM)</t>
  </si>
  <si>
    <t>JUGUETE DE PALTA CON CATNIP</t>
  </si>
  <si>
    <t>INDOMITABLE GALLETA CRACKERS POLLO 130GR</t>
  </si>
  <si>
    <t>ACUARIO CON MUEBLE PLATEADO 95 L (acuario 62 cm x 39 cm x 45 cm)</t>
  </si>
  <si>
    <t>Traje para gatos talla L</t>
  </si>
  <si>
    <t>CHURU FILETE GRILLADO ATUN</t>
  </si>
  <si>
    <t>COLLAR ISABELINO 35 CM</t>
  </si>
  <si>
    <t>COLLAR GATO DISEÑO RATONES</t>
  </si>
  <si>
    <t>COLLAR COWBOY XS (1x30 cm) NEGRO</t>
  </si>
  <si>
    <t>COLLAR BANDANA CON DISEÑO 04</t>
  </si>
  <si>
    <t>Collar anti ahorque wonder cat (1*20-31 cm) Diseños</t>
  </si>
  <si>
    <t>PROPLAN SENSITIVE SKIN M/L 12KG</t>
  </si>
  <si>
    <t>PROPLAN REDUCED CALORIE M/G 12KG</t>
  </si>
  <si>
    <t>HILLS CANINE ADULT LIGHT 13.6 KG</t>
  </si>
  <si>
    <t>COLLAR ADAPTIL M - L 70 CM</t>
  </si>
  <si>
    <t>FLOTADOR PARA PERROS TIBURON XL</t>
  </si>
  <si>
    <t>ARNES GUAU GUARD XL NARANJO</t>
  </si>
  <si>
    <t>COLLAR LEONAR XS</t>
  </si>
  <si>
    <t>ACUARIO SUNSUN 72 LITROS (SISTEMA FILTRADO SUPERIOR Y LUZ LED 7 W) BLANCO</t>
  </si>
  <si>
    <t>SPRAY ANTI PULGAS Y GARRAPATAS GATO 175ML BIOLINE</t>
  </si>
  <si>
    <t>SUCRAVET 100ML</t>
  </si>
  <si>
    <t>STOMORGYL 10 X 10 COMP</t>
  </si>
  <si>
    <t>SPRAY DE PROTECCION SOLAR ANTIPARASITARIO 50ML</t>
  </si>
  <si>
    <t>SOULPETS GATO S.O.S. PETS</t>
  </si>
  <si>
    <t>SOULPETS GATO ADAPTACION NUEVOS AMBIENTES</t>
  </si>
  <si>
    <t>GEMON CAT URINARY CHICKEN/RICE 20 K</t>
  </si>
  <si>
    <t>Glossy coat shampoo fot dogs and cats</t>
  </si>
  <si>
    <t>GLICOPAN 30ML</t>
  </si>
  <si>
    <t>Flotador para perros Sirena XL</t>
  </si>
  <si>
    <t>ARNES GUAU GUARD XL MORADO</t>
  </si>
  <si>
    <t>ARNES GUAU GUARD S MORADO</t>
  </si>
  <si>
    <t>Cojin Para Gatos O Cachorros XXL Beige</t>
  </si>
  <si>
    <t>Cojin Para Gatos O Cachorros S Verde</t>
  </si>
  <si>
    <t>Cojin Para Gatos O Cachorros S Rosado Oscuro</t>
  </si>
  <si>
    <t>Cojin Para Gatos O Cachorros S Gris oscuro</t>
  </si>
  <si>
    <t>Cojin Para Gatos O Cachorros S Gris Claro</t>
  </si>
  <si>
    <t>Cojin Para Gatos O Cachorros M Piel</t>
  </si>
  <si>
    <t>Cojin Para Gatos O Cachorros M Gris Claro</t>
  </si>
  <si>
    <t>Cojin Para Gatos O Cachorros L Violeta</t>
  </si>
  <si>
    <t>COCHE PARA MASCOTAS 4 RUEDAS ROSADO</t>
  </si>
  <si>
    <t>COLLAR ISABELINO VELCRO (50x50x23)</t>
  </si>
  <si>
    <t>HILLS FELINE ADULTO HAIRBALL 3.17</t>
  </si>
  <si>
    <t>HILLS FELINE ADULT METABOLIC 3.85 KG CAT</t>
  </si>
  <si>
    <t>HILLS FELINE SENIOR VITALITY ADULT 7+ 3LB (1.36 KG)</t>
  </si>
  <si>
    <t>HILLS CANINE J/D MOBILITY 3,85 KG POLLO</t>
  </si>
  <si>
    <t>ARNES GUAU GUARD XS ROSADO</t>
  </si>
  <si>
    <t>HEMATON B12 ELIXIR JBE 100ML</t>
  </si>
  <si>
    <t>GRAVILLA PARA ACUARIO BLANCA 8-10 MM (5KG)</t>
  </si>
  <si>
    <t>GORRA DE BEISBOL M</t>
  </si>
  <si>
    <t>GOLDEN SEC NAT KITTEN POLLO/ARROZ 3KG</t>
  </si>
  <si>
    <t>GOLDEN SEC NAT CAT STERILISED POLLO/CALAB 3KG</t>
  </si>
  <si>
    <t>GEMON DOG ADULT TUNA/SALMON 415GR</t>
  </si>
  <si>
    <t>ARNES GUAU GUARD L NARANJO</t>
  </si>
  <si>
    <t>BRAVECTO GATO PIPETA 250 MG 2.8 A 6.25 KG</t>
  </si>
  <si>
    <t>CALCETINES PARA PERROS M - AZUL</t>
  </si>
  <si>
    <t>FLOR CON CATNIP VERDE</t>
  </si>
  <si>
    <t>EQUILIBRIO GATO ADULTO CASTRADO 1 A 7 AÑOS 7.5 K</t>
  </si>
  <si>
    <t>Dynamide</t>
  </si>
  <si>
    <t>CHAMPU DE PELAJE BLANCO O CLAROS 200 ml</t>
  </si>
  <si>
    <t>FAWNA PERROS ADULTOS SENIOR 3 KG</t>
  </si>
  <si>
    <t>BAÑO AUTOLIMPIABLE OMEGA PAW CLEAN N ROLL L</t>
  </si>
  <si>
    <t>HILLS CANINE I/D DIGESTIVE CARE 3.8K</t>
  </si>
  <si>
    <t>MALLA DE SEGURIDAD PARA GATOS S</t>
  </si>
  <si>
    <t>SNACK GALLETAS RELLENAS CON ATUN Y QUESO 80 G</t>
  </si>
  <si>
    <t>COLLAR XL (2.5*40‐55 CM) DISEÑO ZIGZAG ROJO WONDER DOG</t>
  </si>
  <si>
    <t>CREDELIO GATO 48 MG (2-8KG) X 1 TAB</t>
  </si>
  <si>
    <t>ADVANTIX PERROS 10 - 25 KG (2.5 ml)</t>
  </si>
  <si>
    <t>HEMOLIVET PERRO/GATO X 30 COMPRIMIDOS</t>
  </si>
  <si>
    <t>GEMON DOG ADULT PATE CHIC/RABB 300GR</t>
  </si>
  <si>
    <t>JOSERA GATO CRUNCHY CHICKEN 650GR</t>
  </si>
  <si>
    <t>PEINE DE MASAJE</t>
  </si>
  <si>
    <t>CUEVA EN FORMA DE CAMPANA</t>
  </si>
  <si>
    <t>JUGUETE ARO DE CAUCHO CON PELOTA DE ALGODON</t>
  </si>
  <si>
    <t>RASQUETA MEDIANA NEGRA</t>
  </si>
  <si>
    <t>SINPUL SPOT PLUS 2 ML MAS DE 15 KG 2 PIPETAS</t>
  </si>
  <si>
    <t>TASTY FRESHEST ATUN Y CANGREJO LATA 80G</t>
  </si>
  <si>
    <t>JAULA HAMSTER 3 PISOS</t>
  </si>
  <si>
    <t>JOSERA MARINESSE 2 KG</t>
  </si>
  <si>
    <t>JOSERA LIGHT Y VITAL PERRO 12.5 KG</t>
  </si>
  <si>
    <t>SILIMARINA X 30 COMP</t>
  </si>
  <si>
    <t>VETLIFE FELINE URINARY STRUVITE 2KG</t>
  </si>
  <si>
    <t>Juguete Palo Fun See</t>
  </si>
  <si>
    <t>PELLET TORTUGA ROJO</t>
  </si>
  <si>
    <t>NAXPET SUSPENSION 20ML</t>
  </si>
  <si>
    <t>PLANTA PLASTICA PARA ACUARIOS 9-11 CM</t>
  </si>
  <si>
    <t>Brit care cat grain-free haircare healthy y shiny coat 7 kg</t>
  </si>
  <si>
    <t>VETGASTRIL 20 ML</t>
  </si>
  <si>
    <t>Leonardo Pouch Trucha y Catnip Gato 85 GR</t>
  </si>
  <si>
    <t>BRIT CARE MINI RABBIT &amp; SALMON FILLETS IN GRAVY 85 G</t>
  </si>
  <si>
    <t>GEMON POUCH CAT ADULT RABBIT/VEG 100GR</t>
  </si>
  <si>
    <t>STRUVITVET PERRO/GATO X 30 COMP</t>
  </si>
  <si>
    <t>COLLAR L (1.9*35‐50 CM) DISEÑO ZIGZAG ROJO WONDER DOG</t>
  </si>
  <si>
    <t>BEBEDERO AVE 110 ML</t>
  </si>
  <si>
    <t>CHALECO FRANJAS COLORES MACHO XXS</t>
  </si>
  <si>
    <t>CHURU FUN BITES ATUN - PERRO (6 SACHETS)</t>
  </si>
  <si>
    <t>LEONARDO POUCH CONEJO Y ARANDANO 85GR</t>
  </si>
  <si>
    <t>BRIT CARE DOG GRAIN FREE ADULT SALMON 3 KG</t>
  </si>
  <si>
    <t>ADVANTAGE GATO 4 - 8 KG (0.8ml)</t>
  </si>
  <si>
    <t>JOSERA JOSICAT CRUNCHY 10 KG</t>
  </si>
  <si>
    <t>CALEFACTOR REGULABLE 200 WATTS</t>
  </si>
  <si>
    <t>DENTAL FUN BONE</t>
  </si>
  <si>
    <t>JOSERA KITTEN GRAIN FREE 2 KG</t>
  </si>
  <si>
    <t>DOG CHURU 4P POLLO CON VEGETALES</t>
  </si>
  <si>
    <t>BRIT CARE DOG CHICKEN &amp; INSECT PUPPY 12K</t>
  </si>
  <si>
    <t>CORREA PASEO SIN COLLAR REFLECTANTE 8.0MM X150CM</t>
  </si>
  <si>
    <t>COLLAR IRON S</t>
  </si>
  <si>
    <t>HERPLEX -L ORAL 30 ML</t>
  </si>
  <si>
    <t>BILJAC PREMIO LIBRE DE GRANOS 283 G</t>
  </si>
  <si>
    <t>BRAVECTO GATO PIPETA 112.5 MG 1.2 A 2.8 KG</t>
  </si>
  <si>
    <t>JOSERA KIDS 12.5 K</t>
  </si>
  <si>
    <t>ARNES WONDER AMY L</t>
  </si>
  <si>
    <t>BILJAC REDUCED FAT 13.6 KG</t>
  </si>
  <si>
    <t>BEBEDERO DE ABEJA (8CM DIAMETRO)</t>
  </si>
  <si>
    <t>EQUILIBRIUM ARTRO X 60 TAB</t>
  </si>
  <si>
    <t>BILJAC LITTLE JACS TREATS 283 GR</t>
  </si>
  <si>
    <t>JOSERA NATURELLE 2 KG</t>
  </si>
  <si>
    <t>JOSERA SENSIPLUS 12.5K</t>
  </si>
  <si>
    <t>BRIT CARE DOG HYPOALLERGENIC PUPPY LAMB 12K</t>
  </si>
  <si>
    <t>CHURU CAT TUNA 4 TUBES / 14 GRS</t>
  </si>
  <si>
    <t>FRONTLINE SPRAY 100 ML</t>
  </si>
  <si>
    <t>PREVICOX 57 MG X 10 COMPRIMIDOS</t>
  </si>
  <si>
    <t>FIT SNACK SALCHICHA DE PATO 400 G</t>
  </si>
  <si>
    <t>CHURUDOG MEAL TOPPER CHICK/PUMP 14GR/4T</t>
  </si>
  <si>
    <t>PETBRILL SHAMPOO DE AVENA Y MIEL 500 ML</t>
  </si>
  <si>
    <t>DOGUIVIT SENIOR 30 COMP</t>
  </si>
  <si>
    <t>HILLS A/D URGENT CARE LATA</t>
  </si>
  <si>
    <t>TUNEL ARCOIRIS L</t>
  </si>
  <si>
    <t>VIRBAC BALDE GRANDE</t>
  </si>
  <si>
    <t>NEXGARD 68 MG 10 -25 KG 3 COMPRIMIDOS</t>
  </si>
  <si>
    <t>PLATO INDIVIDUAL 18*5-4cm 67g 5 550 (10%) CELESTE</t>
  </si>
  <si>
    <t>PETAG KMR POWDER MILK REPLACER FOR KITTEN 340G</t>
  </si>
  <si>
    <t>INDOMITABLE GALLETA HORNEADA GRAIN FREE PUPPY VEGAN 460GR</t>
  </si>
  <si>
    <t>LETS BITE MEAT SNACKS DUCK BARS 80 GR</t>
  </si>
  <si>
    <t>JOSERA SOLIDO 15K</t>
  </si>
  <si>
    <t>BAÑO PARA GATOS BIGCAT XL CELESTE</t>
  </si>
  <si>
    <t>Corta uña para pequeñas mascotas (8,5 cm x1,8 mm)</t>
  </si>
  <si>
    <t>BRAVECTO 1 COMP 4.5 - 10 KG</t>
  </si>
  <si>
    <t>RASCADOR TABLA PARED</t>
  </si>
  <si>
    <t>PALA CARITA DE GATO PARA FECAS 28*125CM ROSADA</t>
  </si>
  <si>
    <t>PELLET TORTUGA BLANCO</t>
  </si>
  <si>
    <t>BRAVECTO GATO PIPETA 6.25 A 12.5 KG</t>
  </si>
  <si>
    <t>HILLS CANINE LATA W/D 13OZ (370 GR)</t>
  </si>
  <si>
    <t>LYSINVIRAL PLUS 50 ML</t>
  </si>
  <si>
    <t>BRIT CARE DOG CHICKEN &amp; INSECT ACTIVITY 12K</t>
  </si>
  <si>
    <t>HILLS FELINE Z/D 5.5OZ (156 G)</t>
  </si>
  <si>
    <t>FIT LATA GOURMET GATOS CAMARON 80GR</t>
  </si>
  <si>
    <t>BILJAC ADULT SMALL BREED 2.75 KG</t>
  </si>
  <si>
    <t>PEZ CARPA CON CATNIP 30 CM</t>
  </si>
  <si>
    <t>COLLAR XL (2.5*40‐55 CM) DISEÑO ETNICO 2 WONDER DOG</t>
  </si>
  <si>
    <t>FIT FORMULA SENIOR 20 KG</t>
  </si>
  <si>
    <t>FIBRINOPET PERRO/GATO X 10 COMP</t>
  </si>
  <si>
    <t>JOSERA DAILYCAT 10 KG</t>
  </si>
  <si>
    <t>GALLETA RELLENA DE ATUN CON HIERBA GATERA</t>
  </si>
  <si>
    <t>NIDO PARA AVES BAMBU CON GANCHO 11x11x5 CM</t>
  </si>
  <si>
    <t>FIT DUO ATUN POLLO SALMON 35G X 2</t>
  </si>
  <si>
    <t>BRIT CRUNCHY SNACK INSECTS WITH TUNA 200 GR</t>
  </si>
  <si>
    <t>JOSERA LACHS &amp; KARTOFFEL PERRO 12.5 KG</t>
  </si>
  <si>
    <t>COLLAR WONDER CAT ANTI AHORQUE DE NYLON DISEÑO DE BRILLO</t>
  </si>
  <si>
    <t>COLLAR XL (2.5*40‐55 CM) DISEÑO CORAZONES WONDER DOG</t>
  </si>
  <si>
    <t>JOSERA JOSIDOG ACTIVE 18 KG</t>
  </si>
  <si>
    <t>Bebedero Granja o pajareras 1 L</t>
  </si>
  <si>
    <t>JUGUETE PELUCHE RATON CON CATNIP 8CM</t>
  </si>
  <si>
    <t>BAVARO WORK 18 KG</t>
  </si>
  <si>
    <t>TRAILLA XL DISEÑO ANIMAL PRINT</t>
  </si>
  <si>
    <t>Bebedero Granja o pajareras 3 L</t>
  </si>
  <si>
    <t>FIT FORMULA PERRO ADULTO 20 KG</t>
  </si>
  <si>
    <t>LETS BITE MEAT SNACKS DUCK FILLET 80GR</t>
  </si>
  <si>
    <t>HILLS FELINE LATA C/D MULTICARE POLLO CAT 5.5 OZ (156GR)</t>
  </si>
  <si>
    <t>TASTY FRESHEST POLLO Y CALABAZA LATA 80G</t>
  </si>
  <si>
    <t>FLOVOVERMIC RAZA GRANDE 1 COMP</t>
  </si>
  <si>
    <t>FIT FORMULA ADULTO RAZAS PEQUEÑAS 10 KG</t>
  </si>
  <si>
    <t>LETS BITE MEAT SNACKS PUPPY LAMB BARS 80 GR</t>
  </si>
  <si>
    <t>MINI SALCHICHAS DE CORDERO 100 GRS TASTY FARM</t>
  </si>
  <si>
    <t>CHURU CAT MEAL TOPPER CHICKEN 14GR/4TUB</t>
  </si>
  <si>
    <t>ARENA VANCAT ORANGE 10 KG</t>
  </si>
  <si>
    <t>TRAILLA CUERDA DE TRACCION RETRACTIL 5MT CON LUZ</t>
  </si>
  <si>
    <t>Brit care cat grain-free Sterilized weight control 2 kg</t>
  </si>
  <si>
    <t>COLLAR L DISEÑO DOG LOVER</t>
  </si>
  <si>
    <t>BIOLINE PERFUME PARA MASCOTAS - LAVENDER 9 ML</t>
  </si>
  <si>
    <t>PIPETA FRONTLINE PLUS PERROS 10 - 20 KGS (1.34 ML)</t>
  </si>
  <si>
    <t>ADVOCATE GATO 4 A 8 KG PIPETA (0.8 ml)</t>
  </si>
  <si>
    <t>RASCADOR PATITA COLOR BEIGE</t>
  </si>
  <si>
    <t>VALVULA ANTIRETORNO</t>
  </si>
  <si>
    <t>GEMON DOG LATA ADULTO MEDIUM POLLO/ARROZ 1.25K</t>
  </si>
  <si>
    <t>BRIT CARE MINI LAMB FILLETS IN GRAVY 85 G</t>
  </si>
  <si>
    <t>LEONARDO LATA QUALITY SELECCION CONEJO 200 GR</t>
  </si>
  <si>
    <t>D.F.7 ANTIPARASITARIO PARA CABALLOS JERINGA 40G PASTA</t>
  </si>
  <si>
    <t>REVOLUTION 12% 2.5 - 5 KG PERROS</t>
  </si>
  <si>
    <t>PLATO INDIVIDUAL 18*5-4cm 67g 5 550 (10%) VERDE</t>
  </si>
  <si>
    <t>Cojin Para Gatos O Cachorros S Café</t>
  </si>
  <si>
    <t>ADORNO TRONCO CON PLANTAS 22*12CM</t>
  </si>
  <si>
    <t>TASTY FRESHEST ATUN Y SALMON LATA 80G</t>
  </si>
  <si>
    <t>JOSERA MINIVITA / MINISENIOR 900 GR</t>
  </si>
  <si>
    <t>PECHUGA DE POLLO EN PALITO CARNAZA 400GR</t>
  </si>
  <si>
    <t>PROFINE GRAIN FREE SNACK DUCK 200 G</t>
  </si>
  <si>
    <t>SUJETADOR PARA PEQUEÑOS INSECTOS</t>
  </si>
  <si>
    <t>BIOBOLAS</t>
  </si>
  <si>
    <t>SIMPARICA TRIO 5 - 10 KG X 3 COMP</t>
  </si>
  <si>
    <t>TASTY FRESHEST POLLO Y ZANAHORIA LATA 80G</t>
  </si>
  <si>
    <t>CAPSULA PARA UÑAS TALLA XS</t>
  </si>
  <si>
    <t>CAPSULA PARA UÑAS TALLA S</t>
  </si>
  <si>
    <t>TOALLITAS HUMEDAS BABY PETS 50 UNI</t>
  </si>
  <si>
    <t>JOSERA JOSIDOG JUNIOR 18 KG</t>
  </si>
  <si>
    <t>VIRBAC D-DOG WEIGHT LOSS &amp; DIABETES X 12 KG</t>
  </si>
  <si>
    <t>MASTIG BIFITO PARA GATOS SABOR PESCADO 30GR</t>
  </si>
  <si>
    <t>GALLETA RELLENA SABOR CAMARON</t>
  </si>
  <si>
    <t>CONEJERA CON PLATAFORMA DE BARROTES ESTRECHOS</t>
  </si>
  <si>
    <t>ARENA VANCAT VAINILLA 10KG</t>
  </si>
  <si>
    <t>COLUMPIO AVES CON JUEGOS Y CAMPANA</t>
  </si>
  <si>
    <t>JOSERA JOSICAT ESTERILIZADO CLASSIC 10K</t>
  </si>
  <si>
    <t>BAVARO FORCE 18 KG</t>
  </si>
  <si>
    <t>HYALORAL RAZAS GRANDES Y GIGANTES 360 COMP.</t>
  </si>
  <si>
    <t>PAÑAL 100 TRAINING PADS</t>
  </si>
  <si>
    <t>PEZ CARPA CON CATNIP 50 CM</t>
  </si>
  <si>
    <t>ADVOCATE GATO HASTA 4 KG PIPETA (0.4 ml)</t>
  </si>
  <si>
    <t>MANTA REFRESCANTE TALLA M</t>
  </si>
  <si>
    <t>REPUESTO FILTRO ROMEO</t>
  </si>
  <si>
    <t>TASTY FRESHEST POLLO Y TE VERDE LATA 80G</t>
  </si>
  <si>
    <t>JOSERA MINIWELL 10KG</t>
  </si>
  <si>
    <t>FONDO ACUARIO DOBLE 24" DE ALTURA DISEÑO MADERA Y CORAL</t>
  </si>
  <si>
    <t>Cats snack cremoso balde fiesta felina con hierba gatera (50 unidades)</t>
  </si>
  <si>
    <t>MANTA REFRESCANTE TALLA L</t>
  </si>
  <si>
    <t>Complete Trocitos En Salsa Carne Perro Adulto 340g</t>
  </si>
  <si>
    <t>SNACK CREMOSO DE CANGREJO CON CATNIP 15G</t>
  </si>
  <si>
    <t>FIT SNACK PURE DE ATUN</t>
  </si>
  <si>
    <t>FONDO ACUARIO DOBLE 12" DE ALTURA</t>
  </si>
  <si>
    <t>NEXGARD 136 MG 3 COMP PERRO 25 - 50 KG</t>
  </si>
  <si>
    <t>Brit care cat grain-free sterilized urinary 2 kg</t>
  </si>
  <si>
    <t>FIT FORMULA GATO 2K</t>
  </si>
  <si>
    <t>NEXGARD SPECTRA 30.1 - 60 KG 1 COMPRIMIDO</t>
  </si>
  <si>
    <t>JUGUETE DE FELPA CON CATNIP (CELESTE) 27CM</t>
  </si>
  <si>
    <t>Rascador con Raton Colgante Beige</t>
  </si>
  <si>
    <t>NEXGARD SPECTRA 3.6 - 7.5 KG 1 COMPRIMIDO</t>
  </si>
  <si>
    <t>HUESO DE JIBIA GRANEL (9-11 CM)</t>
  </si>
  <si>
    <t>VARILLA POMPOM Y PLUMAS CELESTE</t>
  </si>
  <si>
    <t>CASA HAMSTER FUTURISTA</t>
  </si>
  <si>
    <t>JUGUETE WOODY CHEW CHUNK M</t>
  </si>
  <si>
    <t>VITAL HERBAL SMAKERS - GRANDPA´S 90GR</t>
  </si>
  <si>
    <t>ESCALERA PARA AVES 21.5X6.3CM</t>
  </si>
  <si>
    <t>SHAMPOO SKINDRAG AVENA 250ML</t>
  </si>
  <si>
    <t>ALLERCALM SHAMPOO FRASCO 250ML</t>
  </si>
  <si>
    <t>GOOFY HUESO COMPACTO MEDIANO 95 GR</t>
  </si>
  <si>
    <t>PAÑAL 30 TRAINING PADS</t>
  </si>
  <si>
    <t>Planta de Adorno para Acuario Verdes</t>
  </si>
  <si>
    <t>ATACAMA CATS STERILIZED 10.1K</t>
  </si>
  <si>
    <t>VIRBAC D-CAT WEIGHT LOSS &amp; CONTROL 1,5 kgs</t>
  </si>
  <si>
    <t>Rascador Torre Estilo Tambor Beige</t>
  </si>
  <si>
    <t>CONDROVET 60 COMP</t>
  </si>
  <si>
    <t>Fruit Smakers® for Lovebirds (Inseparables)</t>
  </si>
  <si>
    <t>GALLETA RELLENA SABOR ATUN CON OSTION</t>
  </si>
  <si>
    <t>PETAG BENE BAC PLUS PROBIOTICO 15G</t>
  </si>
  <si>
    <t>MELOXIVET SOL. 60ML</t>
  </si>
  <si>
    <t>HAMACA PARA MASCOTAS 40-50 CM</t>
  </si>
  <si>
    <t>BAÑO PARA GATOS BIGCAT XL GRIS CLARO</t>
  </si>
  <si>
    <t>TOPK9 AGLUTINANTE IONES TALCO BEBE 4 KG</t>
  </si>
  <si>
    <t>JOSERA FIESTA PLUS 12.5K</t>
  </si>
  <si>
    <t>NEXGARD SPECTRA 15.1 - 30 KG 1 COMPRIMIDO</t>
  </si>
  <si>
    <t>MANTA REFRESCANTE TALLA XL</t>
  </si>
  <si>
    <t>SUPER TENEBRIO 50GR</t>
  </si>
  <si>
    <t>ARENA PARA CHINCHILLAS 1.5 KG</t>
  </si>
  <si>
    <t>BRIT PREMIUM BY NATURE CAT KITTEN 8K</t>
  </si>
  <si>
    <t>CUERDA TRACCIÓN REDONDA</t>
  </si>
  <si>
    <t>JOSERA CULINESSE GATO 2K</t>
  </si>
  <si>
    <t>FIPRODRAG PERROS 10 -20 KGS</t>
  </si>
  <si>
    <t>NEXGARD SPECTRA 15 - 30 KG 3 COMPRIMIDOS</t>
  </si>
  <si>
    <t>REBANADAS DE CONEJO 100 GRS TASTY FARM</t>
  </si>
  <si>
    <t>NEW FROST CAT INDOOR STERILIZED 7.5 KG</t>
  </si>
  <si>
    <t>INDOMITABLE GALLETA CREAMY GRAIN FREE VEGAN MANTEQUILLA MANI 120GR</t>
  </si>
  <si>
    <t>VIRBAC NUTRIPLUS GEL 120G</t>
  </si>
  <si>
    <t>HEMOLIVET PERRO/GATO X 10 COMP</t>
  </si>
  <si>
    <t>CHURU GATO ATUN CON CANGREJO 4P</t>
  </si>
  <si>
    <t>GATOLAC 100 GR</t>
  </si>
  <si>
    <t>IRCVET 50 ML</t>
  </si>
  <si>
    <t>CHURU VARIEDADES ATUN 20 P</t>
  </si>
  <si>
    <t>CAT WHITE NATURAL 17 KG (20LT)</t>
  </si>
  <si>
    <t>BRIT MONO PROTEIN LAMB Y RICE 400G</t>
  </si>
  <si>
    <t>Planta de Adorno para Acuario Rosado y Verrde</t>
  </si>
  <si>
    <t>ARENA VANCAT MARSEILLE SOAP 10 KG</t>
  </si>
  <si>
    <t>BRAVECTO 1 COMP 40 - 56 KG</t>
  </si>
  <si>
    <t>COLLAR ECO CAT</t>
  </si>
  <si>
    <t>CREDELIO GATO 12 MG (0.5-2KG) X 1 TAB</t>
  </si>
  <si>
    <t>DIGESTIVET X 10 COMP</t>
  </si>
  <si>
    <t>VIRBAC P-SENIOR NEUTERED CAT 3KG</t>
  </si>
  <si>
    <t>COLLAR S (1.0*20‐31 CM) DISEÑO CORAZONES WONDER DOG</t>
  </si>
  <si>
    <t>NEXGARD 136 MG X 1 COMP 25 - 50 KG</t>
  </si>
  <si>
    <t>VIRBAC CAT ADVANCED KIDNEY &amp; JOINT 3 KG</t>
  </si>
  <si>
    <t>VIRBAC D-DOG WEIGHT LOSS &amp; DIABETES 3 KG</t>
  </si>
  <si>
    <t>JUGUETE WOODY CHEW STICK S</t>
  </si>
  <si>
    <t>BILJAC PUPPY SELECT 13.6 KILOS</t>
  </si>
  <si>
    <t>ANTICLORO PECES MARBEN</t>
  </si>
  <si>
    <t>NEXGARD 28.3 MG X 1 COMP PERRO 4 - 10 KG</t>
  </si>
  <si>
    <t>SMAKERS FOR COCKATIEL - FRUIT 90GR</t>
  </si>
  <si>
    <t>BAÑO GATO ROMEO VERDE</t>
  </si>
  <si>
    <t>URSOVET 60ML</t>
  </si>
  <si>
    <t>SINPULKILL COLLAR PERRO</t>
  </si>
  <si>
    <t>JOSERA ENTE &amp; KARTOFFEL 12.5</t>
  </si>
  <si>
    <t>SET CEPILLO DE DIENTES 4 PIEZAS CAT</t>
  </si>
  <si>
    <t>COUNTRY DOG HIGH ENERGY 15 KG</t>
  </si>
  <si>
    <t>LATA GATO DR LINK - SP DIET DIET CARDIAC-RENAL CHICKEN 200GR</t>
  </si>
  <si>
    <t>JOSERA JOSICAT CRISPY DUCK 10K</t>
  </si>
  <si>
    <t>RONAXAN 100MG X 10 COMP</t>
  </si>
  <si>
    <t>RAMPLA PARA PERROS PLASTICA 106*9.6*4.3</t>
  </si>
  <si>
    <t>ADVOCATE PERROS 4 A 10 KG (1.0 ml)</t>
  </si>
  <si>
    <t>BRIT JERKY SNACK BEEF FILLETS FOR DOGS 80G</t>
  </si>
  <si>
    <t>PALITOS DE CARNAZA ENVUELTO EN PATO 100 GR TASTY FARM</t>
  </si>
  <si>
    <t>FRUIT SMAKERS PARA AVES EXOTICAS</t>
  </si>
  <si>
    <t>Complete Perro Senior 20 K</t>
  </si>
  <si>
    <t>GLICOMIC PET SUSP ORAL PERRO/GATO X 125ML</t>
  </si>
  <si>
    <t>MASTIG HUESO PORCINO UNID</t>
  </si>
  <si>
    <t>SNACK CREMOSO DE SALMON CON MATABI 15G</t>
  </si>
  <si>
    <t>ARENA WBCL CLUMPING FORMULA 3,18 KG</t>
  </si>
  <si>
    <t>TRANSPORTADORA KENNEL XXXL (112*82*96 CM)</t>
  </si>
  <si>
    <t>STRUVITVET PERRO/GATO X 10 COMP</t>
  </si>
  <si>
    <t>NEXGARD 68 MG X 1 COMP 10 - 25 KG</t>
  </si>
  <si>
    <t>CHURU GATO POLLO CON SALMON 4P</t>
  </si>
  <si>
    <t>APETICAT JAB X 100ML</t>
  </si>
  <si>
    <t>SIMPARICA TRIO 20 - 40 KG X 3 COMP</t>
  </si>
  <si>
    <t>Jaula aves 3 niveles 6 compartimentos con comederos (98,5*45*206 cm)</t>
  </si>
  <si>
    <t>FIT SNACK PURE DE SALMON</t>
  </si>
  <si>
    <t>PINK MOMENTS - ATUN 4 TUBOS</t>
  </si>
  <si>
    <t>FIBRINOPET PERRO/GATO 300MG X 30 COMP</t>
  </si>
  <si>
    <t>PLATO ACERO INOXIDABLE TALLA XL</t>
  </si>
  <si>
    <t>BRIT CARE DOG GRAIN FREE SENIOR &amp; LIGHT SALMON 3 KG</t>
  </si>
  <si>
    <t>SEMILLAS DE MIJO 1K</t>
  </si>
  <si>
    <t>ARNES + TRAILLA DISEÑOS NATIVOS S</t>
  </si>
  <si>
    <t>FIPROKILL 250 ML</t>
  </si>
  <si>
    <t>MANTA REFRESCANTE TALLA S</t>
  </si>
  <si>
    <t>FIT SNACK PURE DE POLLO</t>
  </si>
  <si>
    <t>JOSERA TUNEL GATO</t>
  </si>
  <si>
    <t>PLATO DIBUJO M 20,3X17X 8CM</t>
  </si>
  <si>
    <t>DIPRAMIDA P/G X 20ML GOTAS</t>
  </si>
  <si>
    <t>VIRBAC MILPRO 4/10 MG GATITOS 0.5 -2KG X 2 COMP</t>
  </si>
  <si>
    <t>SNACK CREMOSO DE CAMARON CON CATNIP 15G</t>
  </si>
  <si>
    <t>MIX SEMILLAS PARA CATITAS 500GR</t>
  </si>
  <si>
    <t>TOPK9 AGLUTINANTE DESIERTO FLORIDO 10 KG</t>
  </si>
  <si>
    <t>TROPIFIT ALL IN 1 RAT &amp; MOUSE 500G</t>
  </si>
  <si>
    <t>CREDELIO TAB 225 MG X 1BLCD CH (&gt;5,5-11 kg)</t>
  </si>
  <si>
    <t>PINK MOMENTS - POLLO SALMON 4 TUBOS</t>
  </si>
  <si>
    <t>PINK MOMENTS - POLLO 4 TUBOS</t>
  </si>
  <si>
    <t>HYALORAL RAZAS GRANDES Y GIGANTE 120 COMP</t>
  </si>
  <si>
    <t>Transportino Gulliver 6s/ruote</t>
  </si>
  <si>
    <t>HUESO DE CALCIO ENVUELTO EN CARNE 100 GRS TASTY FARM</t>
  </si>
  <si>
    <t>SHAMPOO SIR DOG BRONZE 390 ML</t>
  </si>
  <si>
    <t>P-ADULT CAT SALMON 3KG NEUT &amp; ENTIRE</t>
  </si>
  <si>
    <t>OFTAVET SOL OFTALMICA 5ML</t>
  </si>
  <si>
    <t>JOSERA NATURE ENERGETIC 12.5 KG</t>
  </si>
  <si>
    <t>FUENTE AGUA MASCOTAS FLOR 2 LTS</t>
  </si>
  <si>
    <t>RASCADOR XL CON CÁPSULA CASA MADERA ESCALA</t>
  </si>
  <si>
    <t>CHURU CAT TUNA/OSTIONES 4 TUBES / 14 GRS</t>
  </si>
  <si>
    <t>BAÑO PARA GATOS 46.5*57.1*39.9 NEKO VERDE</t>
  </si>
  <si>
    <t>SABANILLA 50 UNI CARBON ACTIVO</t>
  </si>
  <si>
    <t>ASTRO SENIOR 14K</t>
  </si>
  <si>
    <t>ADVANTIX PERROS 25 - 40 KG (4.0 ml)</t>
  </si>
  <si>
    <t>MEDALLONES DE CORDERO 100 GRS TASTY FARM</t>
  </si>
  <si>
    <t>CAT WHITE LAVENDER 8 KG</t>
  </si>
  <si>
    <t>SMAKERS ECONOMIC FOR CANARY</t>
  </si>
  <si>
    <t>JUGUETE PARA MASCOTAS REFLECTANTE Y MANGO</t>
  </si>
  <si>
    <t>GEMON POUCH CAT SENIOR TURKEY 100 GR</t>
  </si>
  <si>
    <t>NOMADE ADULTO RAZAS PEQUEÑAS 3 KG</t>
  </si>
  <si>
    <t>JUGUETE ANTIMICROBIAL NYLON CAUCHO POLLO 7.25"</t>
  </si>
  <si>
    <t>JOSERA MINI JUNIOR 900 GR</t>
  </si>
  <si>
    <t>MELOXIVET GATO 20ML</t>
  </si>
  <si>
    <t>BRIT JERKY SNACK VENISON PROTEIN BAR FOR DOGS 80G</t>
  </si>
  <si>
    <t>N&amp;D PUMPKIN FELINE PATO MELAO 7,5</t>
  </si>
  <si>
    <t>CREDELIO TAB 225 MGX X 3BLCD CH (&gt;5,5-11 kg)</t>
  </si>
  <si>
    <t>FIPROKILL 100 ML MATA PULGAS Y GARRAPATAS</t>
  </si>
  <si>
    <t>NAXPET RAZA GRANDE 30MG X 10 COMP</t>
  </si>
  <si>
    <t>SINPUL SPRAY 500 ML PERROS Y GATOS</t>
  </si>
  <si>
    <t>Brit care cat grain-free Sterilized urinary health 7 kg</t>
  </si>
  <si>
    <t>FIT SNACK PERRO CALUGA 65G</t>
  </si>
  <si>
    <t>HILLS FELINE I/D 1.81K</t>
  </si>
  <si>
    <t>MALLA DE SEGURIDAD PARA GATOS XL</t>
  </si>
  <si>
    <t>SNACK CREMOSO DE CONEJO CON CATNIP 15G</t>
  </si>
  <si>
    <t>JOSERA DAILYCAT 2 KG</t>
  </si>
  <si>
    <t>LATA GATO DR LINK - URINARY - CASTRAT CHICKEN, WHITE FISH 200GR</t>
  </si>
  <si>
    <t>NEXGARD 11.3 MG 3 COMP 2 - 4 KG</t>
  </si>
  <si>
    <t>COLLAR ISABELINO 10 CM</t>
  </si>
  <si>
    <t>BILJAC TREATS PB NANAS 113 GRS</t>
  </si>
  <si>
    <t>BRIT CARE DOG CHICKEN &amp; INSECT ADULT MEDIUM BREED 3KG</t>
  </si>
  <si>
    <t>CHURU MEGACHURU DOG CHICKEN 48GR / 3 TUBES</t>
  </si>
  <si>
    <t>MIX SEMILLAS PARA CANARIOS 500GR</t>
  </si>
  <si>
    <t>SUPERPET OMEGA 3 - 6 CACHORRO 125 ML</t>
  </si>
  <si>
    <t>BILJAC SENSITIVE 13.6 KGS</t>
  </si>
  <si>
    <t>Premium Perros Adultos Cordero 20k</t>
  </si>
  <si>
    <t>AQUADENT ORAL 250ML</t>
  </si>
  <si>
    <t>DIFUSOR BLISTER 15 CM</t>
  </si>
  <si>
    <t>Brit care cat grain-free kitten healthy growth &amp; development 2 kg</t>
  </si>
  <si>
    <t>BAÑO GATO ROMEO LILA</t>
  </si>
  <si>
    <t>RASCADOR GATOS CAT001 COLOR CAFE</t>
  </si>
  <si>
    <t>BRIT CRUNCHY SNACK INSECTS WITH RABBIT 200 GR</t>
  </si>
  <si>
    <t>BENEBONE PAWPLEXER CHICKEN LARGE</t>
  </si>
  <si>
    <t>CAMA CASA S GRIS/AZUL</t>
  </si>
  <si>
    <t>VIRUTA ASAN PET PURE 10L, (2.2K)</t>
  </si>
  <si>
    <t>HILLS CANINE I/D DIGESTIVE CARE 7.98K</t>
  </si>
  <si>
    <t>TOPK9 AGLUTINANTE IONES MANZANA 10 KG</t>
  </si>
  <si>
    <t>MASTIG SURTIDO NATURAL 120GR</t>
  </si>
  <si>
    <t>Comedero Colgante (7.5*11cm)</t>
  </si>
  <si>
    <t>MASTIG BOMBON RELLENO 3 UNID</t>
  </si>
  <si>
    <t>VENDA COHESIVA COBAN 15 CM ANCHO - ROJO</t>
  </si>
  <si>
    <t>JUGUETE DE YUTE 30x7x5CM</t>
  </si>
  <si>
    <t>CHURU SKIN CAT TUNA X 4 (USA671)</t>
  </si>
  <si>
    <t>NEXGARD SPECTRA 7.6 - 15 KG 3 COMPRIMIDOS</t>
  </si>
  <si>
    <t>PISCINA PARA MASCOTAS (120 cm diametro, 30 cm altura) ROJA</t>
  </si>
  <si>
    <t>TUERCA MACIZA CON MANGO</t>
  </si>
  <si>
    <t>PLATO ACERO INOXIDABLE PINTADO 1900 ML</t>
  </si>
  <si>
    <t>CHURU DOG CHICKEN 4 TUBES / 14 GRS</t>
  </si>
  <si>
    <t>CREDELIO TAB 56.25 MG X1BLCD CH (1,3-2,5 kg)</t>
  </si>
  <si>
    <t>RED MICO 100 ML / 8 GR</t>
  </si>
  <si>
    <t>NEW FROST LIGHT ALL BREEDS 15K</t>
  </si>
  <si>
    <t>PALO PARA AVES L ROJO 15X3.5 CM</t>
  </si>
  <si>
    <t>MUCOMAX SOLUCION GEL 10GRS</t>
  </si>
  <si>
    <t>BRIT CARE DOG HYPOALLERGENIC SENIOR LAMB 3 KG</t>
  </si>
  <si>
    <t>CONEJERA GRANDE (84 x 49 cm) ROSADA</t>
  </si>
  <si>
    <t>ARENA SANITARIA SILICA GEL 7.6 LTS</t>
  </si>
  <si>
    <t>VIRBAC D-DOG WEIGHT LOSS &amp; CONTROL 3 KG</t>
  </si>
  <si>
    <t>ADVOCATE PERROS 25 A 40 KG (4.0 ml)</t>
  </si>
  <si>
    <t>FELLINI CREAMY ALIM HUM MIX ATUN Y FIBRA HAIRBALL 15 GR X 4 SACHET</t>
  </si>
  <si>
    <t>PAÑAL PERROS CELOS</t>
  </si>
  <si>
    <t>SINPUL SHAMPOO 300ml</t>
  </si>
  <si>
    <t>NEW FROST ADULT MINI &amp; SMALL 15 KG</t>
  </si>
  <si>
    <t>LABYES FELINE FULL SPOT +5KG (1.2ML)</t>
  </si>
  <si>
    <t>CREDELIO TAB 450 MGX X 1BLCD CH (&gt;11-22 kg)</t>
  </si>
  <si>
    <t>CHIP MARCAJE MASCOTAS PEQUEÑAS (1.25x7mm)</t>
  </si>
  <si>
    <t>HILLS FELINE ADULT 7+ 1.81 K</t>
  </si>
  <si>
    <t>BRIT CARE DOG HYPOALLERGENIC JUNIOR LARGE BREED LAMB 12K</t>
  </si>
  <si>
    <t>BRIT PREMIUM BY NATURE CAT INDOOR 8K</t>
  </si>
  <si>
    <t>Planta de Adorno para Acuario Azul y Morado</t>
  </si>
  <si>
    <t>VIRBAC CAT ADVANCED KIDNEY &amp; JOINT 1,5 kg</t>
  </si>
  <si>
    <t>RASCADOR CON PELOTA PARA GATO</t>
  </si>
  <si>
    <t>TOPK9 AGLUTINANTE IONES LAVANDA 4 KG</t>
  </si>
  <si>
    <t>TRANSPORTADORA BRACCO 80</t>
  </si>
  <si>
    <t>PLATO ACERO INOX. ANTI-HORMIGAS BASE GOMA 2900 ML</t>
  </si>
  <si>
    <t>PLANTA DE ADORNO PARA ACUARIO RAMAS VERDES</t>
  </si>
  <si>
    <t>CUERNO DE COLORES WARRIOR</t>
  </si>
  <si>
    <t>CREDELIO TAB 450 MGX X 3BLCD CH (&gt;11-22 kg)</t>
  </si>
  <si>
    <t>COLLAR ISABELINO 12.5 CM</t>
  </si>
  <si>
    <t>COMEDERO Y BEBEDERO PARA GATOS ROSADO (CON ADAPTADOR PARA BOTELLAS)</t>
  </si>
  <si>
    <t>BAÑO ECOLOGICO PERRO MEDIANO (43*68 CM)</t>
  </si>
  <si>
    <t>Bifetacel Plus Pasta 31 Grs.</t>
  </si>
  <si>
    <t>JUGUETE ZANAHORIA CUERDA</t>
  </si>
  <si>
    <t>TERRARIUM SAND 1.5K TERRA NATURA - ARENA TERRARIO</t>
  </si>
  <si>
    <t>ARENA VANCAT PINE 10KG</t>
  </si>
  <si>
    <t>HEMOMIC SUSP ORAL PERRO-GATO 60ML</t>
  </si>
  <si>
    <t>SIMPARICA TRIO 40 - 60 KG X 3 COMP</t>
  </si>
  <si>
    <t>COLUMPIO AVES FORMA PIÑA CON JUEGOS</t>
  </si>
  <si>
    <t>NANORMEN PUPPY SUSP 20 ML</t>
  </si>
  <si>
    <t>MANGUERA DIFUSORA 1 METRO</t>
  </si>
  <si>
    <t>SIMPARICA TRIO 5 - 10 KG X 1 COMP</t>
  </si>
  <si>
    <t>MATISSE SALMAO 7.5KG</t>
  </si>
  <si>
    <t>BAÑO GATO ROMEO CELESTE</t>
  </si>
  <si>
    <t>SINPULKILL COLLAR GATO</t>
  </si>
  <si>
    <t>AQUA-ALKAL PH PLUS (BOTELLA 250ML)</t>
  </si>
  <si>
    <t>HILLS CANINE K/D 13OZ (370GR)</t>
  </si>
  <si>
    <t>ARTRIOFIN 10 COMP</t>
  </si>
  <si>
    <t>PAPAINPET X 30 COMP</t>
  </si>
  <si>
    <t>PET HOUSE TECHO AZUL</t>
  </si>
  <si>
    <t>Therapy Feline Renal Care 2k</t>
  </si>
  <si>
    <t>PETBRILL ACONDICIONADOR 500 ML</t>
  </si>
  <si>
    <t>PICHICHI EDUCADOR SANITARIO 20 ML</t>
  </si>
  <si>
    <t>CANISH SHAMPOO SECO ESPUMA 160 ML</t>
  </si>
  <si>
    <t>CANVIT SNACK MOBILITY 200 G</t>
  </si>
  <si>
    <t>CHALECO TACTICO L NEGRO</t>
  </si>
  <si>
    <t>MASTIG SURTIDO NATURAL 300GR</t>
  </si>
  <si>
    <t>PACK SANITARIO (BAÑO-PALA-PLATO 32x43x9) CELESTE</t>
  </si>
  <si>
    <t>CONEJERA (84.5*49*37 cm)</t>
  </si>
  <si>
    <t>TERMOMETRO VIDRIO ACUARIOS</t>
  </si>
  <si>
    <t>CONEJERA R1 (60x36x32) ROSADO</t>
  </si>
  <si>
    <t>JUGUETE PELUCHE ZORRILLO 60CM</t>
  </si>
  <si>
    <t>JAULA HAMSTER OVAL (37*28*35CM)</t>
  </si>
  <si>
    <t>NATURAL LIME SMAKERS FOR RODENTS AND RABBIT</t>
  </si>
  <si>
    <t>SMAKERS FOR RODENTS/RABBI - CAROB 90GR</t>
  </si>
  <si>
    <t>JUGUETE ANTIMICROBIAL NYLON CIRCULO POLLO 5.75"</t>
  </si>
  <si>
    <t>Juguete Football Fun See</t>
  </si>
  <si>
    <t>COLUMPIO AVES MADERA COLORES</t>
  </si>
  <si>
    <t>CINTURON DE SEGURIDAD AUTO</t>
  </si>
  <si>
    <t>ALIMENTO ERIZO SPIKE 600 GRS</t>
  </si>
  <si>
    <t>CHURU ROLLS DOG SALMON X 8 (USD732)</t>
  </si>
  <si>
    <t>VET EXPERT ALU HEAL SPRAY 200 ML</t>
  </si>
  <si>
    <t>PLATO REPTILES 10X7.5X2.3CM</t>
  </si>
  <si>
    <t>JUGUETE CORN-E-CARROT LARGE</t>
  </si>
  <si>
    <t>MALLA DE SEGURIDAD PARA GATOS M</t>
  </si>
  <si>
    <t>VIRBAC HPM CAT KIDNEY &amp; JOINT 1.5KG</t>
  </si>
  <si>
    <t>FIT FORMULA CACHORRO PERRO 3K</t>
  </si>
  <si>
    <t>MAQUINA CORTADORA DE PELO PARA MASCOTA</t>
  </si>
  <si>
    <t>JOSERA CUBREASIENTO GIFT</t>
  </si>
  <si>
    <t>CALMING TABLET X20 COMP - BEAPHAR</t>
  </si>
  <si>
    <t>VIRBAC MILPRO 16/40 MG GATOS +2KG X 2 COMP</t>
  </si>
  <si>
    <t>CREDELIO TAB 900 MGX X 3BLCD CH (&gt;22-45 kg)</t>
  </si>
  <si>
    <t>REPUESTO FILTRO FUENTE MANGO</t>
  </si>
  <si>
    <t>PROFENDER SPOT HASTA 8 KG</t>
  </si>
  <si>
    <t>MAQUINA CORTAPELOS PARA MASCOTAS PROFESIONAL PCS CUCHILLAS ADAPTABLES</t>
  </si>
  <si>
    <t>JUGUETE WOODY CHEW CHUNK S</t>
  </si>
  <si>
    <t>MamiStop para Perros Sustituto Lácteo 125 g</t>
  </si>
  <si>
    <t>Nutrique Toy Mini Young Adult Dog 3k</t>
  </si>
  <si>
    <t>LACTOL PUPPY MILK 250GR - BEAPHAR</t>
  </si>
  <si>
    <t>VIRBAC ESPUMA SECA 330 ML</t>
  </si>
  <si>
    <t>TRANSPORTADORA GIPSY S (GRIS / LILA)</t>
  </si>
  <si>
    <t>PLATO ACERO INOXIDABLE PINTADO 950 ML</t>
  </si>
  <si>
    <t>CAMA PONGEE 50 X 45 X 18 CM</t>
  </si>
  <si>
    <t>DOUXO S3 ANTIOLOR SEBORREGULADOR PERROS Y GATOS 150ml</t>
  </si>
  <si>
    <t>MATIPET POMADA 50G</t>
  </si>
  <si>
    <t>VIRBAC ADULT NEUTERED CAT 3 KG</t>
  </si>
  <si>
    <t>BAÑO GATO ROMEO AZUL</t>
  </si>
  <si>
    <t>VITAL HERBAL SMAKERS - BROCCOLI ROSE 90GR</t>
  </si>
  <si>
    <t>CEPILLO PARA MASAJE SPA</t>
  </si>
  <si>
    <t>CEPILLOS DE DIENTES DE DEDO PERROS Y GATOS X2 BEAPHAR</t>
  </si>
  <si>
    <t>LAIKA PET ACONDICIONADOR NEUTRO AVENA PARA PERROS 400 ML</t>
  </si>
  <si>
    <t>NEW FROST ADULT MEDIUM &amp; LARGE 15K</t>
  </si>
  <si>
    <t>ATACAMA PUPPY 14 KG</t>
  </si>
  <si>
    <t>LAXDRAG DISPLAY 90 G</t>
  </si>
  <si>
    <t>COMEDERO PARA AVES - 200 ML (10.5 x 5.5 x 8 cm)</t>
  </si>
  <si>
    <t>LEONARDO LATA QUALITY SELECCION PESCADO 200 GR</t>
  </si>
  <si>
    <t>LETS BITE MEAT SNACKS SALMON BARS 80 GR</t>
  </si>
  <si>
    <t>GALLETA SABOR ATUN CON MATABI</t>
  </si>
  <si>
    <t>SIMPARICA TRIO 10 - 20 KG X 3 COMP</t>
  </si>
  <si>
    <t>MAINTENANCE CRIADORES ADULTO RAZA PEQUEÑA 3KG</t>
  </si>
  <si>
    <t>NAXPET PERRO-GATO 10MG X 10 COMP</t>
  </si>
  <si>
    <t>ARGOLLAS OLIMPICAS CON CAMPANA</t>
  </si>
  <si>
    <t>DOG CHURU 8P POLLO CON VEGETALES</t>
  </si>
  <si>
    <t>BILJAC TREATS YAPPLE NANAS 113GR</t>
  </si>
  <si>
    <t>SEMILLAS DE ALPISTE 1K</t>
  </si>
  <si>
    <t>Churu variedades de atún</t>
  </si>
  <si>
    <t>Juguete turbo dog pelota 10.2 cm</t>
  </si>
  <si>
    <t>NOMADE CACHORRO 3 KG</t>
  </si>
  <si>
    <t>BEBEDERO COLGANTE PARA JAULA - AMARILLO 500ML</t>
  </si>
  <si>
    <t>ADORNO ACUARIO CALAVERA FIBRA OPTICA</t>
  </si>
  <si>
    <t>JUGUETE TORO ELITE</t>
  </si>
  <si>
    <t>HAMACA DE ASEO TALLA L COLOR GRIS 11 ACCESORIOS</t>
  </si>
  <si>
    <t>HASYUN 10 COMP</t>
  </si>
  <si>
    <t>GOLDFISH COLOR 500 ML/ 100G</t>
  </si>
  <si>
    <t>ARENA AMERICALITTER ULTRA ODOR SEAL 7 KG (ACTIVATED CARBON)</t>
  </si>
  <si>
    <t>PALA PARA FECAS 19.5*8.8cm 17g CELESTE</t>
  </si>
  <si>
    <t>COUNTRY DOG MAINTENANCE 15 KG</t>
  </si>
  <si>
    <t>FOSFORO PLANTMIX 1000ML</t>
  </si>
  <si>
    <t>COLLAR ISABELINO VELCRO (61x38x29)</t>
  </si>
  <si>
    <t>LIMPIADOR ACUARIO EN V DOPHIN 61 CM</t>
  </si>
  <si>
    <t>JAULA TUBOS 1 PISO (37*28*27.5CM)</t>
  </si>
  <si>
    <t>RESPIG X 100ML ORAL</t>
  </si>
  <si>
    <t>TROTTER GATO 10.1KG</t>
  </si>
  <si>
    <t>BILJAC PB NANAS 283 GR</t>
  </si>
  <si>
    <t>Balanced Natural Recipe Filetes Carne Perro Adulto 340g</t>
  </si>
  <si>
    <t>BILJAC REDUCED FAT 2.75 KG</t>
  </si>
  <si>
    <t>PAZPET TRANQUILIZANTE NATURAL 60 ml</t>
  </si>
  <si>
    <t>BOLSAS PARA FECAS DISEÑO EMOJI FECAS</t>
  </si>
  <si>
    <t>JUGUETE ESCALERA PARA AVES (42X1X42 CM)</t>
  </si>
  <si>
    <t>ARNES CUY HURONES PEQUEÑOS</t>
  </si>
  <si>
    <t>HILLS CANINE C/D 13OZ (370GR)</t>
  </si>
  <si>
    <t>Juguete Olive Chrome Play</t>
  </si>
  <si>
    <t>HEPROTEC 180ML</t>
  </si>
  <si>
    <t>FIT CRUNCHY GATO ATUN/SALMON 100G</t>
  </si>
  <si>
    <t>JAULA ACRICILA ROEDORES 3 PISOS (40*26*53 CM)</t>
  </si>
  <si>
    <t>ADVOCATE PERROS 10 A 25 KG (2.5 ml)</t>
  </si>
  <si>
    <t>CREDELIO TAB 112.5 MG X 1BLCD CH (&gt;2,5-5,5 kg)</t>
  </si>
  <si>
    <t>TOPK9 AGLUTINANTE BRISA MARINA 10 KG</t>
  </si>
  <si>
    <t>TRANSPORTADORA ANIMALES PEQUEÑOS N3 VERDE</t>
  </si>
  <si>
    <t>ESCALERA PERRO 3 PELDAÑOS (ALTURA 30 CM)</t>
  </si>
  <si>
    <t>FILTRO INTERNO ACUARIO 18W-1000L/H</t>
  </si>
  <si>
    <t>RUEDA HAMSTER C/RODAMIENDO MEDIANA</t>
  </si>
  <si>
    <t>PELOTA CON COLA WARRIOR</t>
  </si>
  <si>
    <t>CHURU BITES POLLO PERRO 8 TUBOS</t>
  </si>
  <si>
    <t>CHURU GATOS SABOR ATUN CON POLLO 4 TUBOS</t>
  </si>
  <si>
    <t>CHURU FUN BITES POLLO Y QUESO - PERRO (6 SACHETS)</t>
  </si>
  <si>
    <t>BOLA DE CATNIP CON PLUMAS</t>
  </si>
  <si>
    <t>DOG CHURU 8P POLLO CON ATUN</t>
  </si>
  <si>
    <t>ECOCLAR 500ml</t>
  </si>
  <si>
    <t>DIGESTIVET X 30 COMP</t>
  </si>
  <si>
    <t>VITAL HERBAL SMAKERS - WOODY 90GR</t>
  </si>
  <si>
    <t>RASCADOR PARA ESQUINAS MUBLES BEIGE</t>
  </si>
  <si>
    <t>RASCADOR CAT TREE 35x35x47 GRIS CLARO</t>
  </si>
  <si>
    <t>Bloque rectangular para casa de bacteria (10*3.1CM)</t>
  </si>
  <si>
    <t>ALIMENTADOR AUTOMATICO</t>
  </si>
  <si>
    <t>HUESO LARGO WARRIOR</t>
  </si>
  <si>
    <t>INDOMITABLE NAVIDEÑAS CREAMY MANT MANI 120GR</t>
  </si>
  <si>
    <t>ADVANTIX PERROS 4 - 10 KG (1.0 ml)</t>
  </si>
  <si>
    <t>YUMM STIX MIND POLLO CON QUESO</t>
  </si>
  <si>
    <t>VET EXPERT ARTHOVET COMPLEX x 60 UN</t>
  </si>
  <si>
    <t>VARILLA CON DOBLE PESCADITO</t>
  </si>
  <si>
    <t>VARILLA GUSANO CON OJOS LANILLA CELESTE</t>
  </si>
  <si>
    <t>CHURU CAT MEAL TOPPER TUNA/SALMON 14GR/4TUB</t>
  </si>
  <si>
    <t>SENSATIONS SALMON 100 GRS PINK</t>
  </si>
  <si>
    <t>VALVULA ANTI RETORNO</t>
  </si>
  <si>
    <t>RASCADOR SISAL COLGANTE PARA GATOS (LARGO 30 CM)</t>
  </si>
  <si>
    <t>PINK MOMENTS - MIX SABORES 50 TUBOS</t>
  </si>
  <si>
    <t>JOSERA JOSICAT KITTEN 1.9K</t>
  </si>
  <si>
    <t>ITRASKIN 2% SUSP ORAL 120 ML</t>
  </si>
  <si>
    <t>RASCADOR CAFE 7 PISOS 2 CASAS Y PELOTITAS</t>
  </si>
  <si>
    <t>PIPETA FRONTLINE PLUS PERROS 20 - 40 KGS (2.68 ml)</t>
  </si>
  <si>
    <t>CASA DE TIMOTHY CON ZANAHORIA</t>
  </si>
  <si>
    <t>VIRBAC D-CAT UROLOGY DISSOLUTION &amp; PREVENTION 1,5 kgs</t>
  </si>
  <si>
    <t>BRIT PREMIUM BY NATURE JUNIOR LARGE 15 KG</t>
  </si>
  <si>
    <t>SIMPARICA TRIO 1.25 - 2.5 KG X 3 COMP</t>
  </si>
  <si>
    <t>STOMORGYL 2 X 10 COMP</t>
  </si>
  <si>
    <t>ENGYSTOL X 100 COMP</t>
  </si>
  <si>
    <t>HILLS CANINE I/D DIGESTIVE CARE SMALL BITES 3,3 LB (1,58 KG)</t>
  </si>
  <si>
    <t>SOULPETS GATO CELOS Y AGRESIVIDAD</t>
  </si>
  <si>
    <t>TUNEL TRIPLE</t>
  </si>
  <si>
    <t>TROTTER ADULTO 20KG</t>
  </si>
  <si>
    <t>TRAPER SHAMPOO ESPUMA SECA PERRO MANGO SPRAY X 170 ML</t>
  </si>
  <si>
    <t>CHURU JUICY BITES CAMARON Y MARISCOS</t>
  </si>
  <si>
    <t>VARILLA POMPOM Y PLUMAS VERDE</t>
  </si>
  <si>
    <t>VIRBAC D-CAT UROLOGY URINARY WIB X 1.5KG</t>
  </si>
  <si>
    <t>TOPK9 TERAPHY TOALLA HUMEDA RELAJANTE XG 30 UNID LAVANDA</t>
  </si>
  <si>
    <t>JUGUETE CON SONIDO VARIEDADES (9.5CM)</t>
  </si>
  <si>
    <t>Juguete Frisbee Fun See</t>
  </si>
  <si>
    <t>TUBO RECTO XL PARA HURONES AZUL</t>
  </si>
  <si>
    <t>TERMOMETRO DIGITAL</t>
  </si>
  <si>
    <t>SUPREME 100 ML</t>
  </si>
  <si>
    <t>CALEFACTOR REGULABLE 50 WATTS</t>
  </si>
  <si>
    <t>HILLS CANINE DERM COMPLETE 13 OZ (370GR)</t>
  </si>
  <si>
    <t>JUGUETE PARA PERROS CUERPO REDONDO 35CM</t>
  </si>
  <si>
    <t>ARNES CUERPO CON DISEÑO M</t>
  </si>
  <si>
    <t>JUGUETE GATO DOBLE ANILLO</t>
  </si>
  <si>
    <t>JUGUETE MADERA PARA AVES (DIAMETRO 6CM-ESPESOR2.5CM)</t>
  </si>
  <si>
    <t>HUESO BOOMERAN</t>
  </si>
  <si>
    <t>ASTRO CAT GOURMET 7K</t>
  </si>
  <si>
    <t>ARNES CUERPO CON DISEÑO L</t>
  </si>
  <si>
    <t>JUGUETE ANTIMICROBIAL NYLON CIRCULO SALMON 5.75"</t>
  </si>
  <si>
    <t>Churu variedades de pollo 5 tubos Churu de pollo + 5 tubos Churu de pollo con ostión</t>
  </si>
  <si>
    <t>VIRBAC DOG HYPOALLERGY 12 KG</t>
  </si>
  <si>
    <t>ZAPATOS PARA PERROS TELA Y VELCRO TALLA S ROSA</t>
  </si>
  <si>
    <t>JUGUETE PORFIADO CON PLUMAS WONDER CAT (6X4.4 CM)</t>
  </si>
  <si>
    <t>HAMACA DE ASEO SIMPLE TALLA M COLOR NEGRO</t>
  </si>
  <si>
    <t>TANGO DIA A DIA PERRO ADULTO 20KG</t>
  </si>
  <si>
    <t>SUPER TUBO FLEXIBLE 150</t>
  </si>
  <si>
    <t>BRAVECTO 1M PERRO 2 - 4.5 KG 1 COMP</t>
  </si>
  <si>
    <t>COLLAR PARA GATOS DISEÑO GATO</t>
  </si>
  <si>
    <t>JUGUETE PELUCHE CON CATNIP (SUSHI CAMARON) 10CM</t>
  </si>
  <si>
    <t>JUGUETE PELUCHE KAWAII CONEJITO 8CM</t>
  </si>
  <si>
    <t>COLUMPIO CON DOS CAMPANAS UNIPET</t>
  </si>
  <si>
    <t>COMEDERO MEDIO MASCOTAS PEQUEÑAS VERDE</t>
  </si>
  <si>
    <t>COMEDERO MINI MASCOTAS PEQUEÑAS FUCSIA</t>
  </si>
  <si>
    <t>JUGUETE TURBO DOG PELOTA 8 CM</t>
  </si>
  <si>
    <t>HAMACA PARA GATOS CON CHUPON (55 * 35cm)</t>
  </si>
  <si>
    <t>COLONIA ANIMAL HEALTH PUPPY - 180ML</t>
  </si>
  <si>
    <t>JUGUETE TURBO DOG PELOTA 12.7 CM</t>
  </si>
  <si>
    <t>JUGUETE TURBO DOG SET 3 PELOTAS 4.8CM</t>
  </si>
  <si>
    <t>LABYES FELINE FULL SPOT 0.5-2 KG (0.40ML)</t>
  </si>
  <si>
    <t>MANTA DISEÑO CAMUFLAJES TALLA S</t>
  </si>
  <si>
    <t>LABYES FELINE FULL SPOT 2-5 KG (0.80ML)</t>
  </si>
  <si>
    <t>SHAMPOO SECO TIDY PERROS 100G</t>
  </si>
  <si>
    <t>REPTILES CARNIVORE SOFT 250 ML/ 65G</t>
  </si>
  <si>
    <t>ADORNO TRONCO CON PLANTAS 14*14*10CM</t>
  </si>
  <si>
    <t>RUEDA HAMSTER ENANO 15 CM PEDESTAL AZUL</t>
  </si>
  <si>
    <t>RUEDA HAMSTER ENANO 15 CM PEDESTAL ROSADA</t>
  </si>
  <si>
    <t>RUBBER UNIDIRECCIONAL</t>
  </si>
  <si>
    <t>ROSTRUM 20 ML</t>
  </si>
  <si>
    <t>RASCADOR PATITA COLOR GRIS</t>
  </si>
  <si>
    <t>SINPUL DRY TALCO GATO 100 GRS</t>
  </si>
  <si>
    <t>SINPUL SPRAY 200 ML PERROS Y GATOS</t>
  </si>
  <si>
    <t>CONEJERA (120*60*50 cm)</t>
  </si>
  <si>
    <t>COLONIA LAIKA PET PUPPY 130 ML</t>
  </si>
  <si>
    <t>JUGUETE ZANAHORIA LOOFAH 7''</t>
  </si>
  <si>
    <t>PLATO ACERO INOXIDABLE PINTADO 710 ML</t>
  </si>
  <si>
    <t>BOLA CON DIENTES + CUERDA DE ALGODON</t>
  </si>
  <si>
    <t>DOG CHURU 8P POLLO CON SALMON</t>
  </si>
  <si>
    <t>DERMADIET 60 COMP</t>
  </si>
  <si>
    <t>BOLA DE CATNIP PRENSADO</t>
  </si>
  <si>
    <t>NEW FROST PUPPY MEDIUM &amp; LARGE 15K</t>
  </si>
  <si>
    <t>NEW FROST ADULT LIGHT MINI &amp; SMALL 2.5K</t>
  </si>
  <si>
    <t>FUENTE PARA PERRO 150 CM</t>
  </si>
  <si>
    <t>DOPIRAL 1.5mg/ml SUSP ORAL 32 ML</t>
  </si>
  <si>
    <t>Microtel 100 Ml</t>
  </si>
  <si>
    <t>MERA EXKLUSIV SENSITIVE ADULT LACHS &amp; REIS 15K</t>
  </si>
  <si>
    <t>PETBRILL SHAMPOO CACHORRO FILOTHES 500 ML</t>
  </si>
  <si>
    <t>PETBRILL SHAMPOO COCO 500 ML</t>
  </si>
  <si>
    <t>PETBRILL SHAMPOO ACONDICIONADOR 2X1 500 ML</t>
  </si>
  <si>
    <t>NEXGARD 28.3 MG 4 - 10 KG 3 COMPRIMIDOS</t>
  </si>
  <si>
    <t>ARENA FIT LAVANDA 2 KG AGLUTINANTE</t>
  </si>
  <si>
    <t>PALITOS DE PETALOS TIMOTHY 170 GRS</t>
  </si>
  <si>
    <t>FIT SNACK GATO PESCADITOS 65G</t>
  </si>
  <si>
    <t>PALA PEQUENA 28*13.5cm 40g VERDE</t>
  </si>
  <si>
    <t>PALO PARA AVES S ROJO 10X3.5 CM</t>
  </si>
  <si>
    <t>PACK SANITARIO (BAÑO-PALA-PLATO 32x43x9) BEIGE</t>
  </si>
  <si>
    <t>PETBRILL SHAMPOO DE CASTAÑA 500ML</t>
  </si>
  <si>
    <t>ARENA FIT BABY 4 KG AGLUTINANTE</t>
  </si>
  <si>
    <t>PALA PARA FECAS 19.5*8.8cm 17g VERDE</t>
  </si>
  <si>
    <t>CHALECO TACTICO L VERDE</t>
  </si>
  <si>
    <t>FAWNA GATOS ADULTOS STERILIZED 7.5 KG</t>
  </si>
  <si>
    <t>JAULA HAMSTER 3 PISOS TUBOS</t>
  </si>
  <si>
    <t>TUNEL XL FORMA T ACRILICO PARA HURONES AZUL</t>
  </si>
  <si>
    <t>JOSERA HIGH ENERGY 12.5KG</t>
  </si>
  <si>
    <t>ASTRO SMALL BREED 14K</t>
  </si>
  <si>
    <t>ATACAMA ALL BREEDS 20 KG SUPER PREMIUM</t>
  </si>
  <si>
    <t>CANISH SHAMPOO EXTRA BRILLO 390 ML</t>
  </si>
  <si>
    <t>PETEVER SHAMPOO FORTE 150ML</t>
  </si>
  <si>
    <t>Galliprant 20 Mg de 30 Comprimidos</t>
  </si>
  <si>
    <t>N&amp;D Ancestral Grain Adult Cat 1,5 kg</t>
  </si>
  <si>
    <t>GOOFY BOCADOS SUPER MIX 7 UNIDADES X 90 G</t>
  </si>
  <si>
    <t>N&amp;D PRIME FELINE KITTEN 7,5 kg</t>
  </si>
  <si>
    <t>ALMOHADILLA TERMICA PARA MASCOTAS REDONDA (30 CM)</t>
  </si>
  <si>
    <t>CAMA PARA MASCOTAS LINO GRIS INTERIOR FELPA 80x60x20 CM</t>
  </si>
  <si>
    <t>DOGUIVIT SENIOR 60 COMP</t>
  </si>
  <si>
    <t>Beaphar Aceite de Salmón 430 ml</t>
  </si>
  <si>
    <t>D-ALLIO PLUS FLAKES 1000 ML / 200 GR</t>
  </si>
  <si>
    <t>Cojin Para Gatos O Cachorros L Beige</t>
  </si>
  <si>
    <t>BITES POLLO HUEVO 60 GRS PINK</t>
  </si>
  <si>
    <t>Veraflox Suspensión Oral 15 ML</t>
  </si>
  <si>
    <t>BITES POLLO 60 GRS PINK</t>
  </si>
  <si>
    <t>ARNES CON MOCHILA L + TRAILLA</t>
  </si>
  <si>
    <t>CONTENEDOR DE ALIMENTOS 5L - CELESTE BEIGE CON PALA Y PLATO</t>
  </si>
  <si>
    <t>PETAG KMR LIQUID 11 OZ</t>
  </si>
  <si>
    <t>JAULA CASTILLO (45.5*28.5*51CM)</t>
  </si>
  <si>
    <t>JAULA DE REPTILES DESMONTABLE 60*40*70.5</t>
  </si>
  <si>
    <t>CASA PARA PEQUEÑAS MASCOTAS</t>
  </si>
  <si>
    <t>CHURU CAT CHICKEN / SCALLOP 4 TUBES / 14 GRS</t>
  </si>
  <si>
    <t>VETLIFE CANINE URINARY STRUVITE 2KG</t>
  </si>
  <si>
    <t>CHALECO TACTICO XL VERDE</t>
  </si>
  <si>
    <t>CHALECO TACTICO M CAFE</t>
  </si>
  <si>
    <t>PELUCHE CUERPO DE PELOTA</t>
  </si>
  <si>
    <t>PELOTA GOMA MACIZA CON CUERDA</t>
  </si>
  <si>
    <t>PELOTA ESTILO TENIS DISENO BASKETBALL</t>
  </si>
  <si>
    <t>CHALECO TACTICO L CAFE</t>
  </si>
  <si>
    <t>FIPROKILL 50 ML</t>
  </si>
  <si>
    <t>FIPRODRAG PERROS 40 - 60 KG PIPETA</t>
  </si>
  <si>
    <t>ESFERA CUY 25 CM ROJA</t>
  </si>
  <si>
    <t>FAWNA PERROS CACHORROS SMALL 7.5 KG</t>
  </si>
  <si>
    <t>PETAG HIGH CALORIE GEL DOG 141GR</t>
  </si>
  <si>
    <t>PETAG HIGH CALORIE GEL CAT 100GR</t>
  </si>
  <si>
    <t>PETBRILL SHAMPOO PARA GATOS 500ML</t>
  </si>
  <si>
    <t>PELUCHE PUNGUINO + RUBBER</t>
  </si>
  <si>
    <t>PETBRILL SHAMPOO NEUTRALIZADOR DE OLORES 500 ML</t>
  </si>
  <si>
    <t>PETBRILL SHAMPOO MANZANILLA 500 ML</t>
  </si>
  <si>
    <t>JOSERA JOSICAT ESTERILIZADO CLASSIC 1.9K</t>
  </si>
  <si>
    <t>BRAVERY CHICKEN AND VEGETABLES DOG WET FOOD 290GR</t>
  </si>
  <si>
    <t>JAULA AVE IGLESIA SIMPLE (47,5 x 36 x 67 cms) CELESTE</t>
  </si>
  <si>
    <t>VARILLA PLUMAS 70CM CON SEGMENTO FLEXIBLE MOSTACILLAS</t>
  </si>
  <si>
    <t>VARILLA GUSANO CON OJOS LANILLA ROSADO</t>
  </si>
  <si>
    <t>BRIT CARE CAT FILLETS IN GRAVY WITH TENDER TURKEY &amp; SAVORY 85G POUCH</t>
  </si>
  <si>
    <t>VARILLA GATO RESORTE Y PELOTITAS ROSADO</t>
  </si>
  <si>
    <t>VARILLA GATO RESORTE Y PELOTITAS AMARILLO</t>
  </si>
  <si>
    <t>BASIC STICKS 5 L / 400 GR PELLET BLANCO TROPICAL</t>
  </si>
  <si>
    <t>V-HEEL TRAUMEEL GEL x 50 GRS</t>
  </si>
  <si>
    <t>BAÑO PARA GATOS 46.5*57.1*39.9 NEKO AZUL-AMARILLO</t>
  </si>
  <si>
    <t>BAÑO PARA CHINCHILLAS</t>
  </si>
  <si>
    <t>CAMA ROEDORES DISEÑOS POLAR Y GANCHOS ROSADO OSCURO TALLA S</t>
  </si>
  <si>
    <t>CAMISETA DE LINEAS ALGODON SIN MANGAS XL</t>
  </si>
  <si>
    <t>BOLA DENTADA + CUERDA DE ALGODON</t>
  </si>
  <si>
    <t>PIPETA FIPRODRAG HASTA 10 KG</t>
  </si>
  <si>
    <t>PIZZA DE TIMOTHY CON FLORES 40GR</t>
  </si>
  <si>
    <t>Bola henera colgante (13 cm)</t>
  </si>
  <si>
    <t>BOLA RELLENA DE AGUA PARA CONGELAR</t>
  </si>
  <si>
    <t>BRIT PREMIUM BY NATURE JUNIOR SMALL 3KG</t>
  </si>
  <si>
    <t>PALITOS DE ZANAHORIA TIMOTHY 350 GRS</t>
  </si>
  <si>
    <t>PALA PEQUENA 28*13.5cm 40g ROSADO</t>
  </si>
  <si>
    <t>ARENA AMERICALITTER ULTRA ODOR SEAL LAVANDA 15 KG</t>
  </si>
  <si>
    <t>PANVERMIC RAZA GRANDE</t>
  </si>
  <si>
    <t>PASTA DENTAL PERROS Y GATOS 100GR - BEAPHAR</t>
  </si>
  <si>
    <t>NIDO PARA AVES BAMBU CERRADO CON GANCHO 10x10x6 CM</t>
  </si>
  <si>
    <t>ARNES PARA COBAYO/CUY</t>
  </si>
  <si>
    <t>PALA GRANDE 33*15-5 cm ROSADO</t>
  </si>
  <si>
    <t>FURMASTER L PELO LARGO PERRO</t>
  </si>
  <si>
    <t>NEW FROST CAT SENIOR STERILIZED 7.5K</t>
  </si>
  <si>
    <t>PLATO ACERO INOX DISEÑO LINEAS 1900 ML</t>
  </si>
  <si>
    <t>PLATO ACERO INOXIDABLE TALLA XXXL</t>
  </si>
  <si>
    <t>PLATO MELAMINA PROFUNDO DISENOS 630 ml 2 2.490 (10%) 4.482</t>
  </si>
  <si>
    <t>DISPENSADOR AGUA 3 , 5 L BARRIL AZUL</t>
  </si>
  <si>
    <t>DARDO VOLADOR CON PELOTA TURBODOG</t>
  </si>
  <si>
    <t>Disco Para Correr 30 CM</t>
  </si>
  <si>
    <t>DIFUSOR BLISTER ESTRELLA</t>
  </si>
  <si>
    <t>DIFUSOR 5 CM</t>
  </si>
  <si>
    <t>PUERTA PERRO M</t>
  </si>
  <si>
    <t>RABBIT 1.5 KILO TROPIFIT</t>
  </si>
  <si>
    <t>DAFORTE 50 ML</t>
  </si>
  <si>
    <t>BRIT CARE MINI GF HAIR &amp; SKIN 7 KG</t>
  </si>
  <si>
    <t>ARNES PECHERA ESCOSES L + TRAILLA</t>
  </si>
  <si>
    <t>NEW FROST CAT SENIOR STERILIZED 1.5K</t>
  </si>
  <si>
    <t>BRIT JERKY SNACK TURKEY MEATY COINS FOR DOGS 80G</t>
  </si>
  <si>
    <t>ENGYSTOL SOL ORAL GOTAS X 100ML HEEL</t>
  </si>
  <si>
    <t>RASCADOR Y HAMACA PARA MURO</t>
  </si>
  <si>
    <t>RASQUETA GRANDE NEGRA</t>
  </si>
  <si>
    <t>POLLO CHILLON FOOTBALL (32 CM)</t>
  </si>
  <si>
    <t>CUENCO CON TAPIOCA Y FLORES S</t>
  </si>
  <si>
    <t>REVOLUTION PLUS PIPETA GATO 5-10 KG (1.0 ML)</t>
  </si>
  <si>
    <t>REVOLUTION PLUS PIPETA GATO 1.2-2.5 K (0.25 ML)</t>
  </si>
  <si>
    <t>CUENCO CON TAPIOCA Y FLORES L</t>
  </si>
  <si>
    <t>CREDELIO TAB 112.5 MGX X 3BLCD CH (&gt;2,5-5,5 kg)</t>
  </si>
  <si>
    <t>RUEDA METALICA ERIZO (30cm diametro, 13 cm ancho) BLANCO</t>
  </si>
  <si>
    <t>RUEDA HAMSTER SILENCIOSA</t>
  </si>
  <si>
    <t>SHOOTERS SPRAY 120ML</t>
  </si>
  <si>
    <t>SHAMPOO SECO TIDY GATOS 100G</t>
  </si>
  <si>
    <t>KIT DE ALIMENTACION MAMADERA PARA MASCOTAS 6 PCS BIOLINE</t>
  </si>
  <si>
    <t>BILJAC PUPPY SELECT 2.7 KG</t>
  </si>
  <si>
    <t>BENEBONE PAWPLEXER BACON SMALL</t>
  </si>
  <si>
    <t>BRACCO TRAVEL 6 92 X 64 X 67.5 CM</t>
  </si>
  <si>
    <t>JUGUETE WOODY MADERA CON CUERDA</t>
  </si>
  <si>
    <t>MAINTENANCE CRIADORES PUPPY 15 KG</t>
  </si>
  <si>
    <t>KEEP OFF SPRAY DOGS</t>
  </si>
  <si>
    <t>MATERNIDAD INTERNA DOPHIN</t>
  </si>
  <si>
    <t>GALLETA SABOR CAMARON CON HIERBA GATERA</t>
  </si>
  <si>
    <t>Furmaster S Pelo Largo Perro</t>
  </si>
  <si>
    <t>KEEP OFF JELLY GATOS REPELENTE</t>
  </si>
  <si>
    <t>FURMASTER S (PELO LARGO) PERRO Y GATO</t>
  </si>
  <si>
    <t>ARNES PARA GATOS CON FLOR M</t>
  </si>
  <si>
    <t>ARNES PARA GATOS CON BRILLO</t>
  </si>
  <si>
    <t>ALFOMBRA OLFATIVA PARA PERROS 60x80CM</t>
  </si>
  <si>
    <t>BOLA CON LINEAS 8 CM WARRIOR</t>
  </si>
  <si>
    <t>DORAZEL 1% 100 ML</t>
  </si>
  <si>
    <t>MERA FINEST FIT OUTDOOR 10 K</t>
  </si>
  <si>
    <t>NIDO PARA AVES TOTORA SIN GANCHO 12x12x6 CM</t>
  </si>
  <si>
    <t>COLUMPIO AVES CON JUEGO</t>
  </si>
  <si>
    <t>COLUMPIO CIRCULAR CON CAMPANA</t>
  </si>
  <si>
    <t>COLONIA LAIKA PET BOY 130 ML</t>
  </si>
  <si>
    <t>COMEDERO MINI 200 ML PARA MASCOTAS</t>
  </si>
  <si>
    <t>SIMPARICA TRIO 10 - 20 KG X 1 COMP</t>
  </si>
  <si>
    <t>BOZAL DE PERRO REFORZADO N4</t>
  </si>
  <si>
    <t>JUGUETE TURBO DOG PESA 13 CM</t>
  </si>
  <si>
    <t>COLLAR XL (2.5*40‐55 CM) DISEÑO MIXTO 2 WONDER DOG</t>
  </si>
  <si>
    <t>ARNES CON GORRO WONDER TOBY M</t>
  </si>
  <si>
    <t>Arnes con diseño M JEANS</t>
  </si>
  <si>
    <t>SNACK EN PASTA BONITO 15 G SACHET BIOLINE</t>
  </si>
  <si>
    <t>ADORNO CASTILLO 16x6.5x12.5 cm</t>
  </si>
  <si>
    <t>SIR DOG PERFUM HEMBRA SWEETY LOVER 80 ML</t>
  </si>
  <si>
    <t>SIMPARICA TRIO 20 - 40 KG X 1 COMP</t>
  </si>
  <si>
    <t>JUGUETE TELA CON HIERBA GATERA (AZUL) 17CM</t>
  </si>
  <si>
    <t>JUGUETE WARRIOR BOLA CON DIENTES 7 CM</t>
  </si>
  <si>
    <t>SUPERVIT TABLETS 50 ML / 36 GR</t>
  </si>
  <si>
    <t>SWIPDAWG URBAN TRAVELER DOG LEASH S (NARANJA)</t>
  </si>
  <si>
    <t>SOULPETS PERRO SOLOS EN CASA</t>
  </si>
  <si>
    <t>BEBEDERO COLGANTE PARA JAULA - ROSADO 500ML</t>
  </si>
  <si>
    <t>COLLAR M (1.6*30‐45 CM) DISEÑO ZIGZAG NEGRO Y NARANJA WONDER DOG</t>
  </si>
  <si>
    <t>JUGUETE CON SONIDO VARIEDADES (10CM)</t>
  </si>
  <si>
    <t>COLLAR TEJIDO Y ECO CUERO 73</t>
  </si>
  <si>
    <t>COLLAR S (1.0*20‐31 CM) DISEÑO ZIGZAG BLANCO Y NEGRO WONDER DOG</t>
  </si>
  <si>
    <t>JUGUETE BOTELLA BEER CON CATNIP (CAFE) 26x7cm</t>
  </si>
  <si>
    <t>JUGUETE CORAZON CON PLUMA Y CUERDA WONDER CAT</t>
  </si>
  <si>
    <t>JUGUETE PARA MORDER EN FORMA DE CABALLO EN CUERO</t>
  </si>
  <si>
    <t>JUGUETE PARA MORDER FORMA DE BOOMERANG(CUERO 19 X 11CM)</t>
  </si>
  <si>
    <t>JUGUETE KIWI MADERA 4 CM X 2 CM</t>
  </si>
  <si>
    <t>ARNES IMPORT. FIBRA CON DISEÑOS #4 NEGRO</t>
  </si>
  <si>
    <t>GUINEA PIG 1.5 KILO TROPIFIT</t>
  </si>
  <si>
    <t>BRIT CARE MINI GF YORKSHIRE 7 KG</t>
  </si>
  <si>
    <t>Therapy Canine Hypoallergenic C 2k</t>
  </si>
  <si>
    <t>CALMATONINE BIPACA 120 CAPS</t>
  </si>
  <si>
    <t>COLLAR ANTI AHORQUE WONDER CAT (1*20-31 CM). DISEÑO ESPINA DE PEZ NEGRO</t>
  </si>
  <si>
    <t>SUPREME 250 ML</t>
  </si>
  <si>
    <t>COLLAR 1.9X40 CM</t>
  </si>
  <si>
    <t>COLGANTE LUMINOSO COPO DE NIEVE PARA MASCOTAS (AZUL)</t>
  </si>
  <si>
    <t>COLGANTE LUMINOSO CIRCULAR PARA MASCOTAS (AZUL)</t>
  </si>
  <si>
    <t>COLLAR BANDANA CON DISEÑOS 06</t>
  </si>
  <si>
    <t>TRANSPORTADORA ANIMALES PEQUEÑOS N2 VERDE</t>
  </si>
  <si>
    <t>JAULA ACRILICA ALVIN LARGE - VERDE</t>
  </si>
  <si>
    <t>JUGUETE ANTIMICROBIAL NYLON CAUCHO POLLO 4.25"</t>
  </si>
  <si>
    <t>JUGUETE ANTIMICROBIAL NYLON CIRCULO POLLO 7.25"</t>
  </si>
  <si>
    <t>HILLS FELINE I/D LATA DIGESTIVE 5.5 OZ</t>
  </si>
  <si>
    <t>HILLS CANINE PUPPY TOY BREED 2.04 KG</t>
  </si>
  <si>
    <t>HILLS FELINE C/D MULTICARE STRESS CHICKEN 1.81 KG CAT</t>
  </si>
  <si>
    <t>ARNES TACTICO DISEÑOS MILITARES M</t>
  </si>
  <si>
    <t>JUGUETE DISPENSADOR DE SNACK PERROS</t>
  </si>
  <si>
    <t>TRANSPORTADOR ACRIL. PECES (18x13x11 cm) AMARILLO</t>
  </si>
  <si>
    <t>TOPK9 AGLUTINANTE IONES LIMON 4 KG</t>
  </si>
  <si>
    <t>TRAILLA CUERDA CON MANGO Y MOSQUETON PRO 1.3CM X 120CM</t>
  </si>
  <si>
    <t>BEBEDERO 3.5 LTS PERROS Y GATOS ROSADO</t>
  </si>
  <si>
    <t>Traje para gatos talla XL</t>
  </si>
  <si>
    <t>CHURU SKIN CAT CHICKEN SCALLOP X 4 (USA674)</t>
  </si>
  <si>
    <t>TRANSPORTADORA GIPSY S (GRIS / VERDE CLARO)</t>
  </si>
  <si>
    <t>CHURU POLLO CON CAMARON</t>
  </si>
  <si>
    <t>CHURU DOG CHICKEN / CHEESE 4 TUBES / 14 GRS</t>
  </si>
  <si>
    <t>CEPILLO PARA EL BAÑO Y MASAJEADOR 10X6X5CM</t>
  </si>
  <si>
    <t>CHALECO FRANJAS COLORES MACHO S</t>
  </si>
  <si>
    <t>CEPILLO GRANDE</t>
  </si>
  <si>
    <t>CATCOMFORT KIT 30 DIAS - BEAPHAR</t>
  </si>
  <si>
    <t>SPRAY ANTI PULGAS Y GARRAPATAS PERRO 175ML BIOLINE</t>
  </si>
  <si>
    <t>ZAPATOS CON CIERRE Y GOMA TALLA 2 AMARILLO</t>
  </si>
  <si>
    <t>PROPLAN EXIGENT DOG SMALL BREED 7.5K</t>
  </si>
  <si>
    <t>ADAPTIL SPRAY 60 ML</t>
  </si>
  <si>
    <t>RIMADYL 100 MG X 14 COMP</t>
  </si>
  <si>
    <t>YOOS COLLAR PERRO ALIVIO DEL MALESTAR ARTICULAR Y MEJORA DE LA MOVILIDAD EN PERROS</t>
  </si>
  <si>
    <t>JAULA HAMSTER 2 PISOS CON TUBOS</t>
  </si>
  <si>
    <t>PLACA IDENTIFICARIA NFC</t>
  </si>
  <si>
    <t>LAVETA MULTIVIT TAURINA GATO 50 ML BEAPHAR</t>
  </si>
  <si>
    <t>MATATABI JUGUETE PELOTITA BIOLINE</t>
  </si>
  <si>
    <t>TOPK9 AGLUTINANTE IONES PASION CHILENA 10 KG</t>
  </si>
  <si>
    <t>MATIPET SPRAY 100ML</t>
  </si>
  <si>
    <t>COOLPET PROTECTOR SOLAR SPF30 PERROS Y GATOS</t>
  </si>
  <si>
    <t>JUGUETE ANTIMICROBIAL NYLON CIRCULO TOCINO 7.25"</t>
  </si>
  <si>
    <t>TIMOTHY SNACK BOWL L</t>
  </si>
  <si>
    <t>ARNES DE PECHO ROSADO M</t>
  </si>
  <si>
    <t>JAULA SIMPLE CON TUBOS</t>
  </si>
  <si>
    <t>PANTALLA DE CALEFACCION CUADRADA</t>
  </si>
  <si>
    <t>CAPA 3XL DE 28 A 48 KG ROSADO</t>
  </si>
  <si>
    <t>BAÑO PARA GATOS 46.5*57.1*39.9 NEKO NEGRO</t>
  </si>
  <si>
    <t>Corta uña con lima (12.3cm * 2.0mm)</t>
  </si>
  <si>
    <t>SKINDRAG SPRAY HIDRATACION 100 ML</t>
  </si>
  <si>
    <t>PEINE PARA MASCOTAS CON PALANCA EXPULSA PELOS DIENTES DE ACERO</t>
  </si>
  <si>
    <t>Wonder Dog Arnés Space Traveller Federal Blue S</t>
  </si>
  <si>
    <t>GREEN ALGAE WAFERS 100 ML 45 GR</t>
  </si>
  <si>
    <t>CALABAZA OLFATIVA PARA ESCONDER ALIMENTO PARA PERROS Y GATOS 20x20x20 CM</t>
  </si>
  <si>
    <t>CALCETINES PARA PERROS L - GRIS</t>
  </si>
  <si>
    <t>SENSATIONS POLLO 100 GRS PINK</t>
  </si>
  <si>
    <t>VARILLA PEZ</t>
  </si>
  <si>
    <t>VARILLA LENTEJUELAS Y TIRITAS GAMUZA ROSADO</t>
  </si>
  <si>
    <t>VARILLA LENTEJUELAS Y TIRITAS GAMUZA MORADO</t>
  </si>
  <si>
    <t>PIZZA CON TIMOTHY CON VEGETALES 40GR</t>
  </si>
  <si>
    <t>FOSFORO PLANTMIX 500ML</t>
  </si>
  <si>
    <t>CASCO BOZAL PARA GATOS TRANSPIRABLE ANTI MORDIDAS M (14X13X7 CM)</t>
  </si>
  <si>
    <t>ARNES PECHERA POLICE K9 - XL - MORADO</t>
  </si>
  <si>
    <t>RASCADOR PARA GATOS COLOSAL 60*50*170CM</t>
  </si>
  <si>
    <t>CASCO BOZAL PARA GATOS TRANSPIRABLE ANTI MORDIDAS L (15X14X8.4CM)</t>
  </si>
  <si>
    <t>COLLAR S DISEÑO FLAMENCOS</t>
  </si>
  <si>
    <t>JUGUETE TRENZA OLFATIVA PARA ESCONDER COMIDA PERROS Y GATOS 50x3x3 CM</t>
  </si>
  <si>
    <t>COLLAR S DISEÑO HALLOWEEN</t>
  </si>
  <si>
    <t>VARILLA POMPOM Y PLUMAS MORADO</t>
  </si>
  <si>
    <t>Arnes con diseño XS ROSADO</t>
  </si>
  <si>
    <t>TRAILLA CON REFUERZOS DE CUERO (1.2CM*120CM)</t>
  </si>
  <si>
    <t>RASCADOR TORRE PARA GATOS (45X45X150CM) AZUL MARINO</t>
  </si>
  <si>
    <t>RASCADOR TORRE KF8055 COLOR BEIGE</t>
  </si>
  <si>
    <t>HARD FLOOR STAIN &amp; ODOUR REMOVER 750 ML</t>
  </si>
  <si>
    <t>N&amp;D QUINOA FELINE ADULT URINARY PATO 7.5</t>
  </si>
  <si>
    <t>Juguete Stick Chrome Play 2</t>
  </si>
  <si>
    <t>PELUCHE SALMON CON CATNIP 40CM</t>
  </si>
  <si>
    <t>CATNIP SPRAY 15 ML</t>
  </si>
  <si>
    <t>BANDEJA INTERACTIVA COMIDA LENTA GRANDE</t>
  </si>
  <si>
    <t>COLLAR WONDER CAT ANTI AHORQUE DISEÑO DE ROSAS O LAZOS</t>
  </si>
  <si>
    <t>VARILLA COLA PELUDA FUCSIA</t>
  </si>
  <si>
    <t>SKINDRAG SHAMPOO MATICO 250 ML</t>
  </si>
  <si>
    <t>CREDELIO TAB 56.25 MGX X 3BLCD CH (1,3-2,5 kg)</t>
  </si>
  <si>
    <t>Jaula Transporte Visión Beige M</t>
  </si>
  <si>
    <t>CRIADORA MALLA</t>
  </si>
  <si>
    <t>VARILLA CON PELOTITAS DE PELUCHE MULTICOLOR</t>
  </si>
  <si>
    <t>BRAMTON VB BITTER CHERRY SPRAY 221 ML</t>
  </si>
  <si>
    <t>ARO RUBBER CON CUERDA DE ALGODON (15*50)</t>
  </si>
  <si>
    <t>VARILLA CON RATONCITO PELUDO VERDE</t>
  </si>
  <si>
    <t>PINZAS SERPIENTE CON BLOQUEO DE ACERO INOX</t>
  </si>
  <si>
    <t>BOZAL DE PERRO REFORZADO N5</t>
  </si>
  <si>
    <t>N&amp;D PRIME FELINE CASTRADO FRANGO 1,5KG</t>
  </si>
  <si>
    <t>JAULA PARA AVES, PINZON, PERIQUITO (47x36x35 cm) blanca</t>
  </si>
  <si>
    <t>VARILLA DE MADERA CON PELOTA DE TELA</t>
  </si>
  <si>
    <t>ARNES WONDER AMY M</t>
  </si>
  <si>
    <t>PALA PARA FECAS 19.5*8.8cm 17g ROSADO</t>
  </si>
  <si>
    <t>COLLAR TEJIDO Y ECO CUERO 80</t>
  </si>
  <si>
    <t>Cojin Para Gatos O Cachorros L Rosado Claro</t>
  </si>
  <si>
    <t>ARNES WONDER MAX XS</t>
  </si>
  <si>
    <t>ARNES WONDER MAX S</t>
  </si>
  <si>
    <t>HAMACA DE ASEO TALLA S COLOR GRIS 11 ACCESORIOS</t>
  </si>
  <si>
    <t>PALA PORUÑA MORADA (28x11x8cm)</t>
  </si>
  <si>
    <t>CUERDA DE ALGODON CON AROS</t>
  </si>
  <si>
    <t>PALA RECOGE FECAS 44x14x10cm CELESTE</t>
  </si>
  <si>
    <t>PISCINA PARA MASCOTAS (120 cm diametro, 30 cm altura) AZUL</t>
  </si>
  <si>
    <t>Moximic T x 12 Grs</t>
  </si>
  <si>
    <t>VARILLA LENTEJUELAS Y COLA ROSADO</t>
  </si>
  <si>
    <t>HAMACA DE ASEO TALLA M COLOR GRIS 11 ACCESORIOS</t>
  </si>
  <si>
    <t>ARNES DE SEGURIDAD NARANJA S</t>
  </si>
  <si>
    <t>BOLA CON DIENTES 7 CM (CAUCHO) COLORES VARIADOS</t>
  </si>
  <si>
    <t>PELOTA CON CUERDA WARRIOR</t>
  </si>
  <si>
    <t>ADORNO CASTILLO 19X14X12.5</t>
  </si>
  <si>
    <t>Carbón activo 500 g (con malla)</t>
  </si>
  <si>
    <t>ARNES FIBRA CON JEANS M</t>
  </si>
  <si>
    <t>ARNES FIBRA CON JEANS L</t>
  </si>
  <si>
    <t>DIFUSOR BLISTER CARACOL</t>
  </si>
  <si>
    <t>Pelota turbo pelota 8CM con sonido</t>
  </si>
  <si>
    <t>PELOTA PINCHUDA CON SONIDO</t>
  </si>
  <si>
    <t>JAULA ACRILICA ALVIN LARGE - AMARILLO</t>
  </si>
  <si>
    <t>Colgador para Lamparas</t>
  </si>
  <si>
    <t>KEEP OFF JELLY</t>
  </si>
  <si>
    <t>PLANTA DE ADORNO PARA ACUARIO ROJO Y ROSA</t>
  </si>
  <si>
    <t>DIFUSOR TORTUGA</t>
  </si>
  <si>
    <t>COLLAR S (1.0*20‐31 CM) DISEÑO MIXTO 3 WONDER DOG</t>
  </si>
  <si>
    <t>SMILE FOR PETS APLICADOR PASTA DENTAL 50 UNIDS</t>
  </si>
  <si>
    <t>PELOTA BOUNCE FUN TIBURON 9x9 CM</t>
  </si>
  <si>
    <t>COLLAR M DISEÑO ESPACIAL</t>
  </si>
  <si>
    <t>PEINE PARA GATOS (EFECTO MASAJEADOR) ROSA</t>
  </si>
  <si>
    <t>COLLAR M DISEÑO HALLOWEEN</t>
  </si>
  <si>
    <t>3 PELOTAS ESTILO TENIA DISENO HUESOS</t>
  </si>
  <si>
    <t>kit de generador de co2 para acuario</t>
  </si>
  <si>
    <t>PELOTA BEISBOL DENTAL - SNACK</t>
  </si>
  <si>
    <t>VIRBAC HPM CAT KIDNEY &amp; JOINT 3KG</t>
  </si>
  <si>
    <t>VIRBAC D-DOG HYPOALLERGY 3 KG</t>
  </si>
  <si>
    <t>FILTRO INTERNO DOPHIN 970 1500/1400 L/H</t>
  </si>
  <si>
    <t>RASCADOR CUADRADO INTERACTIVO CON PELOTAS</t>
  </si>
  <si>
    <t>PEINE PARA MASCOTAS CON PALANCA EXPULSA PELOS S</t>
  </si>
  <si>
    <t>PELOTA ESTILO TENIS DISENO FUTBOL 12.7CM</t>
  </si>
  <si>
    <t>PLATO ACERO INOXIDABLE PINTADO Y DISEÑOS 1900 ML</t>
  </si>
  <si>
    <t>DISCO VOLADOR CON PELOTA TURBODOG</t>
  </si>
  <si>
    <t>VIRBAC MILPRO 2.5/25 MG PERRO 0.5-10KG X 2 COMP</t>
  </si>
  <si>
    <t>Cojin Para Gatos O Cachorros XL Vinotinto</t>
  </si>
  <si>
    <t>HAMACA DE ASEO SIMPLE TALLA S COLOR NEGRO</t>
  </si>
  <si>
    <t>JUGUETE TURBO DOG PELOTA 15.3 CM</t>
  </si>
  <si>
    <t>VARILLA RATONCITO CON PLUMA SISAL Y CASCABEL</t>
  </si>
  <si>
    <t>SKIPDAWG PATHFINDER AMARILLO</t>
  </si>
  <si>
    <t>HAMACA DE ASEO TALLA M COLOR AZUL 11 ACCESORIOS</t>
  </si>
  <si>
    <t>BOMBAS DE AIRE 2 SALIDAS 2700CC/MIN</t>
  </si>
  <si>
    <t>DENTAL HYGIENE KIT SET MENTA</t>
  </si>
  <si>
    <t>JUGUETE VARILLA CONEJITO CELESTE 40CM</t>
  </si>
  <si>
    <t>JAULA HAMSTER FULL EQUIPADA (51*36.5*29 cm) MORADO VERDE</t>
  </si>
  <si>
    <t>TRAÍLLA 1,6 (1.6*120 CM) DISEÑO MINI ZIGZAG AZUL WONDER DOG</t>
  </si>
  <si>
    <t>ARNES PARA GATOS CON MOÑO + TRAILLA ERGO GRANDE</t>
  </si>
  <si>
    <t>RASCADOR SIMPLE CON JUGUETE COLOR GRIS</t>
  </si>
  <si>
    <t>PALA PEQUENA 28*13.5cm 40g CELESTE</t>
  </si>
  <si>
    <t>ARNES MALLA TRANSPIRABLE + TRAILLA XL</t>
  </si>
  <si>
    <t>ARENA AMERICALITTER SOLID CLUMP 7KG</t>
  </si>
  <si>
    <t>ARNES TACTICO DISEÑOS MILITARES XL</t>
  </si>
  <si>
    <t>JAULA AVE DE VIDRIO 40X40.5X51CM</t>
  </si>
  <si>
    <t>BRIT PREMIUM BY NATURE ADULT MEDIUM 3 KG</t>
  </si>
  <si>
    <t>PLANTA PLASTICA 60 CM</t>
  </si>
  <si>
    <t>BANDANAS CON DISEÑOS M AZUL CON FLAMENCO</t>
  </si>
  <si>
    <t>MOCHILA DE TRANSPORTE PARA GATOS NARANJA</t>
  </si>
  <si>
    <t>BRIT JERKY SNACK CHICKEN WITH INSECT COCONUT MEATY COINS FOR DOGS 80 G</t>
  </si>
  <si>
    <t>BAÑO PARA GATOS BIGCAT ROOMCAT ROSADO CLARO</t>
  </si>
  <si>
    <t>PLACA CALEFACTORA 20 WATTS C/DIMMER</t>
  </si>
  <si>
    <t>FIT FORMULA PLAY POLLO CON SONIDO</t>
  </si>
  <si>
    <t>CASA DE GATO EN FORMA DE TORTUGA</t>
  </si>
  <si>
    <t>Planta de Adorno para Acuario Rojas</t>
  </si>
  <si>
    <t>PLANTA DE ADORNO PARA ACUARIO MORADA</t>
  </si>
  <si>
    <t>ARNES IMPORT. FIBRA CON DISEÑOS #2 CAFE</t>
  </si>
  <si>
    <t>BAÑO PARA GATOS BIGCAT ROOMCAT ROSADO OSCURO</t>
  </si>
  <si>
    <t>DENTAL STICK + CUERDA DE ALGODON</t>
  </si>
  <si>
    <t>CHAQUETA DE MEZCLILLA TALLA S</t>
  </si>
  <si>
    <t>SHAMPOO HIPO ANTI CAIDA 250 ML - BEAPHAR</t>
  </si>
  <si>
    <t>GOLDFISH COLOUR PELLET 250 ML 90 GR</t>
  </si>
  <si>
    <t>NOMADE PERRO ADULTO 3 KG</t>
  </si>
  <si>
    <t>SHAMPOO LAUBE KELCO DR HYPO 345ML</t>
  </si>
  <si>
    <t>ARNES DE SEGURIDAD ROSADO XL</t>
  </si>
  <si>
    <t>Arnes Police K9 Pro Camuflaje Camuflaje Verde Talla M</t>
  </si>
  <si>
    <t>SABANILLAS PAÑAL ADIESTRAMIENTO LAVANDA PARA MASCOTAS 50 UNIDADES</t>
  </si>
  <si>
    <t>NITROGENO PLANTMIX 1000ML</t>
  </si>
  <si>
    <t>ARNES DE PECHO VERDE CLARO M</t>
  </si>
  <si>
    <t>JUGUETE GATO BASE CARTON, VARILLA CON RESORTE Y PLUMAS NARANJO</t>
  </si>
  <si>
    <t>SHAMPOO SIR DOG ODOR CONTROL 390ML</t>
  </si>
  <si>
    <t>JUGUETE ANTIMICROBIAL NYLON HUESO SALMON 7.25"</t>
  </si>
  <si>
    <t>JUGUETE GATO PALTA</t>
  </si>
  <si>
    <t>JUGUETE LOOFAH CALABAZA</t>
  </si>
  <si>
    <t>ANTYCHLOR 100 ML</t>
  </si>
  <si>
    <t>ZAPATOS PARA PERRO SUELA DE GOMA NARANJA TALLA 3</t>
  </si>
  <si>
    <t>RUEDA DE EJERCICIO PARA GATOS (118*125*29cm) 11 KG</t>
  </si>
  <si>
    <t>TUBO CURVO XL PARA HURONES TRANSPARENTE</t>
  </si>
  <si>
    <t>ZAPATOS PARA PERRO SUELA DE GOMA AZUL TALLA 5</t>
  </si>
  <si>
    <t>CHALECO MARINERO S</t>
  </si>
  <si>
    <t>BETTA GRANULAT SACHET 10 GR</t>
  </si>
  <si>
    <t>TROTTER ADULTO RAZA PEQUEÑA 10.1KG</t>
  </si>
  <si>
    <t>TRAPER SHAMPOO ALOE VERA JAZMIN PERRO X 260 ML</t>
  </si>
  <si>
    <t>Furmaster M Pelo Largo Perro</t>
  </si>
  <si>
    <t>CAMA DE FELPA CALM TALLA S 65*55*18 CM</t>
  </si>
  <si>
    <t>AQUA PLANT POND (BOTELLA 250 ML)</t>
  </si>
  <si>
    <t>SHAMPOO DESINFECTANTE ANTI CASPA 200 ML BIOLINE</t>
  </si>
  <si>
    <t>CHALECO TACTICO M NEGRO</t>
  </si>
  <si>
    <t>JUGUETE LOOFAH ELEFANTE</t>
  </si>
  <si>
    <t>CHALECO TACTICO XL NEGRO</t>
  </si>
  <si>
    <t>TRAPER SHAMPOO ESPUMA SECA GATO FRAMBUESA SPRAY X 170 ML</t>
  </si>
  <si>
    <t>BRACCO TRAVEL 4 70 X 50 X 51 CM</t>
  </si>
  <si>
    <t>JUGUETE ARGOLLAS DE GOMA DURA DOBLE 27.5*15*3.8CM</t>
  </si>
  <si>
    <t>JUGUETE CON CUERDA DE ALGODON Y DOS PELOTAS DE FIELTRO</t>
  </si>
  <si>
    <t>CHAPA MASCOTAS PARA GRABAR PT120</t>
  </si>
  <si>
    <t>TRANSPORTADORA ANIMALES PEQUEÑOS N3 GRIS</t>
  </si>
  <si>
    <t>TRANSPORTADORA ANIMALES PEQUEÑOS N3 FUCSIA</t>
  </si>
  <si>
    <t>JUGUETE BEBIDA CON CATNIP Y SONAJERO (COLA) 15x8 CM</t>
  </si>
  <si>
    <t>OCTAGONO CON SONIDO WARRIOR</t>
  </si>
  <si>
    <t>JUGUETE ANTIMICROBIAL NYLON CAUCHO MENTA 7.25"</t>
  </si>
  <si>
    <t>SET DE BLOQUES Y TUBOS</t>
  </si>
  <si>
    <t>JUGUETE CAJA JUGO CON CATNIP Y SONAJERO (ORANGE) 15x8 cm</t>
  </si>
  <si>
    <t>Complete Perro Adulto Razas Medianas y Grandes 20 K</t>
  </si>
  <si>
    <t>SENILPET CEREBRAL 5 X 60 COMP</t>
  </si>
  <si>
    <t>JUGUETE CORN RATTLE ROLLER (ROLLO DE MAÍZ X 2)</t>
  </si>
  <si>
    <t>ACUARIO CON TAPA Y FONDO 57L 50X34X34</t>
  </si>
  <si>
    <t>ARNES WONDERDOG S CAMUFLAJE CUADRADO</t>
  </si>
  <si>
    <t>ACUARIO CON LUZ LED 2.5W DE 40L</t>
  </si>
  <si>
    <t>PEZ CARPA CON CATNIP 40 CM</t>
  </si>
  <si>
    <t>TRANSPORTADORA KENNEL M (67*51*53.8 CM)</t>
  </si>
  <si>
    <t>BOLSO PET GO VERDE S (34x18x24 cm)</t>
  </si>
  <si>
    <t>COOLPET SHAMPOO SIN EJUAGUE PARA PERROS</t>
  </si>
  <si>
    <t>ARNES WONDER MAX M</t>
  </si>
  <si>
    <t>CONTENEDOR PARA ALIMENTOS ROSADO 1.5L</t>
  </si>
  <si>
    <t>CONTENEDOR PARA ALIMENTOS AZUL 1.5L</t>
  </si>
  <si>
    <t>TRAILLLA XL 15MM X 120 CM</t>
  </si>
  <si>
    <t>CONEJERA MEDIANA (70 x 45 cm) AZUL</t>
  </si>
  <si>
    <t>COMEDERO CON PERNO DE FIJACION 500ML</t>
  </si>
  <si>
    <t>JUGUETE FORMA HUESO CAUCHO DURO (19X6X5CM)</t>
  </si>
  <si>
    <t>CONTENEDOR MERA</t>
  </si>
  <si>
    <t>CONO 13.5X9.8X9.8 CM WARRIOR</t>
  </si>
  <si>
    <t>COMEDERO FORMA DE GATO DOBLE PATAS RETRACTIL 60ML - VERDE</t>
  </si>
  <si>
    <t>JUGUETE ELECTRONICO PARA PERROS O GATOS ARDILLA</t>
  </si>
  <si>
    <t>BILJAC ORIGINAL RECIPE TREATS 283 GR</t>
  </si>
  <si>
    <t>ARNES MALLA DE BELLON + TRAILLA 3XS</t>
  </si>
  <si>
    <t>ARNES WONDER ABBA XL - CIRCULO HOJAS</t>
  </si>
  <si>
    <t>CHURU JUICY BITES ATUN Y POLLO</t>
  </si>
  <si>
    <t>ADORNO TRONCO CON PLANTAS 25*18CM</t>
  </si>
  <si>
    <t>ARNES CUERPO CON DISEÑO S</t>
  </si>
  <si>
    <t>ARENA AMERICALITTER ULTRA ODOR SEAL BABY POWDER 7 KG</t>
  </si>
  <si>
    <t>ARENA AMERICALITTER ULTRA ODOR SEAL LAVANDA 7KG</t>
  </si>
  <si>
    <t>TRAILLA PARA CINTURON SEGURIDAD CON ELASTICO AZUL</t>
  </si>
  <si>
    <t>ADORNO VOLCAN 18x15x9 cm</t>
  </si>
  <si>
    <t>NEEM TREE OIL SHAMPOO</t>
  </si>
  <si>
    <t>URINE OFF PEQUEÑOS ANIMALES 118ml</t>
  </si>
  <si>
    <t>JUGUETE PELUCHE PATITA DE GATO (BLANCO) 33CM</t>
  </si>
  <si>
    <t>REVOLUTION 12% 10 - 20 KG PERROS</t>
  </si>
  <si>
    <t>JAULA PERRO BLOQUEO 5 PUNTOS S (60x50.4x47.5 H)</t>
  </si>
  <si>
    <t>JAULA PERRO BLOQUEO 5 PUNTOS L (91x57.5x62.5 H)</t>
  </si>
  <si>
    <t>COLLAR XL DISEÑO ESPACIAL</t>
  </si>
  <si>
    <t>REPISA FORMA GATO CON CUPULA L 40CM</t>
  </si>
  <si>
    <t>CHALECO ROMBOS AZUL XL</t>
  </si>
  <si>
    <t>OVO-VIT 250ML 50ML</t>
  </si>
  <si>
    <t>JUGUETE SNACK CON CATNIP (PC SHRIMPS) 13cm</t>
  </si>
  <si>
    <t>JUGUETE SNACK CON CATNIP (CORN SNACKS) 13cm</t>
  </si>
  <si>
    <t>FILTRO INTERNO ACUARIO 8W-600L/H</t>
  </si>
  <si>
    <t>REFINADOR /ATOMIZADOR TRANSPARENTE DE CO2</t>
  </si>
  <si>
    <t>CALEFACTOR FIJO 30 WATTS</t>
  </si>
  <si>
    <t>JUGUETE PULPO DE LANA PARA GATOS 10x13x4 CM</t>
  </si>
  <si>
    <t>COLLAR XL DISEÑO DOG LOVER</t>
  </si>
  <si>
    <t>COLLAR XL (2.5*40‐55 CM) DISEÑO TRAMAS AZUL WONDER DOG</t>
  </si>
  <si>
    <t>FONDO ACUARIO SIMPLE 12" DE ALTURA</t>
  </si>
  <si>
    <t>CEPILLO DE MASAJE PARA BAÑO</t>
  </si>
  <si>
    <t>CEPILLO DE NUDO PARA PERROS Y GATOS</t>
  </si>
  <si>
    <t>Football caucho (14.5+8.2x7.9cm / 205g)</t>
  </si>
  <si>
    <t>CEPILLO DOBLE CARA PARA PERROS Y GATOS M</t>
  </si>
  <si>
    <t>UV EXTERNO 7 WATT</t>
  </si>
  <si>
    <t>TRAILLA M DISEÑO ESPACIAL</t>
  </si>
  <si>
    <t>COLLAR XL (2.5*40‐55 CM) DISEÑO MIXTO 3 WONDER DOG</t>
  </si>
  <si>
    <t>TRAILLA RETRACTIL 8 METROS NARANJA</t>
  </si>
  <si>
    <t>JOSERA RASCADOR</t>
  </si>
  <si>
    <t>JUGUETE LOOFAH MARIPOSA</t>
  </si>
  <si>
    <t>JUGUETE LOOFAH FRUTILLA Y SANDIA</t>
  </si>
  <si>
    <t>ARENERO PARA GATOS 40*30*18 SALLY CALIPSO</t>
  </si>
  <si>
    <t>FURMASTER M (PELO CORTO) PERRO Y GATO</t>
  </si>
  <si>
    <t>JUGUETE LOOFAH BUHO</t>
  </si>
  <si>
    <t>ATACAMA ALL BREEDS 14 KGS SUPER PREMIUM</t>
  </si>
  <si>
    <t>ARNES PARA GATOS CON FLOR S</t>
  </si>
  <si>
    <t>JUGUETE KOALA DE PELUCHE PARA MASCOTAS 15X17CM</t>
  </si>
  <si>
    <t>TUNEL ARCOIRIS M</t>
  </si>
  <si>
    <t>CORREA ANTIDESLIZANTE ADIESTRAMIENTO</t>
  </si>
  <si>
    <t>BILJAC GOOBERLICIOUS 283 GRS PREMIO</t>
  </si>
  <si>
    <t>PETBRILL COLONIA BABY DOG 100 ML</t>
  </si>
  <si>
    <t>PETBRILL COLONIA POLO DOG 100 ML</t>
  </si>
  <si>
    <t>ZAPATOS PARA PERRO SUELA DE GOMA NARANJA TALLA 5</t>
  </si>
  <si>
    <t>JUGUETE LOOFAH 2 CORAZONES</t>
  </si>
  <si>
    <t>CAMA DE FELPA RIPOSO TALLA S 60*60*10 CM</t>
  </si>
  <si>
    <t>COLONIA ANIMAL HEALTH MACHO - BLUE - 180ML</t>
  </si>
  <si>
    <t>CAMA DISEÑO AZUL S</t>
  </si>
  <si>
    <t>ADORNO GALEON 23x6.5x11.5 cm</t>
  </si>
  <si>
    <t>BALDE CON PELOTITAS CON CASCABEL (52 UNIDADES)</t>
  </si>
  <si>
    <t>BRIT CARE MINI SALMON &amp; HERRING STERILIZED FILLETS IN GRAVY 85 G</t>
  </si>
  <si>
    <t>OVO-VIT 100ML 20ML</t>
  </si>
  <si>
    <t>SIMPARICA 120 MG 40.1 - 60 KG 1 COMP</t>
  </si>
  <si>
    <t>CHALECO FRANJAS COLORES MACHO L</t>
  </si>
  <si>
    <t>CHALECO FRANJAS COLORES MACHO M</t>
  </si>
  <si>
    <t>CHALECO FRANJAS COLORES MACHO XL</t>
  </si>
  <si>
    <t>RONAXAN 20MG X 20 COMP</t>
  </si>
  <si>
    <t>TUNEL XL FORMA T ACRILICO PARA HURONES ROSADO</t>
  </si>
  <si>
    <t>CHURU SKIN CAT CHICKEN X 4 (USA672)</t>
  </si>
  <si>
    <t>BRIT JERKY SNACK LAMB PROTEIN BAR FOR DOGS 80 G</t>
  </si>
  <si>
    <t>CHURU POP ATUN</t>
  </si>
  <si>
    <t>JUGUETE PALTA DE FELPA CON SONIDO 8CM</t>
  </si>
  <si>
    <t>COLLAR ISABELINO INFLABLE S</t>
  </si>
  <si>
    <t>CAMISETA I LOVE TALLA S</t>
  </si>
  <si>
    <t>TERMOCALEFACTOR DOPHIN 50W</t>
  </si>
  <si>
    <t>BAÑO PARA GATOS 55.4*49*41.7 SPACE GRIS</t>
  </si>
  <si>
    <t>LEONARDO ADULT DUCK 1.8K</t>
  </si>
  <si>
    <t>BEBEDERO ROEDORES 80 ML BLISTER</t>
  </si>
  <si>
    <t>CAMA GATO DE FIELTRO CON PEDESTAL</t>
  </si>
  <si>
    <t>ARNES + TRAILLA DISEÑOS L</t>
  </si>
  <si>
    <t>PUERTA MASCOTAS TIPO VENTANA TALLA S</t>
  </si>
  <si>
    <t>2 PELOTAS DE TENIS AZULES DE 10.2 CM</t>
  </si>
  <si>
    <t>POLLO CHILLON L 41 CM</t>
  </si>
  <si>
    <t>HILLS FELINE ADULTO HAIRBALL 1.58 KG</t>
  </si>
  <si>
    <t>ARNES CON CORREA PARA PERROS Y GATOS L AMARILLO</t>
  </si>
  <si>
    <t>ALMOHADILLA TERMICA PARA MASCOTAS 40x40</t>
  </si>
  <si>
    <t>TERMOCALEFACTOR ACERO INOXIDABLE 500 WATTS</t>
  </si>
  <si>
    <t>SUAVIPET LOCION DESENREDANTE 200ML</t>
  </si>
  <si>
    <t>CAMISETA ALGODON DISEÑO ESTRELLA XL</t>
  </si>
  <si>
    <t>CAMISETA ALGODON DISEÑO ESTRELLA M</t>
  </si>
  <si>
    <t>ESKLARIN Y ALOE VERA 30ML</t>
  </si>
  <si>
    <t>TERMOMETRO DIGITAL EXTERNO A BATERIA (CON SENSOR)</t>
  </si>
  <si>
    <t>COLLAR ECO CUERO CON INCRUSTACIONES DE METAL (cm)</t>
  </si>
  <si>
    <t>BOTELLA PARA VIAJES 250ML (SZP0009B)</t>
  </si>
  <si>
    <t>TOPK9 AGLUTINANTE IONES SAKURA 2 KG</t>
  </si>
  <si>
    <t>HUESO CON PUAS WARRIOR 15 CM</t>
  </si>
  <si>
    <t>POLERON POLAR BICOLOR XL ROSADO MORADO</t>
  </si>
  <si>
    <t>BOTELLA DE PASEO EN FORMA DE HOJA 580ML</t>
  </si>
  <si>
    <t>IMAN LIMPIA VIDRIOS GRANDE</t>
  </si>
  <si>
    <t>Capa Enfriamiento Azul M</t>
  </si>
  <si>
    <t>CAMISETA I LOVE TALLA XXL</t>
  </si>
  <si>
    <t>BACTO-ACTIVE / BACTIRIN 250 ML</t>
  </si>
  <si>
    <t>DISFRAZ SANTA PARA PERROS Y GATOS S (24CM)</t>
  </si>
  <si>
    <t>DISFRAZ SANTA PARA PERROS Y GATOS XS (20CM)</t>
  </si>
  <si>
    <t>CAMA DE TELA OXFORD, INTERIOR DE FELPA TALLA S 60*40*18 CM</t>
  </si>
  <si>
    <t>HIDROMETRO Y TERMOMETRO DE VIDRIO</t>
  </si>
  <si>
    <t>COLLAR GATO 10 MM (WONDER CAT) MULTICOLOR</t>
  </si>
  <si>
    <t>MERA FINEST FIT SENSITIVE STOMACH 4K</t>
  </si>
  <si>
    <t>COLLAR L DISEÑO ESPACIAL</t>
  </si>
  <si>
    <t>Capa Enfriamiento Azul L</t>
  </si>
  <si>
    <t>POEMA CACHORRO POLLO 3KG</t>
  </si>
  <si>
    <t>PLATO MELAMINA DISENOS (GATOS) 150 ml</t>
  </si>
  <si>
    <t>STAIN REMOVER</t>
  </si>
  <si>
    <t>Leonardo adult light &amp; Sterilized 7.5kg</t>
  </si>
  <si>
    <t>CAMISETA ALGODON DISEÑO ESTRELLA L</t>
  </si>
  <si>
    <t>EAR CARE</t>
  </si>
  <si>
    <t>COLLAR ISABELINO 7.5 CM</t>
  </si>
  <si>
    <t>ARNES IMPORT. FIBRA CON DISEÑOS #1 ROJO</t>
  </si>
  <si>
    <t>CAMA VERANO VARIEDAD DISENO 40*50*8.5 M CELESTE</t>
  </si>
  <si>
    <t>ALFOMBRILLA CON HUELLAS PEQUEÑAS ROSADA</t>
  </si>
  <si>
    <t>SPIRULINA GRANULAT 100 ML / 44 GR</t>
  </si>
  <si>
    <t>ARNES 2 EN 1 BALI TALLA S</t>
  </si>
  <si>
    <t>CAMISETA DE LINEAS ALGODON SIN MANGAS XXL</t>
  </si>
  <si>
    <t>ARNES GATO DISEÑOS L VERDE</t>
  </si>
  <si>
    <t>TEARSTAIN REMOVER</t>
  </si>
  <si>
    <t>ARNES IMPORT. FIBRA CON DISEÑOS #1 CELESTE</t>
  </si>
  <si>
    <t>COLLAR GATO ANTIPARASITO MARGOSA</t>
  </si>
  <si>
    <t>TAPETE CALEFACCIONADO PARA MASCOTAS PRO (45X70 CM)</t>
  </si>
  <si>
    <t>ACUARIO TERRARIO ACRILICO</t>
  </si>
  <si>
    <t>BOMBA CON BARRA 20 w. 1600 L/H</t>
  </si>
  <si>
    <t>COLLAR ISABELINO VELCRO (92x47x21)</t>
  </si>
  <si>
    <t>LAVETA MULTIVIT CARNITINA PERRO 50 ML BEAPHAR</t>
  </si>
  <si>
    <t>CAMA PARA MASCOTAS LINO GRIS INTERIOR FELPA 60*40*18 cm</t>
  </si>
  <si>
    <t>CAMA CONO GRIS CON NARANJA</t>
  </si>
  <si>
    <t>ALOE VERA SHAMPOO</t>
  </si>
  <si>
    <t>COLLAR CON BANDANA XS</t>
  </si>
  <si>
    <t>DISPENSADOR AGUA 3 , 5 L BARRIL ROSADO</t>
  </si>
  <si>
    <t>CAMISA GUAYABERA DISEÑOS VERANO XL BLANCO</t>
  </si>
  <si>
    <t>SUPERVIT MINI GRANULAT 250 ML 162.5 GR</t>
  </si>
  <si>
    <t>DOG CHURU 4P POLLO CON SALMON</t>
  </si>
  <si>
    <t>DROPS SURTIDOS VERSIÓN ECONÓMICA (ZANAHORIA) 75 GR</t>
  </si>
  <si>
    <t>PLATO PERRO DURABLE 25X9CM</t>
  </si>
  <si>
    <t>COLLAR COWBOY L ( 2.5x52 cm) AZUL</t>
  </si>
  <si>
    <t>CAMA DISEÑO COLCHON S</t>
  </si>
  <si>
    <t>POEMA FELINO ADULTO ESTERILIZADO CONTROL URINARIO 2K</t>
  </si>
  <si>
    <t>DISPENSADOR ALIMENTO 3.5 L BARRIL CELESTE</t>
  </si>
  <si>
    <t>PORTA BOLSAS PRO AZUL</t>
  </si>
  <si>
    <t>POEMA CACHORRO SALMON 12KG</t>
  </si>
  <si>
    <t>COLLAR GATO ANTI AHORQUE CON OLAS</t>
  </si>
  <si>
    <t>LIBRETA DRAG PHARMA</t>
  </si>
  <si>
    <t>ZAPATOS PARA PERROS CON TACHUELA CAMUFLAJE AZUL TALLA 3</t>
  </si>
  <si>
    <t>HILLS CANINE URINARY CARE C/D MULTICARE 3,5 LB (1,58 KG) PERRO</t>
  </si>
  <si>
    <t>HILLS FELINE OPTIMAL CARE ADULT 1-6 (3.17KG)</t>
  </si>
  <si>
    <t>Bloque Cilindrico para casa de bacteria (16.5*4.2CM)</t>
  </si>
  <si>
    <t>HILLS FELINE R/D WEIGHT LOSS 1,81 KG POLLO</t>
  </si>
  <si>
    <t>PARKA REVERSIBLE XS LARGO ESPALDA 27CM AZUL</t>
  </si>
  <si>
    <t>VITO ARTICULAR PERRO PVO ORAL X 100 GR</t>
  </si>
  <si>
    <t>LAGRIPET 50 ML</t>
  </si>
  <si>
    <t>CAMA VERANO VARIEDAD DISENO 50*90*8.5 XL BEIGE</t>
  </si>
  <si>
    <t>PLATO DE ALIMENTACIÓN LENTA CON FORMA PEZ ROSADO</t>
  </si>
  <si>
    <t>MASAJE FLEXIBLE Y CEPILLO PARA PERROS Y GATOS</t>
  </si>
  <si>
    <t>TOPK9 AGLUTINANTE VAINILLA 10 KG</t>
  </si>
  <si>
    <t>ARENA AMERICALITTER DUST FREE 7 KG</t>
  </si>
  <si>
    <t>FILTRO ESPONJA CON BOMBA L</t>
  </si>
  <si>
    <t>HILLS FELINE LATA CHICKEN K/D CAT</t>
  </si>
  <si>
    <t>ARENA FIT BABY 2KG AGLUTINANTE</t>
  </si>
  <si>
    <t>PARKA GOLDEN DOG 3XL ORO ( LARGO 60- CUELLO 48- PECHO 84 )</t>
  </si>
  <si>
    <t>DISFRAZ HALLOWEEN CALABAZA PARA PERROS L (PECHO 42CM,ESPALDA 34CM)</t>
  </si>
  <si>
    <t>SMILE FOR PETS CEPILLO DIENTES</t>
  </si>
  <si>
    <t>BRIT CARE CAT GF STERILIZED SENSITIVE 7KG</t>
  </si>
  <si>
    <t>PLATO MELAMINA DISENOS (TASTY) 150 ml</t>
  </si>
  <si>
    <t>JABON PARA MASCOTAS BIOLINE</t>
  </si>
  <si>
    <t>PLATO MELAMINA DISENOS (YUMMY) 150 ml</t>
  </si>
  <si>
    <t>PELOTA BEISBOL DENTAL CON VENTOSA Y CUERDA</t>
  </si>
  <si>
    <t>FILTRO INTERNO ACUARIO 18W-1500L/H</t>
  </si>
  <si>
    <t>COLLAR 3.0X60 CM</t>
  </si>
  <si>
    <t>Capa Enfriamiento Naranja XXL</t>
  </si>
  <si>
    <t>PLATO MELAMINA PROFUNDO DISENOS 1600 ml 2 3.990 (10%) 7.182</t>
  </si>
  <si>
    <t>Collar fibra diseños huesos 2.5*40*55 cm AZUL</t>
  </si>
  <si>
    <t>SNACK TIMOTHY DENTAL FRUTAS Y VERDURAS</t>
  </si>
  <si>
    <t>HILLS CANINE R/D WEIGHT LOSS 1,58 KG POLLO</t>
  </si>
  <si>
    <t>MANTA DISEÑO CAMUFLAJES TALLA L</t>
  </si>
  <si>
    <t>BODY COBRE PERRO/GATO 35-40KG T-12 KIMBA</t>
  </si>
  <si>
    <t>DOGUIVIT CACHORRO 60 COMP</t>
  </si>
  <si>
    <t>ZAPATOS CON CIERRE Y GOMA TALLA 1 AZUL</t>
  </si>
  <si>
    <t>CAMA TIPO BOLSO M</t>
  </si>
  <si>
    <t>HILLS CANINE R/D WEIGHT LOSS 3,86 KG</t>
  </si>
  <si>
    <t>3 PELOTAS DE TENIS CON SONIDO</t>
  </si>
  <si>
    <t>MAQUINA CORTAPELOS PARA MASCOTA PCS IPX7 BLANCO/PLATA</t>
  </si>
  <si>
    <t>ZAPATOS PARA PERROS TELA Y VELCRO TALLA XL VERDE</t>
  </si>
  <si>
    <t>Wonder Dog Collar Leonar Methyl Blue XS</t>
  </si>
  <si>
    <t>SUPER TUNEL 4.15 MTS</t>
  </si>
  <si>
    <t>Brit care cat grain-free kitten healthy growth &amp; development 7 kg</t>
  </si>
  <si>
    <t>PLATO DE ALIMENTACION ORTOPEDICO DOBLE</t>
  </si>
  <si>
    <t>LEONARDO ADULTO SENIOR 1.8K</t>
  </si>
  <si>
    <t>HILLS FELINE KITTEN HEALTHY DEVELOPMENT 1.58 KG</t>
  </si>
  <si>
    <t>CADENA DE BOLAS DE HIERBA COLORIDAS</t>
  </si>
  <si>
    <t>POEMA ADULTO POLLO 12KG</t>
  </si>
  <si>
    <t>TOPK9 AGLUTINANTE LIMON 10 KG</t>
  </si>
  <si>
    <t>SUPERPET OMEGA 6 GATO 125 ML</t>
  </si>
  <si>
    <t>HILLS CANINE ADULT SB 15 LB (6.8 KG)</t>
  </si>
  <si>
    <t>ELECTROVET 500ML SOLUCION ORAL</t>
  </si>
  <si>
    <t>ALFOMBRA OLFATIVA TAZONES</t>
  </si>
  <si>
    <t>WAFFLE DE TIMOTHY Y FRUTAS 40GR</t>
  </si>
  <si>
    <t>DISFRAZ RENO PARA PERROS Y GATOS XS (LARGO 20CM)</t>
  </si>
  <si>
    <t>COLLAR L DISEÑO FLAMENCOS</t>
  </si>
  <si>
    <t>ESFERA HAMSTER 18 CM CON PEDESTAL</t>
  </si>
  <si>
    <t>HILLS CANINE ADULT 7+ SB 2 KG</t>
  </si>
  <si>
    <t>BAÑO PARA GATOS MINOU S (28x42cm) ROSADO</t>
  </si>
  <si>
    <t>FILTRO DE AIREACION PARA ACUARIOS 24-60L</t>
  </si>
  <si>
    <t>SNACK TOPK9 SOFTROLL POLLO/ATUN 4 x 10 GRS</t>
  </si>
  <si>
    <t>JUGUETE PELUCHE CON CATNIP (SUSHI KANIKAMA ROJO) 10CM</t>
  </si>
  <si>
    <t>PLATO ACERO INOX. ANTI-HORMIGAS BASE GOMA 1900 ML</t>
  </si>
  <si>
    <t>BALDE CON PELOTAS DE BASQUET Y FUTBOL (35 UNIDADES)</t>
  </si>
  <si>
    <t>PET HOUSE TECHO ROJO</t>
  </si>
  <si>
    <t>PARKA REVERSIBLE M LARGO ESPALDA 37CM GRIS</t>
  </si>
  <si>
    <t>BAÑERA AVE SIMPLE UNIPET</t>
  </si>
  <si>
    <t>PARKA REVERSIBLE M LARGO ESPALDA 37CM AZUL</t>
  </si>
  <si>
    <t>PERRO GALGO</t>
  </si>
  <si>
    <t>PETBRILL SHAMPOO SECO HIGIENIZADOR 200 ML</t>
  </si>
  <si>
    <t>BALDE CON CARRUSELES CON CASCABEL (40 UNIDADES)</t>
  </si>
  <si>
    <t>PET HOUSE TECHO VERDE L</t>
  </si>
  <si>
    <t>PETBRILL SHAMPOO PELOS CLAROS 5 LTS</t>
  </si>
  <si>
    <t>PERLON MATERIAL FILTRANTE</t>
  </si>
  <si>
    <t>PARKA RAIN M IMPERMEABLE AZUL ( LARGO 40-CUELLO 35- PECHO 54 )</t>
  </si>
  <si>
    <t>PARKA REVERSIBLE L LARGO LOMO 41.5CM MORADO</t>
  </si>
  <si>
    <t>PETAG KMR POWDER MILK REPLACER FOR KITTEN 794G</t>
  </si>
  <si>
    <t>PARKA RAIN L IMPERMEABLE ROJO ( LARGO 45-CUELLO 38- PECHO 58 )</t>
  </si>
  <si>
    <t>PETAG ESBILAC POWDER MILK REPLACER FOR PUPPIES 340G</t>
  </si>
  <si>
    <t>PARKA RAIN M IMPERMEABLE GRIS ( LARGO 40-CUELLO 35- PECHO 54 )</t>
  </si>
  <si>
    <t>PETBRILL EDUCADOR REPELENTE DOG STOP 200ml</t>
  </si>
  <si>
    <t>PERRO PROPER LB POLLO 11.3KG BOREAL</t>
  </si>
  <si>
    <t>PARKA REVERSIBLE L LARGO LOMO 41.5CM ROJO</t>
  </si>
  <si>
    <t>PETBRILL EDUCADOR SANITARIO XIXI NAO 200 ML</t>
  </si>
  <si>
    <t>PERFUME BIOLINE 9ML SUNSHINE (NARANJO)</t>
  </si>
  <si>
    <t>PETAG ESBILAC GOATS LIQUID 11oz</t>
  </si>
  <si>
    <t>PARKA RAIN L IMPERMEABLE GRIS ( LARGO 45-CUELLO 38- PECHO 58 )</t>
  </si>
  <si>
    <t>PET HOUSE TECHO AZUL L</t>
  </si>
  <si>
    <t>PETAG ESBILAC POWDER GOATS MILK FOR PUPPIES 340G</t>
  </si>
  <si>
    <t>PARKA RAIN M IMPERMEABLE ROJO ( LARGO 40-CUELLO 35- PECHO 54 )</t>
  </si>
  <si>
    <t>PET HOUSE TECHO AZUL S</t>
  </si>
  <si>
    <t>PARKA REVERSIBLE L LARGO ESPALDA 41CM GRIS</t>
  </si>
  <si>
    <t>PARKA REVERSIBLE L LARGO ESPALDA 41CM AZUL</t>
  </si>
  <si>
    <t>PARKA REVERSIBLE M LARGO LOMO 35.5CM AZUL</t>
  </si>
  <si>
    <t>PERFUME BIOLINE 9ML SWEETHEART (ROSADO)</t>
  </si>
  <si>
    <t>PET ROLLER</t>
  </si>
  <si>
    <t>PARKA RAIN S IMPERMEABLE AZUL ( LARGO 35-CUELLO 32- PECHO 48 )</t>
  </si>
  <si>
    <t>PARKA REVERSIBLE L LARGO LOMO 41.5CM AZUL</t>
  </si>
  <si>
    <t>PEZ CARASSIUS POMPOM</t>
  </si>
  <si>
    <t>PEZ CARASSIUS PERLADO</t>
  </si>
  <si>
    <t>PEZ CARASSIUS ORO</t>
  </si>
  <si>
    <t>PARKA RAIN S IMPERMEABLE ROJO ( LARGO 35-CUELLO 32- PECHO 48 )</t>
  </si>
  <si>
    <t>PEZ CARASSIUS ORANDA THAI</t>
  </si>
  <si>
    <t>PARKA RAIN XL IMPERMEABLE AZUL ( LARGO 50-CUELLO 40- PECHO 62 )</t>
  </si>
  <si>
    <t>PARKA RAIN XL IMPERMEABLE GRIS ( LARGO 50-CUELLO 40- PECHO 62 )</t>
  </si>
  <si>
    <t>PEZ CARASSIUS ORANDA SHOW XXL</t>
  </si>
  <si>
    <t>PETLOOK PREMIUM PERFUME CANDY 500ML</t>
  </si>
  <si>
    <t>PETLOOK PERFUME MACHO 120ML</t>
  </si>
  <si>
    <t>BALANCIN HAMSTER</t>
  </si>
  <si>
    <t>PETLOOK PERFUME FEMEA 120 ML</t>
  </si>
  <si>
    <t>PEZ CARASSIUS FANTASIA XL</t>
  </si>
  <si>
    <t>PEZ CARASSIUS FANTASIA</t>
  </si>
  <si>
    <t>PEZ CARASSIUS COMETA ORO S</t>
  </si>
  <si>
    <t>PEZ CARASSIUS COMETA</t>
  </si>
  <si>
    <t>PEZ CARASSIUS CHUCATO</t>
  </si>
  <si>
    <t>PARKA RAIN XL IMPERMEABLE ROJO ( LARGO 50-CUELLO 40- PECHO 62 )</t>
  </si>
  <si>
    <t>PEZ CARASSIUS CHOCOLATE</t>
  </si>
  <si>
    <t>PEZ CARASSIUS CALICO</t>
  </si>
  <si>
    <t>PARKA RAIN XS IMPERMEABLE AZUL ( LARGO 30-CUELLO 29- PECHO 43 )</t>
  </si>
  <si>
    <t>PETLOOK PERFUME FILHOTES 120ML</t>
  </si>
  <si>
    <t>BOLA DE HIERBA GATERA GIRATORIA GATOS (ADHESIVO) VERDE</t>
  </si>
  <si>
    <t>BOLA DE HIERBA GATERA GIRATORIA GATOS (ADHESIVO) BLANCO</t>
  </si>
  <si>
    <t>PEZ BOTIA PAYASO</t>
  </si>
  <si>
    <t>PEZ BOTIA LOHACHATA / YOYO</t>
  </si>
  <si>
    <t>PEZ BETTA MACHO HALF MOON</t>
  </si>
  <si>
    <t>PEZ BETTA MACHO CROWN TAIL</t>
  </si>
  <si>
    <t>PEZ CARASSIUS TELESCOPICO COLOR</t>
  </si>
  <si>
    <t>PARKA RAIN 4XL IMPERMEABLE GRIS ( LARGO 65- CUELLO 50- PECHO 94 )</t>
  </si>
  <si>
    <t>PARKA RAIN L IMPERMEABLE AZUL ( LARGO 45-CUELLO 38- PECHO 58 )</t>
  </si>
  <si>
    <t>PEZ CARASSIUS TELESCOPICO 8 - 10 CM</t>
  </si>
  <si>
    <t>PARKA RAIN S IMPERMEABLE GRIS ( LARGO 35-CUELLO 32- PECHO 48 )</t>
  </si>
  <si>
    <t>PARKA POLAR 2XL VERDE ( LARGO 55-CUELLO 44-PECHO 76 )</t>
  </si>
  <si>
    <t>PARKA POLAR 3XL AZUL ( LARGO 60-CUELLO 48-PECHO 84 )</t>
  </si>
  <si>
    <t>PEZ CARASSIUS SHUBUNKIN</t>
  </si>
  <si>
    <t>PEZ CARASSIUS SARASA</t>
  </si>
  <si>
    <t>PARKA POLAR 3XL MORADO ( LARGO 60-CUELLO 48-PECHO 84 )</t>
  </si>
  <si>
    <t>PEZ CARASSIUS RED CAP</t>
  </si>
  <si>
    <t>PARKA POLAR 3XL VERDE ( LARGO 60-CUELLO 48-PECHO 84 )</t>
  </si>
  <si>
    <t>PEZ CARASSIUS RANCHU</t>
  </si>
  <si>
    <t>PARKA POLAR 4XL AZUL ( LARGO 65-CUELLO 50-PECHO 94 )</t>
  </si>
  <si>
    <t>PARKA POLAR 4XL MORADO ( LARGO 65-CUELLO 50-PECHO 94 )</t>
  </si>
  <si>
    <t>PEZ CARASSIUS TELESCOPICO</t>
  </si>
  <si>
    <t>ARENA AEGEAN CATS ANTIBACTERIAL OLIVE 10KG</t>
  </si>
  <si>
    <t>ANDIS MAQUINA DE CORTE BESPOKE INALAMBRICA BLACK</t>
  </si>
  <si>
    <t>ANDIS MAQUINA DE CORTE AGCB BRUSHLESS BLACK</t>
  </si>
  <si>
    <t>PARKA POLAR XS AZUL (LARGO 30-CUELLO 29-PECHO 43)</t>
  </si>
  <si>
    <t>ANDIS CUCHILLA ULTRAEDGE N°7</t>
  </si>
  <si>
    <t>ANDIS CUCHILLA ULTRAEDGE N°5</t>
  </si>
  <si>
    <t>PARKA POLAR XS MORADO ( LARGO 30-CUELLO 29-PECHO 43 )</t>
  </si>
  <si>
    <t>ANDIS CUCHILLA ULTRAEDGE N°4</t>
  </si>
  <si>
    <t>PARKA POLAR XS VERDE ( LARGO 30-CUELLO 29-PECHO 43 )</t>
  </si>
  <si>
    <t>ANDIS CUCHILLA 5FC</t>
  </si>
  <si>
    <t>PEZ CARASSIUS BURBUJA</t>
  </si>
  <si>
    <t>ANALLERGENIC FELINO 2 KG</t>
  </si>
  <si>
    <t>PARKA REVERSIBLE 3XL LARGO LOMO 70CM MORADO</t>
  </si>
  <si>
    <t>PARKA REVERSIBLE 3XL LARGO LOMO 70CM ROJO</t>
  </si>
  <si>
    <t>AQUA-AKAL PH PLUS (BOTELLA 50 ML)</t>
  </si>
  <si>
    <t>APPLAWS LATA GATO FILETE ATUN CANGREJO 70GR</t>
  </si>
  <si>
    <t>PETLOOK PREMIUM PERFUME FAMOUS 50ML</t>
  </si>
  <si>
    <t>PETLOOK PREMIUM PERFUME FAMOUS 500ML</t>
  </si>
  <si>
    <t>PETLOOK PREMIUM PERFUME CANDY 50ML</t>
  </si>
  <si>
    <t>PETAG ESBILAC PUPPY LIQUID 11oz</t>
  </si>
  <si>
    <t>PETAG ESBILAC POWDER MILK REPLACER FOR PUPPIES 794GR</t>
  </si>
  <si>
    <t>Ancestral Perros Adultos 20 kg</t>
  </si>
  <si>
    <t>PARKA RAIN XS IMPERMEABLE GRIS ( LARGO 30-CUELLO 29- PECHO 43 )</t>
  </si>
  <si>
    <t>PEZ CARASSIUS BLANCO</t>
  </si>
  <si>
    <t>PARKA RAIN XS IMPERMEABLE ROJO ( LARGO 30-CUELLO 29- PECHO 43 )</t>
  </si>
  <si>
    <t>PEZ CARASSIUS 7-10 CMS</t>
  </si>
  <si>
    <t>PARKA REVERSIBLE 2XL LARGO ESPALDA 49CM AZUL</t>
  </si>
  <si>
    <t>PEZ CARASSIUS 2 - 6 CMS</t>
  </si>
  <si>
    <t>PEZ CARASIUSS RYUKIN</t>
  </si>
  <si>
    <t>PEZ BETTA MACHO</t>
  </si>
  <si>
    <t>PEZ BETTA HEMBRA</t>
  </si>
  <si>
    <t>ARENA AEGEAN CATS ANTIBACTERIAL OLIVE 5KG</t>
  </si>
  <si>
    <t>PEZ BARBUS TIGRE</t>
  </si>
  <si>
    <t>PARKA REVERSIBLE 2XL LARGO ESPALDA 49CM GRIS</t>
  </si>
  <si>
    <t>PARKA POLAR XL AZUL ( LARGO 50-CUELLO 40-PECHO 62 )</t>
  </si>
  <si>
    <t>PEZ BARBUS TETRAZONA</t>
  </si>
  <si>
    <t>PETLOOK PREMIUM PERFUME HAPPY 50ML</t>
  </si>
  <si>
    <t>PETLOOK PREMIUM PERFUME HAPPY 500ML</t>
  </si>
  <si>
    <t>PARKA POLAR XL MORADO ( LARGO 50-CUELLO 40-PECHO 62 )</t>
  </si>
  <si>
    <t>PETLOOK PREMIUM PERFUME FREELY 50ML</t>
  </si>
  <si>
    <t>PARKA POLAR XL VERDE ( LARGO 50-CUELLO 40-PECHO 62 )</t>
  </si>
  <si>
    <t>ARENA AEGEAN CATS BABY POWDER 10KG</t>
  </si>
  <si>
    <t>PEZ BARBUS TITEYA</t>
  </si>
  <si>
    <t>PELUCHE CON SONIDO ORCA 22X12X14</t>
  </si>
  <si>
    <t>PEINETA DOBLE</t>
  </si>
  <si>
    <t>PEINETA DOBLE MANGO MADERA</t>
  </si>
  <si>
    <t>PEINETA JW GRIP SOFT</t>
  </si>
  <si>
    <t>BOLA DE HIERBA GATERA GIRATORIA PARA GATOS (CON ADHESIVO)</t>
  </si>
  <si>
    <t>BALDE CON RATONCITOS CON COLA DE PLUMAS (100 UNIDADES)</t>
  </si>
  <si>
    <t>Arena city cat 20 kg</t>
  </si>
  <si>
    <t>ARENA CITY CAT 10 KG</t>
  </si>
  <si>
    <t>BALDE CON RATONCITOS CON COLA PELUDA (50 UNIDADES)</t>
  </si>
  <si>
    <t>ARENA CATZONE AGLUTINANTE 20 KGS</t>
  </si>
  <si>
    <t>PARKA RAIN 3XL IMPERMEABLE ROJO ( LARGO 65- CUELLO 50- PECHO 94 )</t>
  </si>
  <si>
    <t>BALDE CON RATONCITOS REDONDOS (40 UNIDADES)</t>
  </si>
  <si>
    <t>ARENA ZAGREB LAVANDA 10 KG</t>
  </si>
  <si>
    <t>AQUASANA 100 ML</t>
  </si>
  <si>
    <t>Baño de gato doble puerta Azul</t>
  </si>
  <si>
    <t>AQUARIO SUNSUN 191 LITROS CON MUEBLE NEGRO</t>
  </si>
  <si>
    <t>Baño de gato doble puerta Calipso</t>
  </si>
  <si>
    <t>BOLSO PARA BOCADILLOS Y PASEOS (6x10x12 cm CELESTE)</t>
  </si>
  <si>
    <t>AQUARIO SUNSUN 191 LITROS CON MUEBLE BLANCO</t>
  </si>
  <si>
    <t>AQUAMEDIK 100 ML GENERAL DISINFECTANT DOSAGE FOR 2</t>
  </si>
  <si>
    <t>AQUACID PH MINUS (50 ML)</t>
  </si>
  <si>
    <t>BOLSO PARA BOCADILLOS Y PASEOS (6x10x12 cm ROJO)</t>
  </si>
  <si>
    <t>ARENA AEGEAN CAT ANTIBACTERIAL OLIVE 20KG</t>
  </si>
  <si>
    <t>PELUCHE SALMON CON CATNIP 50CM</t>
  </si>
  <si>
    <t>PEINE PARA EL CABELLO CON ROCIADOR (11x6x4cm) VERDE</t>
  </si>
  <si>
    <t>PEINE PARA GATOS (EFECTO MASAJEADOR)</t>
  </si>
  <si>
    <t>PASTA PARA DIENTES SABOR POLLO</t>
  </si>
  <si>
    <t>PELUCHE PUERCO ELITE</t>
  </si>
  <si>
    <t>PASTEL CUMPLEAñOS CARNE Y VEGETALES 250 GR</t>
  </si>
  <si>
    <t>Peluche oveja "PETSTAR" (30*14 cm)</t>
  </si>
  <si>
    <t>PELUCHE OSITO PETSTAR</t>
  </si>
  <si>
    <t>PELOTA JW GRASS BALL - S</t>
  </si>
  <si>
    <t>PASTEL CUMPLEAÑOS FRUTOS DEL BOSQUE 250 GR</t>
  </si>
  <si>
    <t>PEINE Y SECADOR 2 EN 1</t>
  </si>
  <si>
    <t>PASTEL CUMPLEAñOS FRUTOS SECOS Y CHOCOLATE 25 GR</t>
  </si>
  <si>
    <t>PASTEL LOVE CARNE Y VERDURAS 250GR</t>
  </si>
  <si>
    <t>PEINE PARA QUITAR PULGAS</t>
  </si>
  <si>
    <t>PELOTA INTELIGENTE 6.7CM NARANJA</t>
  </si>
  <si>
    <t>PELOTA INTELIGENTE 6.7CM AZUL</t>
  </si>
  <si>
    <t>PELUCHE GOLDFISH CON CATNIP 40CM</t>
  </si>
  <si>
    <t>PEINE REMOVEDOR LIMPIADOR PERRO Y GATO ROSADO</t>
  </si>
  <si>
    <t>PELUCHE GOLDFISH CON CATNIP 30CM</t>
  </si>
  <si>
    <t>PELUCHE GOLDFISH CON CATNIP 20CM</t>
  </si>
  <si>
    <t>PEINE REMOVEDOR LIMPIADOR PERRO Y GATO VERDE</t>
  </si>
  <si>
    <t>PELUCHE CON SONIDO SERPIENTE</t>
  </si>
  <si>
    <t>PELOTA INTELIGENTE 6.7CM ROJO</t>
  </si>
  <si>
    <t>PELOTA GIGANTE DE CUERDA DE ALGODÃ?N CON MANGO 19 CM</t>
  </si>
  <si>
    <t>PELOTA GIGANTE DE CUERDA DE ALGODÃ?N con mango (24 cm)</t>
  </si>
  <si>
    <t>BOLSAS PARA FECAS ROSADO</t>
  </si>
  <si>
    <t>PELOTA ESTILO TENIS DISENO HUESO</t>
  </si>
  <si>
    <t>PEINETA SIMPLE</t>
  </si>
  <si>
    <t>PELOTA ESTILO TENIS DISENO BASKETBALL (15.2 CM)</t>
  </si>
  <si>
    <t>PELOTA DENTAL CON CUERDA DE ALGODON</t>
  </si>
  <si>
    <t>PELOTA DE RUGBY SNACKS</t>
  </si>
  <si>
    <t>PELOTA DE JUGUETE CON CATNIP</t>
  </si>
  <si>
    <t>PEINE PARA PIOJOS PERROS O GATOS</t>
  </si>
  <si>
    <t>PELUCHE BUHO PETSTAR</t>
  </si>
  <si>
    <t>Pato peluche (26*8*4 cm)</t>
  </si>
  <si>
    <t>PAW CARE CREME</t>
  </si>
  <si>
    <t>PAW CARE SPRAY</t>
  </si>
  <si>
    <t>PAW CLEANING PARA GATOS</t>
  </si>
  <si>
    <t>PEINE PARA MASCOTAS CON PALANCA EXPULSA PELOS M</t>
  </si>
  <si>
    <t>PELOTA BEISBOL DENTAL CON CUERDA DE ALGODON</t>
  </si>
  <si>
    <t>PELOTA BICOLOR CON SONIDO WARRIOR</t>
  </si>
  <si>
    <t>PELOTA BOUNCE FUN ZORRO 9x9 CM</t>
  </si>
  <si>
    <t>PELOTA BICOLOR WARRIOR</t>
  </si>
  <si>
    <t>PELOTA BOUNCE FUN GATO 9x9 CM</t>
  </si>
  <si>
    <t>PELOTA BOUNCE FUN ERIZO 9x9 CM</t>
  </si>
  <si>
    <t>PATAGON RAW VACUNO PERROS 40gr</t>
  </si>
  <si>
    <t>PELUCHE AVES CON CUERDA</t>
  </si>
  <si>
    <t>PELUCHE ANIMALES + GOMA DURA</t>
  </si>
  <si>
    <t>PELOTA DE HIGIENE DENTAL TURBODOG</t>
  </si>
  <si>
    <t>PELOTA DE GOMA PARA OLFATEAR Y BUSCAR COMIDA 20x20x20 CM</t>
  </si>
  <si>
    <t>PELOTA CON SONIDO WARRIOR</t>
  </si>
  <si>
    <t>BOLSO PARA BOCADILLOS Y PASEOS (6x10x12 cm ROSADO)</t>
  </si>
  <si>
    <t>PELOTAS GIRATORIAS 3+1 BLANCO</t>
  </si>
  <si>
    <t>BOLD EASY-LOCK PEQUEÑO</t>
  </si>
  <si>
    <t>BOLFO POLVO PULGA PIOJO GARRAPATA</t>
  </si>
  <si>
    <t>PELOTAS GIRATORIAS 3+1 AZUL</t>
  </si>
  <si>
    <t>PELOTAS DE BASQUET Y FUTBOL</t>
  </si>
  <si>
    <t>PELLET TORTUGA VERDE</t>
  </si>
  <si>
    <t>PELOTA REBOTADORA GRAVITACIONAL ROSADA</t>
  </si>
  <si>
    <t>PELOTA REBOTADORA GRAVITACIONAL AZUL</t>
  </si>
  <si>
    <t>PELOTA PELUCHE DE JUGUETE PARA PERRO (30x28x20cm)</t>
  </si>
  <si>
    <t>PELOTA PARA TIRAR WARRIOR</t>
  </si>
  <si>
    <t>bolsa flex cloruro de sodio 0.9% 250ml (pvc)</t>
  </si>
  <si>
    <t>BOLSAS BIODEGRADABLES 60 UNIDADES</t>
  </si>
  <si>
    <t>PELOTA PARA TIRAR CON SONIDO WARRIOR</t>
  </si>
  <si>
    <t>PELOTA OLFATIVA ARCOIRIS PERRO Y GATO 20CM</t>
  </si>
  <si>
    <t>BOLSAS PARA FECAS ROSA/VERDE LINEAS 4 UNID</t>
  </si>
  <si>
    <t>PELOTA 2 EN 1 TURBODOG</t>
  </si>
  <si>
    <t>PELO &amp; DERME GOLD 30 COMP</t>
  </si>
  <si>
    <t>bolsa flex cloruro de sodio 0.9% 1000ml (pvc)</t>
  </si>
  <si>
    <t>PELUCHE SONORO DONA VARIEDADES PARA PERRO</t>
  </si>
  <si>
    <t>PARKA REVERSIBLE 2XL LARGO LOMO 60CM MORADO</t>
  </si>
  <si>
    <t>PARKA REVERSIBLE 2XL LARGO LOMO 60CM ROJO</t>
  </si>
  <si>
    <t>PET DREAM SOFT 570 GRS</t>
  </si>
  <si>
    <t>PERSIAN 30 1.5 KG ROYAL CANIN</t>
  </si>
  <si>
    <t>PARKA REVERSIBLE 3XL LARGO ESPALDA 60CM AZUL</t>
  </si>
  <si>
    <t>PARKA REVERSIBLE 3XL LARGO ESPALDA 60CM GRIS</t>
  </si>
  <si>
    <t>PARKA REVERSIBLE 3XL LARGO LOMO 70CM AZUL</t>
  </si>
  <si>
    <t>PERROLAC 100 GR</t>
  </si>
  <si>
    <t>PERRO VITAL POLLO 2.26KG BOREAL</t>
  </si>
  <si>
    <t>PELUCHE SAPO ELITE</t>
  </si>
  <si>
    <t>ARENA AMERICALITTER QUICK CLUMPING SIN AROMA 15 KG</t>
  </si>
  <si>
    <t>ARENA AMERICALITTER QUICK CLUMPING LAVANDA 7K</t>
  </si>
  <si>
    <t>ANTYCHLOR 50 ML</t>
  </si>
  <si>
    <t>ANTYCHLOR 30 ML</t>
  </si>
  <si>
    <t>ANTISEPTICO INVECLOR PREQUIRURGICO SPRAY 250ML</t>
  </si>
  <si>
    <t>ANTISEDAN 5MG/ML SOL INY 10ML</t>
  </si>
  <si>
    <t>PARKA XL PARA PERRO DE 15 A 23 KG AZUL</t>
  </si>
  <si>
    <t>ARENA AEGEAN CATS LAVENDER 10KG</t>
  </si>
  <si>
    <t>PARKA XL PARA PERRO DE 15 A 23 KG GRIS CLARO</t>
  </si>
  <si>
    <t>ARENA AEGEAN CATS BABY POWDER 5KG</t>
  </si>
  <si>
    <t>PARKA XL PARA PERRO DE 15 A 23 KG GRIS OSCURO</t>
  </si>
  <si>
    <t>PARKA WINTER ACOLCHADA S GRIS</t>
  </si>
  <si>
    <t>BANDEJA SANITARIA PARA GATOS VERDE (CON PALA) 11*32*40 CM</t>
  </si>
  <si>
    <t>BANDEJA SANITARIA PARA GATOS MORADO (CON PALA) 11*32*40 CM</t>
  </si>
  <si>
    <t>BANDEJA SANITARIA MINOU SMALL</t>
  </si>
  <si>
    <t>PARKA REVERSIBLE S LARGO LOMO 31.5CM ROJO</t>
  </si>
  <si>
    <t>BOLSO PARA BOCADILLOS (6x10x12 cm GRIS)</t>
  </si>
  <si>
    <t>PARKA REVERSIBLE XL LARGO ESPALDA 45CM AZUL</t>
  </si>
  <si>
    <t>BOLSO PARA BOCADILLOS (6x10x12 cm CELESTE)</t>
  </si>
  <si>
    <t>PARKA REVERSIBLE XL LARGO ESPALDA 45CM GRIS</t>
  </si>
  <si>
    <t>BOLA MACIZA + CUERDA</t>
  </si>
  <si>
    <t>PARKA REVERSIBLE XL LARGO LOMO 52CM AZUL</t>
  </si>
  <si>
    <t>BOLA INTERACTIVA PARA GATOS</t>
  </si>
  <si>
    <t>PARKA REVERSIBLE 2XL LARGO LOMO 60CM CELESTE</t>
  </si>
  <si>
    <t>BOLA HENERA CON PEDESTAL</t>
  </si>
  <si>
    <t>PET IT REPAIR IT 50GR</t>
  </si>
  <si>
    <t>PARKA REVERSIBLE XL LARGO LOMO 52CM ROJO</t>
  </si>
  <si>
    <t>PET IT PROTECT IT FILTRO SOLAR FPS 50 - 30GR</t>
  </si>
  <si>
    <t>PET HOUSE TECHO VERDE S</t>
  </si>
  <si>
    <t>PELUCHE SONORO LEON PARA PERRO (35 CM)</t>
  </si>
  <si>
    <t>PARKA REVERSIBLE XS LARGO ESPALDA 27CM GRIS</t>
  </si>
  <si>
    <t>PELUCHE SONORO ELEFANTE PARA PERRO (40 CM)</t>
  </si>
  <si>
    <t>PARKA ROMBAL L</t>
  </si>
  <si>
    <t>PELUCHE SONORO ELASTICO HIPOPOTAMO (36x18 CM)</t>
  </si>
  <si>
    <t>PARKA ROMBAL M</t>
  </si>
  <si>
    <t>PARKA REVERSIBLE XL LARGO LOMO 52CM MORADO</t>
  </si>
  <si>
    <t>PERFUME BIOLINE 9ML FRIENDSHIP (AMARILLO)</t>
  </si>
  <si>
    <t>PERFUME BIOLINE 9ML ETERNITY (MORADO)</t>
  </si>
  <si>
    <t>PARKA ROMBAL XXL</t>
  </si>
  <si>
    <t>PARKA WINTER ACOLCHADA M AZUL</t>
  </si>
  <si>
    <t>PARKA WINTER ACOLCHADA M GRIS</t>
  </si>
  <si>
    <t>PARKA WINTER ACOLCHADA S AZUL</t>
  </si>
  <si>
    <t>PERCHA EXTENSIBLE 23-36 CM UNIPET</t>
  </si>
  <si>
    <t>PERCHA 18 CM UNIPET</t>
  </si>
  <si>
    <t>PEARL MUSSEL DIFUSOR UNIPET</t>
  </si>
  <si>
    <t>PENTHOUSE PARA HAMSTER DE MADERA</t>
  </si>
  <si>
    <t>PARKA XL PARA PERRO DE 15 A 23 KG NARANJA</t>
  </si>
  <si>
    <t>PENICILINA BENZATINA X 4 FCO</t>
  </si>
  <si>
    <t>Peluches</t>
  </si>
  <si>
    <t>PECHUGA DE POLLO COCIDA 20 GR BIOLINE</t>
  </si>
  <si>
    <t>PECHUGAS DE POLLO 100G</t>
  </si>
  <si>
    <t>PELOTITAS CON CASCABEL (1 UNIDAD)</t>
  </si>
  <si>
    <t>PELOTAS GIRATORIAS 3+1 VERDE</t>
  </si>
  <si>
    <t>PELOTAS GIRATORIAS 3+1 ROSADO</t>
  </si>
  <si>
    <t>PEDEROL 2% SPRAY 250ML</t>
  </si>
  <si>
    <t>PELOTAS GIRATORIAS 3+1 MORADO</t>
  </si>
  <si>
    <t>PELOTAS GIRATORIAS 3+1 GRIS</t>
  </si>
  <si>
    <t>PELUCHE SONORO CONEJO VERDE Y GRIS (26x13 CM)</t>
  </si>
  <si>
    <t>PECHUGA DE PATO COCIDA 20 GR BIOLINE</t>
  </si>
  <si>
    <t>PASTA DE DIENTES CON CALCIO 50GR</t>
  </si>
  <si>
    <t>PASTA DE DIENTES CON ENZIMA 50GR</t>
  </si>
  <si>
    <t>ARENA AEGEAN CATS BABY POWDER 20KG</t>
  </si>
  <si>
    <t>PASTA DENTAL NARANJA</t>
  </si>
  <si>
    <t>PARKA REVERSIBLE M LARGO LOMO 35.5CM MORADO</t>
  </si>
  <si>
    <t>PARKA REVERSIBLE M LARGO LOMO 35.5CM ROJO</t>
  </si>
  <si>
    <t>PERRO VITAL POLLO 11.3KG BOREAL</t>
  </si>
  <si>
    <t>PARKA REVERSIBLE S LARGO ESPALDA 33CM AZUL</t>
  </si>
  <si>
    <t>PERRO PROPER POLLO 2.26KG BOREAL</t>
  </si>
  <si>
    <t>PERRO PROPER POLLO 11.3KG BOREAL</t>
  </si>
  <si>
    <t>PARKA REVERSIBLE S LARGO ESPALDA 33CM GRIS</t>
  </si>
  <si>
    <t>PARKA ROMBAL XL</t>
  </si>
  <si>
    <t>PARKA REVERSIBLE S LARGO LOMO 31.5CM AZUL</t>
  </si>
  <si>
    <t>PARKA REVERSIBLE S LARGO LOMO 31.5CM MORADO</t>
  </si>
  <si>
    <t>PASTEL LOVE FRUTOS DEL BOSQUE 250 GR</t>
  </si>
  <si>
    <t>PASTEL LOVE FRUTOS SECOS Y CHOCOLATE 250GR</t>
  </si>
  <si>
    <t>PATAGON RAW CORAZON CORDERO PERROS 40gr</t>
  </si>
  <si>
    <t>PATAGON RAW PAVO PERROS 40gr</t>
  </si>
  <si>
    <t>PELUCHE OSITO N°2 PETSTAR</t>
  </si>
  <si>
    <t>PATAGON RAW SALMON GATOS 35gr</t>
  </si>
  <si>
    <t>PERFUME BIOLINE 9ML LIFE (VERDE)</t>
  </si>
  <si>
    <t>PATAGON RAW SALMON PERROS 40gr</t>
  </si>
  <si>
    <t>PARKA ROMBAL S</t>
  </si>
  <si>
    <t>PELUCHE OSITO N°3 PETSTAR</t>
  </si>
  <si>
    <t>PLATO DOBLE ANTIHORMIGAS 285 GRM</t>
  </si>
  <si>
    <t>PLATO BAMBU COLORES 800 ml VERDE</t>
  </si>
  <si>
    <t>PLATO BAMBU COLORES 800 ml ROSADO</t>
  </si>
  <si>
    <t>PLATO BAMBU COLORES 800 ml AZUL-GRIS</t>
  </si>
  <si>
    <t>PLATO BAMBU COLORES 800 ml AMARILLO</t>
  </si>
  <si>
    <t>PLATO DOBLE ACERO INOXIDABLE ANTI-HORMIGA GRIS</t>
  </si>
  <si>
    <t>PLATO DOBLE ACERO INOXIDABLE ANTI-HORMIGA AZUL</t>
  </si>
  <si>
    <t>PLATO DISNEY #2</t>
  </si>
  <si>
    <t>PLATO DIBUJO S 17,5X15X5 CM</t>
  </si>
  <si>
    <t>PLATO DE ALIMENTACION ORTOPEDICO SIMPLE</t>
  </si>
  <si>
    <t>PLATO DE ALIMENTACION LENTA ZANAHORIA</t>
  </si>
  <si>
    <t>PLATO DE ALIMENTACIÓN LENTA MIX COLOR VERDE</t>
  </si>
  <si>
    <t>PEZ ESPADA VERDE</t>
  </si>
  <si>
    <t>PLATO ANTI HORMIGAS PEQUEÑO</t>
  </si>
  <si>
    <t>PLATO ANTI HORMIGAS EXTRA GRANDE</t>
  </si>
  <si>
    <t>PLATO ANTI DERRAME</t>
  </si>
  <si>
    <t>Plato Alimentacion Lenta Redondo Pet In Care Rosado</t>
  </si>
  <si>
    <t>PLATO DE ALIMENTACIÓN LENTA FLOR - CELESTE</t>
  </si>
  <si>
    <t>PLATO DE ALIMENTACION LENTA ESPINA PEZ</t>
  </si>
  <si>
    <t>PLATO DE ALIMENTACIÓN LENTA CON FORMA PEZ CELESTE</t>
  </si>
  <si>
    <t>PLATO DE ACERO INOXIDABLE DISEÑO GATO 25</t>
  </si>
  <si>
    <t>PLATO DE ACERO INOXIDABLE CON DISENO INCLINADO VERDE 14x14x8.5</t>
  </si>
  <si>
    <t>PLATO DE ACERO INOXIDABLE CON DISENO INCLINADO NARANJO 14x14x8.5</t>
  </si>
  <si>
    <t>PLATO DE ACERO INOXIDABLE CON DISENO INCLINADO AZUL 14x14x8.5</t>
  </si>
  <si>
    <t>PLATO DE ACERO INOXIDABLE 18.8*6cm VERDE</t>
  </si>
  <si>
    <t>PLATO DE ACERO INOXIDABLE 18.8*6cm ROSADO</t>
  </si>
  <si>
    <t>PLATO DE ACERO INNOXIDABLE 18.8*6cm CELESTE</t>
  </si>
  <si>
    <t>AMPOLLETA CERAMICA INFRARROJA 250W</t>
  </si>
  <si>
    <t>AMPOLLETA CERAMICA INFRARROJA 150W</t>
  </si>
  <si>
    <t>AMPOLLETA CERAMICA INFRARROJA 100W</t>
  </si>
  <si>
    <t>ampolla epinefrina 1mg/1ml</t>
  </si>
  <si>
    <t>ampolla atropina 1mg/1ml</t>
  </si>
  <si>
    <t>AMONIO SINGEN SQ -10 1LT</t>
  </si>
  <si>
    <t>AMITY TUNA AND SALMON KITTEN WET FOOD 80GR LATA</t>
  </si>
  <si>
    <t>AMITY MACKEREL, SARDINE AND SALMON ADULT CAT WET FOOD 80GR LATA</t>
  </si>
  <si>
    <t>AMITY HAKE WITH COD AND TUNA STERILIZED CAT WET FOOD 80GR LATALATA</t>
  </si>
  <si>
    <t>AMITY CHICKEN AND SALMON ADULT CAT WET FOOD 80GR LATA</t>
  </si>
  <si>
    <t>ANALLERGENIC CANINO 3K</t>
  </si>
  <si>
    <t>ANALLERGENIC CANINE 8 KG</t>
  </si>
  <si>
    <t>Ampolleta UV (6*13) (E27) 5 Watt</t>
  </si>
  <si>
    <t>PLATO ELEVADO PARA GATO CELESTE</t>
  </si>
  <si>
    <t>PLATO DOBLE COMEDERO LENTO 255 GRM</t>
  </si>
  <si>
    <t>PLATO ELEVADO DISEÑO DIAMANTES</t>
  </si>
  <si>
    <t>PLATO DE ALIMENTACIÓN LENTA MIX COLOR ROSADO</t>
  </si>
  <si>
    <t>PLATO DE ALIMENTACION LENTA HUESOS</t>
  </si>
  <si>
    <t>PLATO DE ALIMENTACIÓN LENTA FLOR - VERDE</t>
  </si>
  <si>
    <t>PLATO DE ALIMENTACIÓN LENTA FLOR - ROSADO</t>
  </si>
  <si>
    <t>PLATO ELEVADO CANDY STYLE</t>
  </si>
  <si>
    <t>PLATO DOBLE ESPECIAL PARA GATOS (29X15X8 CM)</t>
  </si>
  <si>
    <t>PLATO DOBLE DE ACERO INOXIDABLE EN ALTU 2 VERDE</t>
  </si>
  <si>
    <t>PLATO DOBLE DE ACERO INOXIDABLE EN ALTU 2 ROSADO</t>
  </si>
  <si>
    <t>PLATO DOBLE DE ACERO INOXIDABLE EN ALTU 2 2.590 (10%) CELESTE</t>
  </si>
  <si>
    <t>PLATO DOBLE DE ACERO INOXIDABLE 33*16.5* 2 CELESTE</t>
  </si>
  <si>
    <t>PLATO DOBLE DE ACERO INOXIDABLE 33*16.5* 2 VERDE</t>
  </si>
  <si>
    <t>PLATO ELEVADO PARA GATO</t>
  </si>
  <si>
    <t>PLATO ACERO INOX. CON VENTOSAS 13 CM</t>
  </si>
  <si>
    <t>PLATO ACERO INOX. ANTI-HORMIGAS BASE GOMA 950 ML</t>
  </si>
  <si>
    <t>PLANTA DE ADORNO PARA ACUARIO VERDE</t>
  </si>
  <si>
    <t>PLANTA DE ADORNO PARA ACUARIO ROSADO Y VERDE</t>
  </si>
  <si>
    <t>PLATO ACERO INOX DISEÑO LINEAS 950 ML</t>
  </si>
  <si>
    <t>PLATO ACERO INOX DISEÑO LINEAS 710 ML</t>
  </si>
  <si>
    <t>PLATO ACERO INOX DISEÑO LINEAS 470 ML</t>
  </si>
  <si>
    <t>PLATO ACERO INOX DISEÑO LINEAS 2900 ML</t>
  </si>
  <si>
    <t>PLATO ACERO INOX DISEÑO LINEAS 230 ML</t>
  </si>
  <si>
    <t>PLATO ACERO INOX BOWL DISEÑOS 26 CM</t>
  </si>
  <si>
    <t>BOLA DE HIERBA GATERA GIRATORIA GATOS (ADHESIVO) AZUL</t>
  </si>
  <si>
    <t>BOLA DE CATNIP Y MENTA XL CON VARILLA (5CM)</t>
  </si>
  <si>
    <t>BOLA DE CATNIP XL 5CM</t>
  </si>
  <si>
    <t>BOLD EASY-LOCK GRANDE</t>
  </si>
  <si>
    <t>PLATO ACERO INOXIDABLE PINTADO Y DISEÑOS 950 ML</t>
  </si>
  <si>
    <t>BOLAS CON CAMPANA</t>
  </si>
  <si>
    <t>BOLA WARRIOR MACIZA CAUCHO ALTA DENSIDAD 8 CM</t>
  </si>
  <si>
    <t>BOLA WARRIOR MACIZA CAUCHO ALTA DENSIDAD 6 CM</t>
  </si>
  <si>
    <t>BOLA WARRIOR 9 CM (CAUCHO, ATRAPAR GALLETAS)</t>
  </si>
  <si>
    <t>BOLA WARRIOR 12,5 CM (CAUCHO)</t>
  </si>
  <si>
    <t>BOLA CON DIENTES 7,4 CM WARRIOR</t>
  </si>
  <si>
    <t>BOLA CATNIP CON ADHERENTE PARA PAREDES</t>
  </si>
  <si>
    <t>BODY COBRE PERRO/GATO 40-45KG T-13 KIMBA</t>
  </si>
  <si>
    <t>BODY COBRE PERRO/GATO 4.5-6KG T-3 KIMBA</t>
  </si>
  <si>
    <t>PLATO ACERO INOX BOWL DISEÑOS 23 CM.</t>
  </si>
  <si>
    <t>PLATO ACERO INOX BOWL DISEÑOS 23 CM</t>
  </si>
  <si>
    <t>PLATO ACERO INOX BOWL DISEÑOS 16 CM</t>
  </si>
  <si>
    <t>PLATO ACERO INOX BOWL DISEÑOS 13 CM</t>
  </si>
  <si>
    <t>PLACA ID PARA GRABAR (VERDE) 3 CM</t>
  </si>
  <si>
    <t>BOLAS DE HIERBAS SABORES MIXTOS 315 GRS</t>
  </si>
  <si>
    <t>PLATO ACERO INOXIDABLE PINTADO Y DISEÑOS 470 ML</t>
  </si>
  <si>
    <t>PLATO ACERO INOXIDABLE PINTADO Y DISEÑOS 2900 ML</t>
  </si>
  <si>
    <t>PLATO BAMBU COLORES 250 ml VERDE</t>
  </si>
  <si>
    <t>PLATO BAMBU COLORES 250 ml ROSADO</t>
  </si>
  <si>
    <t>PLATO BAMBU COLORES 250 ml AMARILLO</t>
  </si>
  <si>
    <t>PLATO BAMBU COLORES 2200 ml VERDE</t>
  </si>
  <si>
    <t>PLATO BAMBU COLORES 2200 ml ROSADO</t>
  </si>
  <si>
    <t>PLATO BAMBU COLORES 2200 ml AZUL-GRIS</t>
  </si>
  <si>
    <t>PLATO BAMBU COLORES 2200 ml AMARILLO</t>
  </si>
  <si>
    <t>PLATO BAMBU COLORES 1200 ml VERDE</t>
  </si>
  <si>
    <t>PLATO BAMBU COLORES 1200 ml ROSADO</t>
  </si>
  <si>
    <t>PLATO BAMBU COLORES 1200 ml AZUL-GRIS</t>
  </si>
  <si>
    <t>PLATO BAMBU COLORES 1200 ml AMARILLO</t>
  </si>
  <si>
    <t>PLATO ACERO INOX. ANTI-HORMIGAS BASE GOMA 710 ML</t>
  </si>
  <si>
    <t>PLATO ACERO INOX. CON VENTOSAS 16 CM</t>
  </si>
  <si>
    <t>PLATO ACERO INOX. ANTI-HORMIGAS BASE GOMA 230 ML</t>
  </si>
  <si>
    <t>PLATO ALIMENTACION LENTA CUADRADO PET IN CARE</t>
  </si>
  <si>
    <t>PLATO ALIMENTACIÓN LENTA CON JUEGO</t>
  </si>
  <si>
    <t>PLATO ALIMENTACION LENTA #3</t>
  </si>
  <si>
    <t>PLATO ACERO INOXIDABLE TALLA XXL</t>
  </si>
  <si>
    <t>PLATO ACERO INOXIDABLE TALLA S</t>
  </si>
  <si>
    <t>PLATO ACERO INOX BOWL DISEÑOS</t>
  </si>
  <si>
    <t>Plato Acero Eukanuba</t>
  </si>
  <si>
    <t>PLATO ACERO ANTI DESLIZANTE N1</t>
  </si>
  <si>
    <t>PLATILLO PARA CORRER HAMSTER ( 18 X 18 X 11 CMS)</t>
  </si>
  <si>
    <t>PLATO ACERO INOXIDABLE PINTADO Y DISEÑO</t>
  </si>
  <si>
    <t>PLATO ACERO INOXIDABLE PINTADO 470 ML</t>
  </si>
  <si>
    <t>PLATO ACERO INOXIDABLE PINTADO 230 ML</t>
  </si>
  <si>
    <t>PLATO ACERO INOX. CON VENTOSAS 20 CM</t>
  </si>
  <si>
    <t>PLATO ACERO INOX. ANTI-HORMIGAS BASE GOMA 470 ML</t>
  </si>
  <si>
    <t>POLERA MANGA LARGA GRIS S 64g</t>
  </si>
  <si>
    <t>POEMA SENIOR SALMON 3KG</t>
  </si>
  <si>
    <t>POEMA FELINO ADULTO ESTERILIZADO CONTROL URINARIO 7K</t>
  </si>
  <si>
    <t>PLATO MELAMINA ACERO INOX 700 ml DISEÑO CHINO</t>
  </si>
  <si>
    <t>PLATO MELAMINA ACERO INOX 700 ml CHIHUAHUA</t>
  </si>
  <si>
    <t>PLATOS DOBLES ANTIVUELCOS L 34*20*6-5cm VERDE</t>
  </si>
  <si>
    <t>PLATOS DOBLES ANTIVUELCOS L 34*20*6-5cm ROSADO</t>
  </si>
  <si>
    <t>PLATOS DOBLES ANTIVUELCOS L 34*20*6-5cm CELESTE</t>
  </si>
  <si>
    <t>PLATO XL 1100 ML</t>
  </si>
  <si>
    <t>PLATO SIMPLE ANTIDESLIZANTE N°2</t>
  </si>
  <si>
    <t>Ampolleta UV (6*13) (E27) 10 Watt</t>
  </si>
  <si>
    <t>Ampolleta UV (4.8*5cm) (E27) 75 Watt</t>
  </si>
  <si>
    <t>Ampolleta UV (4.8*5cm) (E27) 25 Watt</t>
  </si>
  <si>
    <t>ANDIS MAQUINA DE CORTE EMERGE INALAMBRICA AZUL</t>
  </si>
  <si>
    <t>ALMOHADILLA PARA LAMER CON VENTOSA DE FIJACION 2 NARANJO</t>
  </si>
  <si>
    <t>ALMOHADILLA PARA LAMER CON VENTOSA DE FIJACION 2 AZUL</t>
  </si>
  <si>
    <t>ALMOHADILLA PARA LAMER CON VENTOSA DE FIJACION 2</t>
  </si>
  <si>
    <t>ALMOHADILLA OLFATIVA MULTIFUNCIONAL PARA COMIDA PARA PERROS Y GATOS</t>
  </si>
  <si>
    <t>ALMOHADILLA GRUESA PARA PLATOS 55*38 CM</t>
  </si>
  <si>
    <t>AMPOLLETA DE NOCHE 100W</t>
  </si>
  <si>
    <t>AMPOLLETA DE CERAMICA 200W</t>
  </si>
  <si>
    <t>PLATO SIMPLE ANTIDESLIZANTE N°1</t>
  </si>
  <si>
    <t>PLATO SIMPLE (ANTIDESLIZANTE) N°3</t>
  </si>
  <si>
    <t>PLATO S 200 ML</t>
  </si>
  <si>
    <t>PLATO MELAMINA ACERO 340 ml - DELICIOUS</t>
  </si>
  <si>
    <t>PLATO MELAMINA ACERO 150 ml - ZEBRA</t>
  </si>
  <si>
    <t>PLATO MELAMINA ACERO 150 ml - ROSA GRIS CELESTE</t>
  </si>
  <si>
    <t>PLATO MELAMINA ACERO 150 ml - PERRO GRIS</t>
  </si>
  <si>
    <t>ALMOHADILLA TERMICA PARA MASCOTAS REDONDA 30CM</t>
  </si>
  <si>
    <t>BOLA GIRATORIA 3 MAS</t>
  </si>
  <si>
    <t>BODY COBRE PERRO/GATO 10-13KG T-6 KIMBA</t>
  </si>
  <si>
    <t>BODY COBRE PERRO/GATO 1.5-2.5KG T-0 KIMBA</t>
  </si>
  <si>
    <t>BODY COBRE PERRO/GATO 0-1.5KG T-00 KIMBA</t>
  </si>
  <si>
    <t>BLUE AIR LEASH ZEEDOG</t>
  </si>
  <si>
    <t>BLOQUE DE TRONCOS + PIEZA DE LUFA + TEJI</t>
  </si>
  <si>
    <t>BLOQUE DE BACTERIAS CUADRADO GRANDE 20 PIEZAS</t>
  </si>
  <si>
    <t>BLOQUE DE BACTERIA COLORES 30 PIEZAS (3.7X3.7X3.5CM)</t>
  </si>
  <si>
    <t>POLERON C/ CAPUCHA SPORT S GRIS (LARGO 35-CUELLO 32-PECHO 48)</t>
  </si>
  <si>
    <t>POLERON C/ CAPUCHA SPORT S BEIGE (LARGO 35-CUELLO 32-PECHO 48)</t>
  </si>
  <si>
    <t>POLERON C/ CAPUCHA SPORT M GRIS (LARGO 40-CUELLO 35-PECHO 54)</t>
  </si>
  <si>
    <t>POLERON C/ CAPUCHA SPORT M BEIGE (LARGO 40-CUELLO 35-PECHO 54)</t>
  </si>
  <si>
    <t>POLERON C/ CAPUCHA SPORT L GRIS (LARGO 45-CUELLO 38-PECHO 58)</t>
  </si>
  <si>
    <t>POLERON C/ CAPUCHA SPORT L BEIGE (LARGO 45-CUELLO 38-PECHO 58)</t>
  </si>
  <si>
    <t>POLERA MANGA LARGA M GRIS</t>
  </si>
  <si>
    <t>POLERON C/ CAPUCHA SPORT 4XL BEIGE (LARGO 65-CUELLO 50-PECHO 94)</t>
  </si>
  <si>
    <t>POLERON C/ CAPUCHA SPORT 3XL GRIS (LARGO 60-CUELLO 48-PECHO 84)</t>
  </si>
  <si>
    <t>POLERON C/ CAPUCHA SPORT 3XL BEIGE (LARGO 60-CUELLO 48-PECHO 84)</t>
  </si>
  <si>
    <t>PLUMILLA CON CATNIP</t>
  </si>
  <si>
    <t>PLATOS DOBLES ANTIVUELCOS S (23*13*4cm) VERDE</t>
  </si>
  <si>
    <t>POLERA ZAGREB L</t>
  </si>
  <si>
    <t>POLERA ZABREB L</t>
  </si>
  <si>
    <t>POLERA RAYADA S AZUL</t>
  </si>
  <si>
    <t>POLERA RAYADA M ROJO</t>
  </si>
  <si>
    <t>POLERA RAYADA L ROJO</t>
  </si>
  <si>
    <t>POLERA MASCOTAS VERANO TALLA S</t>
  </si>
  <si>
    <t>POLERA MASCOTAS VERANO TALLA M</t>
  </si>
  <si>
    <t>POLERA MANGA LARGA S NARANJA</t>
  </si>
  <si>
    <t>POLERA MANGA LARGA NARANJA M 72g</t>
  </si>
  <si>
    <t>POLERON C/ CAPUCHA SPORT 4XL GRIS (LARGO 65-CUELLO 50-PECHO 94)</t>
  </si>
  <si>
    <t>PLATO L 700 ML</t>
  </si>
  <si>
    <t>Plato Intercambiable Con Juegos Azul</t>
  </si>
  <si>
    <t>PLATO INTERCAMBIABLE CON JUEGOS</t>
  </si>
  <si>
    <t>Plato Intercambiable Con Juego Rosado</t>
  </si>
  <si>
    <t>PLATO ELEVADO DE ACERO INOXIDABLE VERDE (15X15X6CM)</t>
  </si>
  <si>
    <t>PLATO ELEVADO DE ACERO INOXIDABLE NARANJO (15X15X6CM)</t>
  </si>
  <si>
    <t>PLATO ELEVADO DE ACERO INOXIDABLE AZUL (15x15x6cm)</t>
  </si>
  <si>
    <t>PLATO ELEVADO DE ACERO INOXIDABLE AMARILLO (15X15X6CM)</t>
  </si>
  <si>
    <t>PLATO INDIVIDUAL ACERO INOXIDABLE 18x18x6 VERDE</t>
  </si>
  <si>
    <t>PLATO INDIVIDUAL ACERO INOXIDABLE 18x18x6 MOSTAZA</t>
  </si>
  <si>
    <t>PLATO INDIVIDUAL ACERO INOXIDABLE 18x18x6 AZUL</t>
  </si>
  <si>
    <t>PLATO INDIVIDUAL ACERO INOXIDABLE 16*1 4 990 (10%) VERDE</t>
  </si>
  <si>
    <t>PLATO INDIVIDUAL ACERO INOXIDABLE 16*1 4 990 (10%) ROJO</t>
  </si>
  <si>
    <t>PLATO INDIVIDUAL ACERO INOXIDABLE 16*1 4 990 (10%) MOSTAZA</t>
  </si>
  <si>
    <t>PLATO PEQUEÑO 12CM DE DIAMETRO CON INCLINACION</t>
  </si>
  <si>
    <t>PLATO INDIVIDUAL 21*5-8 cm 90 g 5 690 (10%) VERDE</t>
  </si>
  <si>
    <t>PLATO DOBLE ANTIDESLIZANTE 200 ML S</t>
  </si>
  <si>
    <t>PLATO GATO S 14X8 CM</t>
  </si>
  <si>
    <t>PLATO GATO L 16.5X9CM</t>
  </si>
  <si>
    <t>PLATO FORMA PERRO</t>
  </si>
  <si>
    <t>PLATO FELIZ CON BOTITAS</t>
  </si>
  <si>
    <t>PLATO ESPECIAL PARA GATOS</t>
  </si>
  <si>
    <t>PLATO ENFRIADOR DE AGUA</t>
  </si>
  <si>
    <t>PLATO ELEVADO PARA GATO VERDE</t>
  </si>
  <si>
    <t>ANDIS MAQUINA DE CORTE PULSE ZR II GALAXY</t>
  </si>
  <si>
    <t>ANDIS MAQUINA DE CORTE EMERGE INALAMBRICA PURPURA</t>
  </si>
  <si>
    <t>PLATO INDIVIDUAL ACERO INOXIDABLE 16*1 4 990 (10%) AZUL</t>
  </si>
  <si>
    <t>PLATO PARA COLGAR 590 ML</t>
  </si>
  <si>
    <t>PLATO PARA COLGAR 300 ML</t>
  </si>
  <si>
    <t>PLATO PARA COLGAR 150 ML</t>
  </si>
  <si>
    <t>PLATO MELAMINA S</t>
  </si>
  <si>
    <t>PLATO MELAMINA PROFUNDO DISENOS 950 ml</t>
  </si>
  <si>
    <t>PLATO MELAMINA PROFUNDO DISENOS 350 ml</t>
  </si>
  <si>
    <t>PLATO INDIVIDUAL ACERO INOXIDABLE ANTI- 2 1.490 (10%) ROJO</t>
  </si>
  <si>
    <t>PLATO INDIVIDUAL ACERO INOXIDABLE ANTI- 2 1.490 (10%) CELESTE</t>
  </si>
  <si>
    <t>PLATO INDIVIDUAL ACERO INOXIDABLE ANTI VERDE</t>
  </si>
  <si>
    <t>PLATO INDIVIDUAL ACERO INOXIDABLE ANTI ROSADO</t>
  </si>
  <si>
    <t>PLATO MELAMINA ACERO INOX 700 ml BULLDOG</t>
  </si>
  <si>
    <t>PLATO MELAMINA ACERO INOX 340 ml (PERRO CAFE)</t>
  </si>
  <si>
    <t>PLATO MELAMINA ACERO INOX 340 ml (GATO GRIS)</t>
  </si>
  <si>
    <t>PLATO MELAMINA ACERO INOX 340 ml</t>
  </si>
  <si>
    <t>PLATO M 300 ML</t>
  </si>
  <si>
    <t>PLATO MELAMINA ACERO INOX 150 ml</t>
  </si>
  <si>
    <t>PLATO MELAMINA ACERO 340 ml - ROSA GRIS CELESTE</t>
  </si>
  <si>
    <t>PLATO MELAMINA ACERO 340 ml - PERRO GRIS</t>
  </si>
  <si>
    <t>PLATO MELAMINA ACERO 340 ml - HOJAS</t>
  </si>
  <si>
    <t>PLATO MELAMINA ACERO 340 ml - FLORES</t>
  </si>
  <si>
    <t>PLATO INDIVIDUAL 15*13*5cm CELESTE</t>
  </si>
  <si>
    <t>PLATO MELAMINA ACERO 150 ml - LEON</t>
  </si>
  <si>
    <t>PLATO MELAMINA ACERO 150 ml - JIRAFA</t>
  </si>
  <si>
    <t>PLATO MELAMINA ACERO 150 ml - HOJAS</t>
  </si>
  <si>
    <t>PLATO MELAMINA ACERO 150 ml - FLORES</t>
  </si>
  <si>
    <t>PLATO MELAMINA ACERO 150 ml - DELICIOUS</t>
  </si>
  <si>
    <t>PLATO MELAMINA ACERO 150 ml - CONEJO</t>
  </si>
  <si>
    <t>PLATO MELAMINA ACERO 150 ml - CERDO</t>
  </si>
  <si>
    <t>PEZ PARAISO / MACROPODO</t>
  </si>
  <si>
    <t>PEZ OTOCINCLUS</t>
  </si>
  <si>
    <t>PEZ ESPADA WAGTAIL</t>
  </si>
  <si>
    <t>PARKA RAIN 3XL IMPERMEABLE ROJO ( LARGO 60- CUELLO 48- PECHO 84 )</t>
  </si>
  <si>
    <t>PEZ ESPADA TUXEDO</t>
  </si>
  <si>
    <t>PEZ ESPADA TRICOLOR</t>
  </si>
  <si>
    <t>PEZ MOLLY PUESTA DE SOL</t>
  </si>
  <si>
    <t>PEZ MOLLY PLATA XXL</t>
  </si>
  <si>
    <t>PEZ MOLLY PLATA</t>
  </si>
  <si>
    <t>PEZ MOLLY NEGRO LIRA</t>
  </si>
  <si>
    <t>PEZ MOLLY NEGRO</t>
  </si>
  <si>
    <t>PEZ MOLLY MANCHADO</t>
  </si>
  <si>
    <t>PEZ MOLLY GRIS</t>
  </si>
  <si>
    <t>PLACA ID PARA GRABAR (ROJO) 3 CM</t>
  </si>
  <si>
    <t>PEZ MOLLY DALMATA</t>
  </si>
  <si>
    <t>PEZ MOLLY CHOCOLATE</t>
  </si>
  <si>
    <t>PEZ MOLLY BLACKTAIL</t>
  </si>
  <si>
    <t>PEZ MOLLY BALLON LEOPARDO</t>
  </si>
  <si>
    <t>PEZ ESCALAR MARMOLADO</t>
  </si>
  <si>
    <t>PEZ ESCALAR M</t>
  </si>
  <si>
    <t>PEZ ESCALAR L</t>
  </si>
  <si>
    <t>PEZ DOLAR</t>
  </si>
  <si>
    <t>PEZ KOI VELIFERO</t>
  </si>
  <si>
    <t>PEZ KOI SANKE</t>
  </si>
  <si>
    <t>PEZ KOI ROJO BLANCO 15 CMS</t>
  </si>
  <si>
    <t>PEZ KOI ORO</t>
  </si>
  <si>
    <t>PEZ KOI HASTA 4 CM</t>
  </si>
  <si>
    <t>PEZ KOI 5 - 10 cms</t>
  </si>
  <si>
    <t>PEZ MOLLY GOLD</t>
  </si>
  <si>
    <t>PEZ TETRA CORAZON SANGRANTE</t>
  </si>
  <si>
    <t>PEZ TETRA CARDENAL</t>
  </si>
  <si>
    <t>PEZ TETRA BORRACHITO</t>
  </si>
  <si>
    <t>PEZ SUMATRANO</t>
  </si>
  <si>
    <t>PEZ NEON</t>
  </si>
  <si>
    <t>PEZ MONJITA / VIUDA</t>
  </si>
  <si>
    <t>PEZ MOLLY SHENOPS</t>
  </si>
  <si>
    <t>PEZ MOLLY PUESTA DE SOL XXL</t>
  </si>
  <si>
    <t>PEZ PLECOSTOMUS VITTATA</t>
  </si>
  <si>
    <t>PEZ PLECOSTOMUS GALAXY</t>
  </si>
  <si>
    <t>PEZ PLECOSTOMUS FALSO CEBRA</t>
  </si>
  <si>
    <t>PEZ PLECOSTOMUS COMUN</t>
  </si>
  <si>
    <t>PEZ PLECOSTOMUS ANCISTRUS</t>
  </si>
  <si>
    <t>PEZ PLECOSTOMUS ADONIS</t>
  </si>
  <si>
    <t>PEZ PARAISO / MACROPODO XXL</t>
  </si>
  <si>
    <t>PEZ PLATTY WAGTAIL</t>
  </si>
  <si>
    <t>PEZ PLATTY ROJO</t>
  </si>
  <si>
    <t>PEZ PLATTY RED TOP</t>
  </si>
  <si>
    <t>PEZ PLATTY NEGRO</t>
  </si>
  <si>
    <t>PEZ PLATTY MICKEY MOUSE</t>
  </si>
  <si>
    <t>PEZ MOLLY BALLON</t>
  </si>
  <si>
    <t>PEZ LABEO ALBINO</t>
  </si>
  <si>
    <t>PEZ KULLI KULLI</t>
  </si>
  <si>
    <t>PEZ PLATTY BLACKTAIL</t>
  </si>
  <si>
    <t>PEZ PLATTY ABEJA</t>
  </si>
  <si>
    <t>PEZ PELUCHE (CARGADOR USB) TRUCHA COLOR CAFE</t>
  </si>
  <si>
    <t>PEZ PELUCHE (CARGADOR USB) SALMON COLOR GRIS</t>
  </si>
  <si>
    <t>PEZ PELUCHE (CARGADOR USB) KOI NARANJO</t>
  </si>
  <si>
    <t>PEZ PELUCHE (CARGADOR USB) DORIS</t>
  </si>
  <si>
    <t>PEZ PLECO PAYASO</t>
  </si>
  <si>
    <t>PEZ CORYDORA METAE</t>
  </si>
  <si>
    <t>PEZ CORYDORA MELANISTUS</t>
  </si>
  <si>
    <t>PEZ CORYDORA LASER</t>
  </si>
  <si>
    <t>PEZ CORYDORA JULII</t>
  </si>
  <si>
    <t>PEZ CORYDORA GREEN CAT</t>
  </si>
  <si>
    <t>PEZ CARASSIUS ORANDA</t>
  </si>
  <si>
    <t>PEZ CARASSIUS L</t>
  </si>
  <si>
    <t>PEZ CARASSIUS IMPORTADOS XL</t>
  </si>
  <si>
    <t>PEZ CARASSIUS HANAMISHIKI XXL</t>
  </si>
  <si>
    <t>PEZ CORYDORA ALBINA</t>
  </si>
  <si>
    <t>PEZ CORYDORA AGASSIZI</t>
  </si>
  <si>
    <t>PEZ CORYDORA AENEUS</t>
  </si>
  <si>
    <t>PEZ CONCHONIUS VERDE</t>
  </si>
  <si>
    <t>PEZ CONCHONIUS ROJO</t>
  </si>
  <si>
    <t>PEZ KOI 10 - 15 CM</t>
  </si>
  <si>
    <t>PEZ COLISA FUEGO</t>
  </si>
  <si>
    <t>PEZ CICLIDO GRESHKEIS ICE BLUE</t>
  </si>
  <si>
    <t>BOLA HENERA COLGANTE</t>
  </si>
  <si>
    <t>BOLA HENERA C/PEDESTAL</t>
  </si>
  <si>
    <t>BOLA GIRATORIA DE MATATABI VERDE</t>
  </si>
  <si>
    <t>BOLSO DE TRANSPORTE CON CUPULA GRIS Y VERDE TALLA L</t>
  </si>
  <si>
    <t>BOLSO DE TRANSPORTE CON CUPULA GRIS Y NARANJA TALLA S</t>
  </si>
  <si>
    <t>BOLSO DE TRANSPORTE CON CUPULA GRIS Y NARANJA TALLA L</t>
  </si>
  <si>
    <t>BOLSO CUACKY BAG (40x26x25 cm)</t>
  </si>
  <si>
    <t>BOLSAS PARA PECES 50*20*0,06 CM</t>
  </si>
  <si>
    <t>BOLSAS PARA PECES 40*15*0,06 CM</t>
  </si>
  <si>
    <t>BOLSAS PARA FECAS VERDE</t>
  </si>
  <si>
    <t>BOLA DE SISAL CON PLUMAS (7 CM)</t>
  </si>
  <si>
    <t>PEZ COLISA LALIA</t>
  </si>
  <si>
    <t>PEZ GUPPY HALF BLACK</t>
  </si>
  <si>
    <t>PEZ GUPPY DUMBO</t>
  </si>
  <si>
    <t>PEZ GUPPY COMUN</t>
  </si>
  <si>
    <t>PEZ GEOPHAGUS</t>
  </si>
  <si>
    <t>PEZ GATO ABEJA</t>
  </si>
  <si>
    <t>PEZ CORYDORA ELEGANS</t>
  </si>
  <si>
    <t>PEZ CORYDORA BRONCE</t>
  </si>
  <si>
    <t>PEZ CORYDORA BLACK SAIL</t>
  </si>
  <si>
    <t>PEZ CORYDORA ARCUATUS</t>
  </si>
  <si>
    <t>PEZ ESPADA SANSHOKU</t>
  </si>
  <si>
    <t>PEZ ESPADA ROJA LIRA</t>
  </si>
  <si>
    <t>PEZ ESPADA ROJA</t>
  </si>
  <si>
    <t>PEZ ESPADA MERIGOLD</t>
  </si>
  <si>
    <t>PEZ ESPADA KOI</t>
  </si>
  <si>
    <t>PEZ CORYDORA PALEATUS</t>
  </si>
  <si>
    <t>PEZ ESPADA BERLIN</t>
  </si>
  <si>
    <t>PEZ ESCALAR XL</t>
  </si>
  <si>
    <t>PEZ ESCALAR S</t>
  </si>
  <si>
    <t>PEZ ESCALAR NEGRO</t>
  </si>
  <si>
    <t>PEZ CARPA CON CATNIP 20 CM</t>
  </si>
  <si>
    <t>PEZ CARASSIUSS RYUKIN XL</t>
  </si>
  <si>
    <t>PEZ CARASSIUS TELESCOPICO XXL</t>
  </si>
  <si>
    <t>PEZ CARASSIUS TELESCOPICO NEGRO</t>
  </si>
  <si>
    <t>PEZ DISCO RED TURQUEZA</t>
  </si>
  <si>
    <t>PEZ DISCO RED SPOT</t>
  </si>
  <si>
    <t>PEZ DISCO GOLDEN</t>
  </si>
  <si>
    <t>PEZ CORYDORA PUNCTATUS</t>
  </si>
  <si>
    <t>PEZ CORYDORA PIGMEA</t>
  </si>
  <si>
    <t>PEZ CORYDORA PANDA</t>
  </si>
  <si>
    <t>PEZ ESPADA KOHAKU</t>
  </si>
  <si>
    <t>AMPOLLETA TROPICAL REPTIL 26WATT</t>
  </si>
  <si>
    <t>AMPOLLETA SOLAR 100 W</t>
  </si>
  <si>
    <t>AMPOLLETA REPTIL UVB TROPICAL 13 WATT</t>
  </si>
  <si>
    <t>AMPOLLETA LUZ UV ESMERILADA 75W</t>
  </si>
  <si>
    <t>AMPOLLETA LUZ UV ESMERILADA 50W</t>
  </si>
  <si>
    <t>AMPOLLETA LUZ UV ESMERILADA 100W</t>
  </si>
  <si>
    <t>AMPOLLETA DESIERTO UV PARA REPTIL 26W</t>
  </si>
  <si>
    <t>AMPOLLETA DESIERTO REPTIL 13 WATT</t>
  </si>
  <si>
    <t>AMPOLLETA DE NOCHE 75W</t>
  </si>
  <si>
    <t>AMPOLLETA DE NOCHE 50W</t>
  </si>
  <si>
    <t>ANILLOS DE CERAMICA PARA ACUARIOS 500G</t>
  </si>
  <si>
    <t>ANILLOS DE CERAMICA 2.5KG</t>
  </si>
  <si>
    <t>ANILLO CON CHUPETES (X)</t>
  </si>
  <si>
    <t>PLACA CALEFACTORA 7 WATTS C/DIMMER</t>
  </si>
  <si>
    <t>Pez Tetra Diamante</t>
  </si>
  <si>
    <t>PLACA CALEFACTORA 28W</t>
  </si>
  <si>
    <t>pinza quirurgica thumb</t>
  </si>
  <si>
    <t>pinza mosquito recta 12cm</t>
  </si>
  <si>
    <t>pinza mosquito curva 12</t>
  </si>
  <si>
    <t>pinza litauer para puntos 14cm</t>
  </si>
  <si>
    <t>PIZZA DE TIMOTHY CON FRUTAS 50GR</t>
  </si>
  <si>
    <t>PITON BOLA</t>
  </si>
  <si>
    <t>PISCINA PARA PERROS ROJA</t>
  </si>
  <si>
    <t>PISCINA PARA PERROS AZUL</t>
  </si>
  <si>
    <t>PISCINA PARA MASCOTAS (160 cm diametro, 30 cm altura) ROJA</t>
  </si>
  <si>
    <t>PISCINA PARA MASCOTAS (160 cm diametro, 30 cm altura) AZUL</t>
  </si>
  <si>
    <t>PIPICAT SUPER PREMIUM CON CARBÓN AROMA A LAVANDA 4 KG</t>
  </si>
  <si>
    <t>PINK LED COLLAR SMALL ZEEDOG</t>
  </si>
  <si>
    <t>PINK LED COLLAR MEDIUM ZEEDOG</t>
  </si>
  <si>
    <t>PLACA CALEFACTORA 35 WATTS</t>
  </si>
  <si>
    <t>PLACA ID PARA GRABAR (NARANJO) 3 CM</t>
  </si>
  <si>
    <t>PLASMORAL DIGEST RAZA PEQ Y MED 30 SOBRES</t>
  </si>
  <si>
    <t>PLASMORAL DIGEST RAZA GRANDE 30 SOBRES</t>
  </si>
  <si>
    <t>PLANTA VALISNERIA GIGANTE</t>
  </si>
  <si>
    <t>PLANTA VALISNERIA ESPIRAL</t>
  </si>
  <si>
    <t>PLANTA PLASTICA 20 CM</t>
  </si>
  <si>
    <t>PLANTA PLASTICA 30CM</t>
  </si>
  <si>
    <t>PLANTA PINO</t>
  </si>
  <si>
    <t>PLANTA ELODEA</t>
  </si>
  <si>
    <t>PLANTA DE ADORNO PARA ACUARIO VIOLETA</t>
  </si>
  <si>
    <t>PLACA CALEFACTORA 20W PLACA CALEFACTORA 20 WATTS</t>
  </si>
  <si>
    <t>PLACA CALEFACTORA 14 WATTS</t>
  </si>
  <si>
    <t>PLANTA DE ADORNO PARA ACUARIO MODELO ALGAS</t>
  </si>
  <si>
    <t>PLANTA CEREZOS</t>
  </si>
  <si>
    <t>APOQUEL 16 MG X 20 MG</t>
  </si>
  <si>
    <t>PLACA PARA GRABADO HUESO 3X2 CM</t>
  </si>
  <si>
    <t>PLACA PARA GRABADO HUESO 2 CM</t>
  </si>
  <si>
    <t>PLACA PARA GRABADO GATO 2.5 CM</t>
  </si>
  <si>
    <t>PLACA ID PARA GRABAR (AMARILLO) 3 CM</t>
  </si>
  <si>
    <t>PLACA DE FONDO 98 X 30 CM HAILEA</t>
  </si>
  <si>
    <t>PLACA DE FONDO 85 X 30 CM HAILEA</t>
  </si>
  <si>
    <t>PLACA DE FONDO 58 X 30 CM HAILEA</t>
  </si>
  <si>
    <t>PLACA DE FONDO 45 X 30 CM HAILEA</t>
  </si>
  <si>
    <t>PLACA DE FONDO 118X 30 CM HAILEA</t>
  </si>
  <si>
    <t>PLACA CALEFACTORA PVC (20x35 cm) 20w</t>
  </si>
  <si>
    <t>PLACA CALEFACTORA PVC (15X25 CM) 10W</t>
  </si>
  <si>
    <t>APPLAWS LATA GATO FILETE ATUN CAMARON 70GR</t>
  </si>
  <si>
    <t>PLACA PARA GRABADO HUESO FANTASIA 1.5 X 2 CM</t>
  </si>
  <si>
    <t>PILAR ROMANO</t>
  </si>
  <si>
    <t>PIEDRAS REMOVEDORAS DE AMONIACO 2.5K</t>
  </si>
  <si>
    <t>PIEDRA VOLCANICA 500G</t>
  </si>
  <si>
    <t>PEZ SERPAE VELIFERO</t>
  </si>
  <si>
    <t>Pez Rojito Fino</t>
  </si>
  <si>
    <t>PEZ RASBORA</t>
  </si>
  <si>
    <t>PEZ RAMIREZI</t>
  </si>
  <si>
    <t>PHANTOM LEASH L ZEEDOG</t>
  </si>
  <si>
    <t>PHANTOM H-HARNESS EXTRA SMALL ZEEDOG</t>
  </si>
  <si>
    <t>PHANTOM COLLAR SMALL ZEEDOG</t>
  </si>
  <si>
    <t>PHANTOM COLLAR MEDIUM ZEEDOG</t>
  </si>
  <si>
    <t>PHANTOM COLLAR LARGE ZEEDOG</t>
  </si>
  <si>
    <t>PHANTOM COLLAR EXTRA SMALL ZEEDOG</t>
  </si>
  <si>
    <t>PHANTOM COLLAR CAT ZEECAT</t>
  </si>
  <si>
    <t>PINK LED COLLAR LARGE ZEEDOG</t>
  </si>
  <si>
    <t>PHANTOM AIR MESH PLUS HARNESS MEDIUM ZEEDOG</t>
  </si>
  <si>
    <t>PHANTOM AIR MESH PLUS HARNESS LARGE ZEEDOG</t>
  </si>
  <si>
    <t>PHANTOM AIR MESH PLUS HARNESS EXTRA SMALL ZEEDOG</t>
  </si>
  <si>
    <t>PHANTOM ADJ. AIR MESH HARNESS MEDIUM ZEEDOG</t>
  </si>
  <si>
    <t>PEZ PLATTY MERI GOLD</t>
  </si>
  <si>
    <t>PEZ PLATTY GRIS</t>
  </si>
  <si>
    <t>PEZ PLATTY COMUN</t>
  </si>
  <si>
    <t>PEZ TRICHO 3 PUNTOS</t>
  </si>
  <si>
    <t>PEZ TILAPIA</t>
  </si>
  <si>
    <t>PEZ TIBURON COLOMBIANO</t>
  </si>
  <si>
    <t>PEZ TETRA ROSITA</t>
  </si>
  <si>
    <t>PEZ TETRA ORO</t>
  </si>
  <si>
    <t>PEZ TETRA NEON VERDE</t>
  </si>
  <si>
    <t>PEZ TETRA EMPERADOR</t>
  </si>
  <si>
    <t>PHANTOM AIR MESH PLUS HARNESS SMALL ZEEDOG</t>
  </si>
  <si>
    <t>PINK LED COLLAR EXTRA SMALL ZEEDOG</t>
  </si>
  <si>
    <t>PIPETA FRONTLINE PLUS PERROS 40 - 60 KGS (4.02 ML)</t>
  </si>
  <si>
    <t>PIPETA FRONTLINE PLUS GATOS (0.5 ml)</t>
  </si>
  <si>
    <t>PINZAS CON LUZ</t>
  </si>
  <si>
    <t>PIEDRA VOLCANICA 2.5KG</t>
  </si>
  <si>
    <t>PHANTOM LEASH XS ZEEDOG</t>
  </si>
  <si>
    <t>PHANTOM LEASH S ZEEDOG</t>
  </si>
  <si>
    <t>pinza kelly recta16 cms</t>
  </si>
  <si>
    <t>pinza kelly curva 16 cms</t>
  </si>
  <si>
    <t>pinza de campo backhaus</t>
  </si>
  <si>
    <t>PILARES GRIEGOS FORMA L</t>
  </si>
  <si>
    <t>PINZA ACERO INOXIDABLE</t>
  </si>
  <si>
    <t>PINK LED RUFF LEASH SMALL ZEEDOG</t>
  </si>
  <si>
    <t>PINK LED RUFF LEASH LARGE ZEEDOG</t>
  </si>
  <si>
    <t>PINK LED H-HARNESS MEDIUM ZEEDOG</t>
  </si>
  <si>
    <t>PHANTOM ADJ. AIR MESH HARNESS EXTRA SMALL ZEEDOG</t>
  </si>
  <si>
    <t>PH TEST 6.0-7.8</t>
  </si>
  <si>
    <t>PEZ ZORRITO VOLADOR</t>
  </si>
  <si>
    <t>PINK LED CAT COLLAR ZEECAT</t>
  </si>
  <si>
    <t>PINK LED ADJ. AIR MESH HARNESS SMALL ZEEDOG</t>
  </si>
  <si>
    <t>PINK LED ADJ. AIR MESH HARNESS MEDIUM ZEEDOG</t>
  </si>
  <si>
    <t>PINK LED ADJ. AIR MESH HARNESS LARGE ZEEDOG</t>
  </si>
  <si>
    <t>PINK LED ADJ. AIR MESH HARNESS EXTRA SMALL ZEEDOG</t>
  </si>
  <si>
    <t>PIN UP PLUS. Bandeja sanitaria gato con malla 59X38X27 cm (4 bandejas)</t>
  </si>
  <si>
    <t>PIMELODELA PICTUS</t>
  </si>
  <si>
    <t>pinza anatomica thumb</t>
  </si>
  <si>
    <t>Mochila Para Mascotas Negro</t>
  </si>
  <si>
    <t>MUTAPHI D 100 ml</t>
  </si>
  <si>
    <t>MUTACAL - RESINA DECALCIFICANTE 250ML</t>
  </si>
  <si>
    <t>MULTIVIT GOTAS CONEJOS Y ROEDORES 20ML - BEAPHAR</t>
  </si>
  <si>
    <t>Mochila Marinero M</t>
  </si>
  <si>
    <t>Mochila Marinero L</t>
  </si>
  <si>
    <t>Mochila Indian Blue XL</t>
  </si>
  <si>
    <t>Mochila Indian Blue S</t>
  </si>
  <si>
    <t>Mochila Indian Blue M</t>
  </si>
  <si>
    <t>Mochila Indian Blue L</t>
  </si>
  <si>
    <t>MOTHER AND BABYCAT 1.5 KG</t>
  </si>
  <si>
    <t>MOMETAMAX JERINGA 1 DOSIS</t>
  </si>
  <si>
    <t>MODELO #2 ESCALERA DE MADERA 38 CM</t>
  </si>
  <si>
    <t>MOCHILA TRANSPORTE MASCOTAS</t>
  </si>
  <si>
    <t>PARKA DIAMOND 4XL BURDEO / ROSA ( LARGO 65- CUELLO 50- PECHO 94 )</t>
  </si>
  <si>
    <t>MOCHILA TRANSPORTAR MASCOTAS TELA OXFORD GRIS NARANJO (32X22X42CM)</t>
  </si>
  <si>
    <t>MOCHILA TRANSPORTAR MASCOTAS TELA OXFORD GRIS CAFE (32X22X42CM)</t>
  </si>
  <si>
    <t>MOCHILA TRANSPORTAR MASCOTAS TELA OXFORD GRIS AZUL (32X22X42CM)</t>
  </si>
  <si>
    <t>MOCHILA TRANSPORTADORA PARA MASCOTAS CON MANILLA BEIGE 36x25x29</t>
  </si>
  <si>
    <t>MOCHILA CON CUPULA PARA MASCOTAS DISEÑO BOSQUE 32x17x42</t>
  </si>
  <si>
    <t>MOCHILA CON ARNES PARA PERRO S NARANJO</t>
  </si>
  <si>
    <t>MOCHILA CON ARNES PARA PERRO S MOSTAZA</t>
  </si>
  <si>
    <t>MOCHILA CON ARNES PARA PERRO M VERDE</t>
  </si>
  <si>
    <t>MOCHILA CON ARNES PARA PERRO M NARANJO</t>
  </si>
  <si>
    <t>MOCHILA CON ARNES PARA PERRO M MOSTAZA</t>
  </si>
  <si>
    <t>Mochila Para Mascotas Calipso</t>
  </si>
  <si>
    <t>Mochila Para Mascotas Blanco</t>
  </si>
  <si>
    <t>Mochila Para Mascotas Azul</t>
  </si>
  <si>
    <t>MOCHILA PARA MASCOTAS</t>
  </si>
  <si>
    <t>MOCHILA TRANSPORTAR MASCOTAS TELA OXFORD GRIS VERDE (32X22X42CM)</t>
  </si>
  <si>
    <t>NATURALISTIC MEAT DUCK DRUMSTICK, 6 U., 90GR</t>
  </si>
  <si>
    <t>NATURAL FOOD RAZAS PEQUEÑAS PREMIUM 10 KG</t>
  </si>
  <si>
    <t>NATURAL FOOD MOTHER AND KITTEN GESTACION, LACTANCIA Y GATITOS PREMIUM 7.5 KG</t>
  </si>
  <si>
    <t>NATURAL FOOD GATOS INDOOR PREMIUM 7.5 KG</t>
  </si>
  <si>
    <t>NATURAL FOOD GATOS ADULTO PREMIUM 7.5 KG</t>
  </si>
  <si>
    <t>NATURAL FOOD CACHORRO PREMIUM PREMIUM 10 KG</t>
  </si>
  <si>
    <t>MULTIVIT GOTAS AVES 20ML - BEAPHAR</t>
  </si>
  <si>
    <t>MOVOFLEX (M)</t>
  </si>
  <si>
    <t>MOVOFLEX (L)</t>
  </si>
  <si>
    <t>MOTHER AND BABYCAT 2 KG</t>
  </si>
  <si>
    <t>NATSBI STEAMED CHICKEN &amp; LAMB 500G</t>
  </si>
  <si>
    <t>NATSBI STEAMED CHICKEN &amp; DUCK 500G</t>
  </si>
  <si>
    <t>NANOVIT GRANULAT 250ML/175G</t>
  </si>
  <si>
    <t>NANORMEN PERRO GATO SUSP 20ML</t>
  </si>
  <si>
    <t>Mochila Para Mascotas Rosado</t>
  </si>
  <si>
    <t>ARENA VANCAT LAVENDER 10 KG</t>
  </si>
  <si>
    <t>ARENA VANCAT CARBON ACTIVO GRANULADO 8.5KG (10L)</t>
  </si>
  <si>
    <t>ARENA VANCAT BABY POWDER 10 KG</t>
  </si>
  <si>
    <t>ARENA VANCAT ALOE VERA 5KG</t>
  </si>
  <si>
    <t>ARENA VANCAT ALOE VERA 10 KG</t>
  </si>
  <si>
    <t>ARENA TURBOCAT BIDON 6.2 KG</t>
  </si>
  <si>
    <t>ARENA TURBOCAT 15 KG</t>
  </si>
  <si>
    <t>ARENA SILICA GEL 3.2 KG (X)</t>
  </si>
  <si>
    <t>ARENERO PARA GATOS 40*30*18 SALLY VERDE</t>
  </si>
  <si>
    <t>ARENERO PARA GATOS 40*30*18 SALLY ROSADO</t>
  </si>
  <si>
    <t>ARENERO PARA GATOS 40*30*18 SALLY GRIS</t>
  </si>
  <si>
    <t>Nacotil 125 ML Limpiador Otico para Perros y Gatos</t>
  </si>
  <si>
    <t>MOCHILA TRANSPORTADORA DE AVES Y PEQUEÑAS MASCOTAS CAFE 33x17x38 cm</t>
  </si>
  <si>
    <t>MOCHILA TRANSPARENTE</t>
  </si>
  <si>
    <t>MOCHILA REFRIGERANTE JOSERA PET</t>
  </si>
  <si>
    <t>ARENA VANCAT NATURAL 15 KG</t>
  </si>
  <si>
    <t>MOCHILA CANGURO L HASTA 12 KG</t>
  </si>
  <si>
    <t>MOCHILA CANGURO A40</t>
  </si>
  <si>
    <t>Mochila Bear Pink XL</t>
  </si>
  <si>
    <t>Mochila Bear Pink S</t>
  </si>
  <si>
    <t>Mochila Bear Pink M</t>
  </si>
  <si>
    <t>MINT STICK BARKBONE MEDIUM</t>
  </si>
  <si>
    <t>MINI STARTER 3 KG ROYAL CANIN</t>
  </si>
  <si>
    <t>MINI SKIMMER DOPHIN</t>
  </si>
  <si>
    <t>MINI RASCADOR DE SISAL CON RATON CON RES</t>
  </si>
  <si>
    <t>MINI PUPPY 8KG</t>
  </si>
  <si>
    <t>MOCHILA ASTRONAUTA COLOR ROJO ELECTRICO</t>
  </si>
  <si>
    <t>MOCHILA ASTRONAUTA COLOR NEGRO CON BATMAN</t>
  </si>
  <si>
    <t>MOCHILA ASTRONAUTA COLOR MORADO ELECTRICO</t>
  </si>
  <si>
    <t>MOCHILA ASTRONAUTA COLOR FUCSIA CON CONEJO</t>
  </si>
  <si>
    <t>Mochila Navy XL</t>
  </si>
  <si>
    <t>MOCHILA ASTRONAUTA COLOR AZUL ELECTRICO</t>
  </si>
  <si>
    <t>MOCHILA ASTRONAUTA COLOR AZUL CON GATOS</t>
  </si>
  <si>
    <t>MOCHILA ASTRONAUTA COLOR AMARILLO ELECTRICO</t>
  </si>
  <si>
    <t>MOCHILA ASTRONAUTA COLOR AMARILLO CON PATOS</t>
  </si>
  <si>
    <t>MOCHILA ASTRONAUTA 32X22X42</t>
  </si>
  <si>
    <t>MINI INDOOR ADULTO 2.5 KG ROYAL CANIN</t>
  </si>
  <si>
    <t>MINI GALLETAS HUESOS MIX SABORES LOLOPETS</t>
  </si>
  <si>
    <t>MINI DISPENSADOR VIOLA 0,65 L (AGUA O COMIDA)</t>
  </si>
  <si>
    <t>MINI DERMACOMFORT 2.5 KG</t>
  </si>
  <si>
    <t>MINI COMEDERO 2</t>
  </si>
  <si>
    <t>MNI LAMPARA REPTILES 100 WATTS</t>
  </si>
  <si>
    <t>ARNES + TRAILLA DISEÑOS NATIVOS M</t>
  </si>
  <si>
    <t>ARNES + TRAILLA DISEÑOS NATIVOS L</t>
  </si>
  <si>
    <t>ARENERO GATO ISCHIA MINI AMARILLO</t>
  </si>
  <si>
    <t>ARENERO ECO BLANOC</t>
  </si>
  <si>
    <t>MOCHILA ASTRONAUTA COLOR CON LIMON</t>
  </si>
  <si>
    <t>Mochila Navy S</t>
  </si>
  <si>
    <t>Mochila Navy M</t>
  </si>
  <si>
    <t>Mochila Navy L</t>
  </si>
  <si>
    <t>Mochila Marinero XL</t>
  </si>
  <si>
    <t>Mochila Marinero S</t>
  </si>
  <si>
    <t>Mochila Bear Pink L</t>
  </si>
  <si>
    <t>MOCHILA ASTRONAUTA EXTENSIBLE ROSADA</t>
  </si>
  <si>
    <t>MOCHILA ASTRONAUTA EXTENSIBLE ROJA</t>
  </si>
  <si>
    <t>MOCHILA ASTRONAUTA EXTENSIBLE AZUL</t>
  </si>
  <si>
    <t>MOCHILA ASTRONAUTA COLORES ELECTRICOS</t>
  </si>
  <si>
    <t>MOCHILA ASTRONAUTA COLOR ROSADO ELECTRICO</t>
  </si>
  <si>
    <t>MOCHILA DE TRANSPORTE Y MANGO</t>
  </si>
  <si>
    <t>MOCHILA DE TRANSPORTE PARA GATOS AZUL</t>
  </si>
  <si>
    <t>MOCHILA DE TRANSPORTE CON CUPULA VERDE</t>
  </si>
  <si>
    <t>MOCHILA CANGURO M HASTA 7 KG</t>
  </si>
  <si>
    <t>MOCHILA DE TRANSPORTE CON CUPULA CAFE</t>
  </si>
  <si>
    <t>MOCHILA DE TRANSPORTE CON CUPULA AZUL Y ROJO</t>
  </si>
  <si>
    <t>MOCHILA CON CUPULA PARA MASCOTAS DISEÑO RECTANGULO COLORES32x17x42</t>
  </si>
  <si>
    <t>MOCHILA CON CUPULA PARA MASCOTAS DISEÑO MIX AZUL 32x17x42</t>
  </si>
  <si>
    <t>MOCHILA CON CUPULA PARA MASCOTAS DISEÑO DESIERTO 32x17x42</t>
  </si>
  <si>
    <t>MOCHILA ASTRONAUTA</t>
  </si>
  <si>
    <t>Mochila - arnes S (Cuello 31 - 41 cm/ Pecho 58 - 64 cm / Dorso 35 - 51 cm)</t>
  </si>
  <si>
    <t>Mochila - arnes M (Cuello 51 - 60 cm/ Pecho 70 - 81 cm / Dorso 41 - 55 cm)</t>
  </si>
  <si>
    <t>Mochila - arnes L (Cuello 8 - 78 cm/ Pecho 80 - 87 cm / Dorso 66 - 99 cm)</t>
  </si>
  <si>
    <t>MOBILITY SUPPORT 10 KG CANINO</t>
  </si>
  <si>
    <t>MOBILITY CANINO 2 KG</t>
  </si>
  <si>
    <t>MOCHILA CON ARNES PARA PERRO M CELESTE</t>
  </si>
  <si>
    <t>MOCHILA CANGURO XL HASTA 17 KG</t>
  </si>
  <si>
    <t>MOCHILA CANGURO TRANSPORTE MASCOTAS</t>
  </si>
  <si>
    <t>MOCHILA CANGURO S HASTA 5 KG</t>
  </si>
  <si>
    <t>MOCHILA DE TRANSPORTE CON CUPULA GRIS</t>
  </si>
  <si>
    <t>ARENA PREMIUM BAKING SODA LEMON 4 KG</t>
  </si>
  <si>
    <t>ARENA PREMIUM BAKING SODA BABY POWDER 4 KG</t>
  </si>
  <si>
    <t>ARENA PREMIUM BAKING SODA BABY POWDER 20 KG</t>
  </si>
  <si>
    <t>ARENA PARA CHINCHILLAS 5.1 KG</t>
  </si>
  <si>
    <t>ARENA ORNAMENTAL TIPO CRISTAL NEGRO</t>
  </si>
  <si>
    <t>ARENA ODOUR BUSTER ORIGINAL CAT LITTER 6 KG</t>
  </si>
  <si>
    <t>ARENA ODOUR BUSTER ORIGINAL CAT LITTER 14 KG</t>
  </si>
  <si>
    <t>NEW FROST SENSITIVE ALL BREEDS 10.1K</t>
  </si>
  <si>
    <t>NEW FROST SENIOR ALL BREEDS 15K</t>
  </si>
  <si>
    <t>NEOPRO GREEN H-HARNESS LARGE</t>
  </si>
  <si>
    <t>NEOPRO GREEN H-HARNESS EXTRA SMALL</t>
  </si>
  <si>
    <t>NEOPRO GREEN COLLAR XS</t>
  </si>
  <si>
    <t>NEOPRO GREEN COLLAR SMALL</t>
  </si>
  <si>
    <t>NEOPRO GREEN COLLAR M</t>
  </si>
  <si>
    <t>NATURALISTIC MEATBALLS DUCK AND APPLE 100GR</t>
  </si>
  <si>
    <t>NEUTRALIZA OLOR SPRAY TRAPER 440 CC</t>
  </si>
  <si>
    <t>NEUMATICO PARA TIRAR CON SONIDO WARRIOR</t>
  </si>
  <si>
    <t>NEOPRO TANGERINE LEASH XS</t>
  </si>
  <si>
    <t>NEOPRO BUBBLEGUM COLLAR LARGE</t>
  </si>
  <si>
    <t>NEOPRO BUBBLEGUM COLLAR EXTRA SMALL</t>
  </si>
  <si>
    <t>NEOPRO BUBBLEGUM CAT COLLAR</t>
  </si>
  <si>
    <t>NEOPRO BLUE COLLAR MEDIUM ZEEDOG</t>
  </si>
  <si>
    <t>NEOPRO BLUE COLLAR LARGE ZEEDOG</t>
  </si>
  <si>
    <t>NEOPRO BLUE CAT COLLAR ZEECAT</t>
  </si>
  <si>
    <t>NEOPRO TANGERINE COLLAR XS</t>
  </si>
  <si>
    <t>NEOPRO TANGERINE COLLAR S</t>
  </si>
  <si>
    <t>NEOPRO TANGERINE COLLAR M</t>
  </si>
  <si>
    <t>NEOPRO TANGERINE COLLAR L</t>
  </si>
  <si>
    <t>NEOPRO TANGERINE CAT COLLAR</t>
  </si>
  <si>
    <t>NEOPRO LIME GREEN LEASH LARGE</t>
  </si>
  <si>
    <t>NEOPRO GREEN COLLAR L</t>
  </si>
  <si>
    <t>NIDO AVE (TOTORA + FIBRA DE COCO)</t>
  </si>
  <si>
    <t>NEXGARD SPECTRA 2 - 3.5 KG 3 COMPRIMIDOS</t>
  </si>
  <si>
    <t>BOMBA DE OXIGENO 1.8 LT 1 SALIDA</t>
  </si>
  <si>
    <t>BOMBA DE AIRE BIG BOY (OUTPUT 2500CC/MIN220V)</t>
  </si>
  <si>
    <t>BOMBA DE AIRE A BETERIA DOPHIN BP-1 4000CC/MIN</t>
  </si>
  <si>
    <t>BOMBA DE AIRE A BETERIA DOPHIN BP-1 1500CC/MIN</t>
  </si>
  <si>
    <t>BOMBA DE AIRE 8W-9L/MIN</t>
  </si>
  <si>
    <t>BOLSO PET GO ROSADO S (34x18x24 cm)</t>
  </si>
  <si>
    <t>BOLSO PET GO CELESTE M (40x21x27 cm)</t>
  </si>
  <si>
    <t>BOLSO PET GO AMARILLO S (34x18x24 cm)</t>
  </si>
  <si>
    <t>BOLSO PET GO AMARILLO M (40x21x27 cm)</t>
  </si>
  <si>
    <t>BOLSO PET GO AMARILLO L (50x22x30 cm)</t>
  </si>
  <si>
    <t>BOLSO PET CLASS BICOLOR NEGRO BEIGE (40x26x25 cm)</t>
  </si>
  <si>
    <t>BOMBA CON BARRA 12 w. 1000 L/H</t>
  </si>
  <si>
    <t>ARENA PREMIUM BAKING SODA MOCCA 4 KG</t>
  </si>
  <si>
    <t>BOLSO TRANSPORTE DISEÑOS TALLA S</t>
  </si>
  <si>
    <t>BOLSO TRANSPORTE DISEÑOS TALLA M</t>
  </si>
  <si>
    <t>BOLSO TRANSPORTE DISEÑOS TALLA L</t>
  </si>
  <si>
    <t>NEOPRO TANGERINE LEASH S</t>
  </si>
  <si>
    <t>NEOPRO TANGERINE LEASH L</t>
  </si>
  <si>
    <t>NEOPRO TANGERINE H-HARNESS XS</t>
  </si>
  <si>
    <t>NEOPRO TANGERINE H-HARNESS S</t>
  </si>
  <si>
    <t>NEOPRO TANGERINE H-HARNESS M</t>
  </si>
  <si>
    <t>NEOPRO TANGERINE H-HARNESS L</t>
  </si>
  <si>
    <t>NEW I18 NUTRAM IDEAL SOLUTION SUPPORT WEIGHT CONTROL DOG FOOD 2KG</t>
  </si>
  <si>
    <t>NEW I17 NUTRAM IDEAL SOLUTION SUPPORT INDOOR CAT FOOD 1.13KG</t>
  </si>
  <si>
    <t>NEW I12 NUTRAM IDEAL SOLUTION SUPPORT WEIGHT CONTROL CAT FOOD 1.13KG</t>
  </si>
  <si>
    <t>NEW FROST SENSITIVE MINI &amp; SMALL 2.5K</t>
  </si>
  <si>
    <t>ARENERO GATO ISCHIA MINI ROSADO</t>
  </si>
  <si>
    <t>ARENERO GATO ISCHIA MINI AZUL</t>
  </si>
  <si>
    <t>BOMBA AGUA DOPHIN 350 L/H</t>
  </si>
  <si>
    <t>NEOPRO AMAZONIA COLLAR MEDIUM</t>
  </si>
  <si>
    <t>NEOPRO AMAZONIA COLLAR LARGE</t>
  </si>
  <si>
    <t>NATURAL FOOD ADULTO STERILIZED OBESITY CONTROL PREMIUM 15 KG</t>
  </si>
  <si>
    <t>NATURAL FOOD ADULTO SENIOR PREMIUM 15 KG</t>
  </si>
  <si>
    <t>NATURAL FOOD ADULTO RAZAS PEQUEÑAS PREMIUM 15KG (X)</t>
  </si>
  <si>
    <t>NATURAL FOOD ADULTO PREMIUM PREMIUM 15 KG</t>
  </si>
  <si>
    <t>NATURAL FOOD ADULTO BONE &amp; JOINT PREMIUM 15 KG</t>
  </si>
  <si>
    <t>NATSBI STEAMED FISH 500G</t>
  </si>
  <si>
    <t>BOOGIE RUFF LEASH LARGE ZEEDOG</t>
  </si>
  <si>
    <t>BOMBAS DE AIRE UNA SALIDA 2000CC/MIN</t>
  </si>
  <si>
    <t>BOMBA WARRIOR 10.5X10.5X10.5 CM</t>
  </si>
  <si>
    <t>Bomba SUNSUN 16.000 L/H</t>
  </si>
  <si>
    <t>Bolso Transporte Cabina Negro</t>
  </si>
  <si>
    <t>Bolso Transporte Cabina Naranja base</t>
  </si>
  <si>
    <t>NEOPRO LIME CAT COLLAR</t>
  </si>
  <si>
    <t>BOLSO TRANSPORTADOR PEQUEÑAS MASCOTAS (VERDE) 36x21.5x23.5</t>
  </si>
  <si>
    <t>BOLSO TRANSPORTADOR PEQUEÑAS MASCOTAS (ROSADO) 36x21.5x23.5</t>
  </si>
  <si>
    <t>BOLSO TRANSPORTADOR PEQUEÑAS MASCOTAS (NARANJO) 36x21.5x23.5</t>
  </si>
  <si>
    <t>BOLSO TRANSPORTADOR PEQUEÑAS MASCOTAS (CELESTE) 36x21.5x23.5</t>
  </si>
  <si>
    <t>BOLSO SPACE PET CON CUPULA (40x26x25 cm)</t>
  </si>
  <si>
    <t>BOLSO SPACE GEO CON CUPULA (40x26x25 cm)</t>
  </si>
  <si>
    <t>BOMBA DE OXIGENO 4 LT 2 SALIDAS</t>
  </si>
  <si>
    <t>BOMBA DE OXIGENO 35 LT</t>
  </si>
  <si>
    <t>NAXPET INYECTABLE 1% X 20ML</t>
  </si>
  <si>
    <t>NATURES CODE PUPPY DOG 11.34 KG</t>
  </si>
  <si>
    <t>NATURES CODE GRAIN FREE CAT 2.27 KG</t>
  </si>
  <si>
    <t>NATURES CODE CHICKEN DOG 11.34 KG</t>
  </si>
  <si>
    <t>NATUREA ELEMENTS PUPPY CHICKEN 2K</t>
  </si>
  <si>
    <t>NATUREA ELEMENTS PUPPY CHICKEN 12K</t>
  </si>
  <si>
    <t>NATUREA ELEMENTS FIT SENIOR CHICKEN 2K</t>
  </si>
  <si>
    <t>Bolso Transporte Cabina Celeste</t>
  </si>
  <si>
    <t>NEOPRO GREEN LEASH SMALL</t>
  </si>
  <si>
    <t>NEOPRO GREEN LEASH EXTRA SMALL</t>
  </si>
  <si>
    <t>NEOPRO GREEN H-HARNESS SMALL</t>
  </si>
  <si>
    <t>NEOPRO AMAZONIA COLLAR EXTRA SMALL</t>
  </si>
  <si>
    <t>NEOPRO AMAZONIA CAT COLLAR</t>
  </si>
  <si>
    <t>NEON CORAL HANDSFREE LEASH</t>
  </si>
  <si>
    <t>NEON CORAL COLLAR EXTRA SMALL ZEEDOG</t>
  </si>
  <si>
    <t>NEON CORAL CAT COLLAR ZEECAT</t>
  </si>
  <si>
    <t>NEOPRO DREEN H-HARNESS MEDIUM</t>
  </si>
  <si>
    <t>NEOPRO BUBBLEGUM LEASH XS</t>
  </si>
  <si>
    <t>NEOPRO BUBBLEGUM LEASH S</t>
  </si>
  <si>
    <t>NEOPRO BUBBLEGUM LEASH L</t>
  </si>
  <si>
    <t>NEOPRO BUBBLEGUM H-HARNESS XS</t>
  </si>
  <si>
    <t>NEOPRO BUBBLEGUM H-HARNESS S</t>
  </si>
  <si>
    <t>NEOPRO AMAZONIA COLLAR SMALL</t>
  </si>
  <si>
    <t>NEOPRO BUBBLEGUM H-HARNESS L</t>
  </si>
  <si>
    <t>NEOPRO BUBBLEGUM COLLAR SMALL</t>
  </si>
  <si>
    <t>NEOPRO BUBBLEGUM COLLAR MEDIUM</t>
  </si>
  <si>
    <t>NATUREA ELEMENTS FIT SENIOR CHICKEN 12K</t>
  </si>
  <si>
    <t>NATUREA ELEMENTS ADULT CHICKEN 2K</t>
  </si>
  <si>
    <t>NATUREA ELEMENTS ADULT CHICKEN 12K</t>
  </si>
  <si>
    <t>NATURALISTIC MEATMIX LAMB W/SPINACH &amp; BEEF W/APPLE 100GR</t>
  </si>
  <si>
    <t>NATURALISTIC MEATMIX CHICKEN W/GOJI BERRY &amp; DUCK W/CRANBERRY 100GR</t>
  </si>
  <si>
    <t>NEOPRO AMAZONIA LEASH SMALL</t>
  </si>
  <si>
    <t>NEOPRO AMAZONIA LEASH LARGE</t>
  </si>
  <si>
    <t>NEOPRO AMAZONIA LEASH EXTRA SMALL</t>
  </si>
  <si>
    <t>NEOPRO AMAZONIA H-HARNESS SMALL</t>
  </si>
  <si>
    <t>NEOPRO AMAZONIA H-HARNESS MEDIUM</t>
  </si>
  <si>
    <t>NEOPRO AMAZONIA H-HARNESS LARGE</t>
  </si>
  <si>
    <t>NEOPRO AMAZONIA H-HARNESS EXTRA SMALL</t>
  </si>
  <si>
    <t>NEOPRO BUBBLEGUM H-HARNESS M</t>
  </si>
  <si>
    <t>MASCARA TRADICIONAL PARA HIDRATACION DE PELOS 500GR</t>
  </si>
  <si>
    <t>MASCARA MEGA PARA HIDRATACION DE PELOS EXTRATOS VEGETALES 500GR</t>
  </si>
  <si>
    <t>MASC. RESTAURAD. 230 GR</t>
  </si>
  <si>
    <t>MANTA CIRCULAR DISEÑO SANDIA</t>
  </si>
  <si>
    <t>MANTA CIRCULAR DISEÑO NARANJA</t>
  </si>
  <si>
    <t>MANTA CIRCULAR DISEÑO KIWI</t>
  </si>
  <si>
    <t>MARINE POWER REEF PLUS SALT 20KG</t>
  </si>
  <si>
    <t>MARINE POWER OCEANIC MIX 250 ML/ 50G</t>
  </si>
  <si>
    <t>MARINE POWER OCEANIC MIX 1000 ML/ 200G</t>
  </si>
  <si>
    <t>MARINE POWER KRILL FORMULA GRANULES 250</t>
  </si>
  <si>
    <t>MARINE POWER KRILL FORMULA GRANULES 1000</t>
  </si>
  <si>
    <t>MARINE POWER GEL FORMULA 1000 ML/ 105G</t>
  </si>
  <si>
    <t>MARINE POWER GARLIC FORMULA GRANULES 250</t>
  </si>
  <si>
    <t>MARINE POWER GARLIC FORMULA GRANULES 1000</t>
  </si>
  <si>
    <t>ARENERO ECO AZUL</t>
  </si>
  <si>
    <t>MARINE POWER CORAL FOOD LPS MINI 100 ML</t>
  </si>
  <si>
    <t>MAMI STOP CACHORRO 250 GRS</t>
  </si>
  <si>
    <t>MAMI STOP 100 GRS GATOS</t>
  </si>
  <si>
    <t>MAMADERA PERRO</t>
  </si>
  <si>
    <t>MAMADERA CON BOQUILLAS Y LIMPIADOR 35ML BEAPHAR</t>
  </si>
  <si>
    <t>MAQUINA CORTAPELOS PARA MASCOTA PCS IPX7 GRIS/DORADO</t>
  </si>
  <si>
    <t>MAQUINA CORTADORA DE PELO CPX5</t>
  </si>
  <si>
    <t>BOTON DE COMUNICACION AZUL</t>
  </si>
  <si>
    <t>BOTELLA PERRO</t>
  </si>
  <si>
    <t>BOZAL DE NYLON CON AJUSTE DE VELCRO TALLA S</t>
  </si>
  <si>
    <t>BOZAL DE NYLON CON AJUSTE DE VELCRO TALLA M ROSADO</t>
  </si>
  <si>
    <t>BOZAL DE NYLON CON AJUSTE DE VELCRO TALLA M NEGRO</t>
  </si>
  <si>
    <t>BOZAL DE NYLON CON AJUSTE DE VELCRO TALLA M GRIS</t>
  </si>
  <si>
    <t>BOZAL DE NYLON CON AJUSTE DE VELCRO TALLA M CELESTE</t>
  </si>
  <si>
    <t>BOZAL DE NYLON CON AJUSTE DE VELCRO TALLA M</t>
  </si>
  <si>
    <t>MARINE POWER CORAL FOOD SPS POWDER 100 ML</t>
  </si>
  <si>
    <t>MAXI PUPPY 1 KG</t>
  </si>
  <si>
    <t>MAXI LIGHT WIGHT CARE 10 KG</t>
  </si>
  <si>
    <t>MAXI LIGHT 15 KG</t>
  </si>
  <si>
    <t>MAXI JUNIOR 15 KG ROYAL CANIN</t>
  </si>
  <si>
    <t>MAXI AGEING 8+ 15 KG ROYAL CANIN</t>
  </si>
  <si>
    <t>MAXI ADULTO 15 KG</t>
  </si>
  <si>
    <t>MAXI ADULT 5+ 15 KG</t>
  </si>
  <si>
    <t>MATURE CONSULT STAGE 1 1.5 KG ROYAL CANIN</t>
  </si>
  <si>
    <t>MATURE 8+ 150 GR</t>
  </si>
  <si>
    <t>MASC. MULTIPROT 230 GR</t>
  </si>
  <si>
    <t>MASC. DESMALLO PELO 230 GR</t>
  </si>
  <si>
    <t>MARINE POWER SPIRULINA FORM GRANL 250 ML</t>
  </si>
  <si>
    <t>MARINE POWER SPIRULINA FORM GRANL 1000 ML</t>
  </si>
  <si>
    <t>MARINE POWER REEF PLUS SALT 5KG</t>
  </si>
  <si>
    <t>MASCARILLAS 3 PLIEGUES X 50</t>
  </si>
  <si>
    <t>MATERIAL FILTRANTE SIMPLE POLIFIBRA PARA ACUARIOS (450x250x20 MM)</t>
  </si>
  <si>
    <t>MATERIAL FILTRANTE REMOVEDOR DE NITRATOS (254×457×</t>
  </si>
  <si>
    <t>MATERIAL FILTRANTE REMOVEDOR DE FOSFATOS (254×457×</t>
  </si>
  <si>
    <t>MATERIAL FILTRANTE CON CARBÓN ACTIVO PARA ACUARIOS (254×457×10 MM)</t>
  </si>
  <si>
    <t>MATATABI SPRAY PARA GATOS 50 ML BIOLINE</t>
  </si>
  <si>
    <t>MATATABI SPRAY 175 ML BIOLINE</t>
  </si>
  <si>
    <t>MATATABI PALITOS DE RAFFIA PARA GATOS BIOLINE</t>
  </si>
  <si>
    <t>MATATABI JUGUETE ROLLER BIOLINE</t>
  </si>
  <si>
    <t>MARAVILLA GIRASOL 20kg</t>
  </si>
  <si>
    <t>MAQUINA SOPLADO DE AGUA</t>
  </si>
  <si>
    <t>MAQUINA DE CORTAR PELOS PROFESIONAL PRO</t>
  </si>
  <si>
    <t>MAQUINA DE CORTAR PELOS PROFESIONAL BASIC</t>
  </si>
  <si>
    <t>MAQUINA CORTAPELOS PARA MASCOTAS PCS MINI PET TRIMMER</t>
  </si>
  <si>
    <t>MASTIG BOMBON RELLENO 200GR</t>
  </si>
  <si>
    <t>MASTIG BIFITO PARA GATOS SABOR CARNE 30GR</t>
  </si>
  <si>
    <t>MATERNIDAD ALEVINES</t>
  </si>
  <si>
    <t>ARNES + TRAILLA 2.0 CM</t>
  </si>
  <si>
    <t>ARNES + TRAILLA 1.5 CM</t>
  </si>
  <si>
    <t>ARNES + TRAILLA 1.0 CM</t>
  </si>
  <si>
    <t>ARENERO SANITARIO PARA GATO DESARMABLE ROSADO</t>
  </si>
  <si>
    <t>ARENERO SANITARIO PARA GATO DESARMABLE GRIS</t>
  </si>
  <si>
    <t>ARENERO PROFUNDO 64x44x33 ROSADO</t>
  </si>
  <si>
    <t>ARNES ACOLCHADO XXXL CAFE</t>
  </si>
  <si>
    <t>ARNES ACOLCHADO XXL ROJO</t>
  </si>
  <si>
    <t>ARNES ACOLCHADO XXL CAFE</t>
  </si>
  <si>
    <t>MALT PASTE DUO 100 GR</t>
  </si>
  <si>
    <t>Mahalo Air Mesh Plus Harness Medium</t>
  </si>
  <si>
    <t>Mahalo Air Mesh Plus Harness Large</t>
  </si>
  <si>
    <t>MAHALO ADJ. AIR MESH HARNESS SMALL ZEEDOG</t>
  </si>
  <si>
    <t>MAHALO ADJ. AIR MESH HARNESS EXTRA SMALL ZEEDOG</t>
  </si>
  <si>
    <t>BOZAL DE NYLON CON AJUSTE DE VELCRO TALLA L</t>
  </si>
  <si>
    <t>MADERAS VEGETALES PARA ROER DISPLAY X3 (nabo-choclo-zanahoria)</t>
  </si>
  <si>
    <t>Malaysian Driftwood XL (Madera hidratada de Malasia) 40 - 90 cm</t>
  </si>
  <si>
    <t>MALAYSIAN DRIFTWOOD TALLA S</t>
  </si>
  <si>
    <t>MALAYSIAN DRIFTWOOD TALLA M</t>
  </si>
  <si>
    <t>Malaysian Driftwood (Madera hidratada de Malasia) 10 - 40 cm</t>
  </si>
  <si>
    <t>MALAWI 250ML/50GR</t>
  </si>
  <si>
    <t>MAINTENANCE CRIADORES GATOS 15 + 2 KG</t>
  </si>
  <si>
    <t>MAINTENANCE CRIADORES GATO ADULTO 1 KG</t>
  </si>
  <si>
    <t>LUZ SUMERGIBLE 60 CM AZUL</t>
  </si>
  <si>
    <t>LUZ SUMERGIBLE 50 CM TRICOLOR</t>
  </si>
  <si>
    <t>LUZ SUMERGIBLE 50 CM ROJA</t>
  </si>
  <si>
    <t>LUZ SUMERGIBLE 50 CM BLANCA</t>
  </si>
  <si>
    <t>LUZ SUMERGIBLE 50 CM AZUL</t>
  </si>
  <si>
    <t>LUZ SUMERGIBLE 30 CM TRICOLOR</t>
  </si>
  <si>
    <t>MAGIC TRACE ELEMENTS 250 ML</t>
  </si>
  <si>
    <t>BOMBA SUMERGIBLE SUNSUN 600L/H 8W</t>
  </si>
  <si>
    <t>BOMBA SUMERGIBLE CAUDAL 600 LT</t>
  </si>
  <si>
    <t>BOMBA SUMERGIBLE CAUDAL 2000 LT</t>
  </si>
  <si>
    <t>BOMBA SUMERGIBLE 3000LT</t>
  </si>
  <si>
    <t>BOMBA SUMERGIBLE 15.000 L/H SUNSUN</t>
  </si>
  <si>
    <t>Manta para sillones (465G 172*155 cm)</t>
  </si>
  <si>
    <t>MANTA PARA RASCAR AJUSTABLE A SUPERFICIES CON VELCRO</t>
  </si>
  <si>
    <t>Malaysian Wood root (Raiz de madera de Malasia)</t>
  </si>
  <si>
    <t>MANSION HAMSTER CON RESBALIN</t>
  </si>
  <si>
    <t>MANIQUI PELUCHE 43*13*32CM</t>
  </si>
  <si>
    <t>MANIQUI PELUCHE 33*11*22CM</t>
  </si>
  <si>
    <t>MANGUERA DIFUSORA SILICONA VERDE 1 METRO</t>
  </si>
  <si>
    <t>ARNES + TRAILLA 2.5 CM</t>
  </si>
  <si>
    <t>MANGUERA DIFUSORA 45 CM</t>
  </si>
  <si>
    <t>MANGUERA DIFUSORA 30 CM</t>
  </si>
  <si>
    <t>mango bisturi n4</t>
  </si>
  <si>
    <t>MAINTENANCE CRIADORES ADULTOS HIGH PRO 22 KG</t>
  </si>
  <si>
    <t>MAINTENANCE CRIADORES ADULTO RAZA PEQUEÑA 15KG</t>
  </si>
  <si>
    <t>MAINTENANCE CRIADORES ADULTO 22 KG</t>
  </si>
  <si>
    <t>MAMADERA 60ML ROSADO</t>
  </si>
  <si>
    <t>MAMADERA 60 ML</t>
  </si>
  <si>
    <t>MAMADERA 150ML VERDE</t>
  </si>
  <si>
    <t>MAMADERA 150ML AMARILLO</t>
  </si>
  <si>
    <t>MAMADERA 150 ML</t>
  </si>
  <si>
    <t>MALTES ADULT 24 1 KG</t>
  </si>
  <si>
    <t>ARNES COBAYO M</t>
  </si>
  <si>
    <t>ARNES CHESTPLATE S ROJO - EZYDOG</t>
  </si>
  <si>
    <t>ARNES + TRAILLA DISEÑOS M</t>
  </si>
  <si>
    <t>MANGUERA DIFUSORA 60 CM</t>
  </si>
  <si>
    <t>MINI CALEFACTOR DE AGUA 60 WATT</t>
  </si>
  <si>
    <t>MINI CALEFACTOR DE AGUA 50 WATT</t>
  </si>
  <si>
    <t>MINI CALEFACTOR DE AGUA 40 WATT</t>
  </si>
  <si>
    <t>Mini calefactor de agua 100 watt</t>
  </si>
  <si>
    <t>MINI BETTA TANK DOPHIN 6.5 LITROS</t>
  </si>
  <si>
    <t>MINI AQUARIO ACRILICO SUNSUN 5 LTS</t>
  </si>
  <si>
    <t>MIDNIGHT COLLAR EXTRA SMALL ZEEDOG</t>
  </si>
  <si>
    <t>MIDNIGHT CAT COLLAR ZEECAT</t>
  </si>
  <si>
    <t>MIDNIGHT ADJ. AIR MESH HARNESS SMALL ZEEDOG</t>
  </si>
  <si>
    <t>MIDNIGHT ADJ. AIR MESH HARNESS MEDIUM ZEEDOG</t>
  </si>
  <si>
    <t>MIDNIGHT ADJ. AIR MESH HARNESS LARGE ZEEDOG</t>
  </si>
  <si>
    <t>MIDNIGHT ADJ. AIR MESH HARNESS EXTRA SMALL ZEEDOG</t>
  </si>
  <si>
    <t>MINI ADULTO +8 1 KG ROYAL CANIN</t>
  </si>
  <si>
    <t>Mini Adult 2KG</t>
  </si>
  <si>
    <t>MASTILAC SUSP INY X 100ML</t>
  </si>
  <si>
    <t>MINERICE GEL REFRESCANTE PARA CABALLOS 500G</t>
  </si>
  <si>
    <t>MINERAL BLOCK XL FOR BIRDS WITH SHELLS</t>
  </si>
  <si>
    <t>MINERAL BLOCK XL FOR BIRDS APPLE</t>
  </si>
  <si>
    <t>MINERAL BLOCK PARA AVES WITH SHELLS</t>
  </si>
  <si>
    <t>MINERAL BLOCK FRUTILLA</t>
  </si>
  <si>
    <t>MINERAL BLOCK FOR ROODENTS Y RABIT 40G</t>
  </si>
  <si>
    <t>MINERAL BLOCK FOR RODENTS &amp; RABBIT - VEGETABLE XL</t>
  </si>
  <si>
    <t>MERA FINEST FIT INDOOR 4 K</t>
  </si>
  <si>
    <t>MERA EXKLUSIV WEIZENFREI ADULT GEFLÜGEL 15K</t>
  </si>
  <si>
    <t>MERA EXKLUSIV SENSITIVE PUPPY 15K</t>
  </si>
  <si>
    <t>MERA EXKLUSIV SENSITIVE ADULT TRUTHAHN &amp; REIS 15K</t>
  </si>
  <si>
    <t>MILKY COLLAR ZEECAT</t>
  </si>
  <si>
    <t>MIKRO-VIT HI PROTEIN 50 ML / 32 GR</t>
  </si>
  <si>
    <t>MIKRO-VIT BASIC 50 ML / 32 GR</t>
  </si>
  <si>
    <t>MIDNIGHT LEASH SMALL ZEEDOG</t>
  </si>
  <si>
    <t>MINI ACUARIO SUNSUN 5 L (20x14x21cm) ACRILICO</t>
  </si>
  <si>
    <t>ARENERO ABIERTO 55x42x23 VERDE</t>
  </si>
  <si>
    <t>ARENERO ABIERTO 55x42x23 GRIS</t>
  </si>
  <si>
    <t>ARENA ZAGREB ROSE 10 KG (VOLCANICA)</t>
  </si>
  <si>
    <t>ARENA ZAGREB BLACK 10 KG (NATURAL)</t>
  </si>
  <si>
    <t>ARENERO PROFUNDO (64x44x33) VERDE</t>
  </si>
  <si>
    <t>ARENERO PROFUNDO (64x44x33) CELESTE</t>
  </si>
  <si>
    <t>MIX MATERIALES FILTRANTES 500G</t>
  </si>
  <si>
    <t>MIRA CANIS X 1 14G JERINGA PROBIOTICO PARA PERROS</t>
  </si>
  <si>
    <t>MINI AGEING 12+ 2.5KG ROYAL CANIN</t>
  </si>
  <si>
    <t>MINI ADULTO 7.5 KG ROYAL CANIN</t>
  </si>
  <si>
    <t>MINI ADULTO 3 KG ROYAL CANIN</t>
  </si>
  <si>
    <t>MINI ADULTO 2.5 KG ROYAL CANIN</t>
  </si>
  <si>
    <t>MINI ADULTO 1 KG ROYAL CANIN</t>
  </si>
  <si>
    <t>MINI ADULTO +8 2.5 KG ROYAL CANIN</t>
  </si>
  <si>
    <t>MINI CALEFACTOR DE AGUA 70 WATT</t>
  </si>
  <si>
    <t>MINI PASTEL FRUTOS DEL BOSQUE 40 GR</t>
  </si>
  <si>
    <t>MINI LIGHT PERROS 3 KG ROYAL CANIN</t>
  </si>
  <si>
    <t>MINI LIGHT PERROS 2.5 KG ROYAL CANIN</t>
  </si>
  <si>
    <t>MINI JUNIOR 3 KG</t>
  </si>
  <si>
    <t>MINI JUNIOR 2.5 KG ROYAL CANIN</t>
  </si>
  <si>
    <t>MINI JUNIOR 1 KG</t>
  </si>
  <si>
    <t>MINI INDOOR ADULTO 3 KG ROYAL CANIN</t>
  </si>
  <si>
    <t>MINERAL BLOCK FOR RODENTS &amp; RABBIT - POP CORN</t>
  </si>
  <si>
    <t>MINERAL BLOCK FOR RODENTS &amp; RABBIT - ORANGE</t>
  </si>
  <si>
    <t>MINERAL BLOCK FOR RODENTS &amp; RABBIT - DANDELION</t>
  </si>
  <si>
    <t>MINERAL BLOCK FOR RODENTS &amp; RABBIT - APPLE</t>
  </si>
  <si>
    <t>MINERAL BLOCK FOR BIRDS - ORANGE</t>
  </si>
  <si>
    <t>MINERAL BLOCK FOR BIRDS - APPLE</t>
  </si>
  <si>
    <t>MINI CASA FIBRA VEGETAL</t>
  </si>
  <si>
    <t>MINI CANISTER SUNSUN 400 L/H</t>
  </si>
  <si>
    <t>MINI PUPPY 7.5 KG ROYAL CANIN</t>
  </si>
  <si>
    <t>MEATY FEAST 120G SPIKE</t>
  </si>
  <si>
    <t>MERA EXKLUSIV CLASSIC CAT GEFLÜGEL 10K</t>
  </si>
  <si>
    <t>MEMPHIS LEASH SMALL</t>
  </si>
  <si>
    <t>MEMPHIS LEASH LARGE</t>
  </si>
  <si>
    <t>MEMPHIS LEASH EXTRA SMALL</t>
  </si>
  <si>
    <t>MEMPHIS KEYCHAIN</t>
  </si>
  <si>
    <t>MEMPHIS COLLAR SMALL</t>
  </si>
  <si>
    <t>MEMPHIS COLLAR MEDIUM ZEEDOG</t>
  </si>
  <si>
    <t>MEMPHIS COLLAR EXTRA SMALL ZEEDOG</t>
  </si>
  <si>
    <t>MEDIUM WISEBONE SALMON WITH LEMON 200 GR</t>
  </si>
  <si>
    <t>MEDIUM STARTER 3 KG ROYAL CANIN</t>
  </si>
  <si>
    <t>MEDIUM PUPPY 2.5 KG ROYAL CANIN</t>
  </si>
  <si>
    <t>MEDIUM PUPPY 1 KG</t>
  </si>
  <si>
    <t>MEDIUM JUNIOR 15 KG ROYAL CANIN</t>
  </si>
  <si>
    <t>MIDNIGHT LEASH LARGE ZEEDOG</t>
  </si>
  <si>
    <t>MEDIUM ADULTO 15 KG ROYAL CANIN</t>
  </si>
  <si>
    <t>ARNES ACOLCHADO TALLA M PET COLLECTION</t>
  </si>
  <si>
    <t>ARNES ACOLCHADO TALLA L PET COLLECTION</t>
  </si>
  <si>
    <t>ARNES ACOLCHADO EXTRA GRANDE</t>
  </si>
  <si>
    <t>ARENERO PARA GATOS 50.5*38*23 FELIX GRIS</t>
  </si>
  <si>
    <t>ARENERO PARA GATOS 40*30*18 YOKU VERDE</t>
  </si>
  <si>
    <t>ARENERO PARA GATOS 40*30*18 YOKU MORADO</t>
  </si>
  <si>
    <t>ARENERO PARA GATOS 40*30*18 YOKU AZUL</t>
  </si>
  <si>
    <t>ARNES 2 EN 1 BALI TALLA M</t>
  </si>
  <si>
    <t>ARNES 2 EN 1 BALI TALLA L</t>
  </si>
  <si>
    <t>MEDIUM ADULT 7+ 15 KG ROYAL CANIN</t>
  </si>
  <si>
    <t>MEDIUM ADULT 2.5 KG ROYAL CANIN</t>
  </si>
  <si>
    <t>MEDIO FEMUR VACUNO 1 U. (20 CM APROX.)</t>
  </si>
  <si>
    <t>MATATABI JUGUETE PARA MORDER FORMA ESCOBA BIOLINE</t>
  </si>
  <si>
    <t>MATATABI CATNIP LOLIPOP BIOLINE</t>
  </si>
  <si>
    <t>MEDIUM AGEING +10 15 KG</t>
  </si>
  <si>
    <t>MIDNIGHT LEASH EXTRA SMALL ZEEDOG</t>
  </si>
  <si>
    <t>MIDNIGHT COLLAR SMALL ZEEDOG</t>
  </si>
  <si>
    <t>MIDNIGHT COLLAR MEDIUM ZEEDOG</t>
  </si>
  <si>
    <t>MIDNIGHT COLLAR LARGE ZEEDOG</t>
  </si>
  <si>
    <t>MELOXICAM 5 MG/ML SOL INY X 20 ML</t>
  </si>
  <si>
    <t>MELANOTAENIA PREACOX</t>
  </si>
  <si>
    <t>Meduim Dermacomfort 10.1 KG</t>
  </si>
  <si>
    <t>MEDIUM WISEBONE VENISON WITH RESEMARY 200 GR</t>
  </si>
  <si>
    <t>MEDIUM WISEBONE TURKEY WITH PARSLEY 200 GR</t>
  </si>
  <si>
    <t>MICRODES IVERMECTINA 50 ML</t>
  </si>
  <si>
    <t>METAMIZOL SODICO 50% SOL INY X 50ML</t>
  </si>
  <si>
    <t>MERA FINEST FIT SENSITIVE STOMACH 10K</t>
  </si>
  <si>
    <t>BOMBA SUMERGIBLE</t>
  </si>
  <si>
    <t>BOMBA FILTRO CABEZAL 16W</t>
  </si>
  <si>
    <t>MEATY FEAST 140 GR SPIKE</t>
  </si>
  <si>
    <t>BOZAL CANASTILLO METALICO TALLA M</t>
  </si>
  <si>
    <t>BOZAL CANASTILLO METALICO TALLA L</t>
  </si>
  <si>
    <t>BOXO ULTRA COMFORT 40L /2.7 KG (BLANCO)</t>
  </si>
  <si>
    <t>BOXO ULTRA COMFORT 20L/ 1.3 KG (BLANCO)L</t>
  </si>
  <si>
    <t>BOXER JUNIOR 12 KG</t>
  </si>
  <si>
    <t>BOMBA DE AGUA PARA FUENTES O ESTANQUES 1400L/H</t>
  </si>
  <si>
    <t>BOMBA DE AGUA DOPHIN 200 L/H</t>
  </si>
  <si>
    <t>BOMBA DE AGUA 250 L/H DOPHIN ALTURA 50 CM</t>
  </si>
  <si>
    <t>BOMBA CON FILTRO EXTERIOR 54-80 CM</t>
  </si>
  <si>
    <t>BOMBA CON FILTRO EXTERIOR 47-73 CM</t>
  </si>
  <si>
    <t>BOMBA CON BARRA 2.5 w. 350 L/H</t>
  </si>
  <si>
    <t>BOMBA CON BARRA 12 w. 900 L/H</t>
  </si>
  <si>
    <t>MERA FINEST FIT OUTDOOR 4 K</t>
  </si>
  <si>
    <t>Medidor Ultravioleta</t>
  </si>
  <si>
    <t>Medallones de madera para roedores</t>
  </si>
  <si>
    <t>BOZAL CANASTILLO METALICO TALLA S</t>
  </si>
  <si>
    <t>PARKA ARNES S CAFÉ ( LARGO 35- CUELLO 32- PECHO 48 )</t>
  </si>
  <si>
    <t>PARKA ARNES S AZUL (LARGO 35-CUELLO 32- PECHO 48)</t>
  </si>
  <si>
    <t>PARKA ARNES S AZUL ( LARGO 35- CUELLO 32- PECHO 48 )</t>
  </si>
  <si>
    <t>PARKA ARNES M VERDE (LARGO 40-CUELLO 35-PECHO 54 )</t>
  </si>
  <si>
    <t>PARKA 6XL PARA PERRO DE 70 A 82 KG AZUL</t>
  </si>
  <si>
    <t>PARKA 5XL PARA PERRO DE 55 A 69 KG NARANJA</t>
  </si>
  <si>
    <t>PARKA 5XL PARA PERRO DE 55 A 69 KG GRIS OSCURO</t>
  </si>
  <si>
    <t>PARKA 5XL PARA PERRO DE 55 A 69 KG GRIS CLARO</t>
  </si>
  <si>
    <t>PARKA 5XL PARA PERRO DE 55 A 69 KG AZUL</t>
  </si>
  <si>
    <t>PARKA 4XL PARA PERRO DE 41 a 54 KG NARANJA</t>
  </si>
  <si>
    <t>PARKA ARNES L VERDE (LARGO 45-CUELLO 38- PECHO 58)</t>
  </si>
  <si>
    <t>PARKA ARNES L NARANJO (LARGO 45-CUELLO 38- PECHO 58)</t>
  </si>
  <si>
    <t>PARKA ARNES L CAFE (LARGO 45-CUELLO 38-PECHO 58 )</t>
  </si>
  <si>
    <t>PARKA ARNES L AZUL (LARGO 45-CUELLO 38-PECHO 58 )</t>
  </si>
  <si>
    <t>NIDO AVE (TOTORA + FIBRA VEGETAL)</t>
  </si>
  <si>
    <t>PARKA ARNES 4XL VERDE (LARGO 65-CUELLO 50-PECHO 94 )</t>
  </si>
  <si>
    <t>PARKA ARNES 4XL VERDE (LARGO 50-CUELLO 40- PECHO 62)</t>
  </si>
  <si>
    <t>PARKA ARNES 4XL NARANJO (LARGO 50-CUELLO 40- PECHO 62)</t>
  </si>
  <si>
    <t>PARKA ARNES 4XL CAFE (LARGO 65-CUELLO 50-PECHO 94 )</t>
  </si>
  <si>
    <t>PARKA ARNES 4XL AZUL (LARGO 65-CUELLO 50-PECHO 94 )</t>
  </si>
  <si>
    <t>PARKA 2XL PARA PERRO DE 23 A 30 KG AZUL</t>
  </si>
  <si>
    <t>PARED DE ROCA CON PLANTAS (27.3X12.5X17.3 CM)</t>
  </si>
  <si>
    <t>parche rectangular curaplast x 100 unid</t>
  </si>
  <si>
    <t>PARCHE</t>
  </si>
  <si>
    <t>Paramic Plus Oral 100M</t>
  </si>
  <si>
    <t>PARAGUA PARA PERROS INCLUYE CADENA</t>
  </si>
  <si>
    <t>PARKA ARNES 3XL AZUL (LARGO 60-CUELLO 48- PECHO 84)</t>
  </si>
  <si>
    <t>PARKA ARNES 2XL VERDE (LARGO 55-CUELLO 44-PECHO 76 )</t>
  </si>
  <si>
    <t>PARKA ARNES 2XL VERDE (LARGO 55-CUELLO 44- PECHO 76)</t>
  </si>
  <si>
    <t>PARKA ARNES 2XL NARANJO (LARGO 55-CUELLO 44- PECHO 76)</t>
  </si>
  <si>
    <t>PARKA ARNES L AZUL (LARGO 45-CUELLO 38- PECHO 58)</t>
  </si>
  <si>
    <t>PARKA DIAMOND L BURDEO / ROSA ( LARGO 45- CUELLO 38- PECHO 58 )</t>
  </si>
  <si>
    <t>PARKA DIAMOND L AZUL / LIMON ( LARGO 45- CUELLO 38- PECHO 58 )</t>
  </si>
  <si>
    <t>PARKA DIAMOND 4XL GRIS / NARANJA ( LARGO 65- CUELLO 50- PECHO 94 )</t>
  </si>
  <si>
    <t>PARKA ARNES M VERDE (LARGO 40-CUELLO 35- PECHO 54)</t>
  </si>
  <si>
    <t>PARKA ARNES M NARANJO (LARGO 40-CUELLO 35- PECHO 54)</t>
  </si>
  <si>
    <t>PARKA ARNES M CAFE (LARGO 40-CUELLO 35-PECHO 54 )</t>
  </si>
  <si>
    <t>PARKA ARNES M AZUL (LARGO 40-CUELLO 35- PECHO 54)</t>
  </si>
  <si>
    <t>PARKA ARNES M AZUL (LARGO 40 - CUELLO 35 - PECHO 54)</t>
  </si>
  <si>
    <t>PARKA ARNES L VERDE (LARGO 45-CUELLO 38-PECHO 58 )</t>
  </si>
  <si>
    <t>PARKA DIAMOND 2XL BURDEO / ROSA ( LARGO 55- CUELLO 44- PECHO 76 )</t>
  </si>
  <si>
    <t>PARKA DIAMOND 2XL AZUL / LIMON ( LARGO 55- CUELLO 44- PECHO 76 )</t>
  </si>
  <si>
    <t>PARKA DE PERRO XXL</t>
  </si>
  <si>
    <t>PARKA DE PERRO XL</t>
  </si>
  <si>
    <t>PARKA DE PERRO S</t>
  </si>
  <si>
    <t>PARKA ARNES S NARANJO (LARGO 35-CUELLO 32- PECHO 48)</t>
  </si>
  <si>
    <t>PARKA DE PERRO L</t>
  </si>
  <si>
    <t>PARKA ARNES XS VERDE (LARGO 30-CUELLO 29- PECHO 43)</t>
  </si>
  <si>
    <t>PARKA ARNES XS VERDE ( LARGO 30- CUELLO 29- PECHO 43 )</t>
  </si>
  <si>
    <t>PARKA ARNES XS NARANJO (LARGO 30-CUELLO 29- PECHO 43)</t>
  </si>
  <si>
    <t>PARKA ARNES 4XL AZUL (LARGO 50-CUELLO 40- PECHO 62)</t>
  </si>
  <si>
    <t>PARKA ARNES 3XL VERDE (LARGO 60-CUELLO 48-PECHO 84 )</t>
  </si>
  <si>
    <t>PARKA ARNES 3XL VERDE (LARGO 60-CUELLO 48- PECHO 84)</t>
  </si>
  <si>
    <t>PARKA ARNES 3XL NARANJO (LARGO 60-CUELLO 48- PECHO 84)</t>
  </si>
  <si>
    <t>PARKA ARNES 3XL CAFE (LARGO 60-CUELLO 48-PECHO 84 )</t>
  </si>
  <si>
    <t>PARKA ARNES 3XL AZUL (LARGO 60-CUELLO 48-PECHO 84 )</t>
  </si>
  <si>
    <t>PARKA ARNES XL CAFE (LARGO 50-CUELLO 40-PECHO 62 )</t>
  </si>
  <si>
    <t>PARKA ARNES XL AZUL (LARGO 50-CUELLO 40-PECHO 62 )</t>
  </si>
  <si>
    <t>PARKA ARNES XL AZUL (LARGO 50-CUELLO 40- PECHO 62)</t>
  </si>
  <si>
    <t>PARKA ARNES S VERDE (LARGO 35-CUELLO 32- PECHO 48)</t>
  </si>
  <si>
    <t>PARKA ARNES S VERDE ( LARGO 35- CUELLO 32- PECHO 48 )</t>
  </si>
  <si>
    <t>PARKA DE PERRO M</t>
  </si>
  <si>
    <t>PALETA OSO WONDER CAT</t>
  </si>
  <si>
    <t>PAÑAL ADIESTRAMIENTO TRAPER 56 X 56 CM 14 UN</t>
  </si>
  <si>
    <t>PAÑAL 50 TRAINING PADS CON ADHESIVO</t>
  </si>
  <si>
    <t>PAÑAL 10 TRAINING PADS</t>
  </si>
  <si>
    <t>PALA PORUÑA AZUL (28x11x8cm)</t>
  </si>
  <si>
    <t>PALO PARA AVES L VERDE 15X3.5 CM</t>
  </si>
  <si>
    <t>PALO PARA AVES L CESLESTE 15X3.5 CM</t>
  </si>
  <si>
    <t>PALO PARA AVES L AZUL 15X3.5 CM</t>
  </si>
  <si>
    <t>BOLSO PET GO TRIBAL L (50x22x30 cm)</t>
  </si>
  <si>
    <t>BOLSO MASCOTAS PARA CABINA COLOR ROJO</t>
  </si>
  <si>
    <t>BOLSO MASCOTAS PARA CABINA COLOR AZUL</t>
  </si>
  <si>
    <t>Bolso mascotas (40.5x25.5 x 25.5 cm)</t>
  </si>
  <si>
    <t>BOLSO MALETA CON MANILLA Y RUEDAS PARA MASCOTA ROSADO 41x30x43CM</t>
  </si>
  <si>
    <t>BOLSO MALETA CON MANILLA Y RUEDAS PARA MASCOTA BEIGE 41x30x43CM</t>
  </si>
  <si>
    <t>PARKA ARNES 2XL CAFE (LARGO 55-CUELLO 44-PECHO 76 )</t>
  </si>
  <si>
    <t>BOLSO DE TRANSPORTE TRANSPARENTE L</t>
  </si>
  <si>
    <t>BOLSO DE TRANSPORTE PARA PEQUEÑAS MASCOTAS</t>
  </si>
  <si>
    <t>BOLSO DE TRANSPORTE CON CUPULA GRIS Y VERDE TALLA S</t>
  </si>
  <si>
    <t>BOLSO PARA TRASLADO DE MASCOTAS NEGRO (27X41X23CM)</t>
  </si>
  <si>
    <t>BOLSO PARA TRASLADO DE MASCOTAS GRIS (27X41X23CM)</t>
  </si>
  <si>
    <t>BOLSO PARA TRASLADO DE MASCOTAS AZUL (27X41X23CM)</t>
  </si>
  <si>
    <t>BOLSO PARA MASCOTAS MILITAR M</t>
  </si>
  <si>
    <t>BOLSO PARA MASCOTAS ETNICO S</t>
  </si>
  <si>
    <t>BOLSO PARA MASCOTAS ETNICO M</t>
  </si>
  <si>
    <t>PALITOS DE HIERBA TIMOTHY 245 GRS</t>
  </si>
  <si>
    <t>PALITOS DE CATNIP 6 UNIDADES</t>
  </si>
  <si>
    <t>PALITOS DE CARNAZA Y POLLO 10UNI</t>
  </si>
  <si>
    <t>PACK SANITARIO (BAÑO-PALA-PLATO 32x43x9)</t>
  </si>
  <si>
    <t>PACIFOR X 50ML INY</t>
  </si>
  <si>
    <t>PALETA GATO WONDER CAT</t>
  </si>
  <si>
    <t>BOLSO DE TRANSPORTE TRANSPARENTE S</t>
  </si>
  <si>
    <t>PARKA ARNES 2XL AZUL (LARGO 55-CUELLO 44-PECHO 76 )</t>
  </si>
  <si>
    <t>PARKA ARNES 2XL AZUL (LARGO 55-CUELLO 44- PECHO 76)</t>
  </si>
  <si>
    <t>PARKA 6XL PARA PERRO DE 70 A 82 KG NARANJA</t>
  </si>
  <si>
    <t>PARKA 6XL PARA PERRO DE 70 A 82 KG GRIS OSCURO</t>
  </si>
  <si>
    <t>PARKA 6XL PARA PERRO DE 70 A 82 KG GRIS CLARO</t>
  </si>
  <si>
    <t>PAÑO CAMPO CLINICO DMS ESTERIL 70X70</t>
  </si>
  <si>
    <t>PAÑO CAMPO 40X50 CM MIXTO ESTERIL PR</t>
  </si>
  <si>
    <t>PAÑAL TRAINING PADS 60x90 (20 unid)</t>
  </si>
  <si>
    <t>PAÑAL TRAINING PADS 60x60 (40 unid)</t>
  </si>
  <si>
    <t>PARKA 4XL PARA PERRO DE 41 a 54 KG GRIS OSCURO</t>
  </si>
  <si>
    <t>PARKA 4XL PARA PERRO DE 41 a 54 KG GRIS CLARO</t>
  </si>
  <si>
    <t>PARKA 4XL PARA PERRO DE 41 a 54 KG AZUL</t>
  </si>
  <si>
    <t>PARKA 3XL PARA PERRO DE 31 A 40 KG NARANJA</t>
  </si>
  <si>
    <t>PARKA 3XL PARA PERRO DE 31 A 40 KG GRIS OSCURO</t>
  </si>
  <si>
    <t>PALETA RELLENA DE AGUA PARA CONGELAR</t>
  </si>
  <si>
    <t>PARKA 3XL PARA PERRO DE 31 A 40 KG AZUL</t>
  </si>
  <si>
    <t>PARKA 2XL PARA PERRO DE 23 A 30 KG NARANJA</t>
  </si>
  <si>
    <t>PARKA 2XL PARA PERRO DE 23 A 30 KG GRIS OSCURO</t>
  </si>
  <si>
    <t>PARKA 2XL PARA PERRO DE 23 A 30 KG GRIS CLARO</t>
  </si>
  <si>
    <t>PANACUR 10% SUSP ORAL X 250 ML</t>
  </si>
  <si>
    <t>PALO PARA AVES S VERDE 10X3.5 CM</t>
  </si>
  <si>
    <t>PALO PARA AVES S CELESTE 10X3.5 CM</t>
  </si>
  <si>
    <t>PALO PARA AVES S AZUL 10X3.5 CM</t>
  </si>
  <si>
    <t>PARACAN PLUS X 2 COMP</t>
  </si>
  <si>
    <t>Paracan Plus 50 mg Brouwer unidad</t>
  </si>
  <si>
    <t>PARACAN PLUS 1 COMP</t>
  </si>
  <si>
    <t>PARACAN CACHORROS SUSP ORAL PERRO/GATO X 15 ML</t>
  </si>
  <si>
    <t>PAPAS FRITAS DE CARNAZA 3 UNI</t>
  </si>
  <si>
    <t>PAPAS DULCES ENVUELTAS EN VACUNO 100 GRS TASTY FARM</t>
  </si>
  <si>
    <t>PALITOS DE CARNAZA ENVUELTO EN POLLO 100G</t>
  </si>
  <si>
    <t>PARKA 3XL PARA PERRO DE 31 A 40 KG GRIS CLARO</t>
  </si>
  <si>
    <t>PARKA PASEO XL</t>
  </si>
  <si>
    <t>PARKA PASEO S</t>
  </si>
  <si>
    <t>PARKA PASEO M</t>
  </si>
  <si>
    <t>PARKA PASEO L</t>
  </si>
  <si>
    <t>PARKA PANAL CUELLO PELUDO S AZUL</t>
  </si>
  <si>
    <t>PARKA PANAL CUELLO PELUDO M BEIGE</t>
  </si>
  <si>
    <t>PARKA PANAL CUELLO PELUDO L 94g</t>
  </si>
  <si>
    <t>PARKA IMPERMEABLE COLORES 5XL</t>
  </si>
  <si>
    <t>PARKA IMPERMEABLE COLORES 4XL</t>
  </si>
  <si>
    <t>PARKA IMPERMEABLE COLORES 3XL</t>
  </si>
  <si>
    <t>PARKA IMPERMEABLE COLORES 2XL</t>
  </si>
  <si>
    <t>PARKA GOLDEN DOG XS PLATA ( LARGO 30- CUELLO 29- PECHO 43 )</t>
  </si>
  <si>
    <t>PARKA IMPERMEABLE CON INTERIOR DE ALGODON S ROJO</t>
  </si>
  <si>
    <t>PARKA IMPERMEABLE CON INTERIOR DE ALGODON S AZUL</t>
  </si>
  <si>
    <t>PARKA DIAMOND L GRIS / NARANJA ( LARGO 45- CUELLO 38- PECHO 58 )</t>
  </si>
  <si>
    <t>PARKA IMPERMEABLE CON INTERIOR DE ALGODON M ROJO</t>
  </si>
  <si>
    <t>PARKA IMPERMEABLE CON INTERIOR DE ALGODON M AZUL</t>
  </si>
  <si>
    <t>PARKA IMPERMEABLE CON INTERIOR DE ALGODON L VERDE</t>
  </si>
  <si>
    <t>PARKA IMPERMEABLE CON INTERIOR DE ALGODON L ROJO</t>
  </si>
  <si>
    <t>ARENA AMERICALITTER CORN 4.6K</t>
  </si>
  <si>
    <t>ARENA AMERICALITTER CLEAN PAWS 7 KG</t>
  </si>
  <si>
    <t>ARENA AGLUT GATOS 10 KG TOP K9</t>
  </si>
  <si>
    <t>ARENA AEGEAN CATS ORANGE 5 K</t>
  </si>
  <si>
    <t>ARENA AEGEAN CATS ORANGE 20KG</t>
  </si>
  <si>
    <t>ARENA AEGEAN CATS ORANGE 10K</t>
  </si>
  <si>
    <t>ARENA AEGEAN CATS LAVENDER 5KG</t>
  </si>
  <si>
    <t>ARENA AEGEAN CATS LAVENDER 20KG</t>
  </si>
  <si>
    <t>ARENA COOL &amp; CLEAN 20 LTS / 17.2 KG</t>
  </si>
  <si>
    <t>ARENA COOL &amp; CLEAN 10 LTS/ 8.6 KG</t>
  </si>
  <si>
    <t>Arena city cat lavanda 20 kg</t>
  </si>
  <si>
    <t>PARKA IMPERMEABLE CON INTERIOR DE ALGODON M VERDE</t>
  </si>
  <si>
    <t>PARKA RAIN 3XL IMPERMEABLE GRIS ( LARGO 60- CUELLO 48- PECHO 84 )</t>
  </si>
  <si>
    <t>PARKA RAIN 3XL IMPERMEABLE AZUL ( LARGO 65- CUELLO 50- PECHO 94 )</t>
  </si>
  <si>
    <t>PARKA RAIN 3XL IMPERMEABLE AZUL ( LARGO 60- CUELLO 48- PECHO 84 )</t>
  </si>
  <si>
    <t>PARKA RAIN 2XL IMPERMEABLE ROJO ( LARGO 55-CUELLO 44- PECHO 76 )</t>
  </si>
  <si>
    <t>PARKA RAIN 2XL IMPERMEABLE GRIS ( LARGO 55-CUELLO 44- PECHO 76 )</t>
  </si>
  <si>
    <t>PARKA RAIN 2XL IMPERMEABLE AZUL ( LARGO 55-CUELLO 44- PECHO 76 )</t>
  </si>
  <si>
    <t>PARKA PANAL AZUL CUELLO PELUDO XL 113g</t>
  </si>
  <si>
    <t>PARKA PANAL AZUL CUELLO PELUDO L 94g</t>
  </si>
  <si>
    <t>PARKA IMPERMEABLE CON INTERIOR DE ALGODON XL VERDE</t>
  </si>
  <si>
    <t>PARKA IMPERMEABLE CON INTERIOR DE ALGODON XL ROJO</t>
  </si>
  <si>
    <t>PARKA IMPERMEABLE CON INTERIOR DE ALGODON XL AZUL</t>
  </si>
  <si>
    <t>PARKA IMPERMEABLE CON INTERIOR DE ALGODON S VERDE</t>
  </si>
  <si>
    <t>PARKA POLAR S VERDE ( LARGO 35-CUELLO 32-PECHO 48 )</t>
  </si>
  <si>
    <t>PARKA POLAR S MORADO ( LARGO 35-CUELLO 32-PECHO 48 )</t>
  </si>
  <si>
    <t>PARKA PASEO XXL</t>
  </si>
  <si>
    <t>PARKA POLAR M VERDE ( LARGO 40-CUELLO 35-PECHO 54 )</t>
  </si>
  <si>
    <t>PARKA POLAR M MORADO ( LARGO 40-CUELLO 35-PECHO 54 )</t>
  </si>
  <si>
    <t>PARKA POLAR M AZUL ( LARGO 40-CUELLO 35-PECHO 54 )</t>
  </si>
  <si>
    <t>PARKA POLAR L VERDE ( LARGO 45-CUELLO 38-PECHO 58 )</t>
  </si>
  <si>
    <t>PARKA POLAR L MORADO ( LARGO 45-CUELLO 38-PECHO 58 )</t>
  </si>
  <si>
    <t>PARKA POLAR L AZUL ( LARGO 45-CUELLO 38-PECHO 58 )</t>
  </si>
  <si>
    <t>PARKA POLAR 4XL VERDE ( LARGO 65-CUELLO 50-PECHO 94 )</t>
  </si>
  <si>
    <t>PARKA IMPERMEABLE CON INTERIOR DE ALGODON 6XL AZUL</t>
  </si>
  <si>
    <t>PARKA IMPERMEABLE CON INTERIOR DE ALGODON 5XL VERDE</t>
  </si>
  <si>
    <t>PARKA IMPERMEABLE CON INTERIOR DE ALGODON 5XL ROJO</t>
  </si>
  <si>
    <t>PARKA IMPERMEABLE CON INTERIOR DE ALGODON 5XL AZUL</t>
  </si>
  <si>
    <t>PARKA IMPERMEABLE CON INTERIOR DE ALGODON 4XL VERDE</t>
  </si>
  <si>
    <t>PARKA IMPERMEABLE CON INTERIOR DE ALGODON 4XL ROJO</t>
  </si>
  <si>
    <t>PARKA POLAR 2XL MORADO ( LARGO 55-CUELLO 44-PECHO 76 )</t>
  </si>
  <si>
    <t>PARKA POLAR 2XL AZUL ( LARGO 55-CUELLO 44-PECHO 76 )</t>
  </si>
  <si>
    <t>PARKA POLAR S AZUL ( LARGO 35-CUELLO 32-PECHO 48 )</t>
  </si>
  <si>
    <t>PARKA GOLDEN DOG L ORO ( LARGO 45- CUELLO 38- PECHO 58 )</t>
  </si>
  <si>
    <t>PARKA GOLDEN DOG 4XL PLATA ( LARGO 65- CUELLO 50- PECHO 94 )</t>
  </si>
  <si>
    <t>BOLA GIRATORIA DE CATNIP 3 UNID</t>
  </si>
  <si>
    <t>PARKA DIAMOND 4XL AZUL / LIMON ( LARGO 65- CUELLO 50- PECHO 94 )</t>
  </si>
  <si>
    <t>PARKA DIAMOND 3XL GRIS / NARANJA ( LARGO 60- CUELLO 48- PECHO 84 )</t>
  </si>
  <si>
    <t>PARKA DIAMOND 3XL BURDEO / ROSA ( LARGO 60- CUELLO 48- PECHO 84 )</t>
  </si>
  <si>
    <t>PARKA DIAMOND 3XL AZUL / LIMON ( LARGO 60- CUELLO 48- PECHO 84 )</t>
  </si>
  <si>
    <t>PARKA DIAMOND 2XL GRIS / NARANJA ( LARGO 55- CUELLO 44- PECHO 76 )</t>
  </si>
  <si>
    <t>PARKA GALAXY PERRO XL</t>
  </si>
  <si>
    <t>PARKA GALAXY PERRO S</t>
  </si>
  <si>
    <t>PARKA GALAXY PERRO M</t>
  </si>
  <si>
    <t>PARKA GALAXY PERRO L</t>
  </si>
  <si>
    <t>PARKA GALAXY PERRO 4XL</t>
  </si>
  <si>
    <t>PARKA GALAXY PERRO 3XL</t>
  </si>
  <si>
    <t>PARKA IMPERMEABLE CON INTERIOR DE ALGODON L AZUL</t>
  </si>
  <si>
    <t>PARKA DISNEY</t>
  </si>
  <si>
    <t>PARKA ARNES XS CAFÉ ( LARGO 30- CUELLO 29- PECHO 43 )</t>
  </si>
  <si>
    <t>PARKA ARNES XS AZUL (LARGO 30-CUELLO 29- PECHO 43)</t>
  </si>
  <si>
    <t>PARKA ARNES XS AZUL ( LARGO 30- CUELLO 29- PECHO 43 )</t>
  </si>
  <si>
    <t>PARKA ARNES XL VERDE (LARGO 50-CUELLO 40-PECHO 62 )</t>
  </si>
  <si>
    <t>PARKA ARNES XL VERDE (LARGO 50-CUELLO 40- PECHO 62)</t>
  </si>
  <si>
    <t>PARKA ARNES XL NARANJO (LARGO 50-CUELLO 40- PECHO 62)</t>
  </si>
  <si>
    <t>PARKA DIAMOND S GRIS / NARANJA ( LARGO 35- CUELLO 32- PECHO 48 )</t>
  </si>
  <si>
    <t>PARKA DIAMOND S BURDEO / ROSA ( LARGO 35- CUELLO 32- PECHO 48 )</t>
  </si>
  <si>
    <t>PARKA DIAMOND S AZUL / LIMON ( LARGO 35- CUELLO 32- PECHO 48 )</t>
  </si>
  <si>
    <t>PARKA DIAMOND M GRIS / NARANJA ( LARGO 40- CUELLO 35- PECHO 54 )</t>
  </si>
  <si>
    <t>PARKA DIAMOND M BURDEO / ROSA ( LARGO 40- CUELLO 35- PECHO 54 )</t>
  </si>
  <si>
    <t>PARKA DIAMOND M AZUL / LIMON ( LARGO 40- CUELLO 35- PECHO 54 )</t>
  </si>
  <si>
    <t>PARKA GALAXY PERRO 2XL</t>
  </si>
  <si>
    <t>PARKA IMPERMEABLE CON INTERIOR DE ALGODON 6XL VERDE</t>
  </si>
  <si>
    <t>PARKA IMPERMEABLE CON INTERIOR DE ALGODON 6XL ROJO</t>
  </si>
  <si>
    <t>PARKA GOLDEN DOG 4XL ORO ( LARGO 65- CUELLO 50- PECHO 94 )</t>
  </si>
  <si>
    <t>PARKA GOLDEN DOG 3XL PLATA ( LARGO 60- CUELLO 48- PECHO 84 )</t>
  </si>
  <si>
    <t>PARKA GOLDEN DOG 2XL PLATA ( LARGO 55- CUELLO 44- PECHO 76 )</t>
  </si>
  <si>
    <t>PARKA GOLDEN DOG 2XL ORO ( LARGO 55- CUELLO 44- PECHO 76 )</t>
  </si>
  <si>
    <t>PARKA GALAXY PERRO XS</t>
  </si>
  <si>
    <t>PARKA IMPERMEABLE CON INTERIOR DE ALGODON 4XL AZUL</t>
  </si>
  <si>
    <t>PARKA IMPERMEABLE CON INTERIOR DE ALGODON 3XL ROJO</t>
  </si>
  <si>
    <t>PARKA IMPERMEABLE CON INTERIOR DE ALGODON 3KL VERDE</t>
  </si>
  <si>
    <t>PARKA IMPERMEABLE CON INTERIOR DE ALGODON 3KL AZUL</t>
  </si>
  <si>
    <t>PARKA IMPERMEABLE CON INTERIOR DE ALGODON 2XL VERDE</t>
  </si>
  <si>
    <t>PARKA IMPERMEABLE CON INTERIOR DE ALGODON 2XL ROJO</t>
  </si>
  <si>
    <t>PARKA IMPERMEABLE CON INTERIOR DE ALGODON 2XL AZUL</t>
  </si>
  <si>
    <t>PARKA GOLDEN DOG L PLATA ( LARGO 45- CUELLO 38- PECHO 58 )</t>
  </si>
  <si>
    <t>PARKA IMPERMEABLE COLORES S</t>
  </si>
  <si>
    <t>PARKA IMPERMEABLE COLORES M</t>
  </si>
  <si>
    <t>PARKA DIAMOND XS GRIS / NARANJA ( LARGO 30- CUELLO 29- PECHO 43 )</t>
  </si>
  <si>
    <t>PARKA DIAMOND XS BURDEO / ROSA ( LARGO 30- CUELLO 29- PECHO 43 )</t>
  </si>
  <si>
    <t>PARKA DIAMOND XS AZUL / LIMON ( LARGO 30- CUELLO 29- PECHO 43 )</t>
  </si>
  <si>
    <t>PARKA DIAMOND XL GRIS / NARANJA ( LARGO 50- CUELLO 40- PECHO 62 )</t>
  </si>
  <si>
    <t>PARKA DIAMOND XL BURDEO / ROSA ( LARGO 50- CUELLO 40- PECHO 62 )</t>
  </si>
  <si>
    <t>PARKA DIAMOND XL AZUL / LIMON ( LARGO 50- CUELLO 40- PECHO 62 )</t>
  </si>
  <si>
    <t>PARKA GOLDEN DOG XS ORO ( LARGO 30- CUELLO 29- PECHO 43 )</t>
  </si>
  <si>
    <t>PARKA GOLDEN DOG XL PLATA ( LARGO 50- CUELLO 40- PECHO 62 )</t>
  </si>
  <si>
    <t>PARKA GOLDEN DOG XL ORO ( LARGO 50- CUELLO 40- PECHO 62 )</t>
  </si>
  <si>
    <t>PARKA GOLDEN DOG S PLATA ( LARGO 35- CUELLO 32- PECHO 48 )</t>
  </si>
  <si>
    <t>PARKA GOLDEN DOG S ORO ( LARGO 35- CUELLO 32- PECHO 48 )</t>
  </si>
  <si>
    <t>PARKA GOLDEN DOG M PLATA ( LARGO 40- CUELLO 35- PECHO 54 )</t>
  </si>
  <si>
    <t>PARKA GOLDEN DOG M ORO ( LARGO 40- CUELLO 35- PECHO 54 )</t>
  </si>
  <si>
    <t>PARKA IMPERMEABLE COLORES XL</t>
  </si>
  <si>
    <t>NUTRA GOLD WHITEFISH 13.6 KG (X)</t>
  </si>
  <si>
    <t>OLD PRINCE EQUILIBRIUM CACHORROS SMALL BREED 3 KG</t>
  </si>
  <si>
    <t>OLD PRINCE EQUILIBRIUM ADULTOS SMALL BREED 7.5 KG</t>
  </si>
  <si>
    <t>OLD PRINCE EQUILIBRIUM ADULTOS SMALL BREED 3 KG</t>
  </si>
  <si>
    <t>OLD PRINCE ADULTO M/L CORDERO Y ARROZ 15 KG</t>
  </si>
  <si>
    <t>OHM X21 COMPR</t>
  </si>
  <si>
    <t>OFTAL LIMPIADOR LAGRIMAL 50ML BEAPHAR</t>
  </si>
  <si>
    <t>ARENA FELICITY ULTRA PERFORMANCE STRAWBERRY 4 kg/5l</t>
  </si>
  <si>
    <t>ARENA FELICITY ULTRA PERFORMANCE ROSE 4 kg/5l</t>
  </si>
  <si>
    <t>ARENA FELICITY ULTRA PERFORMANCE LEMON 4 kg/5l</t>
  </si>
  <si>
    <t>ARENA FELICITY ULTRA PERFORMANCE COFFE 4 kg/5l</t>
  </si>
  <si>
    <t>ARENA FELICITY ULTRA PERFORMANCE BABY POWDER 4 kg/5l</t>
  </si>
  <si>
    <t>ARENA FELICITY SENSITIVE CLEAN 5l/4KG</t>
  </si>
  <si>
    <t>ARENA FELICITY KITTEN TRAINER 4 kg/5l</t>
  </si>
  <si>
    <t>PALETA CORAZON WONDER CAT</t>
  </si>
  <si>
    <t>ARENA CRISTAL AGLUTINANTE TOPK9 1.6 KG</t>
  </si>
  <si>
    <t>ARENA ODOUR BUSTER MULTI CAT 12 KG</t>
  </si>
  <si>
    <t>ARENA LOVESAND ROSA 8 KG</t>
  </si>
  <si>
    <t>ARENA LOVESAND ROSA 4 KG</t>
  </si>
  <si>
    <t>OCEAN REEF 600 LT 20 KG</t>
  </si>
  <si>
    <t>OB PATE RABBIT ADULT DOG 354 G</t>
  </si>
  <si>
    <t>NUP PETS PRE &amp; PROBIOTICOS 120 GR POLLO</t>
  </si>
  <si>
    <t>NUP PETS PRE &amp; PROBIOTICOS 120 GR CARNE</t>
  </si>
  <si>
    <t>NUP PETS CONDROPROTECTOR 120 GR</t>
  </si>
  <si>
    <t>NUP PETS BABIES PROBIOVITAMIN 120GR</t>
  </si>
  <si>
    <t>NOVIBAC OCTUPLE PVO INY 1 ML</t>
  </si>
  <si>
    <t>OB PATE BOAR ADULT CAT 156 G</t>
  </si>
  <si>
    <t>NYLON TUNEL 100 X 18 CM</t>
  </si>
  <si>
    <t>NYLABONE POWER CHEW ROLLO CARTILAGO SABOR POLLO XL</t>
  </si>
  <si>
    <t>NYLABONE NATURE POWER CHEW FORMA FEMUR TALLA XL</t>
  </si>
  <si>
    <t>ARENA FELICITY HEALTH CONTROL 1.64 kg/3.6l</t>
  </si>
  <si>
    <t>ORIJEN PUPPY 11.35 KG PERRO (X)</t>
  </si>
  <si>
    <t>ORIJEN ORIGINAL DOG 11.35 KG PERRO</t>
  </si>
  <si>
    <t>ORIJEN ORIGINAL DOG 10.7 KG PERRO</t>
  </si>
  <si>
    <t>ORIJEN ORIGINAL CAT 5.45 KG GATO</t>
  </si>
  <si>
    <t>ORIJEN ORIGINAL 2 KG PERRO</t>
  </si>
  <si>
    <t>OLD PRINCE EQUILIBRIUM GATO URINARY 3K</t>
  </si>
  <si>
    <t>OLD PRINCE EQUILIBRIUM GATO ADULTO ESTERILIZADO 3K</t>
  </si>
  <si>
    <t>OLD PRINCE EQUILIBRIUM GATO ADULTO CUIDADO COMPLETO 7.5K</t>
  </si>
  <si>
    <t>OLD PRINCE EQUILIBRIUM GATO ADULTO CUIDADO COMPLETO 3K</t>
  </si>
  <si>
    <t>OODIMEDIK CORAL 30 ml for marine water parasite x 800 lt</t>
  </si>
  <si>
    <t>OMEGLO 200 ML</t>
  </si>
  <si>
    <t>OLD PRINCE SUPER PREMIUM CACHORROS MEDIANO Y GRANDE 3 KG</t>
  </si>
  <si>
    <t>OLD PRINCE SUPER PREMIUM CACHORROS 15 KG</t>
  </si>
  <si>
    <t>OLD PRINCE SMALL BREED CORDERO 3 KG</t>
  </si>
  <si>
    <t>NUTRA GOLD WHITEFISH 2 KG (X)</t>
  </si>
  <si>
    <t>OB PATE RABBIT ADULT CAT 156 G</t>
  </si>
  <si>
    <t>OB PATE QUAIL ADULT DOG 354 G</t>
  </si>
  <si>
    <t>OB PATE QUAIL ADULT CAT 156 G</t>
  </si>
  <si>
    <t>OB PATE KANGAROO ADULT DOG 354 G</t>
  </si>
  <si>
    <t>OB PATE KANGAROO ADULT CAT 156 GR</t>
  </si>
  <si>
    <t>OB PATE BOARD ADULT DOG 354 G</t>
  </si>
  <si>
    <t>OLD PRINCE NOVEL GATITO CORDERO Y ARROZ 3K</t>
  </si>
  <si>
    <t>OLD PRINCE NOVEL CERDO Y LEGUMBRES ADULTO 3K</t>
  </si>
  <si>
    <t>OLD PRINCE NOVEL ADULTO M/L CORDERO Y ARROZ 3 KG</t>
  </si>
  <si>
    <t>OLD PRINCE MEDIUM &amp; LARGE BREED PREMIUM ADULT 3 KG</t>
  </si>
  <si>
    <t>OLD PRINCE LIGHT CORDERO 3 KG</t>
  </si>
  <si>
    <t>OLD PRINCE LIGHT CORDERO 15 KG</t>
  </si>
  <si>
    <t>OLD PRINCE EQUILIBRIUM KITTENS 1 KG</t>
  </si>
  <si>
    <t>OLD PRINCE EQUILIBRIUM GATOS URINARY 7.5 KG</t>
  </si>
  <si>
    <t>NUTRONFERRO 100 ML</t>
  </si>
  <si>
    <t>OLD PRINCE SENIOR CORDERO 15 KG</t>
  </si>
  <si>
    <t>NIDO MADERA INSEPARABLE</t>
  </si>
  <si>
    <t>NIDO FIBRA VEGETAL TALLA XL</t>
  </si>
  <si>
    <t>NIDO FIBRA VEGETAL TALLA L</t>
  </si>
  <si>
    <t>NIDO FIBRA VEGETAL (22X22X226 CM)</t>
  </si>
  <si>
    <t>NIDO FIBRA VEGETAL (16X16X18 CM)</t>
  </si>
  <si>
    <t>NOMADE MANTA</t>
  </si>
  <si>
    <t>NOMADE LLAVERO</t>
  </si>
  <si>
    <t>NIDO AVE (FIBRA VEGETAL)</t>
  </si>
  <si>
    <t>NHOCK CLASSIC 20K</t>
  </si>
  <si>
    <t>NO LOVE SPRAY 50ML - BEAPHAR</t>
  </si>
  <si>
    <t>NITROGENO PLANTMIX 250ML</t>
  </si>
  <si>
    <t>NITRIDAC BACTERIAS 500 ML</t>
  </si>
  <si>
    <t>NYLABONE BUFFALO HORN BISON</t>
  </si>
  <si>
    <t>ARENA LOVESAND MANZANA 4 KG</t>
  </si>
  <si>
    <t>ARENA LOVESAND LAVANDA 8 KG</t>
  </si>
  <si>
    <t>ARENA LOVESAND LAVANDA 4 KG</t>
  </si>
  <si>
    <t>ARENA LOVESAND BABY POWDER 20K</t>
  </si>
  <si>
    <t>ARENA FIT MOCCA 4 KG AGLUTINANTE</t>
  </si>
  <si>
    <t>ARENA FIT MOCCA 2KG AGLUTINANTE</t>
  </si>
  <si>
    <t>ARENA FIT LAVANDA 10 KG AGLUTINANTE</t>
  </si>
  <si>
    <t>NIDO EXTERNO CON BASE PLÁSTICA 11X10X16H - Ø 10</t>
  </si>
  <si>
    <t>NIDO DIAMANTES BAMBOO</t>
  </si>
  <si>
    <t>NIDO CANARIO FIBRA DE COCO</t>
  </si>
  <si>
    <t>NIDO CANARIO BAMBOO</t>
  </si>
  <si>
    <t>NIDO CANARIO</t>
  </si>
  <si>
    <t>NIDO AVE DOBLE (TOTORA)</t>
  </si>
  <si>
    <t>NIDO AVE (TOTORA)</t>
  </si>
  <si>
    <t>ARENA VANCAT NATURAL 20 KG</t>
  </si>
  <si>
    <t>NYLABONE BIG CHEW CHICKEN</t>
  </si>
  <si>
    <t>NYLABONE ANTLER S VENISON</t>
  </si>
  <si>
    <t>NYLABONE ANTLER M VENISON</t>
  </si>
  <si>
    <t>NYLABONE ANTLER L VENISON</t>
  </si>
  <si>
    <t>NUTRONFERRO 250 ML</t>
  </si>
  <si>
    <t>NOBIVAC INTRA TRAC BORDETELLA PVO SUSP OR</t>
  </si>
  <si>
    <t>NO PHOSPHATES 400 ML</t>
  </si>
  <si>
    <t>NO PHOSPHATES 200 ML</t>
  </si>
  <si>
    <t>NO NITRATES 200 ML</t>
  </si>
  <si>
    <t>NUTRA GOLD TURKEY 2 KG (X)</t>
  </si>
  <si>
    <t>Bolso Transporte Cabina Verde</t>
  </si>
  <si>
    <t>Bolso Transporte Cabina Rosa</t>
  </si>
  <si>
    <t>BOLSO PARA MASCOTAS CORAZONES S</t>
  </si>
  <si>
    <t>BOLSO PARA MASCOTAS CORAZONES M</t>
  </si>
  <si>
    <t>NUP PETS PRE &amp; PROBIOTICOS 120 GR SALMON</t>
  </si>
  <si>
    <t>BOLSO PARA MASCOTAS CON COMPARTIMIENTO CAFE 45x26x29</t>
  </si>
  <si>
    <t>BOLSO PARA MASCOTAS BUHO S</t>
  </si>
  <si>
    <t>BOLSO PARA MASCOTAS BUHO M</t>
  </si>
  <si>
    <t>BOLSO PARA GATOS CON CUPULA ROSADO (44x28x25 cm)</t>
  </si>
  <si>
    <t>BOLSO PARA GATOS CON CUPULA GRIS (44x28x25 cm)</t>
  </si>
  <si>
    <t>BOLSO SPACE BRUNCH CON CUPULA (40x26x25 cm)</t>
  </si>
  <si>
    <t>BOLSO SPACE BAG FUCSIA (40x26x25 cm)</t>
  </si>
  <si>
    <t>BOLSO SPACE BAG AZUL (40x26x25 cm)</t>
  </si>
  <si>
    <t>BOLSO SPACE ART CON CUPULA (40x26x25 cm)</t>
  </si>
  <si>
    <t>BOLSO PET GO VERDE M (40x21x27 cm)</t>
  </si>
  <si>
    <t>NUTRA GOLD TURKEY 13.6 KG (X)</t>
  </si>
  <si>
    <t>NUTRA GOLD SENIOR DOG 15 KG</t>
  </si>
  <si>
    <t>NUTRA GOLD SENIOR CAT 7 KG (X)</t>
  </si>
  <si>
    <t>NUTRA GOLD SALMON 3 KG</t>
  </si>
  <si>
    <t>NUTRA GOLD PUPPY MICROBITES 3 KG</t>
  </si>
  <si>
    <t>BOLSO PARA MASCOTAS CON COMPARTIMIENTO GRIS 45x26x29</t>
  </si>
  <si>
    <t>OVEN-BAKED TD CAT</t>
  </si>
  <si>
    <t>OWNAT JUST GRAIN FREE SALMON &amp; SEAFOOD DOG 14 KG</t>
  </si>
  <si>
    <t>OWNAT JUST GRAIN FREE ADULT CHICKEN DOG 3 KG</t>
  </si>
  <si>
    <t>OWNAT JUST GRAIN FREE ADULT CHICKEN DOG 14 KG</t>
  </si>
  <si>
    <t>OWNAT JUST GRAIN FREE ADULT CHICKEN CAT 3 KG</t>
  </si>
  <si>
    <t>OWNAT CLASSIC STERILIZED CAT 4 KG</t>
  </si>
  <si>
    <t>OWNAT CLASSIC STERILIZED CAT 1.5 KG</t>
  </si>
  <si>
    <t>ARENA LOVESAND NEUTRO 8 KG</t>
  </si>
  <si>
    <t>ARENA LOVESAND NEUTRO 4 KG</t>
  </si>
  <si>
    <t>ARENA LOVESAND MANZANA 8 KG</t>
  </si>
  <si>
    <t>ARENA CATSY CAT 9 KG</t>
  </si>
  <si>
    <t>ORIJEN SENIOR 11.35 KG PERRO</t>
  </si>
  <si>
    <t>ARENA CAT PERFORMANCE MICRO 9 KG/10 L</t>
  </si>
  <si>
    <t>ARENA CAT PERFORMANCE 9 KG</t>
  </si>
  <si>
    <t>ARENA AMERICALITTER ULTRA ODOR SEAL EXTREME 7 KG</t>
  </si>
  <si>
    <t>ARENA AMERICALITTER ULTRA ODOR SEAL BABY POWDER 15 KG</t>
  </si>
  <si>
    <t>ARENA FIT FORMULA MICRO CRYSTALS LAVANDA 3.2K</t>
  </si>
  <si>
    <t>ARENA FIT CARBON 4 KG AGLUTINANTE</t>
  </si>
  <si>
    <t>ARENA FIT CARBON 2KG AGLUTINANTE</t>
  </si>
  <si>
    <t>OWNAT CLASSIC LIGHT CAT 4 KG</t>
  </si>
  <si>
    <t>OWNAT CLASSIC LIGHT CAT 1.5 KG</t>
  </si>
  <si>
    <t>OWNAT CLASSIC KITTEN 4 KG</t>
  </si>
  <si>
    <t>OVEN-BAKED TD ADULT ALL BREEDS DOG CHICKEN 11.34 KG</t>
  </si>
  <si>
    <t>OVEN-BAKED SEMI HUMEDO FISH 2.27 KG</t>
  </si>
  <si>
    <t>OVEN-BAKED SEMI HUMEDO CHICKEN 2.27 KG</t>
  </si>
  <si>
    <t>OVEN-BAKED PUPPY SB DOG CHICKEN 2.27</t>
  </si>
  <si>
    <t>OVEN-BAKED PATE SALMON ADULT DOG 354 G</t>
  </si>
  <si>
    <t>ARENA CATSY CAT 4 KG</t>
  </si>
  <si>
    <t>PALA SANITARIA XL GRIS (33x12cm)</t>
  </si>
  <si>
    <t>PALA SANITARIA XL AZUL (33x12cm)</t>
  </si>
  <si>
    <t>Pala Sanitaria XL (33x12cm)</t>
  </si>
  <si>
    <t>PALA SANITARIA 27X10CM)</t>
  </si>
  <si>
    <t>Pala Sanitaria (28x11cm)</t>
  </si>
  <si>
    <t>PALA RECOGE FECAS 44x14x10cm ROJO</t>
  </si>
  <si>
    <t>OXTRIN 30 COMP</t>
  </si>
  <si>
    <t>OXITETRACICLINA 100 ML AMP.</t>
  </si>
  <si>
    <t>OWNAT JUST GRAIN FREE STERILIZED CAT 8 KG</t>
  </si>
  <si>
    <t>OWNAT JUST GRAIN FREE STERILIZED CAT 1 KG</t>
  </si>
  <si>
    <t>PALA GRANDE 33*15-5 cm VERDE</t>
  </si>
  <si>
    <t>PALA GRANDE 33*15-5 cm CELESTE</t>
  </si>
  <si>
    <t>PALA CARITA DE GATO PARA FECAS 28*125CM VERDE</t>
  </si>
  <si>
    <t>PALA CARITA DE GATO PARA FECAS 28*125CM CELESTE</t>
  </si>
  <si>
    <t>OWNAT CLASSIC KITTEN 1.5 KG</t>
  </si>
  <si>
    <t>OWNAT CLASSIC DAILY CARE CAT 4KG</t>
  </si>
  <si>
    <t>OWNAT CLASSIC DAILY CARE CAT 1.5 KG</t>
  </si>
  <si>
    <t>Owant Classic Complet 4 kg</t>
  </si>
  <si>
    <t>Owant Classic Complet 12 kg</t>
  </si>
  <si>
    <t>PACIFOR INY 10ML</t>
  </si>
  <si>
    <t>PACCO LEASH SMALL</t>
  </si>
  <si>
    <t>PACCO LEASH LARGE</t>
  </si>
  <si>
    <t>PACCO LEASH EXTRA SMALL</t>
  </si>
  <si>
    <t>PACCO COLLAR SMALL</t>
  </si>
  <si>
    <t>PACCO COLLAR MEDIUM</t>
  </si>
  <si>
    <t>PACCO COLLAR LARGE</t>
  </si>
  <si>
    <t>PACCO COLLAR EXTRA SMALL</t>
  </si>
  <si>
    <t>PACCO CAT COLLAR</t>
  </si>
  <si>
    <t>PALA CARITA DE GATO PARA FECAS 28*125CM</t>
  </si>
  <si>
    <t>OVEN-BAKED PATE POLLO ADULT DOG 354 GR</t>
  </si>
  <si>
    <t>OVEN-BAKED PATE POLLO ADULT CAT 156 G</t>
  </si>
  <si>
    <t>OVEN-BAKED PATE PAVO ADULT DOG 354 GR</t>
  </si>
  <si>
    <t>OVEN-BAKED PATE PAVO ADULT CAT 156 GR</t>
  </si>
  <si>
    <t>OVEN-BAKED PATE PATO ADULT DOG 354 GR</t>
  </si>
  <si>
    <t>OVEN-BAKED PATE PATO ADULT CAT 156 G</t>
  </si>
  <si>
    <t>OVEN-BAKED NATURES CODE CAT URINARY 4.54 KG</t>
  </si>
  <si>
    <t>OVEN-BAKED NATURES CODE CAT URINARY 2.27 KG</t>
  </si>
  <si>
    <t>OVEN-BAKED GRAIN FREE SB DOG FISH 5.67 KG</t>
  </si>
  <si>
    <t>OVEN-BAKED GRAIN FREE SB DOG FISH 2.27 KG</t>
  </si>
  <si>
    <t>ORIJEN KITTEN 1.8KG GATO</t>
  </si>
  <si>
    <t>ORIJEN FIT &amp; TRIM GATO 5.45 KG</t>
  </si>
  <si>
    <t>ORIJEN FIT &amp; TRIM GATO 1.8 KG GATO</t>
  </si>
  <si>
    <t>ORIJEN FIT &amp; TRIM 2 KG PERRO</t>
  </si>
  <si>
    <t>OVEN-BAKED PATE SALMON ADULT CAT 156 G</t>
  </si>
  <si>
    <t>OVEN-BAKED GRAIN FREE ALL BREEDS DOG CHICKEN 11.34 KG</t>
  </si>
  <si>
    <t>OVEN-BAKED DOG TREAT LIVER 227 G</t>
  </si>
  <si>
    <t>OVEN-BAKED DOG TREAT DUCK 227 G</t>
  </si>
  <si>
    <t>OVEN-BAKED DOG TREAT DENTAL 283 G</t>
  </si>
  <si>
    <t>OVEN-BAKED DOG TREAT CHICKEN AND PUMPKIN 227 G</t>
  </si>
  <si>
    <t>OVEN-BAKED DOG TREAT BACON 227 G</t>
  </si>
  <si>
    <t>OUT GO HERE TRAINING SPRAY 945 ML</t>
  </si>
  <si>
    <t>OTOCLEAN 18 FRASCOS X 5ML</t>
  </si>
  <si>
    <t>OSTEODRAG HA 60 COMP</t>
  </si>
  <si>
    <t>OLD PRINCE PUPPY SB 7.5 KG</t>
  </si>
  <si>
    <t>OLD PRINCE PUPPY CORDERO 7.5 KG</t>
  </si>
  <si>
    <t>OLD PRINCE PUPPY CORDERO 15 KG</t>
  </si>
  <si>
    <t>OLD PRINCE NOVEL GATO ADULTO CORDERO Y ARROZ 3 KG</t>
  </si>
  <si>
    <t>ORIJEN SENIOR 5.9 KG PERRO</t>
  </si>
  <si>
    <t>ORIJEN SENIOR 2 KG PERRO</t>
  </si>
  <si>
    <t>ORIJEN FIT &amp; TRIM 11.35 KG PERRO</t>
  </si>
  <si>
    <t>OVEN-BAKED TD SENIOR &amp; WEIGHT MANAGEMENT SB CHICKEN 5.67 KG</t>
  </si>
  <si>
    <t>OVEN-BAKED TD SENIOR &amp; WEIGHT MANAGEMENT SB CHICKEN 2.27 KG</t>
  </si>
  <si>
    <t>OVEN-BAKED TD SENIOR &amp; WEIGHT MANAGEMENT ALL BREEDS CHICKEN 2.27 KG</t>
  </si>
  <si>
    <t>OVEN-BAKED TD SENIOR &amp; WEIGHT MANAGEMENT ALL BREEDS CHICKEN 11.34 KG</t>
  </si>
  <si>
    <t>OVEN-BAKED TD PUPPY SB CHICKEN 5.67 KG</t>
  </si>
  <si>
    <t>OVEN-BAKED TD PUPPY ALL BREEDS DOG CHICKEN 11.34 KG</t>
  </si>
  <si>
    <t>OVEN-BAKED TD DOG SB FISH 2.27 KG</t>
  </si>
  <si>
    <t>OVEN-BAKED GRAIN FREE SB DOG DUCK 4.54</t>
  </si>
  <si>
    <t>OVEN-BAKED GRAIN FREE SB DOG DUCK 2.27</t>
  </si>
  <si>
    <t>OVEN-BAKED GRAIN FREE SB DOG CHICKEN 5.67 KG</t>
  </si>
  <si>
    <t>OVEN-BAKED GRAIN FREE SB DOG CHICKEN 2.27 KG</t>
  </si>
  <si>
    <t>OVEN-BAKED GRAIN FREE ALL BREEDS FISH 11.34 KG</t>
  </si>
  <si>
    <t>ORIJEN SIX FISH GATO 1.8 KG</t>
  </si>
  <si>
    <t>OVEN-BAKED TD ADULT SB DOG FISH 5.67 KG</t>
  </si>
  <si>
    <t>OVEN-BAKED TD ADULT SB DOG CHICKEN 5.67</t>
  </si>
  <si>
    <t>OVEN-BAKED TD ADULT SB DOG CHICKEN 2.27 KG</t>
  </si>
  <si>
    <t>OVEN-BAKED TD ADULT LARGE BREED FISH 11.3 KG</t>
  </si>
  <si>
    <t>OVEN-BAKED TD ADULT LARGE BREED CHICKEN 11.3 KG</t>
  </si>
  <si>
    <t>OVEN-BAKED TD ADULT ALL BREEDS DOG FISH 11.34 KG</t>
  </si>
  <si>
    <t>OSTEODRAG HA 30 COMP</t>
  </si>
  <si>
    <t>ORNAMENTO GATO PESCADOR 3X2.5 CM</t>
  </si>
  <si>
    <t>ORIJEN SMALL BREED 4.5 KG PERRO</t>
  </si>
  <si>
    <t>ORIJEN SMALL BREED 1.8 KG PERRO</t>
  </si>
  <si>
    <t>ORIJEN SIX FISH GATO 5.45 KG GATO</t>
  </si>
  <si>
    <t>OVEN-BAKED GRAIN FREE ALL BREEDS DOG DUCK 10.43 KG</t>
  </si>
  <si>
    <t>ACUARIO CON MUEBLE NEGRO 145 L (acuario 75 cm x 42 cm x 46.5 cm)</t>
  </si>
  <si>
    <t>ACUARIO CON LUZ LED 2W DE 8L</t>
  </si>
  <si>
    <t>ACUARIO SUNSUN 29 LITROS (SISTEMA FILTRADO SUPERIOR Y LUZ LED 5.5 W) BLANCO</t>
  </si>
  <si>
    <t>TRAJE POST-OPERATORIO TALLA S</t>
  </si>
  <si>
    <t>TRAJE POST-OPERATORIO TALLA M</t>
  </si>
  <si>
    <t>TRAJE POST-OPERATORIO TALLA L</t>
  </si>
  <si>
    <t>TRAJE ESTILO MARINERO PARA HEMBRA TALLA S</t>
  </si>
  <si>
    <t>TRAJE MARINERO XXL CUELLO 42CM PECHO 58CM</t>
  </si>
  <si>
    <t>TRAJE MARINERO XS CUELLO 21CM PECHO31CM</t>
  </si>
  <si>
    <t>TRAJE MARINERO XL CUELLO36CM PECHO 53CM</t>
  </si>
  <si>
    <t>TRAJE MARINERO S CUELLO 24CM PECHO 36CM</t>
  </si>
  <si>
    <t>TRAJE MARINERO L CUELLO 32CM PECHO 48CM</t>
  </si>
  <si>
    <t>TRAJE HUASO PERRO Y GATO XXS (16x25x19CM)</t>
  </si>
  <si>
    <t>TRAJE HUASO PERRO Y GATO XS (24x34x25CM)</t>
  </si>
  <si>
    <t>PRISMA COLLAR LARGE ZEEDOG</t>
  </si>
  <si>
    <t>TRAJE HUASO PERRO Y GATO S (30x40x32CM)</t>
  </si>
  <si>
    <t>TRAJE HUASO PERRO Y GATO M (32x43x37.5CM)</t>
  </si>
  <si>
    <t>TRAJE HUASO PERRO Y GATO L (34x45x41CM)</t>
  </si>
  <si>
    <t>TRAJE HUASO PERRO Y GATO CON PIERNA XS (CUELLO 22CM, 32 PECHO, 30 PIERNA, 27 LARGO)</t>
  </si>
  <si>
    <t>TRAILLA XL DISEÑO ESPACIAL</t>
  </si>
  <si>
    <t>TRAJE HUASO PERRO Y GATO 6XL (52x77x70CM)</t>
  </si>
  <si>
    <t>TRAJE HUASO PERRO Y GATO 5XL (50x72x66CM)</t>
  </si>
  <si>
    <t>TRAJE HUASO PERRO Y GATO 4XL (45x64x57CM)</t>
  </si>
  <si>
    <t>TRAJE HUASO PERRO Y GATO 3XL (45x64x57CM)</t>
  </si>
  <si>
    <t>TRAJE HUASO PERRO Y GATO 2XL (38x50x46CM)</t>
  </si>
  <si>
    <t>TRAJE HALLOWEEN TALLA 3</t>
  </si>
  <si>
    <t>TRAJE HALLOWEEN TALLA 2</t>
  </si>
  <si>
    <t>TRAJE HALLOWEEN TALLA 1</t>
  </si>
  <si>
    <t>TRAJE ESTILO MARINERO PARA MACHO TALLA XXL</t>
  </si>
  <si>
    <t>TRAJE HUASO PERRO Y GATO XL (38x50x46CM)</t>
  </si>
  <si>
    <t>TRANSPORTADORA GIPSY L (NEGRO/VERDE LIMON)</t>
  </si>
  <si>
    <t>TRANSPORTADORA GIPSY L (NEGRO/ROSADO)</t>
  </si>
  <si>
    <t>TRANSPORTADORA GIPSY L (NEGRO/NARANJA)</t>
  </si>
  <si>
    <t>TRANSPORTADORA GIPSY L (MIEL)</t>
  </si>
  <si>
    <t>TRANSPORTADORA GIPSY L (GRIS / AMARILLO)</t>
  </si>
  <si>
    <t>TRANSPORTADORA GATO 2 PLASTICA 60*40*42 CM VERDE</t>
  </si>
  <si>
    <t>TRANSPORTADORA GATO 2 PLASTICA 60*40*42 CM ROJA</t>
  </si>
  <si>
    <t>TRANSPORTADORA GATO 1 ROJO (52x34x33 CM)</t>
  </si>
  <si>
    <t>TRANSPORTADORA GATO 1 CELESTE OSCURO (52x34x33 CM)</t>
  </si>
  <si>
    <t>TRANSPORTADORA BRACCO 90</t>
  </si>
  <si>
    <t>TRANSPORTADORA ANIMALES PEQUEÑOS N2 ROJO</t>
  </si>
  <si>
    <t>TRANSPORTADORA ANIMALES PEQUEÑOS N1 GRIS</t>
  </si>
  <si>
    <t>TRAJE HUASO PERRO Y GATO CON PIERNA S (CUELLO 24CM, 42 PECHO, 38 PIERNA, 30 LARGO)</t>
  </si>
  <si>
    <t>Transportador JET10</t>
  </si>
  <si>
    <t>ACUARIO CON MUEBLE NEGRO 72 L (acuario 51 cm x 34 cm x 41 cm)</t>
  </si>
  <si>
    <t>TRANSPORTADOR ACRIL. PECES (18x13x11 cm) ROJO</t>
  </si>
  <si>
    <t>TRANSPORTADOR ACRIL. PECES (18x13x11 cm) AZUL</t>
  </si>
  <si>
    <t>TRANSPORTADOR ACRIL. MINI TORTUGA (18x13x11 cm) ROJO</t>
  </si>
  <si>
    <t>TRANSPORTADOR ACRIL. MINI TORTUGA (18x13x11 cm) AMARILLO</t>
  </si>
  <si>
    <t>TRANSPORT BOX FOR SMALL ANIMALS</t>
  </si>
  <si>
    <t>TRAJE POST-OPERATORIO TALLA XL</t>
  </si>
  <si>
    <t>ACUARIO SUNSUN 72 LITROS ALTA GAMA (LUZ LED 15 W,TERMOMETRO DIGITAL INC) NEGRO</t>
  </si>
  <si>
    <t>ACUARIO SUNSUN 72 LITROS ALTA GAMA (LUZ LED 15 W,TERMOMETRO DIGITAL INC) BLANCO</t>
  </si>
  <si>
    <t>ACUARIO SUNSUN 72 LITROS (SISTEMA FILTRADO SUPERIOR Y LUZ LED 7 W) NEGRO</t>
  </si>
  <si>
    <t>ACUARIO CON TAPA Y FONDO 40L 45X30X32</t>
  </si>
  <si>
    <t>ACUARIO CON TAPA Y FONDO 31L 40X26X30</t>
  </si>
  <si>
    <t>ACUARIO CON TAPA Y FONDO 21L 35X22X28</t>
  </si>
  <si>
    <t>ACUARIO CON TAPA Y FONDO 14.8L 30X19X26</t>
  </si>
  <si>
    <t>ACUARIO CON MUEBLE PLATEADO 72 L (acuario 51 cm x 34 cm x 41 cm)</t>
  </si>
  <si>
    <t>ACUARIO CON MUEBLE NEGRO 95 L (acuario 62 cm x 39 cm x 45 cm)</t>
  </si>
  <si>
    <t>TRANSPORTADOR ACRIL. PECES (18x13x11 cm) VERDE</t>
  </si>
  <si>
    <t>TRAÍLLA XL 2,5 (2.5*120 CM) DISEÑO ETNICO 1 WONDER DOG</t>
  </si>
  <si>
    <t>TRAÍLLA XL 2,5 (2.5*120 CM) DISEÑO CORAZONES WONDER DOG</t>
  </si>
  <si>
    <t>Trailla Wonderdog Verde</t>
  </si>
  <si>
    <t>Trailla Wonderdog Super traveller Verde</t>
  </si>
  <si>
    <t>TRAILLA RETRACTIL CON PORTA BOLSA (AZUL)</t>
  </si>
  <si>
    <t>Trailla Wonderdog Shock Tech Lead Rojo</t>
  </si>
  <si>
    <t>Trailla Wonderdog Shock Tech Lead Gris</t>
  </si>
  <si>
    <t>Trailla Wonderdog Shock Tech Lead Azul</t>
  </si>
  <si>
    <t>Trailla Wonderdog Rojo</t>
  </si>
  <si>
    <t>Trailla Wonderdog NEGRO</t>
  </si>
  <si>
    <t>Trailla Wonderdog AZUL</t>
  </si>
  <si>
    <t>Trailla Wonderdog Shock Tech V3 Rojo</t>
  </si>
  <si>
    <t>Trailla Wonderdog Shock Tech V3 Gris</t>
  </si>
  <si>
    <t>Trailla Wonderdog Shock Tech V3 Azul</t>
  </si>
  <si>
    <t>TRAJE ESTILO MARINERO PARA MACHO TALLA XL</t>
  </si>
  <si>
    <t>TRAILLA WONDER GUARD (2cm x largo 120-180cm) FUCSIA</t>
  </si>
  <si>
    <t>TRAILLA WONDER GUARD (2.5cm x largo 120-180cm) ROJO</t>
  </si>
  <si>
    <t>TRAILLA WONDER GUARD (2.5cm x largo 120-180cm) CALIPSO</t>
  </si>
  <si>
    <t>TRAILLA WONDER DOG DISEÑOS TROPICALES 20X1200MM</t>
  </si>
  <si>
    <t>TRAILLA WONDER DOG DISEÑOS TROPICALES 15X1200MM</t>
  </si>
  <si>
    <t>TRAILLA PVC A PRUEBA DE AGUA M 2.0X115CM NEGRO-AZUL</t>
  </si>
  <si>
    <t>TRAILLA WONDER CLASSIC L</t>
  </si>
  <si>
    <t>TRAILLA TRIPLE PASEO (8MM-140CM)</t>
  </si>
  <si>
    <t>TRAILLA TRENZADA 30MM X 120CM</t>
  </si>
  <si>
    <t>TRAILLA SEGURIDAD CON ELASTICO</t>
  </si>
  <si>
    <t>TRAILLA WONDER GUARD (2cm x largo 120-180cm) VERDE</t>
  </si>
  <si>
    <t>TRAJE ESTILO MARINERO PARA MACHO TALLA S</t>
  </si>
  <si>
    <t>TRAJE ESTILO MARINERO PARA MACHO TALLA M</t>
  </si>
  <si>
    <t>TRAJE ESTILO MARINERO PARA MACHO TALLA L</t>
  </si>
  <si>
    <t>TRAJE ESTILO MARINERO PARA HEMBRA TALLA XS</t>
  </si>
  <si>
    <t>TRAJE ESTILO MARINERO PARA HEMBRA TALLA XL</t>
  </si>
  <si>
    <t>Trailla Wonderdog Super traveller Azul</t>
  </si>
  <si>
    <t>TRAJE ESTILO MARINERO PARA HEMBRA TALLA M</t>
  </si>
  <si>
    <t>TRAJE ESTILO MARINERO PARA HEMBRA TALLA L</t>
  </si>
  <si>
    <t>TRAILLA+COLLAR S 15 MM (WONDER DOG) NARANJA Y AZUL</t>
  </si>
  <si>
    <t>TRAILLA+COLLAR S 15 MM (WONDER DOG) MULTICOLOR</t>
  </si>
  <si>
    <t>TRAILLA+COLLAR S 15 MM (WONDER DOG) AZUL Y VERDE</t>
  </si>
  <si>
    <t>TRAILLA+COLLAR M 20 MM (WONDER DOG) NARANJA Y AZUL</t>
  </si>
  <si>
    <t>TRAILLA+COLLAR M 20 MM (WONDER DOG) MULTICOLOR</t>
  </si>
  <si>
    <t>TRAILLA+COLLAR M 20 MM (WONDER DOG) AZUL Y VERDE</t>
  </si>
  <si>
    <t>TRAÍLLA XL 2,5 (2.5*120 CM) DISEÑO ETNICO 2 WONDER DOG</t>
  </si>
  <si>
    <t>TRAILLA+COLLAR L 25 MM (WONDER DOG) MULTICOLOR</t>
  </si>
  <si>
    <t>TRAILLA+COLLAR L 25 MM (WONDER DOG) AZUL Y VERDE</t>
  </si>
  <si>
    <t>TRAILLA XL DISEÑO PLUMAS</t>
  </si>
  <si>
    <t>TRAILLA XL DISEÑO HALLOWEEN</t>
  </si>
  <si>
    <t>TRAILLA XL DISEÑO FLAMENCOS</t>
  </si>
  <si>
    <t>TRAILLA WONDER CLASSIC M</t>
  </si>
  <si>
    <t>TRAILLA XL DISEÑO DOG LOVER</t>
  </si>
  <si>
    <t>TRAILLA XL DISEÑO CANDY</t>
  </si>
  <si>
    <t>TRAÍLLA XL 2,5 (2.5*120 CM) DISEÑO ZIGZAG ROJO WONDER DOG</t>
  </si>
  <si>
    <t>TRAÍLLA XL 2,5 (2.5*120 CM) DISEÑO ZIGZAG NEGRO Y NARANJA WONDER DOG</t>
  </si>
  <si>
    <t>TRAÍLLA XL 2,5 (2.5*120 CM) DISEÑO TRAMAS AZUL WONDER DOG</t>
  </si>
  <si>
    <t>TRAÍLLA XL 2,5 (2.5*120 CM) DISEÑO MULTICOLOR WONDER DOG</t>
  </si>
  <si>
    <t>TRAÍLLA XL 2,5 (2.5*120 CM) DISEÑO MIXTO 3 WONDER DOG</t>
  </si>
  <si>
    <t>TRAÍLLA XL 2,5 (2.5*120 CM) DISEÑO MINI ZIGZAG AZUL WONDER DOG</t>
  </si>
  <si>
    <t>TRAÍLLA XL 2,5 (2.5*120 CM) DISEÑO ETNICO 3 WONDER DOG</t>
  </si>
  <si>
    <t>TRAILLA+COLLAR L 25 MM (WONDER DOG) NARANJA Y AZUL</t>
  </si>
  <si>
    <t>TUBO PARA HAMSTER FORMA CODO 5.5CM DIAMETRO</t>
  </si>
  <si>
    <t>TUBO MACIZO DE TUERCAS</t>
  </si>
  <si>
    <t>TUBO IDENTIFICACION</t>
  </si>
  <si>
    <t>TUBO DE LUZ ULTRAVIOLETA 5.0</t>
  </si>
  <si>
    <t>TUBO DE LUZ ULTRAVIOLETA 10.0</t>
  </si>
  <si>
    <t>TUBO CURVO XL PARA HURONES ROSADO</t>
  </si>
  <si>
    <t>TUBO CURVO XL PARA HURONES AZUL</t>
  </si>
  <si>
    <t>TUBIVIT 100 ML / 20 GR</t>
  </si>
  <si>
    <t>TUBIFEX 50 GRAMOS</t>
  </si>
  <si>
    <t>TUBI CUBI 100 ML / 10 GR</t>
  </si>
  <si>
    <t>TROTTER CACHORRO 10.1KG</t>
  </si>
  <si>
    <t>TROPIFIT NATURALS - HIERBA ALFALFA GRANULADA 600G</t>
  </si>
  <si>
    <t>TROPIFIT ALL IN 1 RABBIT JUNIOR 500G</t>
  </si>
  <si>
    <t>TROPIFIT ALL IN 1 RABBIT ADULT 500G</t>
  </si>
  <si>
    <t>BEBEDERO 3.5 LTS PERROS Y GATOS CALIPSO</t>
  </si>
  <si>
    <t>TROPIFIT ALL IN 1 CHINCHILLA &amp; DEGU 500G</t>
  </si>
  <si>
    <t>Tronco con sabor WARRIOR</t>
  </si>
  <si>
    <t>Trocitos cilindricos de madera para roedores</t>
  </si>
  <si>
    <t>TRIPLE SABOR (POLLO HIGADO PATO) 6 UNI 115G</t>
  </si>
  <si>
    <t>TRIPLE SABOR (POLLO HIGADO PATO) 18 UNI 345G</t>
  </si>
  <si>
    <t>TRIAMCOL 5% SOL INY 50ML</t>
  </si>
  <si>
    <t>TREAT TOTE 1 CUP</t>
  </si>
  <si>
    <t>traqueotubo con balon 5.5 fr x 1 cgm</t>
  </si>
  <si>
    <t>traqueotubo con balon 3.5 fr x 1 cgm</t>
  </si>
  <si>
    <t>traqueotubo con balon 3.0 fr x 1 cgm</t>
  </si>
  <si>
    <t>TRAPER SPRAY LAVANDA ECO 250 ML</t>
  </si>
  <si>
    <t>TRAPER REPELENTE GRANULADO EXTERIORES 600GR</t>
  </si>
  <si>
    <t>TRAPER CATNIP HIERBA GATO PARA PLANTAR X 15 GR</t>
  </si>
  <si>
    <t>TRAP TOA HUM MELON TUNA BOLSA X 60 UNID</t>
  </si>
  <si>
    <t>TROPIFIT ALL IN 1 CUY / CAVIA 500G</t>
  </si>
  <si>
    <t>Turbo Clean Aglutinante 10 kg Manzana</t>
  </si>
  <si>
    <t>Turbo Clean Aglutinante 10 kg Lavanda</t>
  </si>
  <si>
    <t>TURBINA SECADOR DE PELO PCS 2400W POTENCIA</t>
  </si>
  <si>
    <t>TUNEL XL FORMA T ACRILICO PARA HURONES TRANSPARENTE</t>
  </si>
  <si>
    <t>TUNEL TRES VIAS CON JUGUETE</t>
  </si>
  <si>
    <t>TUNEL PARA GATOS 140*35</t>
  </si>
  <si>
    <t>TUNEL DOS VIAS CURVO (25X123CM)</t>
  </si>
  <si>
    <t>TÚNEL DE QUESO NIDO</t>
  </si>
  <si>
    <t>TUNEL CRUZ (TOTORA)</t>
  </si>
  <si>
    <t>Acuario Curvo frontal 22 x 15 x 21 cm</t>
  </si>
  <si>
    <t>Acuario cristal curvo 82 litros Negro</t>
  </si>
  <si>
    <t>Acuario cristal curvo 28 litros Rojo</t>
  </si>
  <si>
    <t>ACANA MEADOWLAND PERRO 2 KG</t>
  </si>
  <si>
    <t>ACANA MEADOWLAND PERRO 11.35 KG PERRO</t>
  </si>
  <si>
    <t>TUBO PARA HAMSTER FORMA RECTO 5.5CM DIAMETRO</t>
  </si>
  <si>
    <t>ACANA MEADOWLAND GATO 1.8 KG GATO</t>
  </si>
  <si>
    <t>ACANA LIGHT &amp; FIT 5.9 KG PERRO</t>
  </si>
  <si>
    <t>ACANA LIGHT &amp; FIT 2 KG PERRO</t>
  </si>
  <si>
    <t>ACANA INDOOR ENTREE CAT 4.5 KG</t>
  </si>
  <si>
    <t>ACANA FRESHWATER FISH 11.35 KG PERRO</t>
  </si>
  <si>
    <t>ACANA FREERUN POULTRY 5.9 KG PERRO</t>
  </si>
  <si>
    <t>ACANA FREERUN POULTRY 2 KG PERRO</t>
  </si>
  <si>
    <t>ACANA FREERUN POULTRY 11.35 KG PERRO</t>
  </si>
  <si>
    <t>ACUARIO 8 LITROS NEGRO</t>
  </si>
  <si>
    <t>TUNEL 4 VIAS CON JUGUETE</t>
  </si>
  <si>
    <t>TUNEL 4 VIAS 11X30 COLORES</t>
  </si>
  <si>
    <t>TUNEL 2 VIAS CON JUGUETE</t>
  </si>
  <si>
    <t>TUBO RECTO XL PARA HURONES TRANSPARENTE</t>
  </si>
  <si>
    <t>ACANA MEADOWLAND GATO 4.5 KG GATO</t>
  </si>
  <si>
    <t>ACUARIO SUNSUN 15 LITROS (SISTEMA FILTRADO SUPERIOR Y LUZ LED 3.5 W) ROSA</t>
  </si>
  <si>
    <t>ACUARIO SUNSUN 15 LITROS (SISTEMA FILTRADO SUPERIOR Y LUZ LED 3.5 W) NEGRO</t>
  </si>
  <si>
    <t>ACUARIO 100 LITROS NEGRO</t>
  </si>
  <si>
    <t>ACONDICIONADOR ALOE VERA 250 ML</t>
  </si>
  <si>
    <t>ACIDO CITRICO 200 GR PARA KIT CO2</t>
  </si>
  <si>
    <t>ACCESORIO ILUMINACION REPTILES 210X175mm</t>
  </si>
  <si>
    <t>ACCESORIO ILUMINACION REPTILES 144X106mm</t>
  </si>
  <si>
    <t>ACANA WILD ATLANTIC PERRO 2 KG</t>
  </si>
  <si>
    <t>ACANA SENIOR ENTREE CAT 1,8KG</t>
  </si>
  <si>
    <t>ACANA PUPPY &amp; JUNIOR 5.9 KG PERRO</t>
  </si>
  <si>
    <t>ACANA PUPPY &amp; JUNIOR 2 KG PERRO</t>
  </si>
  <si>
    <t>Acuario curvo frontal 31 x 18 x 24cm</t>
  </si>
  <si>
    <t>TRANSPORTADORA GIPSY XS (PUERTA PLASTICA) CELESTE-GRIS</t>
  </si>
  <si>
    <t>TRANSPORTADORA ANIMALES PEQUEÑOS N1 CALIPSO</t>
  </si>
  <si>
    <t>TRAP SH PELAJE CLARO DURAZNO X 260 ML</t>
  </si>
  <si>
    <t>TRANSPORTADORA GIPSY S (GRIS / CELESTE)</t>
  </si>
  <si>
    <t>TRANSPORTADORA GIPSY S (GRIS / AMARILLO)</t>
  </si>
  <si>
    <t>BEBEDERO AVE BANANO</t>
  </si>
  <si>
    <t>BEBEDERO AVE 80 ML (TRANSPARENTE)</t>
  </si>
  <si>
    <t>BEBEDERO AVE 110 ML (TRANSPARENTE)</t>
  </si>
  <si>
    <t>BARRIL METALICO PARA IDENTIFICACION</t>
  </si>
  <si>
    <t>Barril de madera</t>
  </si>
  <si>
    <t>BARRIL CON IDENTIFICACION</t>
  </si>
  <si>
    <t>BARRAS DE CARTILAGO ENV. EN POLLO 400GR</t>
  </si>
  <si>
    <t>BARRA POSADERA AVES</t>
  </si>
  <si>
    <t>BARRA DE FRUTAS CON PETALOS</t>
  </si>
  <si>
    <t>Baño Sanitario Prima Verde</t>
  </si>
  <si>
    <t>BEBEDERO AUTOMATICO OREJAS DE GATO ROSADO</t>
  </si>
  <si>
    <t>BEBEDERO AUTOMATICO OREJAS DE GATO AMARILLO</t>
  </si>
  <si>
    <t>BEBEDERO 3.5 LTS PERROS Y GATOS GRIS</t>
  </si>
  <si>
    <t>TRANSPORTADORA GIPSY S (NEGRA / VERDE)</t>
  </si>
  <si>
    <t>TRAP SH NEUTRO PUPPY CEREZO X 260 ML</t>
  </si>
  <si>
    <t>TRAP SH NEUTRO PERRO MELON TUNA X 260 ML</t>
  </si>
  <si>
    <t>TRAP SH BRILLO PERRO YOGURT MIEL X 260 ML</t>
  </si>
  <si>
    <t>TRAP REPELENTE SPRAY X 440 ML</t>
  </si>
  <si>
    <t>TRAP NEUTRALIZADOR OLORES SPRAY X 440ML</t>
  </si>
  <si>
    <t>TRAP LANDER PIPETA PERRO 4-10 KG</t>
  </si>
  <si>
    <t>TRAP LANDER PIPETA PERRO 4 KG</t>
  </si>
  <si>
    <t>TRAP LANDER PIPETA PERRO 25-40 KG</t>
  </si>
  <si>
    <t>TRAP LANDER PIPETA PERRO 10-25 KG</t>
  </si>
  <si>
    <t>TRAP ECO SH REPELENTE PULGAS PERRO X 250 ML</t>
  </si>
  <si>
    <t>TRAP ECO SH PIEL SENSIBLE AVENA X 250 ML</t>
  </si>
  <si>
    <t>TRAP AC COCO-VAINILLA PERRO X 260 ML</t>
  </si>
  <si>
    <t>TRAP AC BALSAMICO PUPPY X 260 ML</t>
  </si>
  <si>
    <t>TRANSPORTIN ERIZO PEQUEÑO</t>
  </si>
  <si>
    <t>ACUARIO SUNSUN 29 LITROS (SISTEMA FILTRADO SUPERIOR Y LUZ LED 5.5 W) AZUL</t>
  </si>
  <si>
    <t>TRANSPORTADORA XL (70,5*52,5*48,5 cm)</t>
  </si>
  <si>
    <t>Transportadora Visión (Free Top) Naranja</t>
  </si>
  <si>
    <t>Transportadora Visión (Free Top) Beige</t>
  </si>
  <si>
    <t>Transportadora Visión (Free Top) Azul</t>
  </si>
  <si>
    <t>TRANSPORTADORA TALLA S SEGURO RESORTES</t>
  </si>
  <si>
    <t>TRANSPORTADORA TALLA M 57X40X33.5 CM</t>
  </si>
  <si>
    <t>TRANSPORTADORA TALLA L</t>
  </si>
  <si>
    <t>TRANSPORTADORA GIPSY L (GRIS / GRIS)</t>
  </si>
  <si>
    <t>TRANSPORTADORA PLASTICA NEGRA 46x31x31</t>
  </si>
  <si>
    <t>TRANSPORTADORA PERROS XXL TORNILLOS 83X54X58</t>
  </si>
  <si>
    <t>TRANSPORTADORA PERROS XL</t>
  </si>
  <si>
    <t>TRANSPORTADORA MEDIANA ERIZO</t>
  </si>
  <si>
    <t>TRANSPORTADORA M (50*35,5*34 cm)</t>
  </si>
  <si>
    <t>TRANSPORTADORA L (61*45,5*41,5 cm)</t>
  </si>
  <si>
    <t>TRANSPORTADORA KENNEL L (80.5*56.5*64.8 CM)</t>
  </si>
  <si>
    <t>Transporte perros para vehículos u otros medios (32*25*20 cm)</t>
  </si>
  <si>
    <t>TRAILLA + ARNES (15MM X 120CM)</t>
  </si>
  <si>
    <t>TRAILLA (2.5X120)</t>
  </si>
  <si>
    <t>TRACK N TRAIN LEASH ROJO - EZYDOG</t>
  </si>
  <si>
    <t>TRACK N TRAIN LEASH NEGRO - EZYDOG</t>
  </si>
  <si>
    <t>TRACE ELEMENTS TABLETS BIOLINE</t>
  </si>
  <si>
    <t>TRABA ACRILICA CON FORMA DE LAZO (4X2) SET 2 UNIDADES</t>
  </si>
  <si>
    <t>TOY SHEALEFANT</t>
  </si>
  <si>
    <t>TOY SEAPORK</t>
  </si>
  <si>
    <t>TOY ROB THE MICROBE</t>
  </si>
  <si>
    <t>TOY PORKDUFANT</t>
  </si>
  <si>
    <t>TOY ELEDUMP</t>
  </si>
  <si>
    <t>TOPK9 CRISTAL FINO 1.6 KG</t>
  </si>
  <si>
    <t>TOPK9 ARENA MINERAL 4 KG</t>
  </si>
  <si>
    <t>TORTUGUERO ELBA MINI (36x33 CM) ROSADO</t>
  </si>
  <si>
    <t>TRAILLA SEGURIDAD CON DISEÑOS</t>
  </si>
  <si>
    <t>TORTUGUERO ELBA MEDIA</t>
  </si>
  <si>
    <t>TORTUGA PATA ROJA</t>
  </si>
  <si>
    <t>TORTUGA MEDITERRÁNEA</t>
  </si>
  <si>
    <t>TORTUGA ACUATICA</t>
  </si>
  <si>
    <t>TORRE PARA GATOS CON CASA (60x48x160) CAFE</t>
  </si>
  <si>
    <t>TORRE PARA GATOS (50x60x180) GRIS</t>
  </si>
  <si>
    <t>TORRE PARA GATOS (48x48x129) CAFE</t>
  </si>
  <si>
    <t>TORRE PARA GATOS (48x48x129) BEIGE</t>
  </si>
  <si>
    <t>TOPK9 TURBOCAT TOFU ECOLOGICA AGLUTINANTE LAVANDA 2KG</t>
  </si>
  <si>
    <t>TOPK9 TURBOCAT CRISTAL PERLAS SANITARIAS 1.6 KG</t>
  </si>
  <si>
    <t>TOPK9 TURBOCAT CRISTAL DETECCION ENFERMEDADES 1.6 KG</t>
  </si>
  <si>
    <t>TOPK9 AGLUTINANTE NATURAL 10KG</t>
  </si>
  <si>
    <t>TOPK9 AGLUTINANTE MANZANA 25 KG</t>
  </si>
  <si>
    <t>TOPK9 AGLUTINANTE MANZANA 2 KG</t>
  </si>
  <si>
    <t>TORTUGUERO ELBA MINI</t>
  </si>
  <si>
    <t>TRAILLA + COLLAR DISEÑOS 25 MM X 120 CM</t>
  </si>
  <si>
    <t>TRAILLA + COLLAR DISEÑOS 20 MM X 120 CM</t>
  </si>
  <si>
    <t>TRAILLA + COLLAR DISEÑOS 15 MM X 120 CM</t>
  </si>
  <si>
    <t>TRAILLA + COLLAR DISEÑOS (2CM X 120 CM) ROSADO RAYAS</t>
  </si>
  <si>
    <t>TRAILLA + COLLAR DISEÑOS (2CM X 120 CM) CELESTE SURF</t>
  </si>
  <si>
    <t>TRAILLA + COLLAR DISEÑOS (2CM X 120 CM) AMARILLO PAZ</t>
  </si>
  <si>
    <t>TRAILLA + COLLAR DISEÑOS (2.5CM X 120 CM) ROSADO RAYAS</t>
  </si>
  <si>
    <t>TRAILLA + COLLAR DISEÑOS (2.5CM X 120 CM) CELESTE SURF</t>
  </si>
  <si>
    <t>TRAILLA + COLLAR DISEÑOS (2.5CM X 120 CM) AMARILLO PAZ</t>
  </si>
  <si>
    <t>TRAILLA + COLLAR DISEÑOS (1.5 CM X 120 CM) ROSADO RAYAS</t>
  </si>
  <si>
    <t>TRAILLA + COLLAR 20 MM X 120 CM</t>
  </si>
  <si>
    <t>TRAILLA + COLLAR 15 MM X 120 CM</t>
  </si>
  <si>
    <t>TOY DURKEAL</t>
  </si>
  <si>
    <t>TRAILLA + ARNES DISEÑOS S</t>
  </si>
  <si>
    <t>TRAILLA + ARNES (20MM X 120CM)</t>
  </si>
  <si>
    <t>TRAILLA + ARNES DISEÑOS HUESOS 2.5 CM ROSADO</t>
  </si>
  <si>
    <t>TRAILLA + ARNES DISEÑOS HUESOS 2.5 CM NARANJA</t>
  </si>
  <si>
    <t>TRAILLA + ARNES DISEÑOS HUESOS 2.5 CM AZUL</t>
  </si>
  <si>
    <t>TRAILLA + ARNES DISEÑOS HUESOS 1.9 CM VERDE</t>
  </si>
  <si>
    <t>TRAILLA + ARNES DISEÑOS HUESOS 1.9 CM ROSADO</t>
  </si>
  <si>
    <t>TRAILLA + ARNES DISEÑOS HUESOS 1.9 CM NARANJA</t>
  </si>
  <si>
    <t>TRAILLA + ARNES DISEÑOS HUESOS 1.9 CM AZUL</t>
  </si>
  <si>
    <t>TRAILLA + ARNES DISEÑOS HUESOS 1.6 CM VERDE</t>
  </si>
  <si>
    <t>TRAILLA + ARNES DISEÑOS HUESOS 1.6 CM ROSADO</t>
  </si>
  <si>
    <t>TRAILLA + ARNES DISEÑOS HUESOS 1.6 CM NARANJA</t>
  </si>
  <si>
    <t>TRAILLA + ARNES DISEÑOS HUESOS 1.6 CM AZUL</t>
  </si>
  <si>
    <t>TRAILLA + ARNES DISEÑOS 1.0 CM VERDE</t>
  </si>
  <si>
    <t>TRAILLA + ARNES DISEÑOS 1.0 CM ROSADO</t>
  </si>
  <si>
    <t>TRAILLA + ARNES DISEÑOS 1.0 CM AZUL</t>
  </si>
  <si>
    <t>TRAILLA + ARNES (25MM X 120CM)</t>
  </si>
  <si>
    <t>TRAILLA + ARNES DISEÑOS HUESOS 2.5 CM VERDE</t>
  </si>
  <si>
    <t>TOPK9 AGLUTINANTE IONES SAKURA 10 KG</t>
  </si>
  <si>
    <t>TIOPENTAL PVO INY X 1 GR</t>
  </si>
  <si>
    <t>TINA AVES INTERIOR</t>
  </si>
  <si>
    <t>TOPK9 AGLUTINANTE IONES LIMON 25KG</t>
  </si>
  <si>
    <t>TOPK9 AGLUTINANTE IONES LIMON 10 KG</t>
  </si>
  <si>
    <t>TOPK9 AGLUTINANTE IONES LAVANDA 25KG</t>
  </si>
  <si>
    <t>TOPK9 AGLUTINANTE IONES CAFE MOKA 4 KG</t>
  </si>
  <si>
    <t>TOPK9 AGLUTINANTE IONES CAFE MOKA 25KG</t>
  </si>
  <si>
    <t>ADORNO CALAVERA</t>
  </si>
  <si>
    <t>ADORNO BOTE ACUARIOS</t>
  </si>
  <si>
    <t>ADORNO BARRILES 11.5x8x9.7 cm</t>
  </si>
  <si>
    <t>ACUARIO SUNSUN 15 LITROS (SISTEMA FILTRADO SUPERIOR Y LUZ LED 3.5 W) AZUL</t>
  </si>
  <si>
    <t>ACUARIO SUNSUN 15 LITROS (SISTEMA FILTRADO SUPERIOR Y LUZ LED 3.5 W) BLANCO</t>
  </si>
  <si>
    <t>ACUARIO SUNSUN 127 LITROS CON MUEBLE NEGRO</t>
  </si>
  <si>
    <t>TOPK9 TERAPHY TOALLA HUMEDA RELAJANTE XG 30 UNID MENTA</t>
  </si>
  <si>
    <t>BEBEDERO AUTOMATICO OREJAS DE GATO VERDE</t>
  </si>
  <si>
    <t>BEBEDERO FUENTE ELECTRICO PARA MASCOTAS 1.5 LTS</t>
  </si>
  <si>
    <t>Bebedero De Paseo 500ML Rosado</t>
  </si>
  <si>
    <t>Bebedero De Paseo 500ML Gris</t>
  </si>
  <si>
    <t>Bebedero De Paseo 500ML azul</t>
  </si>
  <si>
    <t>BEBEDERO 1 LITRO PUNTA METALICA</t>
  </si>
  <si>
    <t>BEAPHAR SHAMPOO PERRO MACA/ALOE 250 ML</t>
  </si>
  <si>
    <t>BEAGLE ADULTO 3 KG</t>
  </si>
  <si>
    <t>BAYTRIL 5% X 100 ML INY</t>
  </si>
  <si>
    <t>BAYTRIL 5% SOL INY X 20 ML</t>
  </si>
  <si>
    <t>BEBEDERO BOCA ANCHA 260 ML</t>
  </si>
  <si>
    <t>BEBEDERO AVES 130ML</t>
  </si>
  <si>
    <t>ACUARIO SILVER 48X29X43</t>
  </si>
  <si>
    <t>ACUARIO SEMICIRCULAR 116 LTS CON MUEBLE</t>
  </si>
  <si>
    <t>ACUARIO PLATEADO 23X17X27</t>
  </si>
  <si>
    <t>ACUARIO SILVER 58X32X47</t>
  </si>
  <si>
    <t>TOPK9 TERAPHY TOALLA HUMEDA RELAJANTE XG 30 UNID MANZANILLA</t>
  </si>
  <si>
    <t>TOPK9 TERAPHY TOALLA HUMEDA RELAJANTE XG 30 UNID EUCALIPTUS</t>
  </si>
  <si>
    <t>TOPK9 ECOLOGICA NATURAL 4 KG</t>
  </si>
  <si>
    <t>TOPK9 ECOLOGICA NATURAL 10KG</t>
  </si>
  <si>
    <t>TOPK9 ECOLOGICA MANZANA 10KG</t>
  </si>
  <si>
    <t>TOPK9 Ecológica lavanda 2K</t>
  </si>
  <si>
    <t>TOPK9 ECOLOGICA LAVANDA 10KG</t>
  </si>
  <si>
    <t>TOPK9 ECOLOGICA BERRIES 2 KG</t>
  </si>
  <si>
    <t>TOPK9 ECOLOGICA BERRIE 10KG</t>
  </si>
  <si>
    <t>TOPK9 DRY SOFT 2 KG</t>
  </si>
  <si>
    <t>TOPK9 CRISTAL LAVANDA 1.6 KG</t>
  </si>
  <si>
    <t>TOPK9 ARENA MINERAL 2 KG</t>
  </si>
  <si>
    <t>TOPK9 ARENA ECOLOGICA NATURAL 2K</t>
  </si>
  <si>
    <t>TOPK9 AGLUTINANTE VAINILLA 4 KG</t>
  </si>
  <si>
    <t>TOPK9 AGLUTINANTE IONES TALCO BEBE 2 KG</t>
  </si>
  <si>
    <t>TOPK9 AGLUTINANTE VAINILLA 2 KG</t>
  </si>
  <si>
    <t>TOPK9 AGLUTINANTE TURBO CLEAN ODOR CONT 10 KG</t>
  </si>
  <si>
    <t>TOPK9 AGLUTINANTE TALCO DE BEBE 25KG</t>
  </si>
  <si>
    <t>TOPK9 AGLUTINANTE TALCO BEBE 2K</t>
  </si>
  <si>
    <t>TOPK9 AGLUTINANTE ROSAS 25 KG</t>
  </si>
  <si>
    <t>TOPK9 AGLUTINANTE ROSAS 2 KG</t>
  </si>
  <si>
    <t>TOPK9 AGLUTINANTE NATURAL 25KG</t>
  </si>
  <si>
    <t>TOPK9 AGLUTINANTE CAFE MOKA 2 KG</t>
  </si>
  <si>
    <t>TOPK9 AGLUTINANTE BOSQUES SUREÑOS 10 KG</t>
  </si>
  <si>
    <t>TOPK9 AGLUTINANTE LIMON 4 KG</t>
  </si>
  <si>
    <t>TOPK9 AGLUTINANTE LIMON 2K</t>
  </si>
  <si>
    <t>TOPK9 AGLUTINANTE LIMON 25 KG</t>
  </si>
  <si>
    <t>TOPK9 AGLUTINANTE LAVANDA 25KG</t>
  </si>
  <si>
    <t>TOPK9 AGLUTINANTE LAVANDA 2 KG</t>
  </si>
  <si>
    <t>TOPK9 AGLUTINANTE IONES TALCO BEBE 25KG</t>
  </si>
  <si>
    <t>TOPK9 AGLUTINANTE VAINILLA 25KG</t>
  </si>
  <si>
    <t>TRAILLA DOBLE PASEO (10*140 CM)</t>
  </si>
  <si>
    <t>TRAILLA MULTIUSO DOBLE MANGO+REFLECTANTE+ANTI TIRONES+CINTURON DE SEGURIDAD TURQUEZA</t>
  </si>
  <si>
    <t>TRAILLA MULTIUSO DOBLE MANGO+REFLECTANTE+ANTI TIRONES+CINTURON DE SEGURIDAD ROJO</t>
  </si>
  <si>
    <t>TRAILLA MULTIUSO DOBLE MANGO+REFLECTANTE+ANTI TIRONES+CINTURON DE SEGURIDAD NEGRO</t>
  </si>
  <si>
    <t>TRAILLA MULTIUSO DOBLE MANGO+REFLECTANTE+ANTI TIRONES+CINTURON DE SEGURIDAD NARANJO</t>
  </si>
  <si>
    <t>TRAILLA MULTIFUN IMPERM (2cm x largo 120-180cm) DISEÑO ROJO</t>
  </si>
  <si>
    <t>TRAILLA MULTIFUN IMPERM (2cm x largo 120-180cm) DISEÑO AMARILLO</t>
  </si>
  <si>
    <t>TRAILLA MULTIFUN IMPERM (2.5cm x largo 120-180cm) DISEÑO AZUL</t>
  </si>
  <si>
    <t>TRAILLA MULTIFUN IMPERM (2.5cm x largo 120-180cm) AMARILLO</t>
  </si>
  <si>
    <t>TRAILLA MANOS LIBRES 1.2CM X 120CM LARGO TOTAL 220CM</t>
  </si>
  <si>
    <t>TRAILLA M DISEÑO PLUMAS</t>
  </si>
  <si>
    <t>TRAILLA M DISEÑO HALLOWEEN</t>
  </si>
  <si>
    <t>TRAILLA M DISEÑO FLAMENCOS</t>
  </si>
  <si>
    <t>TRAILLA M DISEÑO DOG LOVER</t>
  </si>
  <si>
    <t>TRAILLA + COLLAR TALLA 1(1.5 x 120 CM) AZUL</t>
  </si>
  <si>
    <t>TRAILLA COWBOY WONDERDOG S ROJO</t>
  </si>
  <si>
    <t>TRAÍLLA M 1,6 (1.6*120 CM)DISEÑO ZIGZAG NEGRO Y NARANJA WONDER DOG</t>
  </si>
  <si>
    <t>TRAÍLLA M 1,6 (1.6*120 CM) DISEÑO ZIGZAG ROJO WONDER DOG</t>
  </si>
  <si>
    <t>TRAÍLLA M 1,6 (1.6*120 CM) DISEÑO MIXTO 1 WONDER DOG</t>
  </si>
  <si>
    <t>TRAÍLLA M 1,6 (1.6*120 CM) DISEÑO ETNICO 3 WONDER DOG</t>
  </si>
  <si>
    <t>TRAÍLLA M 1,6 (1.6*120 CM) DISEÑO ETNICO 1 WONDER DOG</t>
  </si>
  <si>
    <t>TRAÍLLA M 1,6 (1.6*120 CM) DISEÑO AZUL CON RAYAS WONDER DOG</t>
  </si>
  <si>
    <t>TRAILLA LUZ LED</t>
  </si>
  <si>
    <t>TRAILLA LEONAR S</t>
  </si>
  <si>
    <t>TRAILLA LEONAR M</t>
  </si>
  <si>
    <t>TRAILLA LEONAR L</t>
  </si>
  <si>
    <t>TRAILLA GRUESA CON MANGO (15MM-120CM)</t>
  </si>
  <si>
    <t>Traílla especial para corredores</t>
  </si>
  <si>
    <t>TRAILLA ELASTICA PREMIUM</t>
  </si>
  <si>
    <t>TRAILLA M DISEÑO CANDY</t>
  </si>
  <si>
    <t>TRAILLA RETRACTIL TALLA S</t>
  </si>
  <si>
    <t>TRAILLA RETRACTIL TALLA M</t>
  </si>
  <si>
    <t>TRAILLA RETRACTIL CON PORTA BOLSA (NEGRO)</t>
  </si>
  <si>
    <t>TRAILLA RETRACTIL CON PORTA BOLSA (BLANCO)</t>
  </si>
  <si>
    <t>TRAILLA MULTIUSO DOBLE MANGO+REFLECTANTE+ANTI TIRONES+CINTURON DE SEGURIDAD VERDE</t>
  </si>
  <si>
    <t>TRAILLA RETRACTIL CON PORTA BOLSA</t>
  </si>
  <si>
    <t>TRAILLA RETRACTIL CON LUZ LED 3 MT</t>
  </si>
  <si>
    <t>TRAILLA RETRACTIL 8 METROS VERDE LIMON</t>
  </si>
  <si>
    <t>TRAILLA RETRACTIL 5 MTS DISEÑOS - ROSADO AMARILLO</t>
  </si>
  <si>
    <t>TRAILLA RETRACTIL 5 MTS DISEÑOS - BUHO</t>
  </si>
  <si>
    <t>TRAILLA RETRACTIL 5 MTS DISEÑOS</t>
  </si>
  <si>
    <t>TRAILLA RETRACTIL 5 METROS NARANJA</t>
  </si>
  <si>
    <t>TRAILLA RETRACTIL 3 METROS VERDE LIMON</t>
  </si>
  <si>
    <t>TRAILLA RETRACTIL 3 METROS NARANJA</t>
  </si>
  <si>
    <t>TRAILLA PARA CINTURON SEGURIDAD CON ELASTICO GRIS</t>
  </si>
  <si>
    <t>TRAILLA RECTRACTIL WALKABOUT SMALL</t>
  </si>
  <si>
    <t>TRAILLA RECTRACTIL WALKABOUT MEDIUM</t>
  </si>
  <si>
    <t>TRAILLA PVC A PRUEBA DE AGUA M 2.0X115CM VERDE-MORADO</t>
  </si>
  <si>
    <t>TRAILLA M DISEÑO ANIMAL PRINT</t>
  </si>
  <si>
    <t>TRAILLA PVC A PRUEBA DE AGUA M 2.0X115CM AZUL-NEGRO</t>
  </si>
  <si>
    <t>TRAILLA PVC A PRUEBA DE AGUA M 2.0X115CM</t>
  </si>
  <si>
    <t>TRAILLA PVC A PRUEBA DE AGUA L 2.5X130CM AZUL-NEGRO</t>
  </si>
  <si>
    <t>TRAILLA PVC A PRUEBA DE AGUA L 2.5X130CM</t>
  </si>
  <si>
    <t>TRAILLA PARA VEHICULOS SUPER TRAVELLER</t>
  </si>
  <si>
    <t>TRAILLA PARA PASEOS SIN COLLAR REFLECT (1,2x150CM) NEGRO</t>
  </si>
  <si>
    <t>TRAILLA PARA PASEOS SIN COLLAR REFLECT (1,2x150CM) FUCSIA</t>
  </si>
  <si>
    <t>TRAILLA PARA CINTURON SEGURIDAD CON ELASTICO VERDE</t>
  </si>
  <si>
    <t>TRAILLA PARA CINTURON SEGURIDAD CON ELASTICO ROSADO</t>
  </si>
  <si>
    <t>TRAILLA PARA CINTURON SEGURIDAD CON ELASTICO ROJO</t>
  </si>
  <si>
    <t>TRAILLA PARA CINTURON SEGURIDAD CON ELASTICO NEGRO</t>
  </si>
  <si>
    <t>TRAILLA REFLECTANTE CON MANGO Y MOSQUETON PRO 2.5CM X 120CM</t>
  </si>
  <si>
    <t>TRAILLA CON UNIONES DE CUERO 12 MM X 120 CM</t>
  </si>
  <si>
    <t>TRAILLA CON RESORTE DOBLE MANGO 25MM X 110CM</t>
  </si>
  <si>
    <t>TRAILLA CON RESORTE DOBLE MANGO 15MM X 100CM</t>
  </si>
  <si>
    <t>TRAILLA CON RESORTE</t>
  </si>
  <si>
    <t>TRAILLA CON REFUERZOS DE CUERO (0.8CM*120CM)</t>
  </si>
  <si>
    <t>TRAILLA CON MOSQUETÓN DE ACERO 150CM</t>
  </si>
  <si>
    <t>Trailla colores gruesa 15mm*120cm</t>
  </si>
  <si>
    <t>TRAILLA COLOR SOLIDO S (1.5x120cm) CALIPSO</t>
  </si>
  <si>
    <t>TRAILLA COLOR SOLIDO S (1.5x120cm) AMARILLO</t>
  </si>
  <si>
    <t>TRAILLA COLOR SOLIDO M (2x120cm) NEGRO</t>
  </si>
  <si>
    <t>TRAILLA COLOR SOLIDO M (2x120cm) AMARILLO</t>
  </si>
  <si>
    <t>TRAILLA COLOR SOLIDO L (2.5x120cm) AMARILLO</t>
  </si>
  <si>
    <t>TRAILLA BUCKLE DOWN BATMAN (1.2 METROS)</t>
  </si>
  <si>
    <t>TRAILLA + COLLAR</t>
  </si>
  <si>
    <t>TRAILLA ELASTICA ANTI TIRONES 2.5CM X 70CM</t>
  </si>
  <si>
    <t>TRAILLA ACOLCHADA CON RESORTE C (1.3 x 120cm) ROJO</t>
  </si>
  <si>
    <t>TRAILLA ACOLCHADA CON RESORTE A (1.3 x 60cm) MORADO</t>
  </si>
  <si>
    <t>TRAÍLLA 2,5 (2.5*120 CM) XL Blanco y Negro</t>
  </si>
  <si>
    <t>TRAÍLLA 2,5 (2.5*120 CM) DISEÑO MIXTO 2 WONDER DOG</t>
  </si>
  <si>
    <t>TRAÍLLA 2,5 (2.5*120 CM) DISEÑO MIXTO 1 WONDER DOG</t>
  </si>
  <si>
    <t>TRAÍLLA 2,5 (2.5*120 CM) DISEÑO AZUL CON RAYAS WONDER DOG</t>
  </si>
  <si>
    <t>TRAÍLLA 1,6 (1.6*120 CM) DISEÑO CORAZONES WONDER DOG</t>
  </si>
  <si>
    <t>TRAILLA + COLLAR TALLA 3(2.5 x 120 CM) VERDE</t>
  </si>
  <si>
    <t>TRAILLA + COLLAR TALLA 3(2.5 x 120 CM) NARANJO</t>
  </si>
  <si>
    <t>TRAILLA + COLLAR TALLA 3(2.5 x 120 CM) AZUL</t>
  </si>
  <si>
    <t>TRAILLA + COLLAR TALLA 2(2x 120 CM) VERDE</t>
  </si>
  <si>
    <t>TRAILLA + COLLAR TALLA 2(2x 120 CM) NARANJO</t>
  </si>
  <si>
    <t>TRAILLA + ARNES DISEÑOS 1.0 CM NARANJA</t>
  </si>
  <si>
    <t>TRAILLA + COLLAR TALLA 1(1.5 x 120 CM) VERDE</t>
  </si>
  <si>
    <t>TRAILLA + COLLAR TALLA 1(1.5 x 120 CM) NARANJO</t>
  </si>
  <si>
    <t>TRAILLA ADIESTRAMIENTO TALLA S</t>
  </si>
  <si>
    <t>TRAILLA CON UNIONES DE CUERO 8 MM X 120 CM</t>
  </si>
  <si>
    <t>TRAILLA DOBLE PASEO</t>
  </si>
  <si>
    <t>TRAILLA DOBLE CON UNIONES DE CUERO 10mm-140cm PERROS Y GATOS ROSADA</t>
  </si>
  <si>
    <t>TRAILLA DOBLE CON UNIONES DE CUERO 10mm-140cm PERROS Y GATOS NARANJA</t>
  </si>
  <si>
    <t>TRAILLA DOBLE CON UNIONES DE CUERO 10mm-140cm</t>
  </si>
  <si>
    <t>TRAILLA DOBLE CON UNIONES DE CUERO</t>
  </si>
  <si>
    <t>TRAILLA DISNEY 20 MM X 120 CM</t>
  </si>
  <si>
    <t>TRAILLA DISNEY 15 MM X 120 CM</t>
  </si>
  <si>
    <t>TRAILLA DE SEGURIDAD PARA AUTO 2.5*150cm VERDE</t>
  </si>
  <si>
    <t>TRAILLA DE SEGURIDAD PARA AUTO 2.5*150cm ROSADO</t>
  </si>
  <si>
    <t>TRAILLA DE SEGURIDAD PARA AUTO 2.5*150cm CELESTE</t>
  </si>
  <si>
    <t>TRAILLA DE SEGURIDAD PARA AUTO 2.5*150cm</t>
  </si>
  <si>
    <t>TRAILLA DE PVC 10 MT (PARQUE O PLAYA)</t>
  </si>
  <si>
    <t>TRAILLA CUERO + RESORTE</t>
  </si>
  <si>
    <t>TRAILLA + COLLAR TALLA 2(2x 120 CM) AZUL</t>
  </si>
  <si>
    <t>TRAILLA COWBOY WONDERDOG S CELESTE</t>
  </si>
  <si>
    <t>TRAILLA COWBOY WONDERDOG S CALIPSO</t>
  </si>
  <si>
    <t>TRAILLA COWBOY WONDERDOG M ROJO</t>
  </si>
  <si>
    <t>TRAILLA COWBOY WONDERDOG M CELESTE</t>
  </si>
  <si>
    <t>TRAILLA COWBOY WONDERDOG M CALIPSO</t>
  </si>
  <si>
    <t>TRAILLA COWBOY WONDERDOG L ROJO</t>
  </si>
  <si>
    <t>TRAILLA COWBOY WONDERDOG L CELESTE</t>
  </si>
  <si>
    <t>TRAILLA COWBOY WONDERDOG L CALIPSO</t>
  </si>
  <si>
    <t>TRAILLA CORTA CON AMORTIGUADOR 4MMX50CM</t>
  </si>
  <si>
    <t>TRAILLA CORTA CON AMORTIGUADOR 3MMX40CM</t>
  </si>
  <si>
    <t>TRAILLA CORDON CON MANGO</t>
  </si>
  <si>
    <t>TRAILLA CORDON 1 METRO</t>
  </si>
  <si>
    <t>TRAILLA ADISTREMIENTO TALLA M</t>
  </si>
  <si>
    <t>Wonder Dog Arnés The Fly Pro Aurora Red XL</t>
  </si>
  <si>
    <t>Wonder Dog Arnés The Fly Pro Aurora Red S</t>
  </si>
  <si>
    <t>Wonder Dog Arnés The Fly Pro Aurora Red M</t>
  </si>
  <si>
    <t>Wonder Dog Arnés The Fly Pro Aurora Red L</t>
  </si>
  <si>
    <t>Wonder Dog Arnés Space Traveller Silver Gray XXS</t>
  </si>
  <si>
    <t>Wonder Dog Arnés Space Traveller Silver Gray XS</t>
  </si>
  <si>
    <t>Wonder Dog Arnés Space Traveller Silver Gray S</t>
  </si>
  <si>
    <t>Wonder Dog Arnés Space Traveller Silver Gray M</t>
  </si>
  <si>
    <t>Wonder Dog Arnés Space Traveller Silver Gray L</t>
  </si>
  <si>
    <t>Wonder Dog Arnés Space Traveller Moonlight Blue XXS</t>
  </si>
  <si>
    <t>Wonder Dog Arnés Space Traveller Moonlight Blue XS</t>
  </si>
  <si>
    <t>Wonder Dog Arnés Space Traveller Moonlight Blue S</t>
  </si>
  <si>
    <t>Wonder Dog Arnés Space Traveller Moonlight Blue M</t>
  </si>
  <si>
    <t>Wonder Dog Arnés Space Traveller Moonlight Blue L</t>
  </si>
  <si>
    <t>Turbo Clean Aglutinante 10 kg Talco bebe</t>
  </si>
  <si>
    <t>Wonder Dog Arnés Space Traveller Federal Blue XS</t>
  </si>
  <si>
    <t>Wonder Dog Arnés Space Traveller Federal Blue M</t>
  </si>
  <si>
    <t>Wonder Dog Arnés Space Traveller Federal Blue L</t>
  </si>
  <si>
    <t>Wonder Dog Arnés Hoodlum Pastel Blue XXS</t>
  </si>
  <si>
    <t>Wonder Dog Arnés Hoodlum Pastel Blue XS</t>
  </si>
  <si>
    <t>Wonder Dog Arnés Hoodlum Pastel Blue S</t>
  </si>
  <si>
    <t>Wonder Dog Arnés Hoodlum Pastel Blue M</t>
  </si>
  <si>
    <t>Wonder Dog Arnés Hoodlum Lavender Violet XXS</t>
  </si>
  <si>
    <t>Wonder Dog Arnés Hoodlum Lavender Violet XS</t>
  </si>
  <si>
    <t>Wonder Dog Arnés Hoodlum Lavender Violet S</t>
  </si>
  <si>
    <t>Wonder Dog Arnés Hoodlum Lavender Violet M</t>
  </si>
  <si>
    <t>Wonder Dog Arnés Hoodlum Candy PinkM</t>
  </si>
  <si>
    <t>Wonder Dog Arnés Hoodlum Candy Pink XXS</t>
  </si>
  <si>
    <t>Wonder Dog Arnés Hoodlum Candy Pink XS</t>
  </si>
  <si>
    <t>Wonder Dog Arnés Space Traveller Federal Blue XXS</t>
  </si>
  <si>
    <t>Wonder Dog Arnés Vestar Lila S</t>
  </si>
  <si>
    <t>Wonder Dog Arnés Vestar Lila M</t>
  </si>
  <si>
    <t>Wonder Dog Arnés Vestar Lila L</t>
  </si>
  <si>
    <t>Wonder Dog Arnés Vestar Gris Claro XXS</t>
  </si>
  <si>
    <t>Wonder Dog Arnés Vestar Gris Claro XS</t>
  </si>
  <si>
    <t>Wonder Dog Arnés Vestar Gris Claro S</t>
  </si>
  <si>
    <t>Wonder Dog Arnés Vestar Gris Claro M</t>
  </si>
  <si>
    <t>Wonder Dog Arnés Vestar Gris Claro L</t>
  </si>
  <si>
    <t>Wonder Dog Arnés Vestar Fucsia XXS</t>
  </si>
  <si>
    <t>Wonder Dog Arnés Vestar Fucsia XS</t>
  </si>
  <si>
    <t>Wonder Dog Arnés Vestar Fucsia M</t>
  </si>
  <si>
    <t>Wonder Dog Arnés Vestar Fucsia L</t>
  </si>
  <si>
    <t>Wonder Dog Arnés Vestar Fucsia S</t>
  </si>
  <si>
    <t>Wonder Dog Arnés Vestar Celeste XXS</t>
  </si>
  <si>
    <t>Wonder Dog Arnés The Fly Pro Lime Green L</t>
  </si>
  <si>
    <t>Wonder Dog Arnés Vestar Celeste S</t>
  </si>
  <si>
    <t>Wonder Dog Arnés Vestar Celeste M</t>
  </si>
  <si>
    <t>Wonder Dog Arnés Vestar Celeste L</t>
  </si>
  <si>
    <t>Wonder Dog Arnés Vestar Azul Marino XXS</t>
  </si>
  <si>
    <t>Wonder Dog Arnés Vestar Azul Marino XS</t>
  </si>
  <si>
    <t>Wonder Dog Arnés Vestar Azul Marino S</t>
  </si>
  <si>
    <t>Wonder Dog Arnés Vestar Azul Marino M</t>
  </si>
  <si>
    <t>Wonder Dog Arnés Vestar Azul Marino L</t>
  </si>
  <si>
    <t>Wonder Dog Arnés The Fly Pro Methyl Blue XL</t>
  </si>
  <si>
    <t>Wonder Dog Arnés The Fly Pro Methyl Blue S</t>
  </si>
  <si>
    <t>Wonder Dog Arnés The Fly Pro Methyl Blue M</t>
  </si>
  <si>
    <t>Wonder Dog Arnés The Fly Pro Methyl Blue L</t>
  </si>
  <si>
    <t>Wonder Dog Arnés The Fly Pro Lime Green XL</t>
  </si>
  <si>
    <t>Wonder Dog Arnés The Fly Pro Lime Green S</t>
  </si>
  <si>
    <t>Wonder Dog Arnés The Fly Pro Lime Green M</t>
  </si>
  <si>
    <t>Wonder Dog Arnés Vestar Celeste XS</t>
  </si>
  <si>
    <t>VORAZ GATOS 10 KG</t>
  </si>
  <si>
    <t>VOLT LEASH SMALL</t>
  </si>
  <si>
    <t>VOLT LEASH LARGE</t>
  </si>
  <si>
    <t>VOLT LEASH EXTRA SMALL</t>
  </si>
  <si>
    <t>VOLT COLLAR SMALL</t>
  </si>
  <si>
    <t>VOLT COLLAR MEDIUM</t>
  </si>
  <si>
    <t>VOLT CAT COLLAR</t>
  </si>
  <si>
    <t>viviram -v 10ml</t>
  </si>
  <si>
    <t>VITO SUSTITUTO LACTEO PERRO PVO ORAL X 300 GR</t>
  </si>
  <si>
    <t>VITO SUSTITUTO LACTEO GATO 300 GR</t>
  </si>
  <si>
    <t>VITO JUNIOR PERRO PVO ORAL X 100 GR</t>
  </si>
  <si>
    <t>VITO ARTICULAR PERRO PVO ORAL X 300 GR</t>
  </si>
  <si>
    <t>VITO ARTICULAR GATO PVO ORAL X 100 GR</t>
  </si>
  <si>
    <t>Wonder Dog Arnés Hoodlum Candy Pink S</t>
  </si>
  <si>
    <t>Vitapol Alimento Completo para Chinchillas</t>
  </si>
  <si>
    <t>Vitality&amp;Color granulat 1000ml</t>
  </si>
  <si>
    <t>VITALITY &amp; COLOR GRANULAT 250 ML 138 GR</t>
  </si>
  <si>
    <t>VITALITY &amp; COLOR GRANULAT 100 ML 55 GR</t>
  </si>
  <si>
    <t>VITALITY &amp; COLOR FLAKES 250 ML 50 GR</t>
  </si>
  <si>
    <t>VITALITY &amp; COLOR 12 GR (SACHET)</t>
  </si>
  <si>
    <t>VITALITY &amp; COLOR 1000 ML / 200 GR</t>
  </si>
  <si>
    <t>VITAL HERBAL SMAKERS - JERUSALEN 90GR</t>
  </si>
  <si>
    <t>VITAL FIBER WELLBAR X12PCS/80G VAINILLA</t>
  </si>
  <si>
    <t>VITAL FIBER WELLBAR PEAR PURPLE X 5PCS/85G</t>
  </si>
  <si>
    <t>Vital fiber wellbar HONEY X8PCS/80G</t>
  </si>
  <si>
    <t>VITAL FIBER BRUSH X8PCS/80G VAINILLA</t>
  </si>
  <si>
    <t>VITA HERBAL - PATCH FOR RODENTS 40 GR</t>
  </si>
  <si>
    <t>VITA HERBAL - PATCH FOR RODENTS 100 GR</t>
  </si>
  <si>
    <t>VIRUTA PREMIUM PEQUEÑAS MASCOTAS LAVANDA 1 KG</t>
  </si>
  <si>
    <t>VITO ADULTO PERRO PVO ORAL X 100 GR</t>
  </si>
  <si>
    <t>Wonder Dog Arnés Double O Virtual Pink XS</t>
  </si>
  <si>
    <t>Wonder Dog Arnés Double O Virtual Pink S</t>
  </si>
  <si>
    <t>Wonder Dog Arnés Double O Virtual Pink M</t>
  </si>
  <si>
    <t>Wonder Dog Arnés Double O Virtual Pink L</t>
  </si>
  <si>
    <t>Wonder Dog Arnés Double O Starlight Blue XS</t>
  </si>
  <si>
    <t>Wonder Dog Arnés Double O Starlight Blue S</t>
  </si>
  <si>
    <t>Wonder Dog Arnés Double O Starlight Blue M</t>
  </si>
  <si>
    <t>Wonder Dog Arnés Double O Starlight Blue L</t>
  </si>
  <si>
    <t>Wonder Dog Arnés Double O High Risk Red XS</t>
  </si>
  <si>
    <t>Wonder Dog Arnés Double O High Risk Red S</t>
  </si>
  <si>
    <t>Wonder Dog Arnés Double O High Risk Red M</t>
  </si>
  <si>
    <t>Wonder Dog Arnés Double O High Risk Red L</t>
  </si>
  <si>
    <t>WONDER CAT KIT PARA GATOS 20 JUGUETES</t>
  </si>
  <si>
    <t>WHOLESOME GRAIN FREE CHICKEN MEAL &amp; POTATOES 15.9KG</t>
  </si>
  <si>
    <t>VORAZ MIX 20 KG</t>
  </si>
  <si>
    <t>WELSI GRAN 100 ML/ 65GR</t>
  </si>
  <si>
    <t>WEIGHT CONTROL FELINE 1.5 KG</t>
  </si>
  <si>
    <t>WEIGHT CARE MEDIUM 10 KG</t>
  </si>
  <si>
    <t>WEIGHT CARE CAT 145G</t>
  </si>
  <si>
    <t>WAVE PUMP CREADOR DE OLAS 5000 L/H</t>
  </si>
  <si>
    <t>WANPY - VENISON JERKY PERRO 100GR (Tiritas de carne de venado)</t>
  </si>
  <si>
    <t>WANPY - TOOTHBRUSH CHEWS BEEF, PERRO 100 GR (Snacks para la higiene dental sabor vacuno)</t>
  </si>
  <si>
    <t>WANPY - SOFT LAMB JERKY SLICES PERRO (Bolsa de 100 Gr)</t>
  </si>
  <si>
    <t>WANPY - SOFT DUCK JERKY STRIPS PERRO 100 GR</t>
  </si>
  <si>
    <t>WANPY - SOFT DUCK JERKY STRIPS FOR CATS 80GR (Tiritas de pechuga de pato para gatos)</t>
  </si>
  <si>
    <t>WANPY - SOFT CHICKEN JERKY STRIPS FOR CATS 80GR (Tiritas de pechuga de pollo para gatos)</t>
  </si>
  <si>
    <t>WANPY - SOFT BEEF JERKY SLICES PERRO (Bolsa de 100 Gr)</t>
  </si>
  <si>
    <t>WANPY - SALMON &amp; FISH SKIN PERRO 100GR (Bocaditos de salmon con piel de abadejo)</t>
  </si>
  <si>
    <t>WALKIE-TALKIE STRANGER TOY ZEEDOG</t>
  </si>
  <si>
    <t>WAKE PUMP CREADOR DE OLAS 1500 L/H</t>
  </si>
  <si>
    <t>WELSI GRAN 250 ML / 162.5 GR</t>
  </si>
  <si>
    <t>YUMM STIX MIND POLLO CON HIGADO</t>
  </si>
  <si>
    <t>YUMM STIX MIND POLLO CON CORDERO</t>
  </si>
  <si>
    <t>Yorkshire terrier mascota</t>
  </si>
  <si>
    <t>Yorkshire Terrier Adult 2.5 kg</t>
  </si>
  <si>
    <t>YORKSHIRE PUPPY 2.5K</t>
  </si>
  <si>
    <t>ABRIGO SHEEP ACOLCHADO M ROJO ( LARGO 40- CUELLO 35- PECHO 54 )</t>
  </si>
  <si>
    <t>ABRIGO SHEEP ACOLCHADO M CAQUI ( LARGO 40- CUELLO 35- PECHO 54 )</t>
  </si>
  <si>
    <t>ABRIGO SHEEP ACOLCHADO M AZUL ( LARGO 40- CUELLO 35- PECHO 54 )</t>
  </si>
  <si>
    <t>ZEROSHOCK LEASH 48 ROJO - EZYDOG</t>
  </si>
  <si>
    <t>ZEROSHOCK LEASH 48 NEGRO - EZYDOG</t>
  </si>
  <si>
    <t>ZEROSHOCK LEASH 48 DENIM - EZYDOG</t>
  </si>
  <si>
    <t>ZEROPELO - SACA PELO</t>
  </si>
  <si>
    <t>ZEEBOWL PATROL</t>
  </si>
  <si>
    <t>ZEEBOWL CORAL</t>
  </si>
  <si>
    <t>Wonder Dog Arnés Vestar Lila XS</t>
  </si>
  <si>
    <t>ZEEBED HAWKINS STRANGER LARGE ZEEDOG</t>
  </si>
  <si>
    <t>ZEE RUN BELT SMALL</t>
  </si>
  <si>
    <t>ZEE RUN BELT LARGE</t>
  </si>
  <si>
    <t>YORKSHIRE JUNIOR 1 KG ROYAL CANIN</t>
  </si>
  <si>
    <t>YORKSHIRE ADULTO 1 KG</t>
  </si>
  <si>
    <t>YORKSHIRE ADULT 7.5 KG ROYAL CANIN</t>
  </si>
  <si>
    <t>YOGURT DROPS FOR RODENTS &amp; RABBIT 75g</t>
  </si>
  <si>
    <t>XXL SMAKER NUT - FRUIT FOR BIG PARROT</t>
  </si>
  <si>
    <t>XS JUNIOR 2.5 KG</t>
  </si>
  <si>
    <t>XS JUNIOR 1 KG</t>
  </si>
  <si>
    <t>XS AGEING 12+ 1 KG</t>
  </si>
  <si>
    <t>XS ADULTO 2.5 KG</t>
  </si>
  <si>
    <t>XS ADULTO 1 KG</t>
  </si>
  <si>
    <t>XS ADULTO +8 1 KG</t>
  </si>
  <si>
    <t>XL DANDELION MINERAL BLOCK FOR RODENTS AND RABBIT PETALOS DE FLORES</t>
  </si>
  <si>
    <t>ZEEBED HAWKINS STRANGER SMALL ZEEDOG</t>
  </si>
  <si>
    <t>ZOOBILEE HEGGIE SUPER HEROE</t>
  </si>
  <si>
    <t>ZAPATOS PARA PERROS TALLA S</t>
  </si>
  <si>
    <t>ZAPATOS PARA PERROS CON TACHUELA CAMUFLAJE ROJO TALLA 5</t>
  </si>
  <si>
    <t>ZAPATOS PARA PERROS CON TACHUELA CAMUFLAJE ROJO TALLA 4</t>
  </si>
  <si>
    <t>ZAPATOS PARA PERROS CON TACHUELA CAMUFLAJE ROJO TALLA 3</t>
  </si>
  <si>
    <t>ZAPATOS PARA PERROS CON TACHUELA CAMUFLAJE ROJO TALLA 1</t>
  </si>
  <si>
    <t>ZAPATOS PARA PERROS CON TACHUELA CAMUFLAJE AZUL TALLA 5</t>
  </si>
  <si>
    <t>ZAPATOS PARA PERROS CON TACHUELA CAMUFLAJE AZUL TALLA 4</t>
  </si>
  <si>
    <t>ZAPATOS PARA PERROS CON TACHUELA CAMUFLAJE AZUL TALLA 2</t>
  </si>
  <si>
    <t>ZAPATOS PARA PERROS CON TACHUELA CAMUFLAJE AZUL TALLA 1</t>
  </si>
  <si>
    <t>ABRIGO DE PERRO DISEÑO CAMUFLAJE (4 PATAS) TALLA XXL</t>
  </si>
  <si>
    <t>TRAJE MARINERO M CUELLO28CM PECHO 42CM</t>
  </si>
  <si>
    <t>ZAPATOS PARA PERROS TELA Y VELCRO TALLA M ROSA</t>
  </si>
  <si>
    <t>ZAPATOS CON CIERRE Y GOMA TALLA 2 NEGRO</t>
  </si>
  <si>
    <t>ZANAHORIA DE CAUCHO PARA CREMAS Y SNACK</t>
  </si>
  <si>
    <t>BAÑO PARA GATOS MINOU XL (58x39x17cm) NARANJA</t>
  </si>
  <si>
    <t>BAÑO PARA GATOS MINOU XL (58x39x17cm) AZUL</t>
  </si>
  <si>
    <t>ABRIGO DE PERRO DISEÑO CAMUFLAJE (4 PATAS) TALLA XL</t>
  </si>
  <si>
    <t>ABRIGO DE PERRO DISEÑO CAMUFLAJE (4 PATAS) TALLA S</t>
  </si>
  <si>
    <t>ABRIGO DE PERRO DISEÑO CAMUFLAJE (4 PATAS) TALLA M</t>
  </si>
  <si>
    <t>3 PELOTAS DE TENIS 6.3 CM CON SONIDO</t>
  </si>
  <si>
    <t>3 CHICKEN GNAWLERS BONE 6PCS/PACK 108GR</t>
  </si>
  <si>
    <t>3 Beef gnawlers bone 6pcs/ pack 108gr</t>
  </si>
  <si>
    <t>3 bacon gnawlers bone 6pcs/ pack 108gr</t>
  </si>
  <si>
    <t>2" CALCIUM MILK BONE SMALL 7 PCS</t>
  </si>
  <si>
    <t>2" CALCIUM MILK BONE SMALL 30 PCS</t>
  </si>
  <si>
    <t>2 PELOTAS DE TENIS CON SONIDO 10.2CM</t>
  </si>
  <si>
    <t>ZAPATOS CON CIERRE Y GOMA TALLA 1 ROJO</t>
  </si>
  <si>
    <t>Zanahorias Tubulares</t>
  </si>
  <si>
    <t>Zanahoria de madera para roedores</t>
  </si>
  <si>
    <t>ZAPATOS CON CIERRE Y GOMA TALLA 2 ROJO</t>
  </si>
  <si>
    <t>Wonder Dog Collar Leonar Aurora Red M</t>
  </si>
  <si>
    <t>Wonder Dog Collar Leonar Aurora Red L</t>
  </si>
  <si>
    <t>Wonder Dog Collar Iron Red S</t>
  </si>
  <si>
    <t>Wonder Dog Collar Iron Red M</t>
  </si>
  <si>
    <t>Wonder Dog Collar Iron Red L</t>
  </si>
  <si>
    <t>Wonder Dog Collar Iron Blue S</t>
  </si>
  <si>
    <t>Wonder Dog Collar Iron Blue M</t>
  </si>
  <si>
    <t>Wonder Dog Collar Iron Blue L</t>
  </si>
  <si>
    <t>Wonder Dog Arnés Vestar Tropical Yellow XL</t>
  </si>
  <si>
    <t>Wonder Dog Arnés Vestar Tropical Yellow S</t>
  </si>
  <si>
    <t>Wonder Dog Arnés Vestar Tropical Yellow M</t>
  </si>
  <si>
    <t>Wonder Dog Arnés Vestar Tropical Yellow L</t>
  </si>
  <si>
    <t>Wonder Dog Arnés Vestar Tropical White Pink XL</t>
  </si>
  <si>
    <t>Wonder Dog Arnés Vestar Tropical White Pink S</t>
  </si>
  <si>
    <t>XL DANDELION MINERAL BLOCK FOR RODENTS AND RABBIT 190 GR</t>
  </si>
  <si>
    <t>Wonder Dog Arnés Vestar Tropical White Pink L</t>
  </si>
  <si>
    <t>Wonder Dog Arnés Vestar Tropical Pink XL</t>
  </si>
  <si>
    <t>Wonder Dog Arnés Vestar Tropical Pink S</t>
  </si>
  <si>
    <t>Wonder Dog Arnés Vestar Tropical Pink M</t>
  </si>
  <si>
    <t>Wonder Dog Arnés Vestar Tropical Pink L</t>
  </si>
  <si>
    <t>Wonder Dog Arnés Vestar Tropical Blue XL</t>
  </si>
  <si>
    <t>Wonder Dog Arnés Vestar Tropical Blue S</t>
  </si>
  <si>
    <t>Wonder Dog Arnés Vestar Tropical Blue M</t>
  </si>
  <si>
    <t>Wonder Dog Arnés Vestar Tropical Blue L</t>
  </si>
  <si>
    <t>Wonder Dog Arnés Vestar Rosado Claro XXS</t>
  </si>
  <si>
    <t>Wonder Dog Arnés Vestar Rosado Claro XS</t>
  </si>
  <si>
    <t>Wonder Dog Arnés Vestar Rosado Claro S</t>
  </si>
  <si>
    <t>Wonder Dog Arnés Vestar Rosado Claro M</t>
  </si>
  <si>
    <t>Wonder Dog Arnés Vestar Rosado Claro L</t>
  </si>
  <si>
    <t>Wonder Dog Arnés Vestar Lila XXS</t>
  </si>
  <si>
    <t>Wonder Dog Arnés Vestar Tropical White Pink M</t>
  </si>
  <si>
    <t>XL APPLE MINERAL BLOCK FOR RODENT AND RABBIT AND RODENTS 190 G</t>
  </si>
  <si>
    <t>XILAZINA 2% SOL INY X 50 ML</t>
  </si>
  <si>
    <t>X PLASTICA</t>
  </si>
  <si>
    <t>WOODEN FRUIT SMALL ANIMAL CHEW</t>
  </si>
  <si>
    <t>WOODEN CORN</t>
  </si>
  <si>
    <t>WOOD CARROT CORN TOY - 3 PACK</t>
  </si>
  <si>
    <t>Wonder Dog Trailla Leonar Methyl Blue S</t>
  </si>
  <si>
    <t>Wonder Dog Trailla Leonar Lime Green S</t>
  </si>
  <si>
    <t>Wonder Dog Trailla Leonar Lime Green M</t>
  </si>
  <si>
    <t>Wonder Dog Trailla Leonar Aurora Red S</t>
  </si>
  <si>
    <t>Wonder Dog Trailla Leonar Aurora Red M</t>
  </si>
  <si>
    <t>Wonder Dog Trailla Leonar Aurora Red L</t>
  </si>
  <si>
    <t>Wonder Dog Trailla Leona Methyl Blue M</t>
  </si>
  <si>
    <t>Wonder Dog Trailla Iron Silver S</t>
  </si>
  <si>
    <t>Wonder Dog Collar Leonar Aurora Red S</t>
  </si>
  <si>
    <t>Wonder Dog Trailla Iron Silver L</t>
  </si>
  <si>
    <t>Wonder Dog Trailla Iron Red S</t>
  </si>
  <si>
    <t>Wonder Dog Trailla Iron Red M</t>
  </si>
  <si>
    <t>Wonder Dog Trailla Iron Red L</t>
  </si>
  <si>
    <t>Wonder Dog Trailla Iron Blue S</t>
  </si>
  <si>
    <t>Wonder Dog Trailla Iron Blue M</t>
  </si>
  <si>
    <t>Wonder Dog Trailla Iron Blue L</t>
  </si>
  <si>
    <t>Wonder Dog Collar Leonar Methyl Blue S</t>
  </si>
  <si>
    <t>Wonder Dog Collar Leonar Methyl Blue M</t>
  </si>
  <si>
    <t>Wonder Dog Collar Leonar Methyl Blue L</t>
  </si>
  <si>
    <t>Wonder Dog Collar Leonar Lime Green XS</t>
  </si>
  <si>
    <t>Wonder Dog Collar Leonar Lime Green S</t>
  </si>
  <si>
    <t>Wonder Dog Collar Leonar Lime Green M</t>
  </si>
  <si>
    <t>Wonder Dog Collar Leonar Lime Green L</t>
  </si>
  <si>
    <t>Wonder Dog Collar Leonar Aurora Red XS</t>
  </si>
  <si>
    <t>Wonder Dog Trailla Iron Silver M</t>
  </si>
  <si>
    <t>VARILLA FLEXIBLE CON PLUMAS CELESTE</t>
  </si>
  <si>
    <t>VARILLA FLEXIBLE CON PLUMAS AMARILLO</t>
  </si>
  <si>
    <t>VARILLA FLEXIBLE CON PLUMAS</t>
  </si>
  <si>
    <t>VARILLA DISEÑOS ESTRELLAS AZULES 40CM</t>
  </si>
  <si>
    <t>VARILLA DE MADERA CON CORAZON Y CINTAS</t>
  </si>
  <si>
    <t>VARILLA CUNCUNA (45 CM)</t>
  </si>
  <si>
    <t>VARILLA CUNCUNA</t>
  </si>
  <si>
    <t>VARILLA CORAZON CON PLUMAS WONDER CAT</t>
  </si>
  <si>
    <t>VARILLA CORAZON 46CM</t>
  </si>
  <si>
    <t>VARILLA CON RATONCITO PELUDO FUCSIA</t>
  </si>
  <si>
    <t>VARILLA CON RATONCITO PELUDO AZUL</t>
  </si>
  <si>
    <t>VARILLA CON PLUMAS (27 CM) VERDE</t>
  </si>
  <si>
    <t>VARILLA CON PLUMAS (27 CM)</t>
  </si>
  <si>
    <t>VARILLA CON PLUMA PAVO REAL</t>
  </si>
  <si>
    <t>VIRUTA PREMIUM CON AROMA MANZANA 1 KG</t>
  </si>
  <si>
    <t>VARILLA CON CHUPON RATON CON BOLA 17 CM</t>
  </si>
  <si>
    <t>VARILLA CON CHUPON PONPON 17 CM</t>
  </si>
  <si>
    <t>VARILLA CON CHUPON PLUMAS 30 CM</t>
  </si>
  <si>
    <t>VARILLA COLA PELUDA VERDE</t>
  </si>
  <si>
    <t>VARILLA COLA PELUDA ROSADO</t>
  </si>
  <si>
    <t>VARILLA COLA PELUDA MORADO</t>
  </si>
  <si>
    <t>VARILLA COLA PELUDA CALIPSO</t>
  </si>
  <si>
    <t>VARILLA COLA PELUDA AZUL</t>
  </si>
  <si>
    <t>VARILLA CABEZA GATO NEGRO</t>
  </si>
  <si>
    <t>VARILLA ARO CON TIRAS WONDER CAT</t>
  </si>
  <si>
    <t>VARILLA ARO CON PLUMAS WONDER CAT</t>
  </si>
  <si>
    <t>VARILLA ALAMBRE CON PLUMA</t>
  </si>
  <si>
    <t>VARILLA ALAMBRE CON PEZ 110CM</t>
  </si>
  <si>
    <t>VARAS DE CATNIP CON MENTA (6 UNID, 12CM)</t>
  </si>
  <si>
    <t>VARILLA CON CHUPON RATON CON PLUMAS 21 CM</t>
  </si>
  <si>
    <t>VARILLA RATON CON POMPONES 47CM</t>
  </si>
  <si>
    <t>VARILLA RATON CON PLUMAS (40 CM)</t>
  </si>
  <si>
    <t>VARILLA RATON CON PIEL DE CONEJO</t>
  </si>
  <si>
    <t>Varilla ratón clores con pluma</t>
  </si>
  <si>
    <t>VARILLA RATON ARCOIRIS CON CASCABEL</t>
  </si>
  <si>
    <t>VARILLA RATON</t>
  </si>
  <si>
    <t>VARILLA PULPITO ROSADO</t>
  </si>
  <si>
    <t>VARILLA PULPITO NEGRO</t>
  </si>
  <si>
    <t>VARILLA PULPITO GRIS</t>
  </si>
  <si>
    <t>VARILLA PULPITO FUCSIA</t>
  </si>
  <si>
    <t>VARILLA PULPITO AZUL</t>
  </si>
  <si>
    <t>VARILLA POMPOM Y PLUMAS ROSADO</t>
  </si>
  <si>
    <t>VARILLA PLUMAS 70CM CON SEGMENTO FLEXIBLE MORADO</t>
  </si>
  <si>
    <t>VARILLA PLUMAS 70CM CON SEGMENTO FLEXIBLE FUCSIA</t>
  </si>
  <si>
    <t>VARILLA FLEXIBLE CON PLUMAS MORADO</t>
  </si>
  <si>
    <t>VARILLA PLUMAS 70CM CON SEGMENTO FLEXIBLE</t>
  </si>
  <si>
    <t>VARILLA PLUMAS 60CM</t>
  </si>
  <si>
    <t>Varilla pez colores</t>
  </si>
  <si>
    <t>VARILLA MOSAICO FLORES CUADRADO 46CM</t>
  </si>
  <si>
    <t>VARILLA LIBELULA (30 CM)</t>
  </si>
  <si>
    <t>VARILLA LENTEJUELAS Y TIRITAS GAMUZA CELESTE</t>
  </si>
  <si>
    <t>VARILLA LENTEJUELAS Y COLA NARANJA</t>
  </si>
  <si>
    <t>VARILLA LENTEJUELAS Y COLA AZUL</t>
  </si>
  <si>
    <t>VARILLA GUSANO CON OJOS LANILLA GRIS</t>
  </si>
  <si>
    <t>VARILLA GATO RESORTE Y PELOTITAS VERDE</t>
  </si>
  <si>
    <t>VARILLA GATO RESORTE Y PELOTITAS CELESTE</t>
  </si>
  <si>
    <t>VARILLA GATO RATONES BRILLOSOS</t>
  </si>
  <si>
    <t>VARILLA GATO COLA LANUDA 47CM</t>
  </si>
  <si>
    <t>VARILLA GATO 3 COLAS 46CM</t>
  </si>
  <si>
    <t>VARILLA FLEXIBLE CON PLUMAS ROSADO</t>
  </si>
  <si>
    <t>VARILLA PLUMAS 70CM CON SEGMENTO FLEXIBLE AMARILLA</t>
  </si>
  <si>
    <t>bascula electronica</t>
  </si>
  <si>
    <t>URINE OFF KIT PERROS Y GATOS 500 ML</t>
  </si>
  <si>
    <t>URINE OFF CAT KIT</t>
  </si>
  <si>
    <t>URINARY S/O FELINE 500GR</t>
  </si>
  <si>
    <t>URINARY S/O 7.5 KG GATOS ROYAL CANIN</t>
  </si>
  <si>
    <t>URINARY S/O 10 KG GATOS ROYAL CANIN</t>
  </si>
  <si>
    <t>URINARY S/O 1.5 KG GATOS ROYAL CANIN</t>
  </si>
  <si>
    <t>URINARY FELINO 145 GR</t>
  </si>
  <si>
    <t>URINARY FELINE POUCH 85 G</t>
  </si>
  <si>
    <t>URINARY CARE 7.5 KG ROYAL CANIN</t>
  </si>
  <si>
    <t>URINARY CARE 2 KG ROYAL CANIN</t>
  </si>
  <si>
    <t>URINARY CARE 10 KG ROYAL CANIN</t>
  </si>
  <si>
    <t>URINARY CARE 1.5 KG ROYAL CANIN</t>
  </si>
  <si>
    <t>URINARY CANINE 2 KG</t>
  </si>
  <si>
    <t>VARA LANZADOR DE PELOTAS</t>
  </si>
  <si>
    <t>URINARY CANINE 1.5 KG ROYAL CANIN</t>
  </si>
  <si>
    <t>URBAN FLYHARNESS SIZE 5</t>
  </si>
  <si>
    <t>UNIVERSAL COSMETICS WIPES 30 UN</t>
  </si>
  <si>
    <t>UNION PLASTICA T</t>
  </si>
  <si>
    <t>UNION PLASTICA EN FORMA Y</t>
  </si>
  <si>
    <t>UNION PLASTICA EN FORMA T</t>
  </si>
  <si>
    <t>UNION PLASTICA CON CONTROL DOBLE (1 UNID)</t>
  </si>
  <si>
    <t>UNION PLASTICA CON CONTROL (1 UNID)</t>
  </si>
  <si>
    <t>UNIÓN PLASTICA</t>
  </si>
  <si>
    <t>ULTIMATE BLUE CAT COLLAR ZEECAT</t>
  </si>
  <si>
    <t>ULTIMATE BLUE ADJ. AIR MESH HARNESS SMALL ZEEDOG</t>
  </si>
  <si>
    <t>ULTIMATE BLUE ADJ. AIR MESH HARNESS MEDIUM ZEEDOG</t>
  </si>
  <si>
    <t>ULTIMATE BLUE ADJ. AIR MESH HARNESS LARGE ZEEDOG</t>
  </si>
  <si>
    <t>ULTIMATE BLUE ADJ. AIR MESH HARNESS EXTRA SMALL ZEEDOG</t>
  </si>
  <si>
    <t>Turbo Clean Aglutinante 2 kg Lavanda</t>
  </si>
  <si>
    <t>URINARY CANINE 10 KG ROYAL CANIN</t>
  </si>
  <si>
    <t>VARA ESTILO PELOTA DE TENIS TURBODOG</t>
  </si>
  <si>
    <t>VARA DE SISAL CON PLUMAS Y CAMPANAS</t>
  </si>
  <si>
    <t>VANGUARD GIARDIA SUSP INY 1ML</t>
  </si>
  <si>
    <t>VANGUARD B ORAL 1ML + APLICADOR</t>
  </si>
  <si>
    <t>VANG OCTUPLE PLUS 5/CV-L 1 ML 1 DOSIS</t>
  </si>
  <si>
    <t>VALVULA T</t>
  </si>
  <si>
    <t>VACUNAS VANGUARD PLUS 5 CV/L 25 DOSIS</t>
  </si>
  <si>
    <t>VACUNAS VANGUARD FELINA (FELOCELL)</t>
  </si>
  <si>
    <t>VACUNAS NOBIVAC PUPPY DP X 1 DOSIS</t>
  </si>
  <si>
    <t>VACUNA RABIGEN 1 DOSIS</t>
  </si>
  <si>
    <t>VACUNA NOBIVAC SEXTUPLE PVO INY 1ML</t>
  </si>
  <si>
    <t>VACA DE PELUCHE ELASTICO PARA MASCOTAS 32x11.5 CM</t>
  </si>
  <si>
    <t>VAC NOBIVAC RABIA X 1 DOSIS</t>
  </si>
  <si>
    <t>VAC NOBIVAC KC</t>
  </si>
  <si>
    <t>BASTON CON SONIDO</t>
  </si>
  <si>
    <t>V-COOLPET PACK BAÑO PIELES SENSIBLES SHAMPOO Y ACONDICIONADOR AVENA</t>
  </si>
  <si>
    <t>V-ADAPTIL SOL SPRAY 60ML</t>
  </si>
  <si>
    <t>UV EXTERNO 7 WATTS</t>
  </si>
  <si>
    <t>URINE OFF PERROS C/APLICADOR ALFOMBRAS 946ML</t>
  </si>
  <si>
    <t>BEBEDERO 3.5 LTS PERROS Y GATOS AZUL</t>
  </si>
  <si>
    <t>Baño Sanitario Ariel Esquinero Azul</t>
  </si>
  <si>
    <t>Baño Sanitario Ariel Beige</t>
  </si>
  <si>
    <t>Baño Sanitario Ariel Azul</t>
  </si>
  <si>
    <t>Baño Sanitario Ariel</t>
  </si>
  <si>
    <t>BAÑO PERROS CON MALLA Y BARRA ROSADO</t>
  </si>
  <si>
    <t>Baño Perros Con Malla y Barra Azul</t>
  </si>
  <si>
    <t>BAÑO PERRO MEDIANO (48X40CM)(X)</t>
  </si>
  <si>
    <t>BAÑO PERRO GRANDE (60X60CM )(X)</t>
  </si>
  <si>
    <t>BAÑO PARA HAMSTER</t>
  </si>
  <si>
    <t>BASTON PINCHUDO CON SONIDO WARRIOR</t>
  </si>
  <si>
    <t>V-TRAP SH NEUTRO PERRO X 20 LT</t>
  </si>
  <si>
    <t>BAÑO PARA GATOS 53*41*41 KAWAI AZUL</t>
  </si>
  <si>
    <t>BAÑO PARA GATO ARIEL LOVE CATS</t>
  </si>
  <si>
    <t>ABRIGO SHEEP ACOLCHADO 4XL AZUL ( LARGO 65- CUELLO 50- PECHO 94 )</t>
  </si>
  <si>
    <t>ABRIGO SHEEP ACOLCHADO 3XL ROJO ( LARGO 60- CUELLO 48- PECHO 84 )</t>
  </si>
  <si>
    <t>ABRIGO SHEEP ACOLCHADO 3XL CAQUI( LARGO 60- CUELLO 48- PECHO 84 )</t>
  </si>
  <si>
    <t>ABRIGO SHEEP ACOLCHADO 3XL AZUL ( LARGO 60- CUELLO 48- PECHO 84 )</t>
  </si>
  <si>
    <t>ABRIGO SHEEP ACOLCHADO 2XL ROJO ( LARGO 55- CUELLO 44- PECHO 76 )</t>
  </si>
  <si>
    <t>ABRIGO SHEEP ACOLCHADO 2XL CAQUI ( LARGO 55- CUELLO 44- PECHO 76 )</t>
  </si>
  <si>
    <t>ABRIGO SHEEP ACOLCHADO 2XL AZUL ( LARGO 55- CUELLO 44- PECHO 76 )</t>
  </si>
  <si>
    <t>ACANA FIRST FEAST CAT 1.8 KG</t>
  </si>
  <si>
    <t>VIOLET AIR LEASH ZEEDOG</t>
  </si>
  <si>
    <t>VETRIDERM SHAMPOO NEUTRO PROF. 1L</t>
  </si>
  <si>
    <t>VETRIDERM SHAMPOO HYPOALLERGENICO 1L</t>
  </si>
  <si>
    <t>VETRIDERM ACONDICIONADOR PROF. 1L</t>
  </si>
  <si>
    <t>ACANA PUPPY &amp; JUNIOR 11.35 KG PERRO</t>
  </si>
  <si>
    <t>VET'S BEST CLEAN TEETH FINGER PADS 50 PADS</t>
  </si>
  <si>
    <t>VESTIDOS XS</t>
  </si>
  <si>
    <t>VESTIDOS S-M</t>
  </si>
  <si>
    <t>VESTIDOS L - XL</t>
  </si>
  <si>
    <t>VESTIDO NAVIDAD TALLA 2 VEC</t>
  </si>
  <si>
    <t>VESTIDO NAVIDAD TALLA 1 VEC</t>
  </si>
  <si>
    <t>VESTIDO MERRY CHRISTMAS ROJO S - 26 CM</t>
  </si>
  <si>
    <t>VESTIDO MERRY CHRISTMAS ROJO M - 29 CM</t>
  </si>
  <si>
    <t>VESTIDO MERRY CHRISTMAS ROJO L - 34 CM</t>
  </si>
  <si>
    <t>VESTIDO HUASA ROJO XL (CUELLO 46CM, PECHO 52CM, LARGO 38CM)</t>
  </si>
  <si>
    <t>VESTIDO HUASA ROJO S (CUELLO 24CM, PECHO 42CM, LARGO 24CM)</t>
  </si>
  <si>
    <t>VESTIDO HUASA ROJO CON OJAL (CUELLO 26CM, PECHO 36CM, LARGO 24CM)</t>
  </si>
  <si>
    <t>VESTIDO HUASA FIESTAS PATRIAS XS (22x32x18 CM)</t>
  </si>
  <si>
    <t>VESTIDO HUASA FIESTAS PATRIAS XL (36x50x42.5CM)</t>
  </si>
  <si>
    <t>VESTIDO HUASA FIESTAS PATRIAS S (25x38x32.5 CM)</t>
  </si>
  <si>
    <t>VETLIFE CANINO HYPOALLERGENIC MINI BREED 2KG</t>
  </si>
  <si>
    <t>ACANA CLASSIC WILD COAST 9.7 KG</t>
  </si>
  <si>
    <t>ACANA CLASSIC PRAIRIE POULTRY 9 KG</t>
  </si>
  <si>
    <t>ABRIGO DE PERRO DISEÑO CAMUFLAJE (4 PATAS) TALLA L</t>
  </si>
  <si>
    <t>8 CHICKEN GNAWLERS BONE XL 1 PC/PACK 265 gr</t>
  </si>
  <si>
    <t>8 beef gnawlers bone xl 1pc/pack 265 gr</t>
  </si>
  <si>
    <t>8 bacon gnawlers bone xl 1pc/pack 265 gr</t>
  </si>
  <si>
    <t>4 CALCIUM MILK BONE</t>
  </si>
  <si>
    <t>3" CALCIUM MILK BONE MEDIUM 4 PCS</t>
  </si>
  <si>
    <t>3 VITAL FIBER WELLBAR X5PCS/85G</t>
  </si>
  <si>
    <t>3 PELOTAS DE TENIS DE 7.6CM CON SONIDO</t>
  </si>
  <si>
    <t>ABRIGO SHEEP ACOLCHADO S AZUL ( LARGO 35- CUELLO 32- PECHO 48 )</t>
  </si>
  <si>
    <t>VIRUTA ASAN PET ALOE 42L, (8.7K)</t>
  </si>
  <si>
    <t>VIRBAC D-CAT WEIGHT LOSS &amp; DIABETES 3 kgs</t>
  </si>
  <si>
    <t>ACANA PREMIO DUCK &amp; PEAR 35.5 G PERRO</t>
  </si>
  <si>
    <t>BAÑO PARA GATOS 53*41*41 KAWAI ROSADO</t>
  </si>
  <si>
    <t>ACANA PORK &amp; SQUASH 10.2 KG PERRO</t>
  </si>
  <si>
    <t>ABRIGO SHEEP ACOLCHADO L ROJO ( LARGO 45- CUELLO 38- PECHO 58 )</t>
  </si>
  <si>
    <t>ABRIGO SHEEP ACOLCHADO L CAQUI ( LARGO 45- CUELLO 38- PECHO 58 )</t>
  </si>
  <si>
    <t>ABRIGO SHEEP ACOLCHADO L AZUL ( LARGO 45- CUELLO 38- PECHO 58 )</t>
  </si>
  <si>
    <t>ABRIGO SHEEP ACOLCHADO 4XL ROJO ( LARGO 65- CUELLO 50- PECHO 94 )</t>
  </si>
  <si>
    <t>ABRIGO SHEEP ACOLCHADO 4XL CAQUI ( LARGO 65- CUELLO 50- PECHO 94 )</t>
  </si>
  <si>
    <t>BAÑO GATO ROMEO AMARILLO</t>
  </si>
  <si>
    <t>BAÑO GATO ARIEL LILA (55x36hx39 cm)</t>
  </si>
  <si>
    <t>BAÑO PARA GATOS BIGCAT ROOMCAT GRIS CLARO</t>
  </si>
  <si>
    <t>BAÑO PARA GATOS BIGCAT ROOMCAT CELESTE</t>
  </si>
  <si>
    <t>BAÑO PARA GATOS 57.5*44*44 TINY GRIS</t>
  </si>
  <si>
    <t>BAÑO PARA GATOS 57.5*44*44 TINY AZUL</t>
  </si>
  <si>
    <t>Baño Sanitario Ariel Esquinero Naranja</t>
  </si>
  <si>
    <t>Baño Sanitario Ariel Esquinero Mostaza</t>
  </si>
  <si>
    <t>Baño Sanitario Ariel Esquinero Beige</t>
  </si>
  <si>
    <t>ACANA PORK &amp; SQUASH 2 KG PERRO</t>
  </si>
  <si>
    <t>Baño Sanitario Prima Azul</t>
  </si>
  <si>
    <t>Baño Sanitario Ariel Esquinero Rosado</t>
  </si>
  <si>
    <t>BAÑO PARA GATOS MINOU S (28x42cm) CAFE</t>
  </si>
  <si>
    <t>BAÑO GATO ROMEO MOSTAZA</t>
  </si>
  <si>
    <t>BAÑO GATO ROMEO MAXI (BEIGE)</t>
  </si>
  <si>
    <t>BAÑO GATO ROMEO CALIPSO</t>
  </si>
  <si>
    <t>VENDA COHESIVA COBAN 15 CM ANCHO - AZUL</t>
  </si>
  <si>
    <t>VENDA COHESIVA COBAN 10CM ANCHO - ROJO</t>
  </si>
  <si>
    <t>VENDA COHESIVA COBAN 10CM ANCHO - BLANCO</t>
  </si>
  <si>
    <t>VENDA COHESIVA COBAN 10CM ANCHO - AZUL</t>
  </si>
  <si>
    <t>VEGETABLE SMAKER FOR RODENS AND RABBITS 1 UN</t>
  </si>
  <si>
    <t>VEGETABLE DROPS FOR RODENTS &amp; RABBIT 75g</t>
  </si>
  <si>
    <t>VASO SILICONA OUTDOOR INCLUYE CAJA Y GANCHO</t>
  </si>
  <si>
    <t>VASO DRAG PHARMA</t>
  </si>
  <si>
    <t>VESTIDO HUASA FIESTAS PATRIAS M (33x43x34CM)</t>
  </si>
  <si>
    <t>VARILLA RATON LANUDO 46CM</t>
  </si>
  <si>
    <t>Acuario 23 lts Vidrio súper claro 40*23*25*0.5cm</t>
  </si>
  <si>
    <t>Acuario 16 lts Vidrio súper claro 35*20*23*0.5cm</t>
  </si>
  <si>
    <t>ACANA CLASSIC PRAIRIE POULTRY 2K</t>
  </si>
  <si>
    <t>ACANA BOUNTIFUL CATCH CAT 4.5 KG</t>
  </si>
  <si>
    <t>ACANA BOUNTIFUL CATCH CAT 1.8 KG</t>
  </si>
  <si>
    <t>ABRILLANTADOR LAUBE WILD ANIMAL COAT POLISH 345ML</t>
  </si>
  <si>
    <t>ABRIGO SHEEP ACOLCHADO XS ROJO ( LARGO 30- CUELLO 29- PECHO 43 )</t>
  </si>
  <si>
    <t>ABRIGO SHEEP ACOLCHADO XS CAQUI ( LARGO 30- CUELLO 29- PECHO 43 )</t>
  </si>
  <si>
    <t>ABRIGO SHEEP ACOLCHADO XS AZUL ( LARGO 30- CUELLO 29- PECHO 43 )</t>
  </si>
  <si>
    <t>ABRIGO SHEEP ACOLCHADO XL ROJO ( LARGO 50- CUELLO 40- PECHO 62 )</t>
  </si>
  <si>
    <t>ABRIGO SHEEP ACOLCHADO XL CAQUI ( LARGO 50- CUELLO 40- PECHO 62 )</t>
  </si>
  <si>
    <t>ABRIGO SHEEP ACOLCHADO XL AZUL ( LARGO 50- CUELLO 40- PECHO 62 )</t>
  </si>
  <si>
    <t>ABRIGO SHEEP ACOLCHADO S ROJO ( LARGO 35- CUELLO 32- PECHO 48 )</t>
  </si>
  <si>
    <t>ABRIGO SHEEP ACOLCHADO S CAQUI ( LARGO 35- CUELLO 32- PECHO 48 )</t>
  </si>
  <si>
    <t>Varilla variedades</t>
  </si>
  <si>
    <t>VESTIDO HUASA FIESTAS PATRIAS L (34x47x37CM)</t>
  </si>
  <si>
    <t>VESTIDO HUASA BLANCO XS (CUELLO 20CM, PECHO 33CM, LARGO 21CM)</t>
  </si>
  <si>
    <t>VESTIDO HUASA BLANCO M (CUELLO 33CM, PECHO 47CM, LARGO 32CM)</t>
  </si>
  <si>
    <t>VESTIDO HUASA AZUL XS (CUELLO 20CM, PECHO 33CM, LARGO 21CM)</t>
  </si>
  <si>
    <t>VESTIDO HUASA AZUL S (CUELLO 24CM, PECHO 42CM, LARGO 24CM)</t>
  </si>
  <si>
    <t>VESTIDO HUASA AZUL M (CUELLO 33CM, PECHO 47CM, LARGO 32CM)</t>
  </si>
  <si>
    <t>VESTIDO HUASA AZUL L (CUELLO 42CM, PECHO 50CM, LARGO 34CM)</t>
  </si>
  <si>
    <t>VESTIDO HUASA AZUL CON OJAL (CUELLO 26CM, PECHO 36CM, LARGO 24CM)</t>
  </si>
  <si>
    <t>VESTIDO CON MEZCLILLA ESTILO PRINCESA TALLA XS</t>
  </si>
  <si>
    <t>VESTIDO CON MEZCLILLA ESTILO PRINCESA TALLA XL</t>
  </si>
  <si>
    <t>VESTIDO CON MEZCLILLA ESTILO PRINCESA TALLA S</t>
  </si>
  <si>
    <t>VESTIDO CON MEZCLILLA ESTILO PRINCESA TALLA M</t>
  </si>
  <si>
    <t>VESTIDO CON MEZCLILLA ESTILO PRINCESA TALLA L</t>
  </si>
  <si>
    <t>VESTIDO CAMPANA CON BORDE TALLA XL</t>
  </si>
  <si>
    <t>Baño Sanitario Prima Negro</t>
  </si>
  <si>
    <t>VESTIDO CAMPANA CON BORDE TALLA L</t>
  </si>
  <si>
    <t>VESTIDO CAMPANA CON BORDE TALLA</t>
  </si>
  <si>
    <t>VERMIC 1 COMP</t>
  </si>
  <si>
    <t>VERAFLOX FLAV TAB 60 MG 1X7</t>
  </si>
  <si>
    <t>VERAFLOX FLAV TAB 15 MG 1X7</t>
  </si>
  <si>
    <t>VENDA COHESIVA COBAN 7.5 CM ANCHO - ROJO</t>
  </si>
  <si>
    <t>VENDA COHESIVA COBAN 7.5 CM ANCHO - BLANCO</t>
  </si>
  <si>
    <t>VENDA COHESIVA COBAN 7.5 CM ANCHO - AZUL</t>
  </si>
  <si>
    <t>VENDA COHESIVA COBAN 5 CM ANCHO - ROJO</t>
  </si>
  <si>
    <t>VENDA COHESIVA COBAN 5 CM ANCHO - BLANCO</t>
  </si>
  <si>
    <t>VENDA COHESIVA COBAN 15 CM ANCHO - BLANCO</t>
  </si>
  <si>
    <t>BAÑO PARA GATOS BIGCAT ROOMCAT VERDE AGUA</t>
  </si>
  <si>
    <t>BAÑO PARA GATOS BIGCAT ROOMCAT ROSADO MIX</t>
  </si>
  <si>
    <t>Baño Sanitario Prima Rojo</t>
  </si>
  <si>
    <t>VESTIDO CAMPANA CON BORDE TALLA M</t>
  </si>
  <si>
    <t>RASTRILLO MANGO MORADO</t>
  </si>
  <si>
    <t>RASTRILLO</t>
  </si>
  <si>
    <t>Rastop Pellet X 50 GR</t>
  </si>
  <si>
    <t>RASQUETA PEQUEÑA CON PEINE</t>
  </si>
  <si>
    <t>Rascador torre 44x27x290 cm BEIGE</t>
  </si>
  <si>
    <t>RASCADOR TORRE (65*40*210CM) NEGRO</t>
  </si>
  <si>
    <t>RASCADOR TORRE (60*58*100CM) CAFE Y BLANCO</t>
  </si>
  <si>
    <t>RASCADOR TORRE (60*40*84CM) GRIS</t>
  </si>
  <si>
    <t>RASQUETA MEDIANA MORADO 16.5*8.5 CM</t>
  </si>
  <si>
    <t>RASQUETA MEDIANA CON PEINE</t>
  </si>
  <si>
    <t>RASQUETA MEDIANA</t>
  </si>
  <si>
    <t>RASQUETA GRANDE XL</t>
  </si>
  <si>
    <t>RASQUETA GRANDE MORADO 17*11.5 CM</t>
  </si>
  <si>
    <t>RASQUETA GRANDE CON PEINE</t>
  </si>
  <si>
    <t>ACUARIO NEGRO 58x32x47</t>
  </si>
  <si>
    <t>RASHIES M - EZYDOG</t>
  </si>
  <si>
    <t>RASHIES L - EZYDOG</t>
  </si>
  <si>
    <t>RASCADOR TABLA PISO</t>
  </si>
  <si>
    <t>RASCADOR TABLA</t>
  </si>
  <si>
    <t>RASCADOR SUPER DIVERSION (190X50X230-260 CM)</t>
  </si>
  <si>
    <t>RASCADOR TORRE MICHI</t>
  </si>
  <si>
    <t>RASCADOR TORRE KF8055 COLOR GRIS</t>
  </si>
  <si>
    <t>RASCADOR TORRE KF8043 (CAFE)</t>
  </si>
  <si>
    <t>RASCADOR TORRE KF8043 (AZUL)</t>
  </si>
  <si>
    <t>RASCADOR TORRE KF8043</t>
  </si>
  <si>
    <t>Rascador Torre Estilo Tambor Vinotinto</t>
  </si>
  <si>
    <t>Rascador Torre Estilo Tambor Cafe</t>
  </si>
  <si>
    <t>RASCADOR TORRE CAT</t>
  </si>
  <si>
    <t>Rascador torre 44x27x290 cm CAFE</t>
  </si>
  <si>
    <t>RASHIES S - EZYDOG</t>
  </si>
  <si>
    <t>RENAL FELINE 1.5 KG ROYAL CANIN</t>
  </si>
  <si>
    <t>RENAL E FELINO 145 G</t>
  </si>
  <si>
    <t>RASQUETA PEQUEÑA</t>
  </si>
  <si>
    <t>RASQUETA OVAL(18.5*13.5 CM)</t>
  </si>
  <si>
    <t>RASQUETA OVAL(16.5*9.4 CM)</t>
  </si>
  <si>
    <t>REDONDOG</t>
  </si>
  <si>
    <t>RED 8 PULGADAS</t>
  </si>
  <si>
    <t>RED 7 PULGADAS</t>
  </si>
  <si>
    <t>RED 6 PULGADAS</t>
  </si>
  <si>
    <t>RED 5 PULGADAS</t>
  </si>
  <si>
    <t>BIOLINE SHAMPOO SECO</t>
  </si>
  <si>
    <t>BIOLINE PERFUME PARA MASCOTAS - PINK LOVE 9 ML</t>
  </si>
  <si>
    <t>BAÑO GATO ROMEO ROSADO</t>
  </si>
  <si>
    <t>BAÑO GATO ROMEO NARANJA</t>
  </si>
  <si>
    <t>RATONCITOS REDONDOS (1 UNIDAD)</t>
  </si>
  <si>
    <t>BANDEJA ARENAS TRIANGULAR 55X43X17CM</t>
  </si>
  <si>
    <t>BANDANAS PARA MASCOTAS</t>
  </si>
  <si>
    <t>BANDANAS CON DISEÑOS S VERDE CON HOJAS</t>
  </si>
  <si>
    <t>BANDANAS CON DISEÑOS S AZULES</t>
  </si>
  <si>
    <t>BANDANAS CON DISEÑOS M VERDE CON HOJAS</t>
  </si>
  <si>
    <t>RED 4 PULGADAS</t>
  </si>
  <si>
    <t>RED 3 PULGADAS</t>
  </si>
  <si>
    <t>RED 12 PULGADAS</t>
  </si>
  <si>
    <t>RED 10 PULGADAS</t>
  </si>
  <si>
    <t>RECOVERY 145 G</t>
  </si>
  <si>
    <t>RASCADOR VACA 51*16.5*18CM</t>
  </si>
  <si>
    <t>RASCADOR TORRE PARA GATOS (45X45X150CM) BEIGE</t>
  </si>
  <si>
    <t>REBANADAS DE POLLO 100 GRS TASTY FARM</t>
  </si>
  <si>
    <t>REBAJADOR DE UÑAS MASCOTAS</t>
  </si>
  <si>
    <t>RAYFILTER FPS 50 SPRAY 100 ML</t>
  </si>
  <si>
    <t>BANDEJA SANITARIA BAÑO PIN UP BEIGE (59X38X27)</t>
  </si>
  <si>
    <t>BIOLINE COLONIA DESODORANTE LOVE LETTER PARA PERROS Y GATOS</t>
  </si>
  <si>
    <t>BIO TRIX 100 ML</t>
  </si>
  <si>
    <t>BLISS H-HARNESS SMALL ZEEDOG</t>
  </si>
  <si>
    <t>BLACK SOLDIER FLY 50 GRS</t>
  </si>
  <si>
    <t>BLACK BOWL LARGE</t>
  </si>
  <si>
    <t>BISCUITS VAINILLA 210 GR LOLOPETS</t>
  </si>
  <si>
    <t>ADULTO GATOS ESTERILIZADO 7.5 ROYAL CANIN</t>
  </si>
  <si>
    <t>AGILITY PERRO ADULTO TALLA PEQUEÑA 15K</t>
  </si>
  <si>
    <t>AGILITY PERRO ADULTO TALLA MEDIANA Y GRANDE 15K</t>
  </si>
  <si>
    <t>AGILITY PERRO ADULTO MEDIANO Y GRANDE 3K</t>
  </si>
  <si>
    <t>RASCADOR PARA GATOS EN FORMA DE HONGO (38*38*28 - 38*18*30)</t>
  </si>
  <si>
    <t>RASCADOR ESQUINERO 120 CM AZUL-GRIS</t>
  </si>
  <si>
    <t>RASCADOR EN FORMA DE MUEBLE</t>
  </si>
  <si>
    <t>RASCADOR EN FORMA DE GATO</t>
  </si>
  <si>
    <t>rascador para gatos azul</t>
  </si>
  <si>
    <t>RASCADOR PARA ESQUINAS MUBLES</t>
  </si>
  <si>
    <t>RASCADOR OSO PANDA</t>
  </si>
  <si>
    <t>RASCADOR OSO 51*16.5*18CM</t>
  </si>
  <si>
    <t>RASCADOR ORGANICO CERRADO CON PELOTA PARA GATOS (7X11X11 CM)</t>
  </si>
  <si>
    <t>RASCADOR INTERACTIVO PARA GATOS CON PALANCA DE JUEGO</t>
  </si>
  <si>
    <t>RASCADOR HAMACA 141 CMS</t>
  </si>
  <si>
    <t>RASCADOR GATOS FELPA AZUL MARINO</t>
  </si>
  <si>
    <t>RASCADOR GATOS CAT001 DISEÑO LEOPARDO 50*35*140</t>
  </si>
  <si>
    <t>Rascador con Raton Colgante Rojo</t>
  </si>
  <si>
    <t>Rascador con Raton Colgante Gris base</t>
  </si>
  <si>
    <t>Rascador con Raton Colgante Cafe base</t>
  </si>
  <si>
    <t>RASCADOR FORMA ZANAHORIA CON BASE PARA GATOS (25X25X29)</t>
  </si>
  <si>
    <t>RASCADOR FORMA SOFA LUJOSO PARA GATOS (57X23X27 CM)</t>
  </si>
  <si>
    <t>RASCADOR FORMA PANDA 51*16.5*18CM</t>
  </si>
  <si>
    <t>RASCADOR FORMA ELEFANTE PEQUEÑO PARA GATOS (41X23X11 CM)</t>
  </si>
  <si>
    <t>RASCADOR PARA ESQUINAS MUBLES GRIS</t>
  </si>
  <si>
    <t>RASCADOR PARA GATOS 1.1 MTS</t>
  </si>
  <si>
    <t>RASCADOR PARA GATOS</t>
  </si>
  <si>
    <t>RASCADOR TORRE (60*38*68CM) BEIGE</t>
  </si>
  <si>
    <t>RASCADOR TORRE (50X50X170) ROJO</t>
  </si>
  <si>
    <t>RASCADOR TORRE (40X40X110 CM) ROJO</t>
  </si>
  <si>
    <t>RASCADOR TORRE (40X40X110 CM) BEIGE Y CAFE</t>
  </si>
  <si>
    <t>RASCADOR TORRE (40*40*117CM) GRIS</t>
  </si>
  <si>
    <t>RASCADOR TORRE (39*39*129CM) BEIGE</t>
  </si>
  <si>
    <t>RASCADOR TORRE (35*35*45CM) BEIGE</t>
  </si>
  <si>
    <t>RASCADOR TORRE (30X30X47 CM) GRIS</t>
  </si>
  <si>
    <t>RASCADOR TORRE (30X30X47 CM) BEIGE</t>
  </si>
  <si>
    <t>RASCADOR TORRE (40x40x110) CAFE Y ROJO</t>
  </si>
  <si>
    <t>RASCADOR TORRE (40x40x110) BEIGE Y ROJO</t>
  </si>
  <si>
    <t>RASCADOR TIPO ARBOL BEIGE 50*35*140CM</t>
  </si>
  <si>
    <t>BIOLINE PERFUME DESODORIZANTE BABY POWDER 118 ML</t>
  </si>
  <si>
    <t>RASCADOR GATOS CAT001 COLOR GRIS</t>
  </si>
  <si>
    <t>RASCADOR SISAL CON FIGURAS</t>
  </si>
  <si>
    <t>RASCADOR SIMPLE CON JUGUETE COLOR BEIGE</t>
  </si>
  <si>
    <t>RASCADOR SIMPLE (30X30X47 CM)</t>
  </si>
  <si>
    <t>RASCADOR SILLON DISEÑO</t>
  </si>
  <si>
    <t>RASCADOR PETHOME XL 120 X 60 X 240-270</t>
  </si>
  <si>
    <t>RASCADOR PETHOME HAMACA 66 X 48 X 157</t>
  </si>
  <si>
    <t>alcohol gel 340ml hydrosept</t>
  </si>
  <si>
    <t>ALCOHOL DIFEM 95 DESN X 1 LT</t>
  </si>
  <si>
    <t>ALCOHOL 95% 1 LT</t>
  </si>
  <si>
    <t>BODY COBRE PERRO/GATO 3.5-4.5KG T-2 KIMBA</t>
  </si>
  <si>
    <t>BODY COBRE PERRO/GATO 21-25KG T-9 KIMBA</t>
  </si>
  <si>
    <t>BODY COBRE PERRO/GATO 2.5-3.5KG T-1 KIMBA</t>
  </si>
  <si>
    <t>BODY COBRE PERRO/GATO 17-21KG T-8 KIMBA</t>
  </si>
  <si>
    <t>BIOLINE PERFUME DESODORIZANTE PEACH BLOSSOM 118 ML</t>
  </si>
  <si>
    <t>RASCADOR GATOS CAT001 COLOR ROJO</t>
  </si>
  <si>
    <t>RUEDA HAMSTER C/RODAMIENDO GRANDE</t>
  </si>
  <si>
    <t>RUEDA HAMSTER ANTIDESLIZANTE XL</t>
  </si>
  <si>
    <t>RUEDA HAMSTER ANTIDESLIZANTE S</t>
  </si>
  <si>
    <t>RUEDA HAMSTER ANTIDESLIZANTE M</t>
  </si>
  <si>
    <t>SABANILLA CARBON 60X60 10 UNI</t>
  </si>
  <si>
    <t>S6 NUTRAM SOUND ADULT DOG CANNED 369 GR</t>
  </si>
  <si>
    <t>S2 NUTRAM SOUND PUPPY CANNED 369 GR</t>
  </si>
  <si>
    <t>S1 NUTRAM KITTEN CANNED 156 GR</t>
  </si>
  <si>
    <t>RUSSLE TUNEL 6 METROS</t>
  </si>
  <si>
    <t>RUSSLE TUNEL 35 CM X 12 CM</t>
  </si>
  <si>
    <t>RUSSLE TUNEL 35 CM (12 X 35 CM)</t>
  </si>
  <si>
    <t>RUGBY</t>
  </si>
  <si>
    <t>RUEDA SILENCIOSA 25 CM</t>
  </si>
  <si>
    <t>RUBBER DISPENSADOR DE SNACK 11 CM</t>
  </si>
  <si>
    <t>RENAL GATOS 2 KG ROYAL CANIN</t>
  </si>
  <si>
    <t>ROYAL CANIN SATIETY CANINO 1.5 KG</t>
  </si>
  <si>
    <t>Royal Canin Renal 10 kg DOG</t>
  </si>
  <si>
    <t>RUEDA PEDESTAL 27 CM</t>
  </si>
  <si>
    <t>RUEDA HAMSTER ENANO 15 CM S/PEDESTAL</t>
  </si>
  <si>
    <t>RUEDA HAMSTER ENANO 15 CM PEDESTAL AMARILLA</t>
  </si>
  <si>
    <t>ROLLO MANGUERA DE SILICONA 100</t>
  </si>
  <si>
    <t>RODILLO ALIMENTADOR LENTO 25x31x21 GRIS VERDE</t>
  </si>
  <si>
    <t>RODILLO ALIMENTADOR LENTO 25x31x21 GRIS ROSADO</t>
  </si>
  <si>
    <t>RUEDA HAMSTER ANTIDESLIZANTE L</t>
  </si>
  <si>
    <t>RUEDA HAMSTER 19 CM C/PEDESTAL ROSADO</t>
  </si>
  <si>
    <t>RUEDA HAMSTER 19 CM C/PEDESTAL AZUL</t>
  </si>
  <si>
    <t>RUEDA HAMSTER 19 CM C/PEDESTAL AMARILLA</t>
  </si>
  <si>
    <t>RUEDA HAMSTER 19 CM C/PEDESTAL</t>
  </si>
  <si>
    <t>RUEDA ERIZO 30 CM CON RODAMIENTO sistema silencioso</t>
  </si>
  <si>
    <t>RUBBER CON CUERDA (10*30)</t>
  </si>
  <si>
    <t>ADULTO GATOS ESTERILIZADO 1.5 ROYAL CANIN</t>
  </si>
  <si>
    <t>ADULT STERILISED 4 KG</t>
  </si>
  <si>
    <t>SCHNAUZER MINI ADULT 2.5 KG</t>
  </si>
  <si>
    <t>scalp vein mariposa nipro 23g x 3/4</t>
  </si>
  <si>
    <t>scalp vein mariposa nipro 21g x 3/4</t>
  </si>
  <si>
    <t>SABANILLA LABABLE S</t>
  </si>
  <si>
    <t>SABANILLA LABABLE M</t>
  </si>
  <si>
    <t>SABANILLA LABABLE L</t>
  </si>
  <si>
    <t>SABANILLA CARBON 60X60 50UN</t>
  </si>
  <si>
    <t>SAZONADOR SPRINKLES PARA PERRO 100% CERDO (60GR)</t>
  </si>
  <si>
    <t>SATIETY SUPPORT CANINE 10.1 KG</t>
  </si>
  <si>
    <t>SATIETY FELINE POUCH 85G</t>
  </si>
  <si>
    <t>SATIETY FELINE 1.5 KG ROYAL CANIN</t>
  </si>
  <si>
    <t>Satiety Canino 7.5 kg</t>
  </si>
  <si>
    <t>SABANILLAS EMILY PET PADS 20 UNID</t>
  </si>
  <si>
    <t>SANITAL WITH ALOE 500ml</t>
  </si>
  <si>
    <t>SANITAL WITH ALOE 100 ML / 120 GR</t>
  </si>
  <si>
    <t>SAME LEASH XS</t>
  </si>
  <si>
    <t>SAME LEASH S</t>
  </si>
  <si>
    <t>SAME LEASH L</t>
  </si>
  <si>
    <t>RUEDA ROEDORES 17.5 CMS</t>
  </si>
  <si>
    <t>RUEDA PEDESTAL CON TAPA ERIZOS 27 CM ROSADA</t>
  </si>
  <si>
    <t>RUEDA PEDESTAL CON TAPA ERIZOS 27 CM AZUL</t>
  </si>
  <si>
    <t>RUEDA PEDESTAL CON TAPA ERIZOS</t>
  </si>
  <si>
    <t>SAK 2 BOLSAS PARA ARENERO 49X32CM MARCHIORO</t>
  </si>
  <si>
    <t>SAK 1 BOLSAS PARA ARENERO 42X28CM MARCHIORO</t>
  </si>
  <si>
    <t>SAFIL 2/0 HR25 X 70 CM AT</t>
  </si>
  <si>
    <t>SAFIL 1 HR40 X 70 CM AT</t>
  </si>
  <si>
    <t>SAFIL 0 HR25 X 70CM AT</t>
  </si>
  <si>
    <t>SABANILLAS EMILY PET PADS 40 UNID</t>
  </si>
  <si>
    <t>SAPECA CACHORRO 20 KG</t>
  </si>
  <si>
    <t>riñon</t>
  </si>
  <si>
    <t>AGILITY LATA PERRO CACHORRO CON CARNE DE VACUNO 340 GR</t>
  </si>
  <si>
    <t>AGILITY LATA PERRO ADULTO CARNE VACUNO 340GR</t>
  </si>
  <si>
    <t>ADORNO VOLCAN 16x12.5x9.5 cm</t>
  </si>
  <si>
    <t>ADORNO TRONCOS CON RAICES</t>
  </si>
  <si>
    <t>ADORNO TRONCO EN BASE DE PIEDRA</t>
  </si>
  <si>
    <t>ADORNO TRONCO CON PLANTAS ESPIRAL 22*12CM</t>
  </si>
  <si>
    <t>ADORNO TRONCO CON PLANTAS B</t>
  </si>
  <si>
    <t>ADORNO TRONCO CON PLANTAS 24*14CM</t>
  </si>
  <si>
    <t>Agility gatito KITTEN 10 KG</t>
  </si>
  <si>
    <t>AGILITY GATITO KITTEN 1.5 K</t>
  </si>
  <si>
    <t>AGILITY ADULT DOG ALL BREED CORDERO 1.5K</t>
  </si>
  <si>
    <t>ringer lactato x 500 ml plat (caja x 20 unid)</t>
  </si>
  <si>
    <t>Rueda Caucho (9.5 cm - 103 g)</t>
  </si>
  <si>
    <t>RIMADYL 100MG 60 COMP</t>
  </si>
  <si>
    <t>RENAL CHICKEN CAT POUCH 85 G</t>
  </si>
  <si>
    <t>RENAL CANINE 2K ROYAL CANIN</t>
  </si>
  <si>
    <t>RENAL CANINE 1.5 KG ROYAL CANIN</t>
  </si>
  <si>
    <t>REVOLUTION 6% 2.5 - 7.5 KG GATOS</t>
  </si>
  <si>
    <t>resucitador</t>
  </si>
  <si>
    <t>RESBALIN HAMSTER</t>
  </si>
  <si>
    <t>repuesto mf888</t>
  </si>
  <si>
    <t>RECIPIENTE RESINA IMITACION TRONCO</t>
  </si>
  <si>
    <t>RECIPIENTE DISEÑO HOJA</t>
  </si>
  <si>
    <t>REPELENTE PERROS: CHEW STOP 120 ML</t>
  </si>
  <si>
    <t>REPELENTE OUTDOOR BEHAVIOR CON ATOMIZADOR 400ML - BEAPHAR</t>
  </si>
  <si>
    <t>REPELENTE NAT. POLVO ANTIPIOJILLOS 250 GR</t>
  </si>
  <si>
    <t>REPELENTE MASCOTA SPRAY 440 CC TRAPER</t>
  </si>
  <si>
    <t>REPELENTE MANUAL DE PERROS ULTRASONICO 150 DB</t>
  </si>
  <si>
    <t>RIMADYL 25 MG X 14 COM</t>
  </si>
  <si>
    <t>BANDANAS CON DISEÑOS M ROSADO CON SANDIA</t>
  </si>
  <si>
    <t>Baño de gato doble puerta Rosado</t>
  </si>
  <si>
    <t>Baño de gato doble puerta Gris</t>
  </si>
  <si>
    <t>BIOLINE PERFUME PARA MASCOTAS - GREEN MOOD 9 ML</t>
  </si>
  <si>
    <t>BIOLINE PERFUME PARA MASCOTAS - GOLDEN MEMORY 9 ML</t>
  </si>
  <si>
    <t>BIOLINE PERFUME PARA MASCOTAS - BABY POWDER 9 ML</t>
  </si>
  <si>
    <t>BILJAC LITTLE JACS TREATS 453 GR</t>
  </si>
  <si>
    <t>BILJAC GOOBERLICIOUS 113 GRS PREMIO</t>
  </si>
  <si>
    <t>BILJAC ADULT SELECT 2.7 KG</t>
  </si>
  <si>
    <t>BILJAC ADULT LARGE BREED 13.6 KG</t>
  </si>
  <si>
    <t>BIO ACUARIO CILINDRICO LUZ LED ADA 11 LITROS</t>
  </si>
  <si>
    <t>RUEDA CAMINADORA GATO (RK38)</t>
  </si>
  <si>
    <t>RUBBER LIMPIA DIENTES</t>
  </si>
  <si>
    <t>Royal Canin Pug Junior 2.5 kg</t>
  </si>
  <si>
    <t>ROADRUNNER ZEROSHOCK NEGROS - EZYDOG</t>
  </si>
  <si>
    <t>ROYAL CANIN HEPATIC DOG WET 200 G</t>
  </si>
  <si>
    <t>ROYAL CANIN DIGESTIVE CARE 1.5 KG</t>
  </si>
  <si>
    <t>ROYAL CANIN DIABETIC WET CANINE 195 G</t>
  </si>
  <si>
    <t>Royal Canin Cardiac Dog 2 kg</t>
  </si>
  <si>
    <t>ROYAL CANIN ACTIVE +7 1.5 KG</t>
  </si>
  <si>
    <t>ROSTRUM 50MG X 10COMP</t>
  </si>
  <si>
    <t>REPUESTO FILTRO FUENTE MODELO RD001A</t>
  </si>
  <si>
    <t>REPUESTO BOLSAS RECOJE FECAS 4 UNIDADES</t>
  </si>
  <si>
    <t>REPTILES HERBIVORE SOFT 250 ML/ 65G</t>
  </si>
  <si>
    <t>RODILLO ALIMENTADOR LENTO 25x31x21 GRIS CELESTE</t>
  </si>
  <si>
    <t>Rociador Atomizador Pulverizador Tipo Profesional 1 Lt</t>
  </si>
  <si>
    <t>rociador 500 cc dll</t>
  </si>
  <si>
    <t>Roca volcánica 500 g (con malla)</t>
  </si>
  <si>
    <t>ROCA CALEFACTORA (8W)</t>
  </si>
  <si>
    <t>ROADRUNNER ZEROSHOCK ROJO - EZYDOG</t>
  </si>
  <si>
    <t>Royal Canin Pug Adulto 2.5 kg</t>
  </si>
  <si>
    <t>ALFOMBRA OLFATIVA RECTANGULAR 42''52 ROSADA</t>
  </si>
  <si>
    <t>ALFOMBRA OLFATIVA RECTANGULAR 42''52 AZUL</t>
  </si>
  <si>
    <t>ALFOMBRA OLFATIVA PARA PERROS 45CM</t>
  </si>
  <si>
    <t>ALGODON PRENSADO</t>
  </si>
  <si>
    <t>ALGODON PRENS LASTRADE X 1000 GR</t>
  </si>
  <si>
    <t>algodon premium prensado 1k</t>
  </si>
  <si>
    <t>PREMIUM SMAKERS FOR HAMSTER</t>
  </si>
  <si>
    <t>PREMIUM SMAKERS FOR GUINEA PIG</t>
  </si>
  <si>
    <t>PREMIUM SMAKERS FOR FERRET</t>
  </si>
  <si>
    <t>POUCH MINI ADULT 85 GR ROYAL CANIN</t>
  </si>
  <si>
    <t>POUCH MEDIUM PUPPY 140 GR ROYAL CANIN</t>
  </si>
  <si>
    <t>POUCH MEDIUM ADULT 140 GR ROYAL CANIN</t>
  </si>
  <si>
    <t>POUCH MAXI PUPPY 140 GR ROYAL CANIN</t>
  </si>
  <si>
    <t>PREMIUM SMAKERS FOR BUDGIE</t>
  </si>
  <si>
    <t>RASCADOR FORMA DE CERDITO 51*16.5*18CM</t>
  </si>
  <si>
    <t>PORTALAMPARAS DE PIE</t>
  </si>
  <si>
    <t>PORTALAMPÀRAS ACAMPANADO CON CLIP</t>
  </si>
  <si>
    <t>predatorz triceratops</t>
  </si>
  <si>
    <t>predatorz shark</t>
  </si>
  <si>
    <t>predatorz dino</t>
  </si>
  <si>
    <t>POWER PLUS SPRAY 100 ML</t>
  </si>
  <si>
    <t>povidona yodada 1l</t>
  </si>
  <si>
    <t>AMINOMIX 120 CAP</t>
  </si>
  <si>
    <t>ALOE VERA SHAMPOO 5 LITROS</t>
  </si>
  <si>
    <t>ALGAE TABLETS B 50 ML 36 GR</t>
  </si>
  <si>
    <t>ALMOHADILLA GRUESA PARA PLATOS 48*30 CM</t>
  </si>
  <si>
    <t>ALMOHADILLA GRUESA PARA PLATOS 48*30cm.</t>
  </si>
  <si>
    <t>POUCH YORKSHIRE 85 GRS</t>
  </si>
  <si>
    <t>PREMIO ROLLITOS RAZAS PEQ X6 UN 60 GR</t>
  </si>
  <si>
    <t>agua oxigenada 1 l /10v</t>
  </si>
  <si>
    <t>AGUA DESTILADA ESTERIL VIAL 1LT</t>
  </si>
  <si>
    <t>AGILITY PERRO CACHORRO ALL BREED 3 KG</t>
  </si>
  <si>
    <t>AGILITY PERRO CACHORRO ALL BREED 15K</t>
  </si>
  <si>
    <t>AGILITY PERRO ADULTO TALLA PEQUEÑA 3K</t>
  </si>
  <si>
    <t>ALFOMBRILLA CON HUELLAS PEQUEÑAS VERDE</t>
  </si>
  <si>
    <t>PROPAC UL SAVANNA PRIDE CHICKEN &amp; P 6 KG</t>
  </si>
  <si>
    <t>PREMIUM SMAKERS FOR DWARF HAMSTER</t>
  </si>
  <si>
    <t>PREMIUM SMAKERS FOR COCKATIEL</t>
  </si>
  <si>
    <t>PREMIUM SMAKERS FOR CHINCHILLA</t>
  </si>
  <si>
    <t>PREMIUM SMAKERS FOR CANARY</t>
  </si>
  <si>
    <t>ProductoPruebaBsale-Beetrack</t>
  </si>
  <si>
    <t>PROBIOTICOS ACTIVADOS DE ALTA ENERGIA BIOLINE</t>
  </si>
  <si>
    <t>PRISMA LEASH SMALL ZEEDOG</t>
  </si>
  <si>
    <t>ALFOMBRA PARA GATOS DOBLE CAPA AZUL</t>
  </si>
  <si>
    <t>PRISMA LEASH EXTRA SMALL ZEEDOG</t>
  </si>
  <si>
    <t>PRISMA HARNESS + LEASH SET ZEECAT</t>
  </si>
  <si>
    <t>PRISMA H-HARNESS LARGE ZEEDOG</t>
  </si>
  <si>
    <t>PRISMA COLLAR ZEECAT</t>
  </si>
  <si>
    <t>PRISMA COLLAR SMALL ZEEDOG</t>
  </si>
  <si>
    <t>PRISMA COLLAR MEDIUM ZEEDOG</t>
  </si>
  <si>
    <t>MAHLEB LEASH XS</t>
  </si>
  <si>
    <t>PRISMA AIR MESH PLUS HARNESS EXTRA SMALL ZEEDOG</t>
  </si>
  <si>
    <t>PRISMA ADJ. AIR MESH HARNESS SMALL ZEEDOG</t>
  </si>
  <si>
    <t>PRISMA ADJ. AIR MESH HARNESS MEDIUM ZEEDOG</t>
  </si>
  <si>
    <t>PRISMA ADJ. AIR MESH HARNESS EXTRA SMALL ZEEDOG</t>
  </si>
  <si>
    <t>PREMIUM SMAKERS FOR RABBIT</t>
  </si>
  <si>
    <t>ALIMENTO PARA RATAS Y RATONES EXCELLENT 500 GRS</t>
  </si>
  <si>
    <t>ALIMENTO PARA CHINCHILLAS EXCELLENT</t>
  </si>
  <si>
    <t>ALFOMBRA PARA GATOS DOBLE CAPA NARANJO</t>
  </si>
  <si>
    <t>PRISMA LEASH LARGE ZEEDOG</t>
  </si>
  <si>
    <t>POLERA ZAGREB M</t>
  </si>
  <si>
    <t>POLLO CHILLON CON LENTES</t>
  </si>
  <si>
    <t>POLKA COLLAR SMALL ZEEDOG</t>
  </si>
  <si>
    <t>POLERON POLAR BICOLOR XXL ROSADO MORADO</t>
  </si>
  <si>
    <t>POLERON POLAR BICOLOR S AZUL BEIGE</t>
  </si>
  <si>
    <t>POLERON POLAR BICOLOR L AZUL BEIGE</t>
  </si>
  <si>
    <t>POLERON POLAR BICOLOR 3XL ROSADO MORADO</t>
  </si>
  <si>
    <t>POLERON MASCOTA HALLOWEEN</t>
  </si>
  <si>
    <t>AMPOLLETA DE CERAMICA 100W</t>
  </si>
  <si>
    <t>AMPOLLETA DE CALENTAMIENTO POR INFRARROJO 50W</t>
  </si>
  <si>
    <t>AMPOLLETA DE CALENTAMIENTO POR INFRARROJO 100W</t>
  </si>
  <si>
    <t>Alimento HPM Virbac Cat Baby Pre Neutered 1.5kg</t>
  </si>
  <si>
    <t>ALIMENTO HAMSTER Y ROEDORES EXCELLENT</t>
  </si>
  <si>
    <t>ALIMENTO COMPLETO PARA CONEJOS EXCELLENT 500 GRS</t>
  </si>
  <si>
    <t>POUCH POODLE 85 GRS ROYAL CANIN</t>
  </si>
  <si>
    <t>ALIMENTADOR INTELIGENTE PARA MASCOTAS 6 LT</t>
  </si>
  <si>
    <t>ALIMENTADOR INTELIGENTE PARA MASCOTAS 4 LT</t>
  </si>
  <si>
    <t>ALIMENTADOR AUTOMATICO DOPHIN PANTALLA LCD</t>
  </si>
  <si>
    <t>AMITY CHICKEN AND RABBIT ADULT CAT WET FOOD 80GR LATA</t>
  </si>
  <si>
    <t>AMITY CHICKEN AND PEAS ADULT CAT WET FOOD 80GR LATA</t>
  </si>
  <si>
    <t>AMITY CHICKEN AND DUCK ADULT CAT WET FOOD 80GR LATA</t>
  </si>
  <si>
    <t>Polerón Dogbaby XXL</t>
  </si>
  <si>
    <t>Polerón Dogbaby XL</t>
  </si>
  <si>
    <t>Polerón Dogbaby S</t>
  </si>
  <si>
    <t>POLERON C/ CAPUCHA SPORT XL GRIS (LARGO 50-CUELLO 40-PECHO 62)</t>
  </si>
  <si>
    <t>POLERON C/ CAPUCHA SPORT XL BEIGE (LARGO 50-CUELLO 40-PECHO 62)</t>
  </si>
  <si>
    <t>BOLA GIRATORIA DE MATATABI AZUL</t>
  </si>
  <si>
    <t>BOLA GIRATORIA DE MATATABI</t>
  </si>
  <si>
    <t>BOLA GIRATORIA DE CATNIP BLANCO</t>
  </si>
  <si>
    <t>BOLA GIRATORIA DE CATNIP AZUL</t>
  </si>
  <si>
    <t>ALIMENTADOR PARA BOTELLA PARA AVES 1995</t>
  </si>
  <si>
    <t>POUCH MINI PUPPY 85 GR ROYAL CANIN</t>
  </si>
  <si>
    <t>POLLO CHILLON NAUGHTY DUCK (32 CM)</t>
  </si>
  <si>
    <t>POLLO CHILLON M 32 CM</t>
  </si>
  <si>
    <t>POLLO CHILLON LUFFY (32 CM)</t>
  </si>
  <si>
    <t>POUCH MAXI ADULT 140 G</t>
  </si>
  <si>
    <t>POUCH KITTEN STERILLISED 85 GR ROYAL CANIN</t>
  </si>
  <si>
    <t>POUCH GASTROINTESTINAL GATO 85 GR ROYAL CANIN</t>
  </si>
  <si>
    <t>POUCH DACHSHUND 85 GRS</t>
  </si>
  <si>
    <t>POUCH CHIHUAHUA 85 GRS</t>
  </si>
  <si>
    <t>POTENMIC SUSP ORAL X 250 ML</t>
  </si>
  <si>
    <t>POTASIO PLANTMIX 500ML</t>
  </si>
  <si>
    <t>POTASIO PLANTMIX 250ML</t>
  </si>
  <si>
    <t>POTASIO PLANTMIX 1000ML</t>
  </si>
  <si>
    <t>POSATEX 1 X 8.8ML 500</t>
  </si>
  <si>
    <t>POLERA ZAGREB S</t>
  </si>
  <si>
    <t>PORTALAMPARAS LARGO CON CLIP</t>
  </si>
  <si>
    <t>Polerón Dogbaby M</t>
  </si>
  <si>
    <t>Polerón Dogbaby L</t>
  </si>
  <si>
    <t>POLERON C/ CAPUCHA SPORT XS GRIS (LARGO 30-CUELLO 29-PECHO 43)</t>
  </si>
  <si>
    <t>POLERON C/ CAPUCHA SPORT XS BEIGE (LARGO 30-CUELLO 29-PECHO 43)</t>
  </si>
  <si>
    <t>porta mayo hegar 14</t>
  </si>
  <si>
    <t>PORTA BOLSAS PRO GRIS</t>
  </si>
  <si>
    <t>PORTA BOLSAS PRO</t>
  </si>
  <si>
    <t>POODLE JR 3 KG ROYAL CANIN</t>
  </si>
  <si>
    <t>POODLE 30 ADULTO 7.5 KG ROYAL CANIN</t>
  </si>
  <si>
    <t>POODLE 30 ADULTO 2.5 KG ROYAL CANIN</t>
  </si>
  <si>
    <t>POND MIX 1000 ML/ 160 GR</t>
  </si>
  <si>
    <t>POLLO CHILLON XL 46 CM</t>
  </si>
  <si>
    <t>POLERON C/ CAPUCHA SPORT 2XL GRIS (LARGO 55-CUELLO 44-PECHO 76)</t>
  </si>
  <si>
    <t>POLERON C/ CAPUCHA SPORT 2XL BEIGE (LARGO 55-CUELLO 44-PECHO 76)</t>
  </si>
  <si>
    <t>Poruña Plástica (28x11x8cm)</t>
  </si>
  <si>
    <t>RASCADOR (30*30*52)</t>
  </si>
  <si>
    <t>RASCADOR (25X30X40CM)</t>
  </si>
  <si>
    <t>RASCADOR CON HAMACA (50x32 x28 CM)</t>
  </si>
  <si>
    <t>RASCADOR CON DISEÑOS DE FLORES</t>
  </si>
  <si>
    <t>RASCADOR CON AJUSTE AL TECHO 43*27*220-285 CM LEOPARDO - BEIGE</t>
  </si>
  <si>
    <t>RASCADOR CON AJUSTE AL TECHO 43*27*220-285 CM GRIS - BEIGE</t>
  </si>
  <si>
    <t>RASCADOR COLGANTE CARTON CUNCUNA</t>
  </si>
  <si>
    <t>RASCADOR CEBRA 20*20*28CM</t>
  </si>
  <si>
    <t>RASCADOR CAT TREE 60x45x88 GRIS CLARO</t>
  </si>
  <si>
    <t>RASCADOR CAT TREE 50x35x140</t>
  </si>
  <si>
    <t>QUANTUM CAT FELV SOL INY X 1ML</t>
  </si>
  <si>
    <t>QUANTUM CAT FELV LEUCEMIA 1 ML 1 DOSIS</t>
  </si>
  <si>
    <t>PW_BUCKLE DOWN CORREA DEADPOOL</t>
  </si>
  <si>
    <t>PUREBREED POODLE 1 KG ROYAL CANIN</t>
  </si>
  <si>
    <t>aguja nipro 21g x 1 1/2 x 100</t>
  </si>
  <si>
    <t>RASCADOR AUTO MASAJEADOR GATOS (35*28*35 cm)</t>
  </si>
  <si>
    <t>RASCADOR 7 PISOS 2 CASITAS CAFE Y BLANCO (58x58x203cm)</t>
  </si>
  <si>
    <t>RASCADOR 5 PISOS CASITA HAMACA GRIS CLARO (61x51x146CM)</t>
  </si>
  <si>
    <t>RASCADOR 5 PISOS CASA Y HAMACA BEIGE (50*50*154CM)</t>
  </si>
  <si>
    <t>RASCADOR 4 PISOS CON CASA DE FELPA CAFE Y BLANCO 40x40x112CM</t>
  </si>
  <si>
    <t>RASCADOR 3 TORRES 170 CMS COLOR ROJO</t>
  </si>
  <si>
    <t>RASCADOR 3 TORRES 170 CMS COLOR BEIGE</t>
  </si>
  <si>
    <t>PULGA DE MAR 1 KILO</t>
  </si>
  <si>
    <t>PUERTA SEPARADOR DE AMBIENTE MASCOTAS</t>
  </si>
  <si>
    <t>PUERTA PERROS Y GATOS VIDRIO</t>
  </si>
  <si>
    <t>RANITIDINA 2% SOL INY X 50 ML</t>
  </si>
  <si>
    <t>RAMPLA ESCALERA PET KENNEL PARA MASCOTAS 62*40*49.5 CM GRIS</t>
  </si>
  <si>
    <t>RAMPLA ESCALERA PET KENNEL PARA MASCOTAS 62*40*49.5 CM BEIGE</t>
  </si>
  <si>
    <t>RAMPLA ESCALERA PET KENNEL PARA MASCOTAS 62*40*49.5 CM AMARILLO</t>
  </si>
  <si>
    <t>RACADOR CASA CON CUEVAS (70X50X170 CM)</t>
  </si>
  <si>
    <t>RASCADOR CAJA AZUL DISEÑO</t>
  </si>
  <si>
    <t>RASCADOR FORMA CACTUS CON BASE PARA GATOS (30X60 CM)</t>
  </si>
  <si>
    <t>RASCADOR FELPA SUAVE COLOR GRIS 65*40*14</t>
  </si>
  <si>
    <t>RASCADOR ESTILO CAMA CON DISEÑOS</t>
  </si>
  <si>
    <t>RASCADOR ESQUINERO 120 CM CAFE</t>
  </si>
  <si>
    <t>RASCADOR CASA LUNA</t>
  </si>
  <si>
    <t>RASCADOR CASA AZUL</t>
  </si>
  <si>
    <t>RASCADOR CAJA NARANJA DISEÑO</t>
  </si>
  <si>
    <t>RASCADOR DS56 DISEÑO MADERA 34x25x50</t>
  </si>
  <si>
    <t>RASCADOR DS55 DISEÑO MADERA 34x25x50</t>
  </si>
  <si>
    <t>RASCADOR DE CARTON TIPO CAMA PARA GATOS (42X12X12 CM)</t>
  </si>
  <si>
    <t>RASCADOR DE CARTON "PEZ"</t>
  </si>
  <si>
    <t>Bola de bacterias 500G. Incluye bolsa</t>
  </si>
  <si>
    <t>BOLA CON LUZ LED Y MOVIMIENTO</t>
  </si>
  <si>
    <t>BOLA CON DIENTES 8 CM L</t>
  </si>
  <si>
    <t>RASCADOR (35X35X44CM)</t>
  </si>
  <si>
    <t>BIRBA KIT - BANDEJA CON BORDE PALA Y PLATO</t>
  </si>
  <si>
    <t>BIOTIVET PLUS 200/50 MG X 10 COMP</t>
  </si>
  <si>
    <t>BIOREPT W. 500ML/150G</t>
  </si>
  <si>
    <t>BIOREPT W SACHET 20 GR</t>
  </si>
  <si>
    <t>BIOREPT W 100 ML 30 GR</t>
  </si>
  <si>
    <t>BIOREPT W (1000 ML/ 300G)</t>
  </si>
  <si>
    <t>BIOREP W 250 ML / 75 GR</t>
  </si>
  <si>
    <t>BIONAUTIC FLAKES 250 ML/ 50G</t>
  </si>
  <si>
    <t>BODY COBRE PERRO/GATO 30-35KG T-11 KIMBA</t>
  </si>
  <si>
    <t>RASCADOR DE BOLA QUE GIRA PARA GATOS (diametro bola 20cm)</t>
  </si>
  <si>
    <t>RASCADOR DE BOLA QUE GIRA PARA GATOS (17.5X15X18.5)</t>
  </si>
  <si>
    <t>RASCADOR CURVAS FELPA Y SISAL 50*20*18CM</t>
  </si>
  <si>
    <t>RASCADOR CUENCO TALLA M</t>
  </si>
  <si>
    <t>RASCADOR CUENCO S</t>
  </si>
  <si>
    <t>RASCADOR (60x50x168 cm)</t>
  </si>
  <si>
    <t>BISCUITS FOR DOG CHOCOLATE BONES M 950 G</t>
  </si>
  <si>
    <t>PULGA DE MAR 50 GRAMOS</t>
  </si>
  <si>
    <t>PROPLAN LATA PUPPY CHICKEN RICE 368G</t>
  </si>
  <si>
    <t>PUERTA MASCOTAS TIPO VENTANA TALLA M</t>
  </si>
  <si>
    <t>PUERTA GATO PEQUEÑA INTERIOR</t>
  </si>
  <si>
    <t>PUERTA GATO PEQUEÑA EXTERIOR</t>
  </si>
  <si>
    <t>Prueb-Bc/29-09</t>
  </si>
  <si>
    <t>PROTERLINE CACHORRO 15 KG</t>
  </si>
  <si>
    <t>PROTERLINE ADULTO 22KG</t>
  </si>
  <si>
    <t>PROTECTOR SOLAR FACTOR 30 50 ML MEN FOR SAN</t>
  </si>
  <si>
    <t>PROTECTOR DE LAMPARA REDONDO</t>
  </si>
  <si>
    <t>PROPLAN REDUCED CALORIE M/L 15 KG</t>
  </si>
  <si>
    <t>PROPLAN REDUCED CALORIE DOG M/L 15K (12+3)</t>
  </si>
  <si>
    <t>PROPLAN PUPPY SMALL BREED 7.5K</t>
  </si>
  <si>
    <t>RABGUARD SUSP INY 1 ML</t>
  </si>
  <si>
    <t>PROPLAN PUPPY LARGE BREED 15 KG</t>
  </si>
  <si>
    <t>PRISMA COLLAR EXTRA SMALL ZEEDOG</t>
  </si>
  <si>
    <t>PRISMA AIR MESH PLUS HARNESS SMALL ZEEDOG</t>
  </si>
  <si>
    <t>PRISMA AIR MESH PLUS HARNESS MEDIUM ZEEDOG</t>
  </si>
  <si>
    <t>PRISMA AIR MESH PLUS HARNESS LARGE ZEEDOG</t>
  </si>
  <si>
    <t>PROPLAN CACHORRO LARGE BREED 15K (12+3)</t>
  </si>
  <si>
    <t>PROPLAN ADULTO RAZA GRANDE 12KG</t>
  </si>
  <si>
    <t>PROPLAN ADULT LARGE BREED 15K (12+3)</t>
  </si>
  <si>
    <t>ALGIN POND 250 ML</t>
  </si>
  <si>
    <t>ALGIN 50 ML</t>
  </si>
  <si>
    <t>ALGIN 250 ML</t>
  </si>
  <si>
    <t>ALAS DE MURCIELAGO TALLA S</t>
  </si>
  <si>
    <t>ALAS DE MURCIELAGO TALLA L</t>
  </si>
  <si>
    <t>aguja nipro 25g x 5/8 x 100</t>
  </si>
  <si>
    <t>PROPLAN PUPPY SMALL BREED 3K</t>
  </si>
  <si>
    <t>ALFOMBRILLA CON HUELLAS PEQUEÑAS GRIS</t>
  </si>
  <si>
    <t>ALFOMBRILLA CON HUELLAS PEQUEÑAS CALIPSO</t>
  </si>
  <si>
    <t>ALFOMBRA PARA GATOS DOBLE CAPA ROSA</t>
  </si>
  <si>
    <t>AGILITY LATA GATO ADULTO CON POLLO 340 GR</t>
  </si>
  <si>
    <t>AGILITY LATA GATO ADULTO CON MERLUZA 90G</t>
  </si>
  <si>
    <t>AGILITY LATA GATO ADULTO CON MERLUZA 340G</t>
  </si>
  <si>
    <t>AGILITY LATA ADULTO CERDO 340GR</t>
  </si>
  <si>
    <t>AGILITY GATO URINARY 10 KG</t>
  </si>
  <si>
    <t>AGILITY GATO URINARY 1.5 K</t>
  </si>
  <si>
    <t>AGILITY GATO CONTROL PESO 10 KG</t>
  </si>
  <si>
    <t>AGILITY GATO CONTROL PESO 1.5 K</t>
  </si>
  <si>
    <t>Agility Gato Adulto 10 KG</t>
  </si>
  <si>
    <t>AGILITY GATO ADULTO 1.5K</t>
  </si>
  <si>
    <t>ALFOMBRA OLFATIVA PARA PERRO COCODRILO (36x17 CM)</t>
  </si>
  <si>
    <t>PULGA DE MAR 500 G</t>
  </si>
  <si>
    <t>QUITA MANCHAS DE PEQUEÑAS MASCOTAS</t>
  </si>
  <si>
    <t>QUIFLUMIL 5% SOL INY 100ML</t>
  </si>
  <si>
    <t>QUANTUM CAT TRIPLE HCP</t>
  </si>
  <si>
    <t>PROTECTOR DE LAMPARA CUADRADO</t>
  </si>
  <si>
    <t>propofol prosafe 1% amp 20ml caja x 5 ampollas</t>
  </si>
  <si>
    <t>PROPOFOL 1% 50ML BRAUN</t>
  </si>
  <si>
    <t>PUPPY WET 150 GR</t>
  </si>
  <si>
    <t>PUPPY TRAINER 50 ML</t>
  </si>
  <si>
    <t>PUPPY PADS 45 X 33 CM</t>
  </si>
  <si>
    <t>PUPPY LARGE BREED LB (13.61 KG)</t>
  </si>
  <si>
    <t>Pupas del gusano de la seda para tortuga de tierra (ENVASE 100 G)</t>
  </si>
  <si>
    <t>Pupas del gusano de la seda para erizo de tierra (ENVASE 100 G)</t>
  </si>
  <si>
    <t>Pupas del gusano de la seda (GRANEL) 1KG</t>
  </si>
  <si>
    <t>PULPO WARRIOR</t>
  </si>
  <si>
    <t>PULIDOR DE UÑAS</t>
  </si>
  <si>
    <t>ALFOMBRA BAJADA BAÑOS GATOS</t>
  </si>
  <si>
    <t>ACUARIO SUNSUN 7 LITROS (SISTEMA FILTRADO SUPERIOR Y LUZ LED 3.5 W) NEGRO</t>
  </si>
  <si>
    <t>ACUARIO SUNSUN 7 LITROS (SISTEMA FILTRADO SUPERIOR Y LUZ LED 3.5 W) BLANCO</t>
  </si>
  <si>
    <t>ACUARIO SUNSUN 7 LITROS (SISTEMA FILTRADO SUPERIOR Y LUZ LED 3.5 W) AZUL</t>
  </si>
  <si>
    <t>ACUARIO SUNSUN 52 LITROS (SISTEMA FILTRADO SUPERIOR Y LUZ LED 5.5 W) ROSA</t>
  </si>
  <si>
    <t>ACUARIO SUNSUN 52 LITROS (SISTEMA FILTRADO SUPERIOR Y LUZ LED 5.5 W) NEGRO</t>
  </si>
  <si>
    <t>ACUARIO SUNSUN 52 LITROS (SISTEMA FILTRADO SUPERIOR Y LUZ LED 5.5 W) BLANCO</t>
  </si>
  <si>
    <t>ACUARIO SUNSUN 52 LITROS (SISTEMA FILTRADO SUPERIOR Y LUZ LED 5.5 W) AZUL</t>
  </si>
  <si>
    <t>ACUARIO SUNSUN 29 LITROS (SISTEMA FILTRADO SUPERIOR Y LUZ LED 5.5 W) ROSA</t>
  </si>
  <si>
    <t>ACUARIO SUNSUN 29 LITROS (SISTEMA FILTRADO SUPERIOR Y LUZ LED 5.5 W) NEGRO</t>
  </si>
  <si>
    <t>ADORNO CALAVERA MAMMUT 23x12.5x11 cm</t>
  </si>
  <si>
    <t>ADORNO CALAVERA COCODRILO</t>
  </si>
  <si>
    <t>SUPER SPIRULINA FORTE GRANULAT 100GR</t>
  </si>
  <si>
    <t>SUPER PEAR</t>
  </si>
  <si>
    <t>SUPER PALA GATO</t>
  </si>
  <si>
    <t>ADORNO PARA ACUARIOS DISEÑO ARBOL BONSAI MADERA NATURAL 15x10x8 cm</t>
  </si>
  <si>
    <t>SPRAY CALMANTE 120ML</t>
  </si>
  <si>
    <t>SUPER BANANA</t>
  </si>
  <si>
    <t>SUJETADOR NIDOS AVES</t>
  </si>
  <si>
    <t>SUETER FISH XXL AZUL</t>
  </si>
  <si>
    <t>SUETER FISH XL AZUL</t>
  </si>
  <si>
    <t>SUETER FISH S AZUL</t>
  </si>
  <si>
    <t>SUETER FISH M GRIS</t>
  </si>
  <si>
    <t>SUETER FISH L AZUL</t>
  </si>
  <si>
    <t>SUETER FISH 3XL GRIS</t>
  </si>
  <si>
    <t>Sueter de lana con gorro - Talla L, Rojo Vino Tinto</t>
  </si>
  <si>
    <t>Submarinos 10x4.5x5.5</t>
  </si>
  <si>
    <t>SOULPETS PERRO ADAPTACION NUEVOS AMBIENTES</t>
  </si>
  <si>
    <t>STRIDE PLUS PARA PERROS - 200ML</t>
  </si>
  <si>
    <t>STRIDE PLUS FELINO 160 mL</t>
  </si>
  <si>
    <t>SPRAY CALMING 60 ML</t>
  </si>
  <si>
    <t>TABLERO CON FONDO DE RAICES</t>
  </si>
  <si>
    <t>T61 SOL EUTANASIA SOL INY X 50 ML</t>
  </si>
  <si>
    <t>T24 NUTRAM TOTAL GRAIN FREE TROUT&amp;SALMON CAT CANNED 156 GR</t>
  </si>
  <si>
    <t>T23 NUTRAM TOTAL GRAIN FREE CHICKEN &amp; TURKEY CANNED 369 GR</t>
  </si>
  <si>
    <t>SYNULOX 250MG 10 COMP</t>
  </si>
  <si>
    <t>SWIPDAWG URBAN TRAVELER DOG LEASH S (AZUL)</t>
  </si>
  <si>
    <t>sutura poliglicolico 0 usp</t>
  </si>
  <si>
    <t>SUTUR GLICOSORB 2/0+AGUJA HR35 X 36 SOBRES</t>
  </si>
  <si>
    <t>SUTUR GLICOSORB 0+AGUJA HR25 X 36 SOBRES</t>
  </si>
  <si>
    <t>SUSTRATO VIRUTA DE PAPEL 2K TUCAMITTA</t>
  </si>
  <si>
    <t>SUSTRATO NUTRITIVO PARA ACUARIOS PLANTADOS 3L/BOLSA (3KG)</t>
  </si>
  <si>
    <t>SUPER ORANGE</t>
  </si>
  <si>
    <t>SUPER GRILLOS 15 GRS</t>
  </si>
  <si>
    <t>SUPER CRICKET SACHET 25 GRS GRILLO</t>
  </si>
  <si>
    <t>ACUARIO SUNSUN 7 LITROS (SISTEMA FILTRADO SUPERIOR Y LUZ LED 3.5 W) ROSA</t>
  </si>
  <si>
    <t>SUPERVIT MINI GRANULAT 100 ML 65 GR</t>
  </si>
  <si>
    <t>SUPERVIT MINI GRANULAT 10 GR SACHET</t>
  </si>
  <si>
    <t>SUPERVIT 500ML 20% GRATIS, 120G</t>
  </si>
  <si>
    <t>SUPERVIT 500 ML</t>
  </si>
  <si>
    <t>SUPERVIT 250 ML 50 GR</t>
  </si>
  <si>
    <t>SUPERVIT 21 LTS / 4 KG</t>
  </si>
  <si>
    <t>SUPERVIT 1000 ML 200 GR</t>
  </si>
  <si>
    <t>STRIDE PLUS SUSP ORAL PERRO X 200 ML</t>
  </si>
  <si>
    <t>SUPER TENEBRIOS 25 GRS</t>
  </si>
  <si>
    <t>SUPER TENEBRIOS 25 GRAMOS</t>
  </si>
  <si>
    <t>SUPER TENEBRIO 400GR</t>
  </si>
  <si>
    <t>SUPER SPIRULINA FORTE GRANULAT 30GR</t>
  </si>
  <si>
    <t>ADORNO ESCAFANDRA 10x10x11.5 cm</t>
  </si>
  <si>
    <t>ADORNO DOPHIN ROCA FLOTANTE TALLA M ( 13.5 X 9 X 7 CM)</t>
  </si>
  <si>
    <t>ADORNO DOPHIN ROCA FLOTANTE TALLA L ( 18 X 12.5 X 7.5 CM)</t>
  </si>
  <si>
    <t>SUPERVIT TABLETS A 250 ML</t>
  </si>
  <si>
    <t>BEBEDERO ROEDORES PUNTA METALICA 500 ML</t>
  </si>
  <si>
    <t>BAÑO PARA GATOS 55.4*49*41.7 SPACE AZUL</t>
  </si>
  <si>
    <t>BAÑO PARA GATOS 53*41*41 KAWAI VERDE</t>
  </si>
  <si>
    <t>BAÑO AUTOLIMPIABLE OMEGA PAW CLEAN N ROLL S</t>
  </si>
  <si>
    <t>Baño arena chinchilla TOTORO (26*19.2*19 cm)</t>
  </si>
  <si>
    <t>BAÑERA CON ESPEJO UNIPET</t>
  </si>
  <si>
    <t>BAÑERA AVES CON JUEGO</t>
  </si>
  <si>
    <t>BAÑERA AVES CON ESPEJO</t>
  </si>
  <si>
    <t>ADORNO BARCO 15x6.7x14 cm</t>
  </si>
  <si>
    <t>ADORNO AEROPLANO 16.5X12X7.9</t>
  </si>
  <si>
    <t>ADORNO ACUARIO PELOTAS FOOTBALL</t>
  </si>
  <si>
    <t>ADEX20 20MG/ML SOL INY X 20ML</t>
  </si>
  <si>
    <t>ACUARIO VIDRIO CURVO 40 X 22 X 27CM</t>
  </si>
  <si>
    <t>ACUARIO VIDRIO CURVO 22 X 15 X 21 CM</t>
  </si>
  <si>
    <t>STRANGER HANDSFREE ZEEDOG</t>
  </si>
  <si>
    <t>SOFT LINE BETTA 5G</t>
  </si>
  <si>
    <t>SOFT LINE AMERICAN SIZE S 250 ML/ 140G</t>
  </si>
  <si>
    <t>SOFT LINE AMERICAN SIZE S 10 G</t>
  </si>
  <si>
    <t>SNACK TOPK9 SOFTROLL POLLO/SALMON 4 x 1</t>
  </si>
  <si>
    <t>SNACK TOPK9 PATE DELI POLLO 85 GRS</t>
  </si>
  <si>
    <t>SNACK TOPK9 PATE DELI ATUN-OSTION 85 GRS</t>
  </si>
  <si>
    <t>SNACK TOPK9 PATE DELI ATUN 85 GRS</t>
  </si>
  <si>
    <t>SNACK TOPK9 CRUNCHY CATNIP/SALMON 50 GRS</t>
  </si>
  <si>
    <t>SNACK TOPK9 CRUNCHY CATNIP/ATUN 50 GRS</t>
  </si>
  <si>
    <t>SNACK TOPK9 CRUNCHY CATNIP/ALBACORA 50 GRS</t>
  </si>
  <si>
    <t>SNACK TOPK9 CREMITOS SALMON15 GRS</t>
  </si>
  <si>
    <t>SNACK TOPK9 CREMITOS POLLO 15 GRS</t>
  </si>
  <si>
    <t>SNACK TOPK9 CREMITOS ATUN 15 GRS</t>
  </si>
  <si>
    <t>snack cremoso : bonito flavor 15 grs *6 pcs</t>
  </si>
  <si>
    <t>SNACK TIMOTHY DENTAL BAMBU DULCE</t>
  </si>
  <si>
    <t>ADORNO FOOTBALL</t>
  </si>
  <si>
    <t>STICK-ON 100 ML 60 GR GLASS-TABLETS</t>
  </si>
  <si>
    <t>STERILISED FELINO 4 KG</t>
  </si>
  <si>
    <t>STERILISED FELINO 2 KG</t>
  </si>
  <si>
    <t>STARTER MAXI 10 KG</t>
  </si>
  <si>
    <t>SQUARTTER HEDGEHOG L JUGUETE CON SONIDO PARA PERROS</t>
  </si>
  <si>
    <t>SPRAY DESODORANTE PEQ MASCOTAS 175 ML BIOLINE</t>
  </si>
  <si>
    <t>SNACK TOPK9 SOFTROLL POLLO/VACUNO 4 x 10 GRS</t>
  </si>
  <si>
    <t>SPRAY ALIENTO FRESCO PERROS Y GATOS 150ML BEAPHAR</t>
  </si>
  <si>
    <t>SPORTMIX HIGH PROTEIN 20 KG</t>
  </si>
  <si>
    <t>SPORTMIX CANINEX CHICKEN PROTEIN 18 KG</t>
  </si>
  <si>
    <t>SPORT PLAY STRONG HUESO CON CORREA XL</t>
  </si>
  <si>
    <t>SPIRULINA FLAKES 250 ML 50 GR</t>
  </si>
  <si>
    <t>SPIRULINA 100 ML / 20 GR</t>
  </si>
  <si>
    <t>SPIDER MAN ADJUSTABLE AIR MESH HARNESS ZEEDOG (SMALL)</t>
  </si>
  <si>
    <t>BEBEDERO TUBO 40 ML</t>
  </si>
  <si>
    <t>SOULPETS PERRO TRAUMAS Y ESTRES</t>
  </si>
  <si>
    <t>SOULPETS PERRO S.O.S. PETS</t>
  </si>
  <si>
    <t>SNACK TIMOTHY STICK (4/BOLSA)</t>
  </si>
  <si>
    <t>SNACK TIMOTHY FIGURAS (3 UNID)</t>
  </si>
  <si>
    <t>SOULPETS GATO TRAUMAS Y ESTRES</t>
  </si>
  <si>
    <t>SOQUETE PARA AMPOLLETAS CERAMICAS</t>
  </si>
  <si>
    <t>Soporte para Pad de Entrenamiento M</t>
  </si>
  <si>
    <t>Soporte para Pad de Entrenamiento L</t>
  </si>
  <si>
    <t>SOLUCION INYECTABLE SOSTEN CG 5ML - MAYORS</t>
  </si>
  <si>
    <t>ADORNO PARA ACUARIOS BARCO CON FIBRA OPTICA</t>
  </si>
  <si>
    <t>ADORNO PARA ACUARIOS BARCO</t>
  </si>
  <si>
    <t>ADORNO PARA ACUARIOS AUTO CHOCADO (16X8X8CM)</t>
  </si>
  <si>
    <t>ADORNO BARRIL 9.7x6.3x6.2 cm</t>
  </si>
  <si>
    <t>BEBEDERO COLGANTE PARA PEQUEÑAS MASCOTAS 750 ML</t>
  </si>
  <si>
    <t>BELCANDO ADULT DINNER 12.5 K</t>
  </si>
  <si>
    <t>SOULPETS PERRO VALOR Y CORAJE</t>
  </si>
  <si>
    <t>TIDE LEASH SMALL</t>
  </si>
  <si>
    <t>TERMOMETRO SUMERGIBLE ADA</t>
  </si>
  <si>
    <t>TERMOMETRO PARA REPTILES</t>
  </si>
  <si>
    <t>TERMOMETRO E HIDROMETRO DOBLE ESFERA</t>
  </si>
  <si>
    <t>TIDE COLLAR MEDIUM</t>
  </si>
  <si>
    <t>TIDE CAT COLLAR</t>
  </si>
  <si>
    <t>TIDE AIR MESH PLUS HARNESS S</t>
  </si>
  <si>
    <t>TIDE AIR MESH PLUS HARNESS M</t>
  </si>
  <si>
    <t>TICKLESS ANTIPARASITARIO ULTRASONICO ROSADO</t>
  </si>
  <si>
    <t>TICKLESS ANTIPARASITARIO ULTRASONICO NARANJA</t>
  </si>
  <si>
    <t>TICKLESS ANTIPARASITARIO ULTRASONICO BEIGE</t>
  </si>
  <si>
    <t>TIBURON DE CAUCHO CON PELOTA Y SONIDO</t>
  </si>
  <si>
    <t>TIBUROCIN</t>
  </si>
  <si>
    <t>Therapy Canine Renal Care 10k</t>
  </si>
  <si>
    <t>TENEBRIOS DESHIDRATADOS 50 GRS</t>
  </si>
  <si>
    <t>TENEBRIOS 1 KILO</t>
  </si>
  <si>
    <t>TELA TRANSPORTE 2.5CM X 9.1 MTS</t>
  </si>
  <si>
    <t>TEST PH 4.5-9.5</t>
  </si>
  <si>
    <t>TEST NO2</t>
  </si>
  <si>
    <t>TEST GH/KH</t>
  </si>
  <si>
    <t>TEST FLUORESCEINA OFT TIRAS X 1 SACHET</t>
  </si>
  <si>
    <t>TEST 6 EN 1 50 TIRAS</t>
  </si>
  <si>
    <t>TERRARIUM SAND 1.5 KG VITAPOL</t>
  </si>
  <si>
    <t>TERRARIO TT803 (45X45CM) CON FONDO 3D</t>
  </si>
  <si>
    <t>TERRARIO TT800 (30X30CM) CON FONDO 3D</t>
  </si>
  <si>
    <t>TERRARIO / ACUARIO PARA TRANSPORTAR PECES 17LTS</t>
  </si>
  <si>
    <t>TERMOSTATO REGULABLE REPTIL</t>
  </si>
  <si>
    <t>TERMOSTATO</t>
  </si>
  <si>
    <t>TASTE OF THE WILD ROCKY MOUNTAIN FELINE 2 KG VENADO</t>
  </si>
  <si>
    <t>Therapy Canine Hypoallergenic C 10k</t>
  </si>
  <si>
    <t>ACUARIO NEGRO 48*29*43</t>
  </si>
  <si>
    <t>ACUARIO NEGRO 38 L (38X26X38.5CM)</t>
  </si>
  <si>
    <t>ACUARIO VIDRIO 45X28X29.5 DPS45</t>
  </si>
  <si>
    <t>TOPK9 AGLUTINANTE CAFE MOKA 25 KG</t>
  </si>
  <si>
    <t>TIDE H-HARNESS SMALL</t>
  </si>
  <si>
    <t>TIDE H-HARNESS MEDIUM</t>
  </si>
  <si>
    <t>TIDE COLLAR SMALL</t>
  </si>
  <si>
    <t>TOOTH PASTE FLAVOR MINT</t>
  </si>
  <si>
    <t>TOOTH PASTE FLAVOR BEEF</t>
  </si>
  <si>
    <t>TOLTRAZOL X 3COMP - MAYORS</t>
  </si>
  <si>
    <t>TOALLITAS HUMEDAS 60 UNI</t>
  </si>
  <si>
    <t>TOALLITAS HUMEDAS 20 UNI</t>
  </si>
  <si>
    <t>TOALLAS HUMEDAS TOPK9 60 UNIDS,</t>
  </si>
  <si>
    <t>TOALLAS HUMEDAS TOPK9 20 UNIDS,</t>
  </si>
  <si>
    <t>tijera corta uñas</t>
  </si>
  <si>
    <t>TIRAS DE POLLO CON TOCINO 100G</t>
  </si>
  <si>
    <t>TIRAS DE POLLO 100G</t>
  </si>
  <si>
    <t>TIRAS DE CORDERO 100G</t>
  </si>
  <si>
    <t>th4 (desinfectante) x 1 litro</t>
  </si>
  <si>
    <t>TETRA OJOS ROJOS</t>
  </si>
  <si>
    <t>TEST SCHIRMER OFT TIRAS X 1 SACHET</t>
  </si>
  <si>
    <t>TIMOTHY SNACK TRONCO 22 X 15 X 18 CMS</t>
  </si>
  <si>
    <t>TIMOTHY SNACK TRONCO 13 X 8 X 9 CMS</t>
  </si>
  <si>
    <t>TIMOTHY SNACK BOWL S</t>
  </si>
  <si>
    <t>TIMOTHY SNACK BOLA PARA LANZAR</t>
  </si>
  <si>
    <t>TIMOTHY CON FORMA DE ZANAHORIA</t>
  </si>
  <si>
    <t>tijera roma aguda recta 16 cm</t>
  </si>
  <si>
    <t>tijera metzenbaum recta 16 cm</t>
  </si>
  <si>
    <t>tijera metzenbaum curva 14 cm</t>
  </si>
  <si>
    <t>TOALLA ABSORBENTE BIOLINE</t>
  </si>
  <si>
    <t>TASTE OF THE WILD SIERRA MOUNTAIN LAMB (CORDERO) 5.6 KG</t>
  </si>
  <si>
    <t>TASTE OF THE WILD SIERRA MOUNTAIN LAMB (CORDERO) 2 KG</t>
  </si>
  <si>
    <t>TASTE OF THE WILD ROCKY MOUNTAIN FELINE 6.6 KG VENADO</t>
  </si>
  <si>
    <t>TABLERO PARA GATOS 43x33x15 CM</t>
  </si>
  <si>
    <t>TABLERO PARA GATOS</t>
  </si>
  <si>
    <t>TASTE OF THE WILD PACIFIC STREAM PUPPY SALMON 5.6 KG</t>
  </si>
  <si>
    <t>TASTE OF THE WILD PACIFIC STREAM PUPPY SALMON 2 KG</t>
  </si>
  <si>
    <t>TASTE OF THE WILD PACIFIC STREAM PUPPY SALMON 12 KG</t>
  </si>
  <si>
    <t>TASTE OF THE WILD PACIFIC STREAM ADULT SALMON 5.6 KG</t>
  </si>
  <si>
    <t>TASTE OF THE WILD PACIFIC STREAM ADULT SALMON 2 KG</t>
  </si>
  <si>
    <t>TASTE OF THE WILD PACIFIC STREAM ADULT (SALMON) 18 KG</t>
  </si>
  <si>
    <t>TASTE OF THE WILD PACIFIC STREAM (SALMON 390GR) LATA</t>
  </si>
  <si>
    <t>TASTE OF THE WILD LOWLAND CREEK FELINE 6.6 KG (PATO)</t>
  </si>
  <si>
    <t>TASTE OF THE WILD LOWLAND CREEK FELINE 2 KG (PATO)</t>
  </si>
  <si>
    <t>TASTE OF THE WILD PINE FOREST VENISON ADULTO (VENADO) 2 KG</t>
  </si>
  <si>
    <t>TASTE OF THE WILD HIGH PRAIRIE PUPPY (BISONTE) 2 KG</t>
  </si>
  <si>
    <t>TASTE OF THE WILD HIGH PRAIRIE PUPPY (BISONTE) 12.2 KG</t>
  </si>
  <si>
    <t>TAPON AMARILLO (HEPARINA)</t>
  </si>
  <si>
    <t>SUPREME 50 ML</t>
  </si>
  <si>
    <t>TAPETE CALEFACCIONADO PARA MASCOTAS 45X45</t>
  </si>
  <si>
    <t>TAPA BRANULA ATOR AMARILLA</t>
  </si>
  <si>
    <t>TANQUE GENERADOR DE CO2 CON ÁCIDO CÍTRICO Y BICARBONATO (CILINDRO 5 LITROS)</t>
  </si>
  <si>
    <t>TANQUE GENERADOR DE CO2 CON ÁCIDO CÍTRICO Y BICARBONATO (CILINDRO 2 LITROS)</t>
  </si>
  <si>
    <t>TANGANYIKA 250ML 50GR</t>
  </si>
  <si>
    <t>TALCO MACHOS 100G CAT DOG &amp; CIA</t>
  </si>
  <si>
    <t>TALCO GATOS 100G CAT DOG &amp; CIA</t>
  </si>
  <si>
    <t>TALCO FEMENINO 100G CAT DOG &amp; CIA</t>
  </si>
  <si>
    <t>TABLETA DE CALCIO DE LECHE DE CABRA BIOLINE</t>
  </si>
  <si>
    <t>TABLERO RASCADOR CON PELOTAS Y RATON</t>
  </si>
  <si>
    <t>TASTE OF THE WILD HIGH PRAIRIE PUPPY (BISONTE) 5.6 KG</t>
  </si>
  <si>
    <t>TASTE OF THE WILD PINE FOREST VENISON ADULT (VENADO) 5.6K</t>
  </si>
  <si>
    <t>TERMOMETRO DE VIDRIO (1 UNIDAD BLISTER)</t>
  </si>
  <si>
    <t>TERMOHIGROMETRO DIGITAL</t>
  </si>
  <si>
    <t>TERMOCALEFACTOR REGULABLE 25 WATTS</t>
  </si>
  <si>
    <t>TERMOCALEFACTOR DOPHIN 500W</t>
  </si>
  <si>
    <t>TERMOCALEFACTOR DOPHIN 100 W</t>
  </si>
  <si>
    <t>TERMOCALEFACTOR ACERO INOXIDABLE 300 WATTS</t>
  </si>
  <si>
    <t>TERMOCALEFACTOR ACERO INOXIDABLE 200 WATTS</t>
  </si>
  <si>
    <t>TERMOCALEFACTOR 100 WATTS ACERO INOXIDABLE</t>
  </si>
  <si>
    <t>TENIMOX PASTA ORAL 10G</t>
  </si>
  <si>
    <t>TAPETE CALEFACCIONADO PARA MASCOTAS 45X70</t>
  </si>
  <si>
    <t>TEA TREE OIL SHAMPOO 250 ML</t>
  </si>
  <si>
    <t>BAÑERA AVES 15X15 CM</t>
  </si>
  <si>
    <t>TASTE OF THE WILD SOUTHWEST CANYON (JABALI 390GR) LATA</t>
  </si>
  <si>
    <t>BAÑO GATOS CURVI XL GRIS</t>
  </si>
  <si>
    <t>BAÑO GATOS CURVI XL BEIGE</t>
  </si>
  <si>
    <t>BAÑO GATOS CURVI XL AZUL</t>
  </si>
  <si>
    <t>BAÑO GATO TRIANGULAR</t>
  </si>
  <si>
    <t>BEBEDERO ROEDORES 500 ML</t>
  </si>
  <si>
    <t>BEBEDERO PUNTA METALICA 750 ML</t>
  </si>
  <si>
    <t>BEBEDERO AUTOMATICO REDONDO VERDE</t>
  </si>
  <si>
    <t>BEBEDERO AUTOMATICO REDONDO NARANJA</t>
  </si>
  <si>
    <t>BEBEDERO AUTOMATICO REDONDO GRIS</t>
  </si>
  <si>
    <t>BEBEDERO AUTOMATICO PARA MASCOTAS ROSADO</t>
  </si>
  <si>
    <t>BEBEDERO AUTOMATICO PARA MASCOTAS NARANJO</t>
  </si>
  <si>
    <t>BEBEDERO AUTOMATICO PARA MASCOTAS GRIS</t>
  </si>
  <si>
    <t>BEBEDERO AUTOMATICO PARA MASCOTAS CELESTE</t>
  </si>
  <si>
    <t>BEBEDERO AUTOMATICO PARA MASCOTAS</t>
  </si>
  <si>
    <t>TASTE OF THE WILD SOUTHWEST CANYON BOAR (JABALI) 2 KG</t>
  </si>
  <si>
    <t>BAÑERA AVES</t>
  </si>
  <si>
    <t>SIFON GRAVILLA ECONOMICO</t>
  </si>
  <si>
    <t>SIFON GRAVA ECONOMICO</t>
  </si>
  <si>
    <t>SIFÓN DE GRAVA GRANDE 330 MM X 40 MM X 150 CM</t>
  </si>
  <si>
    <t>SHN PUREBREED POODLE 3 KG</t>
  </si>
  <si>
    <t>SHAMPOO FILHOTES 700ML CATDOG</t>
  </si>
  <si>
    <t>SHAMPOO COCO 700ML CATDOG</t>
  </si>
  <si>
    <t>SHAMPOO CACHORRO 250ML BEAPHAR</t>
  </si>
  <si>
    <t>SHAMPOO SIR DOG WHITE 390 ML</t>
  </si>
  <si>
    <t>SHAMPOO SIR DOG SHED CONTROL</t>
  </si>
  <si>
    <t>SHAMPOO SIR DOG BLACK 390 ML</t>
  </si>
  <si>
    <t>SHAMPOO PERROS NEGRO 250ML BEAPHAR</t>
  </si>
  <si>
    <t>SHAMPOO PERROS BLANCOS 250 ML - BEAPHAR</t>
  </si>
  <si>
    <t>SET RUEDAS TRANSPORTADORAS 608</t>
  </si>
  <si>
    <t>SET RUEDAS TRANSPORTADORA BRACCO TRAVEL (N8)</t>
  </si>
  <si>
    <t>SNACK TIMOTHY CHIPS CON TROCITOS</t>
  </si>
  <si>
    <t>SHAMPOO NEUTRO 700ML CATDOG</t>
  </si>
  <si>
    <t>SHAMPOO MORANGO 700ML CATDOG</t>
  </si>
  <si>
    <t>SHAMPOO MINK OIL BIOLINE 250ML</t>
  </si>
  <si>
    <t>SHAMPOO LAUBE WILD ANIMAL STAMPEDE GAL</t>
  </si>
  <si>
    <t>SHAMPOO LAUBE KELCO PLUM WHITE 345ML</t>
  </si>
  <si>
    <t>SHAMPOO HIPOALERGENICO SPREE</t>
  </si>
  <si>
    <t>SHAMPOO HIERBA DE SANTA MARIA 500 ML</t>
  </si>
  <si>
    <t>SHAMPOO GATOS Y GATITOS 250 ML - BEAPHAR</t>
  </si>
  <si>
    <t>SHAMPOO FINA SANGRE PARA CABALLOS 500ML</t>
  </si>
  <si>
    <t>SET 9 RATONES</t>
  </si>
  <si>
    <t>SERESTO COLLAR 38 CM</t>
  </si>
  <si>
    <t>separador gelpi 16 cm</t>
  </si>
  <si>
    <t>SHAMPOO ACONDICIONADOR 2 EN 1</t>
  </si>
  <si>
    <t>SHAMP. REP. PULGAS ECOTRAPER 250 ML</t>
  </si>
  <si>
    <t>SET RUEDAS TRANSPORTADORA BRACCO TRAVEL (N7)</t>
  </si>
  <si>
    <t>ADORNO LIANA S</t>
  </si>
  <si>
    <t>ADORNO LIANA L</t>
  </si>
  <si>
    <t>ADORNO JARRON 13.5x9x9 cm</t>
  </si>
  <si>
    <t>ADORNO TRONCO CON PLANTAS A</t>
  </si>
  <si>
    <t>ADORNO TRONCO 29x11.5x13 cm</t>
  </si>
  <si>
    <t>SHIH TZU JUNIOR 2.5 KG ROYAL CANIN</t>
  </si>
  <si>
    <t>SHIH TZU ADULTO 2.5 KG ROYAL CANIN</t>
  </si>
  <si>
    <t>SHAMPOO TODO PELAJE 250ML BEAPHAR</t>
  </si>
  <si>
    <t>SHAMPOO SPRAY EN SECO - BEAPHAR</t>
  </si>
  <si>
    <t>SIMPARICA TRIO 1.25 - 2.5 KG X 1 COMP</t>
  </si>
  <si>
    <t>SHAMPOO PERFECT CALM 355ML</t>
  </si>
  <si>
    <t>Shampoo para Gato (Pelaje largo) 250 ML</t>
  </si>
  <si>
    <t>SHAMPOO PARA CACHORROS</t>
  </si>
  <si>
    <t>SHAMPOO NEUTRO BIOLINE</t>
  </si>
  <si>
    <t>SIFON GRAVILLA PEQUEÑO</t>
  </si>
  <si>
    <t>BELCANDO JUNIOR GF POULTRY 12.5 K</t>
  </si>
  <si>
    <t>BELCANDO FINEST LIGHT 4 KG</t>
  </si>
  <si>
    <t>Belcando Finest GF Senior Perro POLLO, PESCADO Y VEGETALES 4 KG</t>
  </si>
  <si>
    <t>Belcando Finest GF Senior Perro POLLO, PESCADO Y VEGETALES 12.5 KG</t>
  </si>
  <si>
    <t>BELCANDO FINEST GF SENIOR 1KG</t>
  </si>
  <si>
    <t>Belcando Finest GF Salmon Perro 12.5 KG</t>
  </si>
  <si>
    <t>BELCANDO FINEST GF SALMON 1 KG</t>
  </si>
  <si>
    <t>Belcando Adult GF Perro POLLO, PESCADO Y VEGETALES 12.5 KG</t>
  </si>
  <si>
    <t>Belcando Adult GF OCEAN Perro PESCADO, CAMARON Y VEGETALES 12.5 KG</t>
  </si>
  <si>
    <t>BICARBONATO DE SODIO 200GR PARA KIT CO2</t>
  </si>
  <si>
    <t>BETTA TANK 1.5 LITROS</t>
  </si>
  <si>
    <t>BETTA FOOD 100 ML 25 GR TROPICAL</t>
  </si>
  <si>
    <t>BENEBONE WISH CHEW CHICKEN LARGE</t>
  </si>
  <si>
    <t>SIMONDS FPS 50 PANT SOLAR FCO V/DOS X 190 ML</t>
  </si>
  <si>
    <t>SILIMADRAG (SILIMARINA) SUSP. 120ML</t>
  </si>
  <si>
    <t>BILJAC ORIGINAL RECIPE LIVER TREATS 113 GRS</t>
  </si>
  <si>
    <t>SENTRY CALMING COLLAR CAT</t>
  </si>
  <si>
    <t>SENTRY BEDTIME BEAR PLUSH DOG TOY</t>
  </si>
  <si>
    <t>SENSPERT FELV-FIV LEUCEMIA Y SIDA FELINO TEST</t>
  </si>
  <si>
    <t>SAME CAT COLLAR</t>
  </si>
  <si>
    <t>SALT FOR HATCHING ARTEMIA 250 ML / 300 GR</t>
  </si>
  <si>
    <t>SALMON COCIDO 20 GR BIOLINE</t>
  </si>
  <si>
    <t>SALCHICHAS DE BACALAO: COD SAUSAGE FOR CAT 10 PCS</t>
  </si>
  <si>
    <t>SENIOR CONSULT STAGE 2 1.5 KG</t>
  </si>
  <si>
    <t>SCINCO DE FUEGO</t>
  </si>
  <si>
    <t>AGILITY ADULT CAT SALMON 1.5K</t>
  </si>
  <si>
    <t>AGEING 12+ 2KG GATO ROYAL CANIN</t>
  </si>
  <si>
    <t>ADORNO TITANIC CON FIBRA OPTICA</t>
  </si>
  <si>
    <t>ADORNO ROCA CON SETAS</t>
  </si>
  <si>
    <t>BILJAC SMART JACS SKIN &amp; COAT SUPPORT 113 G</t>
  </si>
  <si>
    <t>SHAMP. PIEL EXTRA SENSIBLE TRAPER 250 ML</t>
  </si>
  <si>
    <t>BENEBONE PAWPLEXER PEANUT SMALL</t>
  </si>
  <si>
    <t>BENEBONE PAWPLEXER PEANUT LARGE</t>
  </si>
  <si>
    <t>BENEBONE PAWPLEXER CHICKEN SMALL</t>
  </si>
  <si>
    <t>BENEBONE DENT CHEW PEANUT SMALL</t>
  </si>
  <si>
    <t>BENEBONE DENT CHEW CHICKEN SMALL</t>
  </si>
  <si>
    <t>BENEBONE DENT CHEW CHICKEN MEDIUM</t>
  </si>
  <si>
    <t>Belcando Puppy Gravy Perro POLLO, PESCADO Y VEGETALES 4 KG</t>
  </si>
  <si>
    <t>ADORNO PUENTE A</t>
  </si>
  <si>
    <t>ADORNO PIRAMIDE</t>
  </si>
  <si>
    <t>ADORNO PILAR ROMANO 8.5X7.5X10.5</t>
  </si>
  <si>
    <t>ADORNO PILAR ROMANO 13X4X12.5</t>
  </si>
  <si>
    <t>ADORNO PILAR PEQUEÑO</t>
  </si>
  <si>
    <t>ADORNO PIEDRAS 17.2x15.3x7.7 cm</t>
  </si>
  <si>
    <t>ADORNO PARA ACUARIOS MOAI MEDIANO (14*13*15.5 CM)</t>
  </si>
  <si>
    <t>ADORNO PARA ACUARIOS DISEÑO ARBOL BONSAI MADERA NATURAL 23x17x10 cm</t>
  </si>
  <si>
    <t>BILJAC SMART JACS DIGESTIVE SUPPORT 113 G</t>
  </si>
  <si>
    <t>SHAMP. PELO MARRON 300 ML</t>
  </si>
  <si>
    <t>SHAMP. NEUTRO PUPPY 260 ML</t>
  </si>
  <si>
    <t>SHAMP. NEUTRO PERRO 260 ML</t>
  </si>
  <si>
    <t>SHAMP. NEUTRO GATO 260 ML</t>
  </si>
  <si>
    <t>SHAMP. GERMEN DE TRIGO PUPPY 300 ML</t>
  </si>
  <si>
    <t>SHAMP. ALOE VERA 300 ML</t>
  </si>
  <si>
    <t>SHAKE RUFF LEASH SMALL</t>
  </si>
  <si>
    <t>SHAKE RUFF LEASH LARGE</t>
  </si>
  <si>
    <t>sevoflurano 250 liquido para inhalacion</t>
  </si>
  <si>
    <t>SENSPERT CPV PARVOVIRUS TEST</t>
  </si>
  <si>
    <t>SENSPERT CDV AG DISTEMPER TEST</t>
  </si>
  <si>
    <t>SENSIBLE CAT 7.5 KG ROYAL CANIN</t>
  </si>
  <si>
    <t>SENSIBLE 1.5 KG ROYAL CANIN</t>
  </si>
  <si>
    <t>SET PORTABOLSAS + ROLLO BOLSAS</t>
  </si>
  <si>
    <t>SENTRY CALMING OINTMENT FOR ANXIOUS DOGS 1.5OZ</t>
  </si>
  <si>
    <t>SET PARA COLGAR HUESOS DE JIBIA (12 UNI)</t>
  </si>
  <si>
    <t>SET PARA COLGAR HUESOS DE JIBIA</t>
  </si>
  <si>
    <t>SET JUEGO 3 PIEZS PATIN,CARRO Y CONO</t>
  </si>
  <si>
    <t>SET DE LIMPIEZA INCLUYE MANGUERA Y CONEXION A GRIFO</t>
  </si>
  <si>
    <t>SET ADORNO DE RESINA PARA ACUARIO (4 PIEDRAS)</t>
  </si>
  <si>
    <t>SCALIBOR COLLAR PERROS</t>
  </si>
  <si>
    <t>SAZONADOR SPRINKLES PARA PERRO 100% VACUNO (60GR)</t>
  </si>
  <si>
    <t>SAZONADOR SPRINKLES PARA PERRO 100% POLLO (60GR)</t>
  </si>
  <si>
    <t>SAZONADOR SPRINKLES PARA PERRO 100% CORAZON CORDERO (60GR)</t>
  </si>
  <si>
    <t>separador de farabeuf</t>
  </si>
  <si>
    <t>SENTRY STOP THAT! BEHAVIOR CORRECTION SPRAY DOG 1OZ</t>
  </si>
  <si>
    <t>SENTRY STOP THAT! BEHAVIOR CORRECTION SPRAY CAT 1OZ</t>
  </si>
  <si>
    <t>SENTRY PETRODEX ENZYMATIC TOOTHPASTE DOG POULTRY</t>
  </si>
  <si>
    <t>SENTRY CALMING SPRAY DOG 1.62OZ</t>
  </si>
  <si>
    <t>SENTRY CALMING SPRAY CAT 1.62OZ</t>
  </si>
  <si>
    <t>SET PARA COLGAR HUESOS DE JIBIA.</t>
  </si>
  <si>
    <t>ADORNO CRANEO 22x10.3x13 cm</t>
  </si>
  <si>
    <t>ADORNO CORTEZA</t>
  </si>
  <si>
    <t>ADORNO COLUMNAS GRIEGAS</t>
  </si>
  <si>
    <t>ADORNO CASTILLO</t>
  </si>
  <si>
    <t>ADORNO CASA CON MOLINO</t>
  </si>
  <si>
    <t>ADORNO CALAVERA PIRATA 16x13x15.8 cm</t>
  </si>
  <si>
    <t>ADORNO PARA ACUARIOS CRANEO TRICERATOP 14.3x12x9.7 cm</t>
  </si>
  <si>
    <t>ADORNO PARA ACUARIOS BARCO CON VELA MEDIANO (25*10.5*17 CM)</t>
  </si>
  <si>
    <t>SMAKERS EXCELLENT CHINCHILLAS 110GR</t>
  </si>
  <si>
    <t>SMASH LEASH EXTRA SMALL ZEEDOG</t>
  </si>
  <si>
    <t>SMASH COLLAR MEDIUM ZEEDOG</t>
  </si>
  <si>
    <t>SMASH COLLAR LARGE ZEEDOG</t>
  </si>
  <si>
    <t>SMASH COLLAR EXTRA SMALL ZEEDOG</t>
  </si>
  <si>
    <t>SMASH CAT COLLAR ZEECAT</t>
  </si>
  <si>
    <t>ADORNO MOAI GRANDE</t>
  </si>
  <si>
    <t>SMASH ADJ. AIR MESH HARNESS MEDIUM ZEEDOG</t>
  </si>
  <si>
    <t>SMASH ADJ. AIR MESH HARNESS LARGE ZEEDOG</t>
  </si>
  <si>
    <t>SMASH ADJ. AIR MESH HARNESS EXTRA SMALL ZEEDOG</t>
  </si>
  <si>
    <t>SMART FEEEDING ALIMENTADOR AUTOMATICO COLOR BLANCO</t>
  </si>
  <si>
    <t>SMART FEDING ALIMENTADOR AUTOMATICO COLOR BLANCO</t>
  </si>
  <si>
    <t>SKULL COLLAR LARGE ZEEDOG</t>
  </si>
  <si>
    <t>SKULL COLLAR EXTRA SMALL ZEEDOG</t>
  </si>
  <si>
    <t>SKULL 2.0 LEASH LARGE ZEEDOG</t>
  </si>
  <si>
    <t>SKULL 2.0 HARNESS + LEASH SET ZEECAT</t>
  </si>
  <si>
    <t>SMALL WISEBONES TURKEY WITH PARSLEY 200G</t>
  </si>
  <si>
    <t>SMAKERS FRUIT FOR BUDGIE 2 PCS 60G</t>
  </si>
  <si>
    <t>SMAKERS FOR RODENTS/RABBI - FLORAL 90GR</t>
  </si>
  <si>
    <t>SMAKERS EXCELLENT RATAS 110GR</t>
  </si>
  <si>
    <t>SMAKERS EXCELLENT HAMSTER Y GERBOS 110GR</t>
  </si>
  <si>
    <t>SMAKERS EXCELLENT CONEJOS 110GR</t>
  </si>
  <si>
    <t>SMASH ADJ. AIR MESH HARNESS SMALL ZEEDOG</t>
  </si>
  <si>
    <t>Snack Salmon Gato IKAI</t>
  </si>
  <si>
    <t>SNACK PARA GATOS PECES DESHIDRATADOS</t>
  </si>
  <si>
    <t>SNACK MASTICABLE TURKEY POP PARA PERROS (200GR)</t>
  </si>
  <si>
    <t>SNACK MASTICABLE CHICKEN POP PARA PERROS (200GR)</t>
  </si>
  <si>
    <t>SMASH LEASH SMALL ZEEDOG</t>
  </si>
  <si>
    <t>SNACK EN PASTA YELLOWFIN TUNA SCALLOP 15 G SACHET BIOLINE</t>
  </si>
  <si>
    <t>SNACK EN PASTA POLLO 15 G SACHET BIOLINE</t>
  </si>
  <si>
    <t>SNACK DE SALMON CON PIEL 100G</t>
  </si>
  <si>
    <t>SNACK CUBOS DE POLLO 100G</t>
  </si>
  <si>
    <t>SNACK CUBOS DE PATO 100G</t>
  </si>
  <si>
    <t>SNACK CREMOSO: YELLOWFIN TUNA 15GR * 6</t>
  </si>
  <si>
    <t>SNACK CREMOSO: TUNA SCALLOP 15GR * 6</t>
  </si>
  <si>
    <t>SNACK CREMOSO: CHICKEN FLAVOR 15GRS X6 PCS</t>
  </si>
  <si>
    <t>SMART DOG BOWL 23*23CM</t>
  </si>
  <si>
    <t>ADORNO DE CUEVA ESTILO DE PIEDRA</t>
  </si>
  <si>
    <t>SMART BOWL Plato con sensor de peso Volumen 1000 ml</t>
  </si>
  <si>
    <t>SMALL WISEBONES VENISON WITH ROSEMARY 200G</t>
  </si>
  <si>
    <t>SNACK CHICKEN SUSHI 100G</t>
  </si>
  <si>
    <t>SNACK BROCHETA DEBOLAS DE HIERBA</t>
  </si>
  <si>
    <t>SMUTTDOG MANTEQUILLA DE MANI CON PROBIOTICOS 260 GR</t>
  </si>
  <si>
    <t>SMUTTDOG MANTEQUILLA DE MANI 260 GR</t>
  </si>
  <si>
    <t>SMOKING PATA MASCOTAS</t>
  </si>
  <si>
    <t>SMOKING PARA MASCOTAS L AZUL</t>
  </si>
  <si>
    <t>SMOKING PARA MASCOTAS</t>
  </si>
  <si>
    <t>ADORNO TRONCO 20.5x9x8 cm</t>
  </si>
  <si>
    <t>ADORNO TORRE DE ROCAS</t>
  </si>
  <si>
    <t>ADORNO TORRE DE PISA</t>
  </si>
  <si>
    <t>ADORNO DOPHIN ROCA FLOTANTE ( 9 X 6 X 5 CM)</t>
  </si>
  <si>
    <t>ADORNO DOPHIN CRISTALES ( INCLUYE LUZ)</t>
  </si>
  <si>
    <t>SMART BOWL Plato con sensor de peso Volumen 350 ml</t>
  </si>
  <si>
    <t>SKIPDAWG DUROFLEX BALL</t>
  </si>
  <si>
    <t>SKIPDAWG BREEZT BALL 2 PELOTAS 2.5"</t>
  </si>
  <si>
    <t>SKINDRAG SHAMPOO CALENDULA 250 ML</t>
  </si>
  <si>
    <t>SIR DOG PERFUM MACHO STRONGER LOVER 80 ML</t>
  </si>
  <si>
    <t>BENEBONE WISH CHEW BACON LARGE</t>
  </si>
  <si>
    <t>BEBEDERO PUNTA METALICA 500 ML</t>
  </si>
  <si>
    <t>BEBEDERO PICAFLOR MINI</t>
  </si>
  <si>
    <t>BEBEDERO PARA PAJARERAS</t>
  </si>
  <si>
    <t>BEBEDERO HAMSTER 80 ML ( BASE AUTOSUSTENTABLE)</t>
  </si>
  <si>
    <t>BEBEDERO HÁMSTER 125 ML BLISTER</t>
  </si>
  <si>
    <t>Bebedero Granja o pajareras 11 L</t>
  </si>
  <si>
    <t>BELCANDO PUPPY GRAVY 1KG</t>
  </si>
  <si>
    <t>Belcando Latas Ternera Perro con Patata y Guisantes 400 GR</t>
  </si>
  <si>
    <t>SKIPDAWG TPR AGILITY BALL 2 PELOTAS</t>
  </si>
  <si>
    <t>BELCANDO LATA TERNERA CON PATATA Y GUISANTES 800GR</t>
  </si>
  <si>
    <t>BELCANDO LATA POLLO CON PATO MIJO ZANAHORIA 800 GR</t>
  </si>
  <si>
    <t>BELCANDO LATA JUNIOR AVE Y HUEVO 800GR</t>
  </si>
  <si>
    <t>BELCANDO LATA JUNIOR AVE Y HUEVO 400GR</t>
  </si>
  <si>
    <t>SINPUL-D POLVO PARA BAÑO SANITARIO SACHET 20G</t>
  </si>
  <si>
    <t>SINPUL DRY TALCO PERRO 100 GRS</t>
  </si>
  <si>
    <t>ADULT INST POUCH 85 GRS</t>
  </si>
  <si>
    <t>ADULT INST 7+ POUCH 85 GRS ROYAL CANIN</t>
  </si>
  <si>
    <t>ADORNO PARA ACUARIO MADERA NATURAL DRIFT WOOD S 15-20 CM</t>
  </si>
  <si>
    <t>ADORNO PARA ACUARIO MADERA NATURAL DRIFT WOOD M 20-30 CM</t>
  </si>
  <si>
    <t>ADORNO PARA ACUARIO MADERA NATURAL DRIFT WOOD L 30-40 CM</t>
  </si>
  <si>
    <t>ADORNO PARA ACUARIO BARCO PIRATA 23.5X6.5X15 CM</t>
  </si>
  <si>
    <t>ADORNO MONSTRUO ARBOL</t>
  </si>
  <si>
    <t>ADORNO MOLINO CON DIFUSOR</t>
  </si>
  <si>
    <t>Belcando Latas Single Cordero perro 400 GR</t>
  </si>
  <si>
    <t>SKIPDAWG PATHFINDER NARANJA</t>
  </si>
  <si>
    <t>SKIPDAWG ORIGINALO 18"</t>
  </si>
  <si>
    <t>SMAKERS DE BISCOCHOS PARA CANARIOS</t>
  </si>
  <si>
    <t>SMAKER NATURAL LIME FOR BIRD 2 PCS 135GRS</t>
  </si>
  <si>
    <t>SKULL LEASH SMALL ZEEDOG</t>
  </si>
  <si>
    <t>SKULL LEASH LARGE ZEEDOG</t>
  </si>
  <si>
    <t>SKULL LEASH EXTRA SMALL ZEEDOG</t>
  </si>
  <si>
    <t>SKULL H-HARNESS SMALL ZEEDOG</t>
  </si>
  <si>
    <t>SKULL H-HARNESS MEDIUM ZEEDOG</t>
  </si>
  <si>
    <t>SKULL H-HARNESS LARGE ZEEDOG</t>
  </si>
  <si>
    <t>SKULL H-HARNESS EXTRA SMALL ZEEDOG</t>
  </si>
  <si>
    <t>SKULL COLLAR ZEECAT</t>
  </si>
  <si>
    <t>SKULL COLLAR SMALL ZEEDOG</t>
  </si>
  <si>
    <t>SKULL COLLAR MEDIUM ZEEDOG</t>
  </si>
  <si>
    <t>SKIPDAWG ORIGINAL DUROFLEX DISC 9"</t>
  </si>
  <si>
    <t>SIR DOG ACONDICIONADOR 390 ML</t>
  </si>
  <si>
    <t>SKULL 2.0 COLLAR SMALL</t>
  </si>
  <si>
    <t>SKULL 2.0 COLLAR MEDIUM</t>
  </si>
  <si>
    <t>SKULL 2.0 COLLAR LARGE ZEEDOG</t>
  </si>
  <si>
    <t>SKULL 2.0 COLLAR EXTRA SMALL ZEEDOG</t>
  </si>
  <si>
    <t>SKULL 2.0 CAT COLLAR ZEECAT</t>
  </si>
  <si>
    <t>SKIPDAWG X-FOAM BALL</t>
  </si>
  <si>
    <t>SKIPDAWG URBAN TRAVELER COLLAR S NARANJO</t>
  </si>
  <si>
    <t>SKIPDAWG URBAN TRAVELER COLLAR S AZUL</t>
  </si>
  <si>
    <t>SKIPDAWG URBAN TRAVELER COLLAR M NARANJO</t>
  </si>
  <si>
    <t>SKIPDAWG URBAN TRAVELER COLLAR M AZUL</t>
  </si>
  <si>
    <t>SKIPDAWG URBAN TRAVELER COLLAR L NARANJO</t>
  </si>
  <si>
    <t>SKIPDAWG URBAN TRAVELER COLLAR L AZUL</t>
  </si>
  <si>
    <t>SKIPDAWG ORIGINAL GENTLE PULL NARANJA</t>
  </si>
  <si>
    <t>SKIPDAWG ORIGINAL GENTLE PULL AMARILLO</t>
  </si>
  <si>
    <t>SIR DOG PERFUM HEMBRA FLORAL WOOF 80 ML</t>
  </si>
  <si>
    <t>COLLAR PARA GATOS TIPO BANDANA CON FLOR S</t>
  </si>
  <si>
    <t>COLLAR PARA GATOS TIPO BANDANA CON FLOR</t>
  </si>
  <si>
    <t>COLLAR PARA GATO EN FORMA DE FLOR</t>
  </si>
  <si>
    <t>COLLAR PARA GATO DISEÑO PEZ</t>
  </si>
  <si>
    <t>COLLAR PARA GATO DISEÑO CONEJO</t>
  </si>
  <si>
    <t>Collar Marben Pro M (2,0 cm - Cuellos de: 35 - 43 cm)</t>
  </si>
  <si>
    <t>Collar Marben Pro L (2,5 cm</t>
  </si>
  <si>
    <t>COLLAR LEONAR M</t>
  </si>
  <si>
    <t>COLLAR M ROSADO-NEGRO-CELESTE</t>
  </si>
  <si>
    <t>COLLAR M ROSADO-CELESTE</t>
  </si>
  <si>
    <t>COLLAR M ROJO-NEGRO-NARANJA</t>
  </si>
  <si>
    <t>COLLAR M DISEÑO PLUMAS</t>
  </si>
  <si>
    <t>COLLAR M DISEÑO FLAMENCOS</t>
  </si>
  <si>
    <t>COLLAR M DISEÑO ANIMAL PRINT</t>
  </si>
  <si>
    <t>LEONARDO DRINK DUCK ( PATO ) 40 GR</t>
  </si>
  <si>
    <t>COLLAR M CELESTE-NARANJA-NEGRO</t>
  </si>
  <si>
    <t>COLLAR M AZUL-CELESTE</t>
  </si>
  <si>
    <t>COLLAR M AMARILLO-NEGRO-NARANJA</t>
  </si>
  <si>
    <t>COLLAR M AMARILLO-CELESTE-NARANJA</t>
  </si>
  <si>
    <t>COLLAR L DISEÑO ANIMAL PRINT</t>
  </si>
  <si>
    <t>COLLAR M (1.6*30‐45 CM) DISEÑO ZIGZAG BLANCO Y NEGRO WONDER DOG</t>
  </si>
  <si>
    <t>COLLAR M (1.6*30‐45 CM) DISEÑO MULTICOLOR WONDER DOG</t>
  </si>
  <si>
    <t>COLLAR M (1.6*30‐45 CM) DISEÑO MIXTO 3 WONDER DOG</t>
  </si>
  <si>
    <t>COLLAR M (1.6*30‐45 CM) DISEÑO MIXTO 2 WONDER DOG</t>
  </si>
  <si>
    <t>COLLAR M (1.6*30‐45 CM) DISEÑO MIXTO 1 WONDER DOG</t>
  </si>
  <si>
    <t>COLLAR M (1.6*30‐45 CM) DISEÑO ETNICO 2 WONDER DOG</t>
  </si>
  <si>
    <t>COLLAR LEONAR S</t>
  </si>
  <si>
    <t>COLLAR LEONAR L</t>
  </si>
  <si>
    <t>COLLAR LED TALLA XL</t>
  </si>
  <si>
    <t>COLLAR M CELESTE-ROSADO-NARANJA</t>
  </si>
  <si>
    <t>Arnes Police K9 Pro Camuflaje Naranja Talla XS</t>
  </si>
  <si>
    <t>Arnes Police K9 Pro Camuflaje Naranja Talla XL</t>
  </si>
  <si>
    <t>Arnes Police K9 Pro Camuflaje Naranja Talla S</t>
  </si>
  <si>
    <t>Arnes Police K9 Pro Camuflaje Naranja Talla M</t>
  </si>
  <si>
    <t>Arnes Police K9 Pro Camuflaje Naranja Talla L</t>
  </si>
  <si>
    <t>Arnes Police K9 Pro Camuflaje Camuflaje Verde Talla XXL</t>
  </si>
  <si>
    <t>Arnes Police K9 Pro Colores Abstractos Talla L</t>
  </si>
  <si>
    <t>ARNES POLICE K9 PRO COLOR GRIS TALLA XXL</t>
  </si>
  <si>
    <t>ARNES POLICE K9 PRO COLOR GRIS TALLA XS</t>
  </si>
  <si>
    <t>ARNES POLICE K9 PRO COLOR GRIS TALLA XL</t>
  </si>
  <si>
    <t>COLLAR S (1.0*20‐31 CM)</t>
  </si>
  <si>
    <t>COLLAR REFRESCANTE TALLA S</t>
  </si>
  <si>
    <t>COLLAR M VERDE-NEGRO-GRIS</t>
  </si>
  <si>
    <t>COLLAR REFRESCANTE TALLA L</t>
  </si>
  <si>
    <t>COLLAR PARA GATOS VARIEDADES</t>
  </si>
  <si>
    <t>COLLAR PROTECCION ANTI-LAMIDO VARIOS DISEÑOS S</t>
  </si>
  <si>
    <t>COLLAR PROTECCION ANTI-LAMIDO VARIOS DISEÑOS M</t>
  </si>
  <si>
    <t>COLLAR PROTECCION ANTI-LAMIDO VARIOS DISEÑOS L</t>
  </si>
  <si>
    <t>COLLAR PROTECCION ANTI-LAMIDO DISEÑO DONAS XS</t>
  </si>
  <si>
    <t>COLLAR PROTECCION ANTI-LAMIDO DISEÑO DONAS XL</t>
  </si>
  <si>
    <t>COLLAR PROTECCION ANTI-LAMIDO DISEÑO DONAS L</t>
  </si>
  <si>
    <t>COLLAR PROTECCION ACOLCHADO S</t>
  </si>
  <si>
    <t>COLLAR PROTECCION ACOLCHADO M</t>
  </si>
  <si>
    <t>COLLAR PROTECCION ACOLCHADO L</t>
  </si>
  <si>
    <t>COLLAR PLACA XXL</t>
  </si>
  <si>
    <t>COLLAR PLACA XL</t>
  </si>
  <si>
    <t>COLLAR PLACA M</t>
  </si>
  <si>
    <t>COLLAR PLACA L</t>
  </si>
  <si>
    <t>COLLAR PERRO ANTIPULGAS MARGOSA</t>
  </si>
  <si>
    <t>COLLAR PATITA 2.5 CM</t>
  </si>
  <si>
    <t>COLLAR PROTECCION ANTI-LAMIDO VARIOS DISEÑOS XS</t>
  </si>
  <si>
    <t>COLLAR L (1.9*35‐50 CM) DISEÑO MIXTO 3 WONDER DOG</t>
  </si>
  <si>
    <t>COLLAR L (1.9*35‐50 CM) DISEÑO ETNICO 3 WONDER DOG</t>
  </si>
  <si>
    <t>COLLAR L (1.9*35‐50 CM) DISEÑO ETNICO 2 WONDER DOG</t>
  </si>
  <si>
    <t>COLLAR HUESITO TALLA S</t>
  </si>
  <si>
    <t>COLLAR ISABELINO VELCRO (76x40x21)</t>
  </si>
  <si>
    <t>COLLAR ISABELINO VELCRO (71x37x21)</t>
  </si>
  <si>
    <t>COLLAR ISABELINO VELCRO (68x46x31)</t>
  </si>
  <si>
    <t>COLLAR ISABELINO VELCRO (67x34x22)</t>
  </si>
  <si>
    <t>COLLAR ISABELINO VELCRO (52x30x40)</t>
  </si>
  <si>
    <t>COLLAR ISABELINO INFLABLE XXL</t>
  </si>
  <si>
    <t>COLLAR ISABELINO INFLABLE XS</t>
  </si>
  <si>
    <t>COLLAR GATO DISEÑO ESPINA DE PEZ Y GATO</t>
  </si>
  <si>
    <t>COLLAR ISABELINO INFLABLE M</t>
  </si>
  <si>
    <t>COLLAR ISABELINO INFLABLE L</t>
  </si>
  <si>
    <t>COLLAR LED TALLA S</t>
  </si>
  <si>
    <t>COLLAR ISABELINO 30 CM</t>
  </si>
  <si>
    <t>COLLAR ISABELINO 25 CM</t>
  </si>
  <si>
    <t>COLLAR ISABELINO 20 CM</t>
  </si>
  <si>
    <t>COLLAR ISABELINO 15 CM</t>
  </si>
  <si>
    <t>CAMA ACOLCHADA CELESTE Y GRIS M (50X40X10)</t>
  </si>
  <si>
    <t>CALMER 30 ML SPRAY</t>
  </si>
  <si>
    <t>CALEFACTOR REGULABLE DOPHIN 150 WATTS</t>
  </si>
  <si>
    <t>CALEFACTOR REGULABLE 75 WATTS</t>
  </si>
  <si>
    <t>CALZON DE CELO PARA PERROS XS (25-35CM) ROSADO</t>
  </si>
  <si>
    <t>CALZON DE CELO PARA PERROS XS (25-35CM) MORADO</t>
  </si>
  <si>
    <t>CALZON DE CELO PARA PERROS XS (25-35CM)</t>
  </si>
  <si>
    <t>CALZON DE CELO PARA PERROS XL (41-65CM) ROSADO</t>
  </si>
  <si>
    <t>CALZON DE CELO PARA PERROS XL (41-65CM) MORADO</t>
  </si>
  <si>
    <t>CALZON DE CELO PARA PERROS XL (41-65CM)</t>
  </si>
  <si>
    <t>CALZON DE CELO PARA PERROS S (29-40CM) ROSADO</t>
  </si>
  <si>
    <t>COLLAR ISABELINO 40 CM</t>
  </si>
  <si>
    <t>COLLAR LED TALLA M</t>
  </si>
  <si>
    <t>COLLAR LED TALLA L</t>
  </si>
  <si>
    <t>COLLAR L VERDE-NEGRO-GRIS</t>
  </si>
  <si>
    <t>COLLAR L ROSADO-NEGRO-CELESTE</t>
  </si>
  <si>
    <t>COLLAR L ROSADO-CELESTE</t>
  </si>
  <si>
    <t>COLLAR L ROJO-NEGRO-NARANJA</t>
  </si>
  <si>
    <t>COLLAR L DISEÑO PLUMAS</t>
  </si>
  <si>
    <t>COLLAR L DISEÑO HALLOWEEN</t>
  </si>
  <si>
    <t>ARNES TACTICO DISEÑOS MILITARES L</t>
  </si>
  <si>
    <t>ARNES POLICE K9 PRO COLOR BLANCO Y NEGRO</t>
  </si>
  <si>
    <t>COLLAR L (1.9*35‐50 CM) DISEÑO MULTICOLOR WONDER DOG</t>
  </si>
  <si>
    <t>ARNES POLICE K9 PRO COLOR BLANCO Y AZUL</t>
  </si>
  <si>
    <t>Arnes Police K9 Pro Camuflaje Triangulos Celeste Talla XXL</t>
  </si>
  <si>
    <t>Arnes Police K9 Pro Camuflaje Triangulos Celeste Talla XS</t>
  </si>
  <si>
    <t>Arnes Police K9 Pro Camuflaje Triangulos Celeste Talla XL</t>
  </si>
  <si>
    <t>ARNES REFORZADO CON MANILLA 3 COLORES M (NEGRO)</t>
  </si>
  <si>
    <t>ARNES REFORZADO CON MANILLA 3 COLORES M (GRIS)</t>
  </si>
  <si>
    <t>ARNES REFORZADO CON MANILLA 3 COLORES L (VERDE)</t>
  </si>
  <si>
    <t>ARNES REFORZADO CON MANILLA 3 COLORES L (NEGRO)</t>
  </si>
  <si>
    <t>COLLAR L CELESTE-ROSADO-NARANJA</t>
  </si>
  <si>
    <t>COLLAR L CELESTE-NARANJA-NEGRO</t>
  </si>
  <si>
    <t>COLLAR L AZUL-CELESTE</t>
  </si>
  <si>
    <t>COLLAR L AMARILLO-NEGRO-NARANJA</t>
  </si>
  <si>
    <t>COLLAR L AMARILLO-CELESTE-NARANJA</t>
  </si>
  <si>
    <t>COLLAR L (1.9*35‐50 CM) DISEÑO ZIGZAG BLANCO Y NEGRO WONDER DOG</t>
  </si>
  <si>
    <t>CALEFACTOR DOPHIN 300 WATTS</t>
  </si>
  <si>
    <t>CALMING SPOT ON GATO X3 - BEAPHAR</t>
  </si>
  <si>
    <t>CALMING SHAMPOO</t>
  </si>
  <si>
    <t>CALMING NO STRESS RECARGA 30 ML</t>
  </si>
  <si>
    <t>CALMING KIT DIFUSOR GATO NO STRESS 30ML</t>
  </si>
  <si>
    <t>CALMING HOME SPRAY PERROS Y GATOS 125ML - BEAPHAR</t>
  </si>
  <si>
    <t>ARNES+TRALLA S (WONDER DOG) ROSADO</t>
  </si>
  <si>
    <t>ARNES+TRALLA S (WONDER DOG) MULTICOLOR</t>
  </si>
  <si>
    <t>ARNES+TRALLA S (WONDER DOG) AZUL</t>
  </si>
  <si>
    <t>ARNES WONDERDOG XL CAMUFLAJE CELESTE</t>
  </si>
  <si>
    <t>ARNES WONDERDOG XL AZUL</t>
  </si>
  <si>
    <t>ARNES WONDERDOG S ROJO</t>
  </si>
  <si>
    <t>COLONIA ANIMAL HEALTH HEMBRA</t>
  </si>
  <si>
    <t>COLLARES PERRO O GATO DISEÑOS 40-55CM</t>
  </si>
  <si>
    <t>Arnes Police K9 Pro Camuflaje Naranja Talla XXL</t>
  </si>
  <si>
    <t>COLLARES PERRO O GATO DISEÑOS 30-45CM</t>
  </si>
  <si>
    <t>COLLARES PERRO O GATO DISEÑOS 20-30CM</t>
  </si>
  <si>
    <t>COLLAR XS VERDE-NEGRO-GRIS</t>
  </si>
  <si>
    <t>COLLAR XS ROSADO-NEGRO-CELESTE</t>
  </si>
  <si>
    <t>COLLAR XS ROSADO-CELESTE</t>
  </si>
  <si>
    <t>COLLAR XS ROJO-NEGRO-NARANJA</t>
  </si>
  <si>
    <t>COLLAR XS CELESTE-ROSADO-NARANJA</t>
  </si>
  <si>
    <t>COLLAR XS CELESTE-NARANJA-NEGRO</t>
  </si>
  <si>
    <t>COLLAR XS AZUL-CELESTE</t>
  </si>
  <si>
    <t>COLLAR XS AMARILLO-NEGRO-NARANJA</t>
  </si>
  <si>
    <t>COLLAR WONDER CAT ANTI AHORQUE DISEÑO DE LUNAS</t>
  </si>
  <si>
    <t>COLLAR XL DISEÑO PLUMAS</t>
  </si>
  <si>
    <t>COLLAR XL DISEÑO HALLOWEEN</t>
  </si>
  <si>
    <t>COLLAR XL DISEÑO FLAMENCOS</t>
  </si>
  <si>
    <t>COLLARES PERRO O GATO DISEÑOS 35-50CM</t>
  </si>
  <si>
    <t>ARNES POLICE K9 PRO COLOR GRIS TALLA M</t>
  </si>
  <si>
    <t>ARNES POLICE K9 PRO COLOR GRIS</t>
  </si>
  <si>
    <t>Arnes Police K9 Pro Camuflaje Cafe Talla XL</t>
  </si>
  <si>
    <t>Arnes Police K9 Pro Camuflaje Cafe Talla S</t>
  </si>
  <si>
    <t>Arnes Police K9 Pro Camuflaje Cafe Talla M</t>
  </si>
  <si>
    <t>Arnes Police K9 Pro Camuflaje Cafe Talla L</t>
  </si>
  <si>
    <t>Arnes Police K9 Pro Camuflaje Azul y Gris Talla XXL</t>
  </si>
  <si>
    <t>Arnes Police K9 Pro Camuflaje Azul y Gris Talla XL</t>
  </si>
  <si>
    <t>Arnes Police K9 Pro Camuflaje Azul y Gris Talla S</t>
  </si>
  <si>
    <t>Arnes Police K9 Pro Camuflaje Azul y Gris Talla M</t>
  </si>
  <si>
    <t>Arnes Police K9 Pro Camuflaje Azul y Gris Talla L</t>
  </si>
  <si>
    <t>Arnes Police K9 Pro Camuflaje Triangulos Celeste Talla S</t>
  </si>
  <si>
    <t>Arnes Police K9 Pro Camuflaje Triangulos Celeste Talla M</t>
  </si>
  <si>
    <t>Arnes Police K9 Pro Camuflaje Triangulos Celeste Talla L</t>
  </si>
  <si>
    <t>CALEFACTOR FIJO 10 WATTS</t>
  </si>
  <si>
    <t>Columpio para aves - (barra transversal 1,5*18cm)</t>
  </si>
  <si>
    <t>COLUMPIO MADERA COLORES</t>
  </si>
  <si>
    <t>COLUMPIO HAMSTER</t>
  </si>
  <si>
    <t>COLLAR XS AMARILLO-CELESTE-NARANJA</t>
  </si>
  <si>
    <t>COLUMPIO DE CUERDA DE ALGODON + MADERA</t>
  </si>
  <si>
    <t>COLUMPIO CAMPANAS</t>
  </si>
  <si>
    <t>COLUMPIO AVES BASE DE MADERA</t>
  </si>
  <si>
    <t>COLUMPIO AVES (MADERA COLORES)</t>
  </si>
  <si>
    <t>Columpio aves</t>
  </si>
  <si>
    <t>COLOUR STICKS 5 L / 400 GR PELLET ROJO TROPICAL</t>
  </si>
  <si>
    <t>COLONIA LAIKA PET LADY 130 ML</t>
  </si>
  <si>
    <t>COLLAR XL (2.5*40‐55 CM) DISEÑO ETNICO 3 WONDER DOG</t>
  </si>
  <si>
    <t>CALEFACTOR FIJO 25 WATTS</t>
  </si>
  <si>
    <t>CALEFACTOR FIJO 20 WATTS</t>
  </si>
  <si>
    <t>CALEFACTOR FIJO 15 WATTS</t>
  </si>
  <si>
    <t>Arnes Police K9 Pro Camuflaje Rojo Talla XXL</t>
  </si>
  <si>
    <t>COLLAR SINTETICO COLORES XS</t>
  </si>
  <si>
    <t>COLLAR SINTETICO COLORES XL</t>
  </si>
  <si>
    <t>COLLAR SINTETICO COLORES S</t>
  </si>
  <si>
    <t>COLLAR SINTETICO COLORES M</t>
  </si>
  <si>
    <t>COLLAR SEGURO ANTI-AHORQUE PAJARITOS</t>
  </si>
  <si>
    <t>COLLAR SEGURO ANTI-AHORQUE FLORES</t>
  </si>
  <si>
    <t>COLLAR S ROSADO-NEGRO-CELESTE</t>
  </si>
  <si>
    <t>COLLAR S ROSADO-CELESTE</t>
  </si>
  <si>
    <t>COLLAR S ROJO-NEGRO-NARANJA</t>
  </si>
  <si>
    <t>COLLAR S DISEÑO PLUMAS</t>
  </si>
  <si>
    <t>COLLAR S DISEÑO ESPACIAL</t>
  </si>
  <si>
    <t>COLLAR S DISEÑO DOG LOVER</t>
  </si>
  <si>
    <t>COLLAR S DISEÑO ANIMAL PRINT</t>
  </si>
  <si>
    <t>COLLAR S CELESTE-ROSADO-NARANJA</t>
  </si>
  <si>
    <t>COLLAR XL DISEÑO ANIMAL PRINT</t>
  </si>
  <si>
    <t>COLLAR S AZUL-CELESTE</t>
  </si>
  <si>
    <t>COLLAR S AMARILLO-NEGRO-NARANJA</t>
  </si>
  <si>
    <t>COLLAR S AMARILLO-CELESTE-NARANJA</t>
  </si>
  <si>
    <t>COLLAR PLACA S</t>
  </si>
  <si>
    <t>COLLAR S (1.0*20‐31 CM) DISEÑO MULTICOLOR WONDER DOG</t>
  </si>
  <si>
    <t>COLLAR S (1.0*20‐31 CM) DISEÑO MIXTO 2 WONDER DOG</t>
  </si>
  <si>
    <t>COLLAR S (1.0*20‐31 CM) DISEÑO MIXTO 1</t>
  </si>
  <si>
    <t>COLLAR S (1.0*20‐31 CM) DISEÑO ETNICO 3 WONDER DOG</t>
  </si>
  <si>
    <t>COLLAR S (1.0*20‐31 CM) DISEÑO ETNICO 2 WONDER DOG</t>
  </si>
  <si>
    <t>COLLAR S (1.0*20‐31 CM) DISEÑO ETNICO 1 WONDER DOG</t>
  </si>
  <si>
    <t>ARNES REFORZADO CON MANILLA 3 COLORES L (GRIS)</t>
  </si>
  <si>
    <t>ARNES RATAS HURONES PEQUEÑOS</t>
  </si>
  <si>
    <t>ARNES PRO CON MANGO XS</t>
  </si>
  <si>
    <t>Arnes Police K9 Pro Camuflaje Rojo Talla M</t>
  </si>
  <si>
    <t>Arnes Police K9 Pro Camuflaje Rojo Talla L</t>
  </si>
  <si>
    <t>COLLAR S CELESTE-NARANJA-NEGRO</t>
  </si>
  <si>
    <t>COLLAR XL (2.5*40‐55 CM) DISEÑO ZIGZAG NEGRO Y NARANJA WONDER DOG</t>
  </si>
  <si>
    <t>COLLAR XL (2.5*40‐55 CM) DISEÑO ZIGZAG BLANCO Y NEGRO WONDER DOG</t>
  </si>
  <si>
    <t>COLLAR XL (2.5*40‐55 CM) DISEÑO MIXTO 1 WONDER DOG</t>
  </si>
  <si>
    <t>COLLAR XL (2.5*40‐55 CM) DISEÑO MINI ZIGZAG AZUL WONDER DOG</t>
  </si>
  <si>
    <t>COLLAR TACTICO REFORZADO Y ASA M VERDE</t>
  </si>
  <si>
    <t>COLLAR XL (2.5*40‐55 CM) DISEÑO ETNICO 1 WONDER DOG</t>
  </si>
  <si>
    <t>COLLAR XL (2.5*40‐55 CM)</t>
  </si>
  <si>
    <t>COLLAR WONDER CAT ANTI AHORQUE- LUNAS ROSADO</t>
  </si>
  <si>
    <t>COLLAR WONDER CAT ANTI AHORQUE- LUNAS ROJO</t>
  </si>
  <si>
    <t>COLLAR WONDER CAT ANTI AHORQUE- LUNAS MORADO</t>
  </si>
  <si>
    <t>COLLAR WONDER CAT ANTI AHORQUE- LUNAS CELESTE</t>
  </si>
  <si>
    <t>COLLAR WONDER CAT ANTI AHORQUE DISEÑOS VARIADOS</t>
  </si>
  <si>
    <t>COLLAR WONDER CAT ANTI AHORQUE DISEÑO UICOLOR CON UN LAZO</t>
  </si>
  <si>
    <t>COLLAR WONDER CAT ANTI AHORQUE DISEÑO DE PUNTOS</t>
  </si>
  <si>
    <t>COLLAR SINTETICO COLORES XXS</t>
  </si>
  <si>
    <t>COLLAR S VERDE-NEGRO-GRIS</t>
  </si>
  <si>
    <t>COLLAR WONDER CAT ANTI AHORQUE DISEÑO DE LAZO VARIEDAD</t>
  </si>
  <si>
    <t>COLLAR WONDER CAT ANTI AHORQUE DISEÑO DE GATOS ESTRELLAS</t>
  </si>
  <si>
    <t>COLLAR WONDER CAT ANTI AHORQUE DISEÑO DE ESTRELLAS</t>
  </si>
  <si>
    <t>COLLAR WONDER CAT ANTI AHORQUE DISEÑO DE CUADROS CON LAZO</t>
  </si>
  <si>
    <t>COLLAR WONDER CAT ANTI AHORQUE DE NYLON DISEÑO UNICOLOR CON LAZO</t>
  </si>
  <si>
    <t>COLLAR TRAILLA ADIESTRAMIENTO GRDE. L</t>
  </si>
  <si>
    <t>COLLAR TEJIDO Y ECO CUERO 69</t>
  </si>
  <si>
    <t>COLLAR TACTICO REFORZADO Y ASA XL VERDE</t>
  </si>
  <si>
    <t>COLLAR TACTICO REFORZADO Y ASA XL MILITAR</t>
  </si>
  <si>
    <t>COLLAR TACTICO REFORZADO Y ASA XL CELESTE</t>
  </si>
  <si>
    <t>COLLAR TACTICO REFORZADO Y ASA M NEGRO</t>
  </si>
  <si>
    <t>COLLAR TACTICO REFORZADO Y ASA M MILITAR</t>
  </si>
  <si>
    <t>COLLAR TACTICO REFORZADO Y ASA L VERDE</t>
  </si>
  <si>
    <t>COLLAR TACTICO REFORZADO Y ASA L MILITAR</t>
  </si>
  <si>
    <t>COLLAR WONDER CAT ANTI AHORQUE DISEÑO DE NAVIDAD</t>
  </si>
  <si>
    <t>COLLAR CUERO SUELA LISO N°7</t>
  </si>
  <si>
    <t>COLLAR CUERO SUELA LISO N°6</t>
  </si>
  <si>
    <t>COLLAR CUERO SUELA LISO N°1</t>
  </si>
  <si>
    <t>COLLAR CUERO SUELA LISO N°0</t>
  </si>
  <si>
    <t>COLLAR CUERO S VARIEDADES BUDDY PET</t>
  </si>
  <si>
    <t>COLLAR CUERO ROTTWEILER</t>
  </si>
  <si>
    <t>COLLAR CUERO PLACA N°5</t>
  </si>
  <si>
    <t>COLLAR CUERO PLACA N°4</t>
  </si>
  <si>
    <t>COLLAR CUERO PLACA N°3</t>
  </si>
  <si>
    <t>COLLAR CUERO PLACA N°2.5</t>
  </si>
  <si>
    <t>COLLAR CUERO PLACA N°2</t>
  </si>
  <si>
    <t>COLLAR COWBOY S (1.5x36.5 cm) Negro</t>
  </si>
  <si>
    <t>COLLAR CUERO PLACA N°1</t>
  </si>
  <si>
    <t>COLLAR CUERO PLACA N°0</t>
  </si>
  <si>
    <t>CALZON DE CELO PARA PERROS S (29-40CM) MORADO</t>
  </si>
  <si>
    <t>COLLAR CUERO PLACA N6</t>
  </si>
  <si>
    <t>COLLAR CUERO PITBULL</t>
  </si>
  <si>
    <t>COLLAR CUERO BICOLOR XS</t>
  </si>
  <si>
    <t>COLLAR CUERO BICOLOR S</t>
  </si>
  <si>
    <t>COLLAR CUERO BICOLOR M</t>
  </si>
  <si>
    <t>COLLAR CUERO BICOLOR L</t>
  </si>
  <si>
    <t>Collar cuero (3.5*70cm)</t>
  </si>
  <si>
    <t>Collar cuero (3.0*63cm)</t>
  </si>
  <si>
    <t>Collar cuero (2.5*55cm)</t>
  </si>
  <si>
    <t>COLLAR COWBOY XS (1x30 cm) ROSADO</t>
  </si>
  <si>
    <t>COLLAR COWBOY XS (1x30 cm) ROJO</t>
  </si>
  <si>
    <t>COLLAR COLORES CUERO XS</t>
  </si>
  <si>
    <t>COLLAR COWBOY WONDERDOG XL ROJO</t>
  </si>
  <si>
    <t>COLLAR COWBOY WONDERDOG XL CELESTE</t>
  </si>
  <si>
    <t>COLLAR CUERO PLACA N7</t>
  </si>
  <si>
    <t>COLLAR ECO CUERO 29</t>
  </si>
  <si>
    <t>COLLAR ECO CUERO 28</t>
  </si>
  <si>
    <t>Collar diseño linea 2,5 cm</t>
  </si>
  <si>
    <t>Collar diseño linea 2,0 cm</t>
  </si>
  <si>
    <t>Collar diseño linea (2,0 cm ancho) verde</t>
  </si>
  <si>
    <t>Collar diseño linea (2,0 cm ancho) rosado</t>
  </si>
  <si>
    <t>Collar diseño linea (2,0 cm ancho) rojo</t>
  </si>
  <si>
    <t>Collar diseño linea (2,0 cm ancho) celeste</t>
  </si>
  <si>
    <t>Collar diamante mascotas</t>
  </si>
  <si>
    <t>COLLAR DE GATO PEZ</t>
  </si>
  <si>
    <t>COLLAR CUERO PLACA N°1.5</t>
  </si>
  <si>
    <t>COLLAR DE ECO CUERO Y ALGODON XS</t>
  </si>
  <si>
    <t>COLLAR DE ECO CUERO Y ALGODON S</t>
  </si>
  <si>
    <t>COLLAR DE ECO CUERO Y ALGODON M</t>
  </si>
  <si>
    <t>COLLAR CUERO TACHA N6</t>
  </si>
  <si>
    <t>COLLAR DE ADIESTRAMIENTO 4.0MM X 60CM</t>
  </si>
  <si>
    <t>COLLAR DE ADIESTRAMIENTO 3.5MM X 55CM</t>
  </si>
  <si>
    <t>COLLAR DE ADIESTRAMIENTO 3.0MM X 50CM</t>
  </si>
  <si>
    <t>COLLAR CUERO Y ALGODON XS</t>
  </si>
  <si>
    <t>COLLAR CUERO Y ALGODON S</t>
  </si>
  <si>
    <t>COLLAR CUERO Y ALGODON M</t>
  </si>
  <si>
    <t>COLLAR CUERO Y ALGODON L</t>
  </si>
  <si>
    <t>COLLAR CUERO TACHA N°4</t>
  </si>
  <si>
    <t>COLLAR CUERO TACHA N°3</t>
  </si>
  <si>
    <t>COLLAR CUERO TACHA N°2.5</t>
  </si>
  <si>
    <t>COLLAR CUERO TACHA N°2</t>
  </si>
  <si>
    <t>COLLAR COWBOY XS (1x30 cm) Azul</t>
  </si>
  <si>
    <t>COLLAR CUERO TACHA N°1</t>
  </si>
  <si>
    <t>COLLAR CUERO TACHA N°0</t>
  </si>
  <si>
    <t>COLLAR CUERO TACHA N7</t>
  </si>
  <si>
    <t>COLLAR DE ECO CUERO Y ALGODON L</t>
  </si>
  <si>
    <t>COLLAR CLASSIC S NEGRO - EZYDOG</t>
  </si>
  <si>
    <t>COLLAR CLASSIC S DENIM - EZYDOG</t>
  </si>
  <si>
    <t>COLLAR CLASSIC M ROJO - EZYDOG</t>
  </si>
  <si>
    <t>COLLAR CLASSIC M NEGRO - EZYDOG</t>
  </si>
  <si>
    <t>COLLAR CLASSIC M DENIM - EZYDOG</t>
  </si>
  <si>
    <t>COLLAR CLASSIC L ROJO - EZYDOG</t>
  </si>
  <si>
    <t>COLLAR CLASSIC L NEGRO - EZYDOG</t>
  </si>
  <si>
    <t>COLLAR CLASSIC L DENIM - EZYDOG</t>
  </si>
  <si>
    <t>COLLAR CALMING GATO</t>
  </si>
  <si>
    <t>COLLAR AHORQUE 2,5 MM</t>
  </si>
  <si>
    <t>COLLAR BAYTICOL 48 CM</t>
  </si>
  <si>
    <t>COLLAR BATMAN 2 TALLA M</t>
  </si>
  <si>
    <t>COLLAR BATMAN 1 TALLA L</t>
  </si>
  <si>
    <t>COLLAR BANDANA CON DISEÑOS 07</t>
  </si>
  <si>
    <t>COLLAR COWBOY WONDERDOG XL CALIPSO</t>
  </si>
  <si>
    <t>COLLAR ANTI TIRONES TALLA XL</t>
  </si>
  <si>
    <t>COLLAR ANTI TIRONES TALLA S</t>
  </si>
  <si>
    <t>COLLAR ANTI TIRONES TALLA M</t>
  </si>
  <si>
    <t>COLLAR ANTI TIRONES TALLA L</t>
  </si>
  <si>
    <t>COLLAR ANTI PULGA Y GARRAPATAS PARA PERROS (EUCALIPTO + LIMON)</t>
  </si>
  <si>
    <t>COLLAR ANTI PULGA Y GARRAPATAS PARA GATOS (MARGOSA + NARANJA DULCE)</t>
  </si>
  <si>
    <t>COLLAR 1.9X45 CM ROSADO</t>
  </si>
  <si>
    <t>COLLAR ANTI LADRIDO CON VIBRACION</t>
  </si>
  <si>
    <t>COLLAR ANTI AHORQUE WONDER CAT (1X20-31 CM) HELADOS</t>
  </si>
  <si>
    <t>COLLAR ANTI AHORQUE WONDER CAT (1*20-31 CM). DISEÑOS</t>
  </si>
  <si>
    <t>COLLAR ANTI AHORQUE WONDER CAT (1*20-31 CM). DISEÑO PECES VERDE CLARO</t>
  </si>
  <si>
    <t>COLLAR ANTI AHORQUE WONDER CAT (1*20-31 CM). DISEÑO PECES MORADO</t>
  </si>
  <si>
    <t>COLLAR ANTI AHORQUE WONDER CAT (1*20-31 CM) DISEÑO SURF</t>
  </si>
  <si>
    <t>COLLAR ANTI AHORQUE WONDER CAT (1*20-30 CM) DISEÑOS</t>
  </si>
  <si>
    <t>COLLAR ANTI AHORQUE WONDER CAT (1*20- 31 CM). DISEÑO CIRCULOS</t>
  </si>
  <si>
    <t>COLLAR BANDANA CON DISEÑOS 04</t>
  </si>
  <si>
    <t>COLLAR COWBOY WONDERDOG S ROJO</t>
  </si>
  <si>
    <t>COLLAR COWBOY WONDERDOG S CELESTE</t>
  </si>
  <si>
    <t>COLLAR COWBOY WONDERDOG S CALIPSO</t>
  </si>
  <si>
    <t>COLLAR COWBOY WONDERDOG M ROJO</t>
  </si>
  <si>
    <t>COLLAR COWBOY WONDERDOG M CELESTE</t>
  </si>
  <si>
    <t>COLLAR COWBOY WONDERDOG M CALIPSO</t>
  </si>
  <si>
    <t>COLLAR COWBOY WONDERDOG L ROJO</t>
  </si>
  <si>
    <t>COLLAR COWBOY WONDERDOG L CELESTE</t>
  </si>
  <si>
    <t>COLLAR COWBOY WONDERDOG L CALIPSO</t>
  </si>
  <si>
    <t>COLLAR COWBOY S (1.5x36.5 cm) AZUL</t>
  </si>
  <si>
    <t>COLLAR COWBOY S (1.5x36.5 cm) ROSADO</t>
  </si>
  <si>
    <t>COLLAR COWBOY S (1.5x36.5 cm) ROJO</t>
  </si>
  <si>
    <t>COLLAR COWBOY M ( 2x41.5 cm) ROSADO</t>
  </si>
  <si>
    <t>COLLAR COWBOY M ( 2x41.5 cm) ROJO</t>
  </si>
  <si>
    <t>COLLAR CLASSIC S ROJO - EZYDOG</t>
  </si>
  <si>
    <t>COLLAR COWBOY M ( 2x41.5 cm) AZUL</t>
  </si>
  <si>
    <t>COLLAR COWBOY L ( 2.5x52 cm) ROSADO</t>
  </si>
  <si>
    <t>COLLAR COWBOY L ( 2.5x52 cm) ROJO</t>
  </si>
  <si>
    <t>COLLAR COWBOY L ( 2.5x52 cm) NEGRO</t>
  </si>
  <si>
    <t>COLLAR CON BUFANDA TRIANGULAR M</t>
  </si>
  <si>
    <t>COLLAR CON BUFANDA TRIANGULAR L</t>
  </si>
  <si>
    <t>COLLAR CON BANDANA S</t>
  </si>
  <si>
    <t>COLLAR CON BANDANA M</t>
  </si>
  <si>
    <t>COLLAR CON BANDANA L</t>
  </si>
  <si>
    <t>COLLAR COLORES XL</t>
  </si>
  <si>
    <t>COLLAR ANTI PULGA Y GARRAPATAS PARA GATOS (EUCALIPTO+ LIMON)</t>
  </si>
  <si>
    <t>COLLAR COLORES CUERO TALLA XL</t>
  </si>
  <si>
    <t>COLLAR COLORES CUERO TALLA S</t>
  </si>
  <si>
    <t>COLLAR COLORES CUERO TALLA M</t>
  </si>
  <si>
    <t>COLLAR COLORES CUERO TALLA L</t>
  </si>
  <si>
    <t>COLLAR COWBOY M ( 2x41.5 cm) NEGRO</t>
  </si>
  <si>
    <t>ARNES TACTICO DISEÑOS MILITARES S</t>
  </si>
  <si>
    <t>ARNES PRO CON MANGO XL</t>
  </si>
  <si>
    <t>ARNES PRO CON MANGO S</t>
  </si>
  <si>
    <t>ARNES PRO CON MANGO M</t>
  </si>
  <si>
    <t>ARNES PRO CON MANGO L</t>
  </si>
  <si>
    <t>Arnes Police K9 Pro Colores Abstractos Talla XXL</t>
  </si>
  <si>
    <t>Arnes Police K9 Pro Colores Abstractos Talla XS</t>
  </si>
  <si>
    <t>Arnes Police K9 Pro Colores Abstractos Talla XL</t>
  </si>
  <si>
    <t>Arnes Police K9 Pro Colores Abstractos Talla S</t>
  </si>
  <si>
    <t>Arnes Police K9 Pro Colores Abstractos Talla M</t>
  </si>
  <si>
    <t>COLLAR GATO CUERO GLITTER</t>
  </si>
  <si>
    <t>COLLAR ECO CUERO 30</t>
  </si>
  <si>
    <t>COLLAR FIBRA NYLON CON HEBILLA 5 CM X 80 CM</t>
  </si>
  <si>
    <t>COLLAR GATO ANTI AHORQUE REFLECTANTE</t>
  </si>
  <si>
    <t>COLLAR GATO ANTI AHORQUE DISEÑO SURTIDO</t>
  </si>
  <si>
    <t>COLLAR GATO ANTI AHORQUE DISEÑO ESPINA PEZ</t>
  </si>
  <si>
    <t>COLLAR GATO ANTI AHORQUE DISEÑO CON BRILLOS</t>
  </si>
  <si>
    <t>COLLAR GATO ANTI AHORQUE CON MOÑO</t>
  </si>
  <si>
    <t>COLLAR GATO ANTI AHORQUE CON CORAZONES</t>
  </si>
  <si>
    <t>COLLAR GATO ANTI AHORQUE CON BRILLOS</t>
  </si>
  <si>
    <t>COLLAR GATO ANTI AHORQUE</t>
  </si>
  <si>
    <t>COLLAR GATO 10 MM (WONDER CAT) VERDE</t>
  </si>
  <si>
    <t>COLLAR FIBRA ACOLCHADO (2.0*48 CM)</t>
  </si>
  <si>
    <t>COLLAR GATO 10 MM (WONDER CAT) AZUL Y NARANJA</t>
  </si>
  <si>
    <t>CALZON DE CELO PARA PERROS S (29-40CM)</t>
  </si>
  <si>
    <t>CALZON DE CELO PARA PERROS M (33-50) ROSADO</t>
  </si>
  <si>
    <t>COLLAR IRON M</t>
  </si>
  <si>
    <t>COLLAR IRON L</t>
  </si>
  <si>
    <t>COLLAR HUESITO TALLA XL</t>
  </si>
  <si>
    <t>COLLAR HUESITO TALLA M</t>
  </si>
  <si>
    <t>COLLAR HUESITO TALLA L</t>
  </si>
  <si>
    <t>COLLAR GATOS #7</t>
  </si>
  <si>
    <t>COLLAR GATO 10 MM (WONDER CAT) AZUL Y VERDE</t>
  </si>
  <si>
    <t>COLLAR GATO DISEÑO ESPINA DE PEZ</t>
  </si>
  <si>
    <t>COLLAR GATO DISEÑO (ANTI AHORQUE) CARA DE GATO</t>
  </si>
  <si>
    <t>COLLAR ECO CUERO ESTAMPADO PATITAS 20</t>
  </si>
  <si>
    <t>Collar eco cuero diseño reptil XL</t>
  </si>
  <si>
    <t>Collar eco cuero diseño reptil M (45*2.0 cm)</t>
  </si>
  <si>
    <t>Collar eco cuero diseño reptil L (55*2.5 cm)</t>
  </si>
  <si>
    <t>COLLAR ECO CUERO CON PLACA 04</t>
  </si>
  <si>
    <t>COLLAR ECO CUERO CON PLACA 03</t>
  </si>
  <si>
    <t>COLLAR ECO CUERO CON PLACA 02</t>
  </si>
  <si>
    <t>COLLAR ECO CUERO CON PLACA</t>
  </si>
  <si>
    <t>COLLAR ECO CUERO CON INCRUSTACIONES DE METAL (2.5*57cm)</t>
  </si>
  <si>
    <t>COLLAR ECO CUERO CON INCRUSTACIONES DE METAL (2.0*47cm)</t>
  </si>
  <si>
    <t>COLLAR DE GATO FORMA HUMITA</t>
  </si>
  <si>
    <t>COLLAR ECO CUERO CON HUESOS DE COLORES 44</t>
  </si>
  <si>
    <t>COLLAR ECO CUERO CON HUESOS DE COLORES 43</t>
  </si>
  <si>
    <t>COLLAR ECO CUERO CON HUESOS DE COLORES</t>
  </si>
  <si>
    <t>COLLAR GATO 10 MM (WONDER CAT) AZUL</t>
  </si>
  <si>
    <t>COLLAR ECO CUERO CON DOBLE ARGOLLA 23</t>
  </si>
  <si>
    <t>COLLAR ECO CUERO CON DOBLE ARGOLLA 21</t>
  </si>
  <si>
    <t>COLLAR ECO CUERO CON DISEÑO TROQUELADO 44</t>
  </si>
  <si>
    <t>COLLAR ECO CUERO CON DISEÑO TROQUELADO 43 (2.5*47cm)</t>
  </si>
  <si>
    <t>COLLAR ECO CUERO CON DISEÑO TROQUELADO 42</t>
  </si>
  <si>
    <t>COLLAR ECO CUERO CON DISEÑO TROQUELADO 41</t>
  </si>
  <si>
    <t>COLLAR ECO CUERO CON DIAMANTES CUADRADOS 31</t>
  </si>
  <si>
    <t>COLLAR ECO CUERO CON DIAMANTES CUADRADOS 30</t>
  </si>
  <si>
    <t>COLLAR ECO CUERO CON DIAMANTES CUADRADOS 29</t>
  </si>
  <si>
    <t>COLLAR ECO CUERO BICOLOR XS</t>
  </si>
  <si>
    <t>COLLAR CUERO TACHA N°1.5</t>
  </si>
  <si>
    <t>COLLAR ECO CUERO BICOLOR S</t>
  </si>
  <si>
    <t>COLLAR ECO CUERO BICOLOR M</t>
  </si>
  <si>
    <t>COLLAR ECO CUERO BICOLOR L</t>
  </si>
  <si>
    <t>COLLAR ECO CUERO CON DOBLE ARGOLLA 24</t>
  </si>
  <si>
    <t>COLLAR GATO 1.0CMX31CM CON MOÑO</t>
  </si>
  <si>
    <t>COLLAR GATO 1.0CMX31CM CON CASCABEL</t>
  </si>
  <si>
    <t>COLLAR GATO (ANTI AHORQUE)FLORES</t>
  </si>
  <si>
    <t>COLLAR GATO (ANTI AHORQUE) PATITAS</t>
  </si>
  <si>
    <t>COLLAR GATO (ANTI AHORQUE)</t>
  </si>
  <si>
    <t>Collar floral con dije mascotas 24-31 cm</t>
  </si>
  <si>
    <t>COLLAR FIBRA NYLON CON HEBILLA 4 CM X 60 CM</t>
  </si>
  <si>
    <t>COLLAR ECO CUERO ESTAMPADO PATITAS 21</t>
  </si>
  <si>
    <t>Collar fibra diseños huesos 2.5*40*55 cm ROSADO</t>
  </si>
  <si>
    <t>Collar fibra diseños huesos 2.5*40*55 cm NARANJA</t>
  </si>
  <si>
    <t>Collar fibra diseños huesos 1.9*35*50 cm VERDE</t>
  </si>
  <si>
    <t>Collar fibra diseños huesos 1.9*35*50 cm ROSADO</t>
  </si>
  <si>
    <t>Collar fibra diseños huesos 1.9*35*50 cm NARANJA</t>
  </si>
  <si>
    <t>Collar fibra diseños huesos 1.9*35*50 cm AZUL</t>
  </si>
  <si>
    <t>Collar fibra diseños huesos 1.6*30*45 cm VERDE</t>
  </si>
  <si>
    <t>Collar fibra diseños huesos 1.6*30*45 cm ROSADO</t>
  </si>
  <si>
    <t>Collar fibra diseños huesos 1.6*30*45 cm Naranja</t>
  </si>
  <si>
    <t>Collar fibra diseños huesos 1.6*30*45 cm AZUL</t>
  </si>
  <si>
    <t>Collar fibra diseños huesos 1.0*20*31 cm</t>
  </si>
  <si>
    <t>COLLAR FIBRA ACOLCHADO (2.5*55CM)</t>
  </si>
  <si>
    <t>COLLAR ECO CUERO BICOLOR XL</t>
  </si>
  <si>
    <t>COLLAR FIBRA ACOLCHADO (1.5*40CM)</t>
  </si>
  <si>
    <t>COLLAR ECO CUERO ESTAMPADO PATITAS 22</t>
  </si>
  <si>
    <t>Collar fibra diseños huesos 2.5*40*55 cm VERDE</t>
  </si>
  <si>
    <t>DIAMOND NATURALS SMALL &amp; MEDIUM BREED PUPPY 15 KG</t>
  </si>
  <si>
    <t>DIAMOND NATURALS SALMON (SKIN &amp; COAT) 7.5 KG</t>
  </si>
  <si>
    <t>DIAMOND NATURALS SALMON (SKIN &amp; COAT) 2KG</t>
  </si>
  <si>
    <t>DIAMOND NATURALS SALMON (SKIN &amp; COAT) 15KG</t>
  </si>
  <si>
    <t>DIABETIC FELINO 1.5 KG</t>
  </si>
  <si>
    <t>DIABETIC CANINE 10 KG</t>
  </si>
  <si>
    <t>DEXDOMITOR 0.5 MG/ML SOL INY 10ML</t>
  </si>
  <si>
    <t>DEXAMETASONA (CORTEXONA) 0 2% 50ML INY</t>
  </si>
  <si>
    <t>DANDELION &amp; YOGURT SMAKERS PARA ROEDORES Y CONEJOS</t>
  </si>
  <si>
    <t>DESODORANTE PARA PERROS BIOLINE</t>
  </si>
  <si>
    <t>DESODORANTE PARA GATOS BIOLINE</t>
  </si>
  <si>
    <t>DESODORANTE EN SPRAY 500ML</t>
  </si>
  <si>
    <t>DESINFECTANTE AMBIENTES GATILLO X 500 ML TRAPER</t>
  </si>
  <si>
    <t>DESCONTRACTYL 30 ML SPRAY</t>
  </si>
  <si>
    <t>ARNES POLICE K9 PRO COLOR GRIS TALLA S</t>
  </si>
  <si>
    <t>DEPODRAG X 5ML INY</t>
  </si>
  <si>
    <t>DENTAL WATER</t>
  </si>
  <si>
    <t>DENTAL STICKS PERROS S X7 - BEAPHAR</t>
  </si>
  <si>
    <t>DENTAL STICKS PERROS M/L X7 - BEAPHAR</t>
  </si>
  <si>
    <t>DENTAL STICK POLLO 100G</t>
  </si>
  <si>
    <t>CALEFACTOR DOPHIN 200 WATTS VIDRIO TEMPLADO</t>
  </si>
  <si>
    <t>CALEFACTOR ACERO REGULABLE 25 WATTS</t>
  </si>
  <si>
    <t>CALEFACTOR ACERO INOXIDABLE 75 WATTS</t>
  </si>
  <si>
    <t>CALEFACTOR ACERO INOXIDABLE 50 WATTS</t>
  </si>
  <si>
    <t>CALCETINES PARA PERROS S - VERDE</t>
  </si>
  <si>
    <t>CALCETINES PARA PERROS S - ROSADO</t>
  </si>
  <si>
    <t>CALCETINES PARA PERROS S - NARANJO</t>
  </si>
  <si>
    <t>CALCETINES PARA PERROS S - GRIS</t>
  </si>
  <si>
    <t>CALCETINES PARA PERROS S - AZUL</t>
  </si>
  <si>
    <t>DERMO - ACTIV 30 ML SPRAY</t>
  </si>
  <si>
    <t>DISCO ROMPECABEZAS PENTAGONAL PARA PREMIOS VERDE-CELESTE 24X24X3</t>
  </si>
  <si>
    <t>DISCO ROMPECABEZAS PENTAGONAL PARA PREMIOS ROSA-CELESTE 24X24X3</t>
  </si>
  <si>
    <t>DISCO ROMPECABEZAS PENTAGONAL PARA PREMIOS AZUL-CELESTE 24X24X3</t>
  </si>
  <si>
    <t>DISCO PARA HAMSTER (AZUL Y ROSADO) (DIÁMETRO 18 CM</t>
  </si>
  <si>
    <t>DIFUSOR TRIANGULAR 30 CM</t>
  </si>
  <si>
    <t>DIFUSOR TRIANGULAR 20 CM</t>
  </si>
  <si>
    <t>DIFUSOR TRIANGULAR 10 CM</t>
  </si>
  <si>
    <t>DIFUSOR REDONDO</t>
  </si>
  <si>
    <t>DIFUSOR RECTANGULAR BASE PLASTICA 25 CM</t>
  </si>
  <si>
    <t>DIFUSOR RECTANGULAR BASE PLASTICA 20 CM</t>
  </si>
  <si>
    <t>DIFUSOR RECTANGULAR BASE PLASTICA 15 CM</t>
  </si>
  <si>
    <t>DIFUSOR RECTANGULAR BASE PLASTICA 10 CM</t>
  </si>
  <si>
    <t>DIFUSOR PLASTICO 3 SEGMENTOS (1 UNID)</t>
  </si>
  <si>
    <t>DESODORANTE ROEDORES Y HURONES 125 ML</t>
  </si>
  <si>
    <t>DIAMOND NATURALS SMALL &amp; MEDIUM BREED PUPPY 2K</t>
  </si>
  <si>
    <t>DIFUSOR DE CALMANTE CALMING</t>
  </si>
  <si>
    <t>DIFUSOR DE AIRE CIRCULAR NARANJO S</t>
  </si>
  <si>
    <t>DIFUSOR DE AIRE CIRCULAR NARANJO L</t>
  </si>
  <si>
    <t>DIFUSOR CON LUZ LED COLORES 45 CM</t>
  </si>
  <si>
    <t>DIFUSOR CON LUZ LED COLORES 35 CM</t>
  </si>
  <si>
    <t>DIFUSOR CILINDRICO</t>
  </si>
  <si>
    <t>DIFUSOR BLISTER 10 CM</t>
  </si>
  <si>
    <t>DIFUSOR ALMEJA 7,5X5,5 CM</t>
  </si>
  <si>
    <t>DIFUSOR 2.5</t>
  </si>
  <si>
    <t>DENTAL RUGBY - SNACK</t>
  </si>
  <si>
    <t>DIET CALM FELINE CC 36 2 KG</t>
  </si>
  <si>
    <t>diazepam 10 mg/2ml x 100</t>
  </si>
  <si>
    <t>DIARSANYL (PASTA) X 24ML ORAL</t>
  </si>
  <si>
    <t>DIAMOND PREMIUM ADULT 22.68K</t>
  </si>
  <si>
    <t>DIAMOND NATURALS SMALL &amp; MEDIUM BREED PUPPY 7.5 KG</t>
  </si>
  <si>
    <t>DIFUSOR GRANDE</t>
  </si>
  <si>
    <t>DACHSHUND 2.5 KG ADULT</t>
  </si>
  <si>
    <t>D-DOG UROLOGY DISSOLUTION Y PREVENTION X 3 KG</t>
  </si>
  <si>
    <t>D-ALLIO PLUS GRANULAT 250 ML/150GR</t>
  </si>
  <si>
    <t>D-ALLIO PLUS GRANULAT 1000 ML</t>
  </si>
  <si>
    <t>D-ALLIO PLUS GRANULAT 100 ML / 60 GR</t>
  </si>
  <si>
    <t>D-ALLIO PLUS GRANULAT (DOYPACK 22 GR)</t>
  </si>
  <si>
    <t>D-ALLIO PLUS FLAKE 100ML-80G</t>
  </si>
  <si>
    <t>CUY MASCOTA</t>
  </si>
  <si>
    <t>CUEVA GATOS Y PERROS PEQUENOS ROSA</t>
  </si>
  <si>
    <t>CUEVA GATOS Y PERROS PEQUENOS AZUL</t>
  </si>
  <si>
    <t>CRIADORES HIGH PRO CACHORRRO CORDERO 15KG</t>
  </si>
  <si>
    <t>CUEVA EN FORMA DE TRONCO S</t>
  </si>
  <si>
    <t>CUEVA EN FORMA DE TRONCO COLOR</t>
  </si>
  <si>
    <t>CUERDA TRACCION CON RESORTE FUERZA 18MM X 80CM</t>
  </si>
  <si>
    <t>CALCETINES PARA PERROS M - VERDE</t>
  </si>
  <si>
    <t>CUERDA TRACCION CON RESORTE FUERZA 15MM X 80CM</t>
  </si>
  <si>
    <t>CUERDA TRACCIÓN - AMORTIGUADOR TRENZA</t>
  </si>
  <si>
    <t>CUERDA DE TRACCIÓN 1.0 CON MANGO</t>
  </si>
  <si>
    <t>CUERDA CON HUESO</t>
  </si>
  <si>
    <t>CUENCO ORTOPEDICO ANTIVOMITOS PARA ASCOTAS, GATO (15.5*5.5CM)</t>
  </si>
  <si>
    <t>CUCHARA PARA CREMOSO DE GATO ROSADO</t>
  </si>
  <si>
    <t>CUCHARA PARA CREMOSO DE GATO AZUL</t>
  </si>
  <si>
    <t>CUCHARA PARA CREMOSO DE GATO</t>
  </si>
  <si>
    <t>CUCCIA LUNACON COJIN (57X48X31)</t>
  </si>
  <si>
    <t>CUBOS DE ALFALFA 400G</t>
  </si>
  <si>
    <t>CUBOS DE ALFALFA</t>
  </si>
  <si>
    <t>CUBO MAGICO OLFATIVO PARA ESCONDER COMIDA 20x20x20 cm</t>
  </si>
  <si>
    <t>CUBO CONTENEDOR DE COMIDA (35x34x26cm GRIS)</t>
  </si>
  <si>
    <t>CUBO CONTENEDOR DE COMIDA (35x34x26cm BEIGE)</t>
  </si>
  <si>
    <t>CRYSTAL SAND TRANSPARENTE CON ROJO 400GR</t>
  </si>
  <si>
    <t>BULLDOG PUPPY 12 KG</t>
  </si>
  <si>
    <t>Bulldog francés mascota</t>
  </si>
  <si>
    <t>BULLDOG FRANCES JUNIOR 3 KG ROYAL CANIN</t>
  </si>
  <si>
    <t>BULLDOG FRANCES ADULTO 2.5 KG ROYAL CANIN</t>
  </si>
  <si>
    <t>BULLDOG FRANCES 7.5 KG ROYAL CANIN</t>
  </si>
  <si>
    <t>CALCETINES PARA PERROS L - NARANJO</t>
  </si>
  <si>
    <t>CUEVA FORMA DE TRONCO</t>
  </si>
  <si>
    <t>DENTAL JUMPER - SNACK</t>
  </si>
  <si>
    <t>DENTAL HYGIENE SPRAY</t>
  </si>
  <si>
    <t>DENTAL HYGIENE KIT SET ORANGE</t>
  </si>
  <si>
    <t>DENTAL HYGIENE KIT SET BEEF</t>
  </si>
  <si>
    <t>DENTAL HYGIENE KIT CAT 50 GR</t>
  </si>
  <si>
    <t>Arnes Police K9 Pro Camuflaje Camuflaje Verde Talla L</t>
  </si>
  <si>
    <t>Arnes Police K9 Pro Camuflaje Cafe Talla XXL</t>
  </si>
  <si>
    <t>DACHSHUND 2.5 KG JUNIOR</t>
  </si>
  <si>
    <t>ARNES PECHERA POLICE K9 - XXL - ROJO</t>
  </si>
  <si>
    <t>ARNES PECHERA POLICE K9 - XXL - NEGRO</t>
  </si>
  <si>
    <t>ARNES PECHERA POLICE K9 - XXL - NARANJA</t>
  </si>
  <si>
    <t>ARNES PECHERA POLICE K9 - XXL - MORADO</t>
  </si>
  <si>
    <t>ARNES PECHERA POLICE K9 - XL - VERDE</t>
  </si>
  <si>
    <t>ARNES PECHERA POLICE K9 - XL - ROSADO</t>
  </si>
  <si>
    <t>ARNES PECHERA POLICE K9 - XL - ROJO</t>
  </si>
  <si>
    <t>Arnes Police K9 Pro Camuflaje Azul Marino Talla XS</t>
  </si>
  <si>
    <t>Arnes Police K9 Pro Blanco y Negro Talla XS</t>
  </si>
  <si>
    <t>Arnes Police K9 Pro Abstracto Colores Talla XXL</t>
  </si>
  <si>
    <t>Arnes Police K9 Pro Abstracto Colores Talla XS</t>
  </si>
  <si>
    <t>DEEP BLUE HANDSFREE LEASH</t>
  </si>
  <si>
    <t>CUCHARA PARA CREMOSO DE GATO VERDE</t>
  </si>
  <si>
    <t>DACHSHUND ADULTO 7.5 KG ROYAL CANIN</t>
  </si>
  <si>
    <t>Arnes Police K9 Pro Camuflaje Cafe Talla XS</t>
  </si>
  <si>
    <t>DISPENSADOR ALIMENTO 3.5 L BARRIL</t>
  </si>
  <si>
    <t>DISPENSADOR AGUA CON BASE DE RESINA IMITACION MADERA</t>
  </si>
  <si>
    <t>DISPENSADOR AGUA COMIDA PERROS Y GATOS</t>
  </si>
  <si>
    <t>DISPENSADOR AGUA 4 LITROS</t>
  </si>
  <si>
    <t>DISPENSADOR AGUA 3,5 LTS BARRIL</t>
  </si>
  <si>
    <t>DISPENSADOR AGUA 3 , 5 L BARRIL GRIS</t>
  </si>
  <si>
    <t>DISPENSADOR AGUA 3 , 5 L BARRIL</t>
  </si>
  <si>
    <t>DISPENSADOR AGUA 11 LITROS</t>
  </si>
  <si>
    <t>DISFRAZ VAQUERO WOODY TALLA 5</t>
  </si>
  <si>
    <t>DISFRAZ VAQUERO WOODY TALLA 3</t>
  </si>
  <si>
    <t>DISFRAZ VAQUERO WOODY TALLA 1</t>
  </si>
  <si>
    <t>DISFRAZ VAMPIRO PARA PERROS Y GATOS XS (PECHO 31CM, LARGO 20CM)</t>
  </si>
  <si>
    <t>DISFRAZ VAMPIRO PARA PERROS Y GATOS S (PECHO 36CM, LARGO 23CM)</t>
  </si>
  <si>
    <t>DISFRAZ VAMPIRO PARA PERROS Y GATOS M (PECHO 42CM, LARGO 27CM)</t>
  </si>
  <si>
    <t>DISCOS MAS CUERDA</t>
  </si>
  <si>
    <t>DISFRAZ VAMPIRO PARA PERROS XL (PECHO 53CM, LARGO 35CM)</t>
  </si>
  <si>
    <t>DISFRAZ VAMPIRO PARA PERROS L (PECHO 48 CM, LARGO 31 CM</t>
  </si>
  <si>
    <t>DISFRAZ VAMPIRO PARA GATOS 16*55CM</t>
  </si>
  <si>
    <t>DISFRAZ SUPERMAN TALLA 6</t>
  </si>
  <si>
    <t>DISFRAZ SUPERMAN TALLA 3</t>
  </si>
  <si>
    <t>DISFRAZ SUPERMAN TALLA 2</t>
  </si>
  <si>
    <t>DISFRAZ SUPERMAN TALLA 1</t>
  </si>
  <si>
    <t>DISFRAZ SPIDERMAN TALLA 7</t>
  </si>
  <si>
    <t>DISFRAZ SANTA PARA PERROS Y GATOS M (28CM)</t>
  </si>
  <si>
    <t>DISFRAZ SANTA PARA PERROS XXL (40CM)</t>
  </si>
  <si>
    <t>DISFRAZ SANTA PARA PERROS XL (36CM)</t>
  </si>
  <si>
    <t>DISFRAZ SANTA PARA PERROS L (31CM)</t>
  </si>
  <si>
    <t>DISFRAZ REPTIL PARA PERROS Y GATOS XS (pecho 31cm, largo 20cm)</t>
  </si>
  <si>
    <t>DISFRAZ REPTIL PARA PERROS Y GATOS S (pecho 36cm, largo 23cm)</t>
  </si>
  <si>
    <t>DISFRAZ VAMPIRO PARA PERROS XXL (PECHO 58 CM, LARGO 45 CM)</t>
  </si>
  <si>
    <t>ARNES PECHERA TALLA S</t>
  </si>
  <si>
    <t>DOG EVOLUTION ADULTO 15 KG</t>
  </si>
  <si>
    <t>DOG CHURU 8P POLLO CON QUESO</t>
  </si>
  <si>
    <t>DOG CHURU 8P POLLO</t>
  </si>
  <si>
    <t>DIVISOR CON SUCCION 3.7 CM (1 UNID)</t>
  </si>
  <si>
    <t>DISPENSADOR VIOLA 3.5 L</t>
  </si>
  <si>
    <t>DISPENSADOR VIOLA 1.5 L</t>
  </si>
  <si>
    <t>DISPENSADOR MEDICAMENTOS X 1 UNID</t>
  </si>
  <si>
    <t>DISPENSADOR FUENTE DE AGUA DE FLOR PEQUEÑA VERDE</t>
  </si>
  <si>
    <t>DISPENSADOR FUENTE DE AGUA DE FLOR PEQUEÑA ROSADA</t>
  </si>
  <si>
    <t>DISPENSADOR DE BOLSA MC FRENCH</t>
  </si>
  <si>
    <t>DISPENSADOR DE BOLSA HAWAII</t>
  </si>
  <si>
    <t>DISPENSADOR DE BOLSA GALAXY</t>
  </si>
  <si>
    <t>DISPENSADOR DE BOLSA BALI</t>
  </si>
  <si>
    <t>DISPENSADOR ALIMENTO 3.5 L BARRIL GRIS</t>
  </si>
  <si>
    <t>DISPENSADOR DE AGUA DE FLOR PEQUEÑA BLANCO</t>
  </si>
  <si>
    <t>DISPENSADOR DE AGUA DE FLOR PEQUEÑA AZUL</t>
  </si>
  <si>
    <t>DISPENSADOR COMIDA 3,5 LTS BARRIL</t>
  </si>
  <si>
    <t>DISPENSADOR COMIDA 3 , 5 BARRIL ROSADO</t>
  </si>
  <si>
    <t>DISPENSADOR COMIDA 3 , 5 BARRIL GRIS</t>
  </si>
  <si>
    <t>DISPENSADOR COMIDA 3 , 5 BARRIL CALIPSO</t>
  </si>
  <si>
    <t>DISPENSADOR COMIDA 3 , 5 BARRIL AZUL</t>
  </si>
  <si>
    <t>DISPENSADOR COMIDA 3 , 5 BARRIL</t>
  </si>
  <si>
    <t>DISPENSADOR BOLSA FECA REDONDO DISEÑO PATITAS</t>
  </si>
  <si>
    <t>DISPENSADOR BOLSA FECA DISEÑO HUESITO ROJO</t>
  </si>
  <si>
    <t>DISPENSADOR BOLSA FECA DISEÑO HUESITO FUCSIA</t>
  </si>
  <si>
    <t>DISPENSADOR BOLSA FECA DISEÑO HUESITO AZUL</t>
  </si>
  <si>
    <t>DISPENSADOR BOLSA FECA DISEÑO HUESITO</t>
  </si>
  <si>
    <t>DISPENSADOR BOLSA FECA DISEÑO EMOJI FECAS</t>
  </si>
  <si>
    <t>DISPENSADOR ALIMENTO 3.5 L BARRIL VERDE</t>
  </si>
  <si>
    <t>DISPENSADOR DE ALIMENTO Y AGUA</t>
  </si>
  <si>
    <t>DISFRAZ DIABLITO PARA PERROS Y GATOS M (PECHO 42CM, LARGO 27CM)</t>
  </si>
  <si>
    <t>DISFRAZ DIABLITO PARA PERROS XXL (PECHO 58 CM, LARGO 45 CM)</t>
  </si>
  <si>
    <t>DISFRAZ DIABLITO PARA PERROS XL (PECHO 53CM, LARGO 35CM)</t>
  </si>
  <si>
    <t>DISFRAZ DIABLITO PARA PERROS L (PECHO 48 CM, LARGO 31 CM)</t>
  </si>
  <si>
    <t>DISFRAZ COWBOY CON MUÑECO TALLA XL</t>
  </si>
  <si>
    <t>DISFRAZ COWBOY CON MUÑECO TALLA S</t>
  </si>
  <si>
    <t>DISFRAZ COWBOY CON MUÑECO TALLA M</t>
  </si>
  <si>
    <t>DISFRAZ COWBOY CON MUÑECO TALLA L</t>
  </si>
  <si>
    <t>DISFRAZ CHUCKY TALLA XL</t>
  </si>
  <si>
    <t>DISFRAZ CHUCKY TALLA L</t>
  </si>
  <si>
    <t>DISFRAZ CHINITA TALLA 7</t>
  </si>
  <si>
    <t>DISFRAZ CHINITA TALLA 5</t>
  </si>
  <si>
    <t>DISFRAZ CHINITA TALLA 3</t>
  </si>
  <si>
    <t>DISFRAZ CALAVERA ANIMAL TALLA 7</t>
  </si>
  <si>
    <t>DISFRAZ REPTIL PARA PERROS Y GATOS M (pecho 42cm, largo 27cm)</t>
  </si>
  <si>
    <t>DISFRAZ CALAVERA ANIMAL TALLA 2</t>
  </si>
  <si>
    <t>DISFRAZ CALAVERA ANIMAL TALLA 1</t>
  </si>
  <si>
    <t>DISFRAZ CALABAZA TALLA 6</t>
  </si>
  <si>
    <t>DISFRAZ BRUJO GATOS SOMBRERO CAPA M</t>
  </si>
  <si>
    <t>DISFRAZ BRUJO GATOS SOMBRERO CAPA L</t>
  </si>
  <si>
    <t>DISFRAZ BLANCA NIEVES TALLA 11</t>
  </si>
  <si>
    <t>DISFRAZ ARAÑA TALLA S</t>
  </si>
  <si>
    <t>DISFRAZ ARAÑA TALLA M</t>
  </si>
  <si>
    <t>DISFRAZ ARAÑA TALLA L</t>
  </si>
  <si>
    <t>DISFRAZ ALAS MURCIELAGO TALLA S</t>
  </si>
  <si>
    <t>DISFRAZ ALAS MURCIELAGO TALLA M</t>
  </si>
  <si>
    <t>DISFRAZ ALAS MURCIELAGO TALLA L</t>
  </si>
  <si>
    <t>DISCUS RED MAP</t>
  </si>
  <si>
    <t>DISCUS GRAND D-50 PLUS 1000ML/440G</t>
  </si>
  <si>
    <t>DISCUS GRAN WILD 1000ML/440G</t>
  </si>
  <si>
    <t>DISFRAZ CALAVERA ANIMAL TALLA 3</t>
  </si>
  <si>
    <t>DISFRAZ REPTIL PARA PERROS XXL (pecho 58cm, largo 45cm)</t>
  </si>
  <si>
    <t>DISFRAZ REPTIL PARA PERROS XL (pecho 53cm, largo 38cm)</t>
  </si>
  <si>
    <t>DISFRAZ REPTIL PARA PERROS L (pecho 48cm, largo 31cm)</t>
  </si>
  <si>
    <t>DISFRAZ RENO PARA PERROS Y GATOS S (LARGO 26CM)</t>
  </si>
  <si>
    <t>DISFRAZ RENO PARA PERROS Y GATOS M (LARGO 30CM)</t>
  </si>
  <si>
    <t>DISFRAZ RENO PARA PERROS XL (LARGO 38CM)</t>
  </si>
  <si>
    <t>DISFRAZ RENO PARA PERROS L (LARGO 32CM)</t>
  </si>
  <si>
    <t>DISFRAZ PEZ PARA PERROS Y GATOS XS (PECHO 31CM, ESPALDA 20CM)</t>
  </si>
  <si>
    <t>DISFRAZ PEZ PARA PERROS Y GATOS S (PECHO 36CM, ESPALDA 23CM)</t>
  </si>
  <si>
    <t>DISFRAZ PEZ PARA PERROS Y GATOS M (PECHO 42CM, ESPALDA 27CM)</t>
  </si>
  <si>
    <t>DISFRAZ PEZ PARA PERROS XXL (PECHO 58CM, ESPALDA 45CM)</t>
  </si>
  <si>
    <t>DISFRAZ PEZ PARA PERROS XL (PECHO 53CM, ESPALDA 35CM)</t>
  </si>
  <si>
    <t>DISFRAZ PEZ PARA PERROS L (PECHO 48CM, ESPALDA 31CM)</t>
  </si>
  <si>
    <t>DISFRAZ MUJER MARAVILLA B TALLA 5</t>
  </si>
  <si>
    <t>DISFRAZ DIABLITO PARA PERROS Y GATOS S (PECHO 36CM, LARGO 23CM)</t>
  </si>
  <si>
    <t>DISFRAZ MUJER MARAVILLA A TALLA 3</t>
  </si>
  <si>
    <t>DISFRAZ JOKER TALLA 4</t>
  </si>
  <si>
    <t>DISFRAZ HALLOWEEN CALABAZA PARA PERROS Y GATOS XS (PECHO 30CM,ESPALDA 20CM)</t>
  </si>
  <si>
    <t>DISFRAZ HALLOWEEN CALABAZA PARA PERROS Y GATOS S (PECHO 33CM,ESPALDA 24CM)</t>
  </si>
  <si>
    <t>DISFRAZ HALLOWEEN CALABAZA PARA PERROS Y GATOS M (PECHO 38CM,ESPALDA 28CM)</t>
  </si>
  <si>
    <t>DISFRAZ HALLOWEEN CALABAZA PARA PERROS XXL (PECHO 54CM,ESPALDA 45CM)</t>
  </si>
  <si>
    <t>DISFRAZ HALLOWEEN CALABAZA PARA PERROS XL (PECHO 50CM,ESPALDA 40CM)</t>
  </si>
  <si>
    <t>DISFRAZ ESQUELETO PARA PERROS Y GATOS XS (PECHO 31CM, LARGO 20CM)</t>
  </si>
  <si>
    <t>DISFRAZ ESQUELETO PARA PERROS Y GATOS S (PECHO 36CM, LARGO 23CM)</t>
  </si>
  <si>
    <t>DISFRAZ ESQUELETO PARA PERROS Y GATOS M (PECHO 42CM, LARGO 27CM)</t>
  </si>
  <si>
    <t>DISFRAZ ESQUELETO PARA PERROS XXL (PECHO 58 CM, LARGO 45 CM)</t>
  </si>
  <si>
    <t>DISFRAZ ESQUELETO PARA PERROS XL (PECHO 53CM, LARGO 35CM)</t>
  </si>
  <si>
    <t>DISFRAZ ESQUELETO PARA PERROS L (PECHO 48 CM, LARGO 31 CM)</t>
  </si>
  <si>
    <t>DISFRAZ ENFERMERA TALLA S</t>
  </si>
  <si>
    <t>DISFRAZ DIABLITO PARA PERROS Y GATOS XS (PECHO 31CM, LARGO 20CM)</t>
  </si>
  <si>
    <t>DISFRAZ MUJER MARAVILLA A TALLA 5</t>
  </si>
  <si>
    <t>CONTENEDOR GOSBI GRIS 12 KG</t>
  </si>
  <si>
    <t>CONEJERA</t>
  </si>
  <si>
    <t>CONJUNTO HIGIENE BUCAL NEUTRO + DEDEIRA CATDOG</t>
  </si>
  <si>
    <t>CONJUNTO HIGIENE BUCAL MORANGO + DEDEIRA CATDOG</t>
  </si>
  <si>
    <t>CONJUNTO HIGIENE BUCAL MENTA + DEDEIRA CATDOG</t>
  </si>
  <si>
    <t>CONJUNTO HIGIENE BUCAL CHOCOLATE + DEDEIRA CATDOG</t>
  </si>
  <si>
    <t>CONEJO RAZA</t>
  </si>
  <si>
    <t>CONEJO ENANO</t>
  </si>
  <si>
    <t>CONEJO COMUN</t>
  </si>
  <si>
    <t>Conejo cabeza de leon Mascota</t>
  </si>
  <si>
    <t>CONEJERA R1 (60x36x32) VERDE</t>
  </si>
  <si>
    <t>CONEJERA R1 (60x36x32) BLANCO</t>
  </si>
  <si>
    <t>CONEJERA R1 (60x36x32) AZUL</t>
  </si>
  <si>
    <t>COMEDERO PARA AVES - 130 ML (8 x 5 x 7.5 cm)</t>
  </si>
  <si>
    <t>CRYSTAL SAND AZUL 400GR</t>
  </si>
  <si>
    <t>CONEJERA GRANDE (84 x 49 cm) AZUL</t>
  </si>
  <si>
    <t>CONEJERA GRANDE</t>
  </si>
  <si>
    <t>CONEJERA FULL EQUIPADA TOMMY 102K</t>
  </si>
  <si>
    <t>CONEJERA CELESTE CON PLATAFORMA</t>
  </si>
  <si>
    <t>CONEJERA AZUL</t>
  </si>
  <si>
    <t>CONEJERA 60 X 36 X 32</t>
  </si>
  <si>
    <t>CONEJERA 3 NIVELES</t>
  </si>
  <si>
    <t>COMEDERO INTERACTIVO ROJO (24x24x5cm)</t>
  </si>
  <si>
    <t>CONCENTRADO HÁMSTER 180 GR</t>
  </si>
  <si>
    <t>COMPRESOR 55 W 75L/MIN</t>
  </si>
  <si>
    <t>COMPRESOR 30 W 50L/MIN</t>
  </si>
  <si>
    <t>ARNES WONDERDOG S NEGRO</t>
  </si>
  <si>
    <t>ARNES WONDERDOG S MILITAR</t>
  </si>
  <si>
    <t>ARNES WONDERDOG S FIGURAS NEGRO</t>
  </si>
  <si>
    <t>CONEJERA GRANDE 2 PISOS</t>
  </si>
  <si>
    <t>Arnes Police K9 Pro Abstracto Azul y Rojo Talla L</t>
  </si>
  <si>
    <t>ARNES PECHO WONDER DOG DISEÑOS TROPICALES XL</t>
  </si>
  <si>
    <t>ARNES PECHO WONDER DOG DISEÑOS TROPICALES S</t>
  </si>
  <si>
    <t>Arnes Police K9 Pro Camuflaje Camuflaje Verde Talla XS</t>
  </si>
  <si>
    <t>Arnes Police K9 Pro Camuflaje Camuflaje Verde Talla XL</t>
  </si>
  <si>
    <t>Arnes Police K9 Pro Camuflaje Camuflaje Verde Talla S</t>
  </si>
  <si>
    <t>CORBATA PARA PERROS (MORADO)</t>
  </si>
  <si>
    <t>CORBATA PARA PERROS (ESTRELLAS)</t>
  </si>
  <si>
    <t>CORBATA PARA PERROS (CUADROS ROJO)</t>
  </si>
  <si>
    <t>CONTENEDOR DE ALIMENTOS 5L - GRIS BEIGE CON PALA Y PLATO</t>
  </si>
  <si>
    <t>CORBATA PARA PERROS (BESO)</t>
  </si>
  <si>
    <t>CORBATA PARA PERROS (BEIGE ROSADO)</t>
  </si>
  <si>
    <t>CORBATA PARA PERROS (BEIGE BURDEO)</t>
  </si>
  <si>
    <t>CORBATA PARA PERROS (AZUL MARINO)</t>
  </si>
  <si>
    <t>CONTENEDOR PARA ALIMENTOS 1.5L</t>
  </si>
  <si>
    <t>CORBATA CORTA PARA PERROS Y GATOS VERDE</t>
  </si>
  <si>
    <t>CORBATA CORTA PARA PERROS Y GATOS ROJO CON AZUL</t>
  </si>
  <si>
    <t>CORBATA CORTA PARA PERROS Y GATOS AZUL</t>
  </si>
  <si>
    <t>CORBATA CON CUELLO PARA 30 CMS</t>
  </si>
  <si>
    <t>CORBATA AJUSTABLE DE 28 A 47 CMS</t>
  </si>
  <si>
    <t>CORAZONES DE QUESO Y POLLO 100G</t>
  </si>
  <si>
    <t>Coral Bowl Small</t>
  </si>
  <si>
    <t>CORAL BOWL LARGE</t>
  </si>
  <si>
    <t>CONEJERA MEDIANA (70 x 45 cm) ROSADA</t>
  </si>
  <si>
    <t>CONTENEDOR PERRO JOSERA</t>
  </si>
  <si>
    <t>CONTENEDOR PARA ALIMENTOS MORADO 1.5L</t>
  </si>
  <si>
    <t>CONTENEDOR PARA ALIMENTOS 5K GRIS CON PALA Y PLATO</t>
  </si>
  <si>
    <t>CONTENEDOR PARA ALIMENTOS 5K CELESTE CON PALA Y PLATO</t>
  </si>
  <si>
    <t>CONTENEDOR PARA ALIMENTOS 2.5L MORADO</t>
  </si>
  <si>
    <t>CONTENEDOR PARA ALIMENTOS 2.5L CELESTE</t>
  </si>
  <si>
    <t>CORBATA PARA PERROS (ARCOIRIS)</t>
  </si>
  <si>
    <t>Comedero Granja o pajareras (Capacidad 3 kg)</t>
  </si>
  <si>
    <t>COMEDERO FORMA DE GATO DOBLE PATAS RETRACTIL 60ML - NARANJA</t>
  </si>
  <si>
    <t>Comedero en forma de gato con patitas retractiles 41,5 * 14,5 * 21cm 560g</t>
  </si>
  <si>
    <t>COMEDERO DE TIMOTHY ZANAHORIA Y FRUTAS</t>
  </si>
  <si>
    <t>COMEDERO DE TIMOTHY CON ZANAHORIA</t>
  </si>
  <si>
    <t>COLUMPIO G</t>
  </si>
  <si>
    <t>COMEDERO DE MADERA CON 3 ZANAHORIA</t>
  </si>
  <si>
    <t>COMEDERO CON OREJAS (CARNO)</t>
  </si>
  <si>
    <t>COMEDERO CON BOTELLA PARA AGUA ROJO (500ML) 18x11,5x30cm</t>
  </si>
  <si>
    <t>COMEDERO CON BOTELLA PARA AGUA CAFE (500ML) 18x11,5x30cm</t>
  </si>
  <si>
    <t>COMEDERO CON BOTELLA PARA AGUA AZUL (500ML) 18x11,5x30cm</t>
  </si>
  <si>
    <t>COMEDERO BEBEDERO TRANSPORTADORAS</t>
  </si>
  <si>
    <t>COMEDERO BEBEDERO RESINA</t>
  </si>
  <si>
    <t>COMEDERO BEBEDERO MEMBO PERRO/GATO 20X35X6 ROSADO</t>
  </si>
  <si>
    <t>ARNES WONDERDOG S FIGURAS MORADO</t>
  </si>
  <si>
    <t>Comedero Aves Rectangular 38.5 cm</t>
  </si>
  <si>
    <t>Comedero Ave Rectangular 21 cm</t>
  </si>
  <si>
    <t>COMEDERO AUTOMATICO REDONDO NARANJA</t>
  </si>
  <si>
    <t>COMEDERO AUTOMATICO REDONDO CELESTE</t>
  </si>
  <si>
    <t>COMEDERO AUTOMATICO PARA MASCOTAS ALTO 29CM ANCHO 31 CM LARGO 16 CM</t>
  </si>
  <si>
    <t>COMEDERO AUTOMATICO PARA MASCOTAS ( 29x31x16 CM) NARANJA</t>
  </si>
  <si>
    <t>COMEDERO AUTOMATICO PARA MASCOTAS ( 29x31x16 CM) GRIS</t>
  </si>
  <si>
    <t>COMEDERO 3.5 LTS PERROS Y GATOS ROSA</t>
  </si>
  <si>
    <t>COMEDERO 3.5 LTS PERROS Y GATOS CALIPSO</t>
  </si>
  <si>
    <t>COMEDERO 3.5 LTS PERROS Y GATOS AZUL</t>
  </si>
  <si>
    <t>COMEDERO 3.5 LTS PERROS Y GATOS GRIS</t>
  </si>
  <si>
    <t>COMEDERO 3.5 LTS PERROS Y GATOS</t>
  </si>
  <si>
    <t>COME ALGA CHINO ALBINO</t>
  </si>
  <si>
    <t>COLUMPIO TRONQUITOS XL</t>
  </si>
  <si>
    <t>COLUMPIO TRIANGULAR 2 CAMPANAS</t>
  </si>
  <si>
    <t>COMEDERO BEBEDERO MEMBO PERRO/GATO 20X35X6 CAFE</t>
  </si>
  <si>
    <t>ARNES WONDERDOG S DISEÑO ROJO</t>
  </si>
  <si>
    <t>ARNES WONDERDOG XXL FIGURAS NEGRO</t>
  </si>
  <si>
    <t>ARNES WONDERDOG XXL FIGURAS MORADO</t>
  </si>
  <si>
    <t>ARNES WONDERDOG XXL FIGURAS AZUL</t>
  </si>
  <si>
    <t>ARNES WONDERDOG XXL DISEÑO ROJO</t>
  </si>
  <si>
    <t>CALMING COLLARS GATO PACK 4 GLOW IN THE DARK</t>
  </si>
  <si>
    <t>CALMING COLLAR GATO - BEAPHAR</t>
  </si>
  <si>
    <t>CALCETINES PARA PERROS M - NARANJO</t>
  </si>
  <si>
    <t>CALCETINES PARA PERROS L - VERDE</t>
  </si>
  <si>
    <t>CALCETINES PARA PERROS L - ROSADO</t>
  </si>
  <si>
    <t>COMEDEROS EN ALTURA PARA MASCOTAS PLATO DOBLE CON PEDESTAL (47X20.3X25.4)</t>
  </si>
  <si>
    <t>COMEDERO TOLVA</t>
  </si>
  <si>
    <t>Comedero Resina (10*3)</t>
  </si>
  <si>
    <t>COMEDERO DE RESINA</t>
  </si>
  <si>
    <t>Comedero Granja o pajareras (Capacidad 6 kg)</t>
  </si>
  <si>
    <t>COMEDERO PAJARERA 18X20 CM 1000L</t>
  </si>
  <si>
    <t>COMEDERO O BEBEDERO INDIVIDUAL - ANTIDES. CELESTE</t>
  </si>
  <si>
    <t>COMEDERO O BEBEDERO INDIVIDUAL - ANTID. ROSADO</t>
  </si>
  <si>
    <t>COMEDERO O BEBEDERO DOBLE ACERO ANTIDERRAME VERDE</t>
  </si>
  <si>
    <t>COMEDERO O BEBEDERO DOBLE ACERO ANTIDERRAME ROSADO</t>
  </si>
  <si>
    <t>COMEDERO O BEBEDERO DOBLE ACERO ANTIDERRAME CELESTE</t>
  </si>
  <si>
    <t>COMEDERO MINI ERIZOS</t>
  </si>
  <si>
    <t>COMEDERO MEMBO PERRO/GATO 20X35X6</t>
  </si>
  <si>
    <t>COMEDERO MEDIO ERIZOS</t>
  </si>
  <si>
    <t>COMEDERO INTERACTIVO NIVEL 4 GRIS (23x23x7cm)</t>
  </si>
  <si>
    <t>COMEDERO INTERACTIVO NIVEL 4 AZUL (23x23x7cm)</t>
  </si>
  <si>
    <t>COMEDERO INTERACTIVO GRIS AZUL (23x23x3.5cm)</t>
  </si>
  <si>
    <t>COMEDERO INTERACTIVO AZUL (24x24x5cm)</t>
  </si>
  <si>
    <t>COMEDERO INTERACTIVO (19x21.5x3.4cm)</t>
  </si>
  <si>
    <t>Comedero Granja o pajareras (Capacidad 9 kg)</t>
  </si>
  <si>
    <t>COMEDERO PAJARERAS 17X17 CM</t>
  </si>
  <si>
    <t>CORTAVIENTOS PERRO AZUL S</t>
  </si>
  <si>
    <t>CORTAVIENTOS PERRO AZUL M</t>
  </si>
  <si>
    <t>CORTAVIENTOS PERRO AZUL L</t>
  </si>
  <si>
    <t>CORTAVIENTOS PERRO AZUL 4XL</t>
  </si>
  <si>
    <t>CORTAVIENTOS PERRO AZUL 3XL</t>
  </si>
  <si>
    <t>CORTAVIENTOS PERRO AZUL 2XL</t>
  </si>
  <si>
    <t>CORTAUÑAS CON LUZ LED Y LIMA</t>
  </si>
  <si>
    <t>CORTAUÑAS CON LUZ LED Y ANTI SALPICADURA 15X4X2CM</t>
  </si>
  <si>
    <t>CORTADORA ELECTRICA 2 VELOCIDADES USB</t>
  </si>
  <si>
    <t>CORTADORA ELECTRICA 2 VELOCIDADES</t>
  </si>
  <si>
    <t>CORTADORA 2 PEINES</t>
  </si>
  <si>
    <t>Corta uñas garito colores 10.3x6.6cm</t>
  </si>
  <si>
    <t>Corta uñas con lima pequeño mix color</t>
  </si>
  <si>
    <t>Corta uñas con lima grande mix color</t>
  </si>
  <si>
    <t>Arnes Police K9 Pro Abstracto Azul y Rojo Talla M</t>
  </si>
  <si>
    <t>Corta uña gato o razas pequeñas (12,8 cm x 1,8 mm)</t>
  </si>
  <si>
    <t>Corta uña con lima XL (15.3cm * 2.5mm)</t>
  </si>
  <si>
    <t>CORREA RETRACTIL 5 MT TALLA L (HASTA 40K) ROSADO</t>
  </si>
  <si>
    <t>CORREA RETRACTIL 5 MT TALLA L (HASTA 40K) NEGRO</t>
  </si>
  <si>
    <t>CORREA RETRACTIL 5 MT TALLA L (HASTA 40K) CELESTE</t>
  </si>
  <si>
    <t>CORREA RETRACTIL 5 MT TALLA L (HASTA 40K) BLANCO</t>
  </si>
  <si>
    <t>CORREA RETRACTIL 3 MT TALLA S (HASTA 10K) ROSADO</t>
  </si>
  <si>
    <t>CORREA RETRACTIL 3 MT TALLA S (HASTA 10K) NEGRO</t>
  </si>
  <si>
    <t>CORREA RETRACTIL 3 MT TALLA S (HASTA 10K) CELESTE</t>
  </si>
  <si>
    <t>CORREA RETRACTIL 3 MT TALLA S (HASTA 10K) BLANCO</t>
  </si>
  <si>
    <t>CORREA PREMIUM MC FRENCH TALA M</t>
  </si>
  <si>
    <t>CORREA PREMIUM HAWAII TALA M</t>
  </si>
  <si>
    <t>CORREA PREMIUM GALAXY TALA M</t>
  </si>
  <si>
    <t>CORREA PREMIUM BALI TALA M</t>
  </si>
  <si>
    <t>CORREA ADIESTRAMIENTO M (8x50 cm) CELESTE</t>
  </si>
  <si>
    <t>CORREA MONSTRUO TALLA L (ROJO)</t>
  </si>
  <si>
    <t>CRUSTA STICKS 250ML 175GR</t>
  </si>
  <si>
    <t>CRIMSON AIR-LEASH ZEEDOG</t>
  </si>
  <si>
    <t>CORTAVIENTOS PERRO AZUL XL</t>
  </si>
  <si>
    <t>CRIADORES HIGH PRO ADULTO CORDERO 3KG</t>
  </si>
  <si>
    <t>CREMI BOX SEA FOOD MIX 30 SACHET</t>
  </si>
  <si>
    <t>CREDELIO TAB 900 MGX X 1BLCD CH (&gt;22-45 kg)</t>
  </si>
  <si>
    <t>CREATINA 500 GRS</t>
  </si>
  <si>
    <t>CPV AG (PARVO VIRUS) X 1 TEST BIONOTE</t>
  </si>
  <si>
    <t>COUNTRY DOG JUNIOR 15 KG</t>
  </si>
  <si>
    <t>CORTAVIENTOS PERRO VERDE XS</t>
  </si>
  <si>
    <t>CORTAVIENTOS PERRO VERDE XL</t>
  </si>
  <si>
    <t>CORTAVIENTOS PERRO VERDE M</t>
  </si>
  <si>
    <t>CALEFACTOR REGULABLE 300 WATTS</t>
  </si>
  <si>
    <t>CORTAVIENTOS PERRO AZUL XS</t>
  </si>
  <si>
    <t>CALEFACTOR REGULABLE 25 WATTS</t>
  </si>
  <si>
    <t>CALEFACTOR REGULABLE 150 WATTS</t>
  </si>
  <si>
    <t>CALEFACTOR REGULABLE 100 WATTS</t>
  </si>
  <si>
    <t>CALEFACTOR FIJO 5 WATTS</t>
  </si>
  <si>
    <t>CADENA DE PASEO 4.0 MM</t>
  </si>
  <si>
    <t>CADENA DE PASEO 3.5 MM</t>
  </si>
  <si>
    <t>CADENA DE PASEO 3.0 MM (X)</t>
  </si>
  <si>
    <t>CADENA DE PASEO 2.5 MM (X)</t>
  </si>
  <si>
    <t>CADENA DE PASEO (X)</t>
  </si>
  <si>
    <t>CORTAVIENTOS PERRO VERDE L</t>
  </si>
  <si>
    <t>CORTAVIENTOS PERRO VERDE 4XL</t>
  </si>
  <si>
    <t>CORTAVIENTOS PERRO VERDE 3XL</t>
  </si>
  <si>
    <t>CORTAVIENTOS PERRO VERDE 2XL</t>
  </si>
  <si>
    <t>CORREA + ARNÉS PREMIUM GATO CAMUFLAJE VERDE</t>
  </si>
  <si>
    <t>CORREA + ARNÉS PREMIUM GATO ANIMAL PRINT COLORES</t>
  </si>
  <si>
    <t>CORRAL TELA PETHOME MASCOTAS</t>
  </si>
  <si>
    <t>CORRAL PARA PERROS Y GATOS</t>
  </si>
  <si>
    <t>CORRAL PARA PERROS ( 91X70 CM)</t>
  </si>
  <si>
    <t>CORRAL PARA ERIZOS - PEQUEÑAS MASCOTAS (8 PANELES</t>
  </si>
  <si>
    <t>CORRAL JAULA MODULAR CONEJO PLASTICO Y METAL (35x35cm, 5 mm)</t>
  </si>
  <si>
    <t>CORRAL HURONES CHINCHILLAS</t>
  </si>
  <si>
    <t>CORNET VEGETABLE UNIDAD</t>
  </si>
  <si>
    <t>CORNET FRUIT UNIDAD</t>
  </si>
  <si>
    <t>CORNET FRUIT 40G</t>
  </si>
  <si>
    <t>CORBATINES AJUSTABLES 28 A 47 CMS</t>
  </si>
  <si>
    <t>CORBATIN PARA PERROS Y GATOS ROSADO CON LUNARES</t>
  </si>
  <si>
    <t>CORREA PASEO S MANGO ERGO Y DESTORCEDOR ROJO 0.8 X 200CM</t>
  </si>
  <si>
    <t>CORBATA PARA PERROS DISEÑOS VARIADOS</t>
  </si>
  <si>
    <t>CORBATA PARA PERROS (ZIGZAG)</t>
  </si>
  <si>
    <t>CORBATA PARA PERROS (ROSADO)</t>
  </si>
  <si>
    <t>CORBATA PARA PERROS (ROJO)</t>
  </si>
  <si>
    <t>CORBATA PARA PERROS (PUNTOS AMARILLO ROJO)</t>
  </si>
  <si>
    <t>CORBATA PARA PERROS (PINTADO)</t>
  </si>
  <si>
    <t>CORBATA PARA PERROS (NEGRO CON PUNTOS)</t>
  </si>
  <si>
    <t>Arnes Police K9 Pro Camuflaje Rojo Talla XS</t>
  </si>
  <si>
    <t>Arnes Police K9 Pro Camuflaje Rojo Talla Xl</t>
  </si>
  <si>
    <t>Arnes Police K9 Pro Camuflaje Rojo Talla S</t>
  </si>
  <si>
    <t>Arnes Police K9 Pro Abstracto Colores Talla L</t>
  </si>
  <si>
    <t>Arnes Police K9 Pro Abstracto Azul y Rojo Talla XXL</t>
  </si>
  <si>
    <t>Arnes Police K9 Pro Abstracto Azul y Rojo Talla XS</t>
  </si>
  <si>
    <t>Arnes Police K9 Pro Abstracto Azul y Rojo Talla XL</t>
  </si>
  <si>
    <t>Arnes Police K9 Pro Abstracto Azul y Rojo Talla S</t>
  </si>
  <si>
    <t>CORBATIN PARA PERROS Y GATOS ROJO CUADRILLE</t>
  </si>
  <si>
    <t>CORREA PASEO S MANGO ERGO Y DESTORCEDOR CELESTE 0.8 X 200CM</t>
  </si>
  <si>
    <t>CORREA PARA PASEOS SIN COLLAR REFLECTANTE 8.0MM X 150CM</t>
  </si>
  <si>
    <t>CORREA PARA PASEOS SIN COLLAR REFLECTANTE 12MM X 150CM</t>
  </si>
  <si>
    <t>CORREA PARA PASEOS S MANGO ERGONOMICO Y DESTORCEDOR 0.8 X 200CM</t>
  </si>
  <si>
    <t>CORREA PARA PASEOS M MANGO ERGONOMICO Y DESTORCEDOR 1.2 X 200CM</t>
  </si>
  <si>
    <t>CORREA MONSTRUO TALLA S (ROSADO)</t>
  </si>
  <si>
    <t>CORREA MONSTRUO TALLA S (ROJO)</t>
  </si>
  <si>
    <t>CORREA MONSTRUO TALLA S (GRIS)</t>
  </si>
  <si>
    <t>CORREA MONSTRUO TALLA S (CELESTE)</t>
  </si>
  <si>
    <t>CORREA MONSTRUO TALLA M (ROSADO)</t>
  </si>
  <si>
    <t>CORREA MONSTRUO TALLA M (ROJO)</t>
  </si>
  <si>
    <t>CORREA MONSTRUO TALLA M (GRIS)</t>
  </si>
  <si>
    <t>CORREA MONSTRUO TALLA M (CELESTE)</t>
  </si>
  <si>
    <t>CORREA MONSTRUO TALLA L (ROSADO)</t>
  </si>
  <si>
    <t>CORREA ADIESTRAMIENTO CELESTE</t>
  </si>
  <si>
    <t>CORREA MONSTRUO TALLA L (GRIS)</t>
  </si>
  <si>
    <t>CORREA MONSTRUO TALLA L (CELESTE)</t>
  </si>
  <si>
    <t>CORREA MANOS LIBRES ELASTICA (70-120 CM NEGRO-CALIPSO)</t>
  </si>
  <si>
    <t>CORREA MANOS LIBRES ELASTICA (70-120 CM NEGRO - VERDE)</t>
  </si>
  <si>
    <t>CORREA MANILLA BALTIC PK PARA JAULAS REGULABLE MARCHIORO</t>
  </si>
  <si>
    <t>CORREA ARNES MIX COLORES ROSADO</t>
  </si>
  <si>
    <t>CORREA ARNES GATO PECES JEANS ROJO</t>
  </si>
  <si>
    <t>CORREA ARNES GATO PECES JEANS NEGRO</t>
  </si>
  <si>
    <t>CORREA ARNES GATO MIX COLORES BRILLANTE CELESTE</t>
  </si>
  <si>
    <t>CORREA ANTIDES ENTRENAMIENTO 3M (NARANJO)</t>
  </si>
  <si>
    <t>CORREA ADISTRAMIENTO M ( 8x50 cm ) NARANJA</t>
  </si>
  <si>
    <t>CORREA ADIESTRAMIENTO MORADO</t>
  </si>
  <si>
    <t>CORREA ADIESTRAMIENTO M (8x50 cm) NEGRO</t>
  </si>
  <si>
    <t>CORREA ADIESTRAMIENTO L (8x1.50 cm) NARANJO</t>
  </si>
  <si>
    <t>CORREA ADIESTRAMIENTO L (8x1.50 cm) MORADO</t>
  </si>
  <si>
    <t>CORNET VEGETABLE 40G</t>
  </si>
  <si>
    <t>Casa de Fieltro Modelo Domo Colores Rosa - Ovni</t>
  </si>
  <si>
    <t>Casa de Fieltro Modelo Domo Colores Rosa</t>
  </si>
  <si>
    <t>Casa de Fieltro Modelo Domo Colores Gris - Ovni</t>
  </si>
  <si>
    <t>CAPSULA PARA UÑAS TALLA XXL</t>
  </si>
  <si>
    <t>Casa de Fieltro - Color Rosado</t>
  </si>
  <si>
    <t>Casa de Fieltro - Color Gris</t>
  </si>
  <si>
    <t>Casa de Fieltro - Color Café</t>
  </si>
  <si>
    <t>Casa de Fieltro - Color Azul</t>
  </si>
  <si>
    <t>CASA CUY ERIZO CONEJO</t>
  </si>
  <si>
    <t>CASA CUCCIA PERROS MINI</t>
  </si>
  <si>
    <t>COLLAR AHORQUE 4 MM</t>
  </si>
  <si>
    <t>CASA CUBO N°1</t>
  </si>
  <si>
    <t>CASA CUBO N2</t>
  </si>
  <si>
    <t>CASA CUBO COLGANTE MASCOTA PEQUEÑA</t>
  </si>
  <si>
    <t>CASA (FIBRA VEGETAL)</t>
  </si>
  <si>
    <t>CAPSULA PARA UÑAS TALLA XL</t>
  </si>
  <si>
    <t>CARNET MASCOTAS</t>
  </si>
  <si>
    <t>CARIDINA NANO STICK 10G</t>
  </si>
  <si>
    <t>CARDIAC CANINE 10.1 KG</t>
  </si>
  <si>
    <t>CARBON ACTIVO 2.5K</t>
  </si>
  <si>
    <t>CARACOL MANZANA</t>
  </si>
  <si>
    <t>CASA CUBO PARA HAMSTER</t>
  </si>
  <si>
    <t>CASA HAMSTER MADERA 2 PISOS</t>
  </si>
  <si>
    <t>ARNES WONDERDOG XL FIGURAS AZUL</t>
  </si>
  <si>
    <t>ARNES WONDERDOG XL DISEÑO ROJO</t>
  </si>
  <si>
    <t>ARNES WONDERDOG XL CAMUFLAJE CUADRADO</t>
  </si>
  <si>
    <t>ARNES WONDER KYRA S</t>
  </si>
  <si>
    <t>ARNES WONDER KYRA M</t>
  </si>
  <si>
    <t>ARNES WONDER KYRA L</t>
  </si>
  <si>
    <t>ARNES WONDER DOUMM XL VERDE Y MORADO</t>
  </si>
  <si>
    <t>ARNES WONDER DOUMM XL ROJO</t>
  </si>
  <si>
    <t>ARNES WONDER DOUMM XL MILITAR</t>
  </si>
  <si>
    <t>ARNES WONDER DOUMM XL AZUL</t>
  </si>
  <si>
    <t>ARNES WONDER DOUMM S VERDE Y MORADO</t>
  </si>
  <si>
    <t>ARNES WONDER DOUMM S ROJO Y NEGRO</t>
  </si>
  <si>
    <t>ARNES WONDERDOG S CAMUFLAJE CELESTE</t>
  </si>
  <si>
    <t>Casa de Fieltro para gatos Modelo Suit Azul</t>
  </si>
  <si>
    <t>ARNES WONDERDOG M ROJO</t>
  </si>
  <si>
    <t>ARNES WONDERDOG M NEGRO</t>
  </si>
  <si>
    <t>CASA HAMSTER DESARMABLE</t>
  </si>
  <si>
    <t>CASA GRANDE TOTORA</t>
  </si>
  <si>
    <t>CASA ESTILO YURT PARA PEQUEÑAS MASCOTAS</t>
  </si>
  <si>
    <t>CARROT DROPS FOR RODENTS &amp; RABBIT 75g</t>
  </si>
  <si>
    <t>CARRO DE ARRASTRE PARA MASCOTAS BURDEO</t>
  </si>
  <si>
    <t>CARRO DE ARRASTRE PARA MASCOTAS AZUL OSCURO</t>
  </si>
  <si>
    <t>CARPA PARA CAMPING PARA PERROS(X)</t>
  </si>
  <si>
    <t>CASA DE GATO EN FORMA DE CANGREJO</t>
  </si>
  <si>
    <t>CASA DE GATO AUTOARMABLE NEXGARD</t>
  </si>
  <si>
    <t>Casa de Fieltro para gatos Modelo Suit Rosa</t>
  </si>
  <si>
    <t>Casa de Fieltro para gatos Modelo Suit Rojo base</t>
  </si>
  <si>
    <t>Casa de Fieltro para gatos Modelo Suit Gris</t>
  </si>
  <si>
    <t>Casa de Fieltro para gatos Modelo Suit Café</t>
  </si>
  <si>
    <t>ARNES WONDERDOG S AZUL</t>
  </si>
  <si>
    <t>CAPA S DE 2 A 4 KG AZUL</t>
  </si>
  <si>
    <t>CAPA MASCOTA HALLOWEEN</t>
  </si>
  <si>
    <t>CAPA M DE 4 A 7 KG VERDE</t>
  </si>
  <si>
    <t>CAPA M DE 4 A 7 KG ROSADO</t>
  </si>
  <si>
    <t>CAPA M DE 4 A 7 KG GRIS</t>
  </si>
  <si>
    <t>CAPSULA PARA UÑAS TALLA M</t>
  </si>
  <si>
    <t>CAR RESTRAINT - EZYDOG</t>
  </si>
  <si>
    <t>CAPSULA PARA UÑAS TALLA L</t>
  </si>
  <si>
    <t>CAPA ESCOSES S LARGO LOMO 29CM ROSADO</t>
  </si>
  <si>
    <t>CAPA ESCOSES S LARGO LOMO 29CM ROJO</t>
  </si>
  <si>
    <t>CAPA ESCOSES S LARGO LOMO 29CM NEGRO</t>
  </si>
  <si>
    <t>CAPA ESCOSES M LARGO LOMO 38CM ROSADO</t>
  </si>
  <si>
    <t>CAPA ESCOSES M LARGO LOMO 38CM ROJO</t>
  </si>
  <si>
    <t>CAPIBARA DE PELUCHE CON SONIDO</t>
  </si>
  <si>
    <t>CAPA XL DE 10 A 18 KG VERDE</t>
  </si>
  <si>
    <t>CAPA XL DE 10 A 18 KG ROSADO</t>
  </si>
  <si>
    <t>CEDE EGGFOOD CANARIES 1 KG</t>
  </si>
  <si>
    <t>CEDE EGGFOD RED 1 KG</t>
  </si>
  <si>
    <t>CATDOG DEO COLONIA L'AMOUR COMPLETA 1 LITRO</t>
  </si>
  <si>
    <t>CATDOG DEO COLONIA L'AMOUR 120ML</t>
  </si>
  <si>
    <t>CATDOG DEO COLONIA FLEUR COMPLETA 1 LITRO</t>
  </si>
  <si>
    <t>CATDOG DEO COLONIA FLEUR 120ML</t>
  </si>
  <si>
    <t>CATDOG DEO COLONIA BEBE 120ML</t>
  </si>
  <si>
    <t>CATS SNACK TUBITO CREMOSO SABOR HIGADO DE POLLO</t>
  </si>
  <si>
    <t>CATNIP TUBO</t>
  </si>
  <si>
    <t>CATNIP TOY KIT</t>
  </si>
  <si>
    <t>CATNIP DENTAL STICK</t>
  </si>
  <si>
    <t>CAT WHITE ALOE VERA 8 KG</t>
  </si>
  <si>
    <t>CAT WHITE ALOE VERA 10 KG</t>
  </si>
  <si>
    <t>CAT TREATS SNACK CREMOSO TUNA &amp; SCALLOP (15GR, 5 TUBOS)</t>
  </si>
  <si>
    <t>CASA HAMSTER SIMPLE</t>
  </si>
  <si>
    <t>CAT TREATS SNACK CREMOSO TUNA &amp; FISHOIL (15GR, 5 TUBOS)</t>
  </si>
  <si>
    <t>CATMANIA EFECTO CARBON 8.5 KG(X)</t>
  </si>
  <si>
    <t>CATMANIA EFECTO CARBON 4.25 KG(X)</t>
  </si>
  <si>
    <t>cateter nipro 24g x 3/4</t>
  </si>
  <si>
    <t>cateter nipro 22g x 1</t>
  </si>
  <si>
    <t>cateter nipro 20g x 1 1/4</t>
  </si>
  <si>
    <t>CATETER INSTYLE 24 G X 0.75</t>
  </si>
  <si>
    <t>CATETER GATO C/ESTILETE 1.3</t>
  </si>
  <si>
    <t>CATETER GATO C/ESTILETE 1.0</t>
  </si>
  <si>
    <t>ARNES WONDERDOG M MILITAR</t>
  </si>
  <si>
    <t>ARNES WONDERDOG M FIGURAS NEGRO</t>
  </si>
  <si>
    <t>ARNES WONDERDOG M FIGURAS MORADO</t>
  </si>
  <si>
    <t>ARNES WONDER DOUMM L ROJO Y NEGRO</t>
  </si>
  <si>
    <t>ARNES WONDER DOUMM L MILITAR</t>
  </si>
  <si>
    <t>CAT TREATS SNACK CREMOSO TUNA &amp; SALMON (15GR, 5 TUBOS)</t>
  </si>
  <si>
    <t>CHALECO DE LANA TALLA L</t>
  </si>
  <si>
    <t>CHALECO AZUL COPOS DE NIEVE XXL</t>
  </si>
  <si>
    <t>CHALECO AZUL COPOS DE NIEVE XS</t>
  </si>
  <si>
    <t>CHALECO AZUL COPOS DE NIEVE XL</t>
  </si>
  <si>
    <t>CHALECO AZUL COPOS DE NIEVE S</t>
  </si>
  <si>
    <t>CHALECO AZUL COPOS DE NIEVE M</t>
  </si>
  <si>
    <t>CHALECO AZUL COPOS DE NIEVE L</t>
  </si>
  <si>
    <t>CERENIA 60MG - 4 COMP</t>
  </si>
  <si>
    <t>CERENIA 10MG/ML SOL INY 20 ML</t>
  </si>
  <si>
    <t>CEDE EGG FOOD FOR RED CANARIES 5KG</t>
  </si>
  <si>
    <t>CEDE EGG FOOD FOR CANARIES 5KG</t>
  </si>
  <si>
    <t>CATS WHITE NATURAL 15 KG(X)</t>
  </si>
  <si>
    <t>CATS SNACK TUBITO CREMOSO SABOR SALMON</t>
  </si>
  <si>
    <t>CATS SNACK TUBITO CREMOSO SABOR MEJILLON</t>
  </si>
  <si>
    <t>CEDE EGGFOOD LOVEBIRDS AND NEOPHEMAS 1 KG</t>
  </si>
  <si>
    <t>CEPILLO JW SELF CLEANING</t>
  </si>
  <si>
    <t>CEPILLO DOBLE CARA PARA PERROS Y GATOS S</t>
  </si>
  <si>
    <t>CEPILLO DIENTES PERROS Y GATOS</t>
  </si>
  <si>
    <t>CEPILLO DE NUDOS</t>
  </si>
  <si>
    <t>CATNIP ATTRACTANT PASTE</t>
  </si>
  <si>
    <t>CATNIP 30 GRS</t>
  </si>
  <si>
    <t>CATMANIA LAVANDA 4.25 KG(X)</t>
  </si>
  <si>
    <t>CATMANIA LAVANDA 17 KG(X)</t>
  </si>
  <si>
    <t>CEDE UNIVERSAL SOFTBILL FOOD</t>
  </si>
  <si>
    <t>CEDE MIX PROTEIN</t>
  </si>
  <si>
    <t>CEDE LORIFOOD</t>
  </si>
  <si>
    <t>CEDE HANDREARING 500 GR</t>
  </si>
  <si>
    <t>CEDE HANDREARING 1 KILO</t>
  </si>
  <si>
    <t>CEDE EGGFOOD TROPICAL FINCHES 1 KG</t>
  </si>
  <si>
    <t>CEDE EGGFOOD PARAKEET AND PARROT 1 KG</t>
  </si>
  <si>
    <t>CEPILLO MEDIANO</t>
  </si>
  <si>
    <t>CASA IGLU ERIZO (28X28X15 CM) AZUL</t>
  </si>
  <si>
    <t>CASA IGLU CONEJO (41X31X20 CM) VERDE</t>
  </si>
  <si>
    <t>CASA PET HOUSE KENNEL S (68.9 x 91.4 x 66 CM)</t>
  </si>
  <si>
    <t>CASA PET HOUSE KENNEL L (111.1 x 83.8 x 80.4 CM)</t>
  </si>
  <si>
    <t>CASA PERRO POPULAR STYLE XL</t>
  </si>
  <si>
    <t>CASA PERRO POPULAR STYLE S</t>
  </si>
  <si>
    <t>CASA PERRO POPULAR STYLE M</t>
  </si>
  <si>
    <t>CASA PEQUEÑA TOTORA</t>
  </si>
  <si>
    <t>CASA PARA GATOS TIPO CASA 2 PISOS 38*7*44cm</t>
  </si>
  <si>
    <t>CASA PARA GATOS 3 PISOS CON HAMACA</t>
  </si>
  <si>
    <t>CASA DELUXE TALLA XL(X)</t>
  </si>
  <si>
    <t>CASA DELUXE TALLA S</t>
  </si>
  <si>
    <t>CASA DELUXE TALLA M</t>
  </si>
  <si>
    <t>CASA DELUXE TALLA L(X)</t>
  </si>
  <si>
    <t>ARNES WONDER DOUMM L AZUL</t>
  </si>
  <si>
    <t>CASA IGLU M BLANCO</t>
  </si>
  <si>
    <t>CASA IGLU M AZUL</t>
  </si>
  <si>
    <t>CASA IGLU M</t>
  </si>
  <si>
    <t>CASA IGLU L VERDE</t>
  </si>
  <si>
    <t>CASA IGLU L BLANCO</t>
  </si>
  <si>
    <t>CASA IGLU L AZUL</t>
  </si>
  <si>
    <t>CASA IGLU L</t>
  </si>
  <si>
    <t>CASA IGLU HAMSTER (15X15X9 CM) ROJO</t>
  </si>
  <si>
    <t>Casa de Fieltro Modelo Domo Colores Gris</t>
  </si>
  <si>
    <t>Casa de Fieltro Modelo Domo Colores Azul - Ovni</t>
  </si>
  <si>
    <t>Casa de Fieltro Modelo Domo Colores Azul</t>
  </si>
  <si>
    <t>Casa de Fieltro Modelo Domo Color Naranja - Ovni</t>
  </si>
  <si>
    <t>Casa de Fieltro Modelo Domo Color Café - Ovni</t>
  </si>
  <si>
    <t>CASA HAMSTER SIMPLE ROJA</t>
  </si>
  <si>
    <t>CASA IGLU M VERDE</t>
  </si>
  <si>
    <t>Arnes Wonder Dog Pro Colores Abstractos xs</t>
  </si>
  <si>
    <t>ARNES WONDER AMY XS</t>
  </si>
  <si>
    <t>ARNES WONDER AMY S</t>
  </si>
  <si>
    <t>ARNES WONDER ABBA XXL - RADIO</t>
  </si>
  <si>
    <t>ARNES WONDERDOG L CAMUFLAJE CELESTE</t>
  </si>
  <si>
    <t>ARNES WONDERDOG L AZUL</t>
  </si>
  <si>
    <t>CATDOG DEO COLONIA TALC 120ML</t>
  </si>
  <si>
    <t>CATDOG DEO COLONIA PETIT 120ML</t>
  </si>
  <si>
    <t>CATDOG DEO COLONIA LAVANDE 120ML</t>
  </si>
  <si>
    <t>CASA TOTORO PARA CHINCHILLAS Y CUY</t>
  </si>
  <si>
    <t>CASA T FIBRA VEGETAL</t>
  </si>
  <si>
    <t>CASA PLASTICO ROSADA</t>
  </si>
  <si>
    <t>CASA PLASTICO CERDITO</t>
  </si>
  <si>
    <t>CASA PLASTICO CAFE</t>
  </si>
  <si>
    <t>CASA IGLU ERIZO (28X28X15 CM) ROJO</t>
  </si>
  <si>
    <t>CAT WHITE NATURAL 8 KG (10 lt)</t>
  </si>
  <si>
    <t>CAT WHITE NATURAL 12.7 KG (15LT)</t>
  </si>
  <si>
    <t>CAT WHITE BABY POWDER 8 KG</t>
  </si>
  <si>
    <t>CASA PARA GATO TIPO CASA 3 PISOS</t>
  </si>
  <si>
    <t>CASA MEDIANA TOTORA</t>
  </si>
  <si>
    <t>CASA IGLU N°3</t>
  </si>
  <si>
    <t>CASA IGLU N°2</t>
  </si>
  <si>
    <t>CASA IGLU N°1</t>
  </si>
  <si>
    <t>CAT TREATS SNACK CREMOSO CHICKEN &amp; SCALLOP (15GR, 5 TUBOS)</t>
  </si>
  <si>
    <t>CAT TREATS SNACK CREMOSO CHICKEN &amp; SALMON (15GR, 5 TUBOS)</t>
  </si>
  <si>
    <t>CAT SHAMPOO</t>
  </si>
  <si>
    <t>CAT CALMING FEROMONAS KIT DIFUSOR</t>
  </si>
  <si>
    <t>CASTRADOS WEIGHT CONTROL 7.5 KG ROYAL CANIN</t>
  </si>
  <si>
    <t>CASCO BOZAL PARA GATOS TRANSPIRABLE ANTI MORDIDAS XL (16X15X9.2CM)</t>
  </si>
  <si>
    <t>CASA IGLU ERIZO (28X28X15 CM) VERDE</t>
  </si>
  <si>
    <t>CATA AVE</t>
  </si>
  <si>
    <t>CAMA PERRO AX0515L</t>
  </si>
  <si>
    <t>ARNES WONDERDOG XXL CAMUFLAJE CUADRADO</t>
  </si>
  <si>
    <t>ARNES WONDERDOG XXL CAMUFLAJE CELESTE</t>
  </si>
  <si>
    <t>ARNES WONDERDOG XXL AZUL</t>
  </si>
  <si>
    <t>ARNES WONDERDOG M DISEÑO ROJO</t>
  </si>
  <si>
    <t>ARNES WONDERDOG M CAMUFLAJE CUADRADO</t>
  </si>
  <si>
    <t>ARNES WONDERDOG M AZUL</t>
  </si>
  <si>
    <t>ARNES WONDERDOG L ROJO</t>
  </si>
  <si>
    <t>ARNES WONDERDOG L NEGRO</t>
  </si>
  <si>
    <t>ARNES WONDERDOG L FIGURAS NEGRO</t>
  </si>
  <si>
    <t>ARNES WONDERDOG L FIGURAS MORADO</t>
  </si>
  <si>
    <t>ARNES WONDERDOG L DISEÑO ROJO</t>
  </si>
  <si>
    <t>ARNES WONDERDOG XL NEGRO</t>
  </si>
  <si>
    <t>ARNES WONDERDOG XL MILITAR</t>
  </si>
  <si>
    <t>CAPA XL DE 10 A 18 KG GRIS</t>
  </si>
  <si>
    <t>ARNES WONDERDOG XL FIGURAS MORADO</t>
  </si>
  <si>
    <t>CAMA PERRO ACOLCHADA VERDE M</t>
  </si>
  <si>
    <t>CAMA PERRO ACOLCHADA VERDE L</t>
  </si>
  <si>
    <t>CAMA PERRO ACOLCHADA CAFE S</t>
  </si>
  <si>
    <t>CAMA INTERIOR DE TELA BLU TALLA M NEGRO 53*45*15 CM</t>
  </si>
  <si>
    <t>CAMA INTERIOR DE TELA BLU TALLA M GRIS 53*45*15 CM</t>
  </si>
  <si>
    <t>CAMA INTERIOR DE TELA BLU TALLA L ROJO 63*50*16 CM</t>
  </si>
  <si>
    <t>CAMA INTERIOR DE TELA BLU TALLA L NEGRO 63*50*16 CM</t>
  </si>
  <si>
    <t>CAMA PARA MASCOTAS S 8455</t>
  </si>
  <si>
    <t>CAMA PARA MASCOTAS LINO GRIS INTERIOR FELPA 100x70x22 CM</t>
  </si>
  <si>
    <t>CAMA PARA MASCOTAS L 8455</t>
  </si>
  <si>
    <t>CAMA PARA MASCOTAS 8422</t>
  </si>
  <si>
    <t>CAMA PARA GATOS EN FORMA DE CUEVA</t>
  </si>
  <si>
    <t>CAMA PARA GATOS EN FORMA DE CASA</t>
  </si>
  <si>
    <t>ARNES WONDERDOG XL FIGURAS NEGRO</t>
  </si>
  <si>
    <t>CAMA ROEDORES DISEÑOS POLAR Y GANCHOS AZUL CELESTE TALLA L</t>
  </si>
  <si>
    <t>CAMA ROEDORES DISEÑOS POLAR Y GANCHOS AMARILLO TALLA S</t>
  </si>
  <si>
    <t>CAMA PREMIUM PERROS RECTANGULAR</t>
  </si>
  <si>
    <t>CAMAS DE FELPA SQUARE TALLA L 101*80*15 CM</t>
  </si>
  <si>
    <t>CAMARON XL</t>
  </si>
  <si>
    <t>CAMARON NEGRO</t>
  </si>
  <si>
    <t>CAMARON NARANJO</t>
  </si>
  <si>
    <t>CAMA+HAMACA+PLATO+BAÑOVERDE+RASCADOR</t>
  </si>
  <si>
    <t>CAMA+HAMACA+PLATO+BAÑOMORADO+RASCADOR</t>
  </si>
  <si>
    <t>CAMA VERANO VARIEDAD DISENO 50*90*8.5 XL ROSADO</t>
  </si>
  <si>
    <t>CAMA VERANO VARIEDAD DISENO 50*90*8.5 XL CELESTE</t>
  </si>
  <si>
    <t>CAMA PERRO ACOLCHADA CAFE M</t>
  </si>
  <si>
    <t>CAMA PERRO ACOLCHADA CAFE L</t>
  </si>
  <si>
    <t>CAMA PEQUEÑA PARA MASCOTAS 30-35 CM DIAMETRO</t>
  </si>
  <si>
    <t>CAMA PERRO AX0515M</t>
  </si>
  <si>
    <t>CAMA PARA PERROS Y GATOS CON RAYAS ROSADAS TALLA S</t>
  </si>
  <si>
    <t>CAMA TIPO BOLSO L</t>
  </si>
  <si>
    <t>CAMA TERMICA HAMSTER</t>
  </si>
  <si>
    <t>CAMA ROEDORES DISEÑOS POLAR Y GANCHOS ROSADO CLARO TALLA S</t>
  </si>
  <si>
    <t>CAMA ROEDORES DISEÑOS POLAR Y GANCHOS ROSADO CLARO TALLA L</t>
  </si>
  <si>
    <t>CAMA ROEDORES DISEÑOS POLAR Y GANCHOS BEIGE TALLA S</t>
  </si>
  <si>
    <t>CAMA ROEDORES DISEÑOS POLAR Y GANCHOS BEIGE TALLA L</t>
  </si>
  <si>
    <t>CAMA OXFORD TALLA L</t>
  </si>
  <si>
    <t>CAMA OVAL LOUNGER</t>
  </si>
  <si>
    <t>CAMA OSITO PARA ROEDORES (11X11 CM)</t>
  </si>
  <si>
    <t>CAMA M NARANJO / GRIS OSCURO</t>
  </si>
  <si>
    <t>CAMA PONGEE INTERIOR CHIPORRO TALLA L 76*63*25 CM</t>
  </si>
  <si>
    <t>CAMA PLASTICA TINO 50</t>
  </si>
  <si>
    <t>CAMA PERRO TIPO COLCHONETA M</t>
  </si>
  <si>
    <t>CAMA PERRO AX0515S</t>
  </si>
  <si>
    <t>Cama para sillones ( 79*52*19CM 933 gr)</t>
  </si>
  <si>
    <t>CAMA EXTRA RELLENO NEGRO-GRIS S (40X35X15)</t>
  </si>
  <si>
    <t>CAMA EXTRA RELLENO NEGRO-GRIS L (65X55X18)</t>
  </si>
  <si>
    <t>CAMA EXTRA RELLENO MOSTAZA-ROSADO L (65X55X18)</t>
  </si>
  <si>
    <t>CAMA ESTAMPADO CON LANA CORDERO 76x51x10</t>
  </si>
  <si>
    <t>1 KILO TUBIFEX LIOFILIZADO</t>
  </si>
  <si>
    <t>VITO PREÑEZ PERRO PVO ORAL X 300 GR</t>
  </si>
  <si>
    <t>ZB HUESO PLUSH</t>
  </si>
  <si>
    <t>ZAPATOS PARA PERROS TELA Y VELCRO TALLA M VERDE</t>
  </si>
  <si>
    <t>ZAPATOS CON CIERRE Y GOMA TALLA 2 AZUL</t>
  </si>
  <si>
    <t>SMAKERS ECONOMIC FOR COCKATIEL</t>
  </si>
  <si>
    <t>JAULA PERRO BLOQUEO 5 PUNTOS XXL (121x75x80 H)</t>
  </si>
  <si>
    <t>JAULA PARA PERROS Y GATOS DE METAL CON BANDEJA 61x43.5x50 cm</t>
  </si>
  <si>
    <t>ARNES WONDERDOG XS FIGURAS AZUL</t>
  </si>
  <si>
    <t>ARNES WONDERDOG M FIGURAS AZUL</t>
  </si>
  <si>
    <t>CAMA OXFORD TALLA S</t>
  </si>
  <si>
    <t>ARNES WONDERDOG L FIGURAS AZUL</t>
  </si>
  <si>
    <t>ZAPATOS PARA PERRO SUELA DE GOMA AZUL TALLA 4</t>
  </si>
  <si>
    <t>ZAPATOS PARA PERRO SUELA DE GOMA AZUL TALLA 3</t>
  </si>
  <si>
    <t>ZAPATOS PARA PERRO SUELA DE GOMA AZUL TALLA 2</t>
  </si>
  <si>
    <t>ZAPATOS PARA PERRO SUELA DE GOMA AZUL TALLA 1</t>
  </si>
  <si>
    <t>ZAPATOS PARA PERRO SUELA DE GOMA AMARILLO TALLA 5</t>
  </si>
  <si>
    <t>ZAPATOS PARA PERRO SUELA DE GOMA AMARILLO TALLA 4</t>
  </si>
  <si>
    <t>ZAPATOS PARA PERRO SUELA DE GOMA AMARILLO TALLA 3</t>
  </si>
  <si>
    <t>ZAPATOS PARA PERRO SUELA DE GOMA AMARILLO TALLA 1</t>
  </si>
  <si>
    <t>ZAPATOS CON CIERRE Y GOMA TALLA 1 NEGRO</t>
  </si>
  <si>
    <t>SPRAY ANTI PARASITOS PARA PERROS Y GATOS 207 ML BIOLINE</t>
  </si>
  <si>
    <t>ZAPATOS PARA PERRO SUELA DE GOMA AMARILLO TALLA 2</t>
  </si>
  <si>
    <t>BAÑO PARA GATOS MINOU XL (58x39x17cm) VERDE</t>
  </si>
  <si>
    <t>BAÑO GATOS CURVI XL MOSTAZA</t>
  </si>
  <si>
    <t>ZAPATOS PARA PERROS TELA Y VELCRO TALLA S VERDE</t>
  </si>
  <si>
    <t>ARNES WONDERDOG M CAMUFLAJE CELESTE</t>
  </si>
  <si>
    <t>CAMA OXFORD TALLA M</t>
  </si>
  <si>
    <t>CAMA GAMUZA AZUL S</t>
  </si>
  <si>
    <t>CAMA GAMUZA AZUL M</t>
  </si>
  <si>
    <t>CAMA GAMUZA AZUL L</t>
  </si>
  <si>
    <t>CAMA FIELTRO COLCHONETA 80*48*47</t>
  </si>
  <si>
    <t>CAMA FIELTRO COLCHONETA 60*40*15</t>
  </si>
  <si>
    <t>CAMA M GRIS/VERDE CUADRADA</t>
  </si>
  <si>
    <t>CAMA M AZUL/ROJO CUADRADA</t>
  </si>
  <si>
    <t>CAMA M AZUL/GRIS REDONDA</t>
  </si>
  <si>
    <t>CAMA L NARANJA/GRIS REDONDA</t>
  </si>
  <si>
    <t>CAMA L AZUL/ROJO CUADRADA</t>
  </si>
  <si>
    <t>CAMA L AZUL</t>
  </si>
  <si>
    <t>CAMA INTERIOR DE TELA BLU TALLA S GRIS 45*35*15 CM</t>
  </si>
  <si>
    <t>CAMA INTERIOR DE TELA BLU TALLA M ROJO 53*45*15 CM</t>
  </si>
  <si>
    <t>CAMA DE PERRO M</t>
  </si>
  <si>
    <t>CAMA DISEÑO ESCOSES XL</t>
  </si>
  <si>
    <t>CAMA DISEÑO ESCOSES S</t>
  </si>
  <si>
    <t>Cama diseño común con buen acolchado Naranja - Talla S</t>
  </si>
  <si>
    <t>CAMA INTERIOR DE TELA BLU TALLA L GRIS 63*50*16 CM</t>
  </si>
  <si>
    <t>CAMA INTERIOR DE TELA BLU TALLA L AZUL 63*50*16 CM</t>
  </si>
  <si>
    <t>CAMA INTERIOR DE FELPA WOOL TALLA S 35*35*10 CM</t>
  </si>
  <si>
    <t>CAMA INTERIOR DE FELPA WOOL TALLA M 45*45*14 CM</t>
  </si>
  <si>
    <t>CAMA INTERIOR DE FELPA WOOL TALLA L 55*45*18 CM</t>
  </si>
  <si>
    <t>CAMA INTERIOR CHIPORRO ARROW TALLA S 45*35*12 CM</t>
  </si>
  <si>
    <t>CAMA INTERIOR CHIPORRO ARROW TALLA M 53*45*14 CM</t>
  </si>
  <si>
    <t>CAMA INTERIOR CHIPORRO ARROW TALLA L 63*55*16 CM</t>
  </si>
  <si>
    <t>CAMA GRIS TERCIOPELO 75x55x5 cm</t>
  </si>
  <si>
    <t>CAMA GAMUZA GRIS PARA MASCOTAS 80*60*10 CM</t>
  </si>
  <si>
    <t>CAMA DE TELA OXFORD, INTERIOR DE FELPA TALLA M 80*60*20 CM</t>
  </si>
  <si>
    <t>CAMA DE PERRO S</t>
  </si>
  <si>
    <t>CAMA ELEVADA PARA CIRCULACION DE AIRE TALLA S</t>
  </si>
  <si>
    <t>Capa Enfriamiento Rosado XXL</t>
  </si>
  <si>
    <t>Capa Enfriamiento Rosado XL</t>
  </si>
  <si>
    <t>Capa Enfriamiento Rosado S</t>
  </si>
  <si>
    <t>Capa Enfriamiento Rosado M</t>
  </si>
  <si>
    <t>CANISTER 1200 LITROS/HORA</t>
  </si>
  <si>
    <t>CANISH SHAMPOO EXTRACTO DE HIERBAS 390 ML</t>
  </si>
  <si>
    <t>Capa Enfriamiento Naranja L</t>
  </si>
  <si>
    <t>Capa Enfriamiento Azul XXL</t>
  </si>
  <si>
    <t>Capa Enfriamiento Azul XL</t>
  </si>
  <si>
    <t>Capa Enfriamiento Azul S</t>
  </si>
  <si>
    <t>CAPA ARAÑA S</t>
  </si>
  <si>
    <t>CAPA ARAÑA M 30*40 40*55 CM</t>
  </si>
  <si>
    <t>CAPA 5XL DE 65 A 95 KG VERDE</t>
  </si>
  <si>
    <t>CAPA 5XL DE 65 A 95 KG ROSADO</t>
  </si>
  <si>
    <t>CAMA ROEDORES DISEÑOS POLAR Y GANCHOS AZUL CELESTE TALLA S</t>
  </si>
  <si>
    <t>CAN OUT SPRAY 100ML DISPLAY</t>
  </si>
  <si>
    <t>CAMOTE DULCE ENVUELTO EN POLLO 100G</t>
  </si>
  <si>
    <t>CAMISETA I LOVE TALLA XL</t>
  </si>
  <si>
    <t>CAPA 3XL DE 28 A 48 KG GRIS</t>
  </si>
  <si>
    <t>CAPA 3XL DE 28 A 48 KG AZUL</t>
  </si>
  <si>
    <t>CAPA 2XL DE 18 A 28 KG VERDE</t>
  </si>
  <si>
    <t>CAPA 2XL DE 18 A 28 KG ROSADO</t>
  </si>
  <si>
    <t>CAPA 2XL DE 18 A 28 KG GRIS</t>
  </si>
  <si>
    <t>CAPA 2XL DE 18 A 28 KG AZUL</t>
  </si>
  <si>
    <t>CANVIT SNACK SKIN COAT 200 G</t>
  </si>
  <si>
    <t>CAMISETA ALGODON SIN MANGAS L</t>
  </si>
  <si>
    <t>CAMISETA ALGODON DISEÑO ESTRELLA XXL</t>
  </si>
  <si>
    <t>CAMISETA ALGODON DISEÑO ESTRELLA S</t>
  </si>
  <si>
    <t>CAMA ESQUINERO PREMIUM PERRO</t>
  </si>
  <si>
    <t>CAMA ELEVADA PARA CIRCULACION DE AIRE TALLA XL</t>
  </si>
  <si>
    <t>CAPA 5XL DE 65 A 95 KG GRIS</t>
  </si>
  <si>
    <t>CAPA XL DE 10 A 18 KG AZUL</t>
  </si>
  <si>
    <t>CAPA S DE 2 A 4 KG VERDE</t>
  </si>
  <si>
    <t>CAPA S DE 2 A 4 KG ROSADO</t>
  </si>
  <si>
    <t>CAPA S DE 2 A 4 KG GRIS</t>
  </si>
  <si>
    <t>Capa Enfriamiento Rosado L</t>
  </si>
  <si>
    <t>Capa Enfriamiento Naranja XL</t>
  </si>
  <si>
    <t>Capa Enfriamiento Naranja S</t>
  </si>
  <si>
    <t>Capa Enfriamiento Naranja M</t>
  </si>
  <si>
    <t>CAPA M DE 4 A 7 KG AZUL</t>
  </si>
  <si>
    <t>CAPA L DE 7 A 10 KG VERDE</t>
  </si>
  <si>
    <t>CAPA L DE 7 A 10 KG ROSADO</t>
  </si>
  <si>
    <t>CAPA L DE 7 A 10 KG GRIS</t>
  </si>
  <si>
    <t>CAPA L DE 7 A 10 KG AZUL</t>
  </si>
  <si>
    <t>CAPA ESCOSES XS LARGO LOMO 25CM ROSADO</t>
  </si>
  <si>
    <t>CAPA ESCOSES 2XL LARGO LOMO 68CM NEGRO</t>
  </si>
  <si>
    <t>CAPA ESCOSES XS LARGO LOMO 25CM NEGRO</t>
  </si>
  <si>
    <t>CAPA ESCOSES XL LARGO LOMO 58CM ROSADO</t>
  </si>
  <si>
    <t>CAPA ESCOSES XL LARGO LOMO 58CM ROJO</t>
  </si>
  <si>
    <t>CAPA ESCOSES XL LARGO LOMO 58CM NEGRO</t>
  </si>
  <si>
    <t>CAPA 5XL DE 65 A 95 KG AZUL</t>
  </si>
  <si>
    <t>CAPA 4XL DE 48 A 65 KG VERDE</t>
  </si>
  <si>
    <t>CAPA 4XL DE 48 A 65 KG ROSADO</t>
  </si>
  <si>
    <t>CAPA 4XL DE 48 A 65 KG GRIS</t>
  </si>
  <si>
    <t>CAPA 4XL DE 48 A 65 KG AZUL</t>
  </si>
  <si>
    <t>CAPA ESCOSES M LARGO LOMO 38CM NEGRO</t>
  </si>
  <si>
    <t>CAPA ESCOSES L LARGO LOMO 48CM ROSADO</t>
  </si>
  <si>
    <t>CAPA ESCOSES L LARGO LOMO 48CM ROJO</t>
  </si>
  <si>
    <t>CAPA ESCOSES L LARGO LOMO 48CM NEGRO</t>
  </si>
  <si>
    <t>CAPA ESCOSES 2XL LARGO LOMO 68CM ROSADO</t>
  </si>
  <si>
    <t>CAPA ESCOSES 2XL LARGO LOMO 68CM ROJO</t>
  </si>
  <si>
    <t>CAPA ESCOSES XS LARGO LOMO 25CM ROJO</t>
  </si>
  <si>
    <t>CAMISETA ALGODON SIN MANGAS M</t>
  </si>
  <si>
    <t>CAMISA CON LINEAS BLANCAS Y CORBATIN TALLA XL</t>
  </si>
  <si>
    <t>CAMISA CON LINEAS BLANCAS Y CORBATIN TALLA S</t>
  </si>
  <si>
    <t>CAMISA CON LINEAS BLANCAS Y CORBATIN TALLA M</t>
  </si>
  <si>
    <t>CAMISA CON LINEAS BLANCAS Y CORBATIN TALLA L</t>
  </si>
  <si>
    <t>CAMAS ESTILO YURT</t>
  </si>
  <si>
    <t>CAMISA GUAYABERA DISEÑOS VERANO XXL ROSADO</t>
  </si>
  <si>
    <t>CAMISA GUAYABERA DISEÑOS VERANO XXL BLANCO</t>
  </si>
  <si>
    <t>CAMISA GUAYABERA DISEÑOS VERANO XXL AZUL</t>
  </si>
  <si>
    <t>CAMISA GUAYABERA DISEÑOS VERANO XS ROSADO</t>
  </si>
  <si>
    <t>CAMISA GUAYABERA DISEÑOS VERANO XS BLANCO</t>
  </si>
  <si>
    <t>CAMISA GUAYABERA DISEÑOS VERANO XS AZUL</t>
  </si>
  <si>
    <t>CAMISA GUAYABERA DISEÑOS VERANO XL ROSADO</t>
  </si>
  <si>
    <t>CAMISA GUAYABERA DISEÑOS VERANO XL AZUL</t>
  </si>
  <si>
    <t>CAMA ELEVADA PARA CIRCULACION DE AIRE TALLA M</t>
  </si>
  <si>
    <t>CAMA VERANO VARIEDAD DISENO 40*50*8.5 M GRIS</t>
  </si>
  <si>
    <t>CAMA VERANO VARIEDAD DISENO 40*50*8.5 M BEIGE</t>
  </si>
  <si>
    <t>CAMA TUNEL PARA HURONES</t>
  </si>
  <si>
    <t>CAMA TIPO BOLSO XL</t>
  </si>
  <si>
    <t>CAMISA GUAYABERA DISEÑOS VERANO L BLANCO</t>
  </si>
  <si>
    <t>CAMISA GUAYABERA DISEÑOS VERANO 5XL ROSADO</t>
  </si>
  <si>
    <t>CAMISA GUAYABERA DISEÑOS VERANO 5XL BURDEO</t>
  </si>
  <si>
    <t>CAMISA GUAYABERA DISEÑOS VERANO 5XL BLANCO</t>
  </si>
  <si>
    <t>CAMISA GUAYABERA DISEÑOS VERANO 4XL ROSADO</t>
  </si>
  <si>
    <t>CAMISA GUAYABERA DISEÑOS VERANO 4XL BURDEO</t>
  </si>
  <si>
    <t>CAMISA GUAYABERA DISEÑOS VERANO 4XL AZUL</t>
  </si>
  <si>
    <t>CAMISA GUAYABERA DISEÑOS VERANO 3XL ROSADO</t>
  </si>
  <si>
    <t>CAMISA GUAYABERA DISEÑOS VERANO 3XL BLANCO</t>
  </si>
  <si>
    <t>CAMISA GUAYABERA DISEÑOS VERANO 3XL AZUL</t>
  </si>
  <si>
    <t>CAMISA CON LINEAS BLANCAS Y CORBATIN TALLA XXL</t>
  </si>
  <si>
    <t>CAMISA GUAYABERA DISEÑOS VERANO S BLANCO</t>
  </si>
  <si>
    <t>CAMA ELEVADA PARA CIRCULACION DE AIRE TALLA L</t>
  </si>
  <si>
    <t>CAMA DE FELPA CALM TALLA L 92*61*25 CM</t>
  </si>
  <si>
    <t>CAMA CONCHA GATOS Y PERROS ESTRELLA</t>
  </si>
  <si>
    <t>CAMA CONCHA GATOS Y PERROS CORAZON</t>
  </si>
  <si>
    <t>CAMA CON OREJAS</t>
  </si>
  <si>
    <t>Cama diseño común con buen acolchado Naranja - Talla M</t>
  </si>
  <si>
    <t>Cama diseño común con buen acolchado Naranja - Talla L</t>
  </si>
  <si>
    <t>Cama diseño común con buen acolchado Azul - Talla S</t>
  </si>
  <si>
    <t>Cama diseño común con buen acolchado Azul - Talla M</t>
  </si>
  <si>
    <t>Cama diseño común con buen acolchado Azul - Talla L</t>
  </si>
  <si>
    <t>CAMA DISEÑO COLCHON L</t>
  </si>
  <si>
    <t>CANISH SHAMPOO BALSAMICO</t>
  </si>
  <si>
    <t>CANIGEST COMBI 32ML</t>
  </si>
  <si>
    <t>CANIGEST COMBI 16ML</t>
  </si>
  <si>
    <t>CAMISETA ALGODON SIN MANGAS S</t>
  </si>
  <si>
    <t>CANICOMFORT REFILL 48ML - BEAPHAR</t>
  </si>
  <si>
    <t>CANICOMFORT KIT 30 DIAS - BEAPHAR</t>
  </si>
  <si>
    <t>CANDY LEASH SMALL</t>
  </si>
  <si>
    <t>CANARIOS</t>
  </si>
  <si>
    <t>CAMISA GUAYABERA DISEÑOS VERANO S AZUL</t>
  </si>
  <si>
    <t>CAMISA GUAYABERA DISEÑOS VERANO M ROSADO</t>
  </si>
  <si>
    <t>CAMISA GUAYABERA DISEÑOS VERANO M BLANCO</t>
  </si>
  <si>
    <t>CAMISA GUAYABERA DISEÑOS VERANO M AZUL</t>
  </si>
  <si>
    <t>CAMISA GUAYABERA DISEÑOS VERANO L ROSADO</t>
  </si>
  <si>
    <t>CAMISETA I LOVE TALLA M</t>
  </si>
  <si>
    <t>CAMISETA I LOVE TALLA L</t>
  </si>
  <si>
    <t>CAMISETA DE LINEAS ALGODON SIN MANGAS S</t>
  </si>
  <si>
    <t>CAMISETA DE LINEAS ALGODON SIN MANGAS M</t>
  </si>
  <si>
    <t>CAMISETA DE LINEAS ALGODON SIN MANGAS L</t>
  </si>
  <si>
    <t>CAMISETA ALGODON SIN MANGAS XXL</t>
  </si>
  <si>
    <t>CANICOMFORT SPRAY 30ML - BEAPHAR</t>
  </si>
  <si>
    <t>CIRCULAR PET DENTAL TREAT HIPOALERGENICO PERRO S 68 GR</t>
  </si>
  <si>
    <t>CIRCULAR PET DENTAL TREAT HIPOALERGENICO PERRO M 134 GR</t>
  </si>
  <si>
    <t>CIRCULAR PET DENTAL TREAT HIPOALERGENICO PERRO L 180 GR</t>
  </si>
  <si>
    <t>CINTURON SEGURIDAD PRO CON MOSQUETON REFORZADO Y DESTORCEDOR</t>
  </si>
  <si>
    <t>CICHLID OMNIVORE SMALL PELLET 250 ML/ 90 GR</t>
  </si>
  <si>
    <t>CICHLID HERBIVORE SMALL PELLET 250 ML/ 90 GR</t>
  </si>
  <si>
    <t>ARNES WONDER ABBA L - MARINERO</t>
  </si>
  <si>
    <t>ARNES WONDER ABBA L - CIRCULO HOJAS</t>
  </si>
  <si>
    <t>ARNES WONDER ABBA L - CAMUFLAJE NARANJO</t>
  </si>
  <si>
    <t>cefazolina 1g caja x 10 amp. biosano</t>
  </si>
  <si>
    <t>ARNES TRAJE CON TRAILLA S AZUL BLANCO Y NEGRO</t>
  </si>
  <si>
    <t>ARNES TRAJE CON TRAILLA M CAFE BLANCO Y NEGRO</t>
  </si>
  <si>
    <t>ARNES TRAJE CON TRAILLA M AZUL BLANCO Y NEGRO</t>
  </si>
  <si>
    <t>CICHLID GRAN 250 ML/138GR</t>
  </si>
  <si>
    <t>CICHLID &amp; AROWANA MEDIUM STICKS 250 ML/90 GR</t>
  </si>
  <si>
    <t>CICHLID &amp; AROWANA MEDIUM STICK 1000 ML</t>
  </si>
  <si>
    <t>CAMA CHIPORRO COLOR GRIS TALLA M</t>
  </si>
  <si>
    <t>CAMA CHIPORRO COLOR GRIS TALLA L</t>
  </si>
  <si>
    <t>CALZON DE CELO PARA PERROS L (37-55CM) ROSADO</t>
  </si>
  <si>
    <t>CALZON DE CELO PARA PERROS L (37-55CM) MORADO</t>
  </si>
  <si>
    <t>CALMING TREATS GATO 35 GR - BEAPHAR</t>
  </si>
  <si>
    <t>CALMING SPOT ON PERRO X3 - BEAPHAR</t>
  </si>
  <si>
    <t>Cojin Para Gatos O Cachorros L Vinotinto</t>
  </si>
  <si>
    <t>Cojin Para Gatos O Cachorros L Verde Oscuro</t>
  </si>
  <si>
    <t>clorhexidina 2% solucion jabonosa 1l</t>
  </si>
  <si>
    <t>Cojin Para Gatos O Cachorros L Rosado Oscuro</t>
  </si>
  <si>
    <t>Cojin Para Gatos O Cachorros L Piel</t>
  </si>
  <si>
    <t>Cojin Para Gatos O Cachorros L Gris oscuro</t>
  </si>
  <si>
    <t>Cojin Para Gatos O Cachorros L Gris Claro</t>
  </si>
  <si>
    <t>Cojin Para Gatos O Cachorros L Café</t>
  </si>
  <si>
    <t>Cojin Para Gatos O Cachorros L Azul deslumbrante</t>
  </si>
  <si>
    <t>COJIN PARA GATOS O CACHORROS 40CM VIOLETA</t>
  </si>
  <si>
    <t>COJIN PARA GATOS O CACHORROS 40CM VINOTINTO</t>
  </si>
  <si>
    <t>COJIN PARA GATOS O CACHORROS 40CM VERDE CLARO</t>
  </si>
  <si>
    <t>COJIN PARA GATOS O CACHORROS 40CM GRIS CLARO</t>
  </si>
  <si>
    <t>COJIN PARA GATOS O CACHORROS 40 CM VERDE OSCURO</t>
  </si>
  <si>
    <t>CIRCULAR PET SNACK PROTEINA INSECTOS HIPO PERRO 120 GR</t>
  </si>
  <si>
    <t>CI TENNIS BALL SHRINK M 4 PK</t>
  </si>
  <si>
    <t>CI AMPHIBIOUS BOOMERANG</t>
  </si>
  <si>
    <t>COJIN PARA GATOS O CACHORROS 40 CM CAFE CLARO</t>
  </si>
  <si>
    <t>COJIN PARA GATOS O CACHORROS 40 CM BEIGE</t>
  </si>
  <si>
    <t>COHETE CON PELOTA TURBODOG</t>
  </si>
  <si>
    <t>COGNIDINE 60 COMP</t>
  </si>
  <si>
    <t>COCOCHIP 500 G TROPICAL</t>
  </si>
  <si>
    <t>COCKTAIL SMAKERS FOR RODENTS &amp; RABBIT 90GR</t>
  </si>
  <si>
    <t>COCHE PARA MASCOTAS 4 RUEDAS AZUL OSCURO</t>
  </si>
  <si>
    <t>COCHE PARA MASCOTAS 3 RUEDAS ROJO</t>
  </si>
  <si>
    <t>COCHE PARA MASCOTAS 3 RUEDAS AZUL OSCURO</t>
  </si>
  <si>
    <t>COBERTURA DE PERCHA 24 CM LIMPIA DESGASTA DE FORMA</t>
  </si>
  <si>
    <t>COBERTURA DE PERCHA 19 CM LIMPIA DESGASTA DE FORMA</t>
  </si>
  <si>
    <t>CMF (30ml)</t>
  </si>
  <si>
    <t>CITYCAT LAVANDA 4K (X)</t>
  </si>
  <si>
    <t>COJIN PARA GATOS O CACHORROS 40 CM ROSADO OSCURO</t>
  </si>
  <si>
    <t>ARNES WONDER ABBA L - AZUL ROJO</t>
  </si>
  <si>
    <t>ARNES WONDER ABBA L</t>
  </si>
  <si>
    <t>ARNES VESTAR XXS</t>
  </si>
  <si>
    <t>ARNES VESTAR XS</t>
  </si>
  <si>
    <t>ARNES VESTAR S</t>
  </si>
  <si>
    <t>ARNES VESTAR M</t>
  </si>
  <si>
    <t>ARNES VESTAR L</t>
  </si>
  <si>
    <t>CAMA DE FELPA NUBE TALLA L100*85*25 CM</t>
  </si>
  <si>
    <t>CAMA DE FELPA CALM TALLA M 75*62*20 CM</t>
  </si>
  <si>
    <t>CAMA ACOLCHADA CELESTE Y GRIS L (60X50X14)</t>
  </si>
  <si>
    <t>CAMA ACOLCHADA BURDEO Y GRIS XL (70X60X16)</t>
  </si>
  <si>
    <t>CAMA ACOLCHADA BURDEO Y GRIS S (40X30X10)</t>
  </si>
  <si>
    <t>CAMA ACOLCHADA BURDEO Y GRIS M (50X40X10)</t>
  </si>
  <si>
    <t>CAMA ACOLCHADA BURDEO Y GRIS L (60X50X14)</t>
  </si>
  <si>
    <t>CAMA CAFE CON CHIPORRO S</t>
  </si>
  <si>
    <t>CAMA CIRCULAR PERRO GRIS M</t>
  </si>
  <si>
    <t>CAMA CIRCULAR PERRO GRIS L</t>
  </si>
  <si>
    <t>CAMA CIRCULAR PERRO AZUL S</t>
  </si>
  <si>
    <t>CAMA CIRCULAR PERRO AZUL M</t>
  </si>
  <si>
    <t>CAMA CIRCULAR PERRO AZUL L</t>
  </si>
  <si>
    <t>CAMA CHIPORRO COLORES</t>
  </si>
  <si>
    <t>CAMA CHIPORRO COLOR GRIS TALLA S</t>
  </si>
  <si>
    <t>ARNES TRAJE CON TRAILLA S NEGRO Y BLANCO</t>
  </si>
  <si>
    <t>ARNES TRAJE CON TRAILLA S CAFE BLANCO Y NEGRO</t>
  </si>
  <si>
    <t>ARNES WONDER ABBA XXL - MARINERO</t>
  </si>
  <si>
    <t>ARNES WONDER ABBA XXL - CIRCULO HOJAS</t>
  </si>
  <si>
    <t>ARNES WONDER ABBA XXL - CAMUFLAJE NARANJO</t>
  </si>
  <si>
    <t>ARNES WONDER ABBA XXL - AZUL ROJO</t>
  </si>
  <si>
    <t>CHILLER 450 W. CAPACIDAD HASTA 450 LT</t>
  </si>
  <si>
    <t>CHILEAN CAT LITTER LAVANDA 20 KG</t>
  </si>
  <si>
    <t>CAMA CIRCULAR PERRO GRIS S</t>
  </si>
  <si>
    <t>CAMA AZUL CON CHIPORRO</t>
  </si>
  <si>
    <t>CAMA ACOLCHADA GRIS CON BLANCO S (40X40X16)</t>
  </si>
  <si>
    <t>CAMA ACOLCHADA GRIS CON BLANCO M (50X50X16)</t>
  </si>
  <si>
    <t>CAMA ACOLCHADA GRIS CON BLANCO L (60X60X16)</t>
  </si>
  <si>
    <t>CAMA ACOLCHADA CUADROS AZUL M (50X50X16)</t>
  </si>
  <si>
    <t>CAMA ACOLCHADA CUADROS AZUL L (60X60X16)</t>
  </si>
  <si>
    <t>CAMA ACOLCHADA CELESTE Y GRIS XL (70X60X16)</t>
  </si>
  <si>
    <t>CAMA ACOLCHADA CELESTE Y GRIS S (40X30X10)</t>
  </si>
  <si>
    <t>CHURU FUN BITES POLLO - PERRO (6 SACHETS)</t>
  </si>
  <si>
    <t>CHURU SKIN CAT TUNA SCALLOP X 4 (USA673)</t>
  </si>
  <si>
    <t>ARNES WONDER ABBA XXL</t>
  </si>
  <si>
    <t>ARNES WONDER ABBA XL - RADIO</t>
  </si>
  <si>
    <t>ARNES WONDER ABBA XL - MARINERO</t>
  </si>
  <si>
    <t>ARNES TIPO H CON TRAILLA DE CORDON 179</t>
  </si>
  <si>
    <t>ARNES WONDER DOUMM L VERDE Y MORADO</t>
  </si>
  <si>
    <t>ARNES TALLA M COLOR AZUL</t>
  </si>
  <si>
    <t>ARNES TALLA L COLOR CAFE</t>
  </si>
  <si>
    <t>ARNES TALLA L COLOR AZUL</t>
  </si>
  <si>
    <t>ARNES WONDER ABBA M - MARINERO</t>
  </si>
  <si>
    <t>ARNES WONDER ABBA M - CIRCULO HOJAS</t>
  </si>
  <si>
    <t>ARNES WONDER ABBA M - AZUL ROJO</t>
  </si>
  <si>
    <t>ARNES WONDER ABBA M</t>
  </si>
  <si>
    <t>CHURU GATO POLLO CON QUESO Y CARNE 4P</t>
  </si>
  <si>
    <t>CHURU GATO POLLO CON CARNE 4P</t>
  </si>
  <si>
    <t>ARNES WONDER DOUMM M MILITAR</t>
  </si>
  <si>
    <t>ARNES WONDER DOUMM M AZUL</t>
  </si>
  <si>
    <t>ARNES TIPO H CON TRAILLA DE CORDON 178</t>
  </si>
  <si>
    <t>COLLAR 1.0X30 CM AMARILLO</t>
  </si>
  <si>
    <t>COJIN PERRO 3D HUSKY 110 CM</t>
  </si>
  <si>
    <t>colgante rueda mostacilla</t>
  </si>
  <si>
    <t>colgante mostacilla espiral</t>
  </si>
  <si>
    <t>COLGANTE LUMINOSO COPO DE NIEVE PARA MASCOTAS (VERDE)</t>
  </si>
  <si>
    <t>COLGANTE LUMINOSO CIRCULAR PARA MASCOTAS (ROJO)</t>
  </si>
  <si>
    <t>colgante escalera mostacilla</t>
  </si>
  <si>
    <t>colgante circulo blanco mostacilla</t>
  </si>
  <si>
    <t>colgante circular mostacilla</t>
  </si>
  <si>
    <t>colgante ave madera 2</t>
  </si>
  <si>
    <t>colgante ave madera 1</t>
  </si>
  <si>
    <t>COLGADOR ESPECIAL PARA ROPA DE PERRO 23*17.5CM</t>
  </si>
  <si>
    <t>COLGADOR ESPECIAL PARA ROPA DE PERRO 18X15CM</t>
  </si>
  <si>
    <t>Cojin Para Gatos O Cachorros XXL Verde</t>
  </si>
  <si>
    <t>Cojin Para Gatos O Cachorros M Azul deslumbrante</t>
  </si>
  <si>
    <t>COLCHONETA L 80 X 60 X 20 CM</t>
  </si>
  <si>
    <t>COLCHONETA DIEÑO PUNTOS TALLA S</t>
  </si>
  <si>
    <t>COLAGEPET SNACK PERRO SABOR POLLO M x 1</t>
  </si>
  <si>
    <t>COLAGEPET SNACK PERRO SABOR POLLO M (DISPLAY 35 UNID)</t>
  </si>
  <si>
    <t>COLAGEPET SNACK PERRO SABOR PATO M (DISPLAY 35 UNID)</t>
  </si>
  <si>
    <t>COLAGEPET SNACK PERRO SABOR PATO DONA (DISPLAY 15 UNID)</t>
  </si>
  <si>
    <t>COLAGEPET SNACK PERRO SABOR MANI M (DISPLAY 35 UNID)</t>
  </si>
  <si>
    <t>COLAGEPET SNACK PERRO SABOR CARNE XS (DISPLAY 40 UNID)</t>
  </si>
  <si>
    <t>COLAGEPET SNACK PERRO SABOR CARNE M (DISPLAY 35 UNID)</t>
  </si>
  <si>
    <t>COLAGEPET SNACK PARA PERRO SABOR POLLO L</t>
  </si>
  <si>
    <t>ARNES TRAJE CON TRAILLA L NEGRO Y BLANCO</t>
  </si>
  <si>
    <t>ARNES TRAJE CON TRAILLA L CAFE BLANCO Y NEGRO</t>
  </si>
  <si>
    <t>ARNES TRAJE CON TRAILLA L AZUL BLANCO Y NEGRO</t>
  </si>
  <si>
    <t>COLCHONETA XL 110 X 80 X 10 CM</t>
  </si>
  <si>
    <t>COLLAR AHORQUE 3.5 MM</t>
  </si>
  <si>
    <t>COLLAR AHORQUE 3.0 MM</t>
  </si>
  <si>
    <t>COLLAR AHORQUE 2.5 MM DOBLE</t>
  </si>
  <si>
    <t>COLLAR 1.0X30 CM</t>
  </si>
  <si>
    <t>COLLAR ADIESTRAMIENTOAJUSTABLE 4.0MM X 60CM CON BROCHE ACERO</t>
  </si>
  <si>
    <t>COLLAR ADIESTRAMIENTO S</t>
  </si>
  <si>
    <t>COLLAR ADIESTRAMIENTO MEDIANO M</t>
  </si>
  <si>
    <t>COLLAR ADIESTRAMIENTO</t>
  </si>
  <si>
    <t>COLLAR ADAPTIL S - M 46.5 CM</t>
  </si>
  <si>
    <t>COLLAR ACOLCHADO TALLA S</t>
  </si>
  <si>
    <t>COLLAR ACOLCHADO TALLA M</t>
  </si>
  <si>
    <t>COLLAR 2.5X55 CM VERDE</t>
  </si>
  <si>
    <t>COLLAR 2.5X55 CM ROSADO</t>
  </si>
  <si>
    <t>COLLAR 2.5X55 CM MORADO</t>
  </si>
  <si>
    <t>COLLAR 1.0X30 CM CELESTE</t>
  </si>
  <si>
    <t>COLLAR 2.5X55 CM</t>
  </si>
  <si>
    <t>COLLAR 2.5X50 CM</t>
  </si>
  <si>
    <t>COLECTOR DE ARAÑA</t>
  </si>
  <si>
    <t>COLLAR 1.9X45 CM AMARILLO</t>
  </si>
  <si>
    <t>COLLAR 1.9X45 CM</t>
  </si>
  <si>
    <t>COLLAR 1.6X35 CM VERDE</t>
  </si>
  <si>
    <t>COLLAR 1.6X35 CM ROSADO</t>
  </si>
  <si>
    <t>COLLAR 1.6X35 CM MORADO</t>
  </si>
  <si>
    <t>COLLAR 1.6X35 CM CELESTE</t>
  </si>
  <si>
    <t>COLLAR 1.6X35 CM AMARILLO</t>
  </si>
  <si>
    <t>COLLAR 1.6X35 CM</t>
  </si>
  <si>
    <t>COLLAR 1.5X35 CM</t>
  </si>
  <si>
    <t>COLLAR 1.0X30 CM VERDE</t>
  </si>
  <si>
    <t>COLLAR 1.0X30 CM ROSADO</t>
  </si>
  <si>
    <t>COLLAR 1.0X30 CM MORADO</t>
  </si>
  <si>
    <t>COLLAR 2.5X55 CM AMARILLO</t>
  </si>
  <si>
    <t>Cojin Para Gatos O Cachorros XXL Rosado Claro</t>
  </si>
  <si>
    <t>Cojin Para Gatos O Cachorros XXL Rainbow</t>
  </si>
  <si>
    <t>Cojin Para Gatos O Cachorros XXL Piel</t>
  </si>
  <si>
    <t>Cojin Para Gatos O Cachorros XXL Gris Oscuro</t>
  </si>
  <si>
    <t>Cojin Para Gatos O Cachorros XXL Gris Claro</t>
  </si>
  <si>
    <t>Cojin Para Gatos O Cachorros XXL Café</t>
  </si>
  <si>
    <t>Cojin Para Gatos O Cachorros XXL Azul deslumbrante</t>
  </si>
  <si>
    <t>Cojin Para Gatos O Cachorros XL Violeta</t>
  </si>
  <si>
    <t>Cojin Para Gatos O Cachorros XL Verde Oscuro</t>
  </si>
  <si>
    <t>Cojin Para Gatos O Cachorros XL Verde</t>
  </si>
  <si>
    <t>Cojin Para Gatos O Cachorros XL Piel</t>
  </si>
  <si>
    <t>Cojin Para Gatos O Cachorros L Verde</t>
  </si>
  <si>
    <t>Cojin Para Gatos O Cachorros XL Café</t>
  </si>
  <si>
    <t>Cojin Para Gatos O Cachorros XL Beige</t>
  </si>
  <si>
    <t>Cojin Para Gatos O Cachorros S Violeta</t>
  </si>
  <si>
    <t>Cojin Para Gatos O Cachorros S Vinotinto</t>
  </si>
  <si>
    <t>Cojin Para Gatos O Cachorros S Verde Oscuro</t>
  </si>
  <si>
    <t>Cojin Para Gatos O Cachorros S Rosado Claro</t>
  </si>
  <si>
    <t>Cojin Para Gatos O Cachorros S Rainbow</t>
  </si>
  <si>
    <t>Cojin Para Gatos O Cachorros S Piel</t>
  </si>
  <si>
    <t>COJIN PARA GATOS O CACHORROS 40 CM ROSADO CLARO</t>
  </si>
  <si>
    <t>COJIN PARA GATOS O CACHORROS 40 CM PIEL</t>
  </si>
  <si>
    <t>Cojin Para Gatos O Cachorros M Violeta</t>
  </si>
  <si>
    <t>Cojin Para Gatos O Cachorros M Vinotinto</t>
  </si>
  <si>
    <t>Cojin Para Gatos O Cachorros M Verde</t>
  </si>
  <si>
    <t>Cojin Para Gatos O Cachorros M Rosado Oscuro</t>
  </si>
  <si>
    <t>Cojin Para Gatos O Cachorros M Gris oscuro</t>
  </si>
  <si>
    <t>Cojin Para Gatos O Cachorros M Café</t>
  </si>
  <si>
    <t>Cojin Para Gatos O Cachorros M Beige</t>
  </si>
  <si>
    <t>Cojin Para Gatos O Cachorros XL Azul deslumbrante</t>
  </si>
  <si>
    <t>ARNES REFORZADO CON MANILLA 3 COLORES S (VERDE)</t>
  </si>
  <si>
    <t>ARNES REFORZADO CON MANILLA 3 COLORES S (NEGRO)</t>
  </si>
  <si>
    <t>ARNES REFORZADO CON MANILLA 3 COLORES S (GRIS)</t>
  </si>
  <si>
    <t>ARNES REFORZADO CON MANILLA 3 COLORES M (VERDE)</t>
  </si>
  <si>
    <t>COLAGEPET SNACK PARA PERRO SABOR CARNE S</t>
  </si>
  <si>
    <t>COJIN PERRO 3D HUSKY 70 CM</t>
  </si>
  <si>
    <t>COJÍN PERRO 3D HUSKY 50 CM</t>
  </si>
  <si>
    <t>Cojin Para Gatos O Cachorros XL Gris Claro</t>
  </si>
  <si>
    <t>Cojin Para Gatos O Cachorros XXL Rosado Oscuro</t>
  </si>
  <si>
    <t>Cojin Para Gatos O Cachorros XXXL Verde Oscuro</t>
  </si>
  <si>
    <t>Cojin Para Gatos O Cachorros XXXL Verde</t>
  </si>
  <si>
    <t>COJIN PARA GATOS O CACHORROS XXXL ROSADO OSCURO</t>
  </si>
  <si>
    <t>Cojin Para Gatos O Cachorros XXXL Rosado</t>
  </si>
  <si>
    <t>Cojin Para Gatos O Cachorros XXXL Rainbow</t>
  </si>
  <si>
    <t>Cojin Para Gatos O Cachorros XXXL Piel</t>
  </si>
  <si>
    <t>Cojin Para Gatos O Cachorros XXXL Gris Oscuro</t>
  </si>
  <si>
    <t>Cojin Para Gatos O Cachorros XXXL Gris Claro</t>
  </si>
  <si>
    <t>Cojin Para Gatos O Cachorros XXXL Café</t>
  </si>
  <si>
    <t>Cojin Para Gatos O Cachorros XXXL Beige</t>
  </si>
  <si>
    <t>Cojin Para Gatos O Cachorros XXXL Azul deslumbrante</t>
  </si>
  <si>
    <t>Cojin Para Gatos O Cachorros XXL Violeta</t>
  </si>
  <si>
    <t>Cojin Para Gatos O Cachorros XXL Vinotinto</t>
  </si>
  <si>
    <t>Cojin Para Gatos O Cachorros XXL Verde Oscuro</t>
  </si>
  <si>
    <t>Cojin Para Gatos O Cachorros S Azul deslumbrante</t>
  </si>
  <si>
    <t>Cojin Para Gatos O Cachorros XXXL Violeta</t>
  </si>
  <si>
    <t>CHALECO VERDE DISEÑO M</t>
  </si>
  <si>
    <t>CHALECO VERDE DISEÑO L</t>
  </si>
  <si>
    <t>CHALECO TACTICO XL CAFE</t>
  </si>
  <si>
    <t>CHALECO TACTICO M VERDE</t>
  </si>
  <si>
    <t>CHALECO PERRO ESPIRITU LIBRE S</t>
  </si>
  <si>
    <t>CHALECO PERRO ESPIRITU LIBRE M</t>
  </si>
  <si>
    <t>CHALECO PERRO ESPIRITU LIBRE L</t>
  </si>
  <si>
    <t>CHALECO PERRO ESPIRITU LIBRE 3XL</t>
  </si>
  <si>
    <t>CHALECO RUDE DOLF XXS</t>
  </si>
  <si>
    <t>CHALECO RUDE DOLF XS</t>
  </si>
  <si>
    <t>CHALECO RUDE DOLF S</t>
  </si>
  <si>
    <t>CHALECO RUDE DOLF M</t>
  </si>
  <si>
    <t>CHALECO ROSA CON PUNTOS XXL</t>
  </si>
  <si>
    <t>CHALECO ROSA CON PUNTOS XS</t>
  </si>
  <si>
    <t>CHIHUAHUA ADULT 1 KG ROYAL CANIN</t>
  </si>
  <si>
    <t>CHALECO ROSA CON PUNTOS S</t>
  </si>
  <si>
    <t>CHALECO ROSA CON PUNTOS M</t>
  </si>
  <si>
    <t>CHALECO ROSA CON PUNTOS L</t>
  </si>
  <si>
    <t>CHALECO ROMBOS COLORES XXXL</t>
  </si>
  <si>
    <t>CHALECO ROMBOS COLORES XXS</t>
  </si>
  <si>
    <t>CHALECO MARINERO XS</t>
  </si>
  <si>
    <t>CHALECO MARINERO XL</t>
  </si>
  <si>
    <t>CHALECO MARINERO M</t>
  </si>
  <si>
    <t>CHALECO ROMBOS COLORES M</t>
  </si>
  <si>
    <t>CHALECO ROMBOS COLORES L</t>
  </si>
  <si>
    <t>CHALECO ROMBOS AZUL XXXL</t>
  </si>
  <si>
    <t>CHALECO ROMBOS AZUL XXS</t>
  </si>
  <si>
    <t>CHALECO ROMBOS AZUL XXL</t>
  </si>
  <si>
    <t>CHALECO ROMBOS AZUL XS</t>
  </si>
  <si>
    <t>CHALECO ROSA CON PUNTOS XL</t>
  </si>
  <si>
    <t>CHAPA MASCOTAS PARA GRABAR PT090 VERDE</t>
  </si>
  <si>
    <t>CHAPA MASCOTAS PARA GRABAR PT090 LILA</t>
  </si>
  <si>
    <t>CHAPA MASCOTAS PARA GRABAR PT090</t>
  </si>
  <si>
    <t>CHAPA MASCOTAS PARA GRABAR PT089</t>
  </si>
  <si>
    <t>CHAPA MASCOTAS PARA GRABAR PT088</t>
  </si>
  <si>
    <t>CHAPA MASCOTAS PARA GRABAR PT087</t>
  </si>
  <si>
    <t>CHAPA MASCOTAS PARA GRABAR PT086</t>
  </si>
  <si>
    <t>CHAPA MASCOTAS PARA GRABAR PT085</t>
  </si>
  <si>
    <t>CHAPA MASCOTAS PARA GRABAR PT071</t>
  </si>
  <si>
    <t>CHAPA MASCOTAS PARA GRABAR PT070</t>
  </si>
  <si>
    <t>CHAPA MASCOTAS PARA GRABAR PT069</t>
  </si>
  <si>
    <t>CHANCE BIOLINE</t>
  </si>
  <si>
    <t>CHAMPU PARA GATOS REPELENTES DE INSECTOS 200 ML</t>
  </si>
  <si>
    <t>CHAMPU PARA GATOS MULTICOLOR 200 ML</t>
  </si>
  <si>
    <t>CHALECO VERDE DISEÑO S</t>
  </si>
  <si>
    <t>CHAMPU NEUTRO 5L PETLOOK</t>
  </si>
  <si>
    <t>CHAMPU NEUTRO 500ML CATDOG</t>
  </si>
  <si>
    <t>CHAMPU NATURAL 5L PETLOOK</t>
  </si>
  <si>
    <t>CHAMPU COCO 5L PETLOOK</t>
  </si>
  <si>
    <t>CHAMPU COCO 300ML PETLOOK PREMIUM</t>
  </si>
  <si>
    <t>CHAMPU BLANQUEO 5L PETLOOK</t>
  </si>
  <si>
    <t>CHAMPU ANTIPELECHAS PARA GATOS 200 ML</t>
  </si>
  <si>
    <t>CHALECO ROMBOS COLORES XXL</t>
  </si>
  <si>
    <t>CHALECO ROMBOS COLORES XS</t>
  </si>
  <si>
    <t>CHALECO ROMBOS COLORES XL</t>
  </si>
  <si>
    <t>CHALECO ROMBOS COLORES S</t>
  </si>
  <si>
    <t>CHAMPU 3X1 BLANQUEO 500ML PETLOOK</t>
  </si>
  <si>
    <t>CHALECO VERDE DISEÑO XXL</t>
  </si>
  <si>
    <t>CHALECO VERDE DISEÑO XS</t>
  </si>
  <si>
    <t>CHALECO VERDE DISEÑO XL</t>
  </si>
  <si>
    <t>CHAMPU PARA GATITOS: KITTEN SHAMPOO 200 ML</t>
  </si>
  <si>
    <t>CEPILLO PARA BAÑO MULTIFUNCIONAL AZUL</t>
  </si>
  <si>
    <t>CEPILLO MULTIFUNCIONAL 5 EN</t>
  </si>
  <si>
    <t>CHALECO FRANJAS COLORES HEMBRA XL</t>
  </si>
  <si>
    <t>CHALECO FRANJAS COLORES HEMBRA S</t>
  </si>
  <si>
    <t>CHALECO FRANJAS COLORES HEMBRA M</t>
  </si>
  <si>
    <t>CHALECO FRANJAS COLORES HEMBRA L</t>
  </si>
  <si>
    <t>CAMA DISEÑO BIGOTES XL</t>
  </si>
  <si>
    <t>CAMA DISEÑO BIGOTES S</t>
  </si>
  <si>
    <t>CAMA CASA S GRIS/ROSADO</t>
  </si>
  <si>
    <t>CAMA CASA L GRIS/ROSADO</t>
  </si>
  <si>
    <t>CAMA CASA L GRIS/AZUL</t>
  </si>
  <si>
    <t>CAMA CAFE CON CHIPORRO XL</t>
  </si>
  <si>
    <t>CAMA DE PERRO L</t>
  </si>
  <si>
    <t>CAMA DE FELPA SQUARE TALLA S 60*40*10 CM</t>
  </si>
  <si>
    <t>CHALECO ROMBOS AZUL S</t>
  </si>
  <si>
    <t>CAMA DE FELPA RIPOSO TALLA M 80*80*10 CM</t>
  </si>
  <si>
    <t>CAMA DE FELPA RIPOSO TALLA L100*100*12 CM</t>
  </si>
  <si>
    <t>CAMA DE FELPA NUBE TALLA S 45*35*15 CM</t>
  </si>
  <si>
    <t>CAMA DE FELPA NUBE TALLA M 65*55*18 CM</t>
  </si>
  <si>
    <t>CHALECO FRANJAS CAFE XXXL</t>
  </si>
  <si>
    <t>CHALECO FRANJAS CAFE XXS</t>
  </si>
  <si>
    <t>CHALECO FRANJAS CAFE XXL</t>
  </si>
  <si>
    <t>CHALECO FRANJAS CAFE XS</t>
  </si>
  <si>
    <t>CHALECO FRANJAS CAFE XL</t>
  </si>
  <si>
    <t>CHALECO FRANJAS CAFE S</t>
  </si>
  <si>
    <t>CHALECO FRANJAS CAFE M</t>
  </si>
  <si>
    <t>CHALECO FRANJAS CAFE L</t>
  </si>
  <si>
    <t>cepillo autolimpiable vongo</t>
  </si>
  <si>
    <t>CEPILLO ATRAPA PELOS CON LIMPIADOR</t>
  </si>
  <si>
    <t>CENTRO DE ENTRETENCION TUNELES (X)</t>
  </si>
  <si>
    <t>CAMA DE FELPA SQUARE TALLA M 80*60*12 CM</t>
  </si>
  <si>
    <t>CHALECO ROMBOS AZUL M</t>
  </si>
  <si>
    <t>CHALECO ROMBOS AZUL L</t>
  </si>
  <si>
    <t>CHALECO PERRO ESPIRITU LIBRE XS</t>
  </si>
  <si>
    <t>CHALECO PERRO ESPIRITU LIBRE XL</t>
  </si>
  <si>
    <t>CHALECO FRANJAS COLORES HEMBRA XXXL</t>
  </si>
  <si>
    <t>CHALECO FRANJAS COLORES HEMBRA XXS</t>
  </si>
  <si>
    <t>CHALECO FRANJAS COLORES HEMBRA XXL</t>
  </si>
  <si>
    <t>CHALECO FRANJAS COLORES HEMBRA XS</t>
  </si>
  <si>
    <t>CHALECO PERRO ESPIRITU LIBRE 2XL</t>
  </si>
  <si>
    <t>CHALECO PATITA XS (LOMO 28-30 CM) ROSADO</t>
  </si>
  <si>
    <t>CHALECO PATITA S (LOMO 33-35 CM) ROSADO</t>
  </si>
  <si>
    <t>CHALECO PATITA M (LOMO 39-42 CM) ROSADO</t>
  </si>
  <si>
    <t>CHALECO NAVIDAD VERDE/ROJO XS - 19 CM</t>
  </si>
  <si>
    <t>CHALECO NAVIDAD VERDE/ROJO XL - 34 CM</t>
  </si>
  <si>
    <t>CEPILLO PARA BAÑO MULTIFUNCIONAL CALIPSO</t>
  </si>
  <si>
    <t>CHALECO NAVIDAD VERDE/ROJO M - 27 CM</t>
  </si>
  <si>
    <t>CHALECO NAVIDAD VERDE/ROJO L - 30 CM</t>
  </si>
  <si>
    <t>CHALECO MARINERO XXXL</t>
  </si>
  <si>
    <t>CHALECO MARINERO XXS</t>
  </si>
  <si>
    <t>CHALECO MARINERO XXL</t>
  </si>
  <si>
    <t>CHALECO DE LANA TALLA XXL</t>
  </si>
  <si>
    <t>CHALECO DE LANA TALLA XL</t>
  </si>
  <si>
    <t>CHALECO DE LANA TALLA S</t>
  </si>
  <si>
    <t>CHALECO DE LANA TALLA M</t>
  </si>
  <si>
    <t>CHALECO MARINERO L</t>
  </si>
  <si>
    <t>CHALECO HUESO COLORES XS</t>
  </si>
  <si>
    <t>CHALECO HUESO COLORES S</t>
  </si>
  <si>
    <t>CHALECO HUESO COLORES M</t>
  </si>
  <si>
    <t>CHALECO FRANJAS COLORES MACHO XXXL</t>
  </si>
  <si>
    <t>CHALECO FRANJAS COLORES MACHO XXL</t>
  </si>
  <si>
    <t>CHALECO NAVIDAD VERDE/ROJO S - 23 CM</t>
  </si>
  <si>
    <t>CHAQUETA PERRO CON CHIPORRO XXL</t>
  </si>
  <si>
    <t>CHAQUETA PERRO CON CHIPORRO XL</t>
  </si>
  <si>
    <t>CHAQUETA PERRO CON CHIPORRO S</t>
  </si>
  <si>
    <t>CHAQUETA PERRO CON CHIPORRO M</t>
  </si>
  <si>
    <t>CHAQUETA PERRO CON CHIPORRO L</t>
  </si>
  <si>
    <t>CHAQUETA GAMUZA XXL</t>
  </si>
  <si>
    <t>CHAQUETA GAMUZA XL</t>
  </si>
  <si>
    <t>CHAQUETA GAMUZA S</t>
  </si>
  <si>
    <t>CHAQUETA GAMUZA M</t>
  </si>
  <si>
    <t>CHAQUETA GAMUZA L</t>
  </si>
  <si>
    <t>CHAQUETA DE MEZCLILLA TALLA XXL</t>
  </si>
  <si>
    <t>CHAQUETA DE MEZCLILLA TALLA XL</t>
  </si>
  <si>
    <t>CHAQUETA CHIPORRO AZUL OSC 3XL</t>
  </si>
  <si>
    <t>CHAQUETA CHIPORRO AZUL OSC 2XL</t>
  </si>
  <si>
    <t>CHAPA MASCOTAS PARA GRABAR PT091</t>
  </si>
  <si>
    <t>CHAPES (DISEÑOS VARIADOS)</t>
  </si>
  <si>
    <t>CHAQUETA CON CUADROS ROJOS XL</t>
  </si>
  <si>
    <t>CHAQUETA CON CUADROS ROJOS S</t>
  </si>
  <si>
    <t>CHAQUETA CON CUADROS ROJOS M</t>
  </si>
  <si>
    <t>CHAQUETA CON CUADROS ROJOS L</t>
  </si>
  <si>
    <t>CHAQUETA CON CUADROS ROJOS 4XL</t>
  </si>
  <si>
    <t>CHAQUETA CON CUADROS ROJOS 3XL</t>
  </si>
  <si>
    <t>CHAQUETA CON CUADROS ROJOS 2XL</t>
  </si>
  <si>
    <t>CHAQUETA CON CUADROS GRISES XS</t>
  </si>
  <si>
    <t>CHAQUETA CON CUADROS GRISES XL</t>
  </si>
  <si>
    <t>CHAQUETA CON CUADROS GRISES S</t>
  </si>
  <si>
    <t>CHAQUETA CON CUADROS GRISES M</t>
  </si>
  <si>
    <t>CHAQUETA CON CUADROS GRISES L</t>
  </si>
  <si>
    <t>CHAPA MASCOTAS PARA GRABAR PT152</t>
  </si>
  <si>
    <t>CHAPA MASCOTAS PARA GRABAR PT150</t>
  </si>
  <si>
    <t>CHAPES PARA MASCOTA (2.5X4CM) CAJA 50 UNIDADES</t>
  </si>
  <si>
    <t>CHEWY TRAINING TREATS CHICKEN 85 GR</t>
  </si>
  <si>
    <t>CHURU BROTH CHICKEN SCALLOP RECIPE (USA823)</t>
  </si>
  <si>
    <t>CHAQUETA DE MEZCLILLA TALLA M</t>
  </si>
  <si>
    <t>CHAQUETA DE MEZCLILLA TALLA L</t>
  </si>
  <si>
    <t>CHAQUETA CON CUADROS ROJOS XS</t>
  </si>
  <si>
    <t>CHUPÓN CHICO 28 MM</t>
  </si>
  <si>
    <t>CHUPÓN CHICO 26 MM</t>
  </si>
  <si>
    <t>CHUCKIT ULTRASLING</t>
  </si>
  <si>
    <t>CHOCLO DE MADERA PEQUEÑO PARA ROER CON PERNO DE MARIPOSA (9cm)</t>
  </si>
  <si>
    <t>CHIP MARCAJE PERROS Y GATOS</t>
  </si>
  <si>
    <t>CHIP IDENTIFICACION ANIMAL ID</t>
  </si>
  <si>
    <t>ARNES WONDER MAX L</t>
  </si>
  <si>
    <t>ARNES WONDER KYRA XL</t>
  </si>
  <si>
    <t>ARNES WONDER ABBA XL - HOJAS GRANDES</t>
  </si>
  <si>
    <t>CHAQUETA CHIPORRO VERDE XL</t>
  </si>
  <si>
    <t>ARNES WONDER ABBA XL - AZUL ROJO</t>
  </si>
  <si>
    <t>ARNES WONDER ABBA XL</t>
  </si>
  <si>
    <t>ARNES WONDER ABBA S - MARINERO</t>
  </si>
  <si>
    <t>ARNES WONDER ABBA S - CAMUFLAJE NARANJO</t>
  </si>
  <si>
    <t>ARNES WONDER ABBA S - AZUL ROJO</t>
  </si>
  <si>
    <t>ARNES WONDER ABBA S</t>
  </si>
  <si>
    <t>ARNES WONDER DOUMM S AZUL</t>
  </si>
  <si>
    <t>ARNES WONDER DOUMM M VERDE Y MORADO</t>
  </si>
  <si>
    <t>ARNES WONDER DOUMM M ROJO Y NEGRO</t>
  </si>
  <si>
    <t>CHIP BACKHOME UNIDAD</t>
  </si>
  <si>
    <t>CHINCHILLA 500 GRS ALIMENTO TROPIFIT</t>
  </si>
  <si>
    <t>CHINCHILLA 1.5 KILO</t>
  </si>
  <si>
    <t>CHAQUETA CON CUADROS GRISES 3XL</t>
  </si>
  <si>
    <t>CHAQUETA CON CUADROS GRISES 2XL</t>
  </si>
  <si>
    <t>CHAQUETA CHIPORRO VERDE XS</t>
  </si>
  <si>
    <t>ARNES WONDER ABBA XL - CAMUFLAJE NARANJO</t>
  </si>
  <si>
    <t>CHAPA MASCOTAS PARA GRABAR PT145</t>
  </si>
  <si>
    <t>CHAPA MASCOTAS PARA GRABAR PT142</t>
  </si>
  <si>
    <t>CHAPA MASCOTAS PARA GRABAR PT141</t>
  </si>
  <si>
    <t>CHAPA MASCOTAS PARA GRABAR PT138</t>
  </si>
  <si>
    <t>CHAPA MASCOTAS PARA GRABAR PT137</t>
  </si>
  <si>
    <t>CHAPA MASCOTAS PARA GRABAR PT136</t>
  </si>
  <si>
    <t>CHAPA MASCOTAS PARA GRABAR PT135</t>
  </si>
  <si>
    <t>CHAPA MASCOTAS PARA GRABAR PT133</t>
  </si>
  <si>
    <t>CHAPA MASCOTAS PARA GRABAR PT131</t>
  </si>
  <si>
    <t>CHAPA MASCOTAS PARA GRABAR PT129</t>
  </si>
  <si>
    <t>CHAPA MASCOTAS PARA GRABAR PT128</t>
  </si>
  <si>
    <t>CHAPA MASCOTAS PARA GRABAR PT068</t>
  </si>
  <si>
    <t>CHAPA MASCOTAS PARA GRABAR PT064</t>
  </si>
  <si>
    <t>CHAPA MASCOTAS PARA GRABAR PT063</t>
  </si>
  <si>
    <t>CHAPA MASCOTAS PARA GRABAR PT149</t>
  </si>
  <si>
    <t>CHAPA MASCOTAS PARA GRABAR PT116</t>
  </si>
  <si>
    <t>CHAPA MASCOTAS PARA GRABAR PT114</t>
  </si>
  <si>
    <t>CHAPA MASCOTAS PARA GRABAR PT113</t>
  </si>
  <si>
    <t>CHAPA MASCOTAS PARA GRABAR PT112</t>
  </si>
  <si>
    <t>CHAPA MASCOTAS PARA GRABAR PT110</t>
  </si>
  <si>
    <t>CHAPA MASCOTAS PARA GRABAR PT109</t>
  </si>
  <si>
    <t>CHAPA MASCOTAS PARA GRABAR PT108</t>
  </si>
  <si>
    <t>CHAPA MASCOTAS PARA GRABAR PT107</t>
  </si>
  <si>
    <t>CHAPA MASCOTAS PARA GRABAR PT106</t>
  </si>
  <si>
    <t>CHAPA MASCOTAS PARA GRABAR PT102</t>
  </si>
  <si>
    <t>CHAPA MASCOTAS PARA GRABAR PT101</t>
  </si>
  <si>
    <t>CHAMPU 3X1 NATURAL 500ML PETLOOK</t>
  </si>
  <si>
    <t>CHAMPU 3X1 ESCURECEDOR 500ML PETLOOK</t>
  </si>
  <si>
    <t>CHAMPU 3X1 CITRONELA 500ML PETLOOK</t>
  </si>
  <si>
    <t>CHAMPU 3X1 CACHORROS 500ML PETLOOK</t>
  </si>
  <si>
    <t>CHAPA MASCOTAS PARA GRABAR PT062</t>
  </si>
  <si>
    <t>CHAPA MASCOTAS PARA GRABAR PT147</t>
  </si>
  <si>
    <t>CHAQUETA CHIPORRO VERDE S</t>
  </si>
  <si>
    <t>CHAQUETA CHIPORRO VERDE M</t>
  </si>
  <si>
    <t>CHAQUETA CHIPORRO VERDE L</t>
  </si>
  <si>
    <t>CHAQUETA CHIPORRO VERDE 4XL</t>
  </si>
  <si>
    <t>CHAQUETA CHIPORRO VERDE 3XL</t>
  </si>
  <si>
    <t>CHAQUETA CHIPORRO VERDE 2XL</t>
  </si>
  <si>
    <t>CHAQUETA CHIPORRO AZUL OSC XS</t>
  </si>
  <si>
    <t>CHAQUETA CHIPORRO AZUL OSC XL</t>
  </si>
  <si>
    <t>CHAQUETA CHIPORRO AZUL OSC S</t>
  </si>
  <si>
    <t>CHAQUETA CHIPORRO AZUL OSC M</t>
  </si>
  <si>
    <t>CHAQUETA CHIPORRO AZUL OSC L</t>
  </si>
  <si>
    <t>CHAQUETA CHIPORRO AZUL OSC 4XL</t>
  </si>
  <si>
    <t>CHAPA MASCOTAS PARA GRABAR PT126</t>
  </si>
  <si>
    <t>CHAPA MASCOTAS PARA GRABAR PT092</t>
  </si>
  <si>
    <t>CHAPA MASCOTAS PARA GRABAR PT89</t>
  </si>
  <si>
    <t>CHAPA MASCOTAS PARA GRABAR PT84 VERDE</t>
  </si>
  <si>
    <t>CHAPA MASCOTAS PARA GRABAR PT84 AZUL</t>
  </si>
  <si>
    <t>CHAPA MASCOTAS PARA GRABAR PT84</t>
  </si>
  <si>
    <t>CHAPA MASCOTAS PARA GRABAR PT83</t>
  </si>
  <si>
    <t>CHAPA MASCOTAS PARA GRABAR PT68</t>
  </si>
  <si>
    <t>CHAPA MASCOTAS PARA GRABAR PT170</t>
  </si>
  <si>
    <t>CHAPA MASCOTAS PARA GRABAR PT168</t>
  </si>
  <si>
    <t>CHAPA MASCOTAS PARA GRABAR PT167</t>
  </si>
  <si>
    <t>CHAPA MASCOTAS PARA GRABAR PT165</t>
  </si>
  <si>
    <t>CHAPA MASCOTAS PARA GRABAR PT164</t>
  </si>
  <si>
    <t>CHAPA MASCOTAS PARA GRABAR PT154</t>
  </si>
  <si>
    <t>CHAPA MASCOTAS PARA GRABAR PT100</t>
  </si>
  <si>
    <t>CHAPA MASCOTAS PARA GRABAR PT095 DORADO</t>
  </si>
  <si>
    <t>CHAPA MASCOTAS PARA GRABAR PT093</t>
  </si>
  <si>
    <t>CHAPA MASCOTAS PARA GRABAR PT122</t>
  </si>
  <si>
    <t>JUGUETE ANTIMICROBIAL NYLON CAUCHO POLLO 5.75"</t>
  </si>
  <si>
    <t>JUGUETE ANTIMICROBIAL NYLON CAUCHO MENTA 4.25"</t>
  </si>
  <si>
    <t>JUGUETE ANTIMICROBIAL NYLON CAUCHO CARNE 5.75"</t>
  </si>
  <si>
    <t>JUGUETE ANILLO TENSION PERRO (27.5x3.6 CM) VERDE</t>
  </si>
  <si>
    <t>JUGUETE ANILLO TENSION PERRO (27.5x3.6 CM) NARANJO</t>
  </si>
  <si>
    <t>JUGUETE ALMOHADA MEDIALUNA (ROSADO) 23x19x7 cm</t>
  </si>
  <si>
    <t>JUGUETE ARDILLA DE PELUCHE PARA MASCOTAS 11X19CM</t>
  </si>
  <si>
    <t>JUGUETE ANTIMICROBIAL NYLON HUESO TOCINO 7.25"</t>
  </si>
  <si>
    <t>ARNES DE SEGURIDAD ROSADO M</t>
  </si>
  <si>
    <t>ARNES CON TRAILLA PROTECCION CUERO 4CM GRIS ROSADO</t>
  </si>
  <si>
    <t>ARNES CON TRAILLA PROTECCION CUERO 4CM AZUL BLANCO</t>
  </si>
  <si>
    <t>ARNES CON TRAILLA PROTECCION CUERO 3CM ROJO NEGRO</t>
  </si>
  <si>
    <t>ARNES CON TRAILLA PROTECCION CUERO 3CM GRIS ROSADO</t>
  </si>
  <si>
    <t>ARNES PECHERA XL</t>
  </si>
  <si>
    <t>ARNES CON MOCHILA S + TRAILLA</t>
  </si>
  <si>
    <t>ARNES DE PECHO VERDE CLARO S</t>
  </si>
  <si>
    <t>ARNES DE PECHO VERDE CLARO L</t>
  </si>
  <si>
    <t>JUGUETE ANTIMICROBIAL NYLON HUESO TOCINO 5.75"</t>
  </si>
  <si>
    <t>JUGUETE ANTIMICROBIAL NYLON HUESO TOCINO 4.25"</t>
  </si>
  <si>
    <t>JUEGUETE RATON CON PLUMAS CAT</t>
  </si>
  <si>
    <t>JUEGUETE PARA MASCOTAS DE TELA BOOMERANG REFLECTANTE</t>
  </si>
  <si>
    <t>JUEGO DE AGUA PARA MASCOTAS CON PEDAL (VERDE)</t>
  </si>
  <si>
    <t>JUEGO DE AGUA PARA MASCOTAS CON PEDAL (MORADO)</t>
  </si>
  <si>
    <t>JOSERA YOUNG STAR 15KG</t>
  </si>
  <si>
    <t>JOSERA TOALLA</t>
  </si>
  <si>
    <t>JOSERA SENSIPLUS 15 KG (X)</t>
  </si>
  <si>
    <t>JUGUETE ANTIMICROBIAL NYLON CIRCULO SALMON 4.25"</t>
  </si>
  <si>
    <t>JUGUETE ANTIMICROBIAL NYLON CIRCULO POLLO 4.25"</t>
  </si>
  <si>
    <t>ARNES CON MOCHILA XL + TRAILLA</t>
  </si>
  <si>
    <t>BRAVERY CHICKEN MINI PUPPY SB 7KG</t>
  </si>
  <si>
    <t>BRAVERY CHICKEN MINI PUPPY SB 2KG</t>
  </si>
  <si>
    <t>BRAVERY CHICKEN MINI ADULT SB 7KG</t>
  </si>
  <si>
    <t>JUGUETE BOLA CON COLA WONDER CAT</t>
  </si>
  <si>
    <t>JUGUETE BOLA COLGANTE MAIZ</t>
  </si>
  <si>
    <t>JUGUETE CON BASE Y PEZ CON PLUMAS 16CM</t>
  </si>
  <si>
    <t>JUGUETE COLGANTE LUNA DE MADERA PARA AVES</t>
  </si>
  <si>
    <t>JUGUETE COLGANTE LOOFAH ESFERAS</t>
  </si>
  <si>
    <t>JUGUETE BALÓN WARRIOR</t>
  </si>
  <si>
    <t>JUGUETE BALON CON DIENTES 11 CM (CAUCHO)</t>
  </si>
  <si>
    <t>Juguete ave loros y cacatuas cuerda con bloques de madera (13x13)</t>
  </si>
  <si>
    <t>JUGUETE ARDILLA DE PELUCHE PARA MASCOTAS CON CUERDA 30x27 CM</t>
  </si>
  <si>
    <t>JUGUETE CAJA JUGO CON CATNIP Y SONAJERO (GRAPE) 15x8 cm</t>
  </si>
  <si>
    <t>JUGUETE CAJA JUGO CON CATNIP Y SONAJERO (APPLE) 15x8 cm</t>
  </si>
  <si>
    <t>JUGUETE BEBIDA CON CATNIP Y SONAJERO (ORANGE) 15x8 CM</t>
  </si>
  <si>
    <t>JUGUETE BURRO DE PELUCHE ELASTICO PARA MASCOTAS 30.5x10.5 CM</t>
  </si>
  <si>
    <t>JUGUETE BOTELLA BEER CON CATNIP (VERDE) 26x7cm</t>
  </si>
  <si>
    <t>JUGUETE BOTELLA BEER CON CATNIP (GRIS) 26x7cm</t>
  </si>
  <si>
    <t>JUGUETE ANTIMICROBIAL NYLON HUESO SALMON 5.75"</t>
  </si>
  <si>
    <t>JUGUETE ANTIMICROBIAL NYLON HUESO SALMON 4.25"</t>
  </si>
  <si>
    <t>JUGUETE ANTIMICROBIAL NYLON HUESO POLLO 5.75"</t>
  </si>
  <si>
    <t>JUGUETE ANTIMICROBIAL NYLON HUESO POLLO 4.25"</t>
  </si>
  <si>
    <t>JUGUETE ANTIMICROBIAL NYLON CIRCULO TOCINO 5.75"</t>
  </si>
  <si>
    <t>JUGUETE ANTIMICROBIAL NYLON CIRCULO TOCINO 4.25"</t>
  </si>
  <si>
    <t>JUGUETE ANTIMICROBIAL NYLON CIRCULO SALMON 7.25"</t>
  </si>
  <si>
    <t>Juguete Bola Chrome play (3.6 cm)</t>
  </si>
  <si>
    <t>JUGUETE BOLA 8 CM (CAUCHO, LIBERAR SNACKS)</t>
  </si>
  <si>
    <t>JUGUETE BENEBONE PAWPLEXER BACON LARGE</t>
  </si>
  <si>
    <t>JUGUETE BEBIDA CON CATNIP Y SONAJERO (PETS BLUE) 15x8 CM</t>
  </si>
  <si>
    <t>JUGUETE BEBIDA CON CATNIP Y SONAJERO (PET LIGHT) 15x8 CM</t>
  </si>
  <si>
    <t>JUGUETE CABALLO DE PELUCHE ELASTICO PARA MASCOTAS 32.5x11.5 CM</t>
  </si>
  <si>
    <t>BRAVERY HERRING ADULT CAT STERILIZED 7 KG</t>
  </si>
  <si>
    <t>BRAVERY HERRING ADULT CAT 7KG</t>
  </si>
  <si>
    <t>BRAVERY HERRING ADULT CAT 2KG</t>
  </si>
  <si>
    <t>BRAVERY SALMON PUPPY LARGE/MEDIUM 12KG</t>
  </si>
  <si>
    <t>BRAVERY SALMON MINI PUPPY SB 2KG</t>
  </si>
  <si>
    <t>BRAVERY SALMON MINI ADULT SB 7KG</t>
  </si>
  <si>
    <t>BALSAMO PARA PERROS 5 LT</t>
  </si>
  <si>
    <t>ATACAMA ALL BREEDS 5 KG SUPER PREMIUM</t>
  </si>
  <si>
    <t>ASUNTOL JABON 100 GRS PERFUMADO</t>
  </si>
  <si>
    <t>ASTRO VITALITY 14K</t>
  </si>
  <si>
    <t>Jaula Transporte Visión Azul S</t>
  </si>
  <si>
    <t>Jaula Transporte Visión Azul M</t>
  </si>
  <si>
    <t>JAULA TRANSPORTE PERROS RAZAS GRANDES XXXL</t>
  </si>
  <si>
    <t>JAULA TRANSPORTADOR BINNY 1 TOP MARCHIORO</t>
  </si>
  <si>
    <t>JUGUETE ANTIMICROBIAL NYLON CAUCHO TOCINO 7.25"</t>
  </si>
  <si>
    <t>JAULA TRANSPORTADOR ATLAS 20 ROSADO</t>
  </si>
  <si>
    <t>JAULA TRANSPORTADOR ATLAS 20 CELESTE</t>
  </si>
  <si>
    <t>JAULA TRANSPORTADOR ATLAS 20 BLANCO</t>
  </si>
  <si>
    <t>JAULA TRANSPORTADOR ATLAS 10 ROSADO</t>
  </si>
  <si>
    <t>JAULA TRANSPORTADOR ATLAS 10 CELESTE</t>
  </si>
  <si>
    <t>JAULA PERRO BLOQUEO 5 PUNTOS XS (48x30x35 H)</t>
  </si>
  <si>
    <t>JAULA PARA PERROS Y GATOS DE METAL CON BANDEJA 76x46.5x54.5 cm</t>
  </si>
  <si>
    <t>JAULA PARA PERROS Y GATOS DE METAL CON BANDEJA 107x69.5x75.5 cm</t>
  </si>
  <si>
    <t>JAULA PARA PERROS Y GATOS DE METAL CON BANDEJA 92.5x56.5x63.5 cm</t>
  </si>
  <si>
    <t>JAULA PARA PERROS PEQUEÑOS DE UNA PUERTA</t>
  </si>
  <si>
    <t>Jaula Transporte Visión Naranja S</t>
  </si>
  <si>
    <t>ARNES EN V</t>
  </si>
  <si>
    <t>ARNES DE PECHO ROSADO L</t>
  </si>
  <si>
    <t>JAULA TRANSPORTADOR ATLAS 20 VERDE</t>
  </si>
  <si>
    <t>ASTRO SELECTION 14K</t>
  </si>
  <si>
    <t>Balanced Natural Recipe Cordero 15 K</t>
  </si>
  <si>
    <t>bajada de suero microgoteo</t>
  </si>
  <si>
    <t>bajada de suero macrogoteo</t>
  </si>
  <si>
    <t>BACTOSAN 50ML</t>
  </si>
  <si>
    <t>BRAVERY SALMON MINI ADULT SB 2KG</t>
  </si>
  <si>
    <t>BRAVERY SALMON ADULT LARGE/MEDIUM BREED 4KG</t>
  </si>
  <si>
    <t>BRAVERY SALMON ADULT LARGE/MEDIUM BREED 12KG</t>
  </si>
  <si>
    <t>BRAVERY CHICKEN KITTEN 2KG</t>
  </si>
  <si>
    <t>BRAVERY CHICKEN AND VEGETABLES ADULT DOG WET FOOD 80GR</t>
  </si>
  <si>
    <t>BRAVERY CHICKEN AND PEAS ADULT CAT WET FOOD 70GR</t>
  </si>
  <si>
    <t>BRAVERY CHICKEN AND CARROTS STERILIZED CAT WET FOOD 70GR</t>
  </si>
  <si>
    <t>BRAVERY CHICKEN ADULT LARGE/MEDIUM BREEDS 4KG</t>
  </si>
  <si>
    <t>JOSERA LICKING MAT GATO</t>
  </si>
  <si>
    <t>BRAVERY HERRING ADULT LARGE/MEDIUM BREEDS 4KG</t>
  </si>
  <si>
    <t>JUGUETE ALMOHADA MEDIALUNA (CAFE) 23x19x7 cm</t>
  </si>
  <si>
    <t>JUGUETE ALMOHADA MEDIALUNA (BLANCO) 23x19x7 cm</t>
  </si>
  <si>
    <t>JUGUETE ALGODON EN FORMA DE PELOTA</t>
  </si>
  <si>
    <t>JUGUETE ALGODON EN FORMA DE HUESO</t>
  </si>
  <si>
    <t>JUEGUETE RATONES WONDER CAT</t>
  </si>
  <si>
    <t>JOSERA HIGH ENERGY 15K</t>
  </si>
  <si>
    <t>JERINGAS 3CC X 23 G1</t>
  </si>
  <si>
    <t>JERINGA 5ML EMBUT C/AGUJA 21G</t>
  </si>
  <si>
    <t>jeringa 3 ml atorn c/aguja 23g</t>
  </si>
  <si>
    <t>JERBO</t>
  </si>
  <si>
    <t>JAULA TUBOS 2 PISOS (37*28*40.5CM)</t>
  </si>
  <si>
    <t>JOSERA KIDS 15 KG</t>
  </si>
  <si>
    <t>JOSERA JUGUETE JOSITO</t>
  </si>
  <si>
    <t>BRAVERY HERRING SENIOR CAT 7 KG</t>
  </si>
  <si>
    <t>BRAVERY HERRING SENIOR CAT 2 KG</t>
  </si>
  <si>
    <t>JUGUETE ALMOHADA MEDIALUNA (GRIS) 23x19x7 cm</t>
  </si>
  <si>
    <t>JUGUETE GATO BASE CARTON, VARILLA CON RESORTE Y PLUMAS ROSADO</t>
  </si>
  <si>
    <t>JUGUETE GATO BASE CARTON, VARILLA CON RESORTE Y PLUMAS AZUL</t>
  </si>
  <si>
    <t>JUGUETE HUESOS WARRIOR (16*5cm /90G) (NYLON + TPR) (Saborizado Carne)</t>
  </si>
  <si>
    <t>JUGUETE HUESO WARRIOR SABOR CARNE 14 CM</t>
  </si>
  <si>
    <t>JUGUETE HUESO WARRIOR SABOR CARNE</t>
  </si>
  <si>
    <t>JUGUETE HUESO WARRIOR</t>
  </si>
  <si>
    <t>JUGUETE HUESO RESISTENTE AROMA TOCINO Y CARNE (17X13X4CM)</t>
  </si>
  <si>
    <t>JUGUETE HUESO PLANO WARRIOR (17.9*6.1*1.81cm /101G) (Saborizado Carne)</t>
  </si>
  <si>
    <t>JUGUETE FORMA DE HUESO REFLECTANTE</t>
  </si>
  <si>
    <t>JUGUETE FELINE PEZ CON CATNIP EN TUBO</t>
  </si>
  <si>
    <t>JUGUETE ESTRELLA ELITE</t>
  </si>
  <si>
    <t>JUGUETE ESPINA PEZ WONDER CAT</t>
  </si>
  <si>
    <t>JUGUETE ERIZO PARA PERRO SUPER REALISTA</t>
  </si>
  <si>
    <t>JUGUETE EN FORMA RATON CAUCHO PARA PREMIOS (10X5X5CM)</t>
  </si>
  <si>
    <t>BRAVERY CHICKEN PUPPY LARGE/MEDIUM BREED 12KG</t>
  </si>
  <si>
    <t>JUGUETE HELICE PARA LANZAR</t>
  </si>
  <si>
    <t>JUGUETE GATO PORFIADO CON PLUMAS</t>
  </si>
  <si>
    <t>JUGUETE GATO PICAFLOR</t>
  </si>
  <si>
    <t>Juguete gato pez 12cm</t>
  </si>
  <si>
    <t>Juguete gato Pelota Popones</t>
  </si>
  <si>
    <t>JUGUETE ELECTRO INSECTO PARA GATOS ( CUCARACHA AMARILLA)</t>
  </si>
  <si>
    <t>JUGUETE ELECTRO INSECTO PARA GATOS ( CHINITA ROJA )</t>
  </si>
  <si>
    <t>JUGUETE DISNEY TALLA M</t>
  </si>
  <si>
    <t>JUGUETE DISCOS</t>
  </si>
  <si>
    <t>JUGUETE DE YUTE 3 ASAS (190GR)</t>
  </si>
  <si>
    <t>JUGUETE FUNCIONAL PARA GATOS MOLINO DE VIENTO (57x57x51)</t>
  </si>
  <si>
    <t>JUGUETE FRUTILLA O PLATANO LOOFAH</t>
  </si>
  <si>
    <t>ARNES DE PECHO ROSADO S</t>
  </si>
  <si>
    <t>JUGUETE HUESO CON MANGOS AMARILLO</t>
  </si>
  <si>
    <t>JUGUETE MASAJEADOR PARA GATO CON RASCADOR NARANJO</t>
  </si>
  <si>
    <t>JUGUETE MASAJEADOR PARA GATO CON RASCADOR AZUL</t>
  </si>
  <si>
    <t>JUGUETE HUESO GOMA PARA LIMPIEZA DENTAL AROMA MANI(15X6X3CM)</t>
  </si>
  <si>
    <t>JUGUETE HUESO FORMA DE TUTO CON SONIDO (18X9X5CM)</t>
  </si>
  <si>
    <t>JUGUETE HUESO ELITE</t>
  </si>
  <si>
    <t>JUGUETE HUESO DURO PARA MORDEDURAS AROMA TOCINO (22X7X4CM)</t>
  </si>
  <si>
    <t>JUGUETE HUESO CON PUAS WARRIOR PEQUEÑO</t>
  </si>
  <si>
    <t>JUGUETE HUESO CON PUAS WARRIOR</t>
  </si>
  <si>
    <t>JUGUETE HUESO CON MANGOS VERDE</t>
  </si>
  <si>
    <t>JUGUETE HUESO CON MANGOS NARANJA</t>
  </si>
  <si>
    <t>JUGUETE HUESO CON MANGOS AZUL</t>
  </si>
  <si>
    <t>JUGUETE LOOFAH FRUTILLA</t>
  </si>
  <si>
    <t>BRAVERY CHICKEN MINI ADULT SB 2KG</t>
  </si>
  <si>
    <t>BRACCO TRAVEL 3 60 X 40 X 39</t>
  </si>
  <si>
    <t>JUGUETE GATO BASE CON CASCABEL Y VARILLA CON RESORTE Y PLUMAS</t>
  </si>
  <si>
    <t>BOZAL PLASTICO N7</t>
  </si>
  <si>
    <t>BOZAL PLASTICO N6</t>
  </si>
  <si>
    <t>BOZAL PLASTICO N5</t>
  </si>
  <si>
    <t>BOZAL PLASTICO N4</t>
  </si>
  <si>
    <t>BRAVERY CHICKEN ADULT CAT 7KG</t>
  </si>
  <si>
    <t>BRAVERY CHICKEN ADULT CAT 2KG</t>
  </si>
  <si>
    <t>BRAVECTO 4.5 - 10K (por vencer)</t>
  </si>
  <si>
    <t>BOZAL PERRO ANZAI TALLA 2</t>
  </si>
  <si>
    <t>JUGUETE LOOFAH FLOR</t>
  </si>
  <si>
    <t>JUGUETE LOOFAH CON CAMPANAS</t>
  </si>
  <si>
    <t>JUGUETE LOOFAH CACTUS</t>
  </si>
  <si>
    <t>JUGUETE GATO MARIPOSA</t>
  </si>
  <si>
    <t>JUGUETE GATO JOSERA</t>
  </si>
  <si>
    <t>JUGUETE GATO BASE CON CATNIP Y CARTON Y VARILLA CON RESORTE Y PLUMAS</t>
  </si>
  <si>
    <t>BRACCO TRAVEL 1 48 X 32 X 31</t>
  </si>
  <si>
    <t>JUGUETE CON CUERDA DE ALGODON Y ARO DE CAUCHO</t>
  </si>
  <si>
    <t>JUGUETE DE AVES CUERDAS CON BLOQUES</t>
  </si>
  <si>
    <t>JUGUETE DE ALGODON PARA COLGAR</t>
  </si>
  <si>
    <t>JUGUETE CUERDA Y PELOTA DE ALGODON</t>
  </si>
  <si>
    <t>JUGUETE COLGANTE DE LOOFAH</t>
  </si>
  <si>
    <t>JUGUETE COLGANTE DE AVES XL</t>
  </si>
  <si>
    <t>JUGUETE COJIN ELITE</t>
  </si>
  <si>
    <t>JUGUETE CILINDRO DENTAL CON CUERDA DE ALGODON</t>
  </si>
  <si>
    <t>JUGUETE CHULETA WARRIOR (11*8*2.6 cm /108G). Saborizado carne (Nylon + TPR)</t>
  </si>
  <si>
    <t>JUGUETE CERDO CON DISEÑO CON SONIDO</t>
  </si>
  <si>
    <t>JUGUETE CANGREJO WONDER</t>
  </si>
  <si>
    <t>JUGUETE CAJA JUGO CON CATNIP Y SONAJERO (MIX) 15x8 cm</t>
  </si>
  <si>
    <t>JUGUETE CUERDA ALGODON NUDOS Y PELOTA FIELTRO 43CM 270G MULTICOLOR MORADO</t>
  </si>
  <si>
    <t>JUGUETE CUERDA ALGODON NUDOS Y PELOTA FIELTRO 43CM 270G MULTICOLOR AMARILLO</t>
  </si>
  <si>
    <t>ARNES CON MANILLA 4 DISEÑOS S (CAMUFLAJE PISTACHO)</t>
  </si>
  <si>
    <t>JUGUETE BOLSA CON PLUMAS WONDER CAT</t>
  </si>
  <si>
    <t>JUGUETE BOLSA CON PLUMA Y CUERDA WONDER CAT</t>
  </si>
  <si>
    <t>JUGUETE BOLA FELPA LUMINOSA 5.5CM CELESTE</t>
  </si>
  <si>
    <t>JUGUETE BOLA FELPA LUMINOSA 5.5CM AMARILLO</t>
  </si>
  <si>
    <t>JUGUETE BOLA CON PLUMAS PARA GATOS 25 CM</t>
  </si>
  <si>
    <t>JUGUETE BOLA CON PLUMA Y CUERDA WONDER CAT (30X2.0X2.0 CM)</t>
  </si>
  <si>
    <t>BRAVERY CHICKEN ADULT CAT STERILIZED 7KG</t>
  </si>
  <si>
    <t>BRAVERY CHICKEN ADULT CAT STERILIZED 2KG</t>
  </si>
  <si>
    <t>BRAVERY LAMB MINI ADULT SB 7KG</t>
  </si>
  <si>
    <t>BRAVERY LAMB ADULT LARGE/MEDIUM BREEDS 4KG</t>
  </si>
  <si>
    <t>BRAVERY LAMB ADULT LARGE/MEDIUM BREEDS 12KG</t>
  </si>
  <si>
    <t>BRAVERY IBERIAN PORK MINI ADULT SB 7KG</t>
  </si>
  <si>
    <t>BRAVERY IBERIAN PORK ADULT LARGE/MEDIUM BREEDS 4KG</t>
  </si>
  <si>
    <t>BRAVERY HAKE STERILIZED CAT WET FOOD 70GR</t>
  </si>
  <si>
    <t>BRAVERY CHICKEN PUPPY LARGE/MEDIUM BREED 4KG</t>
  </si>
  <si>
    <t>JUGUETE CORN-E-CARROT SMALL</t>
  </si>
  <si>
    <t>ARNES CON MANILLA 4 DISEÑOS M (DISEÑO COLMENA)</t>
  </si>
  <si>
    <t>ARNES CON MANILLA 4 DISEÑOS M (CAMUFLAJE PISTACHO)</t>
  </si>
  <si>
    <t>ARNES CON MANILLA 4 DISEÑOS L (ROMBOS PASTEL)</t>
  </si>
  <si>
    <t>ARNES CON MANILLA 4 DISEÑOS L (CAMUFLAJE PISTACHO)</t>
  </si>
  <si>
    <t>ARNES CON MANGO XL WONDER DOG</t>
  </si>
  <si>
    <t>Arnés con mango XL (Pecho: 72-91CM, Lomo: 60-70CM. Para pesos entre: 30-45KG)</t>
  </si>
  <si>
    <t>ARNES CON MANGO TALLA XS</t>
  </si>
  <si>
    <t>ARNES CON MANGO TALLA S</t>
  </si>
  <si>
    <t>ARNES CON MANGO TALLA M</t>
  </si>
  <si>
    <t>ARNES DE GATO SIMPLE (COLORES)</t>
  </si>
  <si>
    <t>Arnés cuerpo S + traílla 1,0 cm</t>
  </si>
  <si>
    <t>JUGUETE FORMA HUESO CAUCHO DURO AROMA CARNE (18X6X5CM)</t>
  </si>
  <si>
    <t>JUGUETE CUERDA FORMA 8 CON PELOTA</t>
  </si>
  <si>
    <t>JUGUETE CUERDA DE ALGODON CON PELOTAS DE FIELTRO</t>
  </si>
  <si>
    <t>JUGUETE CON CUERDA DE ALGODON Y HUESO DE CAUCHO</t>
  </si>
  <si>
    <t>JUGUETE CUERDA DE ALGODON CON HUESO</t>
  </si>
  <si>
    <t>JUGUETE CUERDA DE ALGODON CON GOMA</t>
  </si>
  <si>
    <t>JUGUETE CUERDA DE ALGODÃ?N TRENZADA + JUGUETE GOMA DURA</t>
  </si>
  <si>
    <t>JUGUETE CUERDA ALGODON PEZ PAYASO (20 X 20CM 82G)</t>
  </si>
  <si>
    <t>JUGUETE CUERDA ALGODON PELOTA FIELTRO 27CM 115G MULTICOLOR</t>
  </si>
  <si>
    <t>JUGUETE CUERDA ALGODON NUDOS Y PELOTA FIELTRO 43CM 270G MULTICOLOR VERDE</t>
  </si>
  <si>
    <t>JUGUETE CUERDA ALGODON NUDOS Y PELOTA FIELTRO 43CM 270G MULTICOLOR NARANJA</t>
  </si>
  <si>
    <t>JUGUETE ELECTRONICO UFO PARA GATOS</t>
  </si>
  <si>
    <t>JUGUETE ELECTRONICO PARA GATO</t>
  </si>
  <si>
    <t>JUGUETE ELECTRO INSECTO PARA GATOS (ESCARABAJO NEGRO-MORADO)</t>
  </si>
  <si>
    <t>JUGUETE ELECTRO INSECTO PARA GATOS (ABEJA)</t>
  </si>
  <si>
    <t>JUGUETE CONEJO DE FELPA PARA MASCOTAS 29x25 CM</t>
  </si>
  <si>
    <t>JUGUETE CONEJO + GOMA DE CAUCHO DISPENSADORA</t>
  </si>
  <si>
    <t>JUGUETE CON HUESO DE GOMA Y CUERDA DE ALGODON</t>
  </si>
  <si>
    <t>JUGUETE CON FORMA DE GATO FORMA DE PEZ GLOBO O CANGREJO</t>
  </si>
  <si>
    <t>JUGUETE CUERDA DE ALGODON CON PELOTA DE FIELTRO (CIRCULO)</t>
  </si>
  <si>
    <t>IMAN LIMPIA VIDRIOS MEDIANO</t>
  </si>
  <si>
    <t>IMAN LIMPIA VIDRIO S</t>
  </si>
  <si>
    <t>IMAN LIMPIA VIDRIO M</t>
  </si>
  <si>
    <t>IM THE BOSS BOWL WHITE SMALL</t>
  </si>
  <si>
    <t>IM THE BOSS BOWL WHITE LARGE</t>
  </si>
  <si>
    <t>IM THE BOSS BLACK BOWL SMALL ZEEDOG</t>
  </si>
  <si>
    <t>IM THE BOSS BLACK BOWL LARGE ZEEDOG</t>
  </si>
  <si>
    <t>IKAI SNACK SALMON PERRO 113G</t>
  </si>
  <si>
    <t>IGUANA VERDE</t>
  </si>
  <si>
    <t>INDOMITABLE GALLETA HORNEADA GRAIN FREE SMOKY VEGAN 460GR</t>
  </si>
  <si>
    <t>ICHTIO 100ml</t>
  </si>
  <si>
    <t>ICHTIO (BOTELLA 50 ML)</t>
  </si>
  <si>
    <t>ICHID MEDIK 30 ML PRODAC</t>
  </si>
  <si>
    <t>I20 NUTRAM IDEAL SKIN COAT CANNED 369 GR</t>
  </si>
  <si>
    <t>ARNES DE PECHO ROJO XL</t>
  </si>
  <si>
    <t>I12 NUTRAM IDEAL WEIGHT CONTROL CAT CANNED 156 GR</t>
  </si>
  <si>
    <t>HYPOALLERGENIC SMALL DOG 7.5</t>
  </si>
  <si>
    <t>HYPOALLERGENIC 2 KG PERROS SB ROYAL CANIN</t>
  </si>
  <si>
    <t>HYPOALLERGENIC 2 KG PERROS ROYAL CANIN</t>
  </si>
  <si>
    <t>HYPOALLERGENIC 10 KG PERROS ROYAL CANIN</t>
  </si>
  <si>
    <t>HYPOALLERGENIC 1.5 KG GATOS</t>
  </si>
  <si>
    <t>INDOMITABLE GALLETA CRACKERS PARMESANO 130GR</t>
  </si>
  <si>
    <t>INADRIM 1% SOL ORAL GOTAS X 10 ML</t>
  </si>
  <si>
    <t>HURON SABLE</t>
  </si>
  <si>
    <t>HURON PANDA HEMBRA</t>
  </si>
  <si>
    <t>HURON BLANCO</t>
  </si>
  <si>
    <t>HUMIDIFICADOR DE REPTILES</t>
  </si>
  <si>
    <t>HUMERO DE CERDO 2 UNIDADES (10 cm aprox)</t>
  </si>
  <si>
    <t>HUMERO CERDO BOLSA 3 U. (340GR APROX)</t>
  </si>
  <si>
    <t>I17 NUTRAM IDEAL SOLUTION SUPPORT INDOOR CAT FOOD 5.4K</t>
  </si>
  <si>
    <t>INDOOR 7+ 1.5 KG ROYAL CANIN</t>
  </si>
  <si>
    <t>INDOOR 27 - 7.5 KG ROYAL CANIN</t>
  </si>
  <si>
    <t>INDOOR 1.5 KG ROYAL CANIN</t>
  </si>
  <si>
    <t>INDOMITABLE NAVIDEÑAS CREAMY CHOCO VAINILLA 120GR</t>
  </si>
  <si>
    <t>INDOMITABLE GALLETA PREBIOTICO GRAIN FREE FRAMBUESA 180GR</t>
  </si>
  <si>
    <t>INDOMITABLE GALLETA PREBIOTICO GRAIN FREE ARANDANO 180GR</t>
  </si>
  <si>
    <t>ISLA FLOTANTE 2</t>
  </si>
  <si>
    <t>ARNES DOBLE CUERPO XS</t>
  </si>
  <si>
    <t>ARNES DOBLE CUERPO XL</t>
  </si>
  <si>
    <t>ARNES DOBLE CUERPO S</t>
  </si>
  <si>
    <t>ARNES DOBLE CUERPO M</t>
  </si>
  <si>
    <t>ARNES DOBLE CUERPO L</t>
  </si>
  <si>
    <t>ARNES DOBLE CUERPO</t>
  </si>
  <si>
    <t>IMAN PEQUEÑO LIMPIAVIDRIOS</t>
  </si>
  <si>
    <t>ARNES DISEÑO S 1.5CM (SOLO ARNES SIN TRAILLA)</t>
  </si>
  <si>
    <t>ARNES DISEÑO M 2.0CM (SOLO ARNES SIN TRAILLA)</t>
  </si>
  <si>
    <t>ARNES GATO DISEÑOS S ROSADO</t>
  </si>
  <si>
    <t>ARNES GATO DISEÑOS S ROJO</t>
  </si>
  <si>
    <t>ARNES GATO DISEÑOS S AZUL</t>
  </si>
  <si>
    <t>IPAKITINE 180G</t>
  </si>
  <si>
    <t>INYECCION ANTIBIOTICO CONVENIA 80mg (VIAL)</t>
  </si>
  <si>
    <t>INVESPAS SOL INY 50 ML</t>
  </si>
  <si>
    <t>INDOMITABLE GALLETA HORNEADA BEEF CLASSIC 460GR</t>
  </si>
  <si>
    <t>INDOMITABLE GALLETA CREAMY GRAIN FREE VEGAN CHOCO VAINILLA 120GR</t>
  </si>
  <si>
    <t>INSEPARABLE - AGAPORNIS ROSEICOLLIS</t>
  </si>
  <si>
    <t>INSECTICIDA ROEDORES Y HURONES 125 ML</t>
  </si>
  <si>
    <t>INDOOR LONG HAIR 1.5 KG</t>
  </si>
  <si>
    <t>INDOOR FELINE 10KG ROYAL CANIN</t>
  </si>
  <si>
    <t>INDOOR 7+ 7.5 KG ROYAL CANIN</t>
  </si>
  <si>
    <t>HUESO ESTILO PELOTA DE TENIS TURBODOG</t>
  </si>
  <si>
    <t>HUESO DE PELUCHE ROSADO (10x18 CM)</t>
  </si>
  <si>
    <t>HUESO DE PELUCHE CELESTE (10x18 CM)</t>
  </si>
  <si>
    <t>HUESO DE PELUCHE AMARILLO (10x18 CM)</t>
  </si>
  <si>
    <t>HUESO DE CARNAZA ENVUELTO EN PATO 6-7''</t>
  </si>
  <si>
    <t>ARO RUBBER CON CUERDA DE ALGODON (9*45)</t>
  </si>
  <si>
    <t>atropina sol. iny. 1mg/ml sd (caja x 100 amp)</t>
  </si>
  <si>
    <t>ATLANTA COLLAR MEDIUM</t>
  </si>
  <si>
    <t>ATELERIX 700G TROPIFIT</t>
  </si>
  <si>
    <t>ATELERIX 300 GRS TROPIFIT</t>
  </si>
  <si>
    <t>BRIT CARE DOG CHICKEN &amp; INSECT JUNIOR LARGE BREED 3K</t>
  </si>
  <si>
    <t>BREAK AWAY NEGRO</t>
  </si>
  <si>
    <t>BREAK AWAY AZUL(X)</t>
  </si>
  <si>
    <t>BRAVERY TUNA LOIN AND PEAS ADULT CAT WET FOOD 70GR</t>
  </si>
  <si>
    <t>HUEVOS FALSOS UNIPET</t>
  </si>
  <si>
    <t>BRAVERY TUNA AND VEGETABLES DOG WET FOOD 290GR</t>
  </si>
  <si>
    <t>BRIT CARE DOG CHICKEN &amp; INSECT ADULT LARGE BREED 14 KG</t>
  </si>
  <si>
    <t>BRIT CARE DOG CHICKEN &amp; INSECT ADULT LARGE BREED 12K</t>
  </si>
  <si>
    <t>BRIT CARE DOG CHICKEN &amp; INSECT ACTIVITY 3K</t>
  </si>
  <si>
    <t>BRIT CARE DOG CHICKEN &amp; INSECT ACTIVITY 1K</t>
  </si>
  <si>
    <t>HUESOS 2.5" UNO AL DIA 7 UNIDADES DISPLAY CON POLLO</t>
  </si>
  <si>
    <t>HUESO WARRIOR DIVERTIDO</t>
  </si>
  <si>
    <t>Hueso Warrior (15*6.6*3.4cm)</t>
  </si>
  <si>
    <t>HUESO TRIPLE SABOR (VACUNO PATO POLLO) 7-8''</t>
  </si>
  <si>
    <t>HUESO TRIPLE SABOR (VACUNO PATO POLLO) 6-7''</t>
  </si>
  <si>
    <t>Hueso Cartílago Envuelto Pollo 2 UND</t>
  </si>
  <si>
    <t>HUESO CARTÍLAGO ENVUELTO EN POLLO</t>
  </si>
  <si>
    <t>HUESO CARTÍLAGO CON CUERO ROJO 4 UNIDADES</t>
  </si>
  <si>
    <t>HUESO CARTÍLAGO CON CUERO ROJO 3 UNIDADES</t>
  </si>
  <si>
    <t>BRAVERY TUNA LOIN AND CARROTS STERILIZED CAT WET FOOD 70GR</t>
  </si>
  <si>
    <t>HUESOS DE CARNAZA DE 5" BAÑADOS EN PASTA DE POLLO</t>
  </si>
  <si>
    <t>HUESOS DE CARNAZA DE 2,5" BAÑADOS EN PASTA DE POLLO</t>
  </si>
  <si>
    <t>HUESOS CON POLLO 1 UNIDAD</t>
  </si>
  <si>
    <t>IGUANA ROJA</t>
  </si>
  <si>
    <t>IGUANA AZUL</t>
  </si>
  <si>
    <t>ARNES IMPORT. FIBRA CON DISEÑOS #1 CAFE</t>
  </si>
  <si>
    <t>ARNES IMPORT. FIBRA CON DISEÑOS #1 AZUL</t>
  </si>
  <si>
    <t>ARNES GATO DISEÑOS M AZUL</t>
  </si>
  <si>
    <t>ARNES GATO DISEÑOS L ROSADO</t>
  </si>
  <si>
    <t>ARNES GATO DISEÑOS L ROJO</t>
  </si>
  <si>
    <t>ARNES GATO DISEÑOS L AZUL</t>
  </si>
  <si>
    <t>ARNES GATO CON ATRACTIVOS ADORNOS PELUCHES</t>
  </si>
  <si>
    <t>ARNES GAMUZA MEDIANO</t>
  </si>
  <si>
    <t>ARNES GAMUZA CHICO</t>
  </si>
  <si>
    <t>HUESO FEMUR 1</t>
  </si>
  <si>
    <t>ARNES FIBRA CON JEANS S</t>
  </si>
  <si>
    <t>ARNES HAMSTER S</t>
  </si>
  <si>
    <t>IGLU PEQUEÑAS MASCOTAS VERDE</t>
  </si>
  <si>
    <t>IGLU PEQUEÑAS MASCOTAS ROSADO</t>
  </si>
  <si>
    <t>IGLU PEQUEÑAS MASCOTAS</t>
  </si>
  <si>
    <t>HUESO TRIPLE SABOR (VACUNO PATO POLLO) 5''</t>
  </si>
  <si>
    <t>HUESO RUBBER</t>
  </si>
  <si>
    <t>HUESO RELLENO DE AGUA PARA CONGELAR</t>
  </si>
  <si>
    <t>HUESO PEQUEÑO DENTADO</t>
  </si>
  <si>
    <t>HUESO PEQUEÑO</t>
  </si>
  <si>
    <t>HUESO MACIZO CON PUAS AL CENTRO 18X6.5X6.5 CM WARR</t>
  </si>
  <si>
    <t>Hueso imitación molar 166 GR</t>
  </si>
  <si>
    <t>HUESO IMITACION FEMUR DISEÑO</t>
  </si>
  <si>
    <t>HYPO HYDROLIZED PRO 400 GRS</t>
  </si>
  <si>
    <t>HUESO FEMUR 2</t>
  </si>
  <si>
    <t>ARNES FIBRA CON JEANS XL</t>
  </si>
  <si>
    <t>JAULA HURON CHINCHILLA 3 NIVELES</t>
  </si>
  <si>
    <t>JAULA HAMSTER RECTANGULAR (45.5*28.5*27CM)</t>
  </si>
  <si>
    <t>JAULA HAMSTER OVAL GRANDE 512</t>
  </si>
  <si>
    <t>JAULA PARA PERRO GRANDE DOBLE PUERTA 97x91x69</t>
  </si>
  <si>
    <t>JAULA PARA PEQUEÑAS MASCOTAS (72X44X36)</t>
  </si>
  <si>
    <t>JAULA PARA LOROS EXTRA GRANDE 132X102X186 CM (blanca)</t>
  </si>
  <si>
    <t>JAULA PARA LOROS</t>
  </si>
  <si>
    <t>JAULA PARA CONEJOS 96x57x73</t>
  </si>
  <si>
    <t>JAULA HAMSTER BOX</t>
  </si>
  <si>
    <t>JAULA HAMSTER BASICA 2 NIVELES</t>
  </si>
  <si>
    <t>JAULA HAMSTER 63*35.2*42.4cm</t>
  </si>
  <si>
    <t>JAULA HAMSTER 47*32*40.5CM</t>
  </si>
  <si>
    <t>JAULA HAMSTER 47*32*30.3CM</t>
  </si>
  <si>
    <t>JAULA HAMSTER 34.5*27*31.4cm</t>
  </si>
  <si>
    <t>Jabon Para PERROS Asuntol Antiparasitario Externo</t>
  </si>
  <si>
    <t>JAULA HAMSTER 3 PISOS (30X23X41 CM)</t>
  </si>
  <si>
    <t>JAULA PARA AVES CON RUEDAS (107,5x75x175 cms) AMARILLO</t>
  </si>
  <si>
    <t>JAULA PARA AVES CON RUEDAS (107,5x75x175 cms) VERDE</t>
  </si>
  <si>
    <t>JAULA PARA AVES 47x47x92 CM</t>
  </si>
  <si>
    <t>JAULA PAJARERA DIVISIONES</t>
  </si>
  <si>
    <t>JAULA OVAL FULL EQUIPADA 58*32*41cm</t>
  </si>
  <si>
    <t>Jaula Hamster 1 Piso Simple</t>
  </si>
  <si>
    <t>JAULA DE REPTILES DESMONTABLE 30*40*45</t>
  </si>
  <si>
    <t>JAULA CRIADORA AVE CUADRADA (42 x 60 cm)</t>
  </si>
  <si>
    <t>JAULA CONEJERA 2 PISOS</t>
  </si>
  <si>
    <t>JAULA CAVIE 80 (77 X 48 X 42 CM)</t>
  </si>
  <si>
    <t>JAULA HAMSTER FULL EQUIPADA (51*36.5*29 cm) VERDE CELESTE</t>
  </si>
  <si>
    <t>JAULA HAMSTER FULL EQUIPADA (51*36.5*29 cm)</t>
  </si>
  <si>
    <t>BRIT CARE CAT TUNA WITH CHICKEN AND MILK 70G LATA</t>
  </si>
  <si>
    <t>BRAVERY SALMON ADULT CAT STERILIZED 7KG</t>
  </si>
  <si>
    <t>JAULA HAMSTER 3 PISOS XXL CON TUBOS</t>
  </si>
  <si>
    <t>ARNES DE PECHO ROJO S</t>
  </si>
  <si>
    <t>ARNES DE PECHO ROJO M</t>
  </si>
  <si>
    <t>ARNES DE PECHO ROJO L</t>
  </si>
  <si>
    <t>ARNES DE PECHO MILITAR XL</t>
  </si>
  <si>
    <t>ARNES DE PECHO MILITAR S</t>
  </si>
  <si>
    <t>ARNES DE PECHO MILITAR M</t>
  </si>
  <si>
    <t>ARNES DE PECHO MILITAR L</t>
  </si>
  <si>
    <t>ARNES DE PECHO</t>
  </si>
  <si>
    <t>ARNES DISEÑO L 2.5CM (SOLO ARNES SIN TRAILLA)</t>
  </si>
  <si>
    <t>ARNES DISEÑO + TRAILLA CON MANGO ERGONOMICO GRANDE</t>
  </si>
  <si>
    <t>ARNES DISEÑO + TRAILLA CON MANGO ERGONOMICO CHICO</t>
  </si>
  <si>
    <t>Jaula Transporte Visión Naranja M</t>
  </si>
  <si>
    <t>Jaula Transporte Visión Beige S</t>
  </si>
  <si>
    <t>JAULA PARA CATA, CACACTUA NINFA CON RUEDAS (79x52x130,5 cm) negro</t>
  </si>
  <si>
    <t>JAULA HURON CHINCHILLA SAMO 102 C2 BASIC MARCHIORO</t>
  </si>
  <si>
    <t>JAULA PARA CATA, CACACTUA NINFA (52x41,5x110 cm) NEGRO</t>
  </si>
  <si>
    <t>JAULA PARA CATA, CACACTUA NINFA (52x41,5x110 cm) CELESTE</t>
  </si>
  <si>
    <t>JAULA PARA CATA, CACACTUA NINFA (52x41,5x110 cm) BLANCO</t>
  </si>
  <si>
    <t>JAULA PARA CATA, CACACTUA NINFA (52x41,5x110 cm)</t>
  </si>
  <si>
    <t>JAULA PARA AVES, PINZON, PERIQUITO (47x36x35 cm) celeste</t>
  </si>
  <si>
    <t>JAULA PARA AVES, PINZON, PERIQUITO 47x36x35 cm</t>
  </si>
  <si>
    <t>JAULA PARA AVES CON RUEDAS (107,5x75x175 cms) GRIS</t>
  </si>
  <si>
    <t>JAULA TRANSPORTADOR ATLAS 10 BLANCO</t>
  </si>
  <si>
    <t>Jaula Plegable (121x74x81cm)</t>
  </si>
  <si>
    <t>JAULA PERROS REFORZADA 95*57.5*86.5cm (Incluye ruedas)</t>
  </si>
  <si>
    <t>JAULA PERROS REFORZADA 109 X 70 X 90 CM</t>
  </si>
  <si>
    <t>JAULA KROLIK TAMAÑO XL EXTRA LARGE (120x60x50cm)</t>
  </si>
  <si>
    <t>JAULA KROLIK TAMAÑO L LARGE (100x60x50cm)</t>
  </si>
  <si>
    <t>JAULA IGLESIA DOBLE(48*37*100CM)</t>
  </si>
  <si>
    <t>JAULA IGLESIA (48*37*67CM)</t>
  </si>
  <si>
    <t>JAULA PARA CATA, CACACTUA NINFA CON RUEDAS (79x52x130,5 cm) BLANCA</t>
  </si>
  <si>
    <t>JAULA ACRILICA ALVIN MEDIA VERDE</t>
  </si>
  <si>
    <t>JAULA ACRILICA ALVIN MEDIA</t>
  </si>
  <si>
    <t>JAULA ACRILICA ALVIN LARGE</t>
  </si>
  <si>
    <t>JAULA AVES OVAL (48*37*96CM)</t>
  </si>
  <si>
    <t>JAULA AVES IGLESIA (37*28*74CM)</t>
  </si>
  <si>
    <t>JAULA AVES (52.5*52.5*142CM)</t>
  </si>
  <si>
    <t>Jabón de Aloe Vera (100 g)</t>
  </si>
  <si>
    <t>jabon clorhexidina 1.3lt</t>
  </si>
  <si>
    <t>IVERMECTINA + VITAMINA A, D3 Y E 100ML</t>
  </si>
  <si>
    <t>isoflurano 250 (cod 218082)</t>
  </si>
  <si>
    <t>ISLA PLANTA F 10 CM</t>
  </si>
  <si>
    <t>ISLA PLANTA E 10 CM</t>
  </si>
  <si>
    <t>ISLA PLANTA D 10 CM</t>
  </si>
  <si>
    <t>ISLA PLANTA ACUATICA</t>
  </si>
  <si>
    <t>BRAVERY SALMON ADULT CAT 7KG</t>
  </si>
  <si>
    <t>JAULA AVE (76 x 46 x 91 cm) BLANCA</t>
  </si>
  <si>
    <t>JAULA AVE (48*37*62)</t>
  </si>
  <si>
    <t>JAULA AVE (30 x 23 x 39 cm)</t>
  </si>
  <si>
    <t>JAULA ARMABLE 35 PANELES</t>
  </si>
  <si>
    <t>INVERMECTINA 1% INY. 100ML</t>
  </si>
  <si>
    <t>INVECLOR 2% JAB LIQ 1000ML</t>
  </si>
  <si>
    <t>INVEADE GOTAS 15 ML</t>
  </si>
  <si>
    <t>INTENSE HAIRBALL 1.5 KG ROYAL CANIN</t>
  </si>
  <si>
    <t>INTENSE BEAUTY POUCH 85 GRS</t>
  </si>
  <si>
    <t>INTENSE BEAUTY 145 G</t>
  </si>
  <si>
    <t>INSEPARABLE - AGAPORNIS PERSONATA</t>
  </si>
  <si>
    <t>INSEPARABLE - AGAPORNIS FISCHERI</t>
  </si>
  <si>
    <t>JAULA ACRICILA ROEDORES 2 PISOS (40*26*40 CM)</t>
  </si>
  <si>
    <t>JAULA ACRICILA ROEDORES 1 PISO (40*26*26 CM)</t>
  </si>
  <si>
    <t>JAULA 33.5 X 24 X 43.5</t>
  </si>
  <si>
    <t>ISLA FLOTANTE TALLA S</t>
  </si>
  <si>
    <t>BRAVERY SALMON ADULT CAT 2KG</t>
  </si>
  <si>
    <t>BRAVERY LIGHT IBERIAN PORK MINI ADULT SB 7KG</t>
  </si>
  <si>
    <t>BRAVERY LIGHT IBERIAN PORK ADULT LARGE/MEDIUM BREEDS 4KG</t>
  </si>
  <si>
    <t>BRAVERY LIGHT IBERIAN PORK ADULT LARGE/MEDIUM BREEDS 12KG</t>
  </si>
  <si>
    <t>BRIT CARE CAT GRAIN FREE KITTEN HEALTHY GROWTH &amp; DEVELOPMENT 0.4 KG</t>
  </si>
  <si>
    <t>BRIT CARE CAT GF STERILIZED SENSITIVE 2KG</t>
  </si>
  <si>
    <t>BRIT CARE CAT CHICKEN BREAST WITH RICE 70G LATA</t>
  </si>
  <si>
    <t>BRAVERY IBERIAN PORK ADULT LARGE/MEDIUM BREEDS 12KG</t>
  </si>
  <si>
    <t>JAULA HÁMSTER ENANO FULL EQUIPADA TALLA #1</t>
  </si>
  <si>
    <t>JAULA AVE OVAL (33,5X52,5 CM) PIOLIN</t>
  </si>
  <si>
    <t>Jaula ave iglesia extra (47x36x102 cm) Celeste</t>
  </si>
  <si>
    <t>Jaula ave iglesia extra (47x36x102 cm) 619A</t>
  </si>
  <si>
    <t>JAULA AVE IGLESIA</t>
  </si>
  <si>
    <t>JAULA HAMSTER 3 PISOS (22.5*17*42.5CM)</t>
  </si>
  <si>
    <t>JAULA ARMABLE 12 PANELES</t>
  </si>
  <si>
    <t>ARNES GATO DISEÑOS M ROSADO</t>
  </si>
  <si>
    <t>ARNES GATO DISEÑOS M ROJO</t>
  </si>
  <si>
    <t>ARNES DE SEGURIDAD ROSADO L</t>
  </si>
  <si>
    <t>ARNES DE SEGURIDAD NARANJA XL</t>
  </si>
  <si>
    <t>ARNES DE SEGURIDAD NARANJA M</t>
  </si>
  <si>
    <t>ARNES DE SEGURIDAD NARANJA L</t>
  </si>
  <si>
    <t>ARNES DE SEGURIDAD CALIPSO XL</t>
  </si>
  <si>
    <t>ARNES DE SEGURIDAD CALIPSO S</t>
  </si>
  <si>
    <t>ARNES DE SEGURIDAD CALIPSO M</t>
  </si>
  <si>
    <t>ARNES DE SEGURIDAD CALIPSO L</t>
  </si>
  <si>
    <t>ARNES DE PECHO VERDE CLARO XL</t>
  </si>
  <si>
    <t>ARNES FIBRA CON DISEÑOS #4</t>
  </si>
  <si>
    <t>JAULA HAMSTER 2 PISOS TUBOS</t>
  </si>
  <si>
    <t>JAULA HAMSTER 2 PISOS (30X23X31 CM)</t>
  </si>
  <si>
    <t>JAULA ARMABLE 23 PANELES</t>
  </si>
  <si>
    <t>ARNES GATO DISEÑOS M VERDE</t>
  </si>
  <si>
    <t>LATA KITTEN INSTINCTIVE 145G</t>
  </si>
  <si>
    <t>LENTES DE SOL PARA PERROS</t>
  </si>
  <si>
    <t>LED 1090 RGB</t>
  </si>
  <si>
    <t>LED 1090 MARINE</t>
  </si>
  <si>
    <t>LED 1090 BIO - LUX</t>
  </si>
  <si>
    <t>LED 1089 RGB</t>
  </si>
  <si>
    <t>LED 1089 MARINE</t>
  </si>
  <si>
    <t>LED 1089 BIO - LUX</t>
  </si>
  <si>
    <t>LED 1088 RGB</t>
  </si>
  <si>
    <t>LATA ADULT BEAUTY 150 GR ROYAL CANIN</t>
  </si>
  <si>
    <t>laringoscopio macintosh</t>
  </si>
  <si>
    <t>LARGE WISEBONES TURKEY WITH PARSLEY 2 UN</t>
  </si>
  <si>
    <t>LARGE WISEBONES SALMON WITH LEMON 2 UN</t>
  </si>
  <si>
    <t>LANZADOR TURBODOG</t>
  </si>
  <si>
    <t>JUGUETE MASAJEADOR PARA GATO CON RASCADOR ROSADO</t>
  </si>
  <si>
    <t>LAUBE DR SLICK SUPER LUBRICANT 312G (MAQUINAS, CUCHILLAS Y TIJERAS)</t>
  </si>
  <si>
    <t>LAUBE BLADE DIP LUBRICANT 354ML (CUCHILLAS, HERRAMIENTAS Y TIJERAS)</t>
  </si>
  <si>
    <t>LATA WET PUPPY ROYAL CANIN</t>
  </si>
  <si>
    <t>LATA URINARY SO FELINE 165 GRS</t>
  </si>
  <si>
    <t>LATA ROYAL CANIN ULTRA LIGHT 0.165 GRS</t>
  </si>
  <si>
    <t>LATA RENAL SUPPORT PERROS ROYAL CANIN</t>
  </si>
  <si>
    <t>LAMPARA LED 45.6 CM ADA</t>
  </si>
  <si>
    <t>LAMPARA LED 36.5 CM ADA</t>
  </si>
  <si>
    <t>Lampara Domo 21 cm de Profundidad (21x23cm)</t>
  </si>
  <si>
    <t>Lampara Domo 21 cm de Profundidad (21x16cm)</t>
  </si>
  <si>
    <t>LAMPARA DE CALENTAMIENTO POR INFRAROJO 50W</t>
  </si>
  <si>
    <t>LAMPARA DE CALENTAMIENTO POR INFRAROJO 100W</t>
  </si>
  <si>
    <t>Lampara Corta con Clip</t>
  </si>
  <si>
    <t>LÁMPARA 20 LED LIGHT (216MM)</t>
  </si>
  <si>
    <t>LANZADOR AUTOMATICO DE PELOTAS</t>
  </si>
  <si>
    <t>LENTES PARA PERRO (NEGRO)</t>
  </si>
  <si>
    <t>LENTES PARA PERRO (CELESTE)</t>
  </si>
  <si>
    <t>LENTES FASHION PARA GATOS (8X3 CM)</t>
  </si>
  <si>
    <t>LED 1088 MARINE</t>
  </si>
  <si>
    <t>LED 1088 BIO - LUX</t>
  </si>
  <si>
    <t>LECITINA ORGANICA SUPER CONCENTRADA BIOLINE</t>
  </si>
  <si>
    <t>LECHE DE CABRA PARA PERROS Y GATOS BIOLINE</t>
  </si>
  <si>
    <t>LEBLON FPS 50 ANTIOX FCO V DOS 1 LT</t>
  </si>
  <si>
    <t>lebiste yellow</t>
  </si>
  <si>
    <t>Leonardo Adult Senior Gato Pollo 7.5 GR</t>
  </si>
  <si>
    <t>Leonardo Adult Senior Gato POLLO 2 kg</t>
  </si>
  <si>
    <t>Leonardo Adult Pato Gato 2 KG</t>
  </si>
  <si>
    <t>Leonardo Adult Light Gato POLLO 2 KG</t>
  </si>
  <si>
    <t>ARNES CON GORRO WONDER TOBY XL</t>
  </si>
  <si>
    <t>LATA MOTHER AND BABYCAT MOUSSE 145G ROYAL CANIN</t>
  </si>
  <si>
    <t>ARNES CHESTPLATE S NEGRO - EZYDOG</t>
  </si>
  <si>
    <t>ARNES CHESTPLATE S DENIN - EZYDOG</t>
  </si>
  <si>
    <t>ARNES CHESTPLATE M ROJO - EZYDOG</t>
  </si>
  <si>
    <t>ARNES CHESTPLATE M NEGRO - EZYDOG</t>
  </si>
  <si>
    <t>ARNES CHESTPLATE M DENIM - EZYDOG</t>
  </si>
  <si>
    <t>ARNES CHESTPLATE L NEGRO - EZYDOG</t>
  </si>
  <si>
    <t>ARNES CHESTPLATE L DENIM - EZYDOG</t>
  </si>
  <si>
    <t>ARNES ACOLCHADO XXXL ROJO</t>
  </si>
  <si>
    <t>ARNES ACOLCHADO XXXL NEGRO</t>
  </si>
  <si>
    <t>Arnes con diseño M ROJO</t>
  </si>
  <si>
    <t>Arnes con diseño M AZUL</t>
  </si>
  <si>
    <t>Leonardo Adult GF Salmon Gato 7.5 KG</t>
  </si>
  <si>
    <t>Leonardo Adult GF Maxi Gato Pollo 7.5 KG</t>
  </si>
  <si>
    <t>LATA RENAL SUPPORT 145 G GATOS ROYAL CANIN</t>
  </si>
  <si>
    <t>LATA RECOVERY ROYAL CANIN</t>
  </si>
  <si>
    <t>ARNES CON GORRO WONDER TOBY S</t>
  </si>
  <si>
    <t>KITTEN STERILISED 4 KG</t>
  </si>
  <si>
    <t>KITTEN STERILISED 3.5 KG</t>
  </si>
  <si>
    <t>KITTEN POUCH 85 GR ROYAL CANIN</t>
  </si>
  <si>
    <t>KITTEN ESTERILIZADO 1.5 KG</t>
  </si>
  <si>
    <t>KITTEN 4 KG ROYAL CANIN</t>
  </si>
  <si>
    <t>KITTEN 36 7.5 KG ROYAL CANIN</t>
  </si>
  <si>
    <t>KITTEN 36 1.5 KG ROYAL CANIN</t>
  </si>
  <si>
    <t>KITTEN 2 KG ROYAL CANIN</t>
  </si>
  <si>
    <t>LABYDERM SHAMPOO SUAVE 220ML</t>
  </si>
  <si>
    <t>LABYDERM NUTRICION PROFUNDA 4ML</t>
  </si>
  <si>
    <t>LABYDERM NUTRICION PROFUNDA 2ML</t>
  </si>
  <si>
    <t>LABYDERM BIOFORCE HIDRA VAL/DOS X 100 ML LABYES</t>
  </si>
  <si>
    <t>LABRADOR RETRIEVER 30 ADULT ROYAL CANIN</t>
  </si>
  <si>
    <t>LABRADOR JUNIOR 12 KG</t>
  </si>
  <si>
    <t>LATA GATO DR LINK - SENIOR LAMB &amp; POULTRY 200GR</t>
  </si>
  <si>
    <t>KONGO GOLD PERROS ADULTOS 21 KG</t>
  </si>
  <si>
    <t>KITCAT LATA DEBONED - CHICKEN &amp; PRAWN 80GR</t>
  </si>
  <si>
    <t>KITCAT 4X15G TUNA &amp; SMOKED FISH</t>
  </si>
  <si>
    <t>KITCAT 4X15G TUNA &amp; SCALLOP</t>
  </si>
  <si>
    <t>KITCAT 4X15G TUNA &amp; SALMON</t>
  </si>
  <si>
    <t>KITCAT 4X15G TUNA &amp; FIBER (HAIRBALL)</t>
  </si>
  <si>
    <t>KITCAT 4X15G PLUS+URINARY CARE (TUNA)</t>
  </si>
  <si>
    <t>KITCAT 4X15G PLUS+URINARY CARE (CHICKEN)</t>
  </si>
  <si>
    <t>KITCAT 4X15G PLUS+SKIN &amp; COAT (TUNA)</t>
  </si>
  <si>
    <t>KOI SPIRULINA PELLET SIZE S 1 LT 400 GR</t>
  </si>
  <si>
    <t>KOI GROWTH &amp; COLOUR PELLET SIZE S 3L</t>
  </si>
  <si>
    <t>KOI GROWTH &amp; COLOUR PELLET SIZE S 1000ML</t>
  </si>
  <si>
    <t>KOI GROWTH &amp; COLOUR PELLET SIZE S 100 ML 400 GR</t>
  </si>
  <si>
    <t>KOI GROWTH &amp; COLOUR PELLET SIZE S 10 LTS 4 KG</t>
  </si>
  <si>
    <t>KOI GROWTH &amp; COLOUR PELLET SIZE S 10 L / 3.2KG</t>
  </si>
  <si>
    <t>LABEO ERITRORUS</t>
  </si>
  <si>
    <t>LATA DR LINK - KITTEN FINE TURKEY C/CATNIP, OIL SALMON 200GR</t>
  </si>
  <si>
    <t>LATA ADULTO 8+ ROYAL CANIN</t>
  </si>
  <si>
    <t>LATA ADULT WEIGHT CARE 150 GR ROYAL CANIN</t>
  </si>
  <si>
    <t>LATA ADULT INSTINCTIVE 145 grs ROYAL CANIN</t>
  </si>
  <si>
    <t>LATA ADULT BEAUTY 165 GRS ROYAL CANIN</t>
  </si>
  <si>
    <t>LACTOL PUPPY MILK 500GR - BEAPHAR</t>
  </si>
  <si>
    <t>LACTOL KITTY MILK 500GR - BEAPHAR</t>
  </si>
  <si>
    <t>LACTOL KITTY MILK 250GR - BEAPHAR</t>
  </si>
  <si>
    <t>LABYES TEARS 20% SOL OFT GOTAS X 8 ML</t>
  </si>
  <si>
    <t>Lampara Universal S (10*10.5cm)</t>
  </si>
  <si>
    <t>Lampara Universal L (14*14cm)</t>
  </si>
  <si>
    <t>LAMPARA PARA REPTILES CON SUJETADOR RL103 NO INCLU</t>
  </si>
  <si>
    <t>LAMPARA PARA REPTILES CON SUJETADOR RL102 NO INCLU</t>
  </si>
  <si>
    <t>LAMPARA PARA REPTILES CON SUJETADOR RL101 NO INCLU</t>
  </si>
  <si>
    <t>Lagrinet Neo 10 ml – Gotas Oftalmicas para Perros y Gatos con Acido Hialuronico</t>
  </si>
  <si>
    <t>LAMPARA LED 85.6 CM ADA</t>
  </si>
  <si>
    <t>LAMPARA LED 65.6 CM ADA</t>
  </si>
  <si>
    <t>KONGO GOLD CACHORROS 21 KG</t>
  </si>
  <si>
    <t>KOI&amp;GOLDFISH COLOUR STICKS 20 LT / 1600 GR</t>
  </si>
  <si>
    <t>KOI&amp;GOLDFISH BASIC STICKS 21L/1,6KG</t>
  </si>
  <si>
    <t>KOI SPIRULINA PELLET SIZE S 7KG</t>
  </si>
  <si>
    <t>KOI SPIRULINA PELLET SIZE S 3L</t>
  </si>
  <si>
    <t>KOI SPIRULINA PELLET SIZE S 1000ML</t>
  </si>
  <si>
    <t>KOI SPIRULINA PELLET SIZE S 10 L</t>
  </si>
  <si>
    <t>KOI SPIRULINA PELLET SIZE S 1.5KG</t>
  </si>
  <si>
    <t>LÁMPARA 14 LED LIGHT (186MM)</t>
  </si>
  <si>
    <t>LÁMPARA 10 LED LIGHT (156MM)</t>
  </si>
  <si>
    <t>LAIKA PET SHAMPOO NEUTRO AVENA PARA PERROS 4</t>
  </si>
  <si>
    <t>LAIKA PET SHAMPOO FRESH ALOE VERA PARA PERROS 400 ML</t>
  </si>
  <si>
    <t>LAIKA PET ACONDICIONADOR FRESH ALOE VERA PARA PERROS 400 ML</t>
  </si>
  <si>
    <t>LAMPARA LED CON CLIP ADA</t>
  </si>
  <si>
    <t>LUZ LED PARA ACUARIO 30CM</t>
  </si>
  <si>
    <t>LUZ LED PARA ACUARIO 120CM</t>
  </si>
  <si>
    <t>Luz led 24 W. 51*6.3 cm</t>
  </si>
  <si>
    <t>Luz led 18 W. 41*6.3 cm</t>
  </si>
  <si>
    <t>Luz led 14 W. 31*6.3 cm</t>
  </si>
  <si>
    <t>LUZ CON DIFUSOR DE AIRE M</t>
  </si>
  <si>
    <t>LUZ CON DIFUSOR DE AIRE L</t>
  </si>
  <si>
    <t>LUZ 9W SUMERGIBLE 50 CM (AZUL, BLANCO, ROJA)</t>
  </si>
  <si>
    <t>LUZ 6W SUMERGIBLE 35 CM (AZUL, BLANCO)</t>
  </si>
  <si>
    <t>LUZ 13W SUMERGIBLE 70 CM (ROJO,VERDE)</t>
  </si>
  <si>
    <t>LUCERINE SMAKERS FOR RODENTS</t>
  </si>
  <si>
    <t>LENTES PARA PERROS</t>
  </si>
  <si>
    <t>LEVANTEL 2% GOTAS - MASCOTAS 10 ML</t>
  </si>
  <si>
    <t>LETS BITE MEAT SNACKS TUNA BARS 80 GR</t>
  </si>
  <si>
    <t>LETS BITE MEAT SNACKS CHICKEN SQUARES WITH VENISON 80GR</t>
  </si>
  <si>
    <t>LETS BITE MEAT SNACKS CHICKEN FILLET 80GR</t>
  </si>
  <si>
    <t>LOLA COLLAR LARGE ZEEDOG</t>
  </si>
  <si>
    <t>LOLA CAT COLLAR ZEECAT</t>
  </si>
  <si>
    <t>LOCALIZADOR QR BRAVECTO GEO ID</t>
  </si>
  <si>
    <t>LITTER LOCKER PAIL DESIGN PLUS - PAPELERA</t>
  </si>
  <si>
    <t>BOZAL CLINICO CUERO RAZAS PEQUEÑAS</t>
  </si>
  <si>
    <t>BOZAL CLINICO CUERO GRANDE</t>
  </si>
  <si>
    <t>BOZAL CLINICO CUERO EXTRA GRANDE</t>
  </si>
  <si>
    <t>BOZAL CLINICO CUERO CHICO</t>
  </si>
  <si>
    <t>BOZAL CANASTILLO METALICO TALLA XL</t>
  </si>
  <si>
    <t>BOZAL PLASTICO N3</t>
  </si>
  <si>
    <t>LOVE SAND SOLUBLE 8KG</t>
  </si>
  <si>
    <t>MAHLEB LEASH S</t>
  </si>
  <si>
    <t>MAHLEB LEASH L</t>
  </si>
  <si>
    <t>MAHLEB CAT COLLAR</t>
  </si>
  <si>
    <t>MAHALO LEASH EXTRA SMALL</t>
  </si>
  <si>
    <t>MAHALO COLLAR SMALL</t>
  </si>
  <si>
    <t>MAHALO COLLAR MEDIUM ZEEDOG</t>
  </si>
  <si>
    <t>MAHALO COLLAR LARGE ZEEDOG</t>
  </si>
  <si>
    <t>MAHALO COLLAR EXTRA SMALL ZEEDOG</t>
  </si>
  <si>
    <t>Mahalo Collar Cat ZEECAT</t>
  </si>
  <si>
    <t>Luz led 12 W. 22*6.3 cm</t>
  </si>
  <si>
    <t>LUZ LED (AZUL - BLANCA) ABATIBLE 3,5 WATTS</t>
  </si>
  <si>
    <t>LUZ LED (AZUL - BLANCA) ABATIBLE 3 WATTS</t>
  </si>
  <si>
    <t>LUZ LED (AZUL - BLANCA) ABATIBLE 2 WATTS</t>
  </si>
  <si>
    <t>LUZ LED (AZUL - BLANCA) ABATIBLE 1,5 WATTS</t>
  </si>
  <si>
    <t>LUZ LED PARA ACUARIO 60CM</t>
  </si>
  <si>
    <t>Madera en natural L</t>
  </si>
  <si>
    <t>MACRONUTRIENTES PLANTMIX 500ML</t>
  </si>
  <si>
    <t>MACRONUTRIENTES PLANTMIX 250ML</t>
  </si>
  <si>
    <t>MACRONUTRIENTES PLANTMIX 1000ML</t>
  </si>
  <si>
    <t>Luz UV reptiles 26W 220VUVB5.0/UVB10.0(5.5*17CM)</t>
  </si>
  <si>
    <t>Luz UV reptiles 13W 220V VB5.0/UVB10.0(8*12.5 cm)</t>
  </si>
  <si>
    <t>LUZ SUMERGIBLE 70 CM BLANCA</t>
  </si>
  <si>
    <t>LUZ SUMERGIBLE 60 CM TRICOLOR</t>
  </si>
  <si>
    <t>LUZ SUMERGIBLE 60 CM ROJA</t>
  </si>
  <si>
    <t>LORO DE JUGUETE PARA MASCOTAS 30X20CM</t>
  </si>
  <si>
    <t>LOLA COLLAR MEDIUM ZEEDOG</t>
  </si>
  <si>
    <t>LUZ SUMERGIBLE 30 CM ROJA</t>
  </si>
  <si>
    <t>LUZ SUMERGIBLE 30 CM BLANCA</t>
  </si>
  <si>
    <t>LUZ SUMERGIBLE 30 CM AZUL</t>
  </si>
  <si>
    <t>LUZ LED SUMERGIBLE PINK</t>
  </si>
  <si>
    <t>LUZ CON DIFUSOR DE AIRE S</t>
  </si>
  <si>
    <t>ARNES CON CORREA PARA PERROS Y GATOS XS VERDE</t>
  </si>
  <si>
    <t>ARNES CON CORREA PARA PERROS Y GATOS XS CELESTE</t>
  </si>
  <si>
    <t>ARNES ACOLCHADO + TRAILLA</t>
  </si>
  <si>
    <t>ARNES 2 EN 1 MC FRENCH TALLA S</t>
  </si>
  <si>
    <t>ARNES 2 EN 1 MC FRENCH TALLA M</t>
  </si>
  <si>
    <t>ARNES 2 EN 1 MC FRENCH TALLA L</t>
  </si>
  <si>
    <t>ARNES 2 EN 1 HAWAII TALLA S</t>
  </si>
  <si>
    <t>ARNES 2 EN 1 HAWAII TALLA M</t>
  </si>
  <si>
    <t>ARNES 2 EN 1 HAWAII TALLA L</t>
  </si>
  <si>
    <t>ARNES 2 EN 1 GALAXY TALLA S</t>
  </si>
  <si>
    <t>ARNES 2 EN 1 GALAXY TALLA M</t>
  </si>
  <si>
    <t>ARNES 2 EN 1 GALAXY TALLA L</t>
  </si>
  <si>
    <t>ARNES CON CORREA PARA PERROS Y GATOS L VERDE</t>
  </si>
  <si>
    <t>ARNES CON CORREA PARA PERROS Y GATOS L CELESTE</t>
  </si>
  <si>
    <t>BOZAL PLASTICO N2</t>
  </si>
  <si>
    <t>LETRINA XL CON MALLA (36X22X18 CM)</t>
  </si>
  <si>
    <t>LETRINA HAMSTER</t>
  </si>
  <si>
    <t>LETRINA ERIZO HURON CON MALLA 35x24x19CM (VERDE)</t>
  </si>
  <si>
    <t>Leonardo Kitten Gato POLLO 7.5 KG</t>
  </si>
  <si>
    <t>Leonardo Kitten Gato POLLO 2 KG</t>
  </si>
  <si>
    <t>LEONARDO DRINK SALMON 40 GR</t>
  </si>
  <si>
    <t>ZAPATOS CON CIERRE Y GOMA TALLA 1 AMARILLO</t>
  </si>
  <si>
    <t>LEONARDO DRINK BEFF 40 GR</t>
  </si>
  <si>
    <t>Leonardo Adulto GF Salmon Gato 1.8 KG</t>
  </si>
  <si>
    <t>LEROY GRILLÉ DE CARNES 15 KG GATO</t>
  </si>
  <si>
    <t>LEROY GRILLÉ DE CARNES 10.1 KG GATO</t>
  </si>
  <si>
    <t>LEROY FILLET DE FRANGO SC 10.1 KG GATO</t>
  </si>
  <si>
    <t>Leonardo Pouch Pato y Queso Gato 85 GR</t>
  </si>
  <si>
    <t>Leonardo Pouch Cordero y Arandano Gato 85 GR</t>
  </si>
  <si>
    <t>Leonardo Adult GF Maxi Gato Pollo 1.8 KG</t>
  </si>
  <si>
    <t>ARNES CON CORREA PARA PERROS Y GATOS L BEIGE</t>
  </si>
  <si>
    <t>BOZAL PLASTICO N1</t>
  </si>
  <si>
    <t>BOZAL PERROS BRAQUICEFALOS 9 A 13 KILOS</t>
  </si>
  <si>
    <t>BOZAL PERROS BRAQUICEFALOS 6 A 9 KILOS</t>
  </si>
  <si>
    <t>BOZAL PERROS BRAQUICEFALOS 22 A 35 KILOS</t>
  </si>
  <si>
    <t>BOZAL PERROS BRAQUICEFALOS 14 A 21 KILOS</t>
  </si>
  <si>
    <t>BOXER ADULT 12 KG</t>
  </si>
  <si>
    <t>BOWL CON PATAS BLACK OR WHITE 110 GRM</t>
  </si>
  <si>
    <t>BOTON DE COMUNICACION VERDE</t>
  </si>
  <si>
    <t>BOTON DE COMUNICACION ROJO</t>
  </si>
  <si>
    <t>LISA AIR MESH PLUS HARNESS L</t>
  </si>
  <si>
    <t>LIMPIADOR DE PATAS TALLA S</t>
  </si>
  <si>
    <t>LIMPIADOR DE PATAS TALLA L</t>
  </si>
  <si>
    <t>LIMPIADOR DE ACUARIOS 4 EN 1</t>
  </si>
  <si>
    <t>LETRINA ERIZO HURON CON MALLA 35x24x19CM (MORADO)</t>
  </si>
  <si>
    <t>LETRINA XL CON MALLA METALICA 50 X 34 X 26</t>
  </si>
  <si>
    <t>LETRINA CON MALLA 16 X 12 X 8 CMS - AZUL</t>
  </si>
  <si>
    <t>LETRINA CON MALLA 16 X 12 X 8 CMS</t>
  </si>
  <si>
    <t>LETRINA CON MALLA (24X18X11 CM)</t>
  </si>
  <si>
    <t>LIMADOR DE UÑAS PCS</t>
  </si>
  <si>
    <t>LIGHT GATOS 7.5 KG ROYAL CANIN</t>
  </si>
  <si>
    <t>LIGHT 40 1.5 KG ROYAL CANIN</t>
  </si>
  <si>
    <t>LIDOCALM INY 50ML</t>
  </si>
  <si>
    <t>LICORICE ROOT BALL</t>
  </si>
  <si>
    <t>LICKING MAT NEXGARD</t>
  </si>
  <si>
    <t>Lick Mat Plato Perro Comedero Anti Ansiedad Antiestres Lamer</t>
  </si>
  <si>
    <t>LEONARDO LATA QUALITY SELECCION PESCADO 400GR</t>
  </si>
  <si>
    <t>LETS BITE MEAT SNACKS BEEF SQUARES WITH POULTRY 80GR</t>
  </si>
  <si>
    <t>LETRINA XL CON MALLA METALICA VERDE (50 X 34 X 26CM)</t>
  </si>
  <si>
    <t>LETRINA XL CON MALLA METALICA ROSADA (50 X 34 X 26CM)</t>
  </si>
  <si>
    <t>LETRINA XL CON MALLA METALICA MORADA (50 X 34 X 26CM)</t>
  </si>
  <si>
    <t>LETRINA CON MALLA 16 X 12 X 8 CMS - VERDE</t>
  </si>
  <si>
    <t>BANDEJA SANITARIA BAÑO PIN UP MOSTAZA (59X38X27)</t>
  </si>
  <si>
    <t>BACTO ACTIVE 100 ML</t>
  </si>
  <si>
    <t>BACTININ POND 500 ML</t>
  </si>
  <si>
    <t>JUGUETE PLEGABLE CONEJO 15*13*61cm</t>
  </si>
  <si>
    <t>JUGUETE PEZ WONDER CAT (6.9X3.4X1.6 CM)</t>
  </si>
  <si>
    <t>JUGUETE PEZ CON CATNIP MORADO</t>
  </si>
  <si>
    <t>JUGUETE PEZ CON CATNIP GRIS</t>
  </si>
  <si>
    <t>Juguete Stick Chrome Play</t>
  </si>
  <si>
    <t>JUGUETE SNACK CON CATNIP (WAVE) 13cm</t>
  </si>
  <si>
    <t>JUGUETE SNACK CON CATNIP (PC NATURALLY) 13cm</t>
  </si>
  <si>
    <t>JUGUETE ROLLO DE LOOFAH</t>
  </si>
  <si>
    <t>JUGUETE RODAJA DE LOOFAH</t>
  </si>
  <si>
    <t>JUGUETE PELUCHE VACA CON CUERDA + PELOTA</t>
  </si>
  <si>
    <t>JUGUETE PELUCHE TORTUGA MAS CUERDA 20X20CM</t>
  </si>
  <si>
    <t>Kitten Sterilised Royal Canin 400 gr</t>
  </si>
  <si>
    <t>JUGUETE PELUCHE PUSHEEN 12CM VERDE</t>
  </si>
  <si>
    <t>JUGUETE PELUCHE PUSHEEN 12CM FUCSIA</t>
  </si>
  <si>
    <t>JUGUETE PELUCHE PUSHEEN 12CM AMARILLO</t>
  </si>
  <si>
    <t>JUGUETE RATON ARCOIRIS</t>
  </si>
  <si>
    <t>JUGUETE RATON 18CM</t>
  </si>
  <si>
    <t>JUGUETE PORFIADO CON PLUMAS</t>
  </si>
  <si>
    <t>JUGUETE PELUCHE MERA</t>
  </si>
  <si>
    <t>JUGUETE PELUCHE MARMOTA 19X12CM</t>
  </si>
  <si>
    <t>JUGUETE PELUCHE LOBO</t>
  </si>
  <si>
    <t>JUGUETE PELUCHE KAWAII PANDA 8CM</t>
  </si>
  <si>
    <t>JUGUETE PELUCHE KAWAII MONO 8CM</t>
  </si>
  <si>
    <t>JUGUETE PELUCHE ERIZO CON CATNIP (GRIS) 10CM</t>
  </si>
  <si>
    <t>JUGUETE PEZ CON CATNIP 12CM</t>
  </si>
  <si>
    <t>JUGUETE PESAS WONDER CAT</t>
  </si>
  <si>
    <t>JUGUETE PELUCHE RATONCITO CON CATNIP 10 CM</t>
  </si>
  <si>
    <t>JUGUETE TRACCION CON VENTOSA ROJO</t>
  </si>
  <si>
    <t>JUGUETE TRACCION CON VENTOSA AZUL</t>
  </si>
  <si>
    <t>ARNES CON MANILLA 4 DISEÑOS XL (DISEÑO COLMENA)</t>
  </si>
  <si>
    <t>ARNES CON MANILLA 4 DISEÑOS XL (CAMUFLAJE GRIS)</t>
  </si>
  <si>
    <t>ARNES CON MANILLA 4 DISEÑOS S (ROMBOS PASTEL)</t>
  </si>
  <si>
    <t>ARNES CON GORRO WONDER TOBY L</t>
  </si>
  <si>
    <t>Arnes con diseño XS ROJO</t>
  </si>
  <si>
    <t>Arnes con diseño XS JEANS</t>
  </si>
  <si>
    <t>Arnes con diseño XS AZUL</t>
  </si>
  <si>
    <t>Arnes con diseño S ROSADO</t>
  </si>
  <si>
    <t>Arnes con diseño S ROJO</t>
  </si>
  <si>
    <t>Arnes con diseño S JEANS</t>
  </si>
  <si>
    <t>Arnes con diseño S AZUL</t>
  </si>
  <si>
    <t>Arnes con diseño M ROSADO</t>
  </si>
  <si>
    <t>BANDEJA SANITARIA JULIETE</t>
  </si>
  <si>
    <t>Arnés con mango S ( Pecho 45-51CM; Lomo ：40-48CM Para pesos entre:5-10KG</t>
  </si>
  <si>
    <t>ARNES CON MANGO S</t>
  </si>
  <si>
    <t>JUGUETE TRACCION CON VENTOSA AMARILLO</t>
  </si>
  <si>
    <t>JUGUETE TIRANTE CON CUERDA DE ALGODON Y PELOTA DE FIELTRO</t>
  </si>
  <si>
    <t>JUGUETE POLLO CON CUERDA VIBRADORA</t>
  </si>
  <si>
    <t>JUGUETE PLEGABLE CONEJO 9*5*65cm</t>
  </si>
  <si>
    <t>BOZAL DE PERRO REFORZADO N6</t>
  </si>
  <si>
    <t>BOZAL DE PERRO REFORZADO N3</t>
  </si>
  <si>
    <t>BOZAL DE PERRO REFORZADO N2</t>
  </si>
  <si>
    <t>BOZAL DE PERRO REFORZADO N1</t>
  </si>
  <si>
    <t>BOZAL DE NYLON CON AJUSTE DE VELCRO TALLA XXL</t>
  </si>
  <si>
    <t>BOZAL DE NYLON CON AJUSTE DE VELCRO TALLA XL</t>
  </si>
  <si>
    <t>BRACCO TRAVEL 8 118 X 81 X 88 CM</t>
  </si>
  <si>
    <t>BRACCO TRAVEL 7 REJILLA PLASTICA 102 x 73 x 76,5 CM</t>
  </si>
  <si>
    <t>BANDEJA SANITARIA MINOU LARGE</t>
  </si>
  <si>
    <t>ARNES CON MANGO TALLA L</t>
  </si>
  <si>
    <t>ARNES CON MOCHILA M + TRAILLA</t>
  </si>
  <si>
    <t>ARNES CON MANILLA 4 DISEÑOS XL (ROMBOS PASTEL)</t>
  </si>
  <si>
    <t>JUGUETE PELUCHE CON CUERDA TIGRE-MONO-ELEFANTE 31X14CM</t>
  </si>
  <si>
    <t>JUGUETE PARA MASCOTAS PELUCHE ARDILLA CON SONIDO</t>
  </si>
  <si>
    <t>JUGUETE PARA MASCOTAS COCODRILO-HIPOPOTAMO-ELEFANTE CON SONIDO</t>
  </si>
  <si>
    <t>JUGUETE PARA MASCOTAS BURRO HECHO DE CUERDA DE ALGODÓN CON SONIDO</t>
  </si>
  <si>
    <t>JUGUETE PARA MASCOTAS ARDILLA-CONEJO-LOBO CON SONIDO</t>
  </si>
  <si>
    <t>JUGUETE PARA GATO CON PROYECCION LED 82X65X39MM</t>
  </si>
  <si>
    <t>JUGUETE PARA AVES MEDIDAS 40*6.5</t>
  </si>
  <si>
    <t>JUGUETE OSO GRIZZLY DE PELUCHE PARA MASCOTAS CON SONIDO 21.5x12.5 CM</t>
  </si>
  <si>
    <t>JUGUETE PATO SONORO PARA GATO</t>
  </si>
  <si>
    <t>JUGUETE PATO PARA PERRO SUPER REALISTA</t>
  </si>
  <si>
    <t>JUGUETE PARA PERRO ELEFANTE 26*29CM</t>
  </si>
  <si>
    <t>JUGUETE PARA PERRO COLORES 32*26CM</t>
  </si>
  <si>
    <t>JUGUETE PERRO CON VENTOSA 45 CM</t>
  </si>
  <si>
    <t>JUGUETE MASAJEADOR PARA GATO</t>
  </si>
  <si>
    <t>JUGUETE MARIPOSA WONDER CAT</t>
  </si>
  <si>
    <t>JUGUETE MAPACHE DE PELUCHE PARA MASCOTAS CON CUERDA 30x27 CM</t>
  </si>
  <si>
    <t>JUGUETE LOOFAH ZANAHORIA Y CHOCLO</t>
  </si>
  <si>
    <t>JUGUETE LOOFAH UVAS</t>
  </si>
  <si>
    <t>JUGUETE LOOFAH SUSHI</t>
  </si>
  <si>
    <t>JUGUETE LOOFAH HIGOS</t>
  </si>
  <si>
    <t>JUGUETE PARA MASCOTAS TEJON DE MIEL CON SONIDO</t>
  </si>
  <si>
    <t>JUGUETE PARA MASCOTAS PELUCHE CON SONIDO (LEÓN-TIGRE-LEOPARDO)</t>
  </si>
  <si>
    <t>Juguete lengua (19,5*6 cm)</t>
  </si>
  <si>
    <t>JUGUETE INTERACTIVO PARA GATITOS (PELOTITA)</t>
  </si>
  <si>
    <t>JUGUETE IMITACION VERDURAS WONDER CAT</t>
  </si>
  <si>
    <t>JUGUETE IMITACION PLACA HIERRO WARRIOR (3 LADOS)</t>
  </si>
  <si>
    <t>JUGUETE IMITACION PLACA HIERRO WARRIOR</t>
  </si>
  <si>
    <t>JUGUETE MONO DE FELPA PARA MASCOTAS 19x25 CM</t>
  </si>
  <si>
    <t>JUGUETE PARA PERRO BOTELLA (28 CM)</t>
  </si>
  <si>
    <t>JUGUETE PERRO CAFE DE PELUCHE PARA MASCOTAS CON SONIDO 12x24 CM</t>
  </si>
  <si>
    <t>JUGUETE PERRO ARDILLA SUPER REALISTA</t>
  </si>
  <si>
    <t>JUGUETE PELUCHE CON CATNIP (SUSHI SALMON) 10CM</t>
  </si>
  <si>
    <t>JUGUETE PELUCHE COCODRILLO 33x16cm</t>
  </si>
  <si>
    <t>JUGUETE PELOTAS CON PLUMAS WONDER CAT</t>
  </si>
  <si>
    <t>JUGUETE PELOTA WONDER CAT</t>
  </si>
  <si>
    <t>JUGUETE PELOTA FUTBOL CON BOMBIN 18CM</t>
  </si>
  <si>
    <t>Juguete peces divertidos 22x18 cm</t>
  </si>
  <si>
    <t>Juguete peces divertidos 16x13 cm</t>
  </si>
  <si>
    <t>JUGUETE PELUCHE PATITA DE GATO (CAFE) 33CM</t>
  </si>
  <si>
    <t>JUGUETE PELUCHE PARA PERRO ZORRO 46CM</t>
  </si>
  <si>
    <t>JUGUETE PELUCHE PARA PERRO MAPACHE 46CM</t>
  </si>
  <si>
    <t>JUGUETE PELUCHE OSO CON CUERDA + PELOTA</t>
  </si>
  <si>
    <t>JUGUETE PELUCHE OSO + GOMA DE CAUCHO DISPENSADORA</t>
  </si>
  <si>
    <t>ARNES CON LUZ USB TALLA M (AZUL)</t>
  </si>
  <si>
    <t>JUGUETE PARA MORDER FORMA DE HUESO (CUERO 17 X 10.5CM)</t>
  </si>
  <si>
    <t>JUGUETE PARA MORDER EN FORMA DE PERRO EN CUERO</t>
  </si>
  <si>
    <t>JUGUETE PARA MASCOTASOSO TRAPOSO PEQUEÑO CON SONIDO</t>
  </si>
  <si>
    <t>JUGUETE PELUCHE ERIZO (20x12.5x10 cm)</t>
  </si>
  <si>
    <t>JUGUETE PELUCHE CUY CON CATNIP (CELESTE) 10CM</t>
  </si>
  <si>
    <t>Arnés cuerpo M + traílla 1,5 cm</t>
  </si>
  <si>
    <t>Arnés con mango L (Pecho: 63-77CM, Lomo: 54-67CM. Para pesos entre:15-30KG)</t>
  </si>
  <si>
    <t>ARNES CON LUZ USB TALLA XL (ROJO)</t>
  </si>
  <si>
    <t>ARNES CON LUZ USB TALLA XL (GRIS)</t>
  </si>
  <si>
    <t>ARNES CON LUZ USB TALLA XL (AZUL)</t>
  </si>
  <si>
    <t>ARNES CON LUZ USB TALLA S (ROJO)</t>
  </si>
  <si>
    <t>ARNES CON LUZ USB TALLA S (GRIS)</t>
  </si>
  <si>
    <t>ARNES CON LUZ USB TALLA S (AZUL)</t>
  </si>
  <si>
    <t>ARNES CON LUZ USB TALLA M (ROJO)</t>
  </si>
  <si>
    <t>ARNES CON LUZ USB TALLA M (GRIS)</t>
  </si>
  <si>
    <t>JUGUETE PELUCHE MONO CON CUERDA + PELOTA</t>
  </si>
  <si>
    <t>JW LIMADOR DE UÑAS</t>
  </si>
  <si>
    <t>JW CORTA UÑAS GRANDE</t>
  </si>
  <si>
    <t>JUGUTE VACA DE PELUCHE ELASTICO PARA MASCOTAS 32.5x11.5 CM</t>
  </si>
  <si>
    <t>KIT BLISTER CON 2 UNIDADES (CREMA NEUTRO 90G + 1 DEDEIRA) CATDOG</t>
  </si>
  <si>
    <t>KIT BLISTER CON 2 UNIDADES (CREMA MORANGO 90G + 1 DEDEIRA) CATDOG</t>
  </si>
  <si>
    <t>KIT BLISTER CON 2 UNIDADES (CREMA CHOCOLATE 90G + 1 DEDEIRA) CATDOG</t>
  </si>
  <si>
    <t>Kit Bandeja Sanitaria XL + Pala + Plato (45x35x11.5)</t>
  </si>
  <si>
    <t>KIMBA CAMA COBRE PORTATIL TALLA S</t>
  </si>
  <si>
    <t>KIMBA CAMA COBRE PORTATIL TALLA M</t>
  </si>
  <si>
    <t>KETUNPET PACK ADULTO RAZA PEQUEÑA 3K X 3 (9 KILOS)</t>
  </si>
  <si>
    <t>KETUNPET CACHORRO 3K</t>
  </si>
  <si>
    <t>JUGUETE ZANAHORIA CON RUEDAS</t>
  </si>
  <si>
    <t>JUGUETE ZANAHORIA</t>
  </si>
  <si>
    <t>KETAMINA 100 MG SOL INY</t>
  </si>
  <si>
    <t>JUGUETE TRENZA CON PELOTA 22x7x7</t>
  </si>
  <si>
    <t>KENNEL DOG HOUSE TALLA M</t>
  </si>
  <si>
    <t>KENNEL DOG HOUSE TALLA L</t>
  </si>
  <si>
    <t>KEGEL-SPAWNING CONE FOR DISCUS</t>
  </si>
  <si>
    <t>ARNES CON MANGO M WONDER DOG</t>
  </si>
  <si>
    <t>Arnés con mango M (Pecho: 52-60CM Lomo：45-54CM. Para pesos entre: 10-15KG</t>
  </si>
  <si>
    <t>ARNES CON MANGO L WONDER DOG</t>
  </si>
  <si>
    <t>ARNES CON CORREA PARA PERROS Y GATOS XS AMARILLO</t>
  </si>
  <si>
    <t>ARNES CON CORREA PARA PERROS Y GATOS S VERDE</t>
  </si>
  <si>
    <t>ARNES CON CORREA PARA PERROS Y GATOS S CELESTE</t>
  </si>
  <si>
    <t>BABYCAT INSTINCTIVE WET 165 GRS LATA ROYAL CANIN</t>
  </si>
  <si>
    <t>BABY DOG MILK 0.4 KG ROYAL CANIN</t>
  </si>
  <si>
    <t>BABY CAT MILK 0.3 KG ROYAL CANIN</t>
  </si>
  <si>
    <t>BABY CAT 0.4 KG</t>
  </si>
  <si>
    <t>Ave Ninfa</t>
  </si>
  <si>
    <t>Ave Diamantina</t>
  </si>
  <si>
    <t>KENNEL DOG HOUSE TALLA S</t>
  </si>
  <si>
    <t>KITCAT 4X15G CHICKEN &amp; FIBER (HAIRBALL)</t>
  </si>
  <si>
    <t>KIT SANITARIO TALLA S</t>
  </si>
  <si>
    <t>KIT DENTAL HIGIENE C CHICKEN</t>
  </si>
  <si>
    <t>KIT DE ASEO PARA MASCOTAS 3 PIEZAS</t>
  </si>
  <si>
    <t>KITTEN 0.4 KG ROYAL CANIN</t>
  </si>
  <si>
    <t>KITCAT LATA GRAVY - TUNA &amp; QUAIL EGG 70GR</t>
  </si>
  <si>
    <t>KITCAT LATA GRAVY - CHICKEN &amp; WHITEBAIT 70GR</t>
  </si>
  <si>
    <t>KITCAT LATA GOAT MILK GOURMET TUNA &amp; SMOKED FISH 70GR</t>
  </si>
  <si>
    <t>KITCAT LATA GOAT MILK GOURMET TUNA &amp; SALMON 70GR</t>
  </si>
  <si>
    <t>KITCAT LATA GOAT MILK GOURMET CHICKEN &amp; SHRIMP 70GR</t>
  </si>
  <si>
    <t>KITCAT LATA GOAT MILK GOURMET CHICKEN &amp; CRAB 70GR</t>
  </si>
  <si>
    <t>KITCAT LATA DEBONED - TUNA &amp; ANCHOVY 80GR</t>
  </si>
  <si>
    <t>KETUNPET CACHORRO 10KG</t>
  </si>
  <si>
    <t>KETUNPET ADULTO RAZA PEQUEÑA 3K</t>
  </si>
  <si>
    <t>JW NAIL TRIMMER DE LUXE</t>
  </si>
  <si>
    <t>KETUNPET ADULTO MEDIANO 3KG</t>
  </si>
  <si>
    <t>KETOSTOP 10% 50ML INY R/R</t>
  </si>
  <si>
    <t>KETOPROFENO 10% SOL INY 50ML</t>
  </si>
  <si>
    <t>KETAPANG hojas de la almendra de la India (SET 6 SACHET DE 5 GR)</t>
  </si>
  <si>
    <t>KITCAT 4X15G PLUS+SKIN &amp; COAT (CHICKEN)</t>
  </si>
  <si>
    <t>KITCAT 4X15G PLUS+JOINT CARE (TUNA)</t>
  </si>
  <si>
    <t>KITCAT 4X15G PLUS+JOINT CARE (CHICKEN)</t>
  </si>
  <si>
    <t>KITCAT 4X15G PLUS+COLLAGEN CARE (TUNA)</t>
  </si>
  <si>
    <t>KITCAT 4X15G PLUS+COLLAGEN CARE (CHICKEN)</t>
  </si>
  <si>
    <t>KITCAT 4X15G CHICKEN &amp; SMOKED FISH</t>
  </si>
  <si>
    <t>KITCAT 4X15G CHICKEN &amp; SCALLOP</t>
  </si>
  <si>
    <t>KITCAT 4X15G CHICKEN &amp; SALMON</t>
  </si>
  <si>
    <t>JW TUMBLE TEEZ M ROJO</t>
  </si>
  <si>
    <t>JW TUMBLE TEEZ L AZUL</t>
  </si>
  <si>
    <t>JW PEINETA ROTATIVA L</t>
  </si>
  <si>
    <t>KETUNPET ADULTO RAZA PEQUEÑA 10KG</t>
  </si>
  <si>
    <t>JUGUETE TURBO DOG X 15 CM</t>
  </si>
  <si>
    <t>JUGUETE TURBO DOG SET 3 PELOTAS C/SONIDO</t>
  </si>
  <si>
    <t>JUGUETE TURBO DOG SET 3 PELOTAS 4CM C/ SONIDO</t>
  </si>
  <si>
    <t>JUGUETE WOODY CUERDA CON MADERA 20 CM</t>
  </si>
  <si>
    <t>JUGUETE TURBO DOG HUESO 23 CM</t>
  </si>
  <si>
    <t>JUGUETE TRONCO ELITE</t>
  </si>
  <si>
    <t>JUGUETE TRICERATOP + GOMA DE CAUCHO DISPENSADORA</t>
  </si>
  <si>
    <t>JUGUETE VARILLA GATO PELUCHES 46 CM</t>
  </si>
  <si>
    <t>JUGUETE VARILLA FLOR TERCIOPLEO VERDE 40CM</t>
  </si>
  <si>
    <t>JUGUETE VARILLA FLOR TERCIOPLEO ROSADO 40CM</t>
  </si>
  <si>
    <t>JUGUETE VARILLA DE GATO FORMA PECES 46 CM</t>
  </si>
  <si>
    <t>JUGUETE VARILLA DE GATO CON FIGURAS</t>
  </si>
  <si>
    <t>JUGUETE VARILLA CUNCUNA 45 CM</t>
  </si>
  <si>
    <t>JUGUETE TELA GATO CON LENTES CON SONAJERO (VERDE) 19CM</t>
  </si>
  <si>
    <t>Ave Diamante</t>
  </si>
  <si>
    <t>JUGUETE TELA DE PEZ CON CATNIP 20CM</t>
  </si>
  <si>
    <t>JUGUETE TELA CON HIERBA GATERA (ROJO) 17CM</t>
  </si>
  <si>
    <t>JUGUETE TELA CON HIERBA GATERA (BLANCO) 17CM</t>
  </si>
  <si>
    <t>JUGUETE TARRO PAPAS CON CATNIP (PC CHILI) 22x6 cm</t>
  </si>
  <si>
    <t>JUGUETE TARRO PAPAS CON CATNIP (PC BACON) 22x6 cm</t>
  </si>
  <si>
    <t>JUGUETE TURBO DOG SET 3 PELOTAS 4 CM</t>
  </si>
  <si>
    <t>JUGUETE TURBO DOG RUGBY 8 CM</t>
  </si>
  <si>
    <t>JUGUETE TURBO DOG PESA 18 CM</t>
  </si>
  <si>
    <t>JUGUETE TURBO DOG PELOTA 6.35 CM (3 POR ENVASE)</t>
  </si>
  <si>
    <t>JUGUETE RATONCITOS PELUDOS</t>
  </si>
  <si>
    <t>Juguete ratón plumas</t>
  </si>
  <si>
    <t>JUGUETE RATON O CERDITO DE RATTAN 15CM</t>
  </si>
  <si>
    <t>JUGUETE RATON CON VIBRACION 8X6CM</t>
  </si>
  <si>
    <t>JUGUETE RATON CON PLUMAS</t>
  </si>
  <si>
    <t>JUGUETE RATON CON COLA Y TUBO CATNIP</t>
  </si>
  <si>
    <t>JUGUETE TELA GATO CON LENTES CON SONAJERO (NARANJA) 19CM</t>
  </si>
  <si>
    <t>BANDANAS CON DISEÑOS M AMARILLO CON DINOSAURIOS</t>
  </si>
  <si>
    <t>BANDANA 90CM (INCLUYE GEL HIDROFILICO)</t>
  </si>
  <si>
    <t>BANANO COMPARTIMIENTOS, CORREA ANTITIRONES Y COLLAR (120-190CM)</t>
  </si>
  <si>
    <t>BOZAL CUERO PUAS</t>
  </si>
  <si>
    <t>BOZAL CUERO CANASTILLO MEDIANO</t>
  </si>
  <si>
    <t>BOZAL CUERO CANASTILLO GRANDE</t>
  </si>
  <si>
    <t>BOZAL CUERO CANASTILLO CHICO</t>
  </si>
  <si>
    <t>ARNES CON CORREA PARA PERROS Y GATOS S BEIGE</t>
  </si>
  <si>
    <t>ARNES CON CORREA PARA PERROS Y GATOS S AMARILLO</t>
  </si>
  <si>
    <t>ARNES CON CORREA PARA PERROS Y GATOS M VERDE</t>
  </si>
  <si>
    <t>ARNES CON CORREA PARA PERROS Y GATOS M CELESTE</t>
  </si>
  <si>
    <t>ARNES CON CORREA PARA PERROS Y GATOS M BEIGE</t>
  </si>
  <si>
    <t>ARNES CON CORREA PARA PERROS Y GATOS M AMARILLO</t>
  </si>
  <si>
    <t>JUGUETE VARA CON PLUMAS Y CATNIP (46CM)</t>
  </si>
  <si>
    <t>ARNES CON LUZ USB TALLA L (GRIS)</t>
  </si>
  <si>
    <t>ARNES CON LUZ USB TALLA L (AZUL)</t>
  </si>
  <si>
    <t>KEEP OFF SPRAY FOR CAT</t>
  </si>
  <si>
    <t>JUGUETE WARRIOR CEPILLO DENTAL 360° L</t>
  </si>
  <si>
    <t>JUGUETE WARRIOR AYUDA A ELIMINAR SARRO</t>
  </si>
  <si>
    <t>Juguete varilla raton mosaico 47cm</t>
  </si>
  <si>
    <t>JUGUETE VARILLA PEZ MOSAICO ( VARA 40 CM)</t>
  </si>
  <si>
    <t>JUGUETES DE HIERBA GATERA PARA GATOS (4 MALLAS)</t>
  </si>
  <si>
    <t>JUGUETES BLOCKES DE LOOFAH</t>
  </si>
  <si>
    <t>JUGUETE ZORRO DE PELUCHE PARA MASCOTAS CON CUERDA 30x27 CM</t>
  </si>
  <si>
    <t>JUGUETE ZORRO DE FELPA PARA MASCOTAS 19x27 CM</t>
  </si>
  <si>
    <t>JUGUETE ZANAHORIA LOOFAH 4.5''</t>
  </si>
  <si>
    <t>JUGUETE VARILLA CONEJITO GRIS 40CM</t>
  </si>
  <si>
    <t>JUGUETE VARILLA CON CATNIP</t>
  </si>
  <si>
    <t>JUGUETE VARILLA CASCABELES CON PLUMAS 46 CM</t>
  </si>
  <si>
    <t>ARNES CON LUZ USB TALLA L (ROJO)</t>
  </si>
  <si>
    <t>FILTRO INTERNO SUNSUN 300 L/H</t>
  </si>
  <si>
    <t>FILTRO INTERNO SUNSUN 200 LTS</t>
  </si>
  <si>
    <t>FILTRO INTERNO SERIE JP 1600 L/H</t>
  </si>
  <si>
    <t>FILTRO INTERNO SERIE JP 1200 L/H 2</t>
  </si>
  <si>
    <t>FILTRO INTERNO SERIE JP 1200 L/H</t>
  </si>
  <si>
    <t>FILTRO INTERNO PARA ACUARIO 3 EN 1 6W (600L/H)</t>
  </si>
  <si>
    <t>FILTRO INTERNO PARA ACUARIO 3 EN 1 4W (450L/H)</t>
  </si>
  <si>
    <t>FILTRO INTERNO MULTIFUNCIONAL SUNSUN 900L/H 5W</t>
  </si>
  <si>
    <t>FILTRO INTERNO MULTIFUNCIONAL SUNSUN 8W 500L/H</t>
  </si>
  <si>
    <t>FILTRO INTERNO HAILES 200 L / H</t>
  </si>
  <si>
    <t>FILTRO INTERNO HAILEA 400 L/H</t>
  </si>
  <si>
    <t>FILTRO INTERNO HAILEA 200 LITROS /H</t>
  </si>
  <si>
    <t>FILTRO INTERNO DOPHIN F-800 480/410 L/H</t>
  </si>
  <si>
    <t>FILTRO INTERNO DOPHIN F-2000 780/750 L/H</t>
  </si>
  <si>
    <t>HUESO CARTÍLAGO AHUMADO 5"</t>
  </si>
  <si>
    <t>FILTRO INTERNO DOPHIN 980 1550/1500 L/H</t>
  </si>
  <si>
    <t>FILTRO INTERNO DOPHIN 960 1030/900 L/H</t>
  </si>
  <si>
    <t>FILTRO INTERNO DOPHIN 950 470/480 L/H</t>
  </si>
  <si>
    <t>FILTRO INTERNO DOPHIN 350 - 200 L/H</t>
  </si>
  <si>
    <t>FILTRO INTERNO DOPHIN 250-240 L/H</t>
  </si>
  <si>
    <t>FILTRO INTERNO DOPHIN 210-200 L/H</t>
  </si>
  <si>
    <t>FILTRO INTERNO C/ACTIVO HAILEA 1000 L/H</t>
  </si>
  <si>
    <t>FILTRO INTERNO ADA 1800 L/H 2 ETAPAS</t>
  </si>
  <si>
    <t>FILTRO INTERNO ADA 1200 L/H</t>
  </si>
  <si>
    <t>FILTRO INTERNO ACUARIO 9W-800L/H</t>
  </si>
  <si>
    <t>FILTRO INTERNO ACUARIO 3 EN 1 6W (1500 L/H)</t>
  </si>
  <si>
    <t>FILTRO INTERNO ACUARIO 3 EN 1 4W (800 L/H)</t>
  </si>
  <si>
    <t>FILTRO INTERNO ACUARIO 3 EN 1 45W (3000 L/H)</t>
  </si>
  <si>
    <t>FILTRO INTERNO ACUARIO 3 EN 1 40W (2450 L/H)</t>
  </si>
  <si>
    <t>FILTRO INTERNO DOPHIN F-1200 710/580 L/H</t>
  </si>
  <si>
    <t>ARTSY CAT COLLAR ZEECAT</t>
  </si>
  <si>
    <t>ARNES WONDERDOG XS ROJO</t>
  </si>
  <si>
    <t>ARNES WONDERDOG XS NEGRO</t>
  </si>
  <si>
    <t>Arnes para Perro en V Azul</t>
  </si>
  <si>
    <t>ARNES PARA PERRO 2 HEBILLAS TALLA S - ROSADO</t>
  </si>
  <si>
    <t>ARNES PARA PERRO 2 HEBILLAS TALLA S - NARANJO</t>
  </si>
  <si>
    <t>ARNES PARA PERRO 2 HEBILLAS TALLA S - MORADO</t>
  </si>
  <si>
    <t>ARNES PARA PERRO 2 HEBILLAS TALLA S - GRIS</t>
  </si>
  <si>
    <t>ARNES PARA PERRO 2 HEBILLAS TALLA S - CELESTE</t>
  </si>
  <si>
    <t>ARNES PARA PERRO 2 HEBILLAS TALLA M - ROSADO</t>
  </si>
  <si>
    <t>ARNES PARA PERROS DE SERVICIO 2 HEBILLAS L ROSADO</t>
  </si>
  <si>
    <t>ARNES PARA PERROS DE SERVICIO 2 HEBILLAS L ROJO</t>
  </si>
  <si>
    <t>ARNES PARA PERROS DE SERVICIO 2 HEBILLAS L NEGRO</t>
  </si>
  <si>
    <t>FILTRO INTERNO SUNSUN 450 L/H</t>
  </si>
  <si>
    <t>FIT ADULTO RAZA PEQUEÑA 3 KG</t>
  </si>
  <si>
    <t>FIT 7.5 KG ROYAL CANIN</t>
  </si>
  <si>
    <t>FIT 1.5 KG ROYAL CANIN</t>
  </si>
  <si>
    <t>FIPRONIL 0.25% SPRAY 50 ML</t>
  </si>
  <si>
    <t>FIPRODRAG PERROS 20 - 40 KG PIPETA</t>
  </si>
  <si>
    <t>FINGERBRUSH SET BIOLINE</t>
  </si>
  <si>
    <t>FILTRO UV INTERNO SUNSUN 800L/H LUZ UV 8W</t>
  </si>
  <si>
    <t>FILTRO UV INTERNO SUNSUN 800 L/H</t>
  </si>
  <si>
    <t>FILTRO UV INTERNO SUNSUN 500 L/H</t>
  </si>
  <si>
    <t>FILTRO UV EXTERNO CANISTER 2000 L/H sunsun</t>
  </si>
  <si>
    <t>FILTRO TRIANGULAR REGULABLE</t>
  </si>
  <si>
    <t>FILTRO SKIMMER 5,5 W (Incluye bomba de agua) 500 L/H</t>
  </si>
  <si>
    <t>FILTRO REPUESTO ARIEL</t>
  </si>
  <si>
    <t>FILTRO MINI CANISTER 320 L/H (5 W)</t>
  </si>
  <si>
    <t>FILTRO INTERNO SUNSUN 880 L/H</t>
  </si>
  <si>
    <t>ARNES PARA PERROS DE SERVICIO 2 HEBILLAS L MULTICOLOR</t>
  </si>
  <si>
    <t>FILTRO CASCADA DE ALTO VOLUMEN SUNSUN 500 L/H 6W</t>
  </si>
  <si>
    <t>FILTRO CANISTER EXTERNO UV 9W 3000L/HR</t>
  </si>
  <si>
    <t>FILTRO CANISTER EXTERNO UV 7W 1000L/HR</t>
  </si>
  <si>
    <t>FILTRO CANISTER 750 LT CON LUZ UV</t>
  </si>
  <si>
    <t>FILTRO CANISTER 1000 L/H Y UV 9W</t>
  </si>
  <si>
    <t>FILTRO CANISTER 1000 L/H Y UV 5W</t>
  </si>
  <si>
    <t>FILTRO 6W CAUDAL</t>
  </si>
  <si>
    <t>FILTRO 32W CAUDAL</t>
  </si>
  <si>
    <t>FILTRO 3 ETAPAS 18W CERAMICA</t>
  </si>
  <si>
    <t>FILTRO 3 ETAPAS 18W BIBIOLAS Y CERAMICA</t>
  </si>
  <si>
    <t>FILTRO 2 ETAPAS 18W</t>
  </si>
  <si>
    <t>FILTRO 2 ETAPAS</t>
  </si>
  <si>
    <t>FILTRO 18W CAUDAL</t>
  </si>
  <si>
    <t>FILTRO 15W</t>
  </si>
  <si>
    <t>FILTRO INTERNO ACUARIO 3 EN 1 30W (1700 L/H)</t>
  </si>
  <si>
    <t>FILTERLAV 700 GR LAVA STONE</t>
  </si>
  <si>
    <t>FIGURUTAS CON PETALOS DE FLORES</t>
  </si>
  <si>
    <t>FERTTIL PLANT 1.8 KG</t>
  </si>
  <si>
    <t>FERTIL PLANT 4 LT 3,2 KG</t>
  </si>
  <si>
    <t>FERTIL PLANT 2,4 LT 1,8 KG</t>
  </si>
  <si>
    <t>FERTIL PEAT PLATES</t>
  </si>
  <si>
    <t>FERRET 400 GRS TROPIFIT</t>
  </si>
  <si>
    <t>FEMUR CERDO SIMPLE (20 CM APROX)</t>
  </si>
  <si>
    <t>FEMUR CERDO PACK 2 U (390 GR APROX)</t>
  </si>
  <si>
    <t>FELOCELL 3 PVO INY X 1 ML</t>
  </si>
  <si>
    <t>FELLINI CREAMY ALIM HUM PAVO LIGHT 15 GR X 4 SACHET</t>
  </si>
  <si>
    <t>FELLINI CREAMY ALIM HUM PATO Y CRANBERRY 15 GR X 4 SACHET</t>
  </si>
  <si>
    <t>FELLINI CREAMY ALIM HUM MIX ATUN Y CANGREJO 15 GR X 4 SACH</t>
  </si>
  <si>
    <t>FELLINI ALIM HUM POLLO EN SALSA X 85 GR</t>
  </si>
  <si>
    <t>FELLINI ALIM HUM MIX ATUN Y SALMON EN SALSA X 85 GR</t>
  </si>
  <si>
    <t>FILTERWATTE 100 GR ZIG-ZAG SYNTHETIC FIBRE</t>
  </si>
  <si>
    <t>FILTRO INTERNO ACUARIO 25W-1750L/H</t>
  </si>
  <si>
    <t>FILTRO INTERNO ACUARIO 13W-1000L/H</t>
  </si>
  <si>
    <t>FILTRO INTERNO 690 L/ H 7 - 250 LTS</t>
  </si>
  <si>
    <t>FILTRO INTERNO 3 ETAPAS MARCA ADA 1.800 L/H (25W)</t>
  </si>
  <si>
    <t>FILTRO INTERNO 2 ETAPAS 1.200 L/H (20W)</t>
  </si>
  <si>
    <t>FILTRO HANGING CANISTER CF300</t>
  </si>
  <si>
    <t>FILTRO EXTERNO UV 2200 L/H (60 W) INCLUYE MATERIAL</t>
  </si>
  <si>
    <t>FILTRO EXTERNO UV 1800 L/H (45 W) INCLUYE MATERIAL</t>
  </si>
  <si>
    <t>FILTRO EXTERNO CANISTER UV 9W 1200 L/HR</t>
  </si>
  <si>
    <t>FILTRO EXTERNO CANISTER 850 L/H</t>
  </si>
  <si>
    <t>FILTRO EXTERNO CANISTER 650 L/H DOPHIN</t>
  </si>
  <si>
    <t>FILTRO EXTERNO CANISTER 1400 L/H DOPHIN</t>
  </si>
  <si>
    <t>FILTRO EXTERNO CANISTER 1200 L/H</t>
  </si>
  <si>
    <t>Filtro cascada de alto volumen SUNSUN 6</t>
  </si>
  <si>
    <t>FILTRO EXTERNO 800 L/H (18 W) INCLUTE MATERIAL FIL</t>
  </si>
  <si>
    <t>FILTRO ESPONJA CON BOMBA S</t>
  </si>
  <si>
    <t>FILTRO ESPONJA CHICO</t>
  </si>
  <si>
    <t>FILTRO DE FUENTE DR113</t>
  </si>
  <si>
    <t>FILTRO CON VARA 2W CAUDAL MAX 300LT</t>
  </si>
  <si>
    <t>FILTRO CON VARA 2W</t>
  </si>
  <si>
    <t>FILTRO CON LUZ UV. MARCA ADA 1.200 L/H (25 W)</t>
  </si>
  <si>
    <t>FILTRO CON BARRA 5W</t>
  </si>
  <si>
    <t>Filtro cascada sunsun 8 W 600 L/H</t>
  </si>
  <si>
    <t>Filtro cascada sunsun 5 W 400 L/H</t>
  </si>
  <si>
    <t>Filtro cascada sunsun 2 W</t>
  </si>
  <si>
    <t>FILTRO CASCADA DOPHIN H100</t>
  </si>
  <si>
    <t>FILTRO CASCADA DOPHIN 580 L/H</t>
  </si>
  <si>
    <t>FILTRO CASCADA DOPHIN 190 L/H</t>
  </si>
  <si>
    <t>FILTRO CASCADA DOPHIN 1020 L/H</t>
  </si>
  <si>
    <t>FILTRO EXTERNO CANISTER 1000 L/H</t>
  </si>
  <si>
    <t>FLOTADOR PARA PERROS TALLA S</t>
  </si>
  <si>
    <t>FLOTADOR PARA PERROS TALLA M</t>
  </si>
  <si>
    <t>Flotador para perros Sirena S</t>
  </si>
  <si>
    <t>Flotador para perros Sirena M</t>
  </si>
  <si>
    <t>Flotador para perros Sirena L</t>
  </si>
  <si>
    <t>Arnes para Perro en V Negro</t>
  </si>
  <si>
    <t>ARNES PARA GATO DISEÑO ANIMALES S</t>
  </si>
  <si>
    <t>ARNES WONDERDOG XS MORADO</t>
  </si>
  <si>
    <t>ARNES WONDERDOG XS MILITAR</t>
  </si>
  <si>
    <t>ARNES WONDERDOG XS FIGURAS NEGRO</t>
  </si>
  <si>
    <t>ARNES WONDERDOG XS DISEÑO ROJO</t>
  </si>
  <si>
    <t>ARTSY LEASH SMALL ZEEDOG</t>
  </si>
  <si>
    <t>ARNES WONDERDOG XS CAMUFLAJE CELESTE</t>
  </si>
  <si>
    <t>ARNES WONDERDOG XS AZUL</t>
  </si>
  <si>
    <t>ARNES+TRALLA XS (WONDER DOG) ROSADO</t>
  </si>
  <si>
    <t>ARNES+TRALLA XS (WONDER DOG) MULTICOLOR</t>
  </si>
  <si>
    <t>ARNES+TRALLA XS (WONDER DOG) AZUL</t>
  </si>
  <si>
    <t>BRIT PATE Y MEAT TURKEY 800G</t>
  </si>
  <si>
    <t>Brit Care Dog Show Champion 3 KG</t>
  </si>
  <si>
    <t>BRIT CARE DOG SENSITIVE VENISON 3K</t>
  </si>
  <si>
    <t>BRIT CARE DOG SENSITIVE VENISON 12K</t>
  </si>
  <si>
    <t>ARNES PARA GATO DISEÑO ANIMALES M</t>
  </si>
  <si>
    <t>ARNES PARA CONEJO PEQUEÑO</t>
  </si>
  <si>
    <t>ARNES PARA CONEJO</t>
  </si>
  <si>
    <t>ARNES ONDULADO CON TRAILLA M</t>
  </si>
  <si>
    <t>ARNES ONDULADO CON TRAILLA</t>
  </si>
  <si>
    <t>ARNES WONDERDOG XS CAMUFLAJE CUADRADO</t>
  </si>
  <si>
    <t>FUENTE DE AGUA PARA GATOS EN FORMA DE FLOR 1.6 LT NARANJA</t>
  </si>
  <si>
    <t>FUENTE DE AGUA PARA GATOS CON LUZ LED</t>
  </si>
  <si>
    <t>FUENTE DE AGUA ELECTRICA 100% ACERO INOX</t>
  </si>
  <si>
    <t>FUENTE DE AGUA (18X18X16CM) 2L. USB GRIS</t>
  </si>
  <si>
    <t>FUENTE DE AGUA (18X18X16CM) 2L. USB AZUL</t>
  </si>
  <si>
    <t>FUENTE AGUA MASCOTAS FLOR (INCLUYE SENSOR DE AGUA)</t>
  </si>
  <si>
    <t>FUENTE AGUA ESPIRAL 3 LTS ( INCLUYE SENSOR NIVEL DE AGUA)</t>
  </si>
  <si>
    <t>FUENTE AGUA ESPIRAL 3 LTS</t>
  </si>
  <si>
    <t>FRUIT SNACKS TREATS MANZANA 227 GR</t>
  </si>
  <si>
    <t>FRUIT SNACKS TREATS CRAMBERRIES 227 GR</t>
  </si>
  <si>
    <t>FURMASTER L PELO CORTO PERRO</t>
  </si>
  <si>
    <t>FRUIT SMAKER FOR CANARY 1 UN</t>
  </si>
  <si>
    <t>FRUIT SMAKER BOX FOR BUDGIE</t>
  </si>
  <si>
    <t>FROST PUPPY SB 2.5 KG</t>
  </si>
  <si>
    <t>FLOTADOR PARA PERROS TIBURON L</t>
  </si>
  <si>
    <t>FROST HUESO DENTAL</t>
  </si>
  <si>
    <t>FROST CAT INDOOR 10.1 KG</t>
  </si>
  <si>
    <t>FRISBEE MASCOTAS</t>
  </si>
  <si>
    <t>FRIGOGEL 390ML</t>
  </si>
  <si>
    <t>FUENTE DE AGUA PARA MASCOTA 1 LT</t>
  </si>
  <si>
    <t>FUENTE DE AGUA PARA GATOS SIN LUZ LED</t>
  </si>
  <si>
    <t>FOSFORO PLANTMIX 250ML</t>
  </si>
  <si>
    <t>FOREST FRUITS DROPS FOR RODENTS &amp; RABBIT 75g</t>
  </si>
  <si>
    <t>FONDO DE ACUARIO DOBLE 15'' X 15</t>
  </si>
  <si>
    <t>FONDO ACUARIO SIMPLE 24" DE ALTURA</t>
  </si>
  <si>
    <t>FONDO ACUARIO E 50 CM X 15 M</t>
  </si>
  <si>
    <t>FONDO ACUARIO E 30 CM X 15 M</t>
  </si>
  <si>
    <t>FONDO ACUARIO DOBLE 24" DE ALTURA DISEÑO PLANTAS Y CORAL</t>
  </si>
  <si>
    <t>FLOTADOR PARA PERROS TIBURON S</t>
  </si>
  <si>
    <t>FLOTADOR PARA PERROS TIBURON M</t>
  </si>
  <si>
    <t>FROST PUPPY LB 15 KG</t>
  </si>
  <si>
    <t>ARNES PARA PERRO 2 HEBILLAS TALLA L - CELESTE</t>
  </si>
  <si>
    <t>ARNES PARA HURON</t>
  </si>
  <si>
    <t>ARNES PARA HAMSTER CON CADENA</t>
  </si>
  <si>
    <t>ARNES PARA HAMSTER</t>
  </si>
  <si>
    <t>ARNES PARA GATOS GRANDES</t>
  </si>
  <si>
    <t>ARNES PARA GATOS DISEÑOS PUNTO S 1CM X 120CM</t>
  </si>
  <si>
    <t>ARNES PARA GATOS DISEÑOS PUNTO M 1.5CM X 120CM</t>
  </si>
  <si>
    <t>Arnes para Perro en V Rojo</t>
  </si>
  <si>
    <t>FIT HUESOS PAPAS FRITAS X 20 UNID</t>
  </si>
  <si>
    <t>FIT HUESOS DONUTS X 1 UNID</t>
  </si>
  <si>
    <t>FIT HUESOS CUCHUFLI X 5 UNID</t>
  </si>
  <si>
    <t>ARNES MONSTRUO TALLA XL (ROSADO)</t>
  </si>
  <si>
    <t>FIT HUESITOS SABORES X 10</t>
  </si>
  <si>
    <t>FIT GALLETAS PARA PERRO SABOR CARNE 400G</t>
  </si>
  <si>
    <t>FIT GALLETA GATO CANGREJO 100G</t>
  </si>
  <si>
    <t>FIT FORMULA PLAY DISCO VOLADOR</t>
  </si>
  <si>
    <t>FIT FORMULA CACHORRO PERRO 10 + 1 KG</t>
  </si>
  <si>
    <t>ARNES PARA PERROS DE SERVICIO 2 HEBILLAS S MORADO</t>
  </si>
  <si>
    <t>ARNES PARA PERROS DE SERVICIO 2 HEBILLAS S FUCSIA</t>
  </si>
  <si>
    <t>ARNES PARA PERROS DE SERVICIO 2 HEBILLAS S CELESTE</t>
  </si>
  <si>
    <t>BRIT PREMIUM BY NATURE JUNIOR MEDIUM 3 KG</t>
  </si>
  <si>
    <t>BRIT CRUNCHY SNACK INSECTS WITH TURKEY 200 GR</t>
  </si>
  <si>
    <t>BRIT PREMIUM BY NATURE CAT ADULT SALMON 8K</t>
  </si>
  <si>
    <t>BRIT PREMIUM BY NATURE ADULT SMALL 8 KG</t>
  </si>
  <si>
    <t>BRIT PREMIUM BY NATURE ADULT LARGE 3 KG</t>
  </si>
  <si>
    <t>BRIT PREMIUM BY NATURE ADULT LARGE 15 KG</t>
  </si>
  <si>
    <t>FIT HUESOS BARRAS DE PREMIOS X 10 UNID</t>
  </si>
  <si>
    <t>ARNES MONSTRUO TALLA XL (ROJO)</t>
  </si>
  <si>
    <t>ARNES PARA PERRO 2 HEBILLAS TALLA M - NARANJO</t>
  </si>
  <si>
    <t>ARNES PARA PERRO 2 HEBILLAS TALLA M - MORADO</t>
  </si>
  <si>
    <t>ARNES PARA PERRO 2 HEBILLAS TALLA M - GRIS</t>
  </si>
  <si>
    <t>ARNES PARA PERRO 2 HEBILLAS TALLA M - CELESTE</t>
  </si>
  <si>
    <t>Flotador para Perro Pequeño Gris</t>
  </si>
  <si>
    <t>Flotador para Perro Pequeño Azul</t>
  </si>
  <si>
    <t>ARNES PARA PERRO 2 HEBILLAS TALLA L - GRIS</t>
  </si>
  <si>
    <t>FLORAFIX PET PASTA PROBIOTICO 15 GR</t>
  </si>
  <si>
    <t>FLOR CON CATNIP VERDE FLUOR</t>
  </si>
  <si>
    <t>FLOR CON CATNIP NARANJA</t>
  </si>
  <si>
    <t>FLOR CON CATNIP MORADO</t>
  </si>
  <si>
    <t>FLOR CON CATNIP CELESTE</t>
  </si>
  <si>
    <t>FLOR CON CATNIP</t>
  </si>
  <si>
    <t>FLEXADIN ADVANCED 60 COMP</t>
  </si>
  <si>
    <t>FIV AB / FELV AG X1 TEST BIONOTE</t>
  </si>
  <si>
    <t>FIT SNACK FILETE POLLO</t>
  </si>
  <si>
    <t>FIT SNACK DENTAL MIX PERROS 200 GRS</t>
  </si>
  <si>
    <t>ARNES PARA PERROS DE SERVICIO 2 HEBILLAS L MORADO</t>
  </si>
  <si>
    <t>ARNES PARA PERROS DE SERVICIO 2 HEBILLAS L FUCSIA</t>
  </si>
  <si>
    <t>ARNES PARA PERROS DE SERVICIO 2 HEBILLAS L CELESTE</t>
  </si>
  <si>
    <t>EESTACION BEBEDERO Y AGUA 750 ML</t>
  </si>
  <si>
    <t>EASY CLEAN 8 KGS 10 LITROS LIMON PRESENTACION DE 24 KG</t>
  </si>
  <si>
    <t>EASY CLEAN 4 KGS 5 LITROS MANZANA PRESENTACION DE 24 KG</t>
  </si>
  <si>
    <t>ARNES PECHERA PARA PERROS TALLA L ROSA</t>
  </si>
  <si>
    <t>ARNES PECHERA PARA PERROS TALLA L ROJO</t>
  </si>
  <si>
    <t>ARNES PECHERA PARA PERROS TALLA L AZUL</t>
  </si>
  <si>
    <t>ARNES PARA PERROS DE SERVICIO 2 HEBILLAS XS FUCSIA</t>
  </si>
  <si>
    <t>ARNES PARA PERROS DE SERVICIO 2 HEBILLAS XS CELESTE</t>
  </si>
  <si>
    <t>ARNES PARA PERROS DE SERVICIO 2 HEBILLAS XL VERDE</t>
  </si>
  <si>
    <t>ARNES PARA PERROS DE SERVICIO 2 HEBILLAS XL ROSADO</t>
  </si>
  <si>
    <t>ARNES PARA PERROS DE SERVICIO 2 HEBILLAS XL ROJO</t>
  </si>
  <si>
    <t>FELLINI ALIM HUM CORDERO EN SALSA X 85 GR</t>
  </si>
  <si>
    <t>ARNES PARA PERROS DE SERVICIO 2 HEBILLAS XL MORADO</t>
  </si>
  <si>
    <t>ARNES PARA PERROS DE SERVICIO 2 HEBILLAS XL FUCSIA</t>
  </si>
  <si>
    <t>ARNES PARA PERROS DE SERVICIO 2 HEBILLAS XL CELESTE</t>
  </si>
  <si>
    <t>ARNES PECHERA + CINT DE SEGURIDAD S</t>
  </si>
  <si>
    <t>ARNES PECHERA + CINT DE SEGURIDAD M</t>
  </si>
  <si>
    <t>ARNES PECHERA + CINT DE SEGURIDAD L</t>
  </si>
  <si>
    <t>ARNES PARA PERROS DE SERVICIO 2 HEBILLAS XXS VERDE</t>
  </si>
  <si>
    <t>EASY CLEAN 20KG MANZANA</t>
  </si>
  <si>
    <t>EASY CLEAN 20KG LIMON</t>
  </si>
  <si>
    <t>EASY CLEAN 20KG JAZMIN</t>
  </si>
  <si>
    <t>EASOTIC SUSPENSION OTICA 10 ML</t>
  </si>
  <si>
    <t>EARTHBORN MEADOW FEAST WITH LAMB MEAL 12 KG</t>
  </si>
  <si>
    <t>DUO PACK 2EN1 SUPERVIT 12G(SUPER ANTICLORO)</t>
  </si>
  <si>
    <t>Duck stick (100g) 6 a 7 und la bolsa</t>
  </si>
  <si>
    <t>ARNES PARA PERROS DE SERVICIO 2 HEBILLAS XL NEGRO</t>
  </si>
  <si>
    <t>ESCALADA PARA HASMTER</t>
  </si>
  <si>
    <t>ERIZO DE TIERRA</t>
  </si>
  <si>
    <t>EQUILIBRIO RAZA PEQUEÑA 7.5 K</t>
  </si>
  <si>
    <t>EQUILIBRIO PUPPY RAZA PEQUEÑA 2K</t>
  </si>
  <si>
    <t>EQUILIBRIO MATURE RAZA PEQUEÑA 2 K</t>
  </si>
  <si>
    <t>EQUILIBRIO GATO KITTEN 7.5 K</t>
  </si>
  <si>
    <t>EQUILIBRIO GATO FILHOTES 8,25 K</t>
  </si>
  <si>
    <t>EQUILIBRIO GATO ADULTO SALMON 1.5 K</t>
  </si>
  <si>
    <t>EQUILIBRIO GATO ADULTO HAIRBALL1.5 K</t>
  </si>
  <si>
    <t>EQUILIBRIO GATO ADULTO HAIRBALL 8.25K</t>
  </si>
  <si>
    <t>EQUILIBRIO GATO ADULTO HAIRBALL 7.5 K</t>
  </si>
  <si>
    <t>EQUILIBRIO GATO ADULTO CASTRADO 1 A 7 AÑOS 1.5 K</t>
  </si>
  <si>
    <t>EQUILIBRIO FILHOTES 15K</t>
  </si>
  <si>
    <t>EQUILIBRIO CACHORROS LARGE BREED 15K</t>
  </si>
  <si>
    <t>EGG SMAKER FOR BUDGIE</t>
  </si>
  <si>
    <t>EQUILIBRIO ADULT LARGE BREED 15K</t>
  </si>
  <si>
    <t>EQUILIBRIO ADULT ALL BREEDS LIGHT 15K</t>
  </si>
  <si>
    <t>epinefrina 1 mg/ml sd</t>
  </si>
  <si>
    <t>ENTERITO PARA MASCOTAS</t>
  </si>
  <si>
    <t>ENTEREX 1 SOBRE</t>
  </si>
  <si>
    <t>ENROMIC 10% SOL INY 100 ML</t>
  </si>
  <si>
    <t>ENERGIA VITAL X 30 COMP - MAYORS</t>
  </si>
  <si>
    <t>ENANO OREJAS CAIDAS</t>
  </si>
  <si>
    <t>ELLA COLLAR EXTRA SMALL ZEEDOG</t>
  </si>
  <si>
    <t>ELLA COLLAR CAT</t>
  </si>
  <si>
    <t>ELLA AIR MESH PLUS HARNESS EXTRA SMALL</t>
  </si>
  <si>
    <t>ELIMINADOR DE OLORES MASCOTAS 5 LT</t>
  </si>
  <si>
    <t>ELIMINADOR DE OLORES MASCOTAS 22 LT BIDON</t>
  </si>
  <si>
    <t>Electromic Plus x 50 GRS</t>
  </si>
  <si>
    <t>EHLIG ESPUMA SECA SPRAY 330ML</t>
  </si>
  <si>
    <t>EQUILIBRIO ADULTO RAZA PEQUEÑA 7.5K</t>
  </si>
  <si>
    <t>DOYPACK COLAGEPET POLLO L 1 PCS</t>
  </si>
  <si>
    <t>DOYPACK COLAGEPET PATO M 3 PCS</t>
  </si>
  <si>
    <t>DOUXO S3 CALM MOUSSE PERROS Y GATOS 150ML</t>
  </si>
  <si>
    <t>DORAZEL PLUS 300 ML</t>
  </si>
  <si>
    <t>DOPHIN REPTILE HIGROMETRO</t>
  </si>
  <si>
    <t>DOPHIN PH2500 1300/1250 L/H ALTURA 235 CM BOMBA AG</t>
  </si>
  <si>
    <t>Arnes Police K9 Pro Abstracto Colores Talla XL</t>
  </si>
  <si>
    <t>Arnes Police K9 Pro Abstracto Colores Talla S</t>
  </si>
  <si>
    <t>Arnes Police K9 Pro Abstracto Colores Talla M</t>
  </si>
  <si>
    <t>ARNES PECHERA PARA PERROS TALLA L</t>
  </si>
  <si>
    <t>ARNES PECHERA M + TRAILLA C/B REFLEC</t>
  </si>
  <si>
    <t>CALCETINES PARA PERROS L - AZUL</t>
  </si>
  <si>
    <t>CALAFATE BLANCO O GRIS</t>
  </si>
  <si>
    <t>CAJITA PARA GATOS CON RASCADOR Y HIERBA GATERA</t>
  </si>
  <si>
    <t>Duck dumbbell (100g) 7 o 8 und la bolsa</t>
  </si>
  <si>
    <t>caja instrumental</t>
  </si>
  <si>
    <t>CAJA DE MATERNIDAD EXTERNA DOPHIN</t>
  </si>
  <si>
    <t>CAJA 36 ROLLOS BOLSAS PARA FECAS</t>
  </si>
  <si>
    <t>CAGE CLEAN LIMPIEZA JAULA</t>
  </si>
  <si>
    <t>Brit Premium by Nature Junior Large 3KG</t>
  </si>
  <si>
    <t>BRIT PREMIUM BY NATURE CAT STERILIZED LAMB 8K</t>
  </si>
  <si>
    <t>CADENA DE BOLAS DE HIERBA</t>
  </si>
  <si>
    <t>ARNES PECHERA L + TRAILLA C/B REFLEC</t>
  </si>
  <si>
    <t>ARNES PECHERA ESCOSES XS + TRAILLA</t>
  </si>
  <si>
    <t>ARNES PECHERA ESCOSES XL</t>
  </si>
  <si>
    <t>ARNES PECHERA ESCOSES S + TRAILLA</t>
  </si>
  <si>
    <t>ARNES PECHERA ESCOSES M + TRAILLA</t>
  </si>
  <si>
    <t>ARNES PECHERA + CINT DE SEGURIDAD XL</t>
  </si>
  <si>
    <t>ARNES PECHO WONDER DOG DISEÑOS TROPICALES M</t>
  </si>
  <si>
    <t>ARNES PECHO WONDER DOG DISEÑOS TROPICALES L</t>
  </si>
  <si>
    <t>Caja Josera Gift</t>
  </si>
  <si>
    <t>DUCK &amp; PEAR 2KG ACANA PERRO</t>
  </si>
  <si>
    <t>DRYQUAT (amonio-cuaternario) 100-ml</t>
  </si>
  <si>
    <t>DRYQUAT (amonio-cuaternario) 1-LT</t>
  </si>
  <si>
    <t>DRY FOAM SHAMPOO</t>
  </si>
  <si>
    <t>DROPS SURTIDOS VERSIÓN ECONÓMICA (YOGURT) 75 GR</t>
  </si>
  <si>
    <t>DROP WITH MILK AND VITAMINS 200 GR</t>
  </si>
  <si>
    <t>DROP WITH HAM AND VITAMINS 75 GR</t>
  </si>
  <si>
    <t>DROP WITH HAM AND VITAMINS 200 GR</t>
  </si>
  <si>
    <t>DROP WITH CHOCOLATE AND VITAMINS 75 GR</t>
  </si>
  <si>
    <t>DROP WITH CHOCOLATE AND VITAMINS 200 GR</t>
  </si>
  <si>
    <t>DRONTAL PLUS PERROS HASTA 10 KG x 2 comp</t>
  </si>
  <si>
    <t>ARNES PECHERA S + TRAILLA C/B REFLEC</t>
  </si>
  <si>
    <t>ARNES PECHERA POLICE K9 - XXL - VERDE</t>
  </si>
  <si>
    <t>ARNES PECHERA POLICE K9 - XXL - ROSADO</t>
  </si>
  <si>
    <t>DRAGON BARBUDO</t>
  </si>
  <si>
    <t>ARNES PARA PERROS DE SERVICIO 2 HEBILLAS XXS MORADO</t>
  </si>
  <si>
    <t>ARNES PARA PERROS DE SERVICIO 2 HEBILLAS XXS FUCSIA</t>
  </si>
  <si>
    <t>ARNES PARA PERROS DE SERVICIO 2 HEBILLAS XXS CELESTE</t>
  </si>
  <si>
    <t>ARNES PARA PERROS DE SERVICIO 2 HEBILLAS XXL VERDE</t>
  </si>
  <si>
    <t>ARNES PARA PERROS DE SERVICIO 2 HEBILLAS XXL ROSADO</t>
  </si>
  <si>
    <t>ARNES PARA PERROS DE SERVICIO 2 HEBILLAS XXL ROJO</t>
  </si>
  <si>
    <t>ARNES PARA PERROS DE SERVICIO 2 HEBILLAS XXL NEGRO</t>
  </si>
  <si>
    <t>ARNES PARA PERROS DE SERVICIO 2 HEBILLAS XXL MORADO</t>
  </si>
  <si>
    <t>ARNES PECHERA POLICE K9 - L - NARANJO</t>
  </si>
  <si>
    <t>ARNES PECHERA PARA PERROS TALLA S</t>
  </si>
  <si>
    <t>ARNES PECHERA PARA PERROS TALLA M</t>
  </si>
  <si>
    <t>ARNES PECHERA PARA PERROS TALLA L VERDE</t>
  </si>
  <si>
    <t>DRONTAL GATOS X 2 COMPRIMIDOS CAJA</t>
  </si>
  <si>
    <t>DRONTAL GATOS 1 COMPRIMIDO SACHET</t>
  </si>
  <si>
    <t>DRAGXICILINA 250MG/5ML X 60ML ORAL</t>
  </si>
  <si>
    <t>ARNES PARA PERROS DE SERVICIO 2 HEBILLAS XXS NARANJA</t>
  </si>
  <si>
    <t>ARNES PARA PERROS DE SERVICIO 2 HEBILLAS S VERDE</t>
  </si>
  <si>
    <t>ARNES PARA PERROS DE SERVICIO 2 HEBILLAS S ROSADO</t>
  </si>
  <si>
    <t>ARNES PARA PERROS DE SERVICIO 2 HEBILLAS S ROJO</t>
  </si>
  <si>
    <t>ARNES PARA PERROS DE SERVICIO 2 HEBILLAS S NEGRO</t>
  </si>
  <si>
    <t>FAWNA PERROS CACHORROS SMALL 3KG</t>
  </si>
  <si>
    <t>FAWNA PERROS CACHORROS MEDIUM AND LARGE 15 KG</t>
  </si>
  <si>
    <t>FAWNA GATOS ADULTOS STERILIZED 3 KG</t>
  </si>
  <si>
    <t>FATBOY SOFT-WALK HARNESS MEDIUM ZEEDOG</t>
  </si>
  <si>
    <t>FATBOY SOFT-WALK HARNESS LARGE</t>
  </si>
  <si>
    <t>FATBOY RUFF LEASH SMALL</t>
  </si>
  <si>
    <t>FASHION DOG ORIGINAL 20LTS</t>
  </si>
  <si>
    <t>EYE CARE</t>
  </si>
  <si>
    <t>ESCALERA CON CAMPANA UNIPET</t>
  </si>
  <si>
    <t>EXPOSITOR SUPLEMENTO NUTRICIONAL SENIORS MEN FOR SAN</t>
  </si>
  <si>
    <t>EXPOSITOR SUPLEMENTO NUTRICIONAL RELAJACION MEN FOR SAN</t>
  </si>
  <si>
    <t>EXPOSITOR SUPLEMENTO NUTRICIONAL PIELES SENSIBLES MEN FOR SAN</t>
  </si>
  <si>
    <t>EXPOSITOR SUPLEMENTO NUTRICIONAL INTESTINAL MEN FOR SAN</t>
  </si>
  <si>
    <t>EXPOSITOR SUPLEMENTO NUTRICIONAL INMUNIDAD MEN FOR SAN</t>
  </si>
  <si>
    <t>EXPOSITOR SUPLEMENTO NUTRICIONAL ARTICULACIONES MEN FOR SAN</t>
  </si>
  <si>
    <t>EXIGENT 1.5 KG ROYAL CANIN</t>
  </si>
  <si>
    <t>EXHIBIDOR DOBLE PATA PLATOS</t>
  </si>
  <si>
    <t>EXCELLENT ALIMENTO CONEJO 5 KG</t>
  </si>
  <si>
    <t>Eukanuba Senior Small Breed 2.3 Kg</t>
  </si>
  <si>
    <t>EUKANUBA SENIOR MEDIUM 13.6 KG</t>
  </si>
  <si>
    <t>EUKANUBA SENIOR LARGE 13.6 KG</t>
  </si>
  <si>
    <t>Eukanuba Senior 7+ Small 6.8 Kg</t>
  </si>
  <si>
    <t>EUKANUBA PUPPY SMALL BREED 2K</t>
  </si>
  <si>
    <t>EUKANUBA PUPPY SMALL 6.8 KG</t>
  </si>
  <si>
    <t>EXTERMINADOR DE HONGOS AVES</t>
  </si>
  <si>
    <t>FELIWAY FRIENDS DIFUSOR 48 ML + REPUESTO</t>
  </si>
  <si>
    <t>FELINE BREED SIAMESE 38 1.5 KG ROYAL CANIN</t>
  </si>
  <si>
    <t>FELINE ADULT METABOLIC LATA (X)</t>
  </si>
  <si>
    <t>FELIGEN CRP PVO INY 1 ML</t>
  </si>
  <si>
    <t>FELIFAT L-CARNITINA SUSP. GATO 30 ML</t>
  </si>
  <si>
    <t>ARNES PARA PERROS DE SERVICIO 2 HEBILLAS XS ROJO</t>
  </si>
  <si>
    <t>ARNES PARA PERROS DE SERVICIO 2 HEBILLAS XS NEGRO</t>
  </si>
  <si>
    <t>ARNES PARA PERROS DE SERVICIO 2 HEBILLAS XS MORADO</t>
  </si>
  <si>
    <t>ARNES PARA PERRO TACTICO DISEÑO MILITAR XL</t>
  </si>
  <si>
    <t>CADENA DE AMARRE 4.5 MM</t>
  </si>
  <si>
    <t>CADENA DE AMARRE 4.0 MM</t>
  </si>
  <si>
    <t>CABEZAL ASTRO 1120 L/H+TUBO LUZ UV 14,5 WATT</t>
  </si>
  <si>
    <t>CABEZAL + UV 8 WATTS</t>
  </si>
  <si>
    <t>CABATINA INYECTABLE 20 ML</t>
  </si>
  <si>
    <t>Arnes para Perro en V Verde</t>
  </si>
  <si>
    <t>BRIT PATE Y MEAT PUPPY 800G</t>
  </si>
  <si>
    <t>BRIT PATE Y MEAT DUCK 800G</t>
  </si>
  <si>
    <t>BULLDOG ADULTO 12 KG</t>
  </si>
  <si>
    <t>BROOKLIN H-HARNESS MEDIUM</t>
  </si>
  <si>
    <t>BROOKLIN COLLAR SMALL</t>
  </si>
  <si>
    <t>BROADLINE PIPETA GATOS 2,5-7,5 KG (0.9 ml)</t>
  </si>
  <si>
    <t>BROADLINE PIPETA GATO 0,6 A &lt; 2,5 KG</t>
  </si>
  <si>
    <t>BRNX RASCADOR CATBOOK/COMPUTADOR (PROMO)</t>
  </si>
  <si>
    <t>BRIT TRAILLA DOG LEASH M (2CMx130cm)</t>
  </si>
  <si>
    <t>BRIT PREMIUM BY NATURE SPORT 15 KG</t>
  </si>
  <si>
    <t>ARNES PARA PERRO TACTICO DISEÑO MILITAR M</t>
  </si>
  <si>
    <t>ARNES PARA PERRO TACTICO DISEÑO MILITAR L</t>
  </si>
  <si>
    <t>BUNNY TUNEL</t>
  </si>
  <si>
    <t>ARNES PARA PERROS DE SERVICIO 2 HEBILLAS M CELESTE</t>
  </si>
  <si>
    <t>ARNES PARA PERROS DE SERVICIO 2 HEBILLAS L VERDE</t>
  </si>
  <si>
    <t>ARNES PARA PERROS DE SERVICIO 2 HEBILLAS XXL FUCSIA</t>
  </si>
  <si>
    <t>ARNES PARA PERROS DE SERVICIO 2 HEBILLAS XXL CELESTE</t>
  </si>
  <si>
    <t>ARNES PARA PERROS DE SERVICIO 2 HEBILLAS XS VERDE</t>
  </si>
  <si>
    <t>ARNES PARA PERROS DE SERVICIO 2 HEBILLAS XS ROSADO</t>
  </si>
  <si>
    <t>ESPREE - ACONDICIONADOR PLUMP PERFECT CREAM RINSE</t>
  </si>
  <si>
    <t>ESPEJO PARA AVES IDEAL CATAS NINFAS</t>
  </si>
  <si>
    <t>ESPEJO MOVIL CON PERCHA</t>
  </si>
  <si>
    <t>ESPEJO FAROL CON CAMPANA UNIPET</t>
  </si>
  <si>
    <t>ESPEJO CON POSADERA Y JUEGO UNIPET</t>
  </si>
  <si>
    <t>ESPEJO CON POSADERA UNIPET</t>
  </si>
  <si>
    <t>ESPEJO COLGANTE METAL AVES</t>
  </si>
  <si>
    <t>ESPEJO 2 CAMPANAS</t>
  </si>
  <si>
    <t>Eukanuba Puppy Medium Breed 2 kg</t>
  </si>
  <si>
    <t>ESKLARIN WITH ALOE 50 ML</t>
  </si>
  <si>
    <t>ESKLARIN WITH ALOE 250 ML</t>
  </si>
  <si>
    <t>ESKLARIN POND 250 ML</t>
  </si>
  <si>
    <t>ESFERA RESINA 33 CM</t>
  </si>
  <si>
    <t>ESFERA HAMSTER ACRILICA</t>
  </si>
  <si>
    <t>ESFERA HAMSTER 19 CM</t>
  </si>
  <si>
    <t>ESFERA HAMSTER 14.5 CM</t>
  </si>
  <si>
    <t>ESFERA HAMSTER 13 CM DISPLAY ECONOMICA</t>
  </si>
  <si>
    <t>ESFERA HAMSTER 12 CM</t>
  </si>
  <si>
    <t>ESFERA DE MADERA Y PLUMAS PARA GATO 4.5 CM</t>
  </si>
  <si>
    <t>ESFERA CUY 25 CM AMARILLA</t>
  </si>
  <si>
    <t>ESFERA ALIMENTADORA VERDE</t>
  </si>
  <si>
    <t>ESFERA ALIMENTADORA AZUL</t>
  </si>
  <si>
    <t>ESFERA ALIMENTADORA</t>
  </si>
  <si>
    <t>Escalera de madera 10x40</t>
  </si>
  <si>
    <t>ESKLARIN WITH ALOE BOTELLA 100ML</t>
  </si>
  <si>
    <t>EUKANUBA PUPPY MEDIUM 15 KG</t>
  </si>
  <si>
    <t>EUKANUBA PUPPY LARGE 15 KG</t>
  </si>
  <si>
    <t>EUKANUBA PREMIUM PERFORMANCE 15K</t>
  </si>
  <si>
    <t>EUKANUBA PERFORMANCE EXERCISE 12 KG</t>
  </si>
  <si>
    <t>EUKANUBA PERFORMANCE 30/20 18 KG</t>
  </si>
  <si>
    <t>EUKANUBA ADULT SMALL 6.8 KG</t>
  </si>
  <si>
    <t>EUKANUBA ADULT SMALL 2.3 KG</t>
  </si>
  <si>
    <t>EUKANUBA ADULT MEDIUM 13.6 KG</t>
  </si>
  <si>
    <t>EUKANUBA ADULT LARGE 15 KG</t>
  </si>
  <si>
    <t>ESTANTE DOBLE DE ACERO INOX. EXTRAIBLE 940 ML</t>
  </si>
  <si>
    <t>ESTANTE DOBLE DE ACERO INOX. EXTRAIBLE 4730 ML</t>
  </si>
  <si>
    <t>ESTANTE DOBLE DE ACERO INOX. EXTRAIBLE 470 ML</t>
  </si>
  <si>
    <t>ESTANTE DOBLE DE ACERO INOX. EXTRAIBLE 2840 ML</t>
  </si>
  <si>
    <t>ESTANTE DOBLE DE ACERO INOX. EXTRAIBLE 230 ML</t>
  </si>
  <si>
    <t>ARNES PARA PERROS DE SERVICIO 2 HEBILLAS M FUCSIA</t>
  </si>
  <si>
    <t>ESTACIÓN DE ALIMENTO Y AGUA (35X27X35CM )</t>
  </si>
  <si>
    <t>ESPUMA BUCAL 50 ML</t>
  </si>
  <si>
    <t>ESPREE TOOTHBRUSH 3X1</t>
  </si>
  <si>
    <t>espree toallitas humedas mancha lagrimas</t>
  </si>
  <si>
    <t>espree toallitas humedas limpieza oidos</t>
  </si>
  <si>
    <t>ESPREE TOALLITAS ANTIPULGAS Y GARRAPATAS</t>
  </si>
  <si>
    <t>ARNES PARA PERROS DE SERVICIO 2 HEBILLAS XXS ROSADO</t>
  </si>
  <si>
    <t>ARNES PARA PERROS DE SERVICIO 2 HEBILLAS XXS ROJO</t>
  </si>
  <si>
    <t>ARNES PARA PERROS DE SERVICIO 2 HEBILLAS XXS NEGRO</t>
  </si>
  <si>
    <t>ARNES PARA PERROS DE SERVICIO 2 HEBILLAS M VERDE</t>
  </si>
  <si>
    <t>ARNES PARA PERROS DE SERVICIO 2 HEBILLAS M ROSADO</t>
  </si>
  <si>
    <t>ARNES PARA PERROS DE SERVICIO 2 HEBILLAS M ROJO</t>
  </si>
  <si>
    <t>ARNES PARA PERROS DE SERVICIO 2 HEBILLAS M NEGRO</t>
  </si>
  <si>
    <t>ARNES PARA PERROS DE SERVICIO 2 HEBILLAS M MULTICOLOR</t>
  </si>
  <si>
    <t>ARNES PARA PERROS DE SERVICIO 2 HEBILLAS M MORADO</t>
  </si>
  <si>
    <t>ESTANTE DOBLE DE ACERO INOX. EXTRAIBLE 1980 ML</t>
  </si>
  <si>
    <t>HIERBA DE TRIGO (MACETA 15X15) SANGRE VERDE</t>
  </si>
  <si>
    <t>HIERBA DE TRIGO (MACETA 12X12) SANGRE VERDE</t>
  </si>
  <si>
    <t>HIERBA DE TRIGO (JARDIN BASE MADERA 40X40) SANGRE VERDE</t>
  </si>
  <si>
    <t>HIDROSOL DESTILADO DE CATNIP 50ML BIOLINE</t>
  </si>
  <si>
    <t>HELLO KITTY SHAMPOO HIDRATANTE 300 ML</t>
  </si>
  <si>
    <t>HELLO KITTY SHAMPOO CACHORROS 300 ML</t>
  </si>
  <si>
    <t>HELLO KITTY ACONDICIONADOR HIDRATANTE 300 ML</t>
  </si>
  <si>
    <t>HEDGEHOG MEDIUM PLUSH ASPENPET JUGUETE PARA PERROS CON SONIDO</t>
  </si>
  <si>
    <t>HEALTHY LIFE PUPPY TREATS 500G POLLO Y VAINILLA</t>
  </si>
  <si>
    <t>HEALTHY LIFE PAVO Y CRANBERRY 500G</t>
  </si>
  <si>
    <t>HEALTHY LIFE HIPOALERGENICO PATO Y ARROZ</t>
  </si>
  <si>
    <t>HEALTHY LIFE HAPPER MIX 500G SABOR POLLO</t>
  </si>
  <si>
    <t>HEALTHY LIFE GALLETA PUPPY TREATS POLLO Y VAINILLLA 400GR</t>
  </si>
  <si>
    <t>HEALTHY LIFE GALLETA POLLO 400GR</t>
  </si>
  <si>
    <t>FUENTE DE AGUA PARA GATOS EN FORMA DE FLOR 1.6 LT verde</t>
  </si>
  <si>
    <t>HEPATOMIC JARABE 100ML</t>
  </si>
  <si>
    <t>HEPATOCAN FORTE X 60 TAB</t>
  </si>
  <si>
    <t>HEPATIC FELINO 1.5K ROYAL CANIN</t>
  </si>
  <si>
    <t>HEPATIC CANINE 2 KG</t>
  </si>
  <si>
    <t>HAWKINS STRANGER LEASH LARGE ZEEDOG</t>
  </si>
  <si>
    <t>HAWKINS STRANGER H-HARNESS EXTRA SMALL ZEEDOG</t>
  </si>
  <si>
    <t>HAWKINS STRANGER COLLAR SMALL ZEEDOG</t>
  </si>
  <si>
    <t>HAWKINS STRANGER COLLAR MEDIUM ZEEDOG</t>
  </si>
  <si>
    <t>HAWKINS STRANGER COLLAR LARGE ZEEDOG</t>
  </si>
  <si>
    <t>HAWKINS STRANGER COLLAR EXTRA SMALL ZEEDOG</t>
  </si>
  <si>
    <t>HAWKINS STRANGER CAT COLLAR ZEECAT</t>
  </si>
  <si>
    <t>HAWKINS STRANGER ADJ. AIR MESH HARNESS SMALL ZEEDOG</t>
  </si>
  <si>
    <t>HAWKINS STRANGER ADJ. AIR MESH HARNESS MEDIUM ZEEDOG</t>
  </si>
  <si>
    <t>HAWKINS STRANGER ADJ. AIR MESH HARNESS LARGE ZEEDOG</t>
  </si>
  <si>
    <t>HEALTHY LIFE GALLETA PAVO Y CRANBERRY 400GR</t>
  </si>
  <si>
    <t>ARNES HOODLUM M</t>
  </si>
  <si>
    <t>ARNES IMPORT. FIBRA CON DISEÑOS #4 ROJO</t>
  </si>
  <si>
    <t>ARNES IMPORT. FIBRA CON DISEÑOS #4 CAFE</t>
  </si>
  <si>
    <t>HILLS CANINE L/D LIVER CARE 3.3LB (1.5KG)</t>
  </si>
  <si>
    <t>HILLS CANINE L/D HEPATIC 7.98 KG DOG</t>
  </si>
  <si>
    <t>HILLS CANINE ADULT 1-6 SALMON 4.5LB (2.04 KG)</t>
  </si>
  <si>
    <t>HIERRO PLANTMIX 250ML</t>
  </si>
  <si>
    <t>HIERRO PLANTMIX 1000ML</t>
  </si>
  <si>
    <t>HIERRO + MICRONUTRIENTES PLANTMIX 500ML</t>
  </si>
  <si>
    <t>HIERRO + MICRONUTRIENTES PLANTMIX 250ML</t>
  </si>
  <si>
    <t>HIERRO + MICRONUTRIENTES PLANTMIX 1000ML</t>
  </si>
  <si>
    <t>HIERBA PARA GATOS X 20 GR anasac</t>
  </si>
  <si>
    <t>HIERBA GATERA 20G</t>
  </si>
  <si>
    <t>HIERBA DE TRIGO (MACETA 20X20) SANGRE VERDE</t>
  </si>
  <si>
    <t>HENERA</t>
  </si>
  <si>
    <t>HILLS CANINE ADULT SMALL &amp; MINI LIGHT 2.04KG (4.5 LB)</t>
  </si>
  <si>
    <t>HIDROCORTISONA 0.584 MG/ML SOL TOP VAL/DOS X 76ML</t>
  </si>
  <si>
    <t>HEXBUG ROBOTIC RATON GRIS</t>
  </si>
  <si>
    <t>HEXBUG ROBOTIC RATON CON CONTROL REMOTO</t>
  </si>
  <si>
    <t>HEXBUG ROBOTIC PALOMA CON RAYO LASER</t>
  </si>
  <si>
    <t>HEXBUG ROBOTIC CAT TOY NANO</t>
  </si>
  <si>
    <t>HEXBUG CATERPILLAR ROBOT - ORUGA ELECTRONICA</t>
  </si>
  <si>
    <t>HEPROTEC CABALLOS 500 ML</t>
  </si>
  <si>
    <t>Hepatosil Razas Pequeñas y Gatos 30 Comprimidos</t>
  </si>
  <si>
    <t>HILLS CANINE ADULT 7+ CHICKEN BARLEY 13OZ (370 G)</t>
  </si>
  <si>
    <t>HILLS CANINE ADULT 7+ BEEF BARLEY 13OZ</t>
  </si>
  <si>
    <t>HEPATIC CANINE 10.1 KG</t>
  </si>
  <si>
    <t>HEPATIC CANINE 1.5 KG</t>
  </si>
  <si>
    <t>HENERA GIRATORIA CON PEDESTAL</t>
  </si>
  <si>
    <t>HENERA CON REJILLA 18x18x22.5</t>
  </si>
  <si>
    <t>HILLS CANINE GASTROINTESTINAL BIOME 3.3LB (1.5KG)</t>
  </si>
  <si>
    <t>ARNES IMPORT. FIBRA CON DISEÑOS #3 AZUL</t>
  </si>
  <si>
    <t>ARNES IMPORT. FIBRA CON DISEÑOS #3 AMARILLO</t>
  </si>
  <si>
    <t>ARNES IMPORT. FIBRA CON DISEÑOS #3</t>
  </si>
  <si>
    <t>ARNES IMPORT. FIBRA CON DISEÑOS #2 ROJO</t>
  </si>
  <si>
    <t>ARNES IMPORT. FIBRA CON DISEÑOS #2 NEGRO</t>
  </si>
  <si>
    <t>ARNES IMPORT. FIBRA CON DISEÑOS #2 AZUL</t>
  </si>
  <si>
    <t>ARNES MALLA TRANSPIRABLE + TRAILLA S</t>
  </si>
  <si>
    <t>ARNES MALLA TRANSPIRABLE + TRAILLA M</t>
  </si>
  <si>
    <t>HEALTHY LIFE GALLETA HAPPER MIX POLLO 400GR</t>
  </si>
  <si>
    <t>HEALTHOSAN</t>
  </si>
  <si>
    <t>HEALIMAX SOLUCION GEL 10GRS</t>
  </si>
  <si>
    <t>HAMACA DE ASEO TALLA L COLOR ROJO 11 ACCESORIOS</t>
  </si>
  <si>
    <t>HAMACA DE ASEO SIMPLE TALLA S COLOR AZUL</t>
  </si>
  <si>
    <t>HAMACA DE ASEO SIMPLE TALLA S</t>
  </si>
  <si>
    <t>HAWKINS STRANGER ADJ. AIR MESH HARNESS EXTRA SMALL ZEEDOG</t>
  </si>
  <si>
    <t>HAMACA DE ASEO SIMPLE TALLA M COLOR AZUL</t>
  </si>
  <si>
    <t>HAIR SKIN CARE 1.5 KG ROYAL CANIN</t>
  </si>
  <si>
    <t>HABITACION HUEVO HAMSTER ENANOS</t>
  </si>
  <si>
    <t>GUPPY RED MOSAICO</t>
  </si>
  <si>
    <t>HAMSTER SPORT ROOM</t>
  </si>
  <si>
    <t>HAMSTER RUSO</t>
  </si>
  <si>
    <t>GUINEA PIG 500 GRS TROPIFIT</t>
  </si>
  <si>
    <t>GUINEA ALIMENTO PARA CUY EXCELLENT</t>
  </si>
  <si>
    <t>GUANTES TRESOR NITRILO S/PVO T/M X 100 U</t>
  </si>
  <si>
    <t>GUANTES TRESOR LATEX C/PVO T/XS X 100 U</t>
  </si>
  <si>
    <t>GUANTES TRESOR LATEX C/PVO T/S X 100 U</t>
  </si>
  <si>
    <t>GUANTES TRESOR LATEX 100 U</t>
  </si>
  <si>
    <t>GUANTES TOP GLOVE VINILO C/PVO T/L X 100</t>
  </si>
  <si>
    <t>GUANTES ESTERILES N 6</t>
  </si>
  <si>
    <t>GUANTE SACA PELO BUDDY PET</t>
  </si>
  <si>
    <t>HAMACA DE ASEO SIMPLE TALLA M COLOR ROJO</t>
  </si>
  <si>
    <t>HASYUN INY 50 ML</t>
  </si>
  <si>
    <t>HEMODRAG 12.5% INY X 20ML</t>
  </si>
  <si>
    <t>HEMATON B12 SOL INY 100ML</t>
  </si>
  <si>
    <t>HAMSTER GOLDEN 500 GRAMOS TROPIFIT</t>
  </si>
  <si>
    <t>HAMSTER GOLDEN</t>
  </si>
  <si>
    <t>HAMSTER CHINO</t>
  </si>
  <si>
    <t>HAMBURGUER CHEW</t>
  </si>
  <si>
    <t>HAMACA TRIPLE</t>
  </si>
  <si>
    <t>HAMACA HURON TELA PELO CORTO</t>
  </si>
  <si>
    <t>HAMACA HURON SIMPLE</t>
  </si>
  <si>
    <t>HAMACA HURON LONA</t>
  </si>
  <si>
    <t>HAMACA ESQUINA CON GANCHOS</t>
  </si>
  <si>
    <t>HEALTHY LIFE GALLETA HIPOALERGENICA PATO Y ARROZ 400GR</t>
  </si>
  <si>
    <t>ARNES MONSTRUO TALLA S (GRIS)</t>
  </si>
  <si>
    <t>ARNES IMPORT. FIBRA CON DISEÑOS #3 CAFE</t>
  </si>
  <si>
    <t>ARNES MONSTRUO TALLA M (ROSADO)</t>
  </si>
  <si>
    <t>ARNES IMPORT. FIBRA CON DISEÑOS #3 ROJO</t>
  </si>
  <si>
    <t>ARNES IMPORT. FIBRA CON DISEÑOS #3 NEGRO</t>
  </si>
  <si>
    <t>ARNES WONDERDOG XXL ROJO</t>
  </si>
  <si>
    <t>ARNES WONDERDOG XXL NEGRO</t>
  </si>
  <si>
    <t>ARNES WONDERDOG XXL MILITAR</t>
  </si>
  <si>
    <t>ASTRO CAT GOURMET 14K</t>
  </si>
  <si>
    <t>ASTACOLOR 500ML 100GR</t>
  </si>
  <si>
    <t>ASTACOLOR 100ML</t>
  </si>
  <si>
    <t>ASPIRADORA DE PELOS A PILA</t>
  </si>
  <si>
    <t>BRIT CARE DOG HYPOALLERGENIC PUPPY LAMB 3K</t>
  </si>
  <si>
    <t>BRIT CARE DOG CHICKEN &amp; INSECT ADULT SMALL BREED 1K</t>
  </si>
  <si>
    <t>BRIT CARE DOG CHICKEN &amp; INSECT ADULT MEDIUM BREED 14 KG</t>
  </si>
  <si>
    <t>BRIT CARE DOG HYPOALLERGENIC ADULT LARGE BREED LAMB 3K</t>
  </si>
  <si>
    <t>BRIT CARE DOG HYPOALLERGENIC ADULT LARGE BREED LAMB 14 KG</t>
  </si>
  <si>
    <t>ARNES MONSTRUO TALLA S (CELESTE)</t>
  </si>
  <si>
    <t>Honey Air Mesh Harness Large ZEEDOG</t>
  </si>
  <si>
    <t>Honey Air Mesh Harness Extra Small ZEEDOG</t>
  </si>
  <si>
    <t>HONEY ADJ. AIR MESH HARNESS MEDIUM ZEEDOG</t>
  </si>
  <si>
    <t>HOLLIDAY PROTELIV PARA GATOS 7 G</t>
  </si>
  <si>
    <t>HUESO CARTILAGO 1 UNIDAD (15''/250 G)</t>
  </si>
  <si>
    <t>HUESO CARTILAGO 1 UNIDAD (12.5''/200 G)</t>
  </si>
  <si>
    <t>HUESO CARTILAGO 1 UNIDAD</t>
  </si>
  <si>
    <t>HOLLIDAY NOMAT 20 COMP</t>
  </si>
  <si>
    <t>HOLLIDAY IQ 180 (21 COMP)</t>
  </si>
  <si>
    <t>HOLLIDAY ANAVIMIN COAT 21 COMP</t>
  </si>
  <si>
    <t>HOJUELA PECES BÁSICA (KG)</t>
  </si>
  <si>
    <t>HOJUELA PECES 50 GRAMOS</t>
  </si>
  <si>
    <t>ARNES HOODLUM S</t>
  </si>
  <si>
    <t>HOJAS DE BISTURI N 23</t>
  </si>
  <si>
    <t>HOJAS DE BISTURI N 11</t>
  </si>
  <si>
    <t>HOJA DE CATNIP 230 ML</t>
  </si>
  <si>
    <t>HPM Virbac Dog Baby Small &amp; Toy 3kg</t>
  </si>
  <si>
    <t>HORQUILLA O PINCHES PARA MASCOTAS DE 3CM</t>
  </si>
  <si>
    <t>HONEY RUFF LEASH SMALL ZEEDOG</t>
  </si>
  <si>
    <t>HILLS FELINE KITTEN LIVER CHICKEN 5.5OZ (156 G)</t>
  </si>
  <si>
    <t>HILLS FELINE KITTEN INDOOR 1.58KG</t>
  </si>
  <si>
    <t>HILLS FELINE KITTEN 3.17 KG</t>
  </si>
  <si>
    <t>HOLLIDAY POTENPET PARA GATOS 7 G</t>
  </si>
  <si>
    <t>ARNES IMPORT. FIBRA CON DISEÑOS #4 AZUL</t>
  </si>
  <si>
    <t>ARNES IMPORT. FIBRA CON DISEÑOS #4</t>
  </si>
  <si>
    <t>ARNES IMPORT. FIBRA CON DISEÑOS #3 VERDE</t>
  </si>
  <si>
    <t>HOJAS DE CATNIP 20G BIOLINE</t>
  </si>
  <si>
    <t>HUESO CARTÍLAGO AHUMADO 3.5"</t>
  </si>
  <si>
    <t>HUESO CARTÍLAGO AHUMADO 7"</t>
  </si>
  <si>
    <t>HUESO CARTÍLAGO AHUMADO 10"</t>
  </si>
  <si>
    <t>HUESO CARTILAGO 5 UNIDADES</t>
  </si>
  <si>
    <t>HUESO IMITACIÓN FEMUR 3</t>
  </si>
  <si>
    <t>HUESO IMITACIÓN FEMUR 2</t>
  </si>
  <si>
    <t>HUESO IMITACIÓN FEMUR 1</t>
  </si>
  <si>
    <t>HUESO HUMERO GRANDE</t>
  </si>
  <si>
    <t>HUESO GRANDE DENTADO</t>
  </si>
  <si>
    <t>HUESO 6.0 - 6.5" ENVUELTOS EN POLLO 2 UNIDADES 210 G</t>
  </si>
  <si>
    <t>HUESO 6.0 - 6.5" 2 UNIDADES 200 GR</t>
  </si>
  <si>
    <t>Hueso 6-6.5</t>
  </si>
  <si>
    <t>HUESO 4.0 - 4.5" ENVUELTOS EN POLLO 3 UNIDADES 135 GR</t>
  </si>
  <si>
    <t>Honey Air Mesh Harness Medium ZEEDOG</t>
  </si>
  <si>
    <t>HUESO 4 - 4.5" 3 UNIDADES 125 GR</t>
  </si>
  <si>
    <t>HUESO 2.2 - 2.5" ENVUELTOS EN POLLO 9 UNIDADES 120 GR</t>
  </si>
  <si>
    <t>HUESO 2.0 - 2.5" 9 UNIDADES 110 G</t>
  </si>
  <si>
    <t>Hueso 2-2.5</t>
  </si>
  <si>
    <t>Hueso 2,5" "uno al día". (7 unidades 2 ‐ 2,5")</t>
  </si>
  <si>
    <t>HUESO CON POLLO 2 UNIDADES</t>
  </si>
  <si>
    <t>HUESO CAUCHO CRUJIENTE</t>
  </si>
  <si>
    <t>Hueso Caucho (10.3x5.8x5.6cm)</t>
  </si>
  <si>
    <t>HUESO CARTILAGO JUMBO 15 ENVUELTO EN POLLO (15" - 37CM /210G)</t>
  </si>
  <si>
    <t>HONEY RUFF LEASH LARGE ZEEDOG</t>
  </si>
  <si>
    <t>HONEY COLLAR SMALL ZEEDOG</t>
  </si>
  <si>
    <t>HONEY COLLAR MEDIUM ZEEDOG</t>
  </si>
  <si>
    <t>HONEY COLLAR EXTRA SMALL ZEEDOG</t>
  </si>
  <si>
    <t>Honey Cat Collar ZEECAT</t>
  </si>
  <si>
    <t>Honey Air Mesh Harness Small ZEEDOG</t>
  </si>
  <si>
    <t>Hueso 4-4.2</t>
  </si>
  <si>
    <t>HILLS CANINE ADULT SALMON 14LB (6.3KG)</t>
  </si>
  <si>
    <t>HILLS CANINE ADULT PERFECT WEIGHT 6.8K</t>
  </si>
  <si>
    <t>BRIT CARE DOG CHICKEN &amp; INSECT SENIOR 3K</t>
  </si>
  <si>
    <t>BRIT CARE DOG CHICKEN &amp; INSECT SENIOR 1K</t>
  </si>
  <si>
    <t>BRIT CARE DOG CHICKEN &amp; INSECT PUPPY 3K</t>
  </si>
  <si>
    <t>BRIT CARE DOG CHICKEN &amp; INSECT PUPPY 1K</t>
  </si>
  <si>
    <t>BACTOSAN (BOTELLA ML)</t>
  </si>
  <si>
    <t>BACTO-ACTIVE / BACTIRIN 30 ML</t>
  </si>
  <si>
    <t>ARTROMIC PET 40 COMP</t>
  </si>
  <si>
    <t>ARTRIOFIN INYECTABLE 50 ML</t>
  </si>
  <si>
    <t>aroguana</t>
  </si>
  <si>
    <t>ARO WARRIOR 9 CM</t>
  </si>
  <si>
    <t>HILLS CANINE ADULT METABOLIC 3.3LB (1.5KG)</t>
  </si>
  <si>
    <t>HILLS CANINE ADULT METABOLIC 13OZ (370GR)</t>
  </si>
  <si>
    <t>ARNES GUAU GUARD S AZUL</t>
  </si>
  <si>
    <t>HILLS CANINE ADULT LB 15.9 KG</t>
  </si>
  <si>
    <t>HILLS CANINE ADULT DERM COMPLETE 6.5LB (2.9KG)</t>
  </si>
  <si>
    <t>HILLS CANINE ADULT CHICKEN BARLEY 13OZ (370 G)</t>
  </si>
  <si>
    <t>HILLS CANINE ADULT BEEF BARLEY 13OZ (370G)</t>
  </si>
  <si>
    <t>HILLS CANINE ADULT 7+ SMALL BITES 2.27K</t>
  </si>
  <si>
    <t>ARNES MALLA TRANSPIRABLE + TRAILLA L</t>
  </si>
  <si>
    <t>ARNES MALLA DE BELLON + TRAILLA XXS</t>
  </si>
  <si>
    <t>ARNES MALLA DE BELLON + TRAILLA XS</t>
  </si>
  <si>
    <t>ARNES IMPORT. FIBRA CON DISEÑOS #1 AMARILLO</t>
  </si>
  <si>
    <t>ARNES IMPORT. FIBRA CON DISEÑOS #1</t>
  </si>
  <si>
    <t>ARNES HURONES CONEJOS RAZAS PEQUEÑAS L</t>
  </si>
  <si>
    <t>ARNES HURONES CONEJOS GATOS</t>
  </si>
  <si>
    <t>ARNES HURON GATO XL</t>
  </si>
  <si>
    <t>ARNES HOODLUM XXS</t>
  </si>
  <si>
    <t>ARNES HOODLUM XS</t>
  </si>
  <si>
    <t>HILLS CANINE ADULT LIGHT SMALL BREED 2.26 KG</t>
  </si>
  <si>
    <t>ARNES GUAU GUARD M NARANJO</t>
  </si>
  <si>
    <t>ARNES GUAU GUARD L AZUL</t>
  </si>
  <si>
    <t>ARNES GATO DISEÑOS XS VERDE</t>
  </si>
  <si>
    <t>ARNES GATO DISEÑOS XS ROSADO</t>
  </si>
  <si>
    <t>ARNES GATO DISEÑOS XS ROJO</t>
  </si>
  <si>
    <t>ARNES GATO DISEÑOS XS AZUL</t>
  </si>
  <si>
    <t>ARNES GATO DISEÑOS S VERDE</t>
  </si>
  <si>
    <t>ARNES IMPORT. FIBRA CON DISEÑOS #2</t>
  </si>
  <si>
    <t>ARNES IMPORT. FIBRA CON DISEÑOS #1 NEGRO</t>
  </si>
  <si>
    <t>HOLLIDAY OHM PERROS SPRAY 90ML</t>
  </si>
  <si>
    <t>HOLLIDAY OHM PASTA PARA GATOS 7 G</t>
  </si>
  <si>
    <t>HOLLIDAY OHM GATOS SPRAY 90ML</t>
  </si>
  <si>
    <t>HILLS FELINE ADULT TURKEY 5.5OZ (156 G)</t>
  </si>
  <si>
    <t>HILLS FELINE ADULT SALMON 5.5OZ (156 G)</t>
  </si>
  <si>
    <t>HILLS FELINE ADULT 1-6 SALMON 3.5LB (1.59KG)</t>
  </si>
  <si>
    <t>HILLS FELINE ADULT INDOOR OCEAN FISH 5.5OZ (156 G)</t>
  </si>
  <si>
    <t>HILLS FELINE ADULT INDOOR FOOD 1.58</t>
  </si>
  <si>
    <t>HILLS FELINE ADULT INDOOR CHICKEN 5.5OZ (156 G)</t>
  </si>
  <si>
    <t>HILLS FELINE ADULT HAIRBALL CONTROL LIGHT 3.1KG</t>
  </si>
  <si>
    <t>HILLS PUPY OB 15,5 LB ( 7.03 KG )</t>
  </si>
  <si>
    <t>HILLS CANINE U/D LATA URINARY CARE 5,5oz 156gr</t>
  </si>
  <si>
    <t>HILLS CANINE U/D LATA URINARY CARE 13oz 370 gr sabor POLLO</t>
  </si>
  <si>
    <t>HILLS CANINE SMALL &amp; MINI ADULT 7+ (2.04 KG)</t>
  </si>
  <si>
    <t>HILLS CANINE PUPPY SB 2.04 KG</t>
  </si>
  <si>
    <t>HILLS CANINE PUPPY OB 2.04 KG</t>
  </si>
  <si>
    <t>HILLS CANINE PUPPY CHICKEN BARLEY 13OZ (370 G)</t>
  </si>
  <si>
    <t>HILLS CANINE K/D 1.5 KG DOG</t>
  </si>
  <si>
    <t>HILLS CANINE I/D LATA CHICKEN Y VEGETABLES 5.5 OZ</t>
  </si>
  <si>
    <t>HILLS CANINE GASTROINTESTINAL BIOME CHICK VEG 12.5OZ (354 GR)</t>
  </si>
  <si>
    <t>HILLS FELINE ADULT 11+ INDOOR 3.5 LB (1.59KG)</t>
  </si>
  <si>
    <t>HILLS FELINE ADULT METABOLIC 4LB (1.81KG)</t>
  </si>
  <si>
    <t>GATOS CASTRADOS YOUNG MALE 3.5 KG ROYAL CANIN</t>
  </si>
  <si>
    <t>GATOS CASTRADOS YOUNG MALE 1.5 KG ROYAL CANIN</t>
  </si>
  <si>
    <t>GATOS CASTRADOS YOUNG FEMALE 3.5 KG ROYAL CANIN</t>
  </si>
  <si>
    <t>GATOS CASTRADOS YOUNG FEMALE 1.5 KG ROYAL CANIN</t>
  </si>
  <si>
    <t>GATO PROPER POLLO 5.4KG BOREAL</t>
  </si>
  <si>
    <t>GATO PROPER POLLO 2.26KG BOREAL</t>
  </si>
  <si>
    <t>GATO ORIGINAL POLLO 5.4KG BOREAL</t>
  </si>
  <si>
    <t>GATO ORIGINAL POLLO 2.26KG BOREAL</t>
  </si>
  <si>
    <t>GATO ORIGINAL FISH TRIO 5.4KG BOREAL</t>
  </si>
  <si>
    <t>GATO ORIGINAL FISH TRIO 2.26KG BOREAL</t>
  </si>
  <si>
    <t>GATITO CON HIERBA GATERA 8.5*4CM</t>
  </si>
  <si>
    <t>GEMON CAT SENIOR CHICKEN/TURKEY 100GR</t>
  </si>
  <si>
    <t>GASTROINTESTINAL FELINO 145G</t>
  </si>
  <si>
    <t>GASTROINTESTINAL CANINE 2 KG</t>
  </si>
  <si>
    <t>guante quirurgico 6.0 esteril</t>
  </si>
  <si>
    <t>GASTRO INTESTINAL PERROS 385 GRS</t>
  </si>
  <si>
    <t>GASTRO HIGH ENERGY FELINO LATA</t>
  </si>
  <si>
    <t>GASTONE - M. Baño para perro mediano 60X60 cm (Incluye 2 sabanillas de regalo)</t>
  </si>
  <si>
    <t>GASTONE - L Baño para perros grande 60x90 cm (Incluye 2 sabanillas de regalo)</t>
  </si>
  <si>
    <t>GASA HIDROFILA 36-100 YDAS TEJIDA X 1 UN</t>
  </si>
  <si>
    <t>gasa esteril 10x10 cm x 50un</t>
  </si>
  <si>
    <t>GASA ESTERIL 10 X 10 5 UNIDADES</t>
  </si>
  <si>
    <t>GANCHO DE SERPIENTE DE ACERO INOX</t>
  </si>
  <si>
    <t>GAMMARUS COLAS DE CAMARON 1 KILO</t>
  </si>
  <si>
    <t>GAMMARUS 50 GRAMOS COLITAS DE CAMARON</t>
  </si>
  <si>
    <t>GEL DE HIGIENE DENTAL PARA PERROS Y GATOS</t>
  </si>
  <si>
    <t>Galletas Huesitos Sabores Mix S 210 GR</t>
  </si>
  <si>
    <t>Galletas Huesitos Sabores Mix M 210 GR</t>
  </si>
  <si>
    <t>Galletas Huesitos Sabores Mix 470GR</t>
  </si>
  <si>
    <t>GASTROINTESTINAL CANINE 10,1 KG</t>
  </si>
  <si>
    <t>BRIT CARE DOG INSECT &amp; FISH SENSITIVE 14 KG</t>
  </si>
  <si>
    <t>ATELERIX 1 KILO TROPIFIT</t>
  </si>
  <si>
    <t>ARNES+TRALLA M (WONDER DOG) ROSADO</t>
  </si>
  <si>
    <t>ARNES+TRALLA M (WONDER DOG) MULTICOLOR</t>
  </si>
  <si>
    <t>ARNES+TRALLA M (WONDER DOG) AZUL</t>
  </si>
  <si>
    <t>ARNES+TRALLA L (WONDER DOG) ROSADO</t>
  </si>
  <si>
    <t>ARNES+TRALLA L (WONDER DOG) MULTICOLOR</t>
  </si>
  <si>
    <t>ARNES+TRALLA L (WONDER DOG) AZUL</t>
  </si>
  <si>
    <t>GEL PROTECTOR DE ALMOHADILLAS 50 ML</t>
  </si>
  <si>
    <t>GEL PROTECTOR ALMOHADILLAS PERROS/GATOS X 50 ML MEN FOR SAN</t>
  </si>
  <si>
    <t>Gel Otico Plus</t>
  </si>
  <si>
    <t>GEL FORMULA FOR OMNIVOROUS FISH 1000 ML</t>
  </si>
  <si>
    <t>GEL FORMULA FOR HERBIVOROUS FISH 1000 ML</t>
  </si>
  <si>
    <t>GEL FORMULA FOR CARNIVOROUS FISH 1000 ML</t>
  </si>
  <si>
    <t>GECKO LEOPARDO</t>
  </si>
  <si>
    <t>ARNES PARA GATO DISEÑO OSO S</t>
  </si>
  <si>
    <t>ARNES PARA GATO DISEÑO OSO M</t>
  </si>
  <si>
    <t>ARNES MALLA DE BELLON + TRAILLA XL</t>
  </si>
  <si>
    <t>ARNES MALLA DE BELLON + TRAILLA S</t>
  </si>
  <si>
    <t>ARNES MALLA DE BELLON + TRAILLA M</t>
  </si>
  <si>
    <t>ARNES MALLA DE BELLON + TRAILLA L</t>
  </si>
  <si>
    <t>ARNES JEANS TALLA XL</t>
  </si>
  <si>
    <t>ARNES JEANS TALLA S</t>
  </si>
  <si>
    <t>ARNES JEANS TALLA M</t>
  </si>
  <si>
    <t>ARNES JEANS TALLA L</t>
  </si>
  <si>
    <t>ARNES MONSTRUO TALLA XL (GRIS)</t>
  </si>
  <si>
    <t>ARNES MONSTRUO TALLA XL (CELESTE)</t>
  </si>
  <si>
    <t>ARNES MONSTRUO TALLA S (ROSADO)</t>
  </si>
  <si>
    <t>ARNES MONSTRUO TALLA S (ROJO)</t>
  </si>
  <si>
    <t>GEMON DOG SENIOR CHC/TURKEY 300GR</t>
  </si>
  <si>
    <t>ARNES PARA GATOS</t>
  </si>
  <si>
    <t>ARNES MONSTRUO TALLA M (CELESTE)</t>
  </si>
  <si>
    <t>ARNES MONSTRUO TALLA L (ROSADO)</t>
  </si>
  <si>
    <t>ARNES MONSTRUO TALLA L (ROJO)</t>
  </si>
  <si>
    <t>ARNES MONSTRUO TALLA L (GRIS)</t>
  </si>
  <si>
    <t>ARNES MONSTRUO TALLA L (CELESTE)</t>
  </si>
  <si>
    <t>ARNES MALLA TRANSPIRABLE + TRAILLA XS</t>
  </si>
  <si>
    <t>ARNES PARA GATOS CON MOÑO + TRAILLA ERGO CHICO</t>
  </si>
  <si>
    <t>GALLETAS ANIMALES MIX SABORES 350 GR</t>
  </si>
  <si>
    <t>GALLETAS ANIMALES MIX L 500 GR</t>
  </si>
  <si>
    <t>FURINAID PLUS GATOS 200ML</t>
  </si>
  <si>
    <t>FUNNY BUNNY DELICIAS 1.8 KG</t>
  </si>
  <si>
    <t>FUNNY BUNNY DELICIAS 0.5 KG</t>
  </si>
  <si>
    <t>BRIT CARE DOG INSECT &amp; FISH SENSITIVE 3K</t>
  </si>
  <si>
    <t>BRIT CARE DOG INSECT &amp; FISH SENSITIVE 1K</t>
  </si>
  <si>
    <t>GALLETAS HUESITOS DE MENTA S 350 GR</t>
  </si>
  <si>
    <t>BRIT JERKY SNACK CHICKEN WITH INSECT PROTEIN BAR 80 G</t>
  </si>
  <si>
    <t>BRIT CARE DOG HYPOALLERGENIC ADULT SMALL BREED LAMB 1 KG</t>
  </si>
  <si>
    <t>BRIT CARE DOG HYPOALLERGENIC ADULT SMALL BREED 7 KG</t>
  </si>
  <si>
    <t>BRIT CARE DOG HYPOALLERGENIC ADULT MEDIUM BREED LAMB 14 K</t>
  </si>
  <si>
    <t>BRIT CARE MINI PUPPY LAMB FILLETS IN GRAVY 85 G</t>
  </si>
  <si>
    <t>FUENTE FLOR DE AGUA ACERO INOX 2.4 LTS</t>
  </si>
  <si>
    <t>FUENTE FLOR ACERO INOXIDABLE 2.5 LT</t>
  </si>
  <si>
    <t>FUENTE FLOR 2.6 LT COLOR AZUL</t>
  </si>
  <si>
    <t>FUENTE FLOR 2.3 LT GRIS</t>
  </si>
  <si>
    <t>FUENTE FLOR 2.3 LT AZUL</t>
  </si>
  <si>
    <t>FUENTE FLOR 1.6 LT COLOR VERDE</t>
  </si>
  <si>
    <t>FUENTE FLOR 1.6 LT COLOR NARANJA</t>
  </si>
  <si>
    <t>FUENTE FLOR 1.6 LT COLOR AZUL</t>
  </si>
  <si>
    <t>GALLETA HUESITOS MIX SABORES 350 GR</t>
  </si>
  <si>
    <t>GALLETA DE MANI ENVUELTA EN POLLO 100G</t>
  </si>
  <si>
    <t>BRIT MONO PROTEIN RABBIT 400G</t>
  </si>
  <si>
    <t>GALLETAS HUESITOS DE MENTA M 350 GR</t>
  </si>
  <si>
    <t>Galletas Huesitos de Menta 210 GR</t>
  </si>
  <si>
    <t>GALLETAS HUESITOS DE CHOCOLATE S 210GR LOLOPET</t>
  </si>
  <si>
    <t>GALLETAS HUESITOS DE CHOCOLATE 210 GR</t>
  </si>
  <si>
    <t>Galletas Huesitos de Banana S 210 GR</t>
  </si>
  <si>
    <t>GALLETAS HUESITOS DE BANANA 210 GR</t>
  </si>
  <si>
    <t>GALLETAS EN FORMA DE HUESO CON POLLO 100 GR</t>
  </si>
  <si>
    <t>GALLETAS EN FORMA DE HUESO 100 GR</t>
  </si>
  <si>
    <t>GALLETAS DE CATNIP Y SALMON 80 GR</t>
  </si>
  <si>
    <t>GALLETAS DE CATNIP CON SABOR BACALAO</t>
  </si>
  <si>
    <t>GATITO CON HIERBA GATERA</t>
  </si>
  <si>
    <t>GATITO CON CATNIP</t>
  </si>
  <si>
    <t>GALLETAS ANIMALES MIX 210 GR</t>
  </si>
  <si>
    <t>GALLETAS ANIMALES CON SALMON 350 GR</t>
  </si>
  <si>
    <t>ARNES MONSTRUO TALLA M (GRIS)</t>
  </si>
  <si>
    <t>GALLETA RELLENA OMEGAS Y ATUN CRUNCHY 60G</t>
  </si>
  <si>
    <t>FURMASTER XL PELO LARGO PERRO</t>
  </si>
  <si>
    <t>FURMASTER XL PELO CORTO PERRO</t>
  </si>
  <si>
    <t>FURMASTER S PELO LARGO GATO</t>
  </si>
  <si>
    <t>Furmaster S Pelo Corto Perro</t>
  </si>
  <si>
    <t>FURMASTER S PELO CORTO GATO</t>
  </si>
  <si>
    <t>FURMASTER S (PELO CORTO) PERRO Y GATO</t>
  </si>
  <si>
    <t>FURMASTER M PELO LARGO GATO</t>
  </si>
  <si>
    <t>Furmaster M Pelo Corto Perro</t>
  </si>
  <si>
    <t>FURMASTER M PELO CORTO GATO</t>
  </si>
  <si>
    <t>FURMASTER M (PELO LARGO) PERRO Y GATO</t>
  </si>
  <si>
    <t>ARNES PARA PERRO 2 HEBILLAS TALLA L - ROSADO</t>
  </si>
  <si>
    <t>ARNES PARA PERRO 2 HEBILLAS TALLA L - NARANJO</t>
  </si>
  <si>
    <t>ARNES PARA PERRO 2 HEBILLAS TALLA L - MORADO</t>
  </si>
  <si>
    <t>ARNES MONSTRUO TALLA M (ROJO)</t>
  </si>
  <si>
    <t>GALLETA SABOR CONEJO CON HIERBA GATERA</t>
  </si>
  <si>
    <t>GREEN ALGAE WAFERS 250 ML 113 GR</t>
  </si>
  <si>
    <t>GOSBI EXCLUSIVE GRAIN FREE ADULT MINI 7K</t>
  </si>
  <si>
    <t>GOSBI EXCLUSIVE GRAIN FREE ADULT MINI 2K</t>
  </si>
  <si>
    <t>GOSBI EXCLUSIVE GRAIN FREE ADULT FISH 3K</t>
  </si>
  <si>
    <t>GOSBI EXCLUSIVE GRAIN FREE ADULT FISH 12K</t>
  </si>
  <si>
    <t>GOSBI EXCLUSIVE GRAIN FREE ADULT DUCK 3K</t>
  </si>
  <si>
    <t>GOSBI EXCLUSIVE GRAIN FREE ADULT DUCK 12K</t>
  </si>
  <si>
    <t>GOSBI EXCLUSIVE DIET MINI 2K</t>
  </si>
  <si>
    <t>GOSBI DELICAT KITTEN CHICKEN LOAF 70GR</t>
  </si>
  <si>
    <t>GOSBI DELICAT ADULT STERILIZED IBERICO LOAF 70GR</t>
  </si>
  <si>
    <t>GOSBI DELICAT ADULT CHICKEN WITH SHRIMPS LOAF 70GR</t>
  </si>
  <si>
    <t>GOSBI DELICAT ADULT CHICKEN &amp; SALMON LOAF 70GR</t>
  </si>
  <si>
    <t>GORRO CIRUJANO C TIRAS CELESTE RTT</t>
  </si>
  <si>
    <t>GOSBITS DOG FISH 300 GR</t>
  </si>
  <si>
    <t>BRIT CARE DOG GRAIN FREE ADULT SALMON 1 KG</t>
  </si>
  <si>
    <t>GOSBITS DOG DENTAL MEDIUM 700 GR</t>
  </si>
  <si>
    <t>GOSBI PLASIRS WILD BOAR 400 GR</t>
  </si>
  <si>
    <t>ZAPATOS PARA PERROS 2 TALLA L</t>
  </si>
  <si>
    <t>ZAPATOS PARA PERRO SUELA DE GOMA ROJO TALLA 5</t>
  </si>
  <si>
    <t>ZAPATOS PARA PERRO SUELA DE GOMA ROJO TALLA 4</t>
  </si>
  <si>
    <t>ZAPATOS PARA PERRO SUELA DE GOMA ROJO TALLA 3</t>
  </si>
  <si>
    <t>ZAPATOS PARA PERRO SUELA DE GOMA ROJO TALLA 2</t>
  </si>
  <si>
    <t>ZAPATOS PARA PERRO SUELA DE GOMA ROJO TALLA 1</t>
  </si>
  <si>
    <t>ZAPATOS PARA PERRO SUELA DE GOMA NARANJA TALLA 4</t>
  </si>
  <si>
    <t>ZAPATOS PARA PERRO SUELA DE GOMA NARANJA TALLA 2</t>
  </si>
  <si>
    <t>ZAPATOS PARA PERRO SUELA DE GOMA NARANJA TALLA 1</t>
  </si>
  <si>
    <t>GOSBI ORIGINAL CAT ADULT 3K</t>
  </si>
  <si>
    <t>GOSBI ORIGINAL CAT ADULT 12K</t>
  </si>
  <si>
    <t>GOSBI EXCLUSIVE GRAIN FREE PUPPY 3K</t>
  </si>
  <si>
    <t>GOSBI EXCLUSIVE GRAIN FREE DUCK &amp; FISH CAT STERILIZED 2K</t>
  </si>
  <si>
    <t>GOSBITS DOG DENTAL MINI 300 GR</t>
  </si>
  <si>
    <t>GUANTE QUIR ESTER 6 TOP GLOVE RTT</t>
  </si>
  <si>
    <t>HAMACA DE ASEO TALLA S COLOR ROJO</t>
  </si>
  <si>
    <t>HAMACA DE ASEO TALLA S COLOR AZUL11 ACCESORIOS</t>
  </si>
  <si>
    <t>GREEN ALGAE WAFERS 1000 ML 450 GR</t>
  </si>
  <si>
    <t>GRAVILLA PARA ACUARIO NEGRA 6-8 MM (5KG)</t>
  </si>
  <si>
    <t>GRAVILLA PARA ACUARIO MULTICOLOR NEON 6-8 MM (5KG)</t>
  </si>
  <si>
    <t>GRAVA ORNAMENTAL ROJA 5MM 1 KG</t>
  </si>
  <si>
    <t>GRAVA ORNAMENTAL NEON 5MM 1 KG</t>
  </si>
  <si>
    <t>GRAVA ORNAMENTAL NEGRA 5MM 1 KG</t>
  </si>
  <si>
    <t>GRAVA ORNAMENTAL AZUL 5MM 1 KG</t>
  </si>
  <si>
    <t>GOTHAM AIR MESH PLUS HARNESS LARGE ZEEDOG</t>
  </si>
  <si>
    <t>GOSBITS DOG WILD 300 GR</t>
  </si>
  <si>
    <t>GOSBITS DOG LAMB 300 GR</t>
  </si>
  <si>
    <t>GUPPY FOOD 100 ML 20 GR</t>
  </si>
  <si>
    <t>GUANTE 3X1 JW CEPILLADO BAÑO SACA PELO</t>
  </si>
  <si>
    <t>GUINEA PIG HOUSE 30 X 30 X 21 CM</t>
  </si>
  <si>
    <t>GUINEA PIG ADVENTURE TUNNEL</t>
  </si>
  <si>
    <t>GOSBI PLASIRS WHITE FISH 370 GR</t>
  </si>
  <si>
    <t>GOSBI PLASIRS LAMB 400 GR</t>
  </si>
  <si>
    <t>GOSBI PLASIRS DUCK &amp; APPLE 400 GR</t>
  </si>
  <si>
    <t>GOSBI PLASIRS BEEF STEW 370 GR</t>
  </si>
  <si>
    <t>GOSBI ORIGINAL DOG GRAIN FREE 12K</t>
  </si>
  <si>
    <t>GOSBI ORIGINAL CAT URINARY 3K</t>
  </si>
  <si>
    <t>GOSBI ORIGINAL CAT STERILIZED SENIOR 3K</t>
  </si>
  <si>
    <t>GOSBI ORIGINAL CAT STERILIZED 3K</t>
  </si>
  <si>
    <t>GOSBI ORIGINAL CAT KITTEN 3K</t>
  </si>
  <si>
    <t>GOSBI ORIGINAL CAT GRAIN FREE STERILIZED 7K</t>
  </si>
  <si>
    <t>GOSBI ORIGINAL CAT GRAIN FREE STERILIZED 3K</t>
  </si>
  <si>
    <t>GOSBI ORIGINAL CAT GRAIN FREE ADULT 3K</t>
  </si>
  <si>
    <t>GUANTE EXAM LATEX NIPRO X 100 M</t>
  </si>
  <si>
    <t>GUPPY 250ML 50GR</t>
  </si>
  <si>
    <t>GLUTA ANTIALGAS PLANTMIX 250ML</t>
  </si>
  <si>
    <t>GLUTA ANTIALGAS PLANTMIX 1000ML</t>
  </si>
  <si>
    <t>GOOFY ROLLITOS RELLENOS X 3 UN 60 GR</t>
  </si>
  <si>
    <t>GOOFY ROLLITOS RELLENO X 7 UNIDADES</t>
  </si>
  <si>
    <t>GOOFY ROLLITOS PANCETA 4 UNID X 70 G</t>
  </si>
  <si>
    <t>GLICOPAN 125 ML</t>
  </si>
  <si>
    <t>GIMNASIO MULTIFUNCIONAL</t>
  </si>
  <si>
    <t>GIFT CARD PETHOME 50.000</t>
  </si>
  <si>
    <t>GIFT CARD PETHOME 30.000</t>
  </si>
  <si>
    <t>GIANT PUPPY 15KG</t>
  </si>
  <si>
    <t>GIANT JUNIOR 15KG</t>
  </si>
  <si>
    <t>GIANT ADULT 15 KG</t>
  </si>
  <si>
    <t>GERMAN SHEPHERD JUNIOR 12 KG</t>
  </si>
  <si>
    <t>GERMAN SHEPHERD ADULT 12 KG</t>
  </si>
  <si>
    <t>GORRA PARA MASCOTA MODELO CONEJO</t>
  </si>
  <si>
    <t>GEMON PATE PUPPY &amp; JUNIOR TURKEY 150 GR</t>
  </si>
  <si>
    <t>GOLDFISH COLOUR PELLET 1000 ML / 360 GR</t>
  </si>
  <si>
    <t>GOLDFISH COLOUR PELLET 100 ML 36 GR</t>
  </si>
  <si>
    <t>GEMON DOG BREEDER TUNA/RICE 20 KG</t>
  </si>
  <si>
    <t>GEMON DOG BREEDER SUPERENERGY 20 KG</t>
  </si>
  <si>
    <t>GEMON DOG BREEDER PUPPY/JUNIOR 20 KG</t>
  </si>
  <si>
    <t>GEMON DOG BREEDER MAXI MAINTEN 20 KG</t>
  </si>
  <si>
    <t>GEMON CAT URINARY CHICKEN/RICE 7 KG</t>
  </si>
  <si>
    <t>GEMON CAT URINARY CHICKEN/RICE 2 KG</t>
  </si>
  <si>
    <t>GEMON CAT STERILIZED TURKEY 2 KG</t>
  </si>
  <si>
    <t>GEMON CAT LIGHT STERILIZED TURKEY 400 GR(X)</t>
  </si>
  <si>
    <t>GEMON CAT KITTEN CHICKEN/RICE 10 KG(X)</t>
  </si>
  <si>
    <t>GEMON CAT KITTEN CHICKEN 100GR</t>
  </si>
  <si>
    <t>BRIT CARE MINI GF SENSITIVE 2 KG</t>
  </si>
  <si>
    <t>BRIT CARE DOG GRAIN FREE PUPPY SALMON 1K</t>
  </si>
  <si>
    <t>GEMON POUCH CAT STERIL. TUNA/DORY 100GR</t>
  </si>
  <si>
    <t>GORRA PARA MASCOTA MODELO ABEJA</t>
  </si>
  <si>
    <t>GORRA DE BEISBOL L</t>
  </si>
  <si>
    <t>GORBAN 200-40 MG/ML SOL INY X 50 ML</t>
  </si>
  <si>
    <t>GOOFY STICKS DENTAL 3 EN 1 (5 UNIDADES, 70G)</t>
  </si>
  <si>
    <t>GOOFY SNACK VARITAS POLLO RAZA MEDIANA/GRANDE NATURAL X 60 GR</t>
  </si>
  <si>
    <t>GOOFY SNACK PATO LOOP HYPOALERGENICO</t>
  </si>
  <si>
    <t>GOOFY SNACK LIGHT 50 GR</t>
  </si>
  <si>
    <t>GOOFY SNACK FLEXI STICKS 60 GR</t>
  </si>
  <si>
    <t>GOOFY SNACK CONTROL ALIENTO 90 GR</t>
  </si>
  <si>
    <t>GOOFY SNACK CHIPS POLLO RAZAS PEQUEÑAS NATURAL X 60 GR</t>
  </si>
  <si>
    <t>ZAPATOS PARA PERROS CON TACHUELA CAMUFLAJE ROJO TALLA 2</t>
  </si>
  <si>
    <t>ZAPATOS PARA PERROS 2 TALLA XL</t>
  </si>
  <si>
    <t>ZAPATOS PARA PERROS 2 TALLA S</t>
  </si>
  <si>
    <t>ZAPATOS PARA PERROS 2 TALLA M</t>
  </si>
  <si>
    <t>GLUTA ANTIALGAS PLANTMIX 500ML</t>
  </si>
  <si>
    <t>GOOFY HUESITOS EXTRA CALCIO Y DESTETE 40 GR</t>
  </si>
  <si>
    <t>GOOFY BOCADITOS ENTRENAMIENTO 70G</t>
  </si>
  <si>
    <t>GOOFY BOCADITO DE PATO SNACK PERRO X 20 GR</t>
  </si>
  <si>
    <t>GOOFY BOCADITO DE CERDO SNACK PERRO X 20 GR</t>
  </si>
  <si>
    <t>GOLDFISH FLAKES 250 ML/ 50G</t>
  </si>
  <si>
    <t>GOLDFISH FLAKES 1000 ML/ 200G</t>
  </si>
  <si>
    <t>GOLDFISH FLAKES 100 ML / 20G</t>
  </si>
  <si>
    <t>GORRA PARA MASCOTA MODELO TIGRE</t>
  </si>
  <si>
    <t>GORRA PARA MASCOTA MODELO TIBURON</t>
  </si>
  <si>
    <t>GORRA PARA MASCOTA MODELO GIRASOL</t>
  </si>
  <si>
    <t>GOLDFISH COLOR SACHET 12 GR</t>
  </si>
  <si>
    <t>GOLDFISH COLOR 100ML 20GR</t>
  </si>
  <si>
    <t>GOLDFISH COLOR 1000 ML/ 200G</t>
  </si>
  <si>
    <t>Golden Retriever 25 Adult 12 K</t>
  </si>
  <si>
    <t>GOLDEN PUPPY 12 KG</t>
  </si>
  <si>
    <t>GOOFY HUESO COMPACTO PEQUEÑO 36 GR</t>
  </si>
  <si>
    <t>CEPILLO MULTIFUNCIONAL 3 EN 1</t>
  </si>
  <si>
    <t>TORTUGUERO ELBA MINI (36x33 CM) VERDE</t>
  </si>
  <si>
    <t>TORTUGUERO ELBA MINI (36x33 CM) CELESTE</t>
  </si>
  <si>
    <t>ACUARIO SILVER 38 L (38X26X38.5CM)</t>
  </si>
  <si>
    <t>BRIT CRUNCHY SNACK INSECTS WITH WHEY 200 GR</t>
  </si>
  <si>
    <t>BRIT CARE MINI GF SENSITIVE 7 KG</t>
  </si>
  <si>
    <t>TRANSPORTADORA KENNEL XL (89.2*60.5*73.8 CM)</t>
  </si>
  <si>
    <t>BRIT CARE MINI GF HAIR &amp; SKIN 2 KG</t>
  </si>
  <si>
    <t>JUGUETE WOODY CHEW CHUNK XS</t>
  </si>
  <si>
    <t>ARNES MALLA TRANSPIRABLE + TRAILLA 3XS</t>
  </si>
  <si>
    <t>Cojin Para Gatos O Cachorros M Verde Oscuro</t>
  </si>
  <si>
    <t>LOVE IS WHERE A CAT IS - CHICKEN &amp; TROUT PURE LATA 200 GR</t>
  </si>
  <si>
    <t>FLOR CON CATNIP AMARILLA</t>
  </si>
  <si>
    <t>PEINE PARA GATOS (EFECTO MASAJEADOR) AZUL</t>
  </si>
  <si>
    <t>Inmuno Pet 60 ml</t>
  </si>
  <si>
    <t>FRISBIEE 18 CM</t>
  </si>
  <si>
    <t>CHURU POP POLLO</t>
  </si>
  <si>
    <t>GORRA DE BEISBOL S</t>
  </si>
  <si>
    <t>PET OUT 160ML</t>
  </si>
  <si>
    <t>Brit care cat grain-free haircare healthy y shiny coat 2 kg</t>
  </si>
  <si>
    <t>GOLDFISH COLOR 250 ML/50GR</t>
  </si>
  <si>
    <t>JUGUETE PARA MASCOTAS OSO TRAPOSO GRANDE CON SONIDO</t>
  </si>
  <si>
    <t>ADORNO TRONCO CON PLANTAS 30*18CM</t>
  </si>
  <si>
    <t>HILLS CANINE I/D LATA 13 OZ</t>
  </si>
  <si>
    <t>CLICKER ENTRENAMIENTO CANINO</t>
  </si>
  <si>
    <t>SNACK TOPK9 TROCITOS DELI CARNE 85 GRS</t>
  </si>
  <si>
    <t>DIFUSOR CON LUZ LED COLORES 25 CM</t>
  </si>
  <si>
    <t>A</t>
  </si>
  <si>
    <t>B</t>
  </si>
  <si>
    <t>C</t>
  </si>
  <si>
    <t>Ir a ACANA Y ORIJEN</t>
  </si>
  <si>
    <t>20.900</t>
  </si>
  <si>
    <t>2654</t>
  </si>
  <si>
    <t>Ir a ACUARISTICA</t>
  </si>
  <si>
    <t>9.990</t>
  </si>
  <si>
    <t>20.538</t>
  </si>
  <si>
    <t>44.178</t>
  </si>
  <si>
    <t>30.000</t>
  </si>
  <si>
    <t>1.799</t>
  </si>
  <si>
    <t>3.690</t>
  </si>
  <si>
    <t>5.943</t>
  </si>
  <si>
    <t>3.490</t>
  </si>
  <si>
    <t>3.599</t>
  </si>
  <si>
    <t>-49.994</t>
  </si>
  <si>
    <t>-7.547</t>
  </si>
  <si>
    <t>7.600</t>
  </si>
  <si>
    <t>1.796</t>
  </si>
  <si>
    <t>1.520</t>
  </si>
  <si>
    <t>410</t>
  </si>
  <si>
    <t>2.827</t>
  </si>
  <si>
    <t>1.390</t>
  </si>
  <si>
    <t>1.166</t>
  </si>
  <si>
    <t>491</t>
  </si>
  <si>
    <t>200</t>
  </si>
  <si>
    <t>2.420</t>
  </si>
  <si>
    <t>2367</t>
  </si>
  <si>
    <t>1666</t>
  </si>
  <si>
    <t>754</t>
  </si>
  <si>
    <t>1667</t>
  </si>
  <si>
    <t>-158</t>
  </si>
  <si>
    <t>180</t>
  </si>
  <si>
    <t>1408</t>
  </si>
  <si>
    <t>150</t>
  </si>
  <si>
    <t>911</t>
  </si>
  <si>
    <t>-3419</t>
  </si>
  <si>
    <t>9687</t>
  </si>
  <si>
    <t>1522</t>
  </si>
  <si>
    <t>905</t>
  </si>
  <si>
    <t>908</t>
  </si>
  <si>
    <t>1501</t>
  </si>
  <si>
    <t>-3.114,29</t>
  </si>
  <si>
    <t>4156</t>
  </si>
  <si>
    <t>Ir a AGILITY - OWNAT - DOG EVOLUTION</t>
  </si>
  <si>
    <t>Ir a AGROVET</t>
  </si>
  <si>
    <t>3.951</t>
  </si>
  <si>
    <t>12.733</t>
  </si>
  <si>
    <t>1.290</t>
  </si>
  <si>
    <t>1.822</t>
  </si>
  <si>
    <t>103.980</t>
  </si>
  <si>
    <t>15.280</t>
  </si>
  <si>
    <t>912</t>
  </si>
  <si>
    <t>41.980</t>
  </si>
  <si>
    <t>14.590</t>
  </si>
  <si>
    <t>4.690</t>
  </si>
  <si>
    <t>53.990</t>
  </si>
  <si>
    <t>1157</t>
  </si>
  <si>
    <t>2202</t>
  </si>
  <si>
    <t>3229</t>
  </si>
  <si>
    <t>411</t>
  </si>
  <si>
    <t>1346</t>
  </si>
  <si>
    <t>418</t>
  </si>
  <si>
    <t>250</t>
  </si>
  <si>
    <t>43</t>
  </si>
  <si>
    <t>1071</t>
  </si>
  <si>
    <t>2519</t>
  </si>
  <si>
    <t>1446</t>
  </si>
  <si>
    <t>Ir a ALTA TECNOLOGIA VET</t>
  </si>
  <si>
    <t>26.196</t>
  </si>
  <si>
    <t>37.180</t>
  </si>
  <si>
    <t>7.690</t>
  </si>
  <si>
    <t>2532</t>
  </si>
  <si>
    <t>2383</t>
  </si>
  <si>
    <t>Ir a Ancestral</t>
  </si>
  <si>
    <t>Ir a ANDIS</t>
  </si>
  <si>
    <t>79.800</t>
  </si>
  <si>
    <t>1384</t>
  </si>
  <si>
    <t>Ir a ANIMALES PEQUEÑOS</t>
  </si>
  <si>
    <t>3.580</t>
  </si>
  <si>
    <t>23.990</t>
  </si>
  <si>
    <t>1.890</t>
  </si>
  <si>
    <t>2.290</t>
  </si>
  <si>
    <t>2.090</t>
  </si>
  <si>
    <t>1.975</t>
  </si>
  <si>
    <t>4.498</t>
  </si>
  <si>
    <t>1.864</t>
  </si>
  <si>
    <t>11.379</t>
  </si>
  <si>
    <t>4.117</t>
  </si>
  <si>
    <t>3.590</t>
  </si>
  <si>
    <t>9.639</t>
  </si>
  <si>
    <t>3.990</t>
  </si>
  <si>
    <t>3.947</t>
  </si>
  <si>
    <t>5.990</t>
  </si>
  <si>
    <t>49.990</t>
  </si>
  <si>
    <t>1.374</t>
  </si>
  <si>
    <t>4.490</t>
  </si>
  <si>
    <t>6.024</t>
  </si>
  <si>
    <t>8.362</t>
  </si>
  <si>
    <t>2.345</t>
  </si>
  <si>
    <t>9.403</t>
  </si>
  <si>
    <t>289.900</t>
  </si>
  <si>
    <t>11.782</t>
  </si>
  <si>
    <t>4.554</t>
  </si>
  <si>
    <t>6.837</t>
  </si>
  <si>
    <t>-4.090</t>
  </si>
  <si>
    <t>2.390</t>
  </si>
  <si>
    <t>-7.454</t>
  </si>
  <si>
    <t>4.006</t>
  </si>
  <si>
    <t>13.990</t>
  </si>
  <si>
    <t>18.990</t>
  </si>
  <si>
    <t>4.990</t>
  </si>
  <si>
    <t>10.030</t>
  </si>
  <si>
    <t>750</t>
  </si>
  <si>
    <t>1.380</t>
  </si>
  <si>
    <t>4076</t>
  </si>
  <si>
    <t>-8196</t>
  </si>
  <si>
    <t>1116</t>
  </si>
  <si>
    <t>1555</t>
  </si>
  <si>
    <t>2095</t>
  </si>
  <si>
    <t>2056</t>
  </si>
  <si>
    <t>138</t>
  </si>
  <si>
    <t>1284</t>
  </si>
  <si>
    <t>4481</t>
  </si>
  <si>
    <t>741</t>
  </si>
  <si>
    <t>5195</t>
  </si>
  <si>
    <t>91</t>
  </si>
  <si>
    <t>2867</t>
  </si>
  <si>
    <t>4451</t>
  </si>
  <si>
    <t>2279</t>
  </si>
  <si>
    <t>4633</t>
  </si>
  <si>
    <t>1999</t>
  </si>
  <si>
    <t>3096</t>
  </si>
  <si>
    <t>1163</t>
  </si>
  <si>
    <t>3081</t>
  </si>
  <si>
    <t>1324</t>
  </si>
  <si>
    <t>2039</t>
  </si>
  <si>
    <t>1495</t>
  </si>
  <si>
    <t>194</t>
  </si>
  <si>
    <t>1767</t>
  </si>
  <si>
    <t>1385</t>
  </si>
  <si>
    <t>6095</t>
  </si>
  <si>
    <t>2874</t>
  </si>
  <si>
    <t>909</t>
  </si>
  <si>
    <t>1627</t>
  </si>
  <si>
    <t>1403</t>
  </si>
  <si>
    <t>-659</t>
  </si>
  <si>
    <t>448</t>
  </si>
  <si>
    <t>496</t>
  </si>
  <si>
    <t>1571</t>
  </si>
  <si>
    <t>3845</t>
  </si>
  <si>
    <t>Ir a AVES</t>
  </si>
  <si>
    <t>80.970</t>
  </si>
  <si>
    <t>3.346</t>
  </si>
  <si>
    <t>499.900</t>
  </si>
  <si>
    <t>578</t>
  </si>
  <si>
    <t>5.421</t>
  </si>
  <si>
    <t>1.191</t>
  </si>
  <si>
    <t>36.990</t>
  </si>
  <si>
    <t>99.900</t>
  </si>
  <si>
    <t>590</t>
  </si>
  <si>
    <t>1.190</t>
  </si>
  <si>
    <t>1.980</t>
  </si>
  <si>
    <t>4.780</t>
  </si>
  <si>
    <t>2981</t>
  </si>
  <si>
    <t>878</t>
  </si>
  <si>
    <t>1998</t>
  </si>
  <si>
    <t>1343</t>
  </si>
  <si>
    <t>-71</t>
  </si>
  <si>
    <t>372</t>
  </si>
  <si>
    <t>2923</t>
  </si>
  <si>
    <t>289</t>
  </si>
  <si>
    <t>3401</t>
  </si>
  <si>
    <t>2651</t>
  </si>
  <si>
    <t>Ir a BILJAC</t>
  </si>
  <si>
    <t>-11.970</t>
  </si>
  <si>
    <t>19.740</t>
  </si>
  <si>
    <t>129.980</t>
  </si>
  <si>
    <t>64.990</t>
  </si>
  <si>
    <t>21.990</t>
  </si>
  <si>
    <t>2076</t>
  </si>
  <si>
    <t>1477</t>
  </si>
  <si>
    <t>2957</t>
  </si>
  <si>
    <t>1002</t>
  </si>
  <si>
    <t>1151</t>
  </si>
  <si>
    <t>Ir a BIOLINE</t>
  </si>
  <si>
    <t>7.970</t>
  </si>
  <si>
    <t>2.945</t>
  </si>
  <si>
    <t>2.487</t>
  </si>
  <si>
    <t>3.790</t>
  </si>
  <si>
    <t>1.992</t>
  </si>
  <si>
    <t>1.528</t>
  </si>
  <si>
    <t>729</t>
  </si>
  <si>
    <t>1273</t>
  </si>
  <si>
    <t>096</t>
  </si>
  <si>
    <t>7018</t>
  </si>
  <si>
    <t>1947</t>
  </si>
  <si>
    <t>Ir a BOEHRINGER</t>
  </si>
  <si>
    <t>104.028</t>
  </si>
  <si>
    <t>47.940</t>
  </si>
  <si>
    <t>75.920</t>
  </si>
  <si>
    <t>27.960</t>
  </si>
  <si>
    <t>79.950</t>
  </si>
  <si>
    <t>26.970</t>
  </si>
  <si>
    <t>49.980</t>
  </si>
  <si>
    <t>18.980</t>
  </si>
  <si>
    <t>14.990</t>
  </si>
  <si>
    <t>48.000</t>
  </si>
  <si>
    <t>35.970</t>
  </si>
  <si>
    <t>32.697</t>
  </si>
  <si>
    <t>5.490</t>
  </si>
  <si>
    <t>6.990</t>
  </si>
  <si>
    <t>59.800</t>
  </si>
  <si>
    <t>8.990</t>
  </si>
  <si>
    <t>23.980</t>
  </si>
  <si>
    <t>308.326</t>
  </si>
  <si>
    <t>1283</t>
  </si>
  <si>
    <t>48</t>
  </si>
  <si>
    <t>2561</t>
  </si>
  <si>
    <t>1243</t>
  </si>
  <si>
    <t>2064</t>
  </si>
  <si>
    <t>1698</t>
  </si>
  <si>
    <t>966</t>
  </si>
  <si>
    <t>2254</t>
  </si>
  <si>
    <t>914</t>
  </si>
  <si>
    <t>1605</t>
  </si>
  <si>
    <t>475</t>
  </si>
  <si>
    <t>45</t>
  </si>
  <si>
    <t>1009</t>
  </si>
  <si>
    <t>707</t>
  </si>
  <si>
    <t>935</t>
  </si>
  <si>
    <t>1669</t>
  </si>
  <si>
    <t>3128</t>
  </si>
  <si>
    <t>2272</t>
  </si>
  <si>
    <t>427</t>
  </si>
  <si>
    <t>Ir a BRAVERY</t>
  </si>
  <si>
    <t>Ir a BRIT CARE</t>
  </si>
  <si>
    <t>152.910</t>
  </si>
  <si>
    <t>335.930</t>
  </si>
  <si>
    <t>279.958</t>
  </si>
  <si>
    <t>359.400</t>
  </si>
  <si>
    <t>287.940</t>
  </si>
  <si>
    <t>289.950</t>
  </si>
  <si>
    <t>299.950</t>
  </si>
  <si>
    <t>27.930</t>
  </si>
  <si>
    <t>484.290</t>
  </si>
  <si>
    <t>101.940</t>
  </si>
  <si>
    <t>299.500</t>
  </si>
  <si>
    <t>211.960</t>
  </si>
  <si>
    <t>219.960</t>
  </si>
  <si>
    <t>45.000</t>
  </si>
  <si>
    <t>173.871</t>
  </si>
  <si>
    <t>230.970</t>
  </si>
  <si>
    <t>115.960</t>
  </si>
  <si>
    <t>188.970</t>
  </si>
  <si>
    <t>3.160</t>
  </si>
  <si>
    <t>5.370</t>
  </si>
  <si>
    <t>7.980</t>
  </si>
  <si>
    <t>27.450</t>
  </si>
  <si>
    <t>16.873</t>
  </si>
  <si>
    <t>19.499</t>
  </si>
  <si>
    <t>19.990</t>
  </si>
  <si>
    <t>57.990</t>
  </si>
  <si>
    <t>63.990</t>
  </si>
  <si>
    <t>17.990</t>
  </si>
  <si>
    <t>29.980</t>
  </si>
  <si>
    <t>8.390</t>
  </si>
  <si>
    <t>-3.990</t>
  </si>
  <si>
    <t>-57.778</t>
  </si>
  <si>
    <t>-10.990</t>
  </si>
  <si>
    <t>19.696</t>
  </si>
  <si>
    <t>18.862</t>
  </si>
  <si>
    <t>-125.298</t>
  </si>
  <si>
    <t>675</t>
  </si>
  <si>
    <t>384</t>
  </si>
  <si>
    <t>-2396</t>
  </si>
  <si>
    <t>1832</t>
  </si>
  <si>
    <t>416</t>
  </si>
  <si>
    <t>1563</t>
  </si>
  <si>
    <t>1278</t>
  </si>
  <si>
    <t>-3203</t>
  </si>
  <si>
    <t>1632</t>
  </si>
  <si>
    <t>-574</t>
  </si>
  <si>
    <t>244</t>
  </si>
  <si>
    <t>1988</t>
  </si>
  <si>
    <t>89</t>
  </si>
  <si>
    <t>2352</t>
  </si>
  <si>
    <t>1476</t>
  </si>
  <si>
    <t>1226</t>
  </si>
  <si>
    <t>1052</t>
  </si>
  <si>
    <t>825</t>
  </si>
  <si>
    <t>-4853</t>
  </si>
  <si>
    <t>1185</t>
  </si>
  <si>
    <t>-024</t>
  </si>
  <si>
    <t>1153</t>
  </si>
  <si>
    <t>1183</t>
  </si>
  <si>
    <t>100</t>
  </si>
  <si>
    <t>2889</t>
  </si>
  <si>
    <t>1936</t>
  </si>
  <si>
    <t>1591</t>
  </si>
  <si>
    <t>2106</t>
  </si>
  <si>
    <t>1242</t>
  </si>
  <si>
    <t>-216</t>
  </si>
  <si>
    <t>1749</t>
  </si>
  <si>
    <t>2107</t>
  </si>
  <si>
    <t>352</t>
  </si>
  <si>
    <t>-561</t>
  </si>
  <si>
    <t>2142</t>
  </si>
  <si>
    <t>2472</t>
  </si>
  <si>
    <t>637</t>
  </si>
  <si>
    <t>298</t>
  </si>
  <si>
    <t>-067</t>
  </si>
  <si>
    <t>1203</t>
  </si>
  <si>
    <t>-025</t>
  </si>
  <si>
    <t>Ir a CHURU</t>
  </si>
  <si>
    <t>1.790</t>
  </si>
  <si>
    <t>16.485</t>
  </si>
  <si>
    <t>3.980</t>
  </si>
  <si>
    <t>7.065</t>
  </si>
  <si>
    <t>29.468</t>
  </si>
  <si>
    <t>5.970</t>
  </si>
  <si>
    <t>4.534</t>
  </si>
  <si>
    <t>1.990</t>
  </si>
  <si>
    <t>18.275</t>
  </si>
  <si>
    <t>32.970</t>
  </si>
  <si>
    <t>9.002</t>
  </si>
  <si>
    <t>11.765</t>
  </si>
  <si>
    <t>2.190</t>
  </si>
  <si>
    <t>9.160</t>
  </si>
  <si>
    <t>2.135</t>
  </si>
  <si>
    <t>1.276</t>
  </si>
  <si>
    <t>2.353</t>
  </si>
  <si>
    <t>2.690</t>
  </si>
  <si>
    <t>14.952</t>
  </si>
  <si>
    <t>7.960</t>
  </si>
  <si>
    <t>2594</t>
  </si>
  <si>
    <t>1455</t>
  </si>
  <si>
    <t>5098</t>
  </si>
  <si>
    <t>1456</t>
  </si>
  <si>
    <t>228</t>
  </si>
  <si>
    <t>2159</t>
  </si>
  <si>
    <t>3336</t>
  </si>
  <si>
    <t>2456</t>
  </si>
  <si>
    <t>2221</t>
  </si>
  <si>
    <t>2587</t>
  </si>
  <si>
    <t>1744</t>
  </si>
  <si>
    <t>2356</t>
  </si>
  <si>
    <t>2869</t>
  </si>
  <si>
    <t>-3817</t>
  </si>
  <si>
    <t>2354</t>
  </si>
  <si>
    <t>3494</t>
  </si>
  <si>
    <t>553</t>
  </si>
  <si>
    <t>Ir a DRAG PHARMA</t>
  </si>
  <si>
    <t>19.140</t>
  </si>
  <si>
    <t>20.940</t>
  </si>
  <si>
    <t>23.960</t>
  </si>
  <si>
    <t>49.950</t>
  </si>
  <si>
    <t>50.970</t>
  </si>
  <si>
    <t>17.370</t>
  </si>
  <si>
    <t>56.970</t>
  </si>
  <si>
    <t>19.980</t>
  </si>
  <si>
    <t>179.880</t>
  </si>
  <si>
    <t>25.980</t>
  </si>
  <si>
    <t>15.180</t>
  </si>
  <si>
    <t>9.980</t>
  </si>
  <si>
    <t>3.290</t>
  </si>
  <si>
    <t>17.380</t>
  </si>
  <si>
    <t>11.900</t>
  </si>
  <si>
    <t>10.900</t>
  </si>
  <si>
    <t>21.600</t>
  </si>
  <si>
    <t>9.890</t>
  </si>
  <si>
    <t>8.290</t>
  </si>
  <si>
    <t>77.960</t>
  </si>
  <si>
    <t>6.290</t>
  </si>
  <si>
    <t>8.490</t>
  </si>
  <si>
    <t>9.800</t>
  </si>
  <si>
    <t>23.670</t>
  </si>
  <si>
    <t>16.590</t>
  </si>
  <si>
    <t>7.990</t>
  </si>
  <si>
    <t>-7.990</t>
  </si>
  <si>
    <t>11.190</t>
  </si>
  <si>
    <t>-9.990</t>
  </si>
  <si>
    <t>12.990</t>
  </si>
  <si>
    <t>3.896</t>
  </si>
  <si>
    <t>33.980</t>
  </si>
  <si>
    <t>36.190</t>
  </si>
  <si>
    <t>62.820</t>
  </si>
  <si>
    <t>15.860</t>
  </si>
  <si>
    <t>35.682</t>
  </si>
  <si>
    <t>11.070</t>
  </si>
  <si>
    <t>2.490</t>
  </si>
  <si>
    <t>2.500</t>
  </si>
  <si>
    <t>1.250</t>
  </si>
  <si>
    <t>2999</t>
  </si>
  <si>
    <t>2311</t>
  </si>
  <si>
    <t>2394</t>
  </si>
  <si>
    <t>1297</t>
  </si>
  <si>
    <t>1322</t>
  </si>
  <si>
    <t>2802</t>
  </si>
  <si>
    <t>196</t>
  </si>
  <si>
    <t>2733</t>
  </si>
  <si>
    <t>3767</t>
  </si>
  <si>
    <t>3667</t>
  </si>
  <si>
    <t>1311</t>
  </si>
  <si>
    <t>-512</t>
  </si>
  <si>
    <t>926</t>
  </si>
  <si>
    <t>1376</t>
  </si>
  <si>
    <t>2153</t>
  </si>
  <si>
    <t>4606</t>
  </si>
  <si>
    <t>3621</t>
  </si>
  <si>
    <t>-714</t>
  </si>
  <si>
    <t>-043</t>
  </si>
  <si>
    <t>2968</t>
  </si>
  <si>
    <t>3541</t>
  </si>
  <si>
    <t>662</t>
  </si>
  <si>
    <t>3107</t>
  </si>
  <si>
    <t>1938</t>
  </si>
  <si>
    <t>735</t>
  </si>
  <si>
    <t>1134</t>
  </si>
  <si>
    <t>4172</t>
  </si>
  <si>
    <t>3228</t>
  </si>
  <si>
    <t>1835</t>
  </si>
  <si>
    <t>389</t>
  </si>
  <si>
    <t>2358</t>
  </si>
  <si>
    <t>2238</t>
  </si>
  <si>
    <t>-1796</t>
  </si>
  <si>
    <t>3473</t>
  </si>
  <si>
    <t>332</t>
  </si>
  <si>
    <t>2127</t>
  </si>
  <si>
    <t>1152</t>
  </si>
  <si>
    <t>2768</t>
  </si>
  <si>
    <t>3004</t>
  </si>
  <si>
    <t>1418</t>
  </si>
  <si>
    <t>1939</t>
  </si>
  <si>
    <t>3699</t>
  </si>
  <si>
    <t>1538</t>
  </si>
  <si>
    <t>3334</t>
  </si>
  <si>
    <t>2229</t>
  </si>
  <si>
    <t>Ir a DROGUERIA ÑUÑOA</t>
  </si>
  <si>
    <t>179.910</t>
  </si>
  <si>
    <t>62.649</t>
  </si>
  <si>
    <t>34.980</t>
  </si>
  <si>
    <t>-101.850</t>
  </si>
  <si>
    <t>23.970</t>
  </si>
  <si>
    <t>27.013</t>
  </si>
  <si>
    <t>11.690</t>
  </si>
  <si>
    <t>17.900</t>
  </si>
  <si>
    <t>7.176</t>
  </si>
  <si>
    <t>47.980</t>
  </si>
  <si>
    <t>35.980</t>
  </si>
  <si>
    <t>18.900</t>
  </si>
  <si>
    <t>9.690</t>
  </si>
  <si>
    <t>14.690</t>
  </si>
  <si>
    <t>19.900</t>
  </si>
  <si>
    <t>18.590</t>
  </si>
  <si>
    <t>26.990</t>
  </si>
  <si>
    <t>18.407</t>
  </si>
  <si>
    <t>67.960</t>
  </si>
  <si>
    <t>29.900</t>
  </si>
  <si>
    <t>5.156</t>
  </si>
  <si>
    <t>65.980</t>
  </si>
  <si>
    <t>6.190</t>
  </si>
  <si>
    <t>11.990</t>
  </si>
  <si>
    <t>14.980</t>
  </si>
  <si>
    <t>27.980</t>
  </si>
  <si>
    <t>42.950</t>
  </si>
  <si>
    <t>4559</t>
  </si>
  <si>
    <t>-288</t>
  </si>
  <si>
    <t>1406</t>
  </si>
  <si>
    <t>-754</t>
  </si>
  <si>
    <t>377</t>
  </si>
  <si>
    <t>2983</t>
  </si>
  <si>
    <t>669</t>
  </si>
  <si>
    <t>2529</t>
  </si>
  <si>
    <t>-177</t>
  </si>
  <si>
    <t>1218</t>
  </si>
  <si>
    <t>4905</t>
  </si>
  <si>
    <t>1572</t>
  </si>
  <si>
    <t>1368</t>
  </si>
  <si>
    <t>2309</t>
  </si>
  <si>
    <t>257</t>
  </si>
  <si>
    <t>2531</t>
  </si>
  <si>
    <t>2035</t>
  </si>
  <si>
    <t>2792</t>
  </si>
  <si>
    <t>3157</t>
  </si>
  <si>
    <t>1173</t>
  </si>
  <si>
    <t>2047</t>
  </si>
  <si>
    <t>1766</t>
  </si>
  <si>
    <t>2258</t>
  </si>
  <si>
    <t>833</t>
  </si>
  <si>
    <t>1919</t>
  </si>
  <si>
    <t>315</t>
  </si>
  <si>
    <t>2765</t>
  </si>
  <si>
    <t>2757</t>
  </si>
  <si>
    <t>2304</t>
  </si>
  <si>
    <t>499</t>
  </si>
  <si>
    <t>66</t>
  </si>
  <si>
    <t>2607</t>
  </si>
  <si>
    <t>2045</t>
  </si>
  <si>
    <t>Ir a EASY CLEAN</t>
  </si>
  <si>
    <t>Ir a ELANCO</t>
  </si>
  <si>
    <t>37.796</t>
  </si>
  <si>
    <t>18.012</t>
  </si>
  <si>
    <t>39.960</t>
  </si>
  <si>
    <t>11.490</t>
  </si>
  <si>
    <t>16.990</t>
  </si>
  <si>
    <t>22.900</t>
  </si>
  <si>
    <t>19.892</t>
  </si>
  <si>
    <t>101.960</t>
  </si>
  <si>
    <t>942.800</t>
  </si>
  <si>
    <t>-1322</t>
  </si>
  <si>
    <t>-176</t>
  </si>
  <si>
    <t>1329</t>
  </si>
  <si>
    <t>2139</t>
  </si>
  <si>
    <t>2211</t>
  </si>
  <si>
    <t>1379</t>
  </si>
  <si>
    <t>-1657</t>
  </si>
  <si>
    <t>2351</t>
  </si>
  <si>
    <t>2382</t>
  </si>
  <si>
    <t>Ir a FARMACIA</t>
  </si>
  <si>
    <t>7.808</t>
  </si>
  <si>
    <t>2253</t>
  </si>
  <si>
    <t>Ir a FELLINI</t>
  </si>
  <si>
    <t>2525</t>
  </si>
  <si>
    <t>2569</t>
  </si>
  <si>
    <t>Ir a FEMA</t>
  </si>
  <si>
    <t>2.801</t>
  </si>
  <si>
    <t>5.632</t>
  </si>
  <si>
    <t>916</t>
  </si>
  <si>
    <t>964</t>
  </si>
  <si>
    <t>Ir a FIT FORMULA</t>
  </si>
  <si>
    <t>6.360</t>
  </si>
  <si>
    <t>19.129</t>
  </si>
  <si>
    <t>3.180</t>
  </si>
  <si>
    <t>99.500</t>
  </si>
  <si>
    <t>3.060</t>
  </si>
  <si>
    <t>7.890</t>
  </si>
  <si>
    <t>209.940</t>
  </si>
  <si>
    <t>4.770</t>
  </si>
  <si>
    <t>5.160</t>
  </si>
  <si>
    <t>2582</t>
  </si>
  <si>
    <t>1453</t>
  </si>
  <si>
    <t>1855</t>
  </si>
  <si>
    <t>2784</t>
  </si>
  <si>
    <t>2154</t>
  </si>
  <si>
    <t>1404</t>
  </si>
  <si>
    <t>1876</t>
  </si>
  <si>
    <t>2437</t>
  </si>
  <si>
    <t>2564</t>
  </si>
  <si>
    <t>2904</t>
  </si>
  <si>
    <t>2951</t>
  </si>
  <si>
    <t>Ir a FROST</t>
  </si>
  <si>
    <t>191.960</t>
  </si>
  <si>
    <t>39.980</t>
  </si>
  <si>
    <t>47.990</t>
  </si>
  <si>
    <t>9.490</t>
  </si>
  <si>
    <t>37.990</t>
  </si>
  <si>
    <t>-25.990</t>
  </si>
  <si>
    <t>2728</t>
  </si>
  <si>
    <t>2769</t>
  </si>
  <si>
    <t>1392</t>
  </si>
  <si>
    <t>612</t>
  </si>
  <si>
    <t>1319</t>
  </si>
  <si>
    <t>1409</t>
  </si>
  <si>
    <t>105</t>
  </si>
  <si>
    <t>Ir a GOOFY</t>
  </si>
  <si>
    <t>5.070</t>
  </si>
  <si>
    <t>2.180</t>
  </si>
  <si>
    <t>8.980</t>
  </si>
  <si>
    <t>1657</t>
  </si>
  <si>
    <t>-1299</t>
  </si>
  <si>
    <t>3666</t>
  </si>
  <si>
    <t>Ir a GORCHEN</t>
  </si>
  <si>
    <t>Ir a HAPPYCAT</t>
  </si>
  <si>
    <t>254.850</t>
  </si>
  <si>
    <t>2363</t>
  </si>
  <si>
    <t>Ir a HILL'S SCIENCE DIET</t>
  </si>
  <si>
    <t>39.800</t>
  </si>
  <si>
    <t>79.900</t>
  </si>
  <si>
    <t>8.200</t>
  </si>
  <si>
    <t>-51.990</t>
  </si>
  <si>
    <t>-44.492</t>
  </si>
  <si>
    <t>-57.990</t>
  </si>
  <si>
    <t>-4.380</t>
  </si>
  <si>
    <t>18.450</t>
  </si>
  <si>
    <t>2565</t>
  </si>
  <si>
    <t>2024</t>
  </si>
  <si>
    <t>207</t>
  </si>
  <si>
    <t>2543</t>
  </si>
  <si>
    <t>2481</t>
  </si>
  <si>
    <t>2111</t>
  </si>
  <si>
    <t>3453</t>
  </si>
  <si>
    <t>2274</t>
  </si>
  <si>
    <t>2083</t>
  </si>
  <si>
    <t>Ir a INSUFARMA</t>
  </si>
  <si>
    <t>125.910</t>
  </si>
  <si>
    <t>143.940</t>
  </si>
  <si>
    <t>99.990</t>
  </si>
  <si>
    <t>8.970</t>
  </si>
  <si>
    <t>8.070</t>
  </si>
  <si>
    <t>99.960</t>
  </si>
  <si>
    <t>43.980</t>
  </si>
  <si>
    <t>7.277</t>
  </si>
  <si>
    <t>138.802</t>
  </si>
  <si>
    <t>42.765</t>
  </si>
  <si>
    <t>48.990</t>
  </si>
  <si>
    <t>5.980</t>
  </si>
  <si>
    <t>31.780</t>
  </si>
  <si>
    <t>4127</t>
  </si>
  <si>
    <t>3309</t>
  </si>
  <si>
    <t>1918</t>
  </si>
  <si>
    <t>1211</t>
  </si>
  <si>
    <t>3686</t>
  </si>
  <si>
    <t>2636</t>
  </si>
  <si>
    <t>4551</t>
  </si>
  <si>
    <t>5444</t>
  </si>
  <si>
    <t>4648</t>
  </si>
  <si>
    <t>2423</t>
  </si>
  <si>
    <t>3906</t>
  </si>
  <si>
    <t>1948</t>
  </si>
  <si>
    <t>3531</t>
  </si>
  <si>
    <t>2517</t>
  </si>
  <si>
    <t>4151</t>
  </si>
  <si>
    <t>2415</t>
  </si>
  <si>
    <t>4552</t>
  </si>
  <si>
    <t>Ir a JOSERA</t>
  </si>
  <si>
    <t>104.930</t>
  </si>
  <si>
    <t>296.940</t>
  </si>
  <si>
    <t>299.400</t>
  </si>
  <si>
    <t>269.950</t>
  </si>
  <si>
    <t>28.450</t>
  </si>
  <si>
    <t>199.500</t>
  </si>
  <si>
    <t>75.000</t>
  </si>
  <si>
    <t>63.960</t>
  </si>
  <si>
    <t>71.960</t>
  </si>
  <si>
    <t>119.700</t>
  </si>
  <si>
    <t>149.700</t>
  </si>
  <si>
    <t>99.800</t>
  </si>
  <si>
    <t>58.990</t>
  </si>
  <si>
    <t>75.980</t>
  </si>
  <si>
    <t>135.560</t>
  </si>
  <si>
    <t>39.900</t>
  </si>
  <si>
    <t>87.980</t>
  </si>
  <si>
    <t>59.900</t>
  </si>
  <si>
    <t>59.600</t>
  </si>
  <si>
    <t>31.990</t>
  </si>
  <si>
    <t>868</t>
  </si>
  <si>
    <t>1326</t>
  </si>
  <si>
    <t>943</t>
  </si>
  <si>
    <t>1906</t>
  </si>
  <si>
    <t>1361</t>
  </si>
  <si>
    <t>1459</t>
  </si>
  <si>
    <t>1976</t>
  </si>
  <si>
    <t>-503</t>
  </si>
  <si>
    <t>1589</t>
  </si>
  <si>
    <t>2081</t>
  </si>
  <si>
    <t>1445</t>
  </si>
  <si>
    <t>1375</t>
  </si>
  <si>
    <t>1417</t>
  </si>
  <si>
    <t>9997</t>
  </si>
  <si>
    <t>4858</t>
  </si>
  <si>
    <t>788</t>
  </si>
  <si>
    <t>4501</t>
  </si>
  <si>
    <t>1773</t>
  </si>
  <si>
    <t>1664</t>
  </si>
  <si>
    <t>1708</t>
  </si>
  <si>
    <t>1992</t>
  </si>
  <si>
    <t>1231</t>
  </si>
  <si>
    <t>1121</t>
  </si>
  <si>
    <t>4056</t>
  </si>
  <si>
    <t>525</t>
  </si>
  <si>
    <t>Ir a KETUNPET</t>
  </si>
  <si>
    <t>Ir a KOBOR</t>
  </si>
  <si>
    <t>8.760</t>
  </si>
  <si>
    <t>5.460</t>
  </si>
  <si>
    <t>71.980</t>
  </si>
  <si>
    <t>57.226</t>
  </si>
  <si>
    <t>16.190</t>
  </si>
  <si>
    <t>-15.990</t>
  </si>
  <si>
    <t>5.580</t>
  </si>
  <si>
    <t>3.390</t>
  </si>
  <si>
    <t>2023</t>
  </si>
  <si>
    <t>-102</t>
  </si>
  <si>
    <t>2504</t>
  </si>
  <si>
    <t>573</t>
  </si>
  <si>
    <t>212</t>
  </si>
  <si>
    <t>2444</t>
  </si>
  <si>
    <t>4029</t>
  </si>
  <si>
    <t>216</t>
  </si>
  <si>
    <t>Ir a LEONARDO Y BELCANDO</t>
  </si>
  <si>
    <t>11.970</t>
  </si>
  <si>
    <t>2.289</t>
  </si>
  <si>
    <t>193</t>
  </si>
  <si>
    <t>828</t>
  </si>
  <si>
    <t>Ir a Mascotas</t>
  </si>
  <si>
    <t>71.380</t>
  </si>
  <si>
    <t>25.000</t>
  </si>
  <si>
    <t>300</t>
  </si>
  <si>
    <t>524</t>
  </si>
  <si>
    <t>Ir a NATURAL FOOD</t>
  </si>
  <si>
    <t>Ir a NOMADE</t>
  </si>
  <si>
    <t>135.939</t>
  </si>
  <si>
    <t>Ir a NUTRA GOLD</t>
  </si>
  <si>
    <t>Ir a NUTRAM</t>
  </si>
  <si>
    <t>Ir a ovenbaked</t>
  </si>
  <si>
    <t>11.590</t>
  </si>
  <si>
    <t>523</t>
  </si>
  <si>
    <t>Ir a PATAGON</t>
  </si>
  <si>
    <t>Ir a PECES</t>
  </si>
  <si>
    <t>Ir a Peluquería canina</t>
  </si>
  <si>
    <t>Ir a PEPOLLI</t>
  </si>
  <si>
    <t>Ir a PERROS Y GATOS</t>
  </si>
  <si>
    <t>10.740</t>
  </si>
  <si>
    <t>22.148</t>
  </si>
  <si>
    <t>3.450</t>
  </si>
  <si>
    <t>22.856</t>
  </si>
  <si>
    <t>7.740</t>
  </si>
  <si>
    <t>5.560</t>
  </si>
  <si>
    <t>6.726</t>
  </si>
  <si>
    <t>6.454</t>
  </si>
  <si>
    <t>9.030</t>
  </si>
  <si>
    <t>17.674</t>
  </si>
  <si>
    <t>10.470</t>
  </si>
  <si>
    <t>10.360</t>
  </si>
  <si>
    <t>25.470</t>
  </si>
  <si>
    <t>11.670</t>
  </si>
  <si>
    <t>7.953</t>
  </si>
  <si>
    <t>8.850</t>
  </si>
  <si>
    <t>4.587</t>
  </si>
  <si>
    <t>15.480</t>
  </si>
  <si>
    <t>100.076</t>
  </si>
  <si>
    <t>2.380</t>
  </si>
  <si>
    <t>14.000</t>
  </si>
  <si>
    <t>2.698</t>
  </si>
  <si>
    <t>15.580</t>
  </si>
  <si>
    <t>6.180</t>
  </si>
  <si>
    <t>11.566</t>
  </si>
  <si>
    <t>1.355</t>
  </si>
  <si>
    <t>9.915</t>
  </si>
  <si>
    <t>4.328</t>
  </si>
  <si>
    <t>27.800</t>
  </si>
  <si>
    <t>8.568</t>
  </si>
  <si>
    <t>20.134</t>
  </si>
  <si>
    <t>29.070</t>
  </si>
  <si>
    <t>4.380</t>
  </si>
  <si>
    <t>5.116</t>
  </si>
  <si>
    <t>3.353</t>
  </si>
  <si>
    <t>6.432</t>
  </si>
  <si>
    <t>3.843</t>
  </si>
  <si>
    <t>16.708</t>
  </si>
  <si>
    <t>3.888</t>
  </si>
  <si>
    <t>7.540</t>
  </si>
  <si>
    <t>37.980</t>
  </si>
  <si>
    <t>13.430</t>
  </si>
  <si>
    <t>10.590</t>
  </si>
  <si>
    <t>20.435</t>
  </si>
  <si>
    <t>5.890</t>
  </si>
  <si>
    <t>4.177</t>
  </si>
  <si>
    <t>3.264</t>
  </si>
  <si>
    <t>1.690</t>
  </si>
  <si>
    <t>17.068</t>
  </si>
  <si>
    <t>1.454</t>
  </si>
  <si>
    <t>2.790</t>
  </si>
  <si>
    <t>12.209</t>
  </si>
  <si>
    <t>4.090</t>
  </si>
  <si>
    <t>790</t>
  </si>
  <si>
    <t>7.590</t>
  </si>
  <si>
    <t>7.698</t>
  </si>
  <si>
    <t>1.205</t>
  </si>
  <si>
    <t>48.709</t>
  </si>
  <si>
    <t>10.792</t>
  </si>
  <si>
    <t>53.970</t>
  </si>
  <si>
    <t>4.890</t>
  </si>
  <si>
    <t>2.043</t>
  </si>
  <si>
    <t>2.892</t>
  </si>
  <si>
    <t>5.128</t>
  </si>
  <si>
    <t>12.390</t>
  </si>
  <si>
    <t>174.990</t>
  </si>
  <si>
    <t>13.960</t>
  </si>
  <si>
    <t>5.727</t>
  </si>
  <si>
    <t>101.531</t>
  </si>
  <si>
    <t>1.090</t>
  </si>
  <si>
    <t>8.611</t>
  </si>
  <si>
    <t>5.462</t>
  </si>
  <si>
    <t>1.830</t>
  </si>
  <si>
    <t>4.948</t>
  </si>
  <si>
    <t>5.590</t>
  </si>
  <si>
    <t>12.274</t>
  </si>
  <si>
    <t>990</t>
  </si>
  <si>
    <t>1.524</t>
  </si>
  <si>
    <t>16.579</t>
  </si>
  <si>
    <t>27.990</t>
  </si>
  <si>
    <t>3.055</t>
  </si>
  <si>
    <t>1.371</t>
  </si>
  <si>
    <t>12.980</t>
  </si>
  <si>
    <t>98.900</t>
  </si>
  <si>
    <t>2.580</t>
  </si>
  <si>
    <t>924</t>
  </si>
  <si>
    <t>12.900</t>
  </si>
  <si>
    <t>720</t>
  </si>
  <si>
    <t>-10.269</t>
  </si>
  <si>
    <t>3.250</t>
  </si>
  <si>
    <t>2.036</t>
  </si>
  <si>
    <t>3.380</t>
  </si>
  <si>
    <t>-2.827</t>
  </si>
  <si>
    <t>-1.890</t>
  </si>
  <si>
    <t>-720</t>
  </si>
  <si>
    <t>2.590</t>
  </si>
  <si>
    <t>8.800</t>
  </si>
  <si>
    <t>149.980</t>
  </si>
  <si>
    <t>-5.990</t>
  </si>
  <si>
    <t>-1.290</t>
  </si>
  <si>
    <t>20.980</t>
  </si>
  <si>
    <t>1.490</t>
  </si>
  <si>
    <t>3.299</t>
  </si>
  <si>
    <t>-3.663</t>
  </si>
  <si>
    <t>8.697</t>
  </si>
  <si>
    <t>10.990</t>
  </si>
  <si>
    <t>2.849</t>
  </si>
  <si>
    <t>-2.790</t>
  </si>
  <si>
    <t>5.976</t>
  </si>
  <si>
    <t>4.562</t>
  </si>
  <si>
    <t>4.113</t>
  </si>
  <si>
    <t>55.980</t>
  </si>
  <si>
    <t>-4.990</t>
  </si>
  <si>
    <t>2.880</t>
  </si>
  <si>
    <t>-2.780</t>
  </si>
  <si>
    <t>-99.900</t>
  </si>
  <si>
    <t>8.354</t>
  </si>
  <si>
    <t>6.892</t>
  </si>
  <si>
    <t>29.454</t>
  </si>
  <si>
    <t>3.100</t>
  </si>
  <si>
    <t>3.406</t>
  </si>
  <si>
    <t>2.568</t>
  </si>
  <si>
    <t>33.950</t>
  </si>
  <si>
    <t>3.475</t>
  </si>
  <si>
    <t>821</t>
  </si>
  <si>
    <t>3.004</t>
  </si>
  <si>
    <t>819</t>
  </si>
  <si>
    <t>1.590</t>
  </si>
  <si>
    <t>7.490</t>
  </si>
  <si>
    <t>2.769</t>
  </si>
  <si>
    <t>5.489</t>
  </si>
  <si>
    <t>2.664</t>
  </si>
  <si>
    <t>3.570</t>
  </si>
  <si>
    <t>1.237</t>
  </si>
  <si>
    <t>-3.523</t>
  </si>
  <si>
    <t>44.970</t>
  </si>
  <si>
    <t>1.473</t>
  </si>
  <si>
    <t>-5.404</t>
  </si>
  <si>
    <t>48.930</t>
  </si>
  <si>
    <t>5.000</t>
  </si>
  <si>
    <t>4.623</t>
  </si>
  <si>
    <t>3.829</t>
  </si>
  <si>
    <t>8.128</t>
  </si>
  <si>
    <t>1.708</t>
  </si>
  <si>
    <t>20.970</t>
  </si>
  <si>
    <t>1.728</t>
  </si>
  <si>
    <t>6.980</t>
  </si>
  <si>
    <t>26.730</t>
  </si>
  <si>
    <t>9.570</t>
  </si>
  <si>
    <t>252</t>
  </si>
  <si>
    <t>1006</t>
  </si>
  <si>
    <t>3793</t>
  </si>
  <si>
    <t>3534</t>
  </si>
  <si>
    <t>3441</t>
  </si>
  <si>
    <t>268</t>
  </si>
  <si>
    <t>1515</t>
  </si>
  <si>
    <t>2117</t>
  </si>
  <si>
    <t>2113</t>
  </si>
  <si>
    <t>3001</t>
  </si>
  <si>
    <t>2053</t>
  </si>
  <si>
    <t>301</t>
  </si>
  <si>
    <t>3062</t>
  </si>
  <si>
    <t>2612</t>
  </si>
  <si>
    <t>2775</t>
  </si>
  <si>
    <t>1665</t>
  </si>
  <si>
    <t>325</t>
  </si>
  <si>
    <t>327</t>
  </si>
  <si>
    <t>2483</t>
  </si>
  <si>
    <t>1635</t>
  </si>
  <si>
    <t>3164</t>
  </si>
  <si>
    <t>3166</t>
  </si>
  <si>
    <t>1663</t>
  </si>
  <si>
    <t>2644</t>
  </si>
  <si>
    <t>2548</t>
  </si>
  <si>
    <t>273</t>
  </si>
  <si>
    <t>2705</t>
  </si>
  <si>
    <t>3247</t>
  </si>
  <si>
    <t>3119</t>
  </si>
  <si>
    <t>4684</t>
  </si>
  <si>
    <t>1875</t>
  </si>
  <si>
    <t>1499</t>
  </si>
  <si>
    <t>2239</t>
  </si>
  <si>
    <t>2916</t>
  </si>
  <si>
    <t>2962</t>
  </si>
  <si>
    <t>4411</t>
  </si>
  <si>
    <t>2986</t>
  </si>
  <si>
    <t>646</t>
  </si>
  <si>
    <t>2972</t>
  </si>
  <si>
    <t>1951</t>
  </si>
  <si>
    <t>789</t>
  </si>
  <si>
    <t>-113</t>
  </si>
  <si>
    <t>2668</t>
  </si>
  <si>
    <t>3358</t>
  </si>
  <si>
    <t>7413</t>
  </si>
  <si>
    <t>2876</t>
  </si>
  <si>
    <t>6264</t>
  </si>
  <si>
    <t>2004</t>
  </si>
  <si>
    <t>2359</t>
  </si>
  <si>
    <t>2115</t>
  </si>
  <si>
    <t>4154</t>
  </si>
  <si>
    <t>4894</t>
  </si>
  <si>
    <t>2334</t>
  </si>
  <si>
    <t>4036</t>
  </si>
  <si>
    <t>238</t>
  </si>
  <si>
    <t>3079</t>
  </si>
  <si>
    <t>3155</t>
  </si>
  <si>
    <t>1325</t>
  </si>
  <si>
    <t>3221</t>
  </si>
  <si>
    <t>2446</t>
  </si>
  <si>
    <t>2738</t>
  </si>
  <si>
    <t>1000</t>
  </si>
  <si>
    <t>2611</t>
  </si>
  <si>
    <t>305</t>
  </si>
  <si>
    <t>543</t>
  </si>
  <si>
    <t>3374</t>
  </si>
  <si>
    <t>3359</t>
  </si>
  <si>
    <t>2681</t>
  </si>
  <si>
    <t>2441</t>
  </si>
  <si>
    <t>1997</t>
  </si>
  <si>
    <t>2492</t>
  </si>
  <si>
    <t>2178</t>
  </si>
  <si>
    <t>3475</t>
  </si>
  <si>
    <t>-421</t>
  </si>
  <si>
    <t>3345</t>
  </si>
  <si>
    <t>-186</t>
  </si>
  <si>
    <t>3021</t>
  </si>
  <si>
    <t>44</t>
  </si>
  <si>
    <t>7188</t>
  </si>
  <si>
    <t>1531</t>
  </si>
  <si>
    <t>4654</t>
  </si>
  <si>
    <t>3758</t>
  </si>
  <si>
    <t>6898</t>
  </si>
  <si>
    <t>2157</t>
  </si>
  <si>
    <t>1731</t>
  </si>
  <si>
    <t>346</t>
  </si>
  <si>
    <t>438</t>
  </si>
  <si>
    <t>1498</t>
  </si>
  <si>
    <t>469</t>
  </si>
  <si>
    <t>1239</t>
  </si>
  <si>
    <t>2895</t>
  </si>
  <si>
    <t>1557</t>
  </si>
  <si>
    <t>838</t>
  </si>
  <si>
    <t>412</t>
  </si>
  <si>
    <t>4937</t>
  </si>
  <si>
    <t>4806</t>
  </si>
  <si>
    <t>338</t>
  </si>
  <si>
    <t>345</t>
  </si>
  <si>
    <t>2506</t>
  </si>
  <si>
    <t>2192</t>
  </si>
  <si>
    <t>907</t>
  </si>
  <si>
    <t>3095</t>
  </si>
  <si>
    <t>4671</t>
  </si>
  <si>
    <t>906</t>
  </si>
  <si>
    <t>2135</t>
  </si>
  <si>
    <t>174</t>
  </si>
  <si>
    <t>262</t>
  </si>
  <si>
    <t>303</t>
  </si>
  <si>
    <t>5327</t>
  </si>
  <si>
    <t>2362</t>
  </si>
  <si>
    <t>913</t>
  </si>
  <si>
    <t>3641</t>
  </si>
  <si>
    <t>2581</t>
  </si>
  <si>
    <t>511</t>
  </si>
  <si>
    <t>-10347</t>
  </si>
  <si>
    <t>1643</t>
  </si>
  <si>
    <t>4741</t>
  </si>
  <si>
    <t>648</t>
  </si>
  <si>
    <t>-13156</t>
  </si>
  <si>
    <t>-10885</t>
  </si>
  <si>
    <t>7319</t>
  </si>
  <si>
    <t>021</t>
  </si>
  <si>
    <t>888</t>
  </si>
  <si>
    <t>945</t>
  </si>
  <si>
    <t>1004</t>
  </si>
  <si>
    <t>097</t>
  </si>
  <si>
    <t>Ir a PETHOME</t>
  </si>
  <si>
    <t>6.876</t>
  </si>
  <si>
    <t>4762</t>
  </si>
  <si>
    <t>1029</t>
  </si>
  <si>
    <t>Ir a POEMA</t>
  </si>
  <si>
    <t>Ir a PRODAC</t>
  </si>
  <si>
    <t>Ir a PROPLAN</t>
  </si>
  <si>
    <t>1095</t>
  </si>
  <si>
    <t>Ir a ROYAL CANIN</t>
  </si>
  <si>
    <t>Ir a SMILE FOR PETS</t>
  </si>
  <si>
    <t>160.930</t>
  </si>
  <si>
    <t>109.140</t>
  </si>
  <si>
    <t>90.950</t>
  </si>
  <si>
    <t>49.770</t>
  </si>
  <si>
    <t>1526</t>
  </si>
  <si>
    <t>1872</t>
  </si>
  <si>
    <t>2006</t>
  </si>
  <si>
    <t>Ir a TASTE OF THE WILD</t>
  </si>
  <si>
    <t>Ir a TOPK9</t>
  </si>
  <si>
    <t>109.890</t>
  </si>
  <si>
    <t>32.370</t>
  </si>
  <si>
    <t>10.790</t>
  </si>
  <si>
    <t>-3.160</t>
  </si>
  <si>
    <t>22.701</t>
  </si>
  <si>
    <t>-6121</t>
  </si>
  <si>
    <t>3434</t>
  </si>
  <si>
    <t>2539</t>
  </si>
  <si>
    <t>3694</t>
  </si>
  <si>
    <t>-5229</t>
  </si>
  <si>
    <t>Ir a TROPICAL</t>
  </si>
  <si>
    <t>19.086</t>
  </si>
  <si>
    <t>29.700</t>
  </si>
  <si>
    <t>5.090</t>
  </si>
  <si>
    <t>405</t>
  </si>
  <si>
    <t>274</t>
  </si>
  <si>
    <t>Ir a VETERQUIMICA</t>
  </si>
  <si>
    <t>15.193</t>
  </si>
  <si>
    <t>23.760</t>
  </si>
  <si>
    <t>-190</t>
  </si>
  <si>
    <t>286</t>
  </si>
  <si>
    <t>2628</t>
  </si>
  <si>
    <t>3742</t>
  </si>
  <si>
    <t>2967</t>
  </si>
  <si>
    <t>2795</t>
  </si>
  <si>
    <t>Ir a VIRBAC</t>
  </si>
  <si>
    <t>257.940</t>
  </si>
  <si>
    <t>131.940</t>
  </si>
  <si>
    <t>139.300</t>
  </si>
  <si>
    <t>77.970</t>
  </si>
  <si>
    <t>45.980</t>
  </si>
  <si>
    <t>94.470</t>
  </si>
  <si>
    <t>22.990</t>
  </si>
  <si>
    <t>6.790</t>
  </si>
  <si>
    <t>24.990</t>
  </si>
  <si>
    <t>1765</t>
  </si>
  <si>
    <t>1023</t>
  </si>
  <si>
    <t>1927</t>
  </si>
  <si>
    <t>155</t>
  </si>
  <si>
    <t>1466</t>
  </si>
  <si>
    <t>1464</t>
  </si>
  <si>
    <t>221</t>
  </si>
  <si>
    <t>201</t>
  </si>
  <si>
    <t>2546</t>
  </si>
  <si>
    <t>1541</t>
  </si>
  <si>
    <t>948</t>
  </si>
  <si>
    <t>1107</t>
  </si>
  <si>
    <t>851</t>
  </si>
  <si>
    <t>Ir a VITALCAN QUIROMAS</t>
  </si>
  <si>
    <t>1117</t>
  </si>
  <si>
    <t>Ir a VITANIMAL</t>
  </si>
  <si>
    <t>107.920</t>
  </si>
  <si>
    <t>363.870</t>
  </si>
  <si>
    <t>143.920</t>
  </si>
  <si>
    <t>51.960</t>
  </si>
  <si>
    <t>-5.490</t>
  </si>
  <si>
    <t>6.490</t>
  </si>
  <si>
    <t>16.980</t>
  </si>
  <si>
    <t>2315</t>
  </si>
  <si>
    <t>1488</t>
  </si>
  <si>
    <t>2617</t>
  </si>
  <si>
    <t>1507</t>
  </si>
  <si>
    <t>270</t>
  </si>
  <si>
    <t>1775</t>
  </si>
  <si>
    <t>Ir a WANPY</t>
  </si>
  <si>
    <t>Ir a WARRIOR</t>
  </si>
  <si>
    <t>2.933</t>
  </si>
</sst>
</file>

<file path=xl/styles.xml><?xml version="1.0" encoding="utf-8"?>
<styleSheet xmlns="http://schemas.openxmlformats.org/spreadsheetml/2006/main">
  <numFmts count="1">
    <numFmt numFmtId="164" formatCode="$ #,##0"/>
  </numFmts>
  <fonts count="3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4">
    <xf numFmtId="0" fontId="0" fillId="0" borderId="0" xfId="0"/>
    <xf numFmtId="0" fontId="1" fillId="0" borderId="0" xfId="1" applyAlignment="1" applyProtection="1"/>
    <xf numFmtId="164" fontId="0" fillId="0" borderId="0" xfId="0" applyNumberFormat="1"/>
    <xf numFmtId="0" fontId="2" fillId="0" borderId="1" xfId="0" applyFont="1" applyBorder="1" applyAlignment="1">
      <alignment horizontal="center" vertical="top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theme" Target="theme/theme1.xml"/><Relationship Id="rId64" Type="http://schemas.openxmlformats.org/officeDocument/2006/relationships/styles" Target="styles.xml"/><Relationship Id="rId6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62"/>
  <sheetViews>
    <sheetView tabSelected="1" workbookViewId="0">
      <pane ySplit="2" topLeftCell="A3" activePane="bottomLeft" state="frozen"/>
      <selection pane="bottomLeft"/>
    </sheetView>
  </sheetViews>
  <sheetFormatPr defaultRowHeight="15"/>
  <sheetData>
    <row r="1" spans="1:2">
      <c r="A1" t="s">
        <v>0</v>
      </c>
    </row>
    <row r="2" spans="1:2">
      <c r="A2" t="s">
        <v>1</v>
      </c>
      <c r="B2" s="1" t="s">
        <v>2</v>
      </c>
    </row>
    <row r="3" spans="1:2">
      <c r="A3" t="s">
        <v>3</v>
      </c>
      <c r="B3" s="1" t="s">
        <v>4</v>
      </c>
    </row>
    <row r="4" spans="1:2">
      <c r="A4" t="s">
        <v>215</v>
      </c>
      <c r="B4" s="1" t="s">
        <v>10238</v>
      </c>
    </row>
    <row r="5" spans="1:2">
      <c r="A5" t="s">
        <v>29</v>
      </c>
      <c r="B5" s="1" t="s">
        <v>10241</v>
      </c>
    </row>
    <row r="6" spans="1:2">
      <c r="A6" t="s">
        <v>210</v>
      </c>
      <c r="B6" s="1" t="s">
        <v>10280</v>
      </c>
    </row>
    <row r="7" spans="1:2">
      <c r="A7" t="s">
        <v>40</v>
      </c>
      <c r="B7" s="1" t="s">
        <v>10281</v>
      </c>
    </row>
    <row r="8" spans="1:2">
      <c r="A8" t="s">
        <v>217</v>
      </c>
      <c r="B8" s="1" t="s">
        <v>10304</v>
      </c>
    </row>
    <row r="9" spans="1:2">
      <c r="A9" t="s">
        <v>224</v>
      </c>
      <c r="B9" s="1" t="s">
        <v>10310</v>
      </c>
    </row>
    <row r="10" spans="1:2">
      <c r="A10" t="s">
        <v>212</v>
      </c>
      <c r="B10" s="1" t="s">
        <v>10311</v>
      </c>
    </row>
    <row r="11" spans="1:2">
      <c r="A11" t="s">
        <v>25</v>
      </c>
      <c r="B11" s="1" t="s">
        <v>10314</v>
      </c>
    </row>
    <row r="12" spans="1:2">
      <c r="A12" t="s">
        <v>192</v>
      </c>
      <c r="B12" s="1" t="s">
        <v>10387</v>
      </c>
    </row>
    <row r="13" spans="1:2">
      <c r="A13" t="s">
        <v>38</v>
      </c>
      <c r="B13" s="1" t="s">
        <v>10410</v>
      </c>
    </row>
    <row r="14" spans="1:2">
      <c r="A14" t="s">
        <v>196</v>
      </c>
      <c r="B14" s="1" t="s">
        <v>10421</v>
      </c>
    </row>
    <row r="15" spans="1:2">
      <c r="A15" t="s">
        <v>31</v>
      </c>
      <c r="B15" s="1" t="s">
        <v>10433</v>
      </c>
    </row>
    <row r="16" spans="1:2">
      <c r="A16" t="s">
        <v>209</v>
      </c>
      <c r="B16" s="1" t="s">
        <v>10471</v>
      </c>
    </row>
    <row r="17" spans="1:2">
      <c r="A17" t="s">
        <v>30</v>
      </c>
      <c r="B17" s="1" t="s">
        <v>10472</v>
      </c>
    </row>
    <row r="18" spans="1:2">
      <c r="A18" t="s">
        <v>27</v>
      </c>
      <c r="B18" s="1" t="s">
        <v>10550</v>
      </c>
    </row>
    <row r="19" spans="1:2">
      <c r="A19" t="s">
        <v>24</v>
      </c>
      <c r="B19" s="1" t="s">
        <v>10588</v>
      </c>
    </row>
    <row r="20" spans="1:2">
      <c r="A20" t="s">
        <v>32</v>
      </c>
      <c r="B20" s="1" t="s">
        <v>10674</v>
      </c>
    </row>
    <row r="21" spans="1:2">
      <c r="A21" t="s">
        <v>28</v>
      </c>
      <c r="B21" s="1" t="s">
        <v>10735</v>
      </c>
    </row>
    <row r="22" spans="1:2">
      <c r="A22" t="s">
        <v>36</v>
      </c>
      <c r="B22" s="1" t="s">
        <v>10736</v>
      </c>
    </row>
    <row r="23" spans="1:2">
      <c r="A23" t="s">
        <v>218</v>
      </c>
      <c r="B23" s="1" t="s">
        <v>10755</v>
      </c>
    </row>
    <row r="24" spans="1:2">
      <c r="A24" t="s">
        <v>198</v>
      </c>
      <c r="B24" s="1" t="s">
        <v>10758</v>
      </c>
    </row>
    <row r="25" spans="1:2">
      <c r="A25" t="s">
        <v>199</v>
      </c>
      <c r="B25" s="1" t="s">
        <v>10761</v>
      </c>
    </row>
    <row r="26" spans="1:2">
      <c r="A26" t="s">
        <v>37</v>
      </c>
      <c r="B26" s="1" t="s">
        <v>10766</v>
      </c>
    </row>
    <row r="27" spans="1:2">
      <c r="A27" t="s">
        <v>194</v>
      </c>
      <c r="B27" s="1" t="s">
        <v>10787</v>
      </c>
    </row>
    <row r="28" spans="1:2">
      <c r="A28" t="s">
        <v>197</v>
      </c>
      <c r="B28" s="1" t="s">
        <v>10801</v>
      </c>
    </row>
    <row r="29" spans="1:2">
      <c r="A29" t="s">
        <v>229</v>
      </c>
      <c r="B29" s="1" t="s">
        <v>10808</v>
      </c>
    </row>
    <row r="30" spans="1:2">
      <c r="A30" t="s">
        <v>201</v>
      </c>
      <c r="B30" s="1" t="s">
        <v>10809</v>
      </c>
    </row>
    <row r="31" spans="1:2">
      <c r="A31" t="s">
        <v>202</v>
      </c>
      <c r="B31" s="1" t="s">
        <v>10812</v>
      </c>
    </row>
    <row r="32" spans="1:2">
      <c r="A32" t="s">
        <v>41</v>
      </c>
      <c r="B32" s="1" t="s">
        <v>10830</v>
      </c>
    </row>
    <row r="33" spans="1:2">
      <c r="A33" t="s">
        <v>34</v>
      </c>
      <c r="B33" s="1" t="s">
        <v>10861</v>
      </c>
    </row>
    <row r="34" spans="1:2">
      <c r="A34" t="s">
        <v>220</v>
      </c>
      <c r="B34" s="1" t="s">
        <v>10907</v>
      </c>
    </row>
    <row r="35" spans="1:2">
      <c r="A35" t="s">
        <v>193</v>
      </c>
      <c r="B35" s="1" t="s">
        <v>10908</v>
      </c>
    </row>
    <row r="36" spans="1:2">
      <c r="A36" t="s">
        <v>203</v>
      </c>
      <c r="B36" s="1" t="s">
        <v>10925</v>
      </c>
    </row>
    <row r="37" spans="1:2">
      <c r="A37" t="s">
        <v>207</v>
      </c>
      <c r="B37" s="1" t="s">
        <v>10930</v>
      </c>
    </row>
    <row r="38" spans="1:2">
      <c r="A38" t="s">
        <v>226</v>
      </c>
      <c r="B38" s="1" t="s">
        <v>10935</v>
      </c>
    </row>
    <row r="39" spans="1:2">
      <c r="A39" t="s">
        <v>26</v>
      </c>
      <c r="B39" s="1" t="s">
        <v>10936</v>
      </c>
    </row>
    <row r="40" spans="1:2">
      <c r="A40" t="s">
        <v>228</v>
      </c>
      <c r="B40" s="1" t="s">
        <v>10938</v>
      </c>
    </row>
    <row r="41" spans="1:2">
      <c r="A41" t="s">
        <v>227</v>
      </c>
      <c r="B41" s="1" t="s">
        <v>10939</v>
      </c>
    </row>
    <row r="42" spans="1:2">
      <c r="A42" t="s">
        <v>195</v>
      </c>
      <c r="B42" s="1" t="s">
        <v>10940</v>
      </c>
    </row>
    <row r="43" spans="1:2">
      <c r="A43" t="s">
        <v>219</v>
      </c>
      <c r="B43" s="1" t="s">
        <v>10943</v>
      </c>
    </row>
    <row r="44" spans="1:2">
      <c r="A44" t="s">
        <v>216</v>
      </c>
      <c r="B44" s="1" t="s">
        <v>10944</v>
      </c>
    </row>
    <row r="45" spans="1:2">
      <c r="A45" t="s">
        <v>231</v>
      </c>
      <c r="B45" s="1" t="s">
        <v>10945</v>
      </c>
    </row>
    <row r="46" spans="1:2">
      <c r="A46" t="s">
        <v>222</v>
      </c>
      <c r="B46" s="1" t="s">
        <v>10946</v>
      </c>
    </row>
    <row r="47" spans="1:2">
      <c r="A47" t="s">
        <v>35</v>
      </c>
      <c r="B47" s="1" t="s">
        <v>10947</v>
      </c>
    </row>
    <row r="48" spans="1:2">
      <c r="A48" t="s">
        <v>205</v>
      </c>
      <c r="B48" s="1" t="s">
        <v>11223</v>
      </c>
    </row>
    <row r="49" spans="1:2">
      <c r="A49" t="s">
        <v>211</v>
      </c>
      <c r="B49" s="1" t="s">
        <v>11227</v>
      </c>
    </row>
    <row r="50" spans="1:2">
      <c r="A50" t="s">
        <v>225</v>
      </c>
      <c r="B50" s="1" t="s">
        <v>11228</v>
      </c>
    </row>
    <row r="51" spans="1:2">
      <c r="A51" t="s">
        <v>204</v>
      </c>
      <c r="B51" s="1" t="s">
        <v>11229</v>
      </c>
    </row>
    <row r="52" spans="1:2">
      <c r="A52" t="s">
        <v>223</v>
      </c>
      <c r="B52" s="1" t="s">
        <v>11231</v>
      </c>
    </row>
    <row r="53" spans="1:2">
      <c r="A53" t="s">
        <v>206</v>
      </c>
      <c r="B53" s="1" t="s">
        <v>11232</v>
      </c>
    </row>
    <row r="54" spans="1:2">
      <c r="A54" t="s">
        <v>232</v>
      </c>
      <c r="B54" s="1" t="s">
        <v>11240</v>
      </c>
    </row>
    <row r="55" spans="1:2">
      <c r="A55" t="s">
        <v>33</v>
      </c>
      <c r="B55" s="1" t="s">
        <v>11241</v>
      </c>
    </row>
    <row r="56" spans="1:2">
      <c r="A56" t="s">
        <v>214</v>
      </c>
      <c r="B56" s="1" t="s">
        <v>11252</v>
      </c>
    </row>
    <row r="57" spans="1:2">
      <c r="A57" t="s">
        <v>213</v>
      </c>
      <c r="B57" s="1" t="s">
        <v>11258</v>
      </c>
    </row>
    <row r="58" spans="1:2">
      <c r="A58" t="s">
        <v>39</v>
      </c>
      <c r="B58" s="1" t="s">
        <v>11267</v>
      </c>
    </row>
    <row r="59" spans="1:2">
      <c r="A59" t="s">
        <v>221</v>
      </c>
      <c r="B59" s="1" t="s">
        <v>11290</v>
      </c>
    </row>
    <row r="60" spans="1:2">
      <c r="A60" t="s">
        <v>208</v>
      </c>
      <c r="B60" s="1" t="s">
        <v>11292</v>
      </c>
    </row>
    <row r="61" spans="1:2">
      <c r="A61" t="s">
        <v>230</v>
      </c>
      <c r="B61" s="1" t="s">
        <v>11306</v>
      </c>
    </row>
    <row r="62" spans="1:2">
      <c r="A62" t="s">
        <v>200</v>
      </c>
      <c r="B62" s="1" t="s">
        <v>11307</v>
      </c>
    </row>
  </sheetData>
  <hyperlinks>
    <hyperlink ref="B2" location="'Crítico'!A1" display="Ir a Crítico"/>
    <hyperlink ref="B3" location="'80-20'!A1" display="Ir a 80/20"/>
    <hyperlink ref="B4" location="'ACANA Y ORIJEN'!A1" display="Ir a ACANA Y ORIJEN"/>
    <hyperlink ref="B5" location="'ACUARISTICA'!A1" display="Ir a ACUARISTICA"/>
    <hyperlink ref="B6" location="'AGILITY - OWNAT - DOG EVOLUTION'!A1" display="Ir a AGILITY - OWNAT - DOG EVOLUTION"/>
    <hyperlink ref="B7" location="'AGROVET'!A1" display="Ir a AGROVET"/>
    <hyperlink ref="B8" location="'ALTA TECNOLOGIA VET'!A1" display="Ir a ALTA TECNOLOGIA VET"/>
    <hyperlink ref="B9" location="'Ancestral'!A1" display="Ir a Ancestral"/>
    <hyperlink ref="B10" location="'ANDIS'!A1" display="Ir a ANDIS"/>
    <hyperlink ref="B11" location="'ANIMALES PEQUEÑOS'!A1" display="Ir a ANIMALES PEQUEÑOS"/>
    <hyperlink ref="B12" location="'AVES'!A1" display="Ir a AVES"/>
    <hyperlink ref="B13" location="'BILJAC'!A1" display="Ir a BILJAC"/>
    <hyperlink ref="B14" location="'BIOLINE'!A1" display="Ir a BIOLINE"/>
    <hyperlink ref="B15" location="'BOEHRINGER'!A1" display="Ir a BOEHRINGER"/>
    <hyperlink ref="B16" location="'BRAVERY'!A1" display="Ir a BRAVERY"/>
    <hyperlink ref="B17" location="'BRIT CARE'!A1" display="Ir a BRIT CARE"/>
    <hyperlink ref="B18" location="'CHURU'!A1" display="Ir a CHURU"/>
    <hyperlink ref="B19" location="'DRAG PHARMA'!A1" display="Ir a DRAG PHARMA"/>
    <hyperlink ref="B20" location="'DROGUERIA ÑUÑOA'!A1" display="Ir a DROGUERIA ÑUÑOA"/>
    <hyperlink ref="B21" location="'EASY CLEAN'!A1" display="Ir a EASY CLEAN"/>
    <hyperlink ref="B22" location="'ELANCO'!A1" display="Ir a ELANCO"/>
    <hyperlink ref="B23" location="'FARMACIA'!A1" display="Ir a FARMACIA"/>
    <hyperlink ref="B24" location="'FELLINI'!A1" display="Ir a FELLINI"/>
    <hyperlink ref="B25" location="'FEMA'!A1" display="Ir a FEMA"/>
    <hyperlink ref="B26" location="'FIT FORMULA'!A1" display="Ir a FIT FORMULA"/>
    <hyperlink ref="B27" location="'FROST'!A1" display="Ir a FROST"/>
    <hyperlink ref="B28" location="'GOOFY'!A1" display="Ir a GOOFY"/>
    <hyperlink ref="B29" location="'GORCHEN'!A1" display="Ir a GORCHEN"/>
    <hyperlink ref="B30" location="'HAPPYCAT'!A1" display="Ir a HAPPYCAT"/>
    <hyperlink ref="B31" location="'HILL'S SCIENCE DIET'!A1" display="Ir a HILL'S SCIENCE DIET"/>
    <hyperlink ref="B32" location="'INSUFARMA'!A1" display="Ir a INSUFARMA"/>
    <hyperlink ref="B33" location="'JOSERA'!A1" display="Ir a JOSERA"/>
    <hyperlink ref="B34" location="'KETUNPET'!A1" display="Ir a KETUNPET"/>
    <hyperlink ref="B35" location="'KOBOR'!A1" display="Ir a KOBOR"/>
    <hyperlink ref="B36" location="'LEONARDO Y BELCANDO'!A1" display="Ir a LEONARDO Y BELCANDO"/>
    <hyperlink ref="B37" location="'Mascotas'!A1" display="Ir a Mascotas"/>
    <hyperlink ref="B38" location="'NATURAL FOOD'!A1" display="Ir a NATURAL FOOD"/>
    <hyperlink ref="B39" location="'NOMADE'!A1" display="Ir a NOMADE"/>
    <hyperlink ref="B40" location="'NUTRA GOLD'!A1" display="Ir a NUTRA GOLD"/>
    <hyperlink ref="B41" location="'NUTRAM'!A1" display="Ir a NUTRAM"/>
    <hyperlink ref="B42" location="'ovenbaked'!A1" display="Ir a ovenbaked"/>
    <hyperlink ref="B43" location="'PATAGON'!A1" display="Ir a PATAGON"/>
    <hyperlink ref="B44" location="'PECES'!A1" display="Ir a PECES"/>
    <hyperlink ref="B45" location="'Peluquería canina'!A1" display="Ir a Peluquería canina"/>
    <hyperlink ref="B46" location="'PEPOLLI'!A1" display="Ir a PEPOLLI"/>
    <hyperlink ref="B47" location="'PERROS Y GATOS'!A1" display="Ir a PERROS Y GATOS"/>
    <hyperlink ref="B48" location="'PETHOME'!A1" display="Ir a PETHOME"/>
    <hyperlink ref="B49" location="'POEMA'!A1" display="Ir a POEMA"/>
    <hyperlink ref="B50" location="'PRODAC'!A1" display="Ir a PRODAC"/>
    <hyperlink ref="B51" location="'PROPLAN'!A1" display="Ir a PROPLAN"/>
    <hyperlink ref="B52" location="'ROYAL CANIN'!A1" display="Ir a ROYAL CANIN"/>
    <hyperlink ref="B53" location="'SMILE FOR PETS'!A1" display="Ir a SMILE FOR PETS"/>
    <hyperlink ref="B54" location="'TASTE OF THE WILD'!A1" display="Ir a TASTE OF THE WILD"/>
    <hyperlink ref="B55" location="'TOPK9'!A1" display="Ir a TOPK9"/>
    <hyperlink ref="B56" location="'TROPICAL'!A1" display="Ir a TROPICAL"/>
    <hyperlink ref="B57" location="'VETERQUIMICA'!A1" display="Ir a VETERQUIMICA"/>
    <hyperlink ref="B58" location="'VIRBAC'!A1" display="Ir a VIRBAC"/>
    <hyperlink ref="B59" location="'VITALCAN QUIROMAS'!A1" display="Ir a VITALCAN QUIROMAS"/>
    <hyperlink ref="B60" location="'VITANIMAL'!A1" display="Ir a VITANIMAL"/>
    <hyperlink ref="B61" location="'WANPY'!A1" display="Ir a WANPY"/>
    <hyperlink ref="B62" location="'WARRIOR'!A1" display="Ir a WARRIO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212</v>
      </c>
      <c r="B3" t="s">
        <v>775</v>
      </c>
      <c r="C3">
        <f>"72630"</f>
        <v>0</v>
      </c>
      <c r="D3">
        <v>0</v>
      </c>
      <c r="E3">
        <v>0</v>
      </c>
      <c r="F3">
        <v>0</v>
      </c>
      <c r="G3">
        <v>2</v>
      </c>
      <c r="H3">
        <v>2</v>
      </c>
      <c r="I3">
        <v>0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7</v>
      </c>
      <c r="P3" t="s">
        <v>10312</v>
      </c>
      <c r="Q3">
        <v>9.278</v>
      </c>
      <c r="R3" t="s">
        <v>10313</v>
      </c>
      <c r="S3">
        <v>1</v>
      </c>
    </row>
    <row r="4" spans="1:19">
      <c r="A4" t="s">
        <v>212</v>
      </c>
      <c r="B4" t="s">
        <v>991</v>
      </c>
      <c r="C4">
        <f>"72615"</f>
        <v>0</v>
      </c>
      <c r="D4">
        <v>0</v>
      </c>
      <c r="E4">
        <v>2</v>
      </c>
      <c r="F4">
        <v>0</v>
      </c>
      <c r="G4">
        <v>0</v>
      </c>
      <c r="H4">
        <v>2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212</v>
      </c>
      <c r="B5" t="s">
        <v>2826</v>
      </c>
      <c r="C5">
        <f>"1008738"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212</v>
      </c>
      <c r="B6" t="s">
        <v>2818</v>
      </c>
      <c r="C6">
        <f>"79140"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212</v>
      </c>
      <c r="B7" t="s">
        <v>2822</v>
      </c>
      <c r="C7">
        <f>"64079"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212</v>
      </c>
      <c r="B8" t="s">
        <v>2821</v>
      </c>
      <c r="C8">
        <f>"64080"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212</v>
      </c>
      <c r="B9" t="s">
        <v>2819</v>
      </c>
      <c r="C9">
        <f>"24685"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212</v>
      </c>
      <c r="B10" t="s">
        <v>3246</v>
      </c>
      <c r="C10">
        <f>"560498"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212</v>
      </c>
      <c r="B11" t="s">
        <v>3175</v>
      </c>
      <c r="C11">
        <f>"560495"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212</v>
      </c>
      <c r="B12" t="s">
        <v>3245</v>
      </c>
      <c r="C12">
        <f>"79205"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212</v>
      </c>
      <c r="B13" t="s">
        <v>2824</v>
      </c>
      <c r="C13">
        <f>"64090"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61.78</v>
      </c>
      <c r="L13" s="2">
        <v>31</v>
      </c>
      <c r="M13">
        <v>0</v>
      </c>
      <c r="N13" s="2">
        <v>0</v>
      </c>
      <c r="O13">
        <v>-2.4</v>
      </c>
      <c r="P13" t="s">
        <v>100</v>
      </c>
      <c r="Q13">
        <v>0</v>
      </c>
      <c r="R13" t="s">
        <v>145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S67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25</v>
      </c>
      <c r="B3" t="s">
        <v>43</v>
      </c>
      <c r="C3">
        <f>"HENO1K"</f>
        <v>0</v>
      </c>
      <c r="D3">
        <v>190</v>
      </c>
      <c r="E3">
        <v>350</v>
      </c>
      <c r="F3">
        <v>300</v>
      </c>
      <c r="G3">
        <v>0</v>
      </c>
      <c r="H3">
        <v>840</v>
      </c>
      <c r="I3">
        <v>245</v>
      </c>
      <c r="J3">
        <v>0</v>
      </c>
      <c r="K3">
        <v>0</v>
      </c>
      <c r="L3" s="2">
        <v>0</v>
      </c>
      <c r="M3">
        <v>245</v>
      </c>
      <c r="N3" s="2">
        <v>0</v>
      </c>
      <c r="O3">
        <v>245</v>
      </c>
      <c r="P3" t="s">
        <v>93</v>
      </c>
      <c r="Q3">
        <v>-1.899</v>
      </c>
      <c r="R3" t="s">
        <v>139</v>
      </c>
      <c r="S3">
        <v>0</v>
      </c>
    </row>
    <row r="4" spans="1:19">
      <c r="A4" t="s">
        <v>25</v>
      </c>
      <c r="B4" t="s">
        <v>869</v>
      </c>
      <c r="C4">
        <f>"ZVP400VE"</f>
        <v>0</v>
      </c>
      <c r="D4">
        <v>0</v>
      </c>
      <c r="E4">
        <v>0</v>
      </c>
      <c r="F4">
        <v>1</v>
      </c>
      <c r="G4">
        <v>2</v>
      </c>
      <c r="H4">
        <v>3</v>
      </c>
      <c r="I4">
        <v>0.5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7.5</v>
      </c>
      <c r="P4" t="s">
        <v>10315</v>
      </c>
      <c r="Q4">
        <v>1.226</v>
      </c>
      <c r="R4" t="s">
        <v>10351</v>
      </c>
      <c r="S4">
        <v>1</v>
      </c>
    </row>
    <row r="5" spans="1:19">
      <c r="A5" t="s">
        <v>25</v>
      </c>
      <c r="B5" t="s">
        <v>1533</v>
      </c>
      <c r="C5">
        <f>"M012"</f>
        <v>0</v>
      </c>
      <c r="D5">
        <v>2</v>
      </c>
      <c r="E5">
        <v>2</v>
      </c>
      <c r="F5">
        <v>10</v>
      </c>
      <c r="G5">
        <v>3</v>
      </c>
      <c r="H5">
        <v>17</v>
      </c>
      <c r="I5">
        <v>2.5</v>
      </c>
      <c r="J5">
        <v>1</v>
      </c>
      <c r="K5">
        <v>15.291</v>
      </c>
      <c r="L5" s="2">
        <v>15</v>
      </c>
      <c r="M5">
        <v>3</v>
      </c>
      <c r="N5" s="2">
        <v>45</v>
      </c>
      <c r="O5">
        <v>7.3</v>
      </c>
      <c r="P5" t="s">
        <v>10245</v>
      </c>
      <c r="Q5">
        <v>-20.662</v>
      </c>
      <c r="R5" t="s">
        <v>10352</v>
      </c>
      <c r="S5">
        <v>0</v>
      </c>
    </row>
    <row r="6" spans="1:19">
      <c r="A6" t="s">
        <v>25</v>
      </c>
      <c r="B6" t="s">
        <v>646</v>
      </c>
      <c r="C6">
        <f>"513B"</f>
        <v>0</v>
      </c>
      <c r="D6">
        <v>3</v>
      </c>
      <c r="E6">
        <v>3</v>
      </c>
      <c r="F6">
        <v>0</v>
      </c>
      <c r="G6">
        <v>1</v>
      </c>
      <c r="H6">
        <v>7</v>
      </c>
      <c r="I6">
        <v>2</v>
      </c>
      <c r="J6">
        <v>0</v>
      </c>
      <c r="K6">
        <v>0</v>
      </c>
      <c r="L6" s="2">
        <v>0</v>
      </c>
      <c r="M6">
        <v>2</v>
      </c>
      <c r="N6" s="2">
        <v>0</v>
      </c>
      <c r="O6">
        <v>7</v>
      </c>
      <c r="P6" t="s">
        <v>10316</v>
      </c>
      <c r="Q6">
        <v>2.25</v>
      </c>
      <c r="R6" t="s">
        <v>10353</v>
      </c>
      <c r="S6">
        <v>1</v>
      </c>
    </row>
    <row r="7" spans="1:19">
      <c r="A7" t="s">
        <v>25</v>
      </c>
      <c r="B7" t="s">
        <v>361</v>
      </c>
      <c r="C7">
        <f>"6765071"</f>
        <v>0</v>
      </c>
      <c r="D7">
        <v>1</v>
      </c>
      <c r="E7">
        <v>1</v>
      </c>
      <c r="F7">
        <v>0</v>
      </c>
      <c r="G7">
        <v>1</v>
      </c>
      <c r="H7">
        <v>3</v>
      </c>
      <c r="I7">
        <v>1</v>
      </c>
      <c r="J7">
        <v>0</v>
      </c>
      <c r="K7">
        <v>0</v>
      </c>
      <c r="L7" s="2">
        <v>0</v>
      </c>
      <c r="M7">
        <v>2</v>
      </c>
      <c r="N7" s="2">
        <v>0</v>
      </c>
      <c r="O7">
        <v>6</v>
      </c>
      <c r="P7" t="s">
        <v>10317</v>
      </c>
      <c r="Q7">
        <v>247</v>
      </c>
      <c r="R7" t="s">
        <v>10354</v>
      </c>
      <c r="S7">
        <v>1</v>
      </c>
    </row>
    <row r="8" spans="1:19">
      <c r="A8" t="s">
        <v>25</v>
      </c>
      <c r="B8" t="s">
        <v>308</v>
      </c>
      <c r="C8">
        <f>"RY29SAM"</f>
        <v>0</v>
      </c>
      <c r="D8">
        <v>1</v>
      </c>
      <c r="E8">
        <v>2</v>
      </c>
      <c r="F8">
        <v>0</v>
      </c>
      <c r="G8">
        <v>1</v>
      </c>
      <c r="H8">
        <v>4</v>
      </c>
      <c r="I8">
        <v>1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6</v>
      </c>
      <c r="P8" t="s">
        <v>10318</v>
      </c>
      <c r="Q8">
        <v>403</v>
      </c>
      <c r="R8" t="s">
        <v>10355</v>
      </c>
      <c r="S8">
        <v>1</v>
      </c>
    </row>
    <row r="9" spans="1:19">
      <c r="A9" t="s">
        <v>25</v>
      </c>
      <c r="B9" t="s">
        <v>318</v>
      </c>
      <c r="C9">
        <f>"ZVP1156"</f>
        <v>0</v>
      </c>
      <c r="D9">
        <v>1</v>
      </c>
      <c r="E9">
        <v>6</v>
      </c>
      <c r="F9">
        <v>0</v>
      </c>
      <c r="G9">
        <v>1</v>
      </c>
      <c r="H9">
        <v>8</v>
      </c>
      <c r="I9">
        <v>1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6</v>
      </c>
      <c r="P9" t="s">
        <v>10319</v>
      </c>
      <c r="Q9">
        <v>361</v>
      </c>
      <c r="R9" t="s">
        <v>10356</v>
      </c>
      <c r="S9">
        <v>1</v>
      </c>
    </row>
    <row r="10" spans="1:19">
      <c r="A10" t="s">
        <v>25</v>
      </c>
      <c r="B10" t="s">
        <v>351</v>
      </c>
      <c r="C10">
        <f>"ZVP1107"</f>
        <v>0</v>
      </c>
      <c r="D10">
        <v>4</v>
      </c>
      <c r="E10">
        <v>4</v>
      </c>
      <c r="F10">
        <v>4</v>
      </c>
      <c r="G10">
        <v>1</v>
      </c>
      <c r="H10">
        <v>13</v>
      </c>
      <c r="I10">
        <v>4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6</v>
      </c>
      <c r="P10" t="s">
        <v>10320</v>
      </c>
      <c r="Q10">
        <v>229</v>
      </c>
      <c r="R10" t="s">
        <v>10357</v>
      </c>
      <c r="S10">
        <v>0</v>
      </c>
    </row>
    <row r="11" spans="1:19">
      <c r="A11" t="s">
        <v>25</v>
      </c>
      <c r="B11" t="s">
        <v>327</v>
      </c>
      <c r="C11">
        <f>"RY29LRO"</f>
        <v>0</v>
      </c>
      <c r="D11">
        <v>0</v>
      </c>
      <c r="E11">
        <v>0</v>
      </c>
      <c r="F11">
        <v>0</v>
      </c>
      <c r="G11">
        <v>2</v>
      </c>
      <c r="H11">
        <v>2</v>
      </c>
      <c r="I11">
        <v>0</v>
      </c>
      <c r="J11">
        <v>1</v>
      </c>
      <c r="K11">
        <v>1.575</v>
      </c>
      <c r="L11" s="2">
        <v>2</v>
      </c>
      <c r="M11">
        <v>0</v>
      </c>
      <c r="N11" s="2">
        <v>0</v>
      </c>
      <c r="O11">
        <v>5.8</v>
      </c>
      <c r="P11" t="s">
        <v>10321</v>
      </c>
      <c r="Q11">
        <v>630</v>
      </c>
      <c r="R11" t="s">
        <v>10266</v>
      </c>
      <c r="S11">
        <v>1</v>
      </c>
    </row>
    <row r="12" spans="1:19">
      <c r="A12" t="s">
        <v>25</v>
      </c>
      <c r="B12" t="s">
        <v>355</v>
      </c>
      <c r="C12">
        <f>"ZVP1256"</f>
        <v>0</v>
      </c>
      <c r="D12">
        <v>2</v>
      </c>
      <c r="E12">
        <v>0</v>
      </c>
      <c r="F12">
        <v>0</v>
      </c>
      <c r="G12">
        <v>1</v>
      </c>
      <c r="H12">
        <v>3</v>
      </c>
      <c r="I12">
        <v>0.5</v>
      </c>
      <c r="J12">
        <v>0</v>
      </c>
      <c r="K12">
        <v>0</v>
      </c>
      <c r="L12" s="2">
        <v>0</v>
      </c>
      <c r="M12">
        <v>1</v>
      </c>
      <c r="N12" s="2">
        <v>0</v>
      </c>
      <c r="O12">
        <v>5.5</v>
      </c>
      <c r="P12" t="s">
        <v>10322</v>
      </c>
      <c r="Q12">
        <v>261</v>
      </c>
      <c r="R12" t="s">
        <v>10266</v>
      </c>
      <c r="S12">
        <v>1</v>
      </c>
    </row>
    <row r="13" spans="1:19">
      <c r="A13" t="s">
        <v>25</v>
      </c>
      <c r="B13" t="s">
        <v>956</v>
      </c>
      <c r="C13">
        <f>"S2513"</f>
        <v>0</v>
      </c>
      <c r="D13">
        <v>1</v>
      </c>
      <c r="E13">
        <v>0</v>
      </c>
      <c r="F13">
        <v>0</v>
      </c>
      <c r="G13">
        <v>1</v>
      </c>
      <c r="H13">
        <v>2</v>
      </c>
      <c r="I13">
        <v>0.5</v>
      </c>
      <c r="J13">
        <v>0</v>
      </c>
      <c r="K13">
        <v>0</v>
      </c>
      <c r="L13" s="2">
        <v>0</v>
      </c>
      <c r="M13">
        <v>1</v>
      </c>
      <c r="N13" s="2">
        <v>0</v>
      </c>
      <c r="O13">
        <v>5.5</v>
      </c>
      <c r="P13" t="s">
        <v>10323</v>
      </c>
      <c r="Q13">
        <v>1.912</v>
      </c>
      <c r="R13" t="s">
        <v>10261</v>
      </c>
      <c r="S13">
        <v>1</v>
      </c>
    </row>
    <row r="14" spans="1:19">
      <c r="A14" t="s">
        <v>25</v>
      </c>
      <c r="B14" t="s">
        <v>301</v>
      </c>
      <c r="C14">
        <f>"MS007"</f>
        <v>0</v>
      </c>
      <c r="D14">
        <v>0</v>
      </c>
      <c r="E14">
        <v>1</v>
      </c>
      <c r="F14">
        <v>0</v>
      </c>
      <c r="G14">
        <v>1</v>
      </c>
      <c r="H14">
        <v>2</v>
      </c>
      <c r="I14">
        <v>0.5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5.5</v>
      </c>
      <c r="P14" t="s">
        <v>10324</v>
      </c>
      <c r="Q14">
        <v>444</v>
      </c>
      <c r="R14" t="s">
        <v>10358</v>
      </c>
      <c r="S14">
        <v>1</v>
      </c>
    </row>
    <row r="15" spans="1:19">
      <c r="A15" t="s">
        <v>25</v>
      </c>
      <c r="B15" t="s">
        <v>962</v>
      </c>
      <c r="C15">
        <f>"671509"</f>
        <v>0</v>
      </c>
      <c r="D15">
        <v>0</v>
      </c>
      <c r="E15">
        <v>1</v>
      </c>
      <c r="F15">
        <v>0</v>
      </c>
      <c r="G15">
        <v>1</v>
      </c>
      <c r="H15">
        <v>2</v>
      </c>
      <c r="I15">
        <v>0.5</v>
      </c>
      <c r="J15">
        <v>0</v>
      </c>
      <c r="K15">
        <v>0</v>
      </c>
      <c r="L15" s="2">
        <v>0</v>
      </c>
      <c r="M15">
        <v>1</v>
      </c>
      <c r="N15" s="2">
        <v>0</v>
      </c>
      <c r="O15">
        <v>5.5</v>
      </c>
      <c r="P15" t="s">
        <v>10325</v>
      </c>
      <c r="Q15">
        <v>1.352</v>
      </c>
      <c r="R15" t="s">
        <v>10359</v>
      </c>
      <c r="S15">
        <v>1</v>
      </c>
    </row>
    <row r="16" spans="1:19">
      <c r="A16" t="s">
        <v>25</v>
      </c>
      <c r="B16" t="s">
        <v>260</v>
      </c>
      <c r="C16">
        <f>"11AAZ"</f>
        <v>0</v>
      </c>
      <c r="D16">
        <v>0</v>
      </c>
      <c r="E16">
        <v>1</v>
      </c>
      <c r="F16">
        <v>0</v>
      </c>
      <c r="G16">
        <v>1</v>
      </c>
      <c r="H16">
        <v>2</v>
      </c>
      <c r="I16">
        <v>0.5</v>
      </c>
      <c r="J16">
        <v>0</v>
      </c>
      <c r="K16">
        <v>0</v>
      </c>
      <c r="L16" s="2">
        <v>0</v>
      </c>
      <c r="M16">
        <v>1</v>
      </c>
      <c r="N16" s="2">
        <v>0</v>
      </c>
      <c r="O16">
        <v>5.5</v>
      </c>
      <c r="P16" t="s">
        <v>10326</v>
      </c>
      <c r="Q16">
        <v>600</v>
      </c>
      <c r="R16" t="s">
        <v>10360</v>
      </c>
      <c r="S16">
        <v>1</v>
      </c>
    </row>
    <row r="17" spans="1:19">
      <c r="A17" t="s">
        <v>25</v>
      </c>
      <c r="B17" t="s">
        <v>1135</v>
      </c>
      <c r="C17">
        <f>"00276"</f>
        <v>0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5</v>
      </c>
      <c r="P17" t="s">
        <v>10327</v>
      </c>
      <c r="Q17">
        <v>1.742</v>
      </c>
      <c r="R17" t="s">
        <v>10361</v>
      </c>
      <c r="S17">
        <v>1</v>
      </c>
    </row>
    <row r="18" spans="1:19">
      <c r="A18" t="s">
        <v>25</v>
      </c>
      <c r="B18" t="s">
        <v>1139</v>
      </c>
      <c r="C18">
        <f>"11AVE"</f>
        <v>0</v>
      </c>
      <c r="D18">
        <v>0</v>
      </c>
      <c r="E18">
        <v>0</v>
      </c>
      <c r="F18">
        <v>0</v>
      </c>
      <c r="G18">
        <v>1</v>
      </c>
      <c r="H18">
        <v>1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5</v>
      </c>
      <c r="P18" t="s">
        <v>10326</v>
      </c>
      <c r="Q18">
        <v>1.35</v>
      </c>
      <c r="R18" t="s">
        <v>10266</v>
      </c>
      <c r="S18">
        <v>1</v>
      </c>
    </row>
    <row r="19" spans="1:19">
      <c r="A19" t="s">
        <v>25</v>
      </c>
      <c r="B19" t="s">
        <v>652</v>
      </c>
      <c r="C19">
        <f>"XG013"</f>
        <v>0</v>
      </c>
      <c r="D19">
        <v>1</v>
      </c>
      <c r="E19">
        <v>0</v>
      </c>
      <c r="F19">
        <v>0</v>
      </c>
      <c r="G19">
        <v>1</v>
      </c>
      <c r="H19">
        <v>2</v>
      </c>
      <c r="I19">
        <v>0.5</v>
      </c>
      <c r="J19">
        <v>1</v>
      </c>
      <c r="K19">
        <v>3.015</v>
      </c>
      <c r="L19" s="2">
        <v>3</v>
      </c>
      <c r="M19">
        <v>0</v>
      </c>
      <c r="N19" s="2">
        <v>0</v>
      </c>
      <c r="O19">
        <v>4.3</v>
      </c>
      <c r="P19" t="s">
        <v>10328</v>
      </c>
      <c r="Q19">
        <v>302</v>
      </c>
      <c r="R19" t="s">
        <v>10362</v>
      </c>
      <c r="S19">
        <v>1</v>
      </c>
    </row>
    <row r="20" spans="1:19">
      <c r="A20" t="s">
        <v>25</v>
      </c>
      <c r="B20" t="s">
        <v>2044</v>
      </c>
      <c r="C20">
        <f>"TR061"</f>
        <v>0</v>
      </c>
      <c r="D20">
        <v>2</v>
      </c>
      <c r="E20">
        <v>0</v>
      </c>
      <c r="F20">
        <v>0</v>
      </c>
      <c r="G20">
        <v>1</v>
      </c>
      <c r="H20">
        <v>3</v>
      </c>
      <c r="I20">
        <v>0.5</v>
      </c>
      <c r="J20">
        <v>1</v>
      </c>
      <c r="K20">
        <v>3.591</v>
      </c>
      <c r="L20" s="2">
        <v>4</v>
      </c>
      <c r="M20">
        <v>0</v>
      </c>
      <c r="N20" s="2">
        <v>0</v>
      </c>
      <c r="O20">
        <v>4.3</v>
      </c>
      <c r="P20" t="s">
        <v>10329</v>
      </c>
      <c r="Q20">
        <v>1.443</v>
      </c>
      <c r="R20" t="s">
        <v>10363</v>
      </c>
      <c r="S20">
        <v>1</v>
      </c>
    </row>
    <row r="21" spans="1:19">
      <c r="A21" t="s">
        <v>25</v>
      </c>
      <c r="B21" t="s">
        <v>1869</v>
      </c>
      <c r="C21">
        <f>"R3ROS"</f>
        <v>0</v>
      </c>
      <c r="D21">
        <v>1</v>
      </c>
      <c r="E21">
        <v>0</v>
      </c>
      <c r="F21">
        <v>0</v>
      </c>
      <c r="G21">
        <v>1</v>
      </c>
      <c r="H21">
        <v>2</v>
      </c>
      <c r="I21">
        <v>0.5</v>
      </c>
      <c r="J21">
        <v>1</v>
      </c>
      <c r="K21">
        <v>23.31</v>
      </c>
      <c r="L21" s="2">
        <v>23</v>
      </c>
      <c r="M21">
        <v>0</v>
      </c>
      <c r="N21" s="2">
        <v>0</v>
      </c>
      <c r="O21">
        <v>4.3</v>
      </c>
      <c r="P21" t="s">
        <v>10330</v>
      </c>
      <c r="Q21">
        <v>18.698</v>
      </c>
      <c r="R21" t="s">
        <v>10364</v>
      </c>
      <c r="S21">
        <v>1</v>
      </c>
    </row>
    <row r="22" spans="1:19">
      <c r="A22" t="s">
        <v>25</v>
      </c>
      <c r="B22" t="s">
        <v>1528</v>
      </c>
      <c r="C22">
        <f>"NA07"</f>
        <v>0</v>
      </c>
      <c r="D22">
        <v>1</v>
      </c>
      <c r="E22">
        <v>0</v>
      </c>
      <c r="F22">
        <v>0</v>
      </c>
      <c r="G22">
        <v>1</v>
      </c>
      <c r="H22">
        <v>2</v>
      </c>
      <c r="I22">
        <v>0.5</v>
      </c>
      <c r="J22">
        <v>1</v>
      </c>
      <c r="K22">
        <v>891</v>
      </c>
      <c r="L22" s="2">
        <v>891</v>
      </c>
      <c r="M22">
        <v>0</v>
      </c>
      <c r="N22" s="2">
        <v>0</v>
      </c>
      <c r="O22">
        <v>4.3</v>
      </c>
      <c r="P22" t="s">
        <v>10331</v>
      </c>
      <c r="Q22">
        <v>263</v>
      </c>
      <c r="R22" t="s">
        <v>10365</v>
      </c>
      <c r="S22">
        <v>1</v>
      </c>
    </row>
    <row r="23" spans="1:19">
      <c r="A23" t="s">
        <v>25</v>
      </c>
      <c r="B23" t="s">
        <v>2332</v>
      </c>
      <c r="C23">
        <f>"00275"</f>
        <v>0</v>
      </c>
      <c r="D23">
        <v>0</v>
      </c>
      <c r="E23">
        <v>0</v>
      </c>
      <c r="F23">
        <v>0</v>
      </c>
      <c r="G23">
        <v>1</v>
      </c>
      <c r="H23">
        <v>1</v>
      </c>
      <c r="I23">
        <v>0</v>
      </c>
      <c r="J23">
        <v>1</v>
      </c>
      <c r="K23">
        <v>1.98</v>
      </c>
      <c r="L23" s="2">
        <v>2</v>
      </c>
      <c r="M23">
        <v>0</v>
      </c>
      <c r="N23" s="2">
        <v>0</v>
      </c>
      <c r="O23">
        <v>3.8</v>
      </c>
      <c r="P23" t="s">
        <v>10332</v>
      </c>
      <c r="Q23">
        <v>1.748</v>
      </c>
      <c r="R23" t="s">
        <v>10366</v>
      </c>
      <c r="S23">
        <v>1</v>
      </c>
    </row>
    <row r="24" spans="1:19">
      <c r="A24" t="s">
        <v>25</v>
      </c>
      <c r="B24" t="s">
        <v>555</v>
      </c>
      <c r="C24">
        <f>"3530"</f>
        <v>0</v>
      </c>
      <c r="D24">
        <v>5</v>
      </c>
      <c r="E24">
        <v>3</v>
      </c>
      <c r="F24">
        <v>4</v>
      </c>
      <c r="G24">
        <v>0</v>
      </c>
      <c r="H24">
        <v>12</v>
      </c>
      <c r="I24">
        <v>3.5</v>
      </c>
      <c r="J24">
        <v>0</v>
      </c>
      <c r="K24">
        <v>0</v>
      </c>
      <c r="L24" s="2">
        <v>0</v>
      </c>
      <c r="M24">
        <v>4</v>
      </c>
      <c r="N24" s="2">
        <v>0</v>
      </c>
      <c r="O24">
        <v>3.5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25</v>
      </c>
      <c r="B25" t="s">
        <v>681</v>
      </c>
      <c r="C25">
        <f>"50552"</f>
        <v>0</v>
      </c>
      <c r="D25">
        <v>2</v>
      </c>
      <c r="E25">
        <v>1</v>
      </c>
      <c r="F25">
        <v>2</v>
      </c>
      <c r="G25">
        <v>1</v>
      </c>
      <c r="H25">
        <v>6</v>
      </c>
      <c r="I25">
        <v>1.5</v>
      </c>
      <c r="J25">
        <v>0</v>
      </c>
      <c r="K25">
        <v>0</v>
      </c>
      <c r="L25" s="2">
        <v>0</v>
      </c>
      <c r="M25">
        <v>2</v>
      </c>
      <c r="N25" s="2">
        <v>0</v>
      </c>
      <c r="O25">
        <v>3.5</v>
      </c>
      <c r="P25" t="s">
        <v>10333</v>
      </c>
      <c r="Q25">
        <v>1.012</v>
      </c>
      <c r="R25" t="s">
        <v>10367</v>
      </c>
      <c r="S25">
        <v>0</v>
      </c>
    </row>
    <row r="26" spans="1:19">
      <c r="A26" t="s">
        <v>25</v>
      </c>
      <c r="B26" t="s">
        <v>235</v>
      </c>
      <c r="C26">
        <f>"TR057"</f>
        <v>0</v>
      </c>
      <c r="D26">
        <v>0</v>
      </c>
      <c r="E26">
        <v>1</v>
      </c>
      <c r="F26">
        <v>1</v>
      </c>
      <c r="G26">
        <v>1</v>
      </c>
      <c r="H26">
        <v>3</v>
      </c>
      <c r="I26">
        <v>1</v>
      </c>
      <c r="J26">
        <v>0</v>
      </c>
      <c r="K26">
        <v>0</v>
      </c>
      <c r="L26" s="2">
        <v>0</v>
      </c>
      <c r="M26">
        <v>2</v>
      </c>
      <c r="N26" s="2">
        <v>0</v>
      </c>
      <c r="O26">
        <v>3</v>
      </c>
      <c r="P26" t="s">
        <v>10249</v>
      </c>
      <c r="Q26">
        <v>908</v>
      </c>
      <c r="R26" t="s">
        <v>10368</v>
      </c>
      <c r="S26">
        <v>0</v>
      </c>
    </row>
    <row r="27" spans="1:19">
      <c r="A27" t="s">
        <v>25</v>
      </c>
      <c r="B27" t="s">
        <v>264</v>
      </c>
      <c r="C27">
        <f>"53131"</f>
        <v>0</v>
      </c>
      <c r="D27">
        <v>8</v>
      </c>
      <c r="E27">
        <v>2</v>
      </c>
      <c r="F27">
        <v>0</v>
      </c>
      <c r="G27">
        <v>2</v>
      </c>
      <c r="H27">
        <v>12</v>
      </c>
      <c r="I27">
        <v>2</v>
      </c>
      <c r="J27">
        <v>5</v>
      </c>
      <c r="K27">
        <v>15.525</v>
      </c>
      <c r="L27" s="2">
        <v>3</v>
      </c>
      <c r="M27">
        <v>0</v>
      </c>
      <c r="N27" s="2">
        <v>0</v>
      </c>
      <c r="O27">
        <v>3</v>
      </c>
      <c r="P27" t="s">
        <v>10334</v>
      </c>
      <c r="Q27">
        <v>817</v>
      </c>
      <c r="R27" t="s">
        <v>10369</v>
      </c>
      <c r="S27">
        <v>1</v>
      </c>
    </row>
    <row r="28" spans="1:19">
      <c r="A28" t="s">
        <v>25</v>
      </c>
      <c r="B28" t="s">
        <v>273</v>
      </c>
      <c r="C28">
        <f>"ZVP1356"</f>
        <v>0</v>
      </c>
      <c r="D28">
        <v>0</v>
      </c>
      <c r="E28">
        <v>0</v>
      </c>
      <c r="F28">
        <v>1</v>
      </c>
      <c r="G28">
        <v>1</v>
      </c>
      <c r="H28">
        <v>2</v>
      </c>
      <c r="I28">
        <v>0.5</v>
      </c>
      <c r="J28">
        <v>0</v>
      </c>
      <c r="K28">
        <v>0</v>
      </c>
      <c r="L28" s="2">
        <v>0</v>
      </c>
      <c r="M28">
        <v>1</v>
      </c>
      <c r="N28" s="2">
        <v>0</v>
      </c>
      <c r="O28">
        <v>2.5</v>
      </c>
      <c r="P28" t="s">
        <v>10319</v>
      </c>
      <c r="Q28">
        <v>541</v>
      </c>
      <c r="R28" t="s">
        <v>10370</v>
      </c>
      <c r="S28">
        <v>0</v>
      </c>
    </row>
    <row r="29" spans="1:19">
      <c r="A29" t="s">
        <v>25</v>
      </c>
      <c r="B29" t="s">
        <v>356</v>
      </c>
      <c r="C29">
        <f>"RY29LAM"</f>
        <v>0</v>
      </c>
      <c r="D29">
        <v>0</v>
      </c>
      <c r="E29">
        <v>0</v>
      </c>
      <c r="F29">
        <v>1</v>
      </c>
      <c r="G29">
        <v>1</v>
      </c>
      <c r="H29">
        <v>2</v>
      </c>
      <c r="I29">
        <v>0.5</v>
      </c>
      <c r="J29">
        <v>0</v>
      </c>
      <c r="K29">
        <v>0</v>
      </c>
      <c r="L29" s="2">
        <v>0</v>
      </c>
      <c r="M29">
        <v>1</v>
      </c>
      <c r="N29" s="2">
        <v>0</v>
      </c>
      <c r="O29">
        <v>2.5</v>
      </c>
      <c r="P29" t="s">
        <v>10335</v>
      </c>
      <c r="Q29">
        <v>261</v>
      </c>
      <c r="R29" t="s">
        <v>10371</v>
      </c>
      <c r="S29">
        <v>0</v>
      </c>
    </row>
    <row r="30" spans="1:19">
      <c r="A30" t="s">
        <v>25</v>
      </c>
      <c r="B30" t="s">
        <v>445</v>
      </c>
      <c r="C30">
        <f>"HENO1KX3"</f>
        <v>0</v>
      </c>
      <c r="D30">
        <v>5</v>
      </c>
      <c r="E30">
        <v>20</v>
      </c>
      <c r="F30">
        <v>0</v>
      </c>
      <c r="G30">
        <v>0</v>
      </c>
      <c r="H30">
        <v>25</v>
      </c>
      <c r="I30">
        <v>2.5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2.5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25</v>
      </c>
      <c r="B31" t="s">
        <v>637</v>
      </c>
      <c r="C31">
        <f>"zvp600"</f>
        <v>0</v>
      </c>
      <c r="D31">
        <v>4</v>
      </c>
      <c r="E31">
        <v>4</v>
      </c>
      <c r="F31">
        <v>0</v>
      </c>
      <c r="G31">
        <v>0</v>
      </c>
      <c r="H31">
        <v>8</v>
      </c>
      <c r="I31">
        <v>2</v>
      </c>
      <c r="J31">
        <v>0</v>
      </c>
      <c r="K31">
        <v>0</v>
      </c>
      <c r="L31" s="2">
        <v>0</v>
      </c>
      <c r="M31">
        <v>2</v>
      </c>
      <c r="N31" s="2">
        <v>0</v>
      </c>
      <c r="O31">
        <v>2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25</v>
      </c>
      <c r="B32" t="s">
        <v>592</v>
      </c>
      <c r="C32">
        <f>"MP005"</f>
        <v>0</v>
      </c>
      <c r="D32">
        <v>2</v>
      </c>
      <c r="E32">
        <v>7</v>
      </c>
      <c r="F32">
        <v>1</v>
      </c>
      <c r="G32">
        <v>0</v>
      </c>
      <c r="H32">
        <v>10</v>
      </c>
      <c r="I32">
        <v>1.5</v>
      </c>
      <c r="J32">
        <v>0</v>
      </c>
      <c r="K32">
        <v>0</v>
      </c>
      <c r="L32" s="2">
        <v>0</v>
      </c>
      <c r="M32">
        <v>2</v>
      </c>
      <c r="N32" s="2">
        <v>0</v>
      </c>
      <c r="O32">
        <v>1.5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25</v>
      </c>
      <c r="B33" t="s">
        <v>683</v>
      </c>
      <c r="C33">
        <f>"ZVP1108"</f>
        <v>0</v>
      </c>
      <c r="D33">
        <v>3</v>
      </c>
      <c r="E33">
        <v>0</v>
      </c>
      <c r="F33">
        <v>3</v>
      </c>
      <c r="G33">
        <v>0</v>
      </c>
      <c r="H33">
        <v>6</v>
      </c>
      <c r="I33">
        <v>1.5</v>
      </c>
      <c r="J33">
        <v>0</v>
      </c>
      <c r="K33">
        <v>0</v>
      </c>
      <c r="L33" s="2">
        <v>0</v>
      </c>
      <c r="M33">
        <v>2</v>
      </c>
      <c r="N33" s="2">
        <v>0</v>
      </c>
      <c r="O33">
        <v>1.5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25</v>
      </c>
      <c r="B34" t="s">
        <v>579</v>
      </c>
      <c r="C34">
        <f>"PWFLE"</f>
        <v>0</v>
      </c>
      <c r="D34">
        <v>8</v>
      </c>
      <c r="E34">
        <v>3</v>
      </c>
      <c r="F34">
        <v>0</v>
      </c>
      <c r="G34">
        <v>0</v>
      </c>
      <c r="H34">
        <v>11</v>
      </c>
      <c r="I34">
        <v>1.5</v>
      </c>
      <c r="J34">
        <v>0</v>
      </c>
      <c r="K34">
        <v>0</v>
      </c>
      <c r="L34" s="2">
        <v>0</v>
      </c>
      <c r="M34">
        <v>2</v>
      </c>
      <c r="N34" s="2">
        <v>0</v>
      </c>
      <c r="O34">
        <v>1.5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25</v>
      </c>
      <c r="B35" t="s">
        <v>2335</v>
      </c>
      <c r="C35">
        <f>"NJ12"</f>
        <v>0</v>
      </c>
      <c r="D35">
        <v>0</v>
      </c>
      <c r="E35">
        <v>0</v>
      </c>
      <c r="F35">
        <v>0</v>
      </c>
      <c r="G35">
        <v>1</v>
      </c>
      <c r="H35">
        <v>1</v>
      </c>
      <c r="I35">
        <v>0</v>
      </c>
      <c r="J35">
        <v>3</v>
      </c>
      <c r="K35">
        <v>18.873</v>
      </c>
      <c r="L35" s="2">
        <v>6</v>
      </c>
      <c r="M35">
        <v>0</v>
      </c>
      <c r="N35" s="2">
        <v>0</v>
      </c>
      <c r="O35">
        <v>1.4</v>
      </c>
      <c r="P35" t="s">
        <v>10336</v>
      </c>
      <c r="Q35">
        <v>1.611</v>
      </c>
      <c r="R35" t="s">
        <v>10372</v>
      </c>
      <c r="S35">
        <v>1</v>
      </c>
    </row>
    <row r="36" spans="1:19">
      <c r="A36" t="s">
        <v>25</v>
      </c>
      <c r="B36" t="s">
        <v>1774</v>
      </c>
      <c r="C36">
        <f>"A47"</f>
        <v>0</v>
      </c>
      <c r="D36">
        <v>0</v>
      </c>
      <c r="E36">
        <v>0</v>
      </c>
      <c r="F36">
        <v>1</v>
      </c>
      <c r="G36">
        <v>1</v>
      </c>
      <c r="H36">
        <v>2</v>
      </c>
      <c r="I36">
        <v>0.5</v>
      </c>
      <c r="J36">
        <v>1</v>
      </c>
      <c r="K36">
        <v>207.2</v>
      </c>
      <c r="L36" s="2">
        <v>207</v>
      </c>
      <c r="M36">
        <v>0</v>
      </c>
      <c r="N36" s="2">
        <v>0</v>
      </c>
      <c r="O36">
        <v>1.3</v>
      </c>
      <c r="P36" t="s">
        <v>10337</v>
      </c>
      <c r="Q36">
        <v>36.413</v>
      </c>
      <c r="R36" t="s">
        <v>10373</v>
      </c>
      <c r="S36">
        <v>0</v>
      </c>
    </row>
    <row r="37" spans="1:19">
      <c r="A37" t="s">
        <v>25</v>
      </c>
      <c r="B37" t="s">
        <v>1849</v>
      </c>
      <c r="C37">
        <f>"3531"</f>
        <v>0</v>
      </c>
      <c r="D37">
        <v>2</v>
      </c>
      <c r="E37">
        <v>1</v>
      </c>
      <c r="F37">
        <v>2</v>
      </c>
      <c r="G37">
        <v>2</v>
      </c>
      <c r="H37">
        <v>7</v>
      </c>
      <c r="I37">
        <v>2</v>
      </c>
      <c r="J37">
        <v>4</v>
      </c>
      <c r="K37">
        <v>15.96</v>
      </c>
      <c r="L37" s="2">
        <v>4</v>
      </c>
      <c r="M37">
        <v>0</v>
      </c>
      <c r="N37" s="2">
        <v>0</v>
      </c>
      <c r="O37">
        <v>1.2</v>
      </c>
      <c r="P37" t="s">
        <v>10338</v>
      </c>
      <c r="Q37">
        <v>1.921</v>
      </c>
      <c r="R37" t="s">
        <v>10374</v>
      </c>
      <c r="S37">
        <v>0</v>
      </c>
    </row>
    <row r="38" spans="1:19">
      <c r="A38" t="s">
        <v>25</v>
      </c>
      <c r="B38" t="s">
        <v>805</v>
      </c>
      <c r="C38">
        <f>"YB0394"</f>
        <v>0</v>
      </c>
      <c r="D38">
        <v>2</v>
      </c>
      <c r="E38">
        <v>1</v>
      </c>
      <c r="F38">
        <v>1</v>
      </c>
      <c r="G38">
        <v>0</v>
      </c>
      <c r="H38">
        <v>4</v>
      </c>
      <c r="I38">
        <v>1</v>
      </c>
      <c r="J38">
        <v>0</v>
      </c>
      <c r="K38">
        <v>0</v>
      </c>
      <c r="L38" s="2">
        <v>0</v>
      </c>
      <c r="M38">
        <v>1</v>
      </c>
      <c r="N38" s="2">
        <v>0</v>
      </c>
      <c r="O38">
        <v>1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25</v>
      </c>
      <c r="B39" t="s">
        <v>316</v>
      </c>
      <c r="C39">
        <f>"RY29LA"</f>
        <v>0</v>
      </c>
      <c r="D39">
        <v>0</v>
      </c>
      <c r="E39">
        <v>0</v>
      </c>
      <c r="F39">
        <v>0</v>
      </c>
      <c r="G39">
        <v>2</v>
      </c>
      <c r="H39">
        <v>2</v>
      </c>
      <c r="I39">
        <v>0</v>
      </c>
      <c r="J39">
        <v>5</v>
      </c>
      <c r="K39">
        <v>8.01</v>
      </c>
      <c r="L39" s="2">
        <v>2</v>
      </c>
      <c r="M39">
        <v>0</v>
      </c>
      <c r="N39" s="2">
        <v>0</v>
      </c>
      <c r="O39">
        <v>1</v>
      </c>
      <c r="P39" t="s">
        <v>10339</v>
      </c>
      <c r="Q39">
        <v>676</v>
      </c>
      <c r="R39" t="s">
        <v>10375</v>
      </c>
      <c r="S39">
        <v>1</v>
      </c>
    </row>
    <row r="40" spans="1:19">
      <c r="A40" t="s">
        <v>25</v>
      </c>
      <c r="B40" t="s">
        <v>690</v>
      </c>
      <c r="C40">
        <f>"BBOXO26L"</f>
        <v>0</v>
      </c>
      <c r="D40">
        <v>4</v>
      </c>
      <c r="E40">
        <v>2</v>
      </c>
      <c r="F40">
        <v>0</v>
      </c>
      <c r="G40">
        <v>0</v>
      </c>
      <c r="H40">
        <v>6</v>
      </c>
      <c r="I40">
        <v>1</v>
      </c>
      <c r="J40">
        <v>0</v>
      </c>
      <c r="K40">
        <v>0</v>
      </c>
      <c r="L40" s="2">
        <v>0</v>
      </c>
      <c r="M40">
        <v>1</v>
      </c>
      <c r="N40" s="2">
        <v>0</v>
      </c>
      <c r="O40">
        <v>1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25</v>
      </c>
      <c r="B41" t="s">
        <v>278</v>
      </c>
      <c r="C41">
        <f>"CH99409B"</f>
        <v>0</v>
      </c>
      <c r="D41">
        <v>1</v>
      </c>
      <c r="E41">
        <v>0</v>
      </c>
      <c r="F41">
        <v>0</v>
      </c>
      <c r="G41">
        <v>1</v>
      </c>
      <c r="H41">
        <v>2</v>
      </c>
      <c r="I41">
        <v>0.5</v>
      </c>
      <c r="J41">
        <v>4</v>
      </c>
      <c r="K41">
        <v>19.8</v>
      </c>
      <c r="L41" s="2">
        <v>5</v>
      </c>
      <c r="M41">
        <v>0</v>
      </c>
      <c r="N41" s="2">
        <v>0</v>
      </c>
      <c r="O41">
        <v>0.7000000000000002</v>
      </c>
      <c r="P41" t="s">
        <v>10340</v>
      </c>
      <c r="Q41">
        <v>796</v>
      </c>
      <c r="R41" t="s">
        <v>10376</v>
      </c>
      <c r="S41">
        <v>1</v>
      </c>
    </row>
    <row r="42" spans="1:19">
      <c r="A42" t="s">
        <v>25</v>
      </c>
      <c r="B42" t="s">
        <v>1081</v>
      </c>
      <c r="C42">
        <f>"SXY082"</f>
        <v>0</v>
      </c>
      <c r="D42">
        <v>1</v>
      </c>
      <c r="E42">
        <v>0</v>
      </c>
      <c r="F42">
        <v>1</v>
      </c>
      <c r="G42">
        <v>0</v>
      </c>
      <c r="H42">
        <v>2</v>
      </c>
      <c r="I42">
        <v>0.5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0.5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25</v>
      </c>
      <c r="B43" t="s">
        <v>813</v>
      </c>
      <c r="C43">
        <f>"S401AROS"</f>
        <v>0</v>
      </c>
      <c r="D43">
        <v>1</v>
      </c>
      <c r="E43">
        <v>3</v>
      </c>
      <c r="F43">
        <v>0</v>
      </c>
      <c r="G43">
        <v>0</v>
      </c>
      <c r="H43">
        <v>4</v>
      </c>
      <c r="I43">
        <v>0.5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0.5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25</v>
      </c>
      <c r="B44" t="s">
        <v>1134</v>
      </c>
      <c r="C44">
        <f>"50272"</f>
        <v>0</v>
      </c>
      <c r="D44">
        <v>1</v>
      </c>
      <c r="E44">
        <v>0</v>
      </c>
      <c r="F44">
        <v>1</v>
      </c>
      <c r="G44">
        <v>0</v>
      </c>
      <c r="H44">
        <v>2</v>
      </c>
      <c r="I44">
        <v>0.5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0.5</v>
      </c>
      <c r="P44" t="s">
        <v>10341</v>
      </c>
      <c r="Q44">
        <v>-2.095</v>
      </c>
      <c r="R44" t="s">
        <v>10377</v>
      </c>
      <c r="S44">
        <v>0</v>
      </c>
    </row>
    <row r="45" spans="1:19">
      <c r="A45" t="s">
        <v>25</v>
      </c>
      <c r="B45" t="s">
        <v>875</v>
      </c>
      <c r="C45">
        <f>"3541"</f>
        <v>0</v>
      </c>
      <c r="D45">
        <v>2</v>
      </c>
      <c r="E45">
        <v>1</v>
      </c>
      <c r="F45">
        <v>0</v>
      </c>
      <c r="G45">
        <v>0</v>
      </c>
      <c r="H45">
        <v>3</v>
      </c>
      <c r="I45">
        <v>0.5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0.5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25</v>
      </c>
      <c r="B46" t="s">
        <v>812</v>
      </c>
      <c r="C46">
        <f>"S401AMO"</f>
        <v>0</v>
      </c>
      <c r="D46">
        <v>3</v>
      </c>
      <c r="E46">
        <v>1</v>
      </c>
      <c r="F46">
        <v>0</v>
      </c>
      <c r="G46">
        <v>0</v>
      </c>
      <c r="H46">
        <v>4</v>
      </c>
      <c r="I46">
        <v>0.5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0.5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25</v>
      </c>
      <c r="B47" t="s">
        <v>980</v>
      </c>
      <c r="C47">
        <f>"1893ROJ"</f>
        <v>0</v>
      </c>
      <c r="D47">
        <v>1</v>
      </c>
      <c r="E47">
        <v>1</v>
      </c>
      <c r="F47">
        <v>0</v>
      </c>
      <c r="G47">
        <v>0</v>
      </c>
      <c r="H47">
        <v>2</v>
      </c>
      <c r="I47">
        <v>0.5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0.5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25</v>
      </c>
      <c r="B48" t="s">
        <v>891</v>
      </c>
      <c r="C48">
        <f>"S402AROS"</f>
        <v>0</v>
      </c>
      <c r="D48">
        <v>2</v>
      </c>
      <c r="E48">
        <v>0</v>
      </c>
      <c r="F48">
        <v>1</v>
      </c>
      <c r="G48">
        <v>0</v>
      </c>
      <c r="H48">
        <v>3</v>
      </c>
      <c r="I48">
        <v>0.5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0.5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25</v>
      </c>
      <c r="B49" t="s">
        <v>944</v>
      </c>
      <c r="C49">
        <f>"HJJ"</f>
        <v>0</v>
      </c>
      <c r="D49">
        <v>1</v>
      </c>
      <c r="E49">
        <v>0</v>
      </c>
      <c r="F49">
        <v>2</v>
      </c>
      <c r="G49">
        <v>0</v>
      </c>
      <c r="H49">
        <v>3</v>
      </c>
      <c r="I49">
        <v>0.5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0.5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25</v>
      </c>
      <c r="B50" t="s">
        <v>576</v>
      </c>
      <c r="C50">
        <f>"HENO1KX5"</f>
        <v>0</v>
      </c>
      <c r="D50">
        <v>1</v>
      </c>
      <c r="E50">
        <v>10</v>
      </c>
      <c r="F50">
        <v>0</v>
      </c>
      <c r="G50">
        <v>0</v>
      </c>
      <c r="H50">
        <v>11</v>
      </c>
      <c r="I50">
        <v>0.5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0.5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25</v>
      </c>
      <c r="B51" t="s">
        <v>880</v>
      </c>
      <c r="C51">
        <f>"TR053"</f>
        <v>0</v>
      </c>
      <c r="D51">
        <v>0</v>
      </c>
      <c r="E51">
        <v>1</v>
      </c>
      <c r="F51">
        <v>2</v>
      </c>
      <c r="G51">
        <v>0</v>
      </c>
      <c r="H51">
        <v>3</v>
      </c>
      <c r="I51">
        <v>0.5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0.5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25</v>
      </c>
      <c r="B52" t="s">
        <v>890</v>
      </c>
      <c r="C52">
        <f>"S100VE"</f>
        <v>0</v>
      </c>
      <c r="D52">
        <v>1</v>
      </c>
      <c r="E52">
        <v>2</v>
      </c>
      <c r="F52">
        <v>0</v>
      </c>
      <c r="G52">
        <v>0</v>
      </c>
      <c r="H52">
        <v>3</v>
      </c>
      <c r="I52">
        <v>0.5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0.5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25</v>
      </c>
      <c r="B53" t="s">
        <v>789</v>
      </c>
      <c r="C53">
        <f>"S100ROJ"</f>
        <v>0</v>
      </c>
      <c r="D53">
        <v>1</v>
      </c>
      <c r="E53">
        <v>0</v>
      </c>
      <c r="F53">
        <v>3</v>
      </c>
      <c r="G53">
        <v>0</v>
      </c>
      <c r="H53">
        <v>4</v>
      </c>
      <c r="I53">
        <v>0.5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0.5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25</v>
      </c>
      <c r="B54" t="s">
        <v>998</v>
      </c>
      <c r="C54">
        <f>"LS1020"</f>
        <v>0</v>
      </c>
      <c r="D54">
        <v>1</v>
      </c>
      <c r="E54">
        <v>0</v>
      </c>
      <c r="F54">
        <v>1</v>
      </c>
      <c r="G54">
        <v>0</v>
      </c>
      <c r="H54">
        <v>2</v>
      </c>
      <c r="I54">
        <v>0.5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0.5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25</v>
      </c>
      <c r="B55" t="s">
        <v>1058</v>
      </c>
      <c r="C55">
        <f>"YT200"</f>
        <v>0</v>
      </c>
      <c r="D55">
        <v>1</v>
      </c>
      <c r="E55">
        <v>0</v>
      </c>
      <c r="F55">
        <v>1</v>
      </c>
      <c r="G55">
        <v>0</v>
      </c>
      <c r="H55">
        <v>2</v>
      </c>
      <c r="I55">
        <v>0.5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0.5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25</v>
      </c>
      <c r="B56" t="s">
        <v>844</v>
      </c>
      <c r="C56">
        <f>"5103CE"</f>
        <v>0</v>
      </c>
      <c r="D56">
        <v>3</v>
      </c>
      <c r="E56">
        <v>0</v>
      </c>
      <c r="F56">
        <v>1</v>
      </c>
      <c r="G56">
        <v>0</v>
      </c>
      <c r="H56">
        <v>4</v>
      </c>
      <c r="I56">
        <v>0.5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0.5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25</v>
      </c>
      <c r="B57" t="s">
        <v>344</v>
      </c>
      <c r="C57">
        <f>"ZVP2510"</f>
        <v>0</v>
      </c>
      <c r="D57">
        <v>0</v>
      </c>
      <c r="E57">
        <v>0</v>
      </c>
      <c r="F57">
        <v>0</v>
      </c>
      <c r="G57">
        <v>1</v>
      </c>
      <c r="H57">
        <v>1</v>
      </c>
      <c r="I57">
        <v>0</v>
      </c>
      <c r="J57">
        <v>4</v>
      </c>
      <c r="K57">
        <v>5.724</v>
      </c>
      <c r="L57" s="2">
        <v>1</v>
      </c>
      <c r="M57">
        <v>0</v>
      </c>
      <c r="N57" s="2">
        <v>0</v>
      </c>
      <c r="O57">
        <v>0.2000000000000002</v>
      </c>
      <c r="P57" t="s">
        <v>10342</v>
      </c>
      <c r="Q57">
        <v>577</v>
      </c>
      <c r="R57" t="s">
        <v>10378</v>
      </c>
      <c r="S57">
        <v>1</v>
      </c>
    </row>
    <row r="58" spans="1:19">
      <c r="A58" t="s">
        <v>25</v>
      </c>
      <c r="B58" t="s">
        <v>9248</v>
      </c>
      <c r="C58">
        <f>"6765002"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25</v>
      </c>
      <c r="B59" t="s">
        <v>10047</v>
      </c>
      <c r="C59">
        <f>"DR111V"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25</v>
      </c>
      <c r="B60" t="s">
        <v>9423</v>
      </c>
      <c r="C60">
        <f>"ZVP1031"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25</v>
      </c>
      <c r="B61" t="s">
        <v>9799</v>
      </c>
      <c r="C61">
        <f>"RJ185"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25</v>
      </c>
      <c r="B62" t="s">
        <v>969</v>
      </c>
      <c r="C62">
        <f>"MYG006"</f>
        <v>0</v>
      </c>
      <c r="D62">
        <v>0</v>
      </c>
      <c r="E62">
        <v>2</v>
      </c>
      <c r="F62">
        <v>0</v>
      </c>
      <c r="G62">
        <v>0</v>
      </c>
      <c r="H62">
        <v>2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25</v>
      </c>
      <c r="B63" t="s">
        <v>9245</v>
      </c>
      <c r="C63">
        <f>"6765156"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25</v>
      </c>
      <c r="B64" t="s">
        <v>9763</v>
      </c>
      <c r="C64">
        <f>"RJ122"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25</v>
      </c>
      <c r="B65" t="s">
        <v>8790</v>
      </c>
      <c r="C65">
        <f>"ND21100"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25</v>
      </c>
      <c r="B66" t="s">
        <v>10005</v>
      </c>
      <c r="C66">
        <f>"GECKLEO"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25</v>
      </c>
      <c r="B67" t="s">
        <v>9817</v>
      </c>
      <c r="C67">
        <f>"AYCS037"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25</v>
      </c>
      <c r="B68" t="s">
        <v>9819</v>
      </c>
      <c r="C68">
        <f>"RJ203"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25</v>
      </c>
      <c r="B69" t="s">
        <v>5772</v>
      </c>
      <c r="C69">
        <f>"ZVP5120"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25</v>
      </c>
      <c r="B70" t="s">
        <v>9820</v>
      </c>
      <c r="C70">
        <f>"DC01"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25</v>
      </c>
      <c r="B71" t="s">
        <v>1423</v>
      </c>
      <c r="C71">
        <f>"5103ROS"</f>
        <v>0</v>
      </c>
      <c r="D71">
        <v>1</v>
      </c>
      <c r="E71">
        <v>0</v>
      </c>
      <c r="F71">
        <v>0</v>
      </c>
      <c r="G71">
        <v>0</v>
      </c>
      <c r="H71">
        <v>1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25</v>
      </c>
      <c r="B72" t="s">
        <v>8704</v>
      </c>
      <c r="C72">
        <f>"5103J"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25</v>
      </c>
      <c r="B73" t="s">
        <v>8731</v>
      </c>
      <c r="C73">
        <f>"M005"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25</v>
      </c>
      <c r="B74" t="s">
        <v>1424</v>
      </c>
      <c r="C74">
        <f>"M014"</f>
        <v>0</v>
      </c>
      <c r="D74">
        <v>1</v>
      </c>
      <c r="E74">
        <v>0</v>
      </c>
      <c r="F74">
        <v>0</v>
      </c>
      <c r="G74">
        <v>0</v>
      </c>
      <c r="H74">
        <v>1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25</v>
      </c>
      <c r="B75" t="s">
        <v>8528</v>
      </c>
      <c r="C75">
        <f>"8500471"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25</v>
      </c>
      <c r="B76" t="s">
        <v>1005</v>
      </c>
      <c r="C76">
        <f>"TR055"</f>
        <v>0</v>
      </c>
      <c r="D76">
        <v>2</v>
      </c>
      <c r="E76">
        <v>0</v>
      </c>
      <c r="F76">
        <v>0</v>
      </c>
      <c r="G76">
        <v>0</v>
      </c>
      <c r="H76">
        <v>2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25</v>
      </c>
      <c r="B77" t="s">
        <v>8613</v>
      </c>
      <c r="C77">
        <f>"8500473"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25</v>
      </c>
      <c r="B78" t="s">
        <v>8628</v>
      </c>
      <c r="C78">
        <f>"JS105"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25</v>
      </c>
      <c r="B79" t="s">
        <v>8546</v>
      </c>
      <c r="C79">
        <f>"NFF47"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25</v>
      </c>
      <c r="B80" t="s">
        <v>3407</v>
      </c>
      <c r="C80">
        <f>"TD02"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25</v>
      </c>
      <c r="B81" t="s">
        <v>3409</v>
      </c>
      <c r="C81">
        <f>"NR01028"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25</v>
      </c>
      <c r="B82" t="s">
        <v>10131</v>
      </c>
      <c r="C82">
        <f>"AYCS2602"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25</v>
      </c>
      <c r="B83" t="s">
        <v>9802</v>
      </c>
      <c r="C83">
        <f>"ZVP5130"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25</v>
      </c>
      <c r="B84" t="s">
        <v>9141</v>
      </c>
      <c r="C84">
        <f>"AYCS075"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25</v>
      </c>
      <c r="B85" t="s">
        <v>10152</v>
      </c>
      <c r="C85">
        <f>"RJ152"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25</v>
      </c>
      <c r="B86" t="s">
        <v>8612</v>
      </c>
      <c r="C86">
        <f>"8500472"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25</v>
      </c>
      <c r="B87" t="s">
        <v>5660</v>
      </c>
      <c r="C87">
        <f>"NS39"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25</v>
      </c>
      <c r="B88" t="s">
        <v>5661</v>
      </c>
      <c r="C88">
        <f>"NW12"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25</v>
      </c>
      <c r="B89" t="s">
        <v>9361</v>
      </c>
      <c r="C89">
        <f>"DR127"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25</v>
      </c>
      <c r="B90" t="s">
        <v>9675</v>
      </c>
      <c r="C90">
        <f>"RJ333"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25</v>
      </c>
      <c r="B91" t="s">
        <v>9676</v>
      </c>
      <c r="C91">
        <f>"L883"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25</v>
      </c>
      <c r="B92" t="s">
        <v>9678</v>
      </c>
      <c r="C92">
        <f>"RJ179"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25</v>
      </c>
      <c r="B93" t="s">
        <v>9680</v>
      </c>
      <c r="C93">
        <f>"RJ182"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25</v>
      </c>
      <c r="B94" t="s">
        <v>9507</v>
      </c>
      <c r="C94">
        <f>"RJ154"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25</v>
      </c>
      <c r="B95" t="s">
        <v>7179</v>
      </c>
      <c r="C95">
        <f>"R2ROS"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25</v>
      </c>
      <c r="B96" t="s">
        <v>7155</v>
      </c>
      <c r="C96">
        <f>"R4"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25</v>
      </c>
      <c r="B97" t="s">
        <v>9818</v>
      </c>
      <c r="C97">
        <f>"HTV"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25</v>
      </c>
      <c r="B98" t="s">
        <v>7141</v>
      </c>
      <c r="C98">
        <f>"R3AZ"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25</v>
      </c>
      <c r="B99" t="s">
        <v>7142</v>
      </c>
      <c r="C99">
        <f>"R3"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25</v>
      </c>
      <c r="B100" t="s">
        <v>8992</v>
      </c>
      <c r="C100">
        <f>"S401A"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25</v>
      </c>
      <c r="B101" t="s">
        <v>1404</v>
      </c>
      <c r="C101">
        <f>"ZVP400FRU"</f>
        <v>0</v>
      </c>
      <c r="D101">
        <v>0</v>
      </c>
      <c r="E101">
        <v>1</v>
      </c>
      <c r="F101">
        <v>0</v>
      </c>
      <c r="G101">
        <v>0</v>
      </c>
      <c r="H101">
        <v>1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25</v>
      </c>
      <c r="B102" t="s">
        <v>1405</v>
      </c>
      <c r="C102">
        <f>"LO81000"</f>
        <v>0</v>
      </c>
      <c r="D102">
        <v>1</v>
      </c>
      <c r="E102">
        <v>0</v>
      </c>
      <c r="F102">
        <v>0</v>
      </c>
      <c r="G102">
        <v>0</v>
      </c>
      <c r="H102">
        <v>1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25</v>
      </c>
      <c r="B103" t="s">
        <v>9583</v>
      </c>
      <c r="C103">
        <f>"DRAGBARB"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25</v>
      </c>
      <c r="B104" t="s">
        <v>9542</v>
      </c>
      <c r="C104">
        <f>"REPHY"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25</v>
      </c>
      <c r="B105" t="s">
        <v>7004</v>
      </c>
      <c r="C105">
        <f>"U605"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25</v>
      </c>
      <c r="B106" t="s">
        <v>6915</v>
      </c>
      <c r="C106">
        <f>"NV0106"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25</v>
      </c>
      <c r="B107" t="s">
        <v>6890</v>
      </c>
      <c r="C107">
        <f>"ZVP1105"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25</v>
      </c>
      <c r="B108" t="s">
        <v>8993</v>
      </c>
      <c r="C108">
        <f>"RJ121"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25</v>
      </c>
      <c r="B109" t="s">
        <v>9814</v>
      </c>
      <c r="C109">
        <f>"53111"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25</v>
      </c>
      <c r="B110" t="s">
        <v>9480</v>
      </c>
      <c r="C110">
        <f>"RJ738"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25</v>
      </c>
      <c r="B111" t="s">
        <v>5938</v>
      </c>
      <c r="C111">
        <f>"SILKE"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25</v>
      </c>
      <c r="B112" t="s">
        <v>5754</v>
      </c>
      <c r="C112">
        <f>"ZVP1257"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25</v>
      </c>
      <c r="B113" t="s">
        <v>5705</v>
      </c>
      <c r="C113">
        <f>"ZVP1157"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25</v>
      </c>
      <c r="B114" t="s">
        <v>5706</v>
      </c>
      <c r="C114">
        <f>"ZVP1357"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25</v>
      </c>
      <c r="B115" t="s">
        <v>5707</v>
      </c>
      <c r="C115">
        <f>"ZVP1857"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25</v>
      </c>
      <c r="B116" t="s">
        <v>5735</v>
      </c>
      <c r="C116">
        <f>"ZVP1158"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25</v>
      </c>
      <c r="B117" t="s">
        <v>5737</v>
      </c>
      <c r="C117">
        <f>"ZVP1657"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25</v>
      </c>
      <c r="B118" t="s">
        <v>5805</v>
      </c>
      <c r="C118">
        <f>"NJ05"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25</v>
      </c>
      <c r="B119" t="s">
        <v>5658</v>
      </c>
      <c r="C119">
        <f>"RJ148"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25</v>
      </c>
      <c r="B120" t="s">
        <v>5715</v>
      </c>
      <c r="C120">
        <f>"NJ03"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25</v>
      </c>
      <c r="B121" t="s">
        <v>3156</v>
      </c>
      <c r="C121">
        <f>"RJ196"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25</v>
      </c>
      <c r="B122" t="s">
        <v>9821</v>
      </c>
      <c r="C122">
        <f>"RJ200"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25</v>
      </c>
      <c r="B123" t="s">
        <v>9797</v>
      </c>
      <c r="C123">
        <f>"RJ187"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25</v>
      </c>
      <c r="B124" t="s">
        <v>8789</v>
      </c>
      <c r="C124">
        <f>"ND21050"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25</v>
      </c>
      <c r="B125" t="s">
        <v>10130</v>
      </c>
      <c r="C125">
        <f>"AYCS2522"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25</v>
      </c>
      <c r="B126" t="s">
        <v>5602</v>
      </c>
      <c r="C126">
        <f>"S309AZ"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25</v>
      </c>
      <c r="B127" t="s">
        <v>5603</v>
      </c>
      <c r="C127">
        <f>"S309AM"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25</v>
      </c>
      <c r="B128" t="s">
        <v>5604</v>
      </c>
      <c r="C128">
        <f>"S309"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25</v>
      </c>
      <c r="B129" t="s">
        <v>5605</v>
      </c>
      <c r="C129">
        <f>"RJ342"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25</v>
      </c>
      <c r="B130" t="s">
        <v>8867</v>
      </c>
      <c r="C130">
        <f>"RL103"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25</v>
      </c>
      <c r="B131" t="s">
        <v>5714</v>
      </c>
      <c r="C131">
        <f>"NJ08"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25</v>
      </c>
      <c r="B132" t="s">
        <v>9017</v>
      </c>
      <c r="C132">
        <f>"6765132"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25</v>
      </c>
      <c r="B133" t="s">
        <v>9018</v>
      </c>
      <c r="C133">
        <f>"6765118"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25</v>
      </c>
      <c r="B134" t="s">
        <v>9086</v>
      </c>
      <c r="C134">
        <f>"6765057"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25</v>
      </c>
      <c r="B135" t="s">
        <v>8392</v>
      </c>
      <c r="C135">
        <f>"JERBO"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25</v>
      </c>
      <c r="B136" t="s">
        <v>8393</v>
      </c>
      <c r="C136">
        <f>"M021"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25</v>
      </c>
      <c r="B137" t="s">
        <v>8647</v>
      </c>
      <c r="C137">
        <f>"57069611"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25</v>
      </c>
      <c r="B138" t="s">
        <v>8658</v>
      </c>
      <c r="C138">
        <f>"901"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25</v>
      </c>
      <c r="B139" t="s">
        <v>8697</v>
      </c>
      <c r="C139">
        <f>"57071570"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25</v>
      </c>
      <c r="B140" t="s">
        <v>8698</v>
      </c>
      <c r="C140">
        <f>"57070570"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25</v>
      </c>
      <c r="B141" t="s">
        <v>8640</v>
      </c>
      <c r="C141">
        <f>"D800"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25</v>
      </c>
      <c r="B142" t="s">
        <v>6967</v>
      </c>
      <c r="C142">
        <f>"ALFALFA"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25</v>
      </c>
      <c r="B143" t="s">
        <v>5222</v>
      </c>
      <c r="C143">
        <f>"PWFAL"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25</v>
      </c>
      <c r="B144" t="s">
        <v>8425</v>
      </c>
      <c r="C144">
        <f>"AYCS003"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25</v>
      </c>
      <c r="B145" t="s">
        <v>1196</v>
      </c>
      <c r="C145">
        <f>"YY201GR"</f>
        <v>0</v>
      </c>
      <c r="D145">
        <v>1</v>
      </c>
      <c r="E145">
        <v>0</v>
      </c>
      <c r="F145">
        <v>0</v>
      </c>
      <c r="G145">
        <v>0</v>
      </c>
      <c r="H145">
        <v>1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25</v>
      </c>
      <c r="B146" t="s">
        <v>8488</v>
      </c>
      <c r="C146">
        <f>"S156S"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25</v>
      </c>
      <c r="B147" t="s">
        <v>1165</v>
      </c>
      <c r="C147">
        <f>"HD9091"</f>
        <v>0</v>
      </c>
      <c r="D147">
        <v>1</v>
      </c>
      <c r="E147">
        <v>0</v>
      </c>
      <c r="F147">
        <v>0</v>
      </c>
      <c r="G147">
        <v>0</v>
      </c>
      <c r="H147">
        <v>1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25</v>
      </c>
      <c r="B148" t="s">
        <v>8315</v>
      </c>
      <c r="C148">
        <f>"6765088"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25</v>
      </c>
      <c r="B149" t="s">
        <v>8462</v>
      </c>
      <c r="C149">
        <f>"6765095"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25</v>
      </c>
      <c r="B150" t="s">
        <v>8312</v>
      </c>
      <c r="C150">
        <f>"AYCS077"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25</v>
      </c>
      <c r="B151" t="s">
        <v>1180</v>
      </c>
      <c r="C151">
        <f>"53212"</f>
        <v>0</v>
      </c>
      <c r="D151">
        <v>0</v>
      </c>
      <c r="E151">
        <v>0</v>
      </c>
      <c r="F151">
        <v>1</v>
      </c>
      <c r="G151">
        <v>0</v>
      </c>
      <c r="H151">
        <v>1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25</v>
      </c>
      <c r="B152" t="s">
        <v>3593</v>
      </c>
      <c r="C152">
        <f>"D141"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25</v>
      </c>
      <c r="B153" t="s">
        <v>1447</v>
      </c>
      <c r="C153">
        <f>"D801"</f>
        <v>0</v>
      </c>
      <c r="D153">
        <v>1</v>
      </c>
      <c r="E153">
        <v>0</v>
      </c>
      <c r="F153">
        <v>0</v>
      </c>
      <c r="G153">
        <v>0</v>
      </c>
      <c r="H153">
        <v>1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25</v>
      </c>
      <c r="B154" t="s">
        <v>1277</v>
      </c>
      <c r="C154">
        <f>"3537"</f>
        <v>0</v>
      </c>
      <c r="D154">
        <v>0</v>
      </c>
      <c r="E154">
        <v>1</v>
      </c>
      <c r="F154">
        <v>0</v>
      </c>
      <c r="G154">
        <v>0</v>
      </c>
      <c r="H154">
        <v>1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25</v>
      </c>
      <c r="B155" t="s">
        <v>5373</v>
      </c>
      <c r="C155">
        <f>"3532"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25</v>
      </c>
      <c r="B156" t="s">
        <v>5403</v>
      </c>
      <c r="C156">
        <f>"ZVP3131"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25</v>
      </c>
      <c r="B157" t="s">
        <v>4631</v>
      </c>
      <c r="C157">
        <f>"BEP22TR"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25</v>
      </c>
      <c r="B158" t="s">
        <v>4632</v>
      </c>
      <c r="C158">
        <f>"B18309"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25</v>
      </c>
      <c r="B159" t="s">
        <v>4634</v>
      </c>
      <c r="C159">
        <f>"B18405"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25</v>
      </c>
      <c r="B160" t="s">
        <v>4636</v>
      </c>
      <c r="C160">
        <f>"803021"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100</v>
      </c>
      <c r="Q160">
        <v>0</v>
      </c>
      <c r="R160" t="s">
        <v>145</v>
      </c>
      <c r="S160">
        <v>0</v>
      </c>
    </row>
    <row r="161" spans="1:19">
      <c r="A161" t="s">
        <v>25</v>
      </c>
      <c r="B161" t="s">
        <v>3634</v>
      </c>
      <c r="C161">
        <f>"ZVP1061"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25</v>
      </c>
      <c r="B162" t="s">
        <v>3086</v>
      </c>
      <c r="C162">
        <f>"ND0905"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25</v>
      </c>
      <c r="B163" t="s">
        <v>6354</v>
      </c>
      <c r="C163">
        <f>"NS40"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25</v>
      </c>
      <c r="B164" t="s">
        <v>1154</v>
      </c>
      <c r="C164">
        <f>"AYCS085"</f>
        <v>0</v>
      </c>
      <c r="D164">
        <v>1</v>
      </c>
      <c r="E164">
        <v>0</v>
      </c>
      <c r="F164">
        <v>0</v>
      </c>
      <c r="G164">
        <v>0</v>
      </c>
      <c r="H164">
        <v>1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25</v>
      </c>
      <c r="B165" t="s">
        <v>3832</v>
      </c>
      <c r="C165">
        <f>"AYCS228"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25</v>
      </c>
      <c r="B166" t="s">
        <v>8929</v>
      </c>
      <c r="C166">
        <f>"s016L"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100</v>
      </c>
      <c r="Q166">
        <v>0</v>
      </c>
      <c r="R166" t="s">
        <v>145</v>
      </c>
      <c r="S166">
        <v>0</v>
      </c>
    </row>
    <row r="167" spans="1:19">
      <c r="A167" t="s">
        <v>25</v>
      </c>
      <c r="B167" t="s">
        <v>8933</v>
      </c>
      <c r="C167">
        <f>"ND19"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100</v>
      </c>
      <c r="Q167">
        <v>0</v>
      </c>
      <c r="R167" t="s">
        <v>145</v>
      </c>
      <c r="S167">
        <v>0</v>
      </c>
    </row>
    <row r="168" spans="1:19">
      <c r="A168" t="s">
        <v>25</v>
      </c>
      <c r="B168" t="s">
        <v>8934</v>
      </c>
      <c r="C168">
        <f>"ND18"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25</v>
      </c>
      <c r="B169" t="s">
        <v>8897</v>
      </c>
      <c r="C169">
        <f>"ZVP1136"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100</v>
      </c>
      <c r="Q169">
        <v>0</v>
      </c>
      <c r="R169" t="s">
        <v>145</v>
      </c>
      <c r="S169">
        <v>0</v>
      </c>
    </row>
    <row r="170" spans="1:19">
      <c r="A170" t="s">
        <v>25</v>
      </c>
      <c r="B170" t="s">
        <v>9003</v>
      </c>
      <c r="C170">
        <f>"S403AVE"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25</v>
      </c>
      <c r="B171" t="s">
        <v>9004</v>
      </c>
      <c r="C171">
        <f>"S403AROS"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25</v>
      </c>
      <c r="B172" t="s">
        <v>9005</v>
      </c>
      <c r="C172">
        <f>"S403AMO"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25</v>
      </c>
      <c r="B173" t="s">
        <v>8990</v>
      </c>
      <c r="C173">
        <f>"S403A"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25</v>
      </c>
      <c r="B174" t="s">
        <v>8960</v>
      </c>
      <c r="C174">
        <f>"RJ186"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100</v>
      </c>
      <c r="Q174">
        <v>0</v>
      </c>
      <c r="R174" t="s">
        <v>145</v>
      </c>
      <c r="S174">
        <v>0</v>
      </c>
    </row>
    <row r="175" spans="1:19">
      <c r="A175" t="s">
        <v>25</v>
      </c>
      <c r="B175" t="s">
        <v>3810</v>
      </c>
      <c r="C175">
        <f>"ZT1501"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100</v>
      </c>
      <c r="Q175">
        <v>0</v>
      </c>
      <c r="R175" t="s">
        <v>145</v>
      </c>
      <c r="S175">
        <v>0</v>
      </c>
    </row>
    <row r="176" spans="1:19">
      <c r="A176" t="s">
        <v>25</v>
      </c>
      <c r="B176" t="s">
        <v>8652</v>
      </c>
      <c r="C176">
        <f>"H4701"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100</v>
      </c>
      <c r="Q176">
        <v>0</v>
      </c>
      <c r="R176" t="s">
        <v>145</v>
      </c>
      <c r="S176">
        <v>0</v>
      </c>
    </row>
    <row r="177" spans="1:19">
      <c r="A177" t="s">
        <v>25</v>
      </c>
      <c r="B177" t="s">
        <v>8670</v>
      </c>
      <c r="C177">
        <f>"M032B"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100</v>
      </c>
      <c r="Q177">
        <v>0</v>
      </c>
      <c r="R177" t="s">
        <v>145</v>
      </c>
      <c r="S177">
        <v>0</v>
      </c>
    </row>
    <row r="178" spans="1:19">
      <c r="A178" t="s">
        <v>25</v>
      </c>
      <c r="B178" t="s">
        <v>759</v>
      </c>
      <c r="C178">
        <f>"511C"</f>
        <v>0</v>
      </c>
      <c r="D178">
        <v>5</v>
      </c>
      <c r="E178">
        <v>0</v>
      </c>
      <c r="F178">
        <v>0</v>
      </c>
      <c r="G178">
        <v>0</v>
      </c>
      <c r="H178">
        <v>5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100</v>
      </c>
      <c r="Q178">
        <v>0</v>
      </c>
      <c r="R178" t="s">
        <v>145</v>
      </c>
      <c r="S178">
        <v>0</v>
      </c>
    </row>
    <row r="179" spans="1:19">
      <c r="A179" t="s">
        <v>25</v>
      </c>
      <c r="B179" t="s">
        <v>8452</v>
      </c>
      <c r="C179">
        <f>"6765194"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100</v>
      </c>
      <c r="Q179">
        <v>0</v>
      </c>
      <c r="R179" t="s">
        <v>145</v>
      </c>
      <c r="S179">
        <v>0</v>
      </c>
    </row>
    <row r="180" spans="1:19">
      <c r="A180" t="s">
        <v>25</v>
      </c>
      <c r="B180" t="s">
        <v>5180</v>
      </c>
      <c r="C180">
        <f>"AYCS069"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100</v>
      </c>
      <c r="Q180">
        <v>0</v>
      </c>
      <c r="R180" t="s">
        <v>145</v>
      </c>
      <c r="S180">
        <v>0</v>
      </c>
    </row>
    <row r="181" spans="1:19">
      <c r="A181" t="s">
        <v>25</v>
      </c>
      <c r="B181" t="s">
        <v>5177</v>
      </c>
      <c r="C181">
        <f>"ZVP1068"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100</v>
      </c>
      <c r="Q181">
        <v>0</v>
      </c>
      <c r="R181" t="s">
        <v>145</v>
      </c>
      <c r="S181">
        <v>0</v>
      </c>
    </row>
    <row r="182" spans="1:19">
      <c r="A182" t="s">
        <v>25</v>
      </c>
      <c r="B182" t="s">
        <v>3434</v>
      </c>
      <c r="C182">
        <f>"NR01020"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100</v>
      </c>
      <c r="Q182">
        <v>0</v>
      </c>
      <c r="R182" t="s">
        <v>145</v>
      </c>
      <c r="S182">
        <v>0</v>
      </c>
    </row>
    <row r="183" spans="1:19">
      <c r="A183" t="s">
        <v>25</v>
      </c>
      <c r="B183" t="s">
        <v>3415</v>
      </c>
      <c r="C183">
        <f>"PTBOLA"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100</v>
      </c>
      <c r="Q183">
        <v>0</v>
      </c>
      <c r="R183" t="s">
        <v>145</v>
      </c>
      <c r="S183">
        <v>0</v>
      </c>
    </row>
    <row r="184" spans="1:19">
      <c r="A184" t="s">
        <v>25</v>
      </c>
      <c r="B184" t="s">
        <v>3485</v>
      </c>
      <c r="C184">
        <f>"NZ09"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100</v>
      </c>
      <c r="Q184">
        <v>0</v>
      </c>
      <c r="R184" t="s">
        <v>145</v>
      </c>
      <c r="S184">
        <v>0</v>
      </c>
    </row>
    <row r="185" spans="1:19">
      <c r="A185" t="s">
        <v>25</v>
      </c>
      <c r="B185" t="s">
        <v>1237</v>
      </c>
      <c r="C185">
        <f>"00222"</f>
        <v>0</v>
      </c>
      <c r="D185">
        <v>0</v>
      </c>
      <c r="E185">
        <v>0</v>
      </c>
      <c r="F185">
        <v>1</v>
      </c>
      <c r="G185">
        <v>0</v>
      </c>
      <c r="H185">
        <v>1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100</v>
      </c>
      <c r="Q185">
        <v>0</v>
      </c>
      <c r="R185" t="s">
        <v>145</v>
      </c>
      <c r="S185">
        <v>0</v>
      </c>
    </row>
    <row r="186" spans="1:19">
      <c r="A186" t="s">
        <v>25</v>
      </c>
      <c r="B186" t="s">
        <v>3935</v>
      </c>
      <c r="C186">
        <f>"721802"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100</v>
      </c>
      <c r="Q186">
        <v>0</v>
      </c>
      <c r="R186" t="s">
        <v>145</v>
      </c>
      <c r="S186">
        <v>0</v>
      </c>
    </row>
    <row r="187" spans="1:19">
      <c r="A187" t="s">
        <v>25</v>
      </c>
      <c r="B187" t="s">
        <v>8662</v>
      </c>
      <c r="C187">
        <f>"NX16"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100</v>
      </c>
      <c r="Q187">
        <v>0</v>
      </c>
      <c r="R187" t="s">
        <v>145</v>
      </c>
      <c r="S187">
        <v>0</v>
      </c>
    </row>
    <row r="188" spans="1:19">
      <c r="A188" t="s">
        <v>25</v>
      </c>
      <c r="B188" t="s">
        <v>8665</v>
      </c>
      <c r="C188">
        <f>"57054401"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100</v>
      </c>
      <c r="Q188">
        <v>0</v>
      </c>
      <c r="R188" t="s">
        <v>145</v>
      </c>
      <c r="S188">
        <v>0</v>
      </c>
    </row>
    <row r="189" spans="1:19">
      <c r="A189" t="s">
        <v>25</v>
      </c>
      <c r="B189" t="s">
        <v>8744</v>
      </c>
      <c r="C189">
        <f>"619A"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100</v>
      </c>
      <c r="Q189">
        <v>0</v>
      </c>
      <c r="R189" t="s">
        <v>145</v>
      </c>
      <c r="S189">
        <v>0</v>
      </c>
    </row>
    <row r="190" spans="1:19">
      <c r="A190" t="s">
        <v>25</v>
      </c>
      <c r="B190" t="s">
        <v>8745</v>
      </c>
      <c r="C190">
        <f>"A201"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100</v>
      </c>
      <c r="Q190">
        <v>0</v>
      </c>
      <c r="R190" t="s">
        <v>145</v>
      </c>
      <c r="S190">
        <v>0</v>
      </c>
    </row>
    <row r="191" spans="1:19">
      <c r="A191" t="s">
        <v>25</v>
      </c>
      <c r="B191" t="s">
        <v>8702</v>
      </c>
      <c r="C191">
        <f>"5102JVER"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100</v>
      </c>
      <c r="Q191">
        <v>0</v>
      </c>
      <c r="R191" t="s">
        <v>145</v>
      </c>
      <c r="S191">
        <v>0</v>
      </c>
    </row>
    <row r="192" spans="1:19">
      <c r="A192" t="s">
        <v>25</v>
      </c>
      <c r="B192" t="s">
        <v>8703</v>
      </c>
      <c r="C192">
        <f>"5102J"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100</v>
      </c>
      <c r="Q192">
        <v>0</v>
      </c>
      <c r="R192" t="s">
        <v>145</v>
      </c>
      <c r="S192">
        <v>0</v>
      </c>
    </row>
    <row r="193" spans="1:19">
      <c r="A193" t="s">
        <v>25</v>
      </c>
      <c r="B193" t="s">
        <v>2743</v>
      </c>
      <c r="C193">
        <f>"22334455"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100</v>
      </c>
      <c r="Q193">
        <v>0</v>
      </c>
      <c r="R193" t="s">
        <v>145</v>
      </c>
      <c r="S193">
        <v>0</v>
      </c>
    </row>
    <row r="194" spans="1:19">
      <c r="A194" t="s">
        <v>25</v>
      </c>
      <c r="B194" t="s">
        <v>3009</v>
      </c>
      <c r="C194">
        <f>"5102"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100</v>
      </c>
      <c r="Q194">
        <v>0</v>
      </c>
      <c r="R194" t="s">
        <v>145</v>
      </c>
      <c r="S194">
        <v>0</v>
      </c>
    </row>
    <row r="195" spans="1:19">
      <c r="A195" t="s">
        <v>25</v>
      </c>
      <c r="B195" t="s">
        <v>2922</v>
      </c>
      <c r="C195">
        <f>"ER121"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100</v>
      </c>
      <c r="Q195">
        <v>0</v>
      </c>
      <c r="R195" t="s">
        <v>145</v>
      </c>
      <c r="S195">
        <v>0</v>
      </c>
    </row>
    <row r="196" spans="1:19">
      <c r="A196" t="s">
        <v>25</v>
      </c>
      <c r="B196" t="s">
        <v>4021</v>
      </c>
      <c r="C196">
        <f>"CH5858"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100</v>
      </c>
      <c r="Q196">
        <v>0</v>
      </c>
      <c r="R196" t="s">
        <v>145</v>
      </c>
      <c r="S196">
        <v>0</v>
      </c>
    </row>
    <row r="197" spans="1:19">
      <c r="A197" t="s">
        <v>25</v>
      </c>
      <c r="B197" t="s">
        <v>5160</v>
      </c>
      <c r="C197">
        <f>"ZVP1071"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100</v>
      </c>
      <c r="Q197">
        <v>0</v>
      </c>
      <c r="R197" t="s">
        <v>145</v>
      </c>
      <c r="S197">
        <v>0</v>
      </c>
    </row>
    <row r="198" spans="1:19">
      <c r="A198" t="s">
        <v>25</v>
      </c>
      <c r="B198" t="s">
        <v>3892</v>
      </c>
      <c r="C198">
        <f>"ZVP2753"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100</v>
      </c>
      <c r="Q198">
        <v>0</v>
      </c>
      <c r="R198" t="s">
        <v>145</v>
      </c>
      <c r="S198">
        <v>0</v>
      </c>
    </row>
    <row r="199" spans="1:19">
      <c r="A199" t="s">
        <v>25</v>
      </c>
      <c r="B199" t="s">
        <v>3893</v>
      </c>
      <c r="C199">
        <f>"ZVP2755"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100</v>
      </c>
      <c r="Q199">
        <v>0</v>
      </c>
      <c r="R199" t="s">
        <v>145</v>
      </c>
      <c r="S199">
        <v>0</v>
      </c>
    </row>
    <row r="200" spans="1:19">
      <c r="A200" t="s">
        <v>25</v>
      </c>
      <c r="B200" t="s">
        <v>3896</v>
      </c>
      <c r="C200">
        <f>"ZVP1059"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100</v>
      </c>
      <c r="Q200">
        <v>0</v>
      </c>
      <c r="R200" t="s">
        <v>145</v>
      </c>
      <c r="S200">
        <v>0</v>
      </c>
    </row>
    <row r="201" spans="1:19">
      <c r="A201" t="s">
        <v>25</v>
      </c>
      <c r="B201" t="s">
        <v>3897</v>
      </c>
      <c r="C201">
        <f>"ZVP1069"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100</v>
      </c>
      <c r="Q201">
        <v>0</v>
      </c>
      <c r="R201" t="s">
        <v>145</v>
      </c>
      <c r="S201">
        <v>0</v>
      </c>
    </row>
    <row r="202" spans="1:19">
      <c r="A202" t="s">
        <v>25</v>
      </c>
      <c r="B202" t="s">
        <v>3929</v>
      </c>
      <c r="C202">
        <f>"ZVP1070"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100</v>
      </c>
      <c r="Q202">
        <v>0</v>
      </c>
      <c r="R202" t="s">
        <v>145</v>
      </c>
      <c r="S202">
        <v>0</v>
      </c>
    </row>
    <row r="203" spans="1:19">
      <c r="A203" t="s">
        <v>25</v>
      </c>
      <c r="B203" t="s">
        <v>3930</v>
      </c>
      <c r="C203">
        <f>"ZVP1057"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100</v>
      </c>
      <c r="Q203">
        <v>0</v>
      </c>
      <c r="R203" t="s">
        <v>145</v>
      </c>
      <c r="S203">
        <v>0</v>
      </c>
    </row>
    <row r="204" spans="1:19">
      <c r="A204" t="s">
        <v>25</v>
      </c>
      <c r="B204" t="s">
        <v>3931</v>
      </c>
      <c r="C204">
        <f>"ZVP1062"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100</v>
      </c>
      <c r="Q204">
        <v>0</v>
      </c>
      <c r="R204" t="s">
        <v>145</v>
      </c>
      <c r="S204">
        <v>0</v>
      </c>
    </row>
    <row r="205" spans="1:19">
      <c r="A205" t="s">
        <v>25</v>
      </c>
      <c r="B205" t="s">
        <v>3932</v>
      </c>
      <c r="C205">
        <f>"ZVP1058"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100</v>
      </c>
      <c r="Q205">
        <v>0</v>
      </c>
      <c r="R205" t="s">
        <v>145</v>
      </c>
      <c r="S205">
        <v>0</v>
      </c>
    </row>
    <row r="206" spans="1:19">
      <c r="A206" t="s">
        <v>25</v>
      </c>
      <c r="B206" t="s">
        <v>3998</v>
      </c>
      <c r="C206">
        <f>"s205"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100</v>
      </c>
      <c r="Q206">
        <v>0</v>
      </c>
      <c r="R206" t="s">
        <v>145</v>
      </c>
      <c r="S206">
        <v>0</v>
      </c>
    </row>
    <row r="207" spans="1:19">
      <c r="A207" t="s">
        <v>25</v>
      </c>
      <c r="B207" t="s">
        <v>3983</v>
      </c>
      <c r="C207">
        <f>"40402"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100</v>
      </c>
      <c r="Q207">
        <v>0</v>
      </c>
      <c r="R207" t="s">
        <v>145</v>
      </c>
      <c r="S207">
        <v>0</v>
      </c>
    </row>
    <row r="208" spans="1:19">
      <c r="A208" t="s">
        <v>25</v>
      </c>
      <c r="B208" t="s">
        <v>8651</v>
      </c>
      <c r="C208">
        <f>"H4702"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100</v>
      </c>
      <c r="Q208">
        <v>0</v>
      </c>
      <c r="R208" t="s">
        <v>145</v>
      </c>
      <c r="S208">
        <v>0</v>
      </c>
    </row>
    <row r="209" spans="1:19">
      <c r="A209" t="s">
        <v>25</v>
      </c>
      <c r="B209" t="s">
        <v>3938</v>
      </c>
      <c r="C209">
        <f>"40403"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100</v>
      </c>
      <c r="Q209">
        <v>0</v>
      </c>
      <c r="R209" t="s">
        <v>145</v>
      </c>
      <c r="S209">
        <v>0</v>
      </c>
    </row>
    <row r="210" spans="1:19">
      <c r="A210" t="s">
        <v>25</v>
      </c>
      <c r="B210" t="s">
        <v>8387</v>
      </c>
      <c r="C210">
        <f>"MCW101"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100</v>
      </c>
      <c r="Q210">
        <v>0</v>
      </c>
      <c r="R210" t="s">
        <v>145</v>
      </c>
      <c r="S210">
        <v>0</v>
      </c>
    </row>
    <row r="211" spans="1:19">
      <c r="A211" t="s">
        <v>25</v>
      </c>
      <c r="B211" t="s">
        <v>8298</v>
      </c>
      <c r="C211">
        <f>"MCW115"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100</v>
      </c>
      <c r="Q211">
        <v>0</v>
      </c>
      <c r="R211" t="s">
        <v>145</v>
      </c>
      <c r="S211">
        <v>0</v>
      </c>
    </row>
    <row r="212" spans="1:19">
      <c r="A212" t="s">
        <v>25</v>
      </c>
      <c r="B212" t="s">
        <v>4086</v>
      </c>
      <c r="C212">
        <f>"MS001"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100</v>
      </c>
      <c r="Q212">
        <v>0</v>
      </c>
      <c r="R212" t="s">
        <v>145</v>
      </c>
      <c r="S212">
        <v>0</v>
      </c>
    </row>
    <row r="213" spans="1:19">
      <c r="A213" t="s">
        <v>25</v>
      </c>
      <c r="B213" t="s">
        <v>4273</v>
      </c>
      <c r="C213">
        <f>"AYCS212"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100</v>
      </c>
      <c r="Q213">
        <v>0</v>
      </c>
      <c r="R213" t="s">
        <v>145</v>
      </c>
      <c r="S213">
        <v>0</v>
      </c>
    </row>
    <row r="214" spans="1:19">
      <c r="A214" t="s">
        <v>25</v>
      </c>
      <c r="B214" t="s">
        <v>4312</v>
      </c>
      <c r="C214">
        <f>"201842"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100</v>
      </c>
      <c r="Q214">
        <v>0</v>
      </c>
      <c r="R214" t="s">
        <v>145</v>
      </c>
      <c r="S214">
        <v>0</v>
      </c>
    </row>
    <row r="215" spans="1:19">
      <c r="A215" t="s">
        <v>25</v>
      </c>
      <c r="B215" t="s">
        <v>3565</v>
      </c>
      <c r="C215">
        <f>"1893CAF"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100</v>
      </c>
      <c r="Q215">
        <v>0</v>
      </c>
      <c r="R215" t="s">
        <v>145</v>
      </c>
      <c r="S215">
        <v>0</v>
      </c>
    </row>
    <row r="216" spans="1:19">
      <c r="A216" t="s">
        <v>25</v>
      </c>
      <c r="B216" t="s">
        <v>3594</v>
      </c>
      <c r="C216">
        <f>"110W"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100</v>
      </c>
      <c r="Q216">
        <v>0</v>
      </c>
      <c r="R216" t="s">
        <v>145</v>
      </c>
      <c r="S216">
        <v>0</v>
      </c>
    </row>
    <row r="217" spans="1:19">
      <c r="A217" t="s">
        <v>25</v>
      </c>
      <c r="B217" t="s">
        <v>8666</v>
      </c>
      <c r="C217">
        <f>"YB092VECEL"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100</v>
      </c>
      <c r="Q217">
        <v>0</v>
      </c>
      <c r="R217" t="s">
        <v>145</v>
      </c>
      <c r="S217">
        <v>0</v>
      </c>
    </row>
    <row r="218" spans="1:19">
      <c r="A218" t="s">
        <v>25</v>
      </c>
      <c r="B218" t="s">
        <v>1422</v>
      </c>
      <c r="C218">
        <f>"YB092ROSCEL"</f>
        <v>0</v>
      </c>
      <c r="D218">
        <v>0</v>
      </c>
      <c r="E218">
        <v>0</v>
      </c>
      <c r="F218">
        <v>1</v>
      </c>
      <c r="G218">
        <v>0</v>
      </c>
      <c r="H218">
        <v>1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100</v>
      </c>
      <c r="Q218">
        <v>0</v>
      </c>
      <c r="R218" t="s">
        <v>145</v>
      </c>
      <c r="S218">
        <v>0</v>
      </c>
    </row>
    <row r="219" spans="1:19">
      <c r="A219" t="s">
        <v>25</v>
      </c>
      <c r="B219" t="s">
        <v>8648</v>
      </c>
      <c r="C219">
        <f>"YB093"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100</v>
      </c>
      <c r="Q219">
        <v>0</v>
      </c>
      <c r="R219" t="s">
        <v>145</v>
      </c>
      <c r="S219">
        <v>0</v>
      </c>
    </row>
    <row r="220" spans="1:19">
      <c r="A220" t="s">
        <v>25</v>
      </c>
      <c r="B220" t="s">
        <v>3172</v>
      </c>
      <c r="C220">
        <f>"ND0910"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100</v>
      </c>
      <c r="Q220">
        <v>0</v>
      </c>
      <c r="R220" t="s">
        <v>145</v>
      </c>
      <c r="S220">
        <v>0</v>
      </c>
    </row>
    <row r="221" spans="1:19">
      <c r="A221" t="s">
        <v>25</v>
      </c>
      <c r="B221" t="s">
        <v>6069</v>
      </c>
      <c r="C221">
        <f>"NNF54"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100</v>
      </c>
      <c r="Q221">
        <v>0</v>
      </c>
      <c r="R221" t="s">
        <v>145</v>
      </c>
      <c r="S221">
        <v>0</v>
      </c>
    </row>
    <row r="222" spans="1:19">
      <c r="A222" t="s">
        <v>25</v>
      </c>
      <c r="B222" t="s">
        <v>6004</v>
      </c>
      <c r="C222">
        <f>"LS111"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100</v>
      </c>
      <c r="Q222">
        <v>0</v>
      </c>
      <c r="R222" t="s">
        <v>145</v>
      </c>
      <c r="S222">
        <v>0</v>
      </c>
    </row>
    <row r="223" spans="1:19">
      <c r="A223" t="s">
        <v>25</v>
      </c>
      <c r="B223" t="s">
        <v>6174</v>
      </c>
      <c r="C223">
        <f>"B500"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100</v>
      </c>
      <c r="Q223">
        <v>0</v>
      </c>
      <c r="R223" t="s">
        <v>145</v>
      </c>
      <c r="S223">
        <v>0</v>
      </c>
    </row>
    <row r="224" spans="1:19">
      <c r="A224" t="s">
        <v>25</v>
      </c>
      <c r="B224" t="s">
        <v>6375</v>
      </c>
      <c r="C224">
        <f>"RJ723"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100</v>
      </c>
      <c r="Q224">
        <v>0</v>
      </c>
      <c r="R224" t="s">
        <v>145</v>
      </c>
      <c r="S224">
        <v>0</v>
      </c>
    </row>
    <row r="225" spans="1:19">
      <c r="A225" t="s">
        <v>25</v>
      </c>
      <c r="B225" t="s">
        <v>6378</v>
      </c>
      <c r="C225">
        <f>"LS110"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100</v>
      </c>
      <c r="Q225">
        <v>0</v>
      </c>
      <c r="R225" t="s">
        <v>145</v>
      </c>
      <c r="S225">
        <v>0</v>
      </c>
    </row>
    <row r="226" spans="1:19">
      <c r="A226" t="s">
        <v>25</v>
      </c>
      <c r="B226" t="s">
        <v>4521</v>
      </c>
      <c r="C226">
        <f>"S100GR"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100</v>
      </c>
      <c r="Q226">
        <v>0</v>
      </c>
      <c r="R226" t="s">
        <v>145</v>
      </c>
      <c r="S226">
        <v>0</v>
      </c>
    </row>
    <row r="227" spans="1:19">
      <c r="A227" t="s">
        <v>25</v>
      </c>
      <c r="B227" t="s">
        <v>4670</v>
      </c>
      <c r="C227">
        <f>"S100CA"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100</v>
      </c>
      <c r="Q227">
        <v>0</v>
      </c>
      <c r="R227" t="s">
        <v>145</v>
      </c>
      <c r="S227">
        <v>0</v>
      </c>
    </row>
    <row r="228" spans="1:19">
      <c r="A228" t="s">
        <v>25</v>
      </c>
      <c r="B228" t="s">
        <v>1199</v>
      </c>
      <c r="C228">
        <f>"180BAZ"</f>
        <v>0</v>
      </c>
      <c r="D228">
        <v>1</v>
      </c>
      <c r="E228">
        <v>0</v>
      </c>
      <c r="F228">
        <v>0</v>
      </c>
      <c r="G228">
        <v>0</v>
      </c>
      <c r="H228">
        <v>1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100</v>
      </c>
      <c r="Q228">
        <v>0</v>
      </c>
      <c r="R228" t="s">
        <v>145</v>
      </c>
      <c r="S228">
        <v>0</v>
      </c>
    </row>
    <row r="229" spans="1:19">
      <c r="A229" t="s">
        <v>25</v>
      </c>
      <c r="B229" t="s">
        <v>4529</v>
      </c>
      <c r="C229">
        <f>"ZVP4900"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100</v>
      </c>
      <c r="Q229">
        <v>0</v>
      </c>
      <c r="R229" t="s">
        <v>145</v>
      </c>
      <c r="S229">
        <v>0</v>
      </c>
    </row>
    <row r="230" spans="1:19">
      <c r="A230" t="s">
        <v>25</v>
      </c>
      <c r="B230" t="s">
        <v>4961</v>
      </c>
      <c r="C230">
        <f>"19#M"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100</v>
      </c>
      <c r="Q230">
        <v>0</v>
      </c>
      <c r="R230" t="s">
        <v>145</v>
      </c>
      <c r="S230">
        <v>0</v>
      </c>
    </row>
    <row r="231" spans="1:19">
      <c r="A231" t="s">
        <v>25</v>
      </c>
      <c r="B231" t="s">
        <v>7136</v>
      </c>
      <c r="C231">
        <f>"R1VE"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100</v>
      </c>
      <c r="Q231">
        <v>0</v>
      </c>
      <c r="R231" t="s">
        <v>145</v>
      </c>
      <c r="S231">
        <v>0</v>
      </c>
    </row>
    <row r="232" spans="1:19">
      <c r="A232" t="s">
        <v>25</v>
      </c>
      <c r="B232" t="s">
        <v>4732</v>
      </c>
      <c r="C232">
        <f>"4201ROS"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100</v>
      </c>
      <c r="Q232">
        <v>0</v>
      </c>
      <c r="R232" t="s">
        <v>145</v>
      </c>
      <c r="S232">
        <v>0</v>
      </c>
    </row>
    <row r="233" spans="1:19">
      <c r="A233" t="s">
        <v>25</v>
      </c>
      <c r="B233" t="s">
        <v>4678</v>
      </c>
      <c r="C233">
        <f>"s219"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100</v>
      </c>
      <c r="Q233">
        <v>0</v>
      </c>
      <c r="R233" t="s">
        <v>145</v>
      </c>
      <c r="S233">
        <v>0</v>
      </c>
    </row>
    <row r="234" spans="1:19">
      <c r="A234" t="s">
        <v>25</v>
      </c>
      <c r="B234" t="s">
        <v>4682</v>
      </c>
      <c r="C234">
        <f>"TR071"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100</v>
      </c>
      <c r="Q234">
        <v>0</v>
      </c>
      <c r="R234" t="s">
        <v>145</v>
      </c>
      <c r="S234">
        <v>0</v>
      </c>
    </row>
    <row r="235" spans="1:19">
      <c r="A235" t="s">
        <v>25</v>
      </c>
      <c r="B235" t="s">
        <v>5328</v>
      </c>
      <c r="C235">
        <f>"S307"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100</v>
      </c>
      <c r="Q235">
        <v>0</v>
      </c>
      <c r="R235" t="s">
        <v>145</v>
      </c>
      <c r="S235">
        <v>0</v>
      </c>
    </row>
    <row r="236" spans="1:19">
      <c r="A236" t="s">
        <v>25</v>
      </c>
      <c r="B236" t="s">
        <v>6008</v>
      </c>
      <c r="C236">
        <f>"RJ192"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100</v>
      </c>
      <c r="Q236">
        <v>0</v>
      </c>
      <c r="R236" t="s">
        <v>145</v>
      </c>
      <c r="S236">
        <v>0</v>
      </c>
    </row>
    <row r="237" spans="1:19">
      <c r="A237" t="s">
        <v>25</v>
      </c>
      <c r="B237" t="s">
        <v>8587</v>
      </c>
      <c r="C237">
        <f>"53382"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100</v>
      </c>
      <c r="Q237">
        <v>0</v>
      </c>
      <c r="R237" t="s">
        <v>145</v>
      </c>
      <c r="S237">
        <v>0</v>
      </c>
    </row>
    <row r="238" spans="1:19">
      <c r="A238" t="s">
        <v>25</v>
      </c>
      <c r="B238" t="s">
        <v>8588</v>
      </c>
      <c r="C238">
        <f>"53181"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100</v>
      </c>
      <c r="Q238">
        <v>0</v>
      </c>
      <c r="R238" t="s">
        <v>145</v>
      </c>
      <c r="S238">
        <v>0</v>
      </c>
    </row>
    <row r="239" spans="1:19">
      <c r="A239" t="s">
        <v>25</v>
      </c>
      <c r="B239" t="s">
        <v>9992</v>
      </c>
      <c r="C239">
        <f>"53186"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100</v>
      </c>
      <c r="Q239">
        <v>0</v>
      </c>
      <c r="R239" t="s">
        <v>145</v>
      </c>
      <c r="S239">
        <v>0</v>
      </c>
    </row>
    <row r="240" spans="1:19">
      <c r="A240" t="s">
        <v>25</v>
      </c>
      <c r="B240" t="s">
        <v>6634</v>
      </c>
      <c r="C240">
        <f>"AYCS199"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100</v>
      </c>
      <c r="Q240">
        <v>0</v>
      </c>
      <c r="R240" t="s">
        <v>145</v>
      </c>
      <c r="S240">
        <v>0</v>
      </c>
    </row>
    <row r="241" spans="1:19">
      <c r="A241" t="s">
        <v>25</v>
      </c>
      <c r="B241" t="s">
        <v>4609</v>
      </c>
      <c r="C241">
        <f>"50282"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100</v>
      </c>
      <c r="Q241">
        <v>0</v>
      </c>
      <c r="R241" t="s">
        <v>145</v>
      </c>
      <c r="S241">
        <v>0</v>
      </c>
    </row>
    <row r="242" spans="1:19">
      <c r="A242" t="s">
        <v>25</v>
      </c>
      <c r="B242" t="s">
        <v>4611</v>
      </c>
      <c r="C242">
        <f>"50532"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100</v>
      </c>
      <c r="Q242">
        <v>0</v>
      </c>
      <c r="R242" t="s">
        <v>145</v>
      </c>
      <c r="S242">
        <v>0</v>
      </c>
    </row>
    <row r="243" spans="1:19">
      <c r="A243" t="s">
        <v>25</v>
      </c>
      <c r="B243" t="s">
        <v>4933</v>
      </c>
      <c r="C243">
        <f>"19#S"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100</v>
      </c>
      <c r="Q243">
        <v>0</v>
      </c>
      <c r="R243" t="s">
        <v>145</v>
      </c>
      <c r="S243">
        <v>0</v>
      </c>
    </row>
    <row r="244" spans="1:19">
      <c r="A244" t="s">
        <v>25</v>
      </c>
      <c r="B244" t="s">
        <v>7585</v>
      </c>
      <c r="C244">
        <f>"8422"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100</v>
      </c>
      <c r="Q244">
        <v>0</v>
      </c>
      <c r="R244" t="s">
        <v>145</v>
      </c>
      <c r="S244">
        <v>0</v>
      </c>
    </row>
    <row r="245" spans="1:19">
      <c r="A245" t="s">
        <v>25</v>
      </c>
      <c r="B245" t="s">
        <v>1380</v>
      </c>
      <c r="C245">
        <f>"LS111VE"</f>
        <v>0</v>
      </c>
      <c r="D245">
        <v>1</v>
      </c>
      <c r="E245">
        <v>0</v>
      </c>
      <c r="F245">
        <v>0</v>
      </c>
      <c r="G245">
        <v>0</v>
      </c>
      <c r="H245">
        <v>1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100</v>
      </c>
      <c r="Q245">
        <v>0</v>
      </c>
      <c r="R245" t="s">
        <v>145</v>
      </c>
      <c r="S245">
        <v>0</v>
      </c>
    </row>
    <row r="246" spans="1:19">
      <c r="A246" t="s">
        <v>25</v>
      </c>
      <c r="B246" t="s">
        <v>988</v>
      </c>
      <c r="C246">
        <f>"LS111CEL"</f>
        <v>0</v>
      </c>
      <c r="D246">
        <v>2</v>
      </c>
      <c r="E246">
        <v>0</v>
      </c>
      <c r="F246">
        <v>0</v>
      </c>
      <c r="G246">
        <v>0</v>
      </c>
      <c r="H246">
        <v>2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100</v>
      </c>
      <c r="Q246">
        <v>0</v>
      </c>
      <c r="R246" t="s">
        <v>145</v>
      </c>
      <c r="S246">
        <v>0</v>
      </c>
    </row>
    <row r="247" spans="1:19">
      <c r="A247" t="s">
        <v>25</v>
      </c>
      <c r="B247" t="s">
        <v>4675</v>
      </c>
      <c r="C247">
        <f>"T0105"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100</v>
      </c>
      <c r="Q247">
        <v>0</v>
      </c>
      <c r="R247" t="s">
        <v>145</v>
      </c>
      <c r="S247">
        <v>0</v>
      </c>
    </row>
    <row r="248" spans="1:19">
      <c r="A248" t="s">
        <v>25</v>
      </c>
      <c r="B248" t="s">
        <v>4676</v>
      </c>
      <c r="C248">
        <f>"T0104"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100</v>
      </c>
      <c r="Q248">
        <v>0</v>
      </c>
      <c r="R248" t="s">
        <v>145</v>
      </c>
      <c r="S248">
        <v>0</v>
      </c>
    </row>
    <row r="249" spans="1:19">
      <c r="A249" t="s">
        <v>25</v>
      </c>
      <c r="B249" t="s">
        <v>4800</v>
      </c>
      <c r="C249">
        <f>"S317"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100</v>
      </c>
      <c r="Q249">
        <v>0</v>
      </c>
      <c r="R249" t="s">
        <v>145</v>
      </c>
      <c r="S249">
        <v>0</v>
      </c>
    </row>
    <row r="250" spans="1:19">
      <c r="A250" t="s">
        <v>25</v>
      </c>
      <c r="B250" t="s">
        <v>9656</v>
      </c>
      <c r="C250">
        <f>"AYCS2601"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100</v>
      </c>
      <c r="Q250">
        <v>0</v>
      </c>
      <c r="R250" t="s">
        <v>145</v>
      </c>
      <c r="S250">
        <v>0</v>
      </c>
    </row>
    <row r="251" spans="1:19">
      <c r="A251" t="s">
        <v>25</v>
      </c>
      <c r="B251" t="s">
        <v>3708</v>
      </c>
      <c r="C251">
        <f>"919V"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100</v>
      </c>
      <c r="Q251">
        <v>0</v>
      </c>
      <c r="R251" t="s">
        <v>145</v>
      </c>
      <c r="S251">
        <v>0</v>
      </c>
    </row>
    <row r="252" spans="1:19">
      <c r="A252" t="s">
        <v>25</v>
      </c>
      <c r="B252" t="s">
        <v>4078</v>
      </c>
      <c r="C252">
        <f>"BBC01"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100</v>
      </c>
      <c r="Q252">
        <v>0</v>
      </c>
      <c r="R252" t="s">
        <v>145</v>
      </c>
      <c r="S252">
        <v>0</v>
      </c>
    </row>
    <row r="253" spans="1:19">
      <c r="A253" t="s">
        <v>25</v>
      </c>
      <c r="B253" t="s">
        <v>2936</v>
      </c>
      <c r="C253">
        <f>"AYCA235"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100</v>
      </c>
      <c r="Q253">
        <v>0</v>
      </c>
      <c r="R253" t="s">
        <v>145</v>
      </c>
      <c r="S253">
        <v>0</v>
      </c>
    </row>
    <row r="254" spans="1:19">
      <c r="A254" t="s">
        <v>25</v>
      </c>
      <c r="B254" t="s">
        <v>3115</v>
      </c>
      <c r="C254">
        <f>"AYCA236"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100</v>
      </c>
      <c r="Q254">
        <v>0</v>
      </c>
      <c r="R254" t="s">
        <v>145</v>
      </c>
      <c r="S254">
        <v>0</v>
      </c>
    </row>
    <row r="255" spans="1:19">
      <c r="A255" t="s">
        <v>25</v>
      </c>
      <c r="B255" t="s">
        <v>6093</v>
      </c>
      <c r="C255">
        <f>"NMM01"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100</v>
      </c>
      <c r="Q255">
        <v>0</v>
      </c>
      <c r="R255" t="s">
        <v>145</v>
      </c>
      <c r="S255">
        <v>0</v>
      </c>
    </row>
    <row r="256" spans="1:19">
      <c r="A256" t="s">
        <v>25</v>
      </c>
      <c r="B256" t="s">
        <v>3352</v>
      </c>
      <c r="C256">
        <f>"S313C"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100</v>
      </c>
      <c r="Q256">
        <v>0</v>
      </c>
      <c r="R256" t="s">
        <v>145</v>
      </c>
      <c r="S256">
        <v>0</v>
      </c>
    </row>
    <row r="257" spans="1:19">
      <c r="A257" t="s">
        <v>25</v>
      </c>
      <c r="B257" t="s">
        <v>3353</v>
      </c>
      <c r="C257">
        <f>"S312"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100</v>
      </c>
      <c r="Q257">
        <v>0</v>
      </c>
      <c r="R257" t="s">
        <v>145</v>
      </c>
      <c r="S257">
        <v>0</v>
      </c>
    </row>
    <row r="258" spans="1:19">
      <c r="A258" t="s">
        <v>25</v>
      </c>
      <c r="B258" t="s">
        <v>5518</v>
      </c>
      <c r="C258">
        <f>"BL50"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100</v>
      </c>
      <c r="Q258">
        <v>0</v>
      </c>
      <c r="R258" t="s">
        <v>145</v>
      </c>
      <c r="S258">
        <v>0</v>
      </c>
    </row>
    <row r="259" spans="1:19">
      <c r="A259" t="s">
        <v>25</v>
      </c>
      <c r="B259" t="s">
        <v>6080</v>
      </c>
      <c r="C259">
        <f>"TEN50"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100</v>
      </c>
      <c r="Q259">
        <v>0</v>
      </c>
      <c r="R259" t="s">
        <v>145</v>
      </c>
      <c r="S259">
        <v>0</v>
      </c>
    </row>
    <row r="260" spans="1:19">
      <c r="A260" t="s">
        <v>25</v>
      </c>
      <c r="B260" t="s">
        <v>4735</v>
      </c>
      <c r="C260">
        <f>"8500371"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100</v>
      </c>
      <c r="Q260">
        <v>0</v>
      </c>
      <c r="R260" t="s">
        <v>145</v>
      </c>
      <c r="S260">
        <v>0</v>
      </c>
    </row>
    <row r="261" spans="1:19">
      <c r="A261" t="s">
        <v>25</v>
      </c>
      <c r="B261" t="s">
        <v>4736</v>
      </c>
      <c r="C261">
        <f>"TMEDIT"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100</v>
      </c>
      <c r="Q261">
        <v>0</v>
      </c>
      <c r="R261" t="s">
        <v>145</v>
      </c>
      <c r="S261">
        <v>0</v>
      </c>
    </row>
    <row r="262" spans="1:19">
      <c r="A262" t="s">
        <v>25</v>
      </c>
      <c r="B262" t="s">
        <v>6121</v>
      </c>
      <c r="C262">
        <f>"TR056"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100</v>
      </c>
      <c r="Q262">
        <v>0</v>
      </c>
      <c r="R262" t="s">
        <v>145</v>
      </c>
      <c r="S262">
        <v>0</v>
      </c>
    </row>
    <row r="263" spans="1:19">
      <c r="A263" t="s">
        <v>25</v>
      </c>
      <c r="B263" t="s">
        <v>6088</v>
      </c>
      <c r="C263">
        <f>"ZVP4051"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100</v>
      </c>
      <c r="Q263">
        <v>0</v>
      </c>
      <c r="R263" t="s">
        <v>145</v>
      </c>
      <c r="S263">
        <v>0</v>
      </c>
    </row>
    <row r="264" spans="1:19">
      <c r="A264" t="s">
        <v>25</v>
      </c>
      <c r="B264" t="s">
        <v>6089</v>
      </c>
      <c r="C264">
        <f>"TT803"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100</v>
      </c>
      <c r="Q264">
        <v>0</v>
      </c>
      <c r="R264" t="s">
        <v>145</v>
      </c>
      <c r="S264">
        <v>0</v>
      </c>
    </row>
    <row r="265" spans="1:19">
      <c r="A265" t="s">
        <v>25</v>
      </c>
      <c r="B265" t="s">
        <v>6090</v>
      </c>
      <c r="C265">
        <f>"TT800"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100</v>
      </c>
      <c r="Q265">
        <v>0</v>
      </c>
      <c r="R265" t="s">
        <v>145</v>
      </c>
      <c r="S265">
        <v>0</v>
      </c>
    </row>
    <row r="266" spans="1:19">
      <c r="A266" t="s">
        <v>25</v>
      </c>
      <c r="B266" t="s">
        <v>6092</v>
      </c>
      <c r="C266">
        <f>"DT400"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100</v>
      </c>
      <c r="Q266">
        <v>0</v>
      </c>
      <c r="R266" t="s">
        <v>145</v>
      </c>
      <c r="S266">
        <v>0</v>
      </c>
    </row>
    <row r="267" spans="1:19">
      <c r="A267" t="s">
        <v>25</v>
      </c>
      <c r="B267" t="s">
        <v>2988</v>
      </c>
      <c r="C267">
        <f>"S313"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100</v>
      </c>
      <c r="Q267">
        <v>0</v>
      </c>
      <c r="R267" t="s">
        <v>145</v>
      </c>
      <c r="S267">
        <v>0</v>
      </c>
    </row>
    <row r="268" spans="1:19">
      <c r="A268" t="s">
        <v>25</v>
      </c>
      <c r="B268" t="s">
        <v>5105</v>
      </c>
      <c r="C268">
        <f>"ZVP1034"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100</v>
      </c>
      <c r="Q268">
        <v>0</v>
      </c>
      <c r="R268" t="s">
        <v>145</v>
      </c>
      <c r="S268">
        <v>0</v>
      </c>
    </row>
    <row r="269" spans="1:19">
      <c r="A269" t="s">
        <v>25</v>
      </c>
      <c r="B269" t="s">
        <v>5049</v>
      </c>
      <c r="C269">
        <f>"ZVP4104"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100</v>
      </c>
      <c r="Q269">
        <v>0</v>
      </c>
      <c r="R269" t="s">
        <v>145</v>
      </c>
      <c r="S269">
        <v>0</v>
      </c>
    </row>
    <row r="270" spans="1:19">
      <c r="A270" t="s">
        <v>25</v>
      </c>
      <c r="B270" t="s">
        <v>5050</v>
      </c>
      <c r="C270">
        <f>"ZVP4101"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100</v>
      </c>
      <c r="Q270">
        <v>0</v>
      </c>
      <c r="R270" t="s">
        <v>145</v>
      </c>
      <c r="S270">
        <v>0</v>
      </c>
    </row>
    <row r="271" spans="1:19">
      <c r="A271" t="s">
        <v>25</v>
      </c>
      <c r="B271" t="s">
        <v>5051</v>
      </c>
      <c r="C271">
        <f>"PWFLA"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100</v>
      </c>
      <c r="Q271">
        <v>0</v>
      </c>
      <c r="R271" t="s">
        <v>145</v>
      </c>
      <c r="S271">
        <v>0</v>
      </c>
    </row>
    <row r="272" spans="1:19">
      <c r="A272" t="s">
        <v>25</v>
      </c>
      <c r="B272" t="s">
        <v>1315</v>
      </c>
      <c r="C272">
        <f>"ND01050"</f>
        <v>0</v>
      </c>
      <c r="D272">
        <v>1</v>
      </c>
      <c r="E272">
        <v>0</v>
      </c>
      <c r="F272">
        <v>0</v>
      </c>
      <c r="G272">
        <v>0</v>
      </c>
      <c r="H272">
        <v>1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100</v>
      </c>
      <c r="Q272">
        <v>0</v>
      </c>
      <c r="R272" t="s">
        <v>145</v>
      </c>
      <c r="S272">
        <v>0</v>
      </c>
    </row>
    <row r="273" spans="1:19">
      <c r="A273" t="s">
        <v>25</v>
      </c>
      <c r="B273" t="s">
        <v>3182</v>
      </c>
      <c r="C273">
        <f>"ND01200"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100</v>
      </c>
      <c r="Q273">
        <v>0</v>
      </c>
      <c r="R273" t="s">
        <v>145</v>
      </c>
      <c r="S273">
        <v>0</v>
      </c>
    </row>
    <row r="274" spans="1:19">
      <c r="A274" t="s">
        <v>25</v>
      </c>
      <c r="B274" t="s">
        <v>5767</v>
      </c>
      <c r="C274">
        <f>"ND01100"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100</v>
      </c>
      <c r="Q274">
        <v>0</v>
      </c>
      <c r="R274" t="s">
        <v>145</v>
      </c>
      <c r="S274">
        <v>0</v>
      </c>
    </row>
    <row r="275" spans="1:19">
      <c r="A275" t="s">
        <v>25</v>
      </c>
      <c r="B275" t="s">
        <v>5768</v>
      </c>
      <c r="C275">
        <f>"ND210501"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100</v>
      </c>
      <c r="Q275">
        <v>0</v>
      </c>
      <c r="R275" t="s">
        <v>145</v>
      </c>
      <c r="S275">
        <v>0</v>
      </c>
    </row>
    <row r="276" spans="1:19">
      <c r="A276" t="s">
        <v>25</v>
      </c>
      <c r="B276" t="s">
        <v>5769</v>
      </c>
      <c r="C276">
        <f>"ND211001"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100</v>
      </c>
      <c r="Q276">
        <v>0</v>
      </c>
      <c r="R276" t="s">
        <v>145</v>
      </c>
      <c r="S276">
        <v>0</v>
      </c>
    </row>
    <row r="277" spans="1:19">
      <c r="A277" t="s">
        <v>25</v>
      </c>
      <c r="B277" t="s">
        <v>3074</v>
      </c>
      <c r="C277">
        <f>"ND04250"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100</v>
      </c>
      <c r="Q277">
        <v>0</v>
      </c>
      <c r="R277" t="s">
        <v>145</v>
      </c>
      <c r="S277">
        <v>0</v>
      </c>
    </row>
    <row r="278" spans="1:19">
      <c r="A278" t="s">
        <v>25</v>
      </c>
      <c r="B278" t="s">
        <v>3075</v>
      </c>
      <c r="C278">
        <f>"ND04150"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100</v>
      </c>
      <c r="Q278">
        <v>0</v>
      </c>
      <c r="R278" t="s">
        <v>145</v>
      </c>
      <c r="S278">
        <v>0</v>
      </c>
    </row>
    <row r="279" spans="1:19">
      <c r="A279" t="s">
        <v>25</v>
      </c>
      <c r="B279" t="s">
        <v>4627</v>
      </c>
      <c r="C279">
        <f>"50522"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100</v>
      </c>
      <c r="Q279">
        <v>0</v>
      </c>
      <c r="R279" t="s">
        <v>145</v>
      </c>
      <c r="S279">
        <v>0</v>
      </c>
    </row>
    <row r="280" spans="1:19">
      <c r="A280" t="s">
        <v>25</v>
      </c>
      <c r="B280" t="s">
        <v>5755</v>
      </c>
      <c r="C280">
        <f>"ZVP5150"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100</v>
      </c>
      <c r="Q280">
        <v>0</v>
      </c>
      <c r="R280" t="s">
        <v>145</v>
      </c>
      <c r="S280">
        <v>0</v>
      </c>
    </row>
    <row r="281" spans="1:19">
      <c r="A281" t="s">
        <v>25</v>
      </c>
      <c r="B281" t="s">
        <v>5756</v>
      </c>
      <c r="C281">
        <f>"ZVP5160"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100</v>
      </c>
      <c r="Q281">
        <v>0</v>
      </c>
      <c r="R281" t="s">
        <v>145</v>
      </c>
      <c r="S281">
        <v>0</v>
      </c>
    </row>
    <row r="282" spans="1:19">
      <c r="A282" t="s">
        <v>25</v>
      </c>
      <c r="B282" t="s">
        <v>5037</v>
      </c>
      <c r="C282">
        <f>"ZVP1603"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100</v>
      </c>
      <c r="Q282">
        <v>0</v>
      </c>
      <c r="R282" t="s">
        <v>145</v>
      </c>
      <c r="S282">
        <v>0</v>
      </c>
    </row>
    <row r="283" spans="1:19">
      <c r="A283" t="s">
        <v>25</v>
      </c>
      <c r="B283" t="s">
        <v>4662</v>
      </c>
      <c r="C283">
        <f>"DPB85"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100</v>
      </c>
      <c r="Q283">
        <v>0</v>
      </c>
      <c r="R283" t="s">
        <v>145</v>
      </c>
      <c r="S283">
        <v>0</v>
      </c>
    </row>
    <row r="284" spans="1:19">
      <c r="A284" t="s">
        <v>25</v>
      </c>
      <c r="B284" t="s">
        <v>5144</v>
      </c>
      <c r="C284">
        <f>"s208"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100</v>
      </c>
      <c r="Q284">
        <v>0</v>
      </c>
      <c r="R284" t="s">
        <v>145</v>
      </c>
      <c r="S284">
        <v>0</v>
      </c>
    </row>
    <row r="285" spans="1:19">
      <c r="A285" t="s">
        <v>25</v>
      </c>
      <c r="B285" t="s">
        <v>1388</v>
      </c>
      <c r="C285">
        <f>"s007"</f>
        <v>0</v>
      </c>
      <c r="D285">
        <v>1</v>
      </c>
      <c r="E285">
        <v>0</v>
      </c>
      <c r="F285">
        <v>0</v>
      </c>
      <c r="G285">
        <v>0</v>
      </c>
      <c r="H285">
        <v>1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100</v>
      </c>
      <c r="Q285">
        <v>0</v>
      </c>
      <c r="R285" t="s">
        <v>145</v>
      </c>
      <c r="S285">
        <v>0</v>
      </c>
    </row>
    <row r="286" spans="1:19">
      <c r="A286" t="s">
        <v>25</v>
      </c>
      <c r="B286" t="s">
        <v>879</v>
      </c>
      <c r="C286">
        <f>"ZVP2156"</f>
        <v>0</v>
      </c>
      <c r="D286">
        <v>3</v>
      </c>
      <c r="E286">
        <v>0</v>
      </c>
      <c r="F286">
        <v>0</v>
      </c>
      <c r="G286">
        <v>0</v>
      </c>
      <c r="H286">
        <v>3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100</v>
      </c>
      <c r="Q286">
        <v>0</v>
      </c>
      <c r="R286" t="s">
        <v>145</v>
      </c>
      <c r="S286">
        <v>0</v>
      </c>
    </row>
    <row r="287" spans="1:19">
      <c r="A287" t="s">
        <v>25</v>
      </c>
      <c r="B287" t="s">
        <v>7629</v>
      </c>
      <c r="C287">
        <f>"ZVP2256"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100</v>
      </c>
      <c r="Q287">
        <v>0</v>
      </c>
      <c r="R287" t="s">
        <v>145</v>
      </c>
      <c r="S287">
        <v>0</v>
      </c>
    </row>
    <row r="288" spans="1:19">
      <c r="A288" t="s">
        <v>25</v>
      </c>
      <c r="B288" t="s">
        <v>5143</v>
      </c>
      <c r="C288">
        <f>"s223"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100</v>
      </c>
      <c r="Q288">
        <v>0</v>
      </c>
      <c r="R288" t="s">
        <v>145</v>
      </c>
      <c r="S288">
        <v>0</v>
      </c>
    </row>
    <row r="289" spans="1:19">
      <c r="A289" t="s">
        <v>25</v>
      </c>
      <c r="B289" t="s">
        <v>5771</v>
      </c>
      <c r="C289">
        <f>"ZVP5110"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100</v>
      </c>
      <c r="Q289">
        <v>0</v>
      </c>
      <c r="R289" t="s">
        <v>145</v>
      </c>
      <c r="S289">
        <v>0</v>
      </c>
    </row>
    <row r="290" spans="1:19">
      <c r="A290" t="s">
        <v>25</v>
      </c>
      <c r="B290" t="s">
        <v>5113</v>
      </c>
      <c r="C290">
        <f>"ZVP1074"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100</v>
      </c>
      <c r="Q290">
        <v>0</v>
      </c>
      <c r="R290" t="s">
        <v>145</v>
      </c>
      <c r="S290">
        <v>0</v>
      </c>
    </row>
    <row r="291" spans="1:19">
      <c r="A291" t="s">
        <v>25</v>
      </c>
      <c r="B291" t="s">
        <v>3076</v>
      </c>
      <c r="C291">
        <f>"ND04100"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100</v>
      </c>
      <c r="Q291">
        <v>0</v>
      </c>
      <c r="R291" t="s">
        <v>145</v>
      </c>
      <c r="S291">
        <v>0</v>
      </c>
    </row>
    <row r="292" spans="1:19">
      <c r="A292" t="s">
        <v>25</v>
      </c>
      <c r="B292" t="s">
        <v>4615</v>
      </c>
      <c r="C292">
        <f>"s204"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100</v>
      </c>
      <c r="Q292">
        <v>0</v>
      </c>
      <c r="R292" t="s">
        <v>145</v>
      </c>
      <c r="S292">
        <v>0</v>
      </c>
    </row>
    <row r="293" spans="1:19">
      <c r="A293" t="s">
        <v>25</v>
      </c>
      <c r="B293" t="s">
        <v>4701</v>
      </c>
      <c r="C293">
        <f>"S100"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100</v>
      </c>
      <c r="Q293">
        <v>0</v>
      </c>
      <c r="R293" t="s">
        <v>145</v>
      </c>
      <c r="S293">
        <v>0</v>
      </c>
    </row>
    <row r="294" spans="1:19">
      <c r="A294" t="s">
        <v>25</v>
      </c>
      <c r="B294" t="s">
        <v>4714</v>
      </c>
      <c r="C294">
        <f>"S101"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100</v>
      </c>
      <c r="Q294">
        <v>0</v>
      </c>
      <c r="R294" t="s">
        <v>145</v>
      </c>
      <c r="S294">
        <v>0</v>
      </c>
    </row>
    <row r="295" spans="1:19">
      <c r="A295" t="s">
        <v>25</v>
      </c>
      <c r="B295" t="s">
        <v>4512</v>
      </c>
      <c r="C295">
        <f>"1042emNA"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100</v>
      </c>
      <c r="Q295">
        <v>0</v>
      </c>
      <c r="R295" t="s">
        <v>145</v>
      </c>
      <c r="S295">
        <v>0</v>
      </c>
    </row>
    <row r="296" spans="1:19">
      <c r="A296" t="s">
        <v>25</v>
      </c>
      <c r="B296" t="s">
        <v>9286</v>
      </c>
      <c r="C296">
        <f>"PD20014AS"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100</v>
      </c>
      <c r="Q296">
        <v>0</v>
      </c>
      <c r="R296" t="s">
        <v>145</v>
      </c>
      <c r="S296">
        <v>0</v>
      </c>
    </row>
    <row r="297" spans="1:19">
      <c r="A297" t="s">
        <v>25</v>
      </c>
      <c r="B297" t="s">
        <v>9434</v>
      </c>
      <c r="C297">
        <f>"W7028"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100</v>
      </c>
      <c r="Q297">
        <v>0</v>
      </c>
      <c r="R297" t="s">
        <v>145</v>
      </c>
      <c r="S297">
        <v>0</v>
      </c>
    </row>
    <row r="298" spans="1:19">
      <c r="A298" t="s">
        <v>25</v>
      </c>
      <c r="B298" t="s">
        <v>9435</v>
      </c>
      <c r="C298">
        <f>"S497"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100</v>
      </c>
      <c r="Q298">
        <v>0</v>
      </c>
      <c r="R298" t="s">
        <v>145</v>
      </c>
      <c r="S298">
        <v>0</v>
      </c>
    </row>
    <row r="299" spans="1:19">
      <c r="A299" t="s">
        <v>25</v>
      </c>
      <c r="B299" t="s">
        <v>9396</v>
      </c>
      <c r="C299">
        <f>"S500"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100</v>
      </c>
      <c r="Q299">
        <v>0</v>
      </c>
      <c r="R299" t="s">
        <v>145</v>
      </c>
      <c r="S299">
        <v>0</v>
      </c>
    </row>
    <row r="300" spans="1:19">
      <c r="A300" t="s">
        <v>25</v>
      </c>
      <c r="B300" t="s">
        <v>9397</v>
      </c>
      <c r="C300">
        <f>"S501"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100</v>
      </c>
      <c r="Q300">
        <v>0</v>
      </c>
      <c r="R300" t="s">
        <v>145</v>
      </c>
      <c r="S300">
        <v>0</v>
      </c>
    </row>
    <row r="301" spans="1:19">
      <c r="A301" t="s">
        <v>25</v>
      </c>
      <c r="B301" t="s">
        <v>3173</v>
      </c>
      <c r="C301">
        <f>"nd1075"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100</v>
      </c>
      <c r="Q301">
        <v>0</v>
      </c>
      <c r="R301" t="s">
        <v>145</v>
      </c>
      <c r="S301">
        <v>0</v>
      </c>
    </row>
    <row r="302" spans="1:19">
      <c r="A302" t="s">
        <v>25</v>
      </c>
      <c r="B302" t="s">
        <v>3174</v>
      </c>
      <c r="C302">
        <f>"ND1025"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100</v>
      </c>
      <c r="Q302">
        <v>0</v>
      </c>
      <c r="R302" t="s">
        <v>145</v>
      </c>
      <c r="S302">
        <v>0</v>
      </c>
    </row>
    <row r="303" spans="1:19">
      <c r="A303" t="s">
        <v>25</v>
      </c>
      <c r="B303" t="s">
        <v>4603</v>
      </c>
      <c r="C303">
        <f>"BEP21R"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100</v>
      </c>
      <c r="Q303">
        <v>0</v>
      </c>
      <c r="R303" t="s">
        <v>145</v>
      </c>
      <c r="S303">
        <v>0</v>
      </c>
    </row>
    <row r="304" spans="1:19">
      <c r="A304" t="s">
        <v>25</v>
      </c>
      <c r="B304" t="s">
        <v>3398</v>
      </c>
      <c r="C304">
        <f>"ND05050"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100</v>
      </c>
      <c r="Q304">
        <v>0</v>
      </c>
      <c r="R304" t="s">
        <v>145</v>
      </c>
      <c r="S304">
        <v>0</v>
      </c>
    </row>
    <row r="305" spans="1:19">
      <c r="A305" t="s">
        <v>25</v>
      </c>
      <c r="B305" t="s">
        <v>3399</v>
      </c>
      <c r="C305">
        <f>"ND05100"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100</v>
      </c>
      <c r="Q305">
        <v>0</v>
      </c>
      <c r="R305" t="s">
        <v>145</v>
      </c>
      <c r="S305">
        <v>0</v>
      </c>
    </row>
    <row r="306" spans="1:19">
      <c r="A306" t="s">
        <v>25</v>
      </c>
      <c r="B306" t="s">
        <v>943</v>
      </c>
      <c r="C306">
        <f>"AYCS201"</f>
        <v>0</v>
      </c>
      <c r="D306">
        <v>3</v>
      </c>
      <c r="E306">
        <v>0</v>
      </c>
      <c r="F306">
        <v>0</v>
      </c>
      <c r="G306">
        <v>0</v>
      </c>
      <c r="H306">
        <v>3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100</v>
      </c>
      <c r="Q306">
        <v>0</v>
      </c>
      <c r="R306" t="s">
        <v>145</v>
      </c>
      <c r="S306">
        <v>0</v>
      </c>
    </row>
    <row r="307" spans="1:19">
      <c r="A307" t="s">
        <v>25</v>
      </c>
      <c r="B307" t="s">
        <v>4652</v>
      </c>
      <c r="C307">
        <f>"B18408"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100</v>
      </c>
      <c r="Q307">
        <v>0</v>
      </c>
      <c r="R307" t="s">
        <v>145</v>
      </c>
      <c r="S307">
        <v>0</v>
      </c>
    </row>
    <row r="308" spans="1:19">
      <c r="A308" t="s">
        <v>25</v>
      </c>
      <c r="B308" t="s">
        <v>4654</v>
      </c>
      <c r="C308">
        <f>"B18207"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100</v>
      </c>
      <c r="Q308">
        <v>0</v>
      </c>
      <c r="R308" t="s">
        <v>145</v>
      </c>
      <c r="S308">
        <v>0</v>
      </c>
    </row>
    <row r="309" spans="1:19">
      <c r="A309" t="s">
        <v>25</v>
      </c>
      <c r="B309" t="s">
        <v>604</v>
      </c>
      <c r="C309">
        <f>"891540"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100</v>
      </c>
      <c r="Q309">
        <v>0</v>
      </c>
      <c r="R309" t="s">
        <v>145</v>
      </c>
      <c r="S309">
        <v>0</v>
      </c>
    </row>
    <row r="310" spans="1:19">
      <c r="A310" t="s">
        <v>25</v>
      </c>
      <c r="B310" t="s">
        <v>604</v>
      </c>
      <c r="C310">
        <f>"803023"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100</v>
      </c>
      <c r="Q310">
        <v>0</v>
      </c>
      <c r="R310" t="s">
        <v>145</v>
      </c>
      <c r="S310">
        <v>0</v>
      </c>
    </row>
    <row r="311" spans="1:19">
      <c r="A311" t="s">
        <v>25</v>
      </c>
      <c r="B311" t="s">
        <v>604</v>
      </c>
      <c r="C311">
        <f>"671361"</f>
        <v>0</v>
      </c>
      <c r="D311">
        <v>9</v>
      </c>
      <c r="E311">
        <v>0</v>
      </c>
      <c r="F311">
        <v>0</v>
      </c>
      <c r="G311">
        <v>0</v>
      </c>
      <c r="H311">
        <v>9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100</v>
      </c>
      <c r="Q311">
        <v>0</v>
      </c>
      <c r="R311" t="s">
        <v>145</v>
      </c>
      <c r="S311">
        <v>0</v>
      </c>
    </row>
    <row r="312" spans="1:19">
      <c r="A312" t="s">
        <v>25</v>
      </c>
      <c r="B312" t="s">
        <v>1095</v>
      </c>
      <c r="C312">
        <f>"BEP20R"</f>
        <v>0</v>
      </c>
      <c r="D312">
        <v>2</v>
      </c>
      <c r="E312">
        <v>0</v>
      </c>
      <c r="F312">
        <v>0</v>
      </c>
      <c r="G312">
        <v>0</v>
      </c>
      <c r="H312">
        <v>2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100</v>
      </c>
      <c r="Q312">
        <v>0</v>
      </c>
      <c r="R312" t="s">
        <v>145</v>
      </c>
      <c r="S312">
        <v>0</v>
      </c>
    </row>
    <row r="313" spans="1:19">
      <c r="A313" t="s">
        <v>25</v>
      </c>
      <c r="B313" t="s">
        <v>4642</v>
      </c>
      <c r="C313">
        <f>"thr"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100</v>
      </c>
      <c r="Q313">
        <v>0</v>
      </c>
      <c r="R313" t="s">
        <v>145</v>
      </c>
      <c r="S313">
        <v>0</v>
      </c>
    </row>
    <row r="314" spans="1:19">
      <c r="A314" t="s">
        <v>25</v>
      </c>
      <c r="B314" t="s">
        <v>4598</v>
      </c>
      <c r="C314">
        <f>"THC"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100</v>
      </c>
      <c r="Q314">
        <v>0</v>
      </c>
      <c r="R314" t="s">
        <v>145</v>
      </c>
      <c r="S314">
        <v>0</v>
      </c>
    </row>
    <row r="315" spans="1:19">
      <c r="A315" t="s">
        <v>25</v>
      </c>
      <c r="B315" t="s">
        <v>3397</v>
      </c>
      <c r="C315">
        <f>"ND05075"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100</v>
      </c>
      <c r="Q315">
        <v>0</v>
      </c>
      <c r="R315" t="s">
        <v>145</v>
      </c>
      <c r="S315">
        <v>0</v>
      </c>
    </row>
    <row r="316" spans="1:19">
      <c r="A316" t="s">
        <v>25</v>
      </c>
      <c r="B316" t="s">
        <v>7146</v>
      </c>
      <c r="C316">
        <f>"R1"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100</v>
      </c>
      <c r="Q316">
        <v>0</v>
      </c>
      <c r="R316" t="s">
        <v>145</v>
      </c>
      <c r="S316">
        <v>0</v>
      </c>
    </row>
    <row r="317" spans="1:19">
      <c r="A317" t="s">
        <v>25</v>
      </c>
      <c r="B317" t="s">
        <v>1341</v>
      </c>
      <c r="C317">
        <f>"YB0392"</f>
        <v>0</v>
      </c>
      <c r="D317">
        <v>0</v>
      </c>
      <c r="E317">
        <v>1</v>
      </c>
      <c r="F317">
        <v>0</v>
      </c>
      <c r="G317">
        <v>0</v>
      </c>
      <c r="H317">
        <v>1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100</v>
      </c>
      <c r="Q317">
        <v>0</v>
      </c>
      <c r="R317" t="s">
        <v>145</v>
      </c>
      <c r="S317">
        <v>0</v>
      </c>
    </row>
    <row r="318" spans="1:19">
      <c r="A318" t="s">
        <v>25</v>
      </c>
      <c r="B318" t="s">
        <v>7127</v>
      </c>
      <c r="C318">
        <f>"CONEJERA1"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100</v>
      </c>
      <c r="Q318">
        <v>0</v>
      </c>
      <c r="R318" t="s">
        <v>145</v>
      </c>
      <c r="S318">
        <v>0</v>
      </c>
    </row>
    <row r="319" spans="1:19">
      <c r="A319" t="s">
        <v>25</v>
      </c>
      <c r="B319" t="s">
        <v>7149</v>
      </c>
      <c r="C319">
        <f>"FMC"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100</v>
      </c>
      <c r="Q319">
        <v>0</v>
      </c>
      <c r="R319" t="s">
        <v>145</v>
      </c>
      <c r="S319">
        <v>0</v>
      </c>
    </row>
    <row r="320" spans="1:19">
      <c r="A320" t="s">
        <v>25</v>
      </c>
      <c r="B320" t="s">
        <v>7239</v>
      </c>
      <c r="C320">
        <f>"D146"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100</v>
      </c>
      <c r="Q320">
        <v>0</v>
      </c>
      <c r="R320" t="s">
        <v>145</v>
      </c>
      <c r="S320">
        <v>0</v>
      </c>
    </row>
    <row r="321" spans="1:19">
      <c r="A321" t="s">
        <v>25</v>
      </c>
      <c r="B321" t="s">
        <v>5629</v>
      </c>
      <c r="C321">
        <f>"S310AAZ"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100</v>
      </c>
      <c r="Q321">
        <v>0</v>
      </c>
      <c r="R321" t="s">
        <v>145</v>
      </c>
      <c r="S321">
        <v>0</v>
      </c>
    </row>
    <row r="322" spans="1:19">
      <c r="A322" t="s">
        <v>25</v>
      </c>
      <c r="B322" t="s">
        <v>7515</v>
      </c>
      <c r="C322">
        <f>"A3M"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100</v>
      </c>
      <c r="Q322">
        <v>0</v>
      </c>
      <c r="R322" t="s">
        <v>145</v>
      </c>
      <c r="S322">
        <v>0</v>
      </c>
    </row>
    <row r="323" spans="1:19">
      <c r="A323" t="s">
        <v>25</v>
      </c>
      <c r="B323" t="s">
        <v>6317</v>
      </c>
      <c r="C323">
        <f>"ZVP5161"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100</v>
      </c>
      <c r="Q323">
        <v>0</v>
      </c>
      <c r="R323" t="s">
        <v>145</v>
      </c>
      <c r="S323">
        <v>0</v>
      </c>
    </row>
    <row r="324" spans="1:19">
      <c r="A324" t="s">
        <v>25</v>
      </c>
      <c r="B324" t="s">
        <v>6401</v>
      </c>
      <c r="C324">
        <f>"ZVP3236"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100</v>
      </c>
      <c r="Q324">
        <v>0</v>
      </c>
      <c r="R324" t="s">
        <v>145</v>
      </c>
      <c r="S324">
        <v>0</v>
      </c>
    </row>
    <row r="325" spans="1:19">
      <c r="A325" t="s">
        <v>25</v>
      </c>
      <c r="B325" t="s">
        <v>6294</v>
      </c>
      <c r="C325">
        <f>"LN4131JIBIA"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100</v>
      </c>
      <c r="Q325">
        <v>0</v>
      </c>
      <c r="R325" t="s">
        <v>145</v>
      </c>
      <c r="S325">
        <v>0</v>
      </c>
    </row>
    <row r="326" spans="1:19">
      <c r="A326" t="s">
        <v>25</v>
      </c>
      <c r="B326" t="s">
        <v>6295</v>
      </c>
      <c r="C326">
        <f>"LN933"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100</v>
      </c>
      <c r="Q326">
        <v>0</v>
      </c>
      <c r="R326" t="s">
        <v>145</v>
      </c>
      <c r="S326">
        <v>0</v>
      </c>
    </row>
    <row r="327" spans="1:19">
      <c r="A327" t="s">
        <v>25</v>
      </c>
      <c r="B327" t="s">
        <v>7608</v>
      </c>
      <c r="C327">
        <f>"RY29LRC"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100</v>
      </c>
      <c r="Q327">
        <v>0</v>
      </c>
      <c r="R327" t="s">
        <v>145</v>
      </c>
      <c r="S327">
        <v>0</v>
      </c>
    </row>
    <row r="328" spans="1:19">
      <c r="A328" t="s">
        <v>25</v>
      </c>
      <c r="B328" t="s">
        <v>5585</v>
      </c>
      <c r="C328">
        <f>"AYCS197"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100</v>
      </c>
      <c r="Q328">
        <v>0</v>
      </c>
      <c r="R328" t="s">
        <v>145</v>
      </c>
      <c r="S328">
        <v>0</v>
      </c>
    </row>
    <row r="329" spans="1:19">
      <c r="A329" t="s">
        <v>25</v>
      </c>
      <c r="B329" t="s">
        <v>5586</v>
      </c>
      <c r="C329">
        <f>"AYCS4541"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100</v>
      </c>
      <c r="Q329">
        <v>0</v>
      </c>
      <c r="R329" t="s">
        <v>145</v>
      </c>
      <c r="S329">
        <v>0</v>
      </c>
    </row>
    <row r="330" spans="1:19">
      <c r="A330" t="s">
        <v>25</v>
      </c>
      <c r="B330" t="s">
        <v>5587</v>
      </c>
      <c r="C330">
        <f>"AYCS0541"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100</v>
      </c>
      <c r="Q330">
        <v>0</v>
      </c>
      <c r="R330" t="s">
        <v>145</v>
      </c>
      <c r="S330">
        <v>0</v>
      </c>
    </row>
    <row r="331" spans="1:19">
      <c r="A331" t="s">
        <v>25</v>
      </c>
      <c r="B331" t="s">
        <v>5589</v>
      </c>
      <c r="C331">
        <f>"NV1530"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100</v>
      </c>
      <c r="Q331">
        <v>0</v>
      </c>
      <c r="R331" t="s">
        <v>145</v>
      </c>
      <c r="S331">
        <v>0</v>
      </c>
    </row>
    <row r="332" spans="1:19">
      <c r="A332" t="s">
        <v>25</v>
      </c>
      <c r="B332" t="s">
        <v>5627</v>
      </c>
      <c r="C332">
        <f>"RJ180"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100</v>
      </c>
      <c r="Q332">
        <v>0</v>
      </c>
      <c r="R332" t="s">
        <v>145</v>
      </c>
      <c r="S332">
        <v>0</v>
      </c>
    </row>
    <row r="333" spans="1:19">
      <c r="A333" t="s">
        <v>25</v>
      </c>
      <c r="B333" t="s">
        <v>5628</v>
      </c>
      <c r="C333">
        <f>"S310AROS"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100</v>
      </c>
      <c r="Q333">
        <v>0</v>
      </c>
      <c r="R333" t="s">
        <v>145</v>
      </c>
      <c r="S333">
        <v>0</v>
      </c>
    </row>
    <row r="334" spans="1:19">
      <c r="A334" t="s">
        <v>25</v>
      </c>
      <c r="B334" t="s">
        <v>7241</v>
      </c>
      <c r="C334">
        <f>"D140"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100</v>
      </c>
      <c r="Q334">
        <v>0</v>
      </c>
      <c r="R334" t="s">
        <v>145</v>
      </c>
      <c r="S334">
        <v>0</v>
      </c>
    </row>
    <row r="335" spans="1:19">
      <c r="A335" t="s">
        <v>25</v>
      </c>
      <c r="B335" t="s">
        <v>7190</v>
      </c>
      <c r="C335">
        <f>"TR058"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100</v>
      </c>
      <c r="Q335">
        <v>0</v>
      </c>
      <c r="R335" t="s">
        <v>145</v>
      </c>
      <c r="S335">
        <v>0</v>
      </c>
    </row>
    <row r="336" spans="1:19">
      <c r="A336" t="s">
        <v>25</v>
      </c>
      <c r="B336" t="s">
        <v>7557</v>
      </c>
      <c r="C336">
        <f>"S0462VE"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100</v>
      </c>
      <c r="Q336">
        <v>0</v>
      </c>
      <c r="R336" t="s">
        <v>145</v>
      </c>
      <c r="S336">
        <v>0</v>
      </c>
    </row>
    <row r="337" spans="1:19">
      <c r="A337" t="s">
        <v>25</v>
      </c>
      <c r="B337" t="s">
        <v>7542</v>
      </c>
      <c r="C337">
        <f>"S0462ROJ"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100</v>
      </c>
      <c r="Q337">
        <v>0</v>
      </c>
      <c r="R337" t="s">
        <v>145</v>
      </c>
      <c r="S337">
        <v>0</v>
      </c>
    </row>
    <row r="338" spans="1:19">
      <c r="A338" t="s">
        <v>25</v>
      </c>
      <c r="B338" t="s">
        <v>7498</v>
      </c>
      <c r="C338">
        <f>"S0462AZ"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100</v>
      </c>
      <c r="Q338">
        <v>0</v>
      </c>
      <c r="R338" t="s">
        <v>145</v>
      </c>
      <c r="S338">
        <v>0</v>
      </c>
    </row>
    <row r="339" spans="1:19">
      <c r="A339" t="s">
        <v>25</v>
      </c>
      <c r="B339" t="s">
        <v>6255</v>
      </c>
      <c r="C339">
        <f>"13135455"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100</v>
      </c>
      <c r="Q339">
        <v>0</v>
      </c>
      <c r="R339" t="s">
        <v>145</v>
      </c>
      <c r="S339">
        <v>0</v>
      </c>
    </row>
    <row r="340" spans="1:19">
      <c r="A340" t="s">
        <v>25</v>
      </c>
      <c r="B340" t="s">
        <v>5601</v>
      </c>
      <c r="C340">
        <f>"S309ROS"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100</v>
      </c>
      <c r="Q340">
        <v>0</v>
      </c>
      <c r="R340" t="s">
        <v>145</v>
      </c>
      <c r="S340">
        <v>0</v>
      </c>
    </row>
    <row r="341" spans="1:19">
      <c r="A341" t="s">
        <v>25</v>
      </c>
      <c r="B341" t="s">
        <v>5594</v>
      </c>
      <c r="C341">
        <f>"S310"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100</v>
      </c>
      <c r="Q341">
        <v>0</v>
      </c>
      <c r="R341" t="s">
        <v>145</v>
      </c>
      <c r="S341">
        <v>0</v>
      </c>
    </row>
    <row r="342" spans="1:19">
      <c r="A342" t="s">
        <v>25</v>
      </c>
      <c r="B342" t="s">
        <v>1401</v>
      </c>
      <c r="C342">
        <f>"11AROS"</f>
        <v>0</v>
      </c>
      <c r="D342">
        <v>1</v>
      </c>
      <c r="E342">
        <v>0</v>
      </c>
      <c r="F342">
        <v>0</v>
      </c>
      <c r="G342">
        <v>0</v>
      </c>
      <c r="H342">
        <v>1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100</v>
      </c>
      <c r="Q342">
        <v>0</v>
      </c>
      <c r="R342" t="s">
        <v>145</v>
      </c>
      <c r="S342">
        <v>0</v>
      </c>
    </row>
    <row r="343" spans="1:19">
      <c r="A343" t="s">
        <v>25</v>
      </c>
      <c r="B343" t="s">
        <v>5595</v>
      </c>
      <c r="C343">
        <f>"S308"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100</v>
      </c>
      <c r="Q343">
        <v>0</v>
      </c>
      <c r="R343" t="s">
        <v>145</v>
      </c>
      <c r="S343">
        <v>0</v>
      </c>
    </row>
    <row r="344" spans="1:19">
      <c r="A344" t="s">
        <v>25</v>
      </c>
      <c r="B344" t="s">
        <v>5596</v>
      </c>
      <c r="C344">
        <f>"S308AM"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100</v>
      </c>
      <c r="Q344">
        <v>0</v>
      </c>
      <c r="R344" t="s">
        <v>145</v>
      </c>
      <c r="S344">
        <v>0</v>
      </c>
    </row>
    <row r="345" spans="1:19">
      <c r="A345" t="s">
        <v>25</v>
      </c>
      <c r="B345" t="s">
        <v>5577</v>
      </c>
      <c r="C345">
        <f>"NV0108"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100</v>
      </c>
      <c r="Q345">
        <v>0</v>
      </c>
      <c r="R345" t="s">
        <v>145</v>
      </c>
      <c r="S345">
        <v>0</v>
      </c>
    </row>
    <row r="346" spans="1:19">
      <c r="A346" t="s">
        <v>25</v>
      </c>
      <c r="B346" t="s">
        <v>5577</v>
      </c>
      <c r="C346">
        <f>"NV0107"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100</v>
      </c>
      <c r="Q346">
        <v>0</v>
      </c>
      <c r="R346" t="s">
        <v>145</v>
      </c>
      <c r="S346">
        <v>0</v>
      </c>
    </row>
    <row r="347" spans="1:19">
      <c r="A347" t="s">
        <v>25</v>
      </c>
      <c r="B347" t="s">
        <v>7312</v>
      </c>
      <c r="C347">
        <f>"66"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100</v>
      </c>
      <c r="Q347">
        <v>0</v>
      </c>
      <c r="R347" t="s">
        <v>145</v>
      </c>
      <c r="S347">
        <v>0</v>
      </c>
    </row>
    <row r="348" spans="1:19">
      <c r="A348" t="s">
        <v>25</v>
      </c>
      <c r="B348" t="s">
        <v>7314</v>
      </c>
      <c r="C348">
        <f>"65"</f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100</v>
      </c>
      <c r="Q348">
        <v>0</v>
      </c>
      <c r="R348" t="s">
        <v>145</v>
      </c>
      <c r="S348">
        <v>0</v>
      </c>
    </row>
    <row r="349" spans="1:19">
      <c r="A349" t="s">
        <v>25</v>
      </c>
      <c r="B349" t="s">
        <v>7316</v>
      </c>
      <c r="C349">
        <f>"ZVP1124"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100</v>
      </c>
      <c r="Q349">
        <v>0</v>
      </c>
      <c r="R349" t="s">
        <v>145</v>
      </c>
      <c r="S349">
        <v>0</v>
      </c>
    </row>
    <row r="350" spans="1:19">
      <c r="A350" t="s">
        <v>25</v>
      </c>
      <c r="B350" t="s">
        <v>7134</v>
      </c>
      <c r="C350">
        <f>"CONEJOCOMUN"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100</v>
      </c>
      <c r="Q350">
        <v>0</v>
      </c>
      <c r="R350" t="s">
        <v>145</v>
      </c>
      <c r="S350">
        <v>0</v>
      </c>
    </row>
    <row r="351" spans="1:19">
      <c r="A351" t="s">
        <v>25</v>
      </c>
      <c r="B351" t="s">
        <v>7143</v>
      </c>
      <c r="C351">
        <f>"102K"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100</v>
      </c>
      <c r="Q351">
        <v>0</v>
      </c>
      <c r="R351" t="s">
        <v>145</v>
      </c>
      <c r="S351">
        <v>0</v>
      </c>
    </row>
    <row r="352" spans="1:19">
      <c r="A352" t="s">
        <v>25</v>
      </c>
      <c r="B352" t="s">
        <v>1340</v>
      </c>
      <c r="C352">
        <f>"R1GR"</f>
        <v>0</v>
      </c>
      <c r="D352">
        <v>0</v>
      </c>
      <c r="E352">
        <v>0</v>
      </c>
      <c r="F352">
        <v>1</v>
      </c>
      <c r="G352">
        <v>0</v>
      </c>
      <c r="H352">
        <v>1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100</v>
      </c>
      <c r="Q352">
        <v>0</v>
      </c>
      <c r="R352" t="s">
        <v>145</v>
      </c>
      <c r="S352">
        <v>0</v>
      </c>
    </row>
    <row r="353" spans="1:19">
      <c r="A353" t="s">
        <v>25</v>
      </c>
      <c r="B353" t="s">
        <v>7137</v>
      </c>
      <c r="C353">
        <f>"R1BL"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100</v>
      </c>
      <c r="Q353">
        <v>0</v>
      </c>
      <c r="R353" t="s">
        <v>145</v>
      </c>
      <c r="S353">
        <v>0</v>
      </c>
    </row>
    <row r="354" spans="1:19">
      <c r="A354" t="s">
        <v>25</v>
      </c>
      <c r="B354" t="s">
        <v>7138</v>
      </c>
      <c r="C354">
        <f>"R1AZ"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100</v>
      </c>
      <c r="Q354">
        <v>0</v>
      </c>
      <c r="R354" t="s">
        <v>145</v>
      </c>
      <c r="S354">
        <v>0</v>
      </c>
    </row>
    <row r="355" spans="1:19">
      <c r="A355" t="s">
        <v>25</v>
      </c>
      <c r="B355" t="s">
        <v>7191</v>
      </c>
      <c r="C355">
        <f>"TR059"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100</v>
      </c>
      <c r="Q355">
        <v>0</v>
      </c>
      <c r="R355" t="s">
        <v>145</v>
      </c>
      <c r="S355">
        <v>0</v>
      </c>
    </row>
    <row r="356" spans="1:19">
      <c r="A356" t="s">
        <v>25</v>
      </c>
      <c r="B356" t="s">
        <v>7231</v>
      </c>
      <c r="C356">
        <f>"U595M"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100</v>
      </c>
      <c r="Q356">
        <v>0</v>
      </c>
      <c r="R356" t="s">
        <v>145</v>
      </c>
      <c r="S356">
        <v>0</v>
      </c>
    </row>
    <row r="357" spans="1:19">
      <c r="A357" t="s">
        <v>25</v>
      </c>
      <c r="B357" t="s">
        <v>7193</v>
      </c>
      <c r="C357">
        <f>"AYCS171"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100</v>
      </c>
      <c r="Q357">
        <v>0</v>
      </c>
      <c r="R357" t="s">
        <v>145</v>
      </c>
      <c r="S357">
        <v>0</v>
      </c>
    </row>
    <row r="358" spans="1:19">
      <c r="A358" t="s">
        <v>25</v>
      </c>
      <c r="B358" t="s">
        <v>7194</v>
      </c>
      <c r="C358">
        <f>"RJ132"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100</v>
      </c>
      <c r="Q358">
        <v>0</v>
      </c>
      <c r="R358" t="s">
        <v>145</v>
      </c>
      <c r="S358">
        <v>0</v>
      </c>
    </row>
    <row r="359" spans="1:19">
      <c r="A359" t="s">
        <v>25</v>
      </c>
      <c r="B359" t="s">
        <v>7199</v>
      </c>
      <c r="C359">
        <f>"CH9408"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100</v>
      </c>
      <c r="Q359">
        <v>0</v>
      </c>
      <c r="R359" t="s">
        <v>145</v>
      </c>
      <c r="S359">
        <v>0</v>
      </c>
    </row>
    <row r="360" spans="1:19">
      <c r="A360" t="s">
        <v>25</v>
      </c>
      <c r="B360" t="s">
        <v>6594</v>
      </c>
      <c r="C360">
        <f>"RJ153"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100</v>
      </c>
      <c r="Q360">
        <v>0</v>
      </c>
      <c r="R360" t="s">
        <v>145</v>
      </c>
      <c r="S360">
        <v>0</v>
      </c>
    </row>
    <row r="361" spans="1:19">
      <c r="A361" t="s">
        <v>25</v>
      </c>
      <c r="B361" t="s">
        <v>7849</v>
      </c>
      <c r="C361">
        <f>"82004"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100</v>
      </c>
      <c r="Q361">
        <v>0</v>
      </c>
      <c r="R361" t="s">
        <v>145</v>
      </c>
      <c r="S361">
        <v>0</v>
      </c>
    </row>
    <row r="362" spans="1:19">
      <c r="A362" t="s">
        <v>25</v>
      </c>
      <c r="B362" t="s">
        <v>7850</v>
      </c>
      <c r="C362">
        <f>"zvp1151"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100</v>
      </c>
      <c r="Q362">
        <v>0</v>
      </c>
      <c r="R362" t="s">
        <v>145</v>
      </c>
      <c r="S362">
        <v>0</v>
      </c>
    </row>
    <row r="363" spans="1:19">
      <c r="A363" t="s">
        <v>25</v>
      </c>
      <c r="B363" t="s">
        <v>5181</v>
      </c>
      <c r="C363">
        <f>"AYCS205"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100</v>
      </c>
      <c r="Q363">
        <v>0</v>
      </c>
      <c r="R363" t="s">
        <v>145</v>
      </c>
      <c r="S363">
        <v>0</v>
      </c>
    </row>
    <row r="364" spans="1:19">
      <c r="A364" t="s">
        <v>25</v>
      </c>
      <c r="B364" t="s">
        <v>7520</v>
      </c>
      <c r="C364">
        <f>"S0461ROJ"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100</v>
      </c>
      <c r="Q364">
        <v>0</v>
      </c>
      <c r="R364" t="s">
        <v>145</v>
      </c>
      <c r="S364">
        <v>0</v>
      </c>
    </row>
    <row r="365" spans="1:19">
      <c r="A365" t="s">
        <v>25</v>
      </c>
      <c r="B365" t="s">
        <v>1104</v>
      </c>
      <c r="C365">
        <f>"S0461AZ"</f>
        <v>0</v>
      </c>
      <c r="D365">
        <v>2</v>
      </c>
      <c r="E365">
        <v>0</v>
      </c>
      <c r="F365">
        <v>0</v>
      </c>
      <c r="G365">
        <v>0</v>
      </c>
      <c r="H365">
        <v>2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100</v>
      </c>
      <c r="Q365">
        <v>0</v>
      </c>
      <c r="R365" t="s">
        <v>145</v>
      </c>
      <c r="S365">
        <v>0</v>
      </c>
    </row>
    <row r="366" spans="1:19">
      <c r="A366" t="s">
        <v>25</v>
      </c>
      <c r="B366" t="s">
        <v>7613</v>
      </c>
      <c r="C366">
        <f>"LLL134"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100</v>
      </c>
      <c r="Q366">
        <v>0</v>
      </c>
      <c r="R366" t="s">
        <v>145</v>
      </c>
      <c r="S366">
        <v>0</v>
      </c>
    </row>
    <row r="367" spans="1:19">
      <c r="A367" t="s">
        <v>25</v>
      </c>
      <c r="B367" t="s">
        <v>6200</v>
      </c>
      <c r="C367">
        <f>"00245"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100</v>
      </c>
      <c r="Q367">
        <v>0</v>
      </c>
      <c r="R367" t="s">
        <v>145</v>
      </c>
      <c r="S367">
        <v>0</v>
      </c>
    </row>
    <row r="368" spans="1:19">
      <c r="A368" t="s">
        <v>25</v>
      </c>
      <c r="B368" t="s">
        <v>6334</v>
      </c>
      <c r="C368">
        <f>"ZVP2108"</f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100</v>
      </c>
      <c r="Q368">
        <v>0</v>
      </c>
      <c r="R368" t="s">
        <v>145</v>
      </c>
      <c r="S368">
        <v>0</v>
      </c>
    </row>
    <row r="369" spans="1:19">
      <c r="A369" t="s">
        <v>25</v>
      </c>
      <c r="B369" t="s">
        <v>1077</v>
      </c>
      <c r="C369">
        <f>"ZVP1111"</f>
        <v>0</v>
      </c>
      <c r="D369">
        <v>0</v>
      </c>
      <c r="E369">
        <v>0</v>
      </c>
      <c r="F369">
        <v>2</v>
      </c>
      <c r="G369">
        <v>0</v>
      </c>
      <c r="H369">
        <v>2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100</v>
      </c>
      <c r="Q369">
        <v>0</v>
      </c>
      <c r="R369" t="s">
        <v>145</v>
      </c>
      <c r="S369">
        <v>0</v>
      </c>
    </row>
    <row r="370" spans="1:19">
      <c r="A370" t="s">
        <v>25</v>
      </c>
      <c r="B370" t="s">
        <v>6335</v>
      </c>
      <c r="C370">
        <f>"ZVP1152"</f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100</v>
      </c>
      <c r="Q370">
        <v>0</v>
      </c>
      <c r="R370" t="s">
        <v>145</v>
      </c>
      <c r="S370">
        <v>0</v>
      </c>
    </row>
    <row r="371" spans="1:19">
      <c r="A371" t="s">
        <v>25</v>
      </c>
      <c r="B371" t="s">
        <v>6336</v>
      </c>
      <c r="C371">
        <f>"ZVP5151"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100</v>
      </c>
      <c r="Q371">
        <v>0</v>
      </c>
      <c r="R371" t="s">
        <v>145</v>
      </c>
      <c r="S371">
        <v>0</v>
      </c>
    </row>
    <row r="372" spans="1:19">
      <c r="A372" t="s">
        <v>25</v>
      </c>
      <c r="B372" t="s">
        <v>6337</v>
      </c>
      <c r="C372">
        <f>"ZVP5111"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100</v>
      </c>
      <c r="Q372">
        <v>0</v>
      </c>
      <c r="R372" t="s">
        <v>145</v>
      </c>
      <c r="S372">
        <v>0</v>
      </c>
    </row>
    <row r="373" spans="1:19">
      <c r="A373" t="s">
        <v>25</v>
      </c>
      <c r="B373" t="s">
        <v>6338</v>
      </c>
      <c r="C373">
        <f>"ZVP5121"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100</v>
      </c>
      <c r="Q373">
        <v>0</v>
      </c>
      <c r="R373" t="s">
        <v>145</v>
      </c>
      <c r="S373">
        <v>0</v>
      </c>
    </row>
    <row r="374" spans="1:19">
      <c r="A374" t="s">
        <v>25</v>
      </c>
      <c r="B374" t="s">
        <v>1345</v>
      </c>
      <c r="C374">
        <f>"ZVP5131"</f>
        <v>0</v>
      </c>
      <c r="D374">
        <v>0</v>
      </c>
      <c r="E374">
        <v>1</v>
      </c>
      <c r="F374">
        <v>0</v>
      </c>
      <c r="G374">
        <v>0</v>
      </c>
      <c r="H374">
        <v>1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100</v>
      </c>
      <c r="Q374">
        <v>0</v>
      </c>
      <c r="R374" t="s">
        <v>145</v>
      </c>
      <c r="S374">
        <v>0</v>
      </c>
    </row>
    <row r="375" spans="1:19">
      <c r="A375" t="s">
        <v>25</v>
      </c>
      <c r="B375" t="s">
        <v>7499</v>
      </c>
      <c r="C375">
        <f>"S0463VE"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100</v>
      </c>
      <c r="Q375">
        <v>0</v>
      </c>
      <c r="R375" t="s">
        <v>145</v>
      </c>
      <c r="S375">
        <v>0</v>
      </c>
    </row>
    <row r="376" spans="1:19">
      <c r="A376" t="s">
        <v>25</v>
      </c>
      <c r="B376" t="s">
        <v>7390</v>
      </c>
      <c r="C376">
        <f>"RJ116"</f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100</v>
      </c>
      <c r="Q376">
        <v>0</v>
      </c>
      <c r="R376" t="s">
        <v>145</v>
      </c>
      <c r="S376">
        <v>0</v>
      </c>
    </row>
    <row r="377" spans="1:19">
      <c r="A377" t="s">
        <v>25</v>
      </c>
      <c r="B377" t="s">
        <v>7407</v>
      </c>
      <c r="C377">
        <f>"RJ503"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100</v>
      </c>
      <c r="Q377">
        <v>0</v>
      </c>
      <c r="R377" t="s">
        <v>145</v>
      </c>
      <c r="S377">
        <v>0</v>
      </c>
    </row>
    <row r="378" spans="1:19">
      <c r="A378" t="s">
        <v>25</v>
      </c>
      <c r="B378" t="s">
        <v>6081</v>
      </c>
      <c r="C378">
        <f>"TBS"</f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100</v>
      </c>
      <c r="Q378">
        <v>0</v>
      </c>
      <c r="R378" t="s">
        <v>145</v>
      </c>
      <c r="S378">
        <v>0</v>
      </c>
    </row>
    <row r="379" spans="1:19">
      <c r="A379" t="s">
        <v>25</v>
      </c>
      <c r="B379" t="s">
        <v>5973</v>
      </c>
      <c r="C379">
        <f>"NFF41H"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100</v>
      </c>
      <c r="Q379">
        <v>0</v>
      </c>
      <c r="R379" t="s">
        <v>145</v>
      </c>
      <c r="S379">
        <v>0</v>
      </c>
    </row>
    <row r="380" spans="1:19">
      <c r="A380" t="s">
        <v>25</v>
      </c>
      <c r="B380" t="s">
        <v>5982</v>
      </c>
      <c r="C380">
        <f>"SUST2K"</f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100</v>
      </c>
      <c r="Q380">
        <v>0</v>
      </c>
      <c r="R380" t="s">
        <v>145</v>
      </c>
      <c r="S380">
        <v>0</v>
      </c>
    </row>
    <row r="381" spans="1:19">
      <c r="A381" t="s">
        <v>25</v>
      </c>
      <c r="B381" t="s">
        <v>5996</v>
      </c>
      <c r="C381">
        <f>"ST25"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100</v>
      </c>
      <c r="Q381">
        <v>0</v>
      </c>
      <c r="R381" t="s">
        <v>145</v>
      </c>
      <c r="S381">
        <v>0</v>
      </c>
    </row>
    <row r="382" spans="1:19">
      <c r="A382" t="s">
        <v>25</v>
      </c>
      <c r="B382" t="s">
        <v>5997</v>
      </c>
      <c r="C382">
        <f>"STB"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100</v>
      </c>
      <c r="Q382">
        <v>0</v>
      </c>
      <c r="R382" t="s">
        <v>145</v>
      </c>
      <c r="S382">
        <v>0</v>
      </c>
    </row>
    <row r="383" spans="1:19">
      <c r="A383" t="s">
        <v>25</v>
      </c>
      <c r="B383" t="s">
        <v>5998</v>
      </c>
      <c r="C383">
        <f>"STB400"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100</v>
      </c>
      <c r="Q383">
        <v>0</v>
      </c>
      <c r="R383" t="s">
        <v>145</v>
      </c>
      <c r="S383">
        <v>0</v>
      </c>
    </row>
    <row r="384" spans="1:19">
      <c r="A384" t="s">
        <v>25</v>
      </c>
      <c r="B384" t="s">
        <v>5985</v>
      </c>
      <c r="C384">
        <f>"SGRILLO"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100</v>
      </c>
      <c r="Q384">
        <v>0</v>
      </c>
      <c r="R384" t="s">
        <v>145</v>
      </c>
      <c r="S384">
        <v>0</v>
      </c>
    </row>
    <row r="385" spans="1:19">
      <c r="A385" t="s">
        <v>25</v>
      </c>
      <c r="B385" t="s">
        <v>5986</v>
      </c>
      <c r="C385">
        <f>"SC50"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100</v>
      </c>
      <c r="Q385">
        <v>0</v>
      </c>
      <c r="R385" t="s">
        <v>145</v>
      </c>
      <c r="S385">
        <v>0</v>
      </c>
    </row>
    <row r="386" spans="1:19">
      <c r="A386" t="s">
        <v>25</v>
      </c>
      <c r="B386" t="s">
        <v>6055</v>
      </c>
      <c r="C386">
        <f>"NJ01"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100</v>
      </c>
      <c r="Q386">
        <v>0</v>
      </c>
      <c r="R386" t="s">
        <v>145</v>
      </c>
      <c r="S386">
        <v>0</v>
      </c>
    </row>
    <row r="387" spans="1:19">
      <c r="A387" t="s">
        <v>25</v>
      </c>
      <c r="B387" t="s">
        <v>7451</v>
      </c>
      <c r="C387">
        <f>"S306"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100</v>
      </c>
      <c r="Q387">
        <v>0</v>
      </c>
      <c r="R387" t="s">
        <v>145</v>
      </c>
      <c r="S387">
        <v>0</v>
      </c>
    </row>
    <row r="388" spans="1:19">
      <c r="A388" t="s">
        <v>25</v>
      </c>
      <c r="B388" t="s">
        <v>876</v>
      </c>
      <c r="C388">
        <f>"S0463ROJ"</f>
        <v>0</v>
      </c>
      <c r="D388">
        <v>3</v>
      </c>
      <c r="E388">
        <v>0</v>
      </c>
      <c r="F388">
        <v>0</v>
      </c>
      <c r="G388">
        <v>0</v>
      </c>
      <c r="H388">
        <v>3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100</v>
      </c>
      <c r="Q388">
        <v>0</v>
      </c>
      <c r="R388" t="s">
        <v>145</v>
      </c>
      <c r="S388">
        <v>0</v>
      </c>
    </row>
    <row r="389" spans="1:19">
      <c r="A389" t="s">
        <v>25</v>
      </c>
      <c r="B389" t="s">
        <v>1212</v>
      </c>
      <c r="C389">
        <f>"S0463AZ"</f>
        <v>0</v>
      </c>
      <c r="D389">
        <v>0</v>
      </c>
      <c r="E389">
        <v>0</v>
      </c>
      <c r="F389">
        <v>1</v>
      </c>
      <c r="G389">
        <v>0</v>
      </c>
      <c r="H389">
        <v>1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100</v>
      </c>
      <c r="Q389">
        <v>0</v>
      </c>
      <c r="R389" t="s">
        <v>145</v>
      </c>
      <c r="S389">
        <v>0</v>
      </c>
    </row>
    <row r="390" spans="1:19">
      <c r="A390" t="s">
        <v>25</v>
      </c>
      <c r="B390" t="s">
        <v>1213</v>
      </c>
      <c r="C390">
        <f>"S306V"</f>
        <v>0</v>
      </c>
      <c r="D390">
        <v>0</v>
      </c>
      <c r="E390">
        <v>1</v>
      </c>
      <c r="F390">
        <v>0</v>
      </c>
      <c r="G390">
        <v>0</v>
      </c>
      <c r="H390">
        <v>1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100</v>
      </c>
      <c r="Q390">
        <v>0</v>
      </c>
      <c r="R390" t="s">
        <v>145</v>
      </c>
      <c r="S390">
        <v>0</v>
      </c>
    </row>
    <row r="391" spans="1:19">
      <c r="A391" t="s">
        <v>25</v>
      </c>
      <c r="B391" t="s">
        <v>7526</v>
      </c>
      <c r="C391">
        <f>"S306R"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100</v>
      </c>
      <c r="Q391">
        <v>0</v>
      </c>
      <c r="R391" t="s">
        <v>145</v>
      </c>
      <c r="S391">
        <v>0</v>
      </c>
    </row>
    <row r="392" spans="1:19">
      <c r="A392" t="s">
        <v>25</v>
      </c>
      <c r="B392" t="s">
        <v>8194</v>
      </c>
      <c r="C392">
        <f>"S204MAIZ"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100</v>
      </c>
      <c r="Q392">
        <v>0</v>
      </c>
      <c r="R392" t="s">
        <v>145</v>
      </c>
      <c r="S392">
        <v>0</v>
      </c>
    </row>
    <row r="393" spans="1:19">
      <c r="A393" t="s">
        <v>25</v>
      </c>
      <c r="B393" t="s">
        <v>8212</v>
      </c>
      <c r="C393">
        <f>"53146"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100</v>
      </c>
      <c r="Q393">
        <v>0</v>
      </c>
      <c r="R393" t="s">
        <v>145</v>
      </c>
      <c r="S393">
        <v>0</v>
      </c>
    </row>
    <row r="394" spans="1:19">
      <c r="A394" t="s">
        <v>25</v>
      </c>
      <c r="B394" t="s">
        <v>7537</v>
      </c>
      <c r="C394">
        <f>"RJ156"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100</v>
      </c>
      <c r="Q394">
        <v>0</v>
      </c>
      <c r="R394" t="s">
        <v>145</v>
      </c>
      <c r="S394">
        <v>0</v>
      </c>
    </row>
    <row r="395" spans="1:19">
      <c r="A395" t="s">
        <v>25</v>
      </c>
      <c r="B395" t="s">
        <v>7547</v>
      </c>
      <c r="C395">
        <f>"6715042"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100</v>
      </c>
      <c r="Q395">
        <v>0</v>
      </c>
      <c r="R395" t="s">
        <v>145</v>
      </c>
      <c r="S395">
        <v>0</v>
      </c>
    </row>
    <row r="396" spans="1:19">
      <c r="A396" t="s">
        <v>25</v>
      </c>
      <c r="B396" t="s">
        <v>7548</v>
      </c>
      <c r="C396">
        <f>"AYCS0463"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100</v>
      </c>
      <c r="Q396">
        <v>0</v>
      </c>
      <c r="R396" t="s">
        <v>145</v>
      </c>
      <c r="S396">
        <v>0</v>
      </c>
    </row>
    <row r="397" spans="1:19">
      <c r="A397" t="s">
        <v>25</v>
      </c>
      <c r="B397" t="s">
        <v>7549</v>
      </c>
      <c r="C397">
        <f>"AYCS0462"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100</v>
      </c>
      <c r="Q397">
        <v>0</v>
      </c>
      <c r="R397" t="s">
        <v>145</v>
      </c>
      <c r="S397">
        <v>0</v>
      </c>
    </row>
    <row r="398" spans="1:19">
      <c r="A398" t="s">
        <v>25</v>
      </c>
      <c r="B398" t="s">
        <v>7550</v>
      </c>
      <c r="C398">
        <f>"AYCS0461"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100</v>
      </c>
      <c r="Q398">
        <v>0</v>
      </c>
      <c r="R398" t="s">
        <v>145</v>
      </c>
      <c r="S398">
        <v>0</v>
      </c>
    </row>
    <row r="399" spans="1:19">
      <c r="A399" t="s">
        <v>25</v>
      </c>
      <c r="B399" t="s">
        <v>1185</v>
      </c>
      <c r="C399">
        <f>"S0461"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100</v>
      </c>
      <c r="Q399">
        <v>0</v>
      </c>
      <c r="R399" t="s">
        <v>145</v>
      </c>
      <c r="S399">
        <v>0</v>
      </c>
    </row>
    <row r="400" spans="1:19">
      <c r="A400" t="s">
        <v>25</v>
      </c>
      <c r="B400" t="s">
        <v>7409</v>
      </c>
      <c r="C400">
        <f>"BBC04"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100</v>
      </c>
      <c r="Q400">
        <v>0</v>
      </c>
      <c r="R400" t="s">
        <v>145</v>
      </c>
      <c r="S400">
        <v>0</v>
      </c>
    </row>
    <row r="401" spans="1:19">
      <c r="A401" t="s">
        <v>25</v>
      </c>
      <c r="B401" t="s">
        <v>7376</v>
      </c>
      <c r="C401">
        <f>"RJ505"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100</v>
      </c>
      <c r="Q401">
        <v>0</v>
      </c>
      <c r="R401" t="s">
        <v>145</v>
      </c>
      <c r="S401">
        <v>0</v>
      </c>
    </row>
    <row r="402" spans="1:19">
      <c r="A402" t="s">
        <v>25</v>
      </c>
      <c r="B402" t="s">
        <v>7389</v>
      </c>
      <c r="C402">
        <f>"RJ210"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100</v>
      </c>
      <c r="Q402">
        <v>0</v>
      </c>
      <c r="R402" t="s">
        <v>145</v>
      </c>
      <c r="S402">
        <v>0</v>
      </c>
    </row>
    <row r="403" spans="1:19">
      <c r="A403" t="s">
        <v>25</v>
      </c>
      <c r="B403" t="s">
        <v>7379</v>
      </c>
      <c r="C403">
        <f>"RJ212"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100</v>
      </c>
      <c r="Q403">
        <v>0</v>
      </c>
      <c r="R403" t="s">
        <v>145</v>
      </c>
      <c r="S403">
        <v>0</v>
      </c>
    </row>
    <row r="404" spans="1:19">
      <c r="A404" t="s">
        <v>25</v>
      </c>
      <c r="B404" t="s">
        <v>7380</v>
      </c>
      <c r="C404">
        <f>"RJ213"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100</v>
      </c>
      <c r="Q404">
        <v>0</v>
      </c>
      <c r="R404" t="s">
        <v>145</v>
      </c>
      <c r="S404">
        <v>0</v>
      </c>
    </row>
    <row r="405" spans="1:19">
      <c r="A405" t="s">
        <v>25</v>
      </c>
      <c r="B405" t="s">
        <v>7381</v>
      </c>
      <c r="C405">
        <f>"S616"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100</v>
      </c>
      <c r="Q405">
        <v>0</v>
      </c>
      <c r="R405" t="s">
        <v>145</v>
      </c>
      <c r="S405">
        <v>0</v>
      </c>
    </row>
    <row r="406" spans="1:19">
      <c r="A406" t="s">
        <v>25</v>
      </c>
      <c r="B406" t="s">
        <v>7382</v>
      </c>
      <c r="C406">
        <f>"671408"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100</v>
      </c>
      <c r="Q406">
        <v>0</v>
      </c>
      <c r="R406" t="s">
        <v>145</v>
      </c>
      <c r="S406">
        <v>0</v>
      </c>
    </row>
    <row r="407" spans="1:19">
      <c r="A407" t="s">
        <v>25</v>
      </c>
      <c r="B407" t="s">
        <v>7410</v>
      </c>
      <c r="C407">
        <f>"ZVP1036"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100</v>
      </c>
      <c r="Q407">
        <v>0</v>
      </c>
      <c r="R407" t="s">
        <v>145</v>
      </c>
      <c r="S407">
        <v>0</v>
      </c>
    </row>
    <row r="408" spans="1:19">
      <c r="A408" t="s">
        <v>25</v>
      </c>
      <c r="B408" t="s">
        <v>7606</v>
      </c>
      <c r="C408">
        <f>"RJ141"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100</v>
      </c>
      <c r="Q408">
        <v>0</v>
      </c>
      <c r="R408" t="s">
        <v>145</v>
      </c>
      <c r="S408">
        <v>0</v>
      </c>
    </row>
    <row r="409" spans="1:19">
      <c r="A409" t="s">
        <v>25</v>
      </c>
      <c r="B409" t="s">
        <v>7519</v>
      </c>
      <c r="C409">
        <f>"A3L"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100</v>
      </c>
      <c r="Q409">
        <v>0</v>
      </c>
      <c r="R409" t="s">
        <v>145</v>
      </c>
      <c r="S409">
        <v>0</v>
      </c>
    </row>
    <row r="410" spans="1:19">
      <c r="A410" t="s">
        <v>25</v>
      </c>
      <c r="B410" t="s">
        <v>1185</v>
      </c>
      <c r="C410">
        <f>"S0461VE"</f>
        <v>0</v>
      </c>
      <c r="D410">
        <v>1</v>
      </c>
      <c r="E410">
        <v>0</v>
      </c>
      <c r="F410">
        <v>0</v>
      </c>
      <c r="G410">
        <v>0</v>
      </c>
      <c r="H410">
        <v>1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100</v>
      </c>
      <c r="Q410">
        <v>0</v>
      </c>
      <c r="R410" t="s">
        <v>145</v>
      </c>
      <c r="S410">
        <v>0</v>
      </c>
    </row>
    <row r="411" spans="1:19">
      <c r="A411" t="s">
        <v>25</v>
      </c>
      <c r="B411" t="s">
        <v>7408</v>
      </c>
      <c r="C411">
        <f>"6715043"</f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100</v>
      </c>
      <c r="Q411">
        <v>0</v>
      </c>
      <c r="R411" t="s">
        <v>145</v>
      </c>
      <c r="S411">
        <v>0</v>
      </c>
    </row>
    <row r="412" spans="1:19">
      <c r="A412" t="s">
        <v>25</v>
      </c>
      <c r="B412" t="s">
        <v>1692</v>
      </c>
      <c r="C412">
        <f>"RJ309"</f>
        <v>0</v>
      </c>
      <c r="D412">
        <v>1</v>
      </c>
      <c r="E412">
        <v>3</v>
      </c>
      <c r="F412">
        <v>1</v>
      </c>
      <c r="G412">
        <v>0</v>
      </c>
      <c r="H412">
        <v>5</v>
      </c>
      <c r="I412">
        <v>1</v>
      </c>
      <c r="J412">
        <v>1</v>
      </c>
      <c r="K412">
        <v>1.431</v>
      </c>
      <c r="L412" s="2">
        <v>1</v>
      </c>
      <c r="M412">
        <v>0</v>
      </c>
      <c r="N412" s="2">
        <v>0</v>
      </c>
      <c r="O412">
        <v>-0.2</v>
      </c>
      <c r="P412" t="s">
        <v>100</v>
      </c>
      <c r="Q412">
        <v>0</v>
      </c>
      <c r="R412" t="s">
        <v>145</v>
      </c>
      <c r="S412">
        <v>0</v>
      </c>
    </row>
    <row r="413" spans="1:19">
      <c r="A413" t="s">
        <v>25</v>
      </c>
      <c r="B413" t="s">
        <v>1960</v>
      </c>
      <c r="C413">
        <f>"ZVP4343"</f>
        <v>0</v>
      </c>
      <c r="D413">
        <v>2</v>
      </c>
      <c r="E413">
        <v>0</v>
      </c>
      <c r="F413">
        <v>2</v>
      </c>
      <c r="G413">
        <v>0</v>
      </c>
      <c r="H413">
        <v>4</v>
      </c>
      <c r="I413">
        <v>1</v>
      </c>
      <c r="J413">
        <v>1</v>
      </c>
      <c r="K413">
        <v>2.16</v>
      </c>
      <c r="L413" s="2">
        <v>2</v>
      </c>
      <c r="M413">
        <v>0</v>
      </c>
      <c r="N413" s="2">
        <v>0</v>
      </c>
      <c r="O413">
        <v>-0.2</v>
      </c>
      <c r="P413" t="s">
        <v>100</v>
      </c>
      <c r="Q413">
        <v>0</v>
      </c>
      <c r="R413" t="s">
        <v>145</v>
      </c>
      <c r="S413">
        <v>0</v>
      </c>
    </row>
    <row r="414" spans="1:19">
      <c r="A414" t="s">
        <v>25</v>
      </c>
      <c r="B414" t="s">
        <v>2106</v>
      </c>
      <c r="C414">
        <f>"YB0395"</f>
        <v>0</v>
      </c>
      <c r="D414">
        <v>1</v>
      </c>
      <c r="E414">
        <v>1</v>
      </c>
      <c r="F414">
        <v>1</v>
      </c>
      <c r="G414">
        <v>0</v>
      </c>
      <c r="H414">
        <v>3</v>
      </c>
      <c r="I414">
        <v>1</v>
      </c>
      <c r="J414">
        <v>1</v>
      </c>
      <c r="K414">
        <v>31.86</v>
      </c>
      <c r="L414" s="2">
        <v>32</v>
      </c>
      <c r="M414">
        <v>0</v>
      </c>
      <c r="N414" s="2">
        <v>0</v>
      </c>
      <c r="O414">
        <v>-0.2</v>
      </c>
      <c r="P414" t="s">
        <v>100</v>
      </c>
      <c r="Q414">
        <v>0</v>
      </c>
      <c r="R414" t="s">
        <v>145</v>
      </c>
      <c r="S414">
        <v>0</v>
      </c>
    </row>
    <row r="415" spans="1:19">
      <c r="A415" t="s">
        <v>25</v>
      </c>
      <c r="B415" t="s">
        <v>1663</v>
      </c>
      <c r="C415">
        <f>"R3H"</f>
        <v>0</v>
      </c>
      <c r="D415">
        <v>1</v>
      </c>
      <c r="E415">
        <v>3</v>
      </c>
      <c r="F415">
        <v>6</v>
      </c>
      <c r="G415">
        <v>0</v>
      </c>
      <c r="H415">
        <v>10</v>
      </c>
      <c r="I415">
        <v>2</v>
      </c>
      <c r="J415">
        <v>2</v>
      </c>
      <c r="K415">
        <v>50.22</v>
      </c>
      <c r="L415" s="2">
        <v>25</v>
      </c>
      <c r="M415">
        <v>0</v>
      </c>
      <c r="N415" s="2">
        <v>0</v>
      </c>
      <c r="O415">
        <v>-0.3999999999999999</v>
      </c>
      <c r="P415" t="s">
        <v>100</v>
      </c>
      <c r="Q415">
        <v>0</v>
      </c>
      <c r="R415" t="s">
        <v>145</v>
      </c>
      <c r="S415">
        <v>0</v>
      </c>
    </row>
    <row r="416" spans="1:19">
      <c r="A416" t="s">
        <v>25</v>
      </c>
      <c r="B416" t="s">
        <v>2296</v>
      </c>
      <c r="C416">
        <f>"S101VE"</f>
        <v>0</v>
      </c>
      <c r="D416">
        <v>1</v>
      </c>
      <c r="E416">
        <v>1</v>
      </c>
      <c r="F416">
        <v>0</v>
      </c>
      <c r="G416">
        <v>0</v>
      </c>
      <c r="H416">
        <v>2</v>
      </c>
      <c r="I416">
        <v>0.5</v>
      </c>
      <c r="J416">
        <v>1</v>
      </c>
      <c r="K416">
        <v>4.05</v>
      </c>
      <c r="L416" s="2">
        <v>4</v>
      </c>
      <c r="M416">
        <v>0</v>
      </c>
      <c r="N416" s="2">
        <v>0</v>
      </c>
      <c r="O416">
        <v>-0.7</v>
      </c>
      <c r="P416" t="s">
        <v>100</v>
      </c>
      <c r="Q416">
        <v>0</v>
      </c>
      <c r="R416" t="s">
        <v>145</v>
      </c>
      <c r="S416">
        <v>0</v>
      </c>
    </row>
    <row r="417" spans="1:19">
      <c r="A417" t="s">
        <v>25</v>
      </c>
      <c r="B417" t="s">
        <v>2231</v>
      </c>
      <c r="C417">
        <f>"TR067"</f>
        <v>0</v>
      </c>
      <c r="D417">
        <v>1</v>
      </c>
      <c r="E417">
        <v>0</v>
      </c>
      <c r="F417">
        <v>1</v>
      </c>
      <c r="G417">
        <v>0</v>
      </c>
      <c r="H417">
        <v>2</v>
      </c>
      <c r="I417">
        <v>0.5</v>
      </c>
      <c r="J417">
        <v>1</v>
      </c>
      <c r="K417">
        <v>1.791</v>
      </c>
      <c r="L417" s="2">
        <v>2</v>
      </c>
      <c r="M417">
        <v>0</v>
      </c>
      <c r="N417" s="2">
        <v>0</v>
      </c>
      <c r="O417">
        <v>-0.7</v>
      </c>
      <c r="P417" t="s">
        <v>100</v>
      </c>
      <c r="Q417">
        <v>0</v>
      </c>
      <c r="R417" t="s">
        <v>145</v>
      </c>
      <c r="S417">
        <v>0</v>
      </c>
    </row>
    <row r="418" spans="1:19">
      <c r="A418" t="s">
        <v>25</v>
      </c>
      <c r="B418" t="s">
        <v>2195</v>
      </c>
      <c r="C418">
        <f>"TR066"</f>
        <v>0</v>
      </c>
      <c r="D418">
        <v>0</v>
      </c>
      <c r="E418">
        <v>1</v>
      </c>
      <c r="F418">
        <v>1</v>
      </c>
      <c r="G418">
        <v>0</v>
      </c>
      <c r="H418">
        <v>2</v>
      </c>
      <c r="I418">
        <v>0.5</v>
      </c>
      <c r="J418">
        <v>1</v>
      </c>
      <c r="K418">
        <v>1.521</v>
      </c>
      <c r="L418" s="2">
        <v>2</v>
      </c>
      <c r="M418">
        <v>0</v>
      </c>
      <c r="N418" s="2">
        <v>0</v>
      </c>
      <c r="O418">
        <v>-0.7</v>
      </c>
      <c r="P418" t="s">
        <v>100</v>
      </c>
      <c r="Q418">
        <v>0</v>
      </c>
      <c r="R418" t="s">
        <v>145</v>
      </c>
      <c r="S418">
        <v>0</v>
      </c>
    </row>
    <row r="419" spans="1:19">
      <c r="A419" t="s">
        <v>25</v>
      </c>
      <c r="B419" t="s">
        <v>2125</v>
      </c>
      <c r="C419">
        <f>"MS003"</f>
        <v>0</v>
      </c>
      <c r="D419">
        <v>1</v>
      </c>
      <c r="E419">
        <v>2</v>
      </c>
      <c r="F419">
        <v>0</v>
      </c>
      <c r="G419">
        <v>0</v>
      </c>
      <c r="H419">
        <v>3</v>
      </c>
      <c r="I419">
        <v>0.5</v>
      </c>
      <c r="J419">
        <v>1</v>
      </c>
      <c r="K419">
        <v>2.385</v>
      </c>
      <c r="L419" s="2">
        <v>2</v>
      </c>
      <c r="M419">
        <v>0</v>
      </c>
      <c r="N419" s="2">
        <v>0</v>
      </c>
      <c r="O419">
        <v>-0.7</v>
      </c>
      <c r="P419" t="s">
        <v>100</v>
      </c>
      <c r="Q419">
        <v>0</v>
      </c>
      <c r="R419" t="s">
        <v>145</v>
      </c>
      <c r="S419">
        <v>0</v>
      </c>
    </row>
    <row r="420" spans="1:19">
      <c r="A420" t="s">
        <v>25</v>
      </c>
      <c r="B420" t="s">
        <v>2297</v>
      </c>
      <c r="C420">
        <f>"5103VE"</f>
        <v>0</v>
      </c>
      <c r="D420">
        <v>1</v>
      </c>
      <c r="E420">
        <v>1</v>
      </c>
      <c r="F420">
        <v>0</v>
      </c>
      <c r="G420">
        <v>0</v>
      </c>
      <c r="H420">
        <v>2</v>
      </c>
      <c r="I420">
        <v>0.5</v>
      </c>
      <c r="J420">
        <v>1</v>
      </c>
      <c r="K420">
        <v>8.91</v>
      </c>
      <c r="L420" s="2">
        <v>9</v>
      </c>
      <c r="M420">
        <v>0</v>
      </c>
      <c r="N420" s="2">
        <v>0</v>
      </c>
      <c r="O420">
        <v>-0.7</v>
      </c>
      <c r="P420" t="s">
        <v>100</v>
      </c>
      <c r="Q420">
        <v>0</v>
      </c>
      <c r="R420" t="s">
        <v>145</v>
      </c>
      <c r="S420">
        <v>0</v>
      </c>
    </row>
    <row r="421" spans="1:19">
      <c r="A421" t="s">
        <v>25</v>
      </c>
      <c r="B421" t="s">
        <v>2205</v>
      </c>
      <c r="C421">
        <f>"S498"</f>
        <v>0</v>
      </c>
      <c r="D421">
        <v>1</v>
      </c>
      <c r="E421">
        <v>1</v>
      </c>
      <c r="F421">
        <v>0</v>
      </c>
      <c r="G421">
        <v>0</v>
      </c>
      <c r="H421">
        <v>2</v>
      </c>
      <c r="I421">
        <v>0.5</v>
      </c>
      <c r="J421">
        <v>1</v>
      </c>
      <c r="K421">
        <v>1.791</v>
      </c>
      <c r="L421" s="2">
        <v>2</v>
      </c>
      <c r="M421">
        <v>0</v>
      </c>
      <c r="N421" s="2">
        <v>0</v>
      </c>
      <c r="O421">
        <v>-0.7</v>
      </c>
      <c r="P421" t="s">
        <v>100</v>
      </c>
      <c r="Q421">
        <v>0</v>
      </c>
      <c r="R421" t="s">
        <v>145</v>
      </c>
      <c r="S421">
        <v>0</v>
      </c>
    </row>
    <row r="422" spans="1:19">
      <c r="A422" t="s">
        <v>25</v>
      </c>
      <c r="B422" t="s">
        <v>2108</v>
      </c>
      <c r="C422">
        <f>"6764999"</f>
        <v>0</v>
      </c>
      <c r="D422">
        <v>1</v>
      </c>
      <c r="E422">
        <v>2</v>
      </c>
      <c r="F422">
        <v>0</v>
      </c>
      <c r="G422">
        <v>0</v>
      </c>
      <c r="H422">
        <v>3</v>
      </c>
      <c r="I422">
        <v>0.5</v>
      </c>
      <c r="J422">
        <v>1</v>
      </c>
      <c r="K422">
        <v>1.341</v>
      </c>
      <c r="L422" s="2">
        <v>1</v>
      </c>
      <c r="M422">
        <v>0</v>
      </c>
      <c r="N422" s="2">
        <v>0</v>
      </c>
      <c r="O422">
        <v>-0.7</v>
      </c>
      <c r="P422" t="s">
        <v>100</v>
      </c>
      <c r="Q422">
        <v>0</v>
      </c>
      <c r="R422" t="s">
        <v>145</v>
      </c>
      <c r="S422">
        <v>0</v>
      </c>
    </row>
    <row r="423" spans="1:19">
      <c r="A423" t="s">
        <v>25</v>
      </c>
      <c r="B423" t="s">
        <v>2214</v>
      </c>
      <c r="C423">
        <f>"60812"</f>
        <v>0</v>
      </c>
      <c r="D423">
        <v>1</v>
      </c>
      <c r="E423">
        <v>0</v>
      </c>
      <c r="F423">
        <v>1</v>
      </c>
      <c r="G423">
        <v>0</v>
      </c>
      <c r="H423">
        <v>2</v>
      </c>
      <c r="I423">
        <v>0.5</v>
      </c>
      <c r="J423">
        <v>1</v>
      </c>
      <c r="K423">
        <v>3.024</v>
      </c>
      <c r="L423" s="2">
        <v>3</v>
      </c>
      <c r="M423">
        <v>0</v>
      </c>
      <c r="N423" s="2">
        <v>0</v>
      </c>
      <c r="O423">
        <v>-0.7</v>
      </c>
      <c r="P423" t="s">
        <v>100</v>
      </c>
      <c r="Q423">
        <v>0</v>
      </c>
      <c r="R423" t="s">
        <v>145</v>
      </c>
      <c r="S423">
        <v>0</v>
      </c>
    </row>
    <row r="424" spans="1:19">
      <c r="A424" t="s">
        <v>25</v>
      </c>
      <c r="B424" t="s">
        <v>1694</v>
      </c>
      <c r="C424">
        <f>"ZVP4341"</f>
        <v>0</v>
      </c>
      <c r="D424">
        <v>4</v>
      </c>
      <c r="E424">
        <v>0</v>
      </c>
      <c r="F424">
        <v>1</v>
      </c>
      <c r="G424">
        <v>0</v>
      </c>
      <c r="H424">
        <v>5</v>
      </c>
      <c r="I424">
        <v>0.5</v>
      </c>
      <c r="J424">
        <v>1</v>
      </c>
      <c r="K424">
        <v>2.16</v>
      </c>
      <c r="L424" s="2">
        <v>2</v>
      </c>
      <c r="M424">
        <v>0</v>
      </c>
      <c r="N424" s="2">
        <v>0</v>
      </c>
      <c r="O424">
        <v>-0.7</v>
      </c>
      <c r="P424" t="s">
        <v>100</v>
      </c>
      <c r="Q424">
        <v>0</v>
      </c>
      <c r="R424" t="s">
        <v>145</v>
      </c>
      <c r="S424">
        <v>0</v>
      </c>
    </row>
    <row r="425" spans="1:19">
      <c r="A425" t="s">
        <v>25</v>
      </c>
      <c r="B425" t="s">
        <v>2191</v>
      </c>
      <c r="C425">
        <f>"RY29SRO"</f>
        <v>0</v>
      </c>
      <c r="D425">
        <v>1</v>
      </c>
      <c r="E425">
        <v>1</v>
      </c>
      <c r="F425">
        <v>0</v>
      </c>
      <c r="G425">
        <v>0</v>
      </c>
      <c r="H425">
        <v>2</v>
      </c>
      <c r="I425">
        <v>0.5</v>
      </c>
      <c r="J425">
        <v>1</v>
      </c>
      <c r="K425">
        <v>1.251</v>
      </c>
      <c r="L425" s="2">
        <v>1</v>
      </c>
      <c r="M425">
        <v>0</v>
      </c>
      <c r="N425" s="2">
        <v>0</v>
      </c>
      <c r="O425">
        <v>-0.7</v>
      </c>
      <c r="P425" t="s">
        <v>100</v>
      </c>
      <c r="Q425">
        <v>0</v>
      </c>
      <c r="R425" t="s">
        <v>145</v>
      </c>
      <c r="S425">
        <v>0</v>
      </c>
    </row>
    <row r="426" spans="1:19">
      <c r="A426" t="s">
        <v>25</v>
      </c>
      <c r="B426" t="s">
        <v>2259</v>
      </c>
      <c r="C426">
        <f>"RJ539"</f>
        <v>0</v>
      </c>
      <c r="D426">
        <v>1</v>
      </c>
      <c r="E426">
        <v>0</v>
      </c>
      <c r="F426">
        <v>1</v>
      </c>
      <c r="G426">
        <v>0</v>
      </c>
      <c r="H426">
        <v>2</v>
      </c>
      <c r="I426">
        <v>0.5</v>
      </c>
      <c r="J426">
        <v>1</v>
      </c>
      <c r="K426">
        <v>1.845</v>
      </c>
      <c r="L426" s="2">
        <v>2</v>
      </c>
      <c r="M426">
        <v>0</v>
      </c>
      <c r="N426" s="2">
        <v>0</v>
      </c>
      <c r="O426">
        <v>-0.7</v>
      </c>
      <c r="P426" t="s">
        <v>100</v>
      </c>
      <c r="Q426">
        <v>0</v>
      </c>
      <c r="R426" t="s">
        <v>145</v>
      </c>
      <c r="S426">
        <v>0</v>
      </c>
    </row>
    <row r="427" spans="1:19">
      <c r="A427" t="s">
        <v>25</v>
      </c>
      <c r="B427" t="s">
        <v>2234</v>
      </c>
      <c r="C427">
        <f>"S645"</f>
        <v>0</v>
      </c>
      <c r="D427">
        <v>0</v>
      </c>
      <c r="E427">
        <v>1</v>
      </c>
      <c r="F427">
        <v>1</v>
      </c>
      <c r="G427">
        <v>0</v>
      </c>
      <c r="H427">
        <v>2</v>
      </c>
      <c r="I427">
        <v>0.5</v>
      </c>
      <c r="J427">
        <v>1</v>
      </c>
      <c r="K427">
        <v>12.339</v>
      </c>
      <c r="L427" s="2">
        <v>12</v>
      </c>
      <c r="M427">
        <v>0</v>
      </c>
      <c r="N427" s="2">
        <v>0</v>
      </c>
      <c r="O427">
        <v>-0.7</v>
      </c>
      <c r="P427" t="s">
        <v>100</v>
      </c>
      <c r="Q427">
        <v>0</v>
      </c>
      <c r="R427" t="s">
        <v>145</v>
      </c>
      <c r="S427">
        <v>0</v>
      </c>
    </row>
    <row r="428" spans="1:19">
      <c r="A428" t="s">
        <v>25</v>
      </c>
      <c r="B428" t="s">
        <v>2233</v>
      </c>
      <c r="C428">
        <f>"11ABL"</f>
        <v>0</v>
      </c>
      <c r="D428">
        <v>1</v>
      </c>
      <c r="E428">
        <v>0</v>
      </c>
      <c r="F428">
        <v>1</v>
      </c>
      <c r="G428">
        <v>0</v>
      </c>
      <c r="H428">
        <v>2</v>
      </c>
      <c r="I428">
        <v>0.5</v>
      </c>
      <c r="J428">
        <v>1</v>
      </c>
      <c r="K428">
        <v>7.5</v>
      </c>
      <c r="L428" s="2">
        <v>8</v>
      </c>
      <c r="M428">
        <v>0</v>
      </c>
      <c r="N428" s="2">
        <v>0</v>
      </c>
      <c r="O428">
        <v>-0.7</v>
      </c>
      <c r="P428" t="s">
        <v>100</v>
      </c>
      <c r="Q428">
        <v>0</v>
      </c>
      <c r="R428" t="s">
        <v>145</v>
      </c>
      <c r="S428">
        <v>0</v>
      </c>
    </row>
    <row r="429" spans="1:19">
      <c r="A429" t="s">
        <v>25</v>
      </c>
      <c r="B429" t="s">
        <v>1923</v>
      </c>
      <c r="C429">
        <f>"R1ROS"</f>
        <v>0</v>
      </c>
      <c r="D429">
        <v>2</v>
      </c>
      <c r="E429">
        <v>2</v>
      </c>
      <c r="F429">
        <v>1</v>
      </c>
      <c r="G429">
        <v>0</v>
      </c>
      <c r="H429">
        <v>5</v>
      </c>
      <c r="I429">
        <v>1.5</v>
      </c>
      <c r="J429">
        <v>2</v>
      </c>
      <c r="K429">
        <v>12.366</v>
      </c>
      <c r="L429" s="2">
        <v>6</v>
      </c>
      <c r="M429">
        <v>0</v>
      </c>
      <c r="N429" s="2">
        <v>0</v>
      </c>
      <c r="O429">
        <v>-0.8999999999999999</v>
      </c>
      <c r="P429" t="s">
        <v>100</v>
      </c>
      <c r="Q429">
        <v>0</v>
      </c>
      <c r="R429" t="s">
        <v>145</v>
      </c>
      <c r="S429">
        <v>0</v>
      </c>
    </row>
    <row r="430" spans="1:19">
      <c r="A430" t="s">
        <v>25</v>
      </c>
      <c r="B430" t="s">
        <v>8664</v>
      </c>
      <c r="C430">
        <f>"S20040"</f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1</v>
      </c>
      <c r="K430">
        <v>32.3</v>
      </c>
      <c r="L430" s="2">
        <v>32</v>
      </c>
      <c r="M430">
        <v>0</v>
      </c>
      <c r="N430" s="2">
        <v>0</v>
      </c>
      <c r="O430">
        <v>-1.2</v>
      </c>
      <c r="P430" t="s">
        <v>100</v>
      </c>
      <c r="Q430">
        <v>0</v>
      </c>
      <c r="R430" t="s">
        <v>145</v>
      </c>
      <c r="S430">
        <v>0</v>
      </c>
    </row>
    <row r="431" spans="1:19">
      <c r="A431" t="s">
        <v>25</v>
      </c>
      <c r="B431" t="s">
        <v>2481</v>
      </c>
      <c r="C431">
        <f>"BEP21T"</f>
        <v>0</v>
      </c>
      <c r="D431">
        <v>1</v>
      </c>
      <c r="E431">
        <v>0</v>
      </c>
      <c r="F431">
        <v>0</v>
      </c>
      <c r="G431">
        <v>0</v>
      </c>
      <c r="H431">
        <v>1</v>
      </c>
      <c r="I431">
        <v>0</v>
      </c>
      <c r="J431">
        <v>1</v>
      </c>
      <c r="K431">
        <v>0</v>
      </c>
      <c r="L431" s="2">
        <v>0</v>
      </c>
      <c r="M431">
        <v>0</v>
      </c>
      <c r="N431" s="2">
        <v>0</v>
      </c>
      <c r="O431">
        <v>-1.2</v>
      </c>
      <c r="P431" t="s">
        <v>100</v>
      </c>
      <c r="Q431">
        <v>0</v>
      </c>
      <c r="R431" t="s">
        <v>145</v>
      </c>
      <c r="S431">
        <v>0</v>
      </c>
    </row>
    <row r="432" spans="1:19">
      <c r="A432" t="s">
        <v>25</v>
      </c>
      <c r="B432" t="s">
        <v>4604</v>
      </c>
      <c r="C432">
        <f>"BEP21A"</f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1</v>
      </c>
      <c r="K432">
        <v>0</v>
      </c>
      <c r="L432" s="2">
        <v>0</v>
      </c>
      <c r="M432">
        <v>0</v>
      </c>
      <c r="N432" s="2">
        <v>0</v>
      </c>
      <c r="O432">
        <v>-1.2</v>
      </c>
      <c r="P432" t="s">
        <v>100</v>
      </c>
      <c r="Q432">
        <v>0</v>
      </c>
      <c r="R432" t="s">
        <v>145</v>
      </c>
      <c r="S432">
        <v>0</v>
      </c>
    </row>
    <row r="433" spans="1:19">
      <c r="A433" t="s">
        <v>25</v>
      </c>
      <c r="B433" t="s">
        <v>2199</v>
      </c>
      <c r="C433">
        <f>"MS002"</f>
        <v>0</v>
      </c>
      <c r="D433">
        <v>2</v>
      </c>
      <c r="E433">
        <v>0</v>
      </c>
      <c r="F433">
        <v>0</v>
      </c>
      <c r="G433">
        <v>0</v>
      </c>
      <c r="H433">
        <v>2</v>
      </c>
      <c r="I433">
        <v>0</v>
      </c>
      <c r="J433">
        <v>1</v>
      </c>
      <c r="K433">
        <v>2.241</v>
      </c>
      <c r="L433" s="2">
        <v>2</v>
      </c>
      <c r="M433">
        <v>0</v>
      </c>
      <c r="N433" s="2">
        <v>0</v>
      </c>
      <c r="O433">
        <v>-1.2</v>
      </c>
      <c r="P433" t="s">
        <v>100</v>
      </c>
      <c r="Q433">
        <v>0</v>
      </c>
      <c r="R433" t="s">
        <v>145</v>
      </c>
      <c r="S433">
        <v>0</v>
      </c>
    </row>
    <row r="434" spans="1:19">
      <c r="A434" t="s">
        <v>25</v>
      </c>
      <c r="B434" t="s">
        <v>9778</v>
      </c>
      <c r="C434">
        <f>"NV1531"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1</v>
      </c>
      <c r="K434">
        <v>6.291</v>
      </c>
      <c r="L434" s="2">
        <v>6</v>
      </c>
      <c r="M434">
        <v>0</v>
      </c>
      <c r="N434" s="2">
        <v>0</v>
      </c>
      <c r="O434">
        <v>-1.2</v>
      </c>
      <c r="P434" t="s">
        <v>100</v>
      </c>
      <c r="Q434">
        <v>0</v>
      </c>
      <c r="R434" t="s">
        <v>145</v>
      </c>
      <c r="S434">
        <v>0</v>
      </c>
    </row>
    <row r="435" spans="1:19">
      <c r="A435" t="s">
        <v>25</v>
      </c>
      <c r="B435" t="s">
        <v>2408</v>
      </c>
      <c r="C435">
        <f>"5103AM"</f>
        <v>0</v>
      </c>
      <c r="D435">
        <v>1</v>
      </c>
      <c r="E435">
        <v>0</v>
      </c>
      <c r="F435">
        <v>0</v>
      </c>
      <c r="G435">
        <v>0</v>
      </c>
      <c r="H435">
        <v>1</v>
      </c>
      <c r="I435">
        <v>0</v>
      </c>
      <c r="J435">
        <v>1</v>
      </c>
      <c r="K435">
        <v>9.9</v>
      </c>
      <c r="L435" s="2">
        <v>10</v>
      </c>
      <c r="M435">
        <v>0</v>
      </c>
      <c r="N435" s="2">
        <v>0</v>
      </c>
      <c r="O435">
        <v>-1.2</v>
      </c>
      <c r="P435" t="s">
        <v>100</v>
      </c>
      <c r="Q435">
        <v>0</v>
      </c>
      <c r="R435" t="s">
        <v>145</v>
      </c>
      <c r="S435">
        <v>0</v>
      </c>
    </row>
    <row r="436" spans="1:19">
      <c r="A436" t="s">
        <v>25</v>
      </c>
      <c r="B436" t="s">
        <v>9682</v>
      </c>
      <c r="C436">
        <f>"S305AM"</f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1</v>
      </c>
      <c r="K436">
        <v>7.191</v>
      </c>
      <c r="L436" s="2">
        <v>7</v>
      </c>
      <c r="M436">
        <v>0</v>
      </c>
      <c r="N436" s="2">
        <v>0</v>
      </c>
      <c r="O436">
        <v>-1.2</v>
      </c>
      <c r="P436" t="s">
        <v>100</v>
      </c>
      <c r="Q436">
        <v>0</v>
      </c>
      <c r="R436" t="s">
        <v>145</v>
      </c>
      <c r="S436">
        <v>0</v>
      </c>
    </row>
    <row r="437" spans="1:19">
      <c r="A437" t="s">
        <v>25</v>
      </c>
      <c r="B437" t="s">
        <v>9621</v>
      </c>
      <c r="C437">
        <f>"ZVP5129"</f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1</v>
      </c>
      <c r="K437">
        <v>33.21</v>
      </c>
      <c r="L437" s="2">
        <v>33</v>
      </c>
      <c r="M437">
        <v>0</v>
      </c>
      <c r="N437" s="2">
        <v>0</v>
      </c>
      <c r="O437">
        <v>-1.2</v>
      </c>
      <c r="P437" t="s">
        <v>100</v>
      </c>
      <c r="Q437">
        <v>0</v>
      </c>
      <c r="R437" t="s">
        <v>145</v>
      </c>
      <c r="S437">
        <v>0</v>
      </c>
    </row>
    <row r="438" spans="1:19">
      <c r="A438" t="s">
        <v>25</v>
      </c>
      <c r="B438" t="s">
        <v>5930</v>
      </c>
      <c r="C438">
        <f>"NJ09001"</f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1</v>
      </c>
      <c r="K438">
        <v>3.78</v>
      </c>
      <c r="L438" s="2">
        <v>4</v>
      </c>
      <c r="M438">
        <v>0</v>
      </c>
      <c r="N438" s="2">
        <v>0</v>
      </c>
      <c r="O438">
        <v>-1.2</v>
      </c>
      <c r="P438" t="s">
        <v>100</v>
      </c>
      <c r="Q438">
        <v>0</v>
      </c>
      <c r="R438" t="s">
        <v>145</v>
      </c>
      <c r="S438">
        <v>0</v>
      </c>
    </row>
    <row r="439" spans="1:19">
      <c r="A439" t="s">
        <v>25</v>
      </c>
      <c r="B439" t="s">
        <v>10049</v>
      </c>
      <c r="C439">
        <f>"DR111A"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1</v>
      </c>
      <c r="K439">
        <v>0</v>
      </c>
      <c r="L439" s="2">
        <v>0</v>
      </c>
      <c r="M439">
        <v>0</v>
      </c>
      <c r="N439" s="2">
        <v>0</v>
      </c>
      <c r="O439">
        <v>-1.2</v>
      </c>
      <c r="P439" t="s">
        <v>100</v>
      </c>
      <c r="Q439">
        <v>0</v>
      </c>
      <c r="R439" t="s">
        <v>145</v>
      </c>
      <c r="S439">
        <v>0</v>
      </c>
    </row>
    <row r="440" spans="1:19">
      <c r="A440" t="s">
        <v>25</v>
      </c>
      <c r="B440" t="s">
        <v>5892</v>
      </c>
      <c r="C440">
        <f>"NJ09002"</f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1</v>
      </c>
      <c r="K440">
        <v>3.78</v>
      </c>
      <c r="L440" s="2">
        <v>4</v>
      </c>
      <c r="M440">
        <v>0</v>
      </c>
      <c r="N440" s="2">
        <v>0</v>
      </c>
      <c r="O440">
        <v>-1.2</v>
      </c>
      <c r="P440" t="s">
        <v>100</v>
      </c>
      <c r="Q440">
        <v>0</v>
      </c>
      <c r="R440" t="s">
        <v>145</v>
      </c>
      <c r="S440">
        <v>0</v>
      </c>
    </row>
    <row r="441" spans="1:19">
      <c r="A441" t="s">
        <v>25</v>
      </c>
      <c r="B441" t="s">
        <v>4528</v>
      </c>
      <c r="C441">
        <f>"180BAM"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1</v>
      </c>
      <c r="K441">
        <v>666</v>
      </c>
      <c r="L441" s="2">
        <v>666</v>
      </c>
      <c r="M441">
        <v>0</v>
      </c>
      <c r="N441" s="2">
        <v>0</v>
      </c>
      <c r="O441">
        <v>-1.2</v>
      </c>
      <c r="P441" t="s">
        <v>100</v>
      </c>
      <c r="Q441">
        <v>0</v>
      </c>
      <c r="R441" t="s">
        <v>145</v>
      </c>
      <c r="S441">
        <v>0</v>
      </c>
    </row>
    <row r="442" spans="1:19">
      <c r="A442" t="s">
        <v>25</v>
      </c>
      <c r="B442" t="s">
        <v>10209</v>
      </c>
      <c r="C442">
        <f>"4201VE"</f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1</v>
      </c>
      <c r="K442">
        <v>5.22</v>
      </c>
      <c r="L442" s="2">
        <v>5</v>
      </c>
      <c r="M442">
        <v>0</v>
      </c>
      <c r="N442" s="2">
        <v>0</v>
      </c>
      <c r="O442">
        <v>-1.2</v>
      </c>
      <c r="P442" t="s">
        <v>10343</v>
      </c>
      <c r="Q442">
        <v>-1.044</v>
      </c>
      <c r="R442" t="s">
        <v>10266</v>
      </c>
      <c r="S442">
        <v>0</v>
      </c>
    </row>
    <row r="443" spans="1:19">
      <c r="A443" t="s">
        <v>25</v>
      </c>
      <c r="B443" t="s">
        <v>2499</v>
      </c>
      <c r="C443">
        <f>"S102GR"</f>
        <v>0</v>
      </c>
      <c r="D443">
        <v>1</v>
      </c>
      <c r="E443">
        <v>0</v>
      </c>
      <c r="F443">
        <v>0</v>
      </c>
      <c r="G443">
        <v>0</v>
      </c>
      <c r="H443">
        <v>1</v>
      </c>
      <c r="I443">
        <v>0</v>
      </c>
      <c r="J443">
        <v>1</v>
      </c>
      <c r="K443">
        <v>5.85</v>
      </c>
      <c r="L443" s="2">
        <v>6</v>
      </c>
      <c r="M443">
        <v>0</v>
      </c>
      <c r="N443" s="2">
        <v>0</v>
      </c>
      <c r="O443">
        <v>-1.2</v>
      </c>
      <c r="P443" t="s">
        <v>100</v>
      </c>
      <c r="Q443">
        <v>0</v>
      </c>
      <c r="R443" t="s">
        <v>145</v>
      </c>
      <c r="S443">
        <v>0</v>
      </c>
    </row>
    <row r="444" spans="1:19">
      <c r="A444" t="s">
        <v>25</v>
      </c>
      <c r="B444" t="s">
        <v>4527</v>
      </c>
      <c r="C444">
        <f>"180BROJ"</f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1</v>
      </c>
      <c r="K444">
        <v>666</v>
      </c>
      <c r="L444" s="2">
        <v>666</v>
      </c>
      <c r="M444">
        <v>0</v>
      </c>
      <c r="N444" s="2">
        <v>0</v>
      </c>
      <c r="O444">
        <v>-1.2</v>
      </c>
      <c r="P444" t="s">
        <v>100</v>
      </c>
      <c r="Q444">
        <v>0</v>
      </c>
      <c r="R444" t="s">
        <v>145</v>
      </c>
      <c r="S444">
        <v>0</v>
      </c>
    </row>
    <row r="445" spans="1:19">
      <c r="A445" t="s">
        <v>25</v>
      </c>
      <c r="B445" t="s">
        <v>9286</v>
      </c>
      <c r="C445">
        <f>"PD20014AM"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1</v>
      </c>
      <c r="K445">
        <v>0</v>
      </c>
      <c r="L445" s="2">
        <v>0</v>
      </c>
      <c r="M445">
        <v>0</v>
      </c>
      <c r="N445" s="2">
        <v>0</v>
      </c>
      <c r="O445">
        <v>-1.2</v>
      </c>
      <c r="P445" t="s">
        <v>100</v>
      </c>
      <c r="Q445">
        <v>0</v>
      </c>
      <c r="R445" t="s">
        <v>145</v>
      </c>
      <c r="S445">
        <v>0</v>
      </c>
    </row>
    <row r="446" spans="1:19">
      <c r="A446" t="s">
        <v>25</v>
      </c>
      <c r="B446" t="s">
        <v>9142</v>
      </c>
      <c r="C446">
        <f>"AYCS156"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1</v>
      </c>
      <c r="K446">
        <v>765</v>
      </c>
      <c r="L446" s="2">
        <v>765</v>
      </c>
      <c r="M446">
        <v>0</v>
      </c>
      <c r="N446" s="2">
        <v>0</v>
      </c>
      <c r="O446">
        <v>-1.2</v>
      </c>
      <c r="P446" t="s">
        <v>100</v>
      </c>
      <c r="Q446">
        <v>0</v>
      </c>
      <c r="R446" t="s">
        <v>145</v>
      </c>
      <c r="S446">
        <v>0</v>
      </c>
    </row>
    <row r="447" spans="1:19">
      <c r="A447" t="s">
        <v>25</v>
      </c>
      <c r="B447" t="s">
        <v>2359</v>
      </c>
      <c r="C447">
        <f>"JS015XSRO"</f>
        <v>0</v>
      </c>
      <c r="D447">
        <v>1</v>
      </c>
      <c r="E447">
        <v>0</v>
      </c>
      <c r="F447">
        <v>0</v>
      </c>
      <c r="G447">
        <v>0</v>
      </c>
      <c r="H447">
        <v>1</v>
      </c>
      <c r="I447">
        <v>0</v>
      </c>
      <c r="J447">
        <v>1</v>
      </c>
      <c r="K447">
        <v>2.025</v>
      </c>
      <c r="L447" s="2">
        <v>2</v>
      </c>
      <c r="M447">
        <v>0</v>
      </c>
      <c r="N447" s="2">
        <v>0</v>
      </c>
      <c r="O447">
        <v>-1.2</v>
      </c>
      <c r="P447" t="s">
        <v>100</v>
      </c>
      <c r="Q447">
        <v>0</v>
      </c>
      <c r="R447" t="s">
        <v>145</v>
      </c>
      <c r="S447">
        <v>0</v>
      </c>
    </row>
    <row r="448" spans="1:19">
      <c r="A448" t="s">
        <v>25</v>
      </c>
      <c r="B448" t="s">
        <v>4663</v>
      </c>
      <c r="C448">
        <f>"DPB55"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1</v>
      </c>
      <c r="K448">
        <v>11.691</v>
      </c>
      <c r="L448" s="2">
        <v>12</v>
      </c>
      <c r="M448">
        <v>0</v>
      </c>
      <c r="N448" s="2">
        <v>0</v>
      </c>
      <c r="O448">
        <v>-1.2</v>
      </c>
      <c r="P448" t="s">
        <v>100</v>
      </c>
      <c r="Q448">
        <v>0</v>
      </c>
      <c r="R448" t="s">
        <v>145</v>
      </c>
      <c r="S448">
        <v>0</v>
      </c>
    </row>
    <row r="449" spans="1:19">
      <c r="A449" t="s">
        <v>25</v>
      </c>
      <c r="B449" t="s">
        <v>2069</v>
      </c>
      <c r="C449">
        <f>"LN084"</f>
        <v>0</v>
      </c>
      <c r="D449">
        <v>0</v>
      </c>
      <c r="E449">
        <v>3</v>
      </c>
      <c r="F449">
        <v>0</v>
      </c>
      <c r="G449">
        <v>0</v>
      </c>
      <c r="H449">
        <v>3</v>
      </c>
      <c r="I449">
        <v>0</v>
      </c>
      <c r="J449">
        <v>1</v>
      </c>
      <c r="K449">
        <v>1.791</v>
      </c>
      <c r="L449" s="2">
        <v>2</v>
      </c>
      <c r="M449">
        <v>0</v>
      </c>
      <c r="N449" s="2">
        <v>0</v>
      </c>
      <c r="O449">
        <v>-1.2</v>
      </c>
      <c r="P449" t="s">
        <v>100</v>
      </c>
      <c r="Q449">
        <v>0</v>
      </c>
      <c r="R449" t="s">
        <v>145</v>
      </c>
      <c r="S449">
        <v>0</v>
      </c>
    </row>
    <row r="450" spans="1:19">
      <c r="A450" t="s">
        <v>25</v>
      </c>
      <c r="B450" t="s">
        <v>8961</v>
      </c>
      <c r="C450">
        <f>"S401"</f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1</v>
      </c>
      <c r="K450">
        <v>1.49</v>
      </c>
      <c r="L450" s="2">
        <v>1</v>
      </c>
      <c r="M450">
        <v>0</v>
      </c>
      <c r="N450" s="2">
        <v>0</v>
      </c>
      <c r="O450">
        <v>-1.2</v>
      </c>
      <c r="P450" t="s">
        <v>100</v>
      </c>
      <c r="Q450">
        <v>0</v>
      </c>
      <c r="R450" t="s">
        <v>145</v>
      </c>
      <c r="S450">
        <v>0</v>
      </c>
    </row>
    <row r="451" spans="1:19">
      <c r="A451" t="s">
        <v>25</v>
      </c>
      <c r="B451" t="s">
        <v>9433</v>
      </c>
      <c r="C451">
        <f>"S499"</f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1</v>
      </c>
      <c r="K451">
        <v>3.105</v>
      </c>
      <c r="L451" s="2">
        <v>3</v>
      </c>
      <c r="M451">
        <v>0</v>
      </c>
      <c r="N451" s="2">
        <v>0</v>
      </c>
      <c r="O451">
        <v>-1.2</v>
      </c>
      <c r="P451" t="s">
        <v>100</v>
      </c>
      <c r="Q451">
        <v>0</v>
      </c>
      <c r="R451" t="s">
        <v>145</v>
      </c>
      <c r="S451">
        <v>0</v>
      </c>
    </row>
    <row r="452" spans="1:19">
      <c r="A452" t="s">
        <v>25</v>
      </c>
      <c r="B452" t="s">
        <v>4610</v>
      </c>
      <c r="C452">
        <f>"50542"</f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1</v>
      </c>
      <c r="K452">
        <v>4.05</v>
      </c>
      <c r="L452" s="2">
        <v>4</v>
      </c>
      <c r="M452">
        <v>0</v>
      </c>
      <c r="N452" s="2">
        <v>0</v>
      </c>
      <c r="O452">
        <v>-1.2</v>
      </c>
      <c r="P452" t="s">
        <v>100</v>
      </c>
      <c r="Q452">
        <v>0</v>
      </c>
      <c r="R452" t="s">
        <v>145</v>
      </c>
      <c r="S452">
        <v>0</v>
      </c>
    </row>
    <row r="453" spans="1:19">
      <c r="A453" t="s">
        <v>25</v>
      </c>
      <c r="B453" t="s">
        <v>2061</v>
      </c>
      <c r="C453">
        <f>"BEP20A"</f>
        <v>0</v>
      </c>
      <c r="D453">
        <v>3</v>
      </c>
      <c r="E453">
        <v>0</v>
      </c>
      <c r="F453">
        <v>0</v>
      </c>
      <c r="G453">
        <v>0</v>
      </c>
      <c r="H453">
        <v>3</v>
      </c>
      <c r="I453">
        <v>0</v>
      </c>
      <c r="J453">
        <v>1</v>
      </c>
      <c r="K453">
        <v>1.791</v>
      </c>
      <c r="L453" s="2">
        <v>2</v>
      </c>
      <c r="M453">
        <v>0</v>
      </c>
      <c r="N453" s="2">
        <v>0</v>
      </c>
      <c r="O453">
        <v>-1.2</v>
      </c>
      <c r="P453" t="s">
        <v>100</v>
      </c>
      <c r="Q453">
        <v>0</v>
      </c>
      <c r="R453" t="s">
        <v>145</v>
      </c>
      <c r="S453">
        <v>0</v>
      </c>
    </row>
    <row r="454" spans="1:19">
      <c r="A454" t="s">
        <v>25</v>
      </c>
      <c r="B454" t="s">
        <v>8439</v>
      </c>
      <c r="C454">
        <f>"6765187"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1.755</v>
      </c>
      <c r="L454" s="2">
        <v>2</v>
      </c>
      <c r="M454">
        <v>0</v>
      </c>
      <c r="N454" s="2">
        <v>0</v>
      </c>
      <c r="O454">
        <v>-1.2</v>
      </c>
      <c r="P454" t="s">
        <v>100</v>
      </c>
      <c r="Q454">
        <v>0</v>
      </c>
      <c r="R454" t="s">
        <v>145</v>
      </c>
      <c r="S454">
        <v>0</v>
      </c>
    </row>
    <row r="455" spans="1:19">
      <c r="A455" t="s">
        <v>25</v>
      </c>
      <c r="B455" t="s">
        <v>3809</v>
      </c>
      <c r="C455">
        <f>"MC20"</f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1</v>
      </c>
      <c r="K455">
        <v>23.85</v>
      </c>
      <c r="L455" s="2">
        <v>24</v>
      </c>
      <c r="M455">
        <v>0</v>
      </c>
      <c r="N455" s="2">
        <v>0</v>
      </c>
      <c r="O455">
        <v>-1.2</v>
      </c>
      <c r="P455" t="s">
        <v>100</v>
      </c>
      <c r="Q455">
        <v>0</v>
      </c>
      <c r="R455" t="s">
        <v>145</v>
      </c>
      <c r="S455">
        <v>0</v>
      </c>
    </row>
    <row r="456" spans="1:19">
      <c r="A456" t="s">
        <v>25</v>
      </c>
      <c r="B456" t="s">
        <v>4655</v>
      </c>
      <c r="C456">
        <f>"BEP20T"</f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1</v>
      </c>
      <c r="K456">
        <v>0</v>
      </c>
      <c r="L456" s="2">
        <v>0</v>
      </c>
      <c r="M456">
        <v>0</v>
      </c>
      <c r="N456" s="2">
        <v>0</v>
      </c>
      <c r="O456">
        <v>-1.2</v>
      </c>
      <c r="P456" t="s">
        <v>100</v>
      </c>
      <c r="Q456">
        <v>0</v>
      </c>
      <c r="R456" t="s">
        <v>145</v>
      </c>
      <c r="S456">
        <v>0</v>
      </c>
    </row>
    <row r="457" spans="1:19">
      <c r="A457" t="s">
        <v>25</v>
      </c>
      <c r="B457" t="s">
        <v>3401</v>
      </c>
      <c r="C457">
        <f>"UVB1013"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1</v>
      </c>
      <c r="K457">
        <v>12.105</v>
      </c>
      <c r="L457" s="2">
        <v>12</v>
      </c>
      <c r="M457">
        <v>0</v>
      </c>
      <c r="N457" s="2">
        <v>0</v>
      </c>
      <c r="O457">
        <v>-1.2</v>
      </c>
      <c r="P457" t="s">
        <v>100</v>
      </c>
      <c r="Q457">
        <v>0</v>
      </c>
      <c r="R457" t="s">
        <v>145</v>
      </c>
      <c r="S457">
        <v>0</v>
      </c>
    </row>
    <row r="458" spans="1:19">
      <c r="A458" t="s">
        <v>25</v>
      </c>
      <c r="B458" t="s">
        <v>2023</v>
      </c>
      <c r="C458">
        <f>"ZVP4344"</f>
        <v>0</v>
      </c>
      <c r="D458">
        <v>4</v>
      </c>
      <c r="E458">
        <v>0</v>
      </c>
      <c r="F458">
        <v>0</v>
      </c>
      <c r="G458">
        <v>0</v>
      </c>
      <c r="H458">
        <v>4</v>
      </c>
      <c r="I458">
        <v>0</v>
      </c>
      <c r="J458">
        <v>1</v>
      </c>
      <c r="K458">
        <v>1.755</v>
      </c>
      <c r="L458" s="2">
        <v>2</v>
      </c>
      <c r="M458">
        <v>0</v>
      </c>
      <c r="N458" s="2">
        <v>0</v>
      </c>
      <c r="O458">
        <v>-1.2</v>
      </c>
      <c r="P458" t="s">
        <v>100</v>
      </c>
      <c r="Q458">
        <v>0</v>
      </c>
      <c r="R458" t="s">
        <v>145</v>
      </c>
      <c r="S458">
        <v>0</v>
      </c>
    </row>
    <row r="459" spans="1:19">
      <c r="A459" t="s">
        <v>25</v>
      </c>
      <c r="B459" t="s">
        <v>8869</v>
      </c>
      <c r="C459">
        <f>"RL101"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8.640000000000001</v>
      </c>
      <c r="L459" s="2">
        <v>9</v>
      </c>
      <c r="M459">
        <v>0</v>
      </c>
      <c r="N459" s="2">
        <v>0</v>
      </c>
      <c r="O459">
        <v>-1.2</v>
      </c>
      <c r="P459" t="s">
        <v>100</v>
      </c>
      <c r="Q459">
        <v>0</v>
      </c>
      <c r="R459" t="s">
        <v>145</v>
      </c>
      <c r="S459">
        <v>0</v>
      </c>
    </row>
    <row r="460" spans="1:19">
      <c r="A460" t="s">
        <v>25</v>
      </c>
      <c r="B460" t="s">
        <v>2477</v>
      </c>
      <c r="C460">
        <f>"6765064"</f>
        <v>0</v>
      </c>
      <c r="D460">
        <v>0</v>
      </c>
      <c r="E460">
        <v>0</v>
      </c>
      <c r="F460">
        <v>1</v>
      </c>
      <c r="G460">
        <v>0</v>
      </c>
      <c r="H460">
        <v>1</v>
      </c>
      <c r="I460">
        <v>0</v>
      </c>
      <c r="J460">
        <v>1</v>
      </c>
      <c r="K460">
        <v>1.98</v>
      </c>
      <c r="L460" s="2">
        <v>2</v>
      </c>
      <c r="M460">
        <v>0</v>
      </c>
      <c r="N460" s="2">
        <v>0</v>
      </c>
      <c r="O460">
        <v>-1.2</v>
      </c>
      <c r="P460" t="s">
        <v>100</v>
      </c>
      <c r="Q460">
        <v>0</v>
      </c>
      <c r="R460" t="s">
        <v>145</v>
      </c>
      <c r="S460">
        <v>0</v>
      </c>
    </row>
    <row r="461" spans="1:19">
      <c r="A461" t="s">
        <v>25</v>
      </c>
      <c r="B461" t="s">
        <v>2538</v>
      </c>
      <c r="C461">
        <f>"UOPA"</f>
        <v>0</v>
      </c>
      <c r="D461">
        <v>0</v>
      </c>
      <c r="E461">
        <v>0</v>
      </c>
      <c r="F461">
        <v>1</v>
      </c>
      <c r="G461">
        <v>0</v>
      </c>
      <c r="H461">
        <v>1</v>
      </c>
      <c r="I461">
        <v>0</v>
      </c>
      <c r="J461">
        <v>1</v>
      </c>
      <c r="K461">
        <v>3.57</v>
      </c>
      <c r="L461" s="2">
        <v>4</v>
      </c>
      <c r="M461">
        <v>0</v>
      </c>
      <c r="N461" s="2">
        <v>0</v>
      </c>
      <c r="O461">
        <v>-1.2</v>
      </c>
      <c r="P461" t="s">
        <v>100</v>
      </c>
      <c r="Q461">
        <v>0</v>
      </c>
      <c r="R461" t="s">
        <v>145</v>
      </c>
      <c r="S461">
        <v>0</v>
      </c>
    </row>
    <row r="462" spans="1:19">
      <c r="A462" t="s">
        <v>25</v>
      </c>
      <c r="B462" t="s">
        <v>6158</v>
      </c>
      <c r="C462">
        <f>"DT04"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1</v>
      </c>
      <c r="K462">
        <v>4.313</v>
      </c>
      <c r="L462" s="2">
        <v>4</v>
      </c>
      <c r="M462">
        <v>0</v>
      </c>
      <c r="N462" s="2">
        <v>0</v>
      </c>
      <c r="O462">
        <v>-1.2</v>
      </c>
      <c r="P462" t="s">
        <v>100</v>
      </c>
      <c r="Q462">
        <v>0</v>
      </c>
      <c r="R462" t="s">
        <v>145</v>
      </c>
      <c r="S462">
        <v>0</v>
      </c>
    </row>
    <row r="463" spans="1:19">
      <c r="A463" t="s">
        <v>25</v>
      </c>
      <c r="B463" t="s">
        <v>7518</v>
      </c>
      <c r="C463">
        <f>"A3LAZ"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1</v>
      </c>
      <c r="K463">
        <v>4.05</v>
      </c>
      <c r="L463" s="2">
        <v>4</v>
      </c>
      <c r="M463">
        <v>0</v>
      </c>
      <c r="N463" s="2">
        <v>0</v>
      </c>
      <c r="O463">
        <v>-1.2</v>
      </c>
      <c r="P463" t="s">
        <v>100</v>
      </c>
      <c r="Q463">
        <v>0</v>
      </c>
      <c r="R463" t="s">
        <v>145</v>
      </c>
      <c r="S463">
        <v>0</v>
      </c>
    </row>
    <row r="464" spans="1:19">
      <c r="A464" t="s">
        <v>25</v>
      </c>
      <c r="B464" t="s">
        <v>8211</v>
      </c>
      <c r="C464">
        <f>"53141"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1</v>
      </c>
      <c r="K464">
        <v>2.413</v>
      </c>
      <c r="L464" s="2">
        <v>2</v>
      </c>
      <c r="M464">
        <v>0</v>
      </c>
      <c r="N464" s="2">
        <v>0</v>
      </c>
      <c r="O464">
        <v>-1.2</v>
      </c>
      <c r="P464" t="s">
        <v>100</v>
      </c>
      <c r="Q464">
        <v>0</v>
      </c>
      <c r="R464" t="s">
        <v>145</v>
      </c>
      <c r="S464">
        <v>0</v>
      </c>
    </row>
    <row r="465" spans="1:19">
      <c r="A465" t="s">
        <v>25</v>
      </c>
      <c r="B465" t="s">
        <v>3394</v>
      </c>
      <c r="C465">
        <f>"UVB526"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1</v>
      </c>
      <c r="K465">
        <v>12.51</v>
      </c>
      <c r="L465" s="2">
        <v>13</v>
      </c>
      <c r="M465">
        <v>0</v>
      </c>
      <c r="N465" s="2">
        <v>0</v>
      </c>
      <c r="O465">
        <v>-1.2</v>
      </c>
      <c r="P465" t="s">
        <v>100</v>
      </c>
      <c r="Q465">
        <v>0</v>
      </c>
      <c r="R465" t="s">
        <v>145</v>
      </c>
      <c r="S465">
        <v>0</v>
      </c>
    </row>
    <row r="466" spans="1:19">
      <c r="A466" t="s">
        <v>25</v>
      </c>
      <c r="B466" t="s">
        <v>2052</v>
      </c>
      <c r="C466">
        <f>"LF011"</f>
        <v>0</v>
      </c>
      <c r="D466">
        <v>3</v>
      </c>
      <c r="E466">
        <v>0</v>
      </c>
      <c r="F466">
        <v>0</v>
      </c>
      <c r="G466">
        <v>0</v>
      </c>
      <c r="H466">
        <v>3</v>
      </c>
      <c r="I466">
        <v>0</v>
      </c>
      <c r="J466">
        <v>1</v>
      </c>
      <c r="K466">
        <v>3.141</v>
      </c>
      <c r="L466" s="2">
        <v>3</v>
      </c>
      <c r="M466">
        <v>0</v>
      </c>
      <c r="N466" s="2">
        <v>0</v>
      </c>
      <c r="O466">
        <v>-1.2</v>
      </c>
      <c r="P466" t="s">
        <v>100</v>
      </c>
      <c r="Q466">
        <v>0</v>
      </c>
      <c r="R466" t="s">
        <v>145</v>
      </c>
      <c r="S466">
        <v>0</v>
      </c>
    </row>
    <row r="467" spans="1:19">
      <c r="A467" t="s">
        <v>25</v>
      </c>
      <c r="B467" t="s">
        <v>5182</v>
      </c>
      <c r="C467">
        <f>"s228"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1</v>
      </c>
      <c r="K467">
        <v>1.431</v>
      </c>
      <c r="L467" s="2">
        <v>1</v>
      </c>
      <c r="M467">
        <v>0</v>
      </c>
      <c r="N467" s="2">
        <v>0</v>
      </c>
      <c r="O467">
        <v>-1.2</v>
      </c>
      <c r="P467" t="s">
        <v>100</v>
      </c>
      <c r="Q467">
        <v>0</v>
      </c>
      <c r="R467" t="s">
        <v>145</v>
      </c>
      <c r="S467">
        <v>0</v>
      </c>
    </row>
    <row r="468" spans="1:19">
      <c r="A468" t="s">
        <v>25</v>
      </c>
      <c r="B468" t="s">
        <v>2728</v>
      </c>
      <c r="C468">
        <f>"TR054"</f>
        <v>0</v>
      </c>
      <c r="D468">
        <v>1</v>
      </c>
      <c r="E468">
        <v>0</v>
      </c>
      <c r="F468">
        <v>0</v>
      </c>
      <c r="G468">
        <v>0</v>
      </c>
      <c r="H468">
        <v>1</v>
      </c>
      <c r="I468">
        <v>0</v>
      </c>
      <c r="J468">
        <v>1</v>
      </c>
      <c r="K468">
        <v>1.521</v>
      </c>
      <c r="L468" s="2">
        <v>2</v>
      </c>
      <c r="M468">
        <v>0</v>
      </c>
      <c r="N468" s="2">
        <v>0</v>
      </c>
      <c r="O468">
        <v>-1.2</v>
      </c>
      <c r="P468" t="s">
        <v>100</v>
      </c>
      <c r="Q468">
        <v>0</v>
      </c>
      <c r="R468" t="s">
        <v>145</v>
      </c>
      <c r="S468">
        <v>0</v>
      </c>
    </row>
    <row r="469" spans="1:19">
      <c r="A469" t="s">
        <v>25</v>
      </c>
      <c r="B469" t="s">
        <v>3400</v>
      </c>
      <c r="C469">
        <f>"UVB1026"</f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1</v>
      </c>
      <c r="K469">
        <v>12.591</v>
      </c>
      <c r="L469" s="2">
        <v>13</v>
      </c>
      <c r="M469">
        <v>0</v>
      </c>
      <c r="N469" s="2">
        <v>0</v>
      </c>
      <c r="O469">
        <v>-1.2</v>
      </c>
      <c r="P469" t="s">
        <v>100</v>
      </c>
      <c r="Q469">
        <v>0</v>
      </c>
      <c r="R469" t="s">
        <v>145</v>
      </c>
      <c r="S469">
        <v>0</v>
      </c>
    </row>
    <row r="470" spans="1:19">
      <c r="A470" t="s">
        <v>25</v>
      </c>
      <c r="B470" t="s">
        <v>7538</v>
      </c>
      <c r="C470">
        <f>"721798"</f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1</v>
      </c>
      <c r="K470">
        <v>2.691</v>
      </c>
      <c r="L470" s="2">
        <v>3</v>
      </c>
      <c r="M470">
        <v>0</v>
      </c>
      <c r="N470" s="2">
        <v>0</v>
      </c>
      <c r="O470">
        <v>-1.2</v>
      </c>
      <c r="P470" t="s">
        <v>100</v>
      </c>
      <c r="Q470">
        <v>0</v>
      </c>
      <c r="R470" t="s">
        <v>145</v>
      </c>
      <c r="S470">
        <v>0</v>
      </c>
    </row>
    <row r="471" spans="1:19">
      <c r="A471" t="s">
        <v>25</v>
      </c>
      <c r="B471" t="s">
        <v>3396</v>
      </c>
      <c r="C471">
        <f>"UVB513"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1</v>
      </c>
      <c r="K471">
        <v>11.691</v>
      </c>
      <c r="L471" s="2">
        <v>12</v>
      </c>
      <c r="M471">
        <v>0</v>
      </c>
      <c r="N471" s="2">
        <v>0</v>
      </c>
      <c r="O471">
        <v>-1.2</v>
      </c>
      <c r="P471" t="s">
        <v>100</v>
      </c>
      <c r="Q471">
        <v>0</v>
      </c>
      <c r="R471" t="s">
        <v>145</v>
      </c>
      <c r="S471">
        <v>0</v>
      </c>
    </row>
    <row r="472" spans="1:19">
      <c r="A472" t="s">
        <v>25</v>
      </c>
      <c r="B472" t="s">
        <v>7147</v>
      </c>
      <c r="C472">
        <f>"R22"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26.91</v>
      </c>
      <c r="L472" s="2">
        <v>27</v>
      </c>
      <c r="M472">
        <v>0</v>
      </c>
      <c r="N472" s="2">
        <v>0</v>
      </c>
      <c r="O472">
        <v>-1.2</v>
      </c>
      <c r="P472" t="s">
        <v>100</v>
      </c>
      <c r="Q472">
        <v>0</v>
      </c>
      <c r="R472" t="s">
        <v>145</v>
      </c>
      <c r="S472">
        <v>0</v>
      </c>
    </row>
    <row r="473" spans="1:19">
      <c r="A473" t="s">
        <v>25</v>
      </c>
      <c r="B473" t="s">
        <v>7315</v>
      </c>
      <c r="C473">
        <f>"ZVP1125"</f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1</v>
      </c>
      <c r="K473">
        <v>1.798</v>
      </c>
      <c r="L473" s="2">
        <v>2</v>
      </c>
      <c r="M473">
        <v>0</v>
      </c>
      <c r="N473" s="2">
        <v>0</v>
      </c>
      <c r="O473">
        <v>-1.2</v>
      </c>
      <c r="P473" t="s">
        <v>100</v>
      </c>
      <c r="Q473">
        <v>0</v>
      </c>
      <c r="R473" t="s">
        <v>145</v>
      </c>
      <c r="S473">
        <v>0</v>
      </c>
    </row>
    <row r="474" spans="1:19">
      <c r="A474" t="s">
        <v>25</v>
      </c>
      <c r="B474" t="s">
        <v>3131</v>
      </c>
      <c r="C474">
        <f>"MS008"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</v>
      </c>
      <c r="K474">
        <v>3.285</v>
      </c>
      <c r="L474" s="2">
        <v>3</v>
      </c>
      <c r="M474">
        <v>0</v>
      </c>
      <c r="N474" s="2">
        <v>0</v>
      </c>
      <c r="O474">
        <v>-1.2</v>
      </c>
      <c r="P474" t="s">
        <v>100</v>
      </c>
      <c r="Q474">
        <v>0</v>
      </c>
      <c r="R474" t="s">
        <v>145</v>
      </c>
      <c r="S474">
        <v>0</v>
      </c>
    </row>
    <row r="475" spans="1:19">
      <c r="A475" t="s">
        <v>25</v>
      </c>
      <c r="B475" t="s">
        <v>2080</v>
      </c>
      <c r="C475">
        <f>"YT150"</f>
        <v>0</v>
      </c>
      <c r="D475">
        <v>3</v>
      </c>
      <c r="E475">
        <v>0</v>
      </c>
      <c r="F475">
        <v>0</v>
      </c>
      <c r="G475">
        <v>0</v>
      </c>
      <c r="H475">
        <v>3</v>
      </c>
      <c r="I475">
        <v>0</v>
      </c>
      <c r="J475">
        <v>1</v>
      </c>
      <c r="K475">
        <v>2.205</v>
      </c>
      <c r="L475" s="2">
        <v>2</v>
      </c>
      <c r="M475">
        <v>0</v>
      </c>
      <c r="N475" s="2">
        <v>0</v>
      </c>
      <c r="O475">
        <v>-1.2</v>
      </c>
      <c r="P475" t="s">
        <v>100</v>
      </c>
      <c r="Q475">
        <v>0</v>
      </c>
      <c r="R475" t="s">
        <v>145</v>
      </c>
      <c r="S475">
        <v>0</v>
      </c>
    </row>
    <row r="476" spans="1:19">
      <c r="A476" t="s">
        <v>25</v>
      </c>
      <c r="B476" t="s">
        <v>2721</v>
      </c>
      <c r="C476">
        <f>"MS006"</f>
        <v>0</v>
      </c>
      <c r="D476">
        <v>0</v>
      </c>
      <c r="E476">
        <v>1</v>
      </c>
      <c r="F476">
        <v>0</v>
      </c>
      <c r="G476">
        <v>0</v>
      </c>
      <c r="H476">
        <v>1</v>
      </c>
      <c r="I476">
        <v>0</v>
      </c>
      <c r="J476">
        <v>1</v>
      </c>
      <c r="K476">
        <v>1.755</v>
      </c>
      <c r="L476" s="2">
        <v>2</v>
      </c>
      <c r="M476">
        <v>0</v>
      </c>
      <c r="N476" s="2">
        <v>0</v>
      </c>
      <c r="O476">
        <v>-1.2</v>
      </c>
      <c r="P476" t="s">
        <v>100</v>
      </c>
      <c r="Q476">
        <v>0</v>
      </c>
      <c r="R476" t="s">
        <v>145</v>
      </c>
      <c r="S476">
        <v>0</v>
      </c>
    </row>
    <row r="477" spans="1:19">
      <c r="A477" t="s">
        <v>25</v>
      </c>
      <c r="B477" t="s">
        <v>7145</v>
      </c>
      <c r="C477">
        <f>"YB0395A"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1</v>
      </c>
      <c r="K477">
        <v>31.86</v>
      </c>
      <c r="L477" s="2">
        <v>32</v>
      </c>
      <c r="M477">
        <v>0</v>
      </c>
      <c r="N477" s="2">
        <v>0</v>
      </c>
      <c r="O477">
        <v>-1.2</v>
      </c>
      <c r="P477" t="s">
        <v>100</v>
      </c>
      <c r="Q477">
        <v>0</v>
      </c>
      <c r="R477" t="s">
        <v>145</v>
      </c>
      <c r="S477">
        <v>0</v>
      </c>
    </row>
    <row r="478" spans="1:19">
      <c r="A478" t="s">
        <v>25</v>
      </c>
      <c r="B478" t="s">
        <v>6358</v>
      </c>
      <c r="C478">
        <f>"MS005"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1.755</v>
      </c>
      <c r="L478" s="2">
        <v>2</v>
      </c>
      <c r="M478">
        <v>0</v>
      </c>
      <c r="N478" s="2">
        <v>0</v>
      </c>
      <c r="O478">
        <v>-1.2</v>
      </c>
      <c r="P478" t="s">
        <v>100</v>
      </c>
      <c r="Q478">
        <v>0</v>
      </c>
      <c r="R478" t="s">
        <v>145</v>
      </c>
      <c r="S478">
        <v>0</v>
      </c>
    </row>
    <row r="479" spans="1:19">
      <c r="A479" t="s">
        <v>25</v>
      </c>
      <c r="B479" t="s">
        <v>2504</v>
      </c>
      <c r="C479">
        <f>"0600T"</f>
        <v>0</v>
      </c>
      <c r="D479">
        <v>1</v>
      </c>
      <c r="E479">
        <v>0</v>
      </c>
      <c r="F479">
        <v>0</v>
      </c>
      <c r="G479">
        <v>0</v>
      </c>
      <c r="H479">
        <v>1</v>
      </c>
      <c r="I479">
        <v>0</v>
      </c>
      <c r="J479">
        <v>1</v>
      </c>
      <c r="K479">
        <v>8.090999999999999</v>
      </c>
      <c r="L479" s="2">
        <v>8</v>
      </c>
      <c r="M479">
        <v>0</v>
      </c>
      <c r="N479" s="2">
        <v>0</v>
      </c>
      <c r="O479">
        <v>-1.2</v>
      </c>
      <c r="P479" t="s">
        <v>100</v>
      </c>
      <c r="Q479">
        <v>0</v>
      </c>
      <c r="R479" t="s">
        <v>145</v>
      </c>
      <c r="S479">
        <v>0</v>
      </c>
    </row>
    <row r="480" spans="1:19">
      <c r="A480" t="s">
        <v>25</v>
      </c>
      <c r="B480" t="s">
        <v>2007</v>
      </c>
      <c r="C480">
        <f>"YB0761"</f>
        <v>0</v>
      </c>
      <c r="D480">
        <v>4</v>
      </c>
      <c r="E480">
        <v>0</v>
      </c>
      <c r="F480">
        <v>0</v>
      </c>
      <c r="G480">
        <v>0</v>
      </c>
      <c r="H480">
        <v>4</v>
      </c>
      <c r="I480">
        <v>0</v>
      </c>
      <c r="J480">
        <v>1</v>
      </c>
      <c r="K480">
        <v>20.6</v>
      </c>
      <c r="L480" s="2">
        <v>21</v>
      </c>
      <c r="M480">
        <v>0</v>
      </c>
      <c r="N480" s="2">
        <v>0</v>
      </c>
      <c r="O480">
        <v>-1.2</v>
      </c>
      <c r="P480" t="s">
        <v>100</v>
      </c>
      <c r="Q480">
        <v>0</v>
      </c>
      <c r="R480" t="s">
        <v>145</v>
      </c>
      <c r="S480">
        <v>0</v>
      </c>
    </row>
    <row r="481" spans="1:19">
      <c r="A481" t="s">
        <v>25</v>
      </c>
      <c r="B481" t="s">
        <v>3414</v>
      </c>
      <c r="C481">
        <f>"TR064"</f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</v>
      </c>
      <c r="K481">
        <v>1.521</v>
      </c>
      <c r="L481" s="2">
        <v>2</v>
      </c>
      <c r="M481">
        <v>0</v>
      </c>
      <c r="N481" s="2">
        <v>0</v>
      </c>
      <c r="O481">
        <v>-1.2</v>
      </c>
      <c r="P481" t="s">
        <v>100</v>
      </c>
      <c r="Q481">
        <v>0</v>
      </c>
      <c r="R481" t="s">
        <v>145</v>
      </c>
      <c r="S481">
        <v>0</v>
      </c>
    </row>
    <row r="482" spans="1:19">
      <c r="A482" t="s">
        <v>25</v>
      </c>
      <c r="B482" t="s">
        <v>6119</v>
      </c>
      <c r="C482">
        <f>"00277"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1</v>
      </c>
      <c r="K482">
        <v>1.611</v>
      </c>
      <c r="L482" s="2">
        <v>2</v>
      </c>
      <c r="M482">
        <v>0</v>
      </c>
      <c r="N482" s="2">
        <v>0</v>
      </c>
      <c r="O482">
        <v>-1.2</v>
      </c>
      <c r="P482" t="s">
        <v>100</v>
      </c>
      <c r="Q482">
        <v>0</v>
      </c>
      <c r="R482" t="s">
        <v>145</v>
      </c>
      <c r="S482">
        <v>0</v>
      </c>
    </row>
    <row r="483" spans="1:19">
      <c r="A483" t="s">
        <v>25</v>
      </c>
      <c r="B483" t="s">
        <v>10210</v>
      </c>
      <c r="C483">
        <f>"4201CEL"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5.22</v>
      </c>
      <c r="L483" s="2">
        <v>5</v>
      </c>
      <c r="M483">
        <v>0</v>
      </c>
      <c r="N483" s="2">
        <v>0</v>
      </c>
      <c r="O483">
        <v>-1.2</v>
      </c>
      <c r="P483" t="s">
        <v>10343</v>
      </c>
      <c r="Q483">
        <v>-1.044</v>
      </c>
      <c r="R483" t="s">
        <v>10266</v>
      </c>
      <c r="S483">
        <v>0</v>
      </c>
    </row>
    <row r="484" spans="1:19">
      <c r="A484" t="s">
        <v>25</v>
      </c>
      <c r="B484" t="s">
        <v>3987</v>
      </c>
      <c r="C484">
        <f>"BOXOUC20LL"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1</v>
      </c>
      <c r="K484">
        <v>6.21</v>
      </c>
      <c r="L484" s="2">
        <v>6</v>
      </c>
      <c r="M484">
        <v>0</v>
      </c>
      <c r="N484" s="2">
        <v>0</v>
      </c>
      <c r="O484">
        <v>-1.2</v>
      </c>
      <c r="P484" t="s">
        <v>100</v>
      </c>
      <c r="Q484">
        <v>0</v>
      </c>
      <c r="R484" t="s">
        <v>145</v>
      </c>
      <c r="S484">
        <v>0</v>
      </c>
    </row>
    <row r="485" spans="1:19">
      <c r="A485" t="s">
        <v>25</v>
      </c>
      <c r="B485" t="s">
        <v>8667</v>
      </c>
      <c r="C485">
        <f>"YB092"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1</v>
      </c>
      <c r="K485">
        <v>19.71</v>
      </c>
      <c r="L485" s="2">
        <v>20</v>
      </c>
      <c r="M485">
        <v>0</v>
      </c>
      <c r="N485" s="2">
        <v>0</v>
      </c>
      <c r="O485">
        <v>-1.2</v>
      </c>
      <c r="P485" t="s">
        <v>100</v>
      </c>
      <c r="Q485">
        <v>0</v>
      </c>
      <c r="R485" t="s">
        <v>145</v>
      </c>
      <c r="S485">
        <v>0</v>
      </c>
    </row>
    <row r="486" spans="1:19">
      <c r="A486" t="s">
        <v>25</v>
      </c>
      <c r="B486" t="s">
        <v>2440</v>
      </c>
      <c r="C486">
        <f>"YB092MORVE"</f>
        <v>0</v>
      </c>
      <c r="D486">
        <v>1</v>
      </c>
      <c r="E486">
        <v>0</v>
      </c>
      <c r="F486">
        <v>0</v>
      </c>
      <c r="G486">
        <v>0</v>
      </c>
      <c r="H486">
        <v>1</v>
      </c>
      <c r="I486">
        <v>0</v>
      </c>
      <c r="J486">
        <v>1</v>
      </c>
      <c r="K486">
        <v>19.71</v>
      </c>
      <c r="L486" s="2">
        <v>20</v>
      </c>
      <c r="M486">
        <v>0</v>
      </c>
      <c r="N486" s="2">
        <v>0</v>
      </c>
      <c r="O486">
        <v>-1.2</v>
      </c>
      <c r="P486" t="s">
        <v>100</v>
      </c>
      <c r="Q486">
        <v>0</v>
      </c>
      <c r="R486" t="s">
        <v>145</v>
      </c>
      <c r="S486">
        <v>0</v>
      </c>
    </row>
    <row r="487" spans="1:19">
      <c r="A487" t="s">
        <v>25</v>
      </c>
      <c r="B487" t="s">
        <v>3423</v>
      </c>
      <c r="C487">
        <f>"TD07"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5.85</v>
      </c>
      <c r="L487" s="2">
        <v>6</v>
      </c>
      <c r="M487">
        <v>0</v>
      </c>
      <c r="N487" s="2">
        <v>0</v>
      </c>
      <c r="O487">
        <v>-1.2</v>
      </c>
      <c r="P487" t="s">
        <v>100</v>
      </c>
      <c r="Q487">
        <v>0</v>
      </c>
      <c r="R487" t="s">
        <v>145</v>
      </c>
      <c r="S487">
        <v>0</v>
      </c>
    </row>
    <row r="488" spans="1:19">
      <c r="A488" t="s">
        <v>25</v>
      </c>
      <c r="B488" t="s">
        <v>2956</v>
      </c>
      <c r="C488">
        <f>"0021"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2.421</v>
      </c>
      <c r="L488" s="2">
        <v>2</v>
      </c>
      <c r="M488">
        <v>0</v>
      </c>
      <c r="N488" s="2">
        <v>0</v>
      </c>
      <c r="O488">
        <v>-1.2</v>
      </c>
      <c r="P488" t="s">
        <v>100</v>
      </c>
      <c r="Q488">
        <v>0</v>
      </c>
      <c r="R488" t="s">
        <v>145</v>
      </c>
      <c r="S488">
        <v>0</v>
      </c>
    </row>
    <row r="489" spans="1:19">
      <c r="A489" t="s">
        <v>25</v>
      </c>
      <c r="B489" t="s">
        <v>2665</v>
      </c>
      <c r="C489">
        <f>"ZVP400ZA"</f>
        <v>0</v>
      </c>
      <c r="D489">
        <v>0</v>
      </c>
      <c r="E489">
        <v>0</v>
      </c>
      <c r="F489">
        <v>1</v>
      </c>
      <c r="G489">
        <v>0</v>
      </c>
      <c r="H489">
        <v>1</v>
      </c>
      <c r="I489">
        <v>0</v>
      </c>
      <c r="J489">
        <v>1</v>
      </c>
      <c r="K489">
        <v>891</v>
      </c>
      <c r="L489" s="2">
        <v>891</v>
      </c>
      <c r="M489">
        <v>0</v>
      </c>
      <c r="N489" s="2">
        <v>0</v>
      </c>
      <c r="O489">
        <v>-1.2</v>
      </c>
      <c r="P489" t="s">
        <v>100</v>
      </c>
      <c r="Q489">
        <v>0</v>
      </c>
      <c r="R489" t="s">
        <v>145</v>
      </c>
      <c r="S489">
        <v>0</v>
      </c>
    </row>
    <row r="490" spans="1:19">
      <c r="A490" t="s">
        <v>25</v>
      </c>
      <c r="B490" t="s">
        <v>2716</v>
      </c>
      <c r="C490">
        <f>"YT06"</f>
        <v>0</v>
      </c>
      <c r="D490">
        <v>1</v>
      </c>
      <c r="E490">
        <v>0</v>
      </c>
      <c r="F490">
        <v>0</v>
      </c>
      <c r="G490">
        <v>0</v>
      </c>
      <c r="H490">
        <v>1</v>
      </c>
      <c r="I490">
        <v>0</v>
      </c>
      <c r="J490">
        <v>1</v>
      </c>
      <c r="K490">
        <v>8.91</v>
      </c>
      <c r="L490" s="2">
        <v>9</v>
      </c>
      <c r="M490">
        <v>0</v>
      </c>
      <c r="N490" s="2">
        <v>0</v>
      </c>
      <c r="O490">
        <v>-1.2</v>
      </c>
      <c r="P490" t="s">
        <v>100</v>
      </c>
      <c r="Q490">
        <v>0</v>
      </c>
      <c r="R490" t="s">
        <v>145</v>
      </c>
      <c r="S490">
        <v>0</v>
      </c>
    </row>
    <row r="491" spans="1:19">
      <c r="A491" t="s">
        <v>25</v>
      </c>
      <c r="B491" t="s">
        <v>2521</v>
      </c>
      <c r="C491">
        <f>"b106"</f>
        <v>0</v>
      </c>
      <c r="D491">
        <v>1</v>
      </c>
      <c r="E491">
        <v>0</v>
      </c>
      <c r="F491">
        <v>0</v>
      </c>
      <c r="G491">
        <v>0</v>
      </c>
      <c r="H491">
        <v>1</v>
      </c>
      <c r="I491">
        <v>0</v>
      </c>
      <c r="J491">
        <v>1</v>
      </c>
      <c r="K491">
        <v>2.115</v>
      </c>
      <c r="L491" s="2">
        <v>2</v>
      </c>
      <c r="M491">
        <v>0</v>
      </c>
      <c r="N491" s="2">
        <v>0</v>
      </c>
      <c r="O491">
        <v>-1.2</v>
      </c>
      <c r="P491" t="s">
        <v>100</v>
      </c>
      <c r="Q491">
        <v>0</v>
      </c>
      <c r="R491" t="s">
        <v>145</v>
      </c>
      <c r="S491">
        <v>0</v>
      </c>
    </row>
    <row r="492" spans="1:19">
      <c r="A492" t="s">
        <v>25</v>
      </c>
      <c r="B492" t="s">
        <v>7516</v>
      </c>
      <c r="C492">
        <f>"A3LVE"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1</v>
      </c>
      <c r="K492">
        <v>4.05</v>
      </c>
      <c r="L492" s="2">
        <v>4</v>
      </c>
      <c r="M492">
        <v>0</v>
      </c>
      <c r="N492" s="2">
        <v>0</v>
      </c>
      <c r="O492">
        <v>-1.2</v>
      </c>
      <c r="P492" t="s">
        <v>100</v>
      </c>
      <c r="Q492">
        <v>0</v>
      </c>
      <c r="R492" t="s">
        <v>145</v>
      </c>
      <c r="S492">
        <v>0</v>
      </c>
    </row>
    <row r="493" spans="1:19">
      <c r="A493" t="s">
        <v>25</v>
      </c>
      <c r="B493" t="s">
        <v>6592</v>
      </c>
      <c r="C493">
        <f>"LN506"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1</v>
      </c>
      <c r="K493">
        <v>1.485</v>
      </c>
      <c r="L493" s="2">
        <v>1</v>
      </c>
      <c r="M493">
        <v>0</v>
      </c>
      <c r="N493" s="2">
        <v>0</v>
      </c>
      <c r="O493">
        <v>-1.2</v>
      </c>
      <c r="P493" t="s">
        <v>100</v>
      </c>
      <c r="Q493">
        <v>0</v>
      </c>
      <c r="R493" t="s">
        <v>145</v>
      </c>
      <c r="S493">
        <v>0</v>
      </c>
    </row>
    <row r="494" spans="1:19">
      <c r="A494" t="s">
        <v>25</v>
      </c>
      <c r="B494" t="s">
        <v>7505</v>
      </c>
      <c r="C494">
        <f>"671504"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1</v>
      </c>
      <c r="K494">
        <v>3.27</v>
      </c>
      <c r="L494" s="2">
        <v>3</v>
      </c>
      <c r="M494">
        <v>0</v>
      </c>
      <c r="N494" s="2">
        <v>0</v>
      </c>
      <c r="O494">
        <v>-1.2</v>
      </c>
      <c r="P494" t="s">
        <v>100</v>
      </c>
      <c r="Q494">
        <v>0</v>
      </c>
      <c r="R494" t="s">
        <v>145</v>
      </c>
      <c r="S494">
        <v>0</v>
      </c>
    </row>
    <row r="495" spans="1:19">
      <c r="A495" t="s">
        <v>25</v>
      </c>
      <c r="B495" t="s">
        <v>2171</v>
      </c>
      <c r="C495">
        <f>"S305ROJ"</f>
        <v>0</v>
      </c>
      <c r="D495">
        <v>2</v>
      </c>
      <c r="E495">
        <v>0</v>
      </c>
      <c r="F495">
        <v>0</v>
      </c>
      <c r="G495">
        <v>0</v>
      </c>
      <c r="H495">
        <v>2</v>
      </c>
      <c r="I495">
        <v>0</v>
      </c>
      <c r="J495">
        <v>1</v>
      </c>
      <c r="K495">
        <v>7.191</v>
      </c>
      <c r="L495" s="2">
        <v>7</v>
      </c>
      <c r="M495">
        <v>0</v>
      </c>
      <c r="N495" s="2">
        <v>0</v>
      </c>
      <c r="O495">
        <v>-1.2</v>
      </c>
      <c r="P495" t="s">
        <v>100</v>
      </c>
      <c r="Q495">
        <v>0</v>
      </c>
      <c r="R495" t="s">
        <v>145</v>
      </c>
      <c r="S495">
        <v>0</v>
      </c>
    </row>
    <row r="496" spans="1:19">
      <c r="A496" t="s">
        <v>25</v>
      </c>
      <c r="B496" t="s">
        <v>9334</v>
      </c>
      <c r="C496">
        <f>"53161"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1</v>
      </c>
      <c r="K496">
        <v>3.06</v>
      </c>
      <c r="L496" s="2">
        <v>3</v>
      </c>
      <c r="M496">
        <v>0</v>
      </c>
      <c r="N496" s="2">
        <v>0</v>
      </c>
      <c r="O496">
        <v>-1.2</v>
      </c>
      <c r="P496" t="s">
        <v>100</v>
      </c>
      <c r="Q496">
        <v>0</v>
      </c>
      <c r="R496" t="s">
        <v>145</v>
      </c>
      <c r="S496">
        <v>0</v>
      </c>
    </row>
    <row r="497" spans="1:19">
      <c r="A497" t="s">
        <v>25</v>
      </c>
      <c r="B497" t="s">
        <v>3711</v>
      </c>
      <c r="C497">
        <f>"919CE"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</v>
      </c>
      <c r="K497">
        <v>7.191</v>
      </c>
      <c r="L497" s="2">
        <v>7</v>
      </c>
      <c r="M497">
        <v>0</v>
      </c>
      <c r="N497" s="2">
        <v>0</v>
      </c>
      <c r="O497">
        <v>-1.2</v>
      </c>
      <c r="P497" t="s">
        <v>100</v>
      </c>
      <c r="Q497">
        <v>0</v>
      </c>
      <c r="R497" t="s">
        <v>145</v>
      </c>
      <c r="S497">
        <v>0</v>
      </c>
    </row>
    <row r="498" spans="1:19">
      <c r="A498" t="s">
        <v>25</v>
      </c>
      <c r="B498" t="s">
        <v>5939</v>
      </c>
      <c r="C498">
        <f>"SILK1KG"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8.01</v>
      </c>
      <c r="L498" s="2">
        <v>8</v>
      </c>
      <c r="M498">
        <v>0</v>
      </c>
      <c r="N498" s="2">
        <v>0</v>
      </c>
      <c r="O498">
        <v>-1.2</v>
      </c>
      <c r="P498" t="s">
        <v>100</v>
      </c>
      <c r="Q498">
        <v>0</v>
      </c>
      <c r="R498" t="s">
        <v>145</v>
      </c>
      <c r="S498">
        <v>0</v>
      </c>
    </row>
    <row r="499" spans="1:19">
      <c r="A499" t="s">
        <v>25</v>
      </c>
      <c r="B499" t="s">
        <v>3710</v>
      </c>
      <c r="C499">
        <f>"919NA"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</v>
      </c>
      <c r="K499">
        <v>7.191</v>
      </c>
      <c r="L499" s="2">
        <v>7</v>
      </c>
      <c r="M499">
        <v>0</v>
      </c>
      <c r="N499" s="2">
        <v>0</v>
      </c>
      <c r="O499">
        <v>-1.2</v>
      </c>
      <c r="P499" t="s">
        <v>100</v>
      </c>
      <c r="Q499">
        <v>0</v>
      </c>
      <c r="R499" t="s">
        <v>145</v>
      </c>
      <c r="S499">
        <v>0</v>
      </c>
    </row>
    <row r="500" spans="1:19">
      <c r="A500" t="s">
        <v>25</v>
      </c>
      <c r="B500" t="s">
        <v>9801</v>
      </c>
      <c r="C500">
        <f>"53121"</f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1</v>
      </c>
      <c r="K500">
        <v>2.961</v>
      </c>
      <c r="L500" s="2">
        <v>3</v>
      </c>
      <c r="M500">
        <v>0</v>
      </c>
      <c r="N500" s="2">
        <v>0</v>
      </c>
      <c r="O500">
        <v>-1.2</v>
      </c>
      <c r="P500" t="s">
        <v>100</v>
      </c>
      <c r="Q500">
        <v>0</v>
      </c>
      <c r="R500" t="s">
        <v>145</v>
      </c>
      <c r="S500">
        <v>0</v>
      </c>
    </row>
    <row r="501" spans="1:19">
      <c r="A501" t="s">
        <v>25</v>
      </c>
      <c r="B501" t="s">
        <v>6175</v>
      </c>
      <c r="C501">
        <f>"RJ724"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1.485</v>
      </c>
      <c r="L501" s="2">
        <v>1</v>
      </c>
      <c r="M501">
        <v>0</v>
      </c>
      <c r="N501" s="2">
        <v>0</v>
      </c>
      <c r="O501">
        <v>-1.2</v>
      </c>
      <c r="P501" t="s">
        <v>100</v>
      </c>
      <c r="Q501">
        <v>0</v>
      </c>
      <c r="R501" t="s">
        <v>145</v>
      </c>
      <c r="S501">
        <v>0</v>
      </c>
    </row>
    <row r="502" spans="1:19">
      <c r="A502" t="s">
        <v>25</v>
      </c>
      <c r="B502" t="s">
        <v>8741</v>
      </c>
      <c r="C502">
        <f>"157"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1</v>
      </c>
      <c r="K502">
        <v>6.21</v>
      </c>
      <c r="L502" s="2">
        <v>6</v>
      </c>
      <c r="M502">
        <v>0</v>
      </c>
      <c r="N502" s="2">
        <v>0</v>
      </c>
      <c r="O502">
        <v>-1.2</v>
      </c>
      <c r="P502" t="s">
        <v>100</v>
      </c>
      <c r="Q502">
        <v>0</v>
      </c>
      <c r="R502" t="s">
        <v>145</v>
      </c>
      <c r="S502">
        <v>0</v>
      </c>
    </row>
    <row r="503" spans="1:19">
      <c r="A503" t="s">
        <v>25</v>
      </c>
      <c r="B503" t="s">
        <v>2100</v>
      </c>
      <c r="C503">
        <f>"S308ROS"</f>
        <v>0</v>
      </c>
      <c r="D503">
        <v>1</v>
      </c>
      <c r="E503">
        <v>1</v>
      </c>
      <c r="F503">
        <v>1</v>
      </c>
      <c r="G503">
        <v>0</v>
      </c>
      <c r="H503">
        <v>3</v>
      </c>
      <c r="I503">
        <v>1</v>
      </c>
      <c r="J503">
        <v>2</v>
      </c>
      <c r="K503">
        <v>6.12</v>
      </c>
      <c r="L503" s="2">
        <v>3</v>
      </c>
      <c r="M503">
        <v>0</v>
      </c>
      <c r="N503" s="2">
        <v>0</v>
      </c>
      <c r="O503">
        <v>-1.4</v>
      </c>
      <c r="P503" t="s">
        <v>100</v>
      </c>
      <c r="Q503">
        <v>0</v>
      </c>
      <c r="R503" t="s">
        <v>145</v>
      </c>
      <c r="S503">
        <v>0</v>
      </c>
    </row>
    <row r="504" spans="1:19">
      <c r="A504" t="s">
        <v>25</v>
      </c>
      <c r="B504" t="s">
        <v>1921</v>
      </c>
      <c r="C504">
        <f>"YB0393"</f>
        <v>0</v>
      </c>
      <c r="D504">
        <v>3</v>
      </c>
      <c r="E504">
        <v>1</v>
      </c>
      <c r="F504">
        <v>1</v>
      </c>
      <c r="G504">
        <v>0</v>
      </c>
      <c r="H504">
        <v>5</v>
      </c>
      <c r="I504">
        <v>1</v>
      </c>
      <c r="J504">
        <v>2</v>
      </c>
      <c r="K504">
        <v>28.728</v>
      </c>
      <c r="L504" s="2">
        <v>14</v>
      </c>
      <c r="M504">
        <v>0</v>
      </c>
      <c r="N504" s="2">
        <v>0</v>
      </c>
      <c r="O504">
        <v>-1.4</v>
      </c>
      <c r="P504" t="s">
        <v>100</v>
      </c>
      <c r="Q504">
        <v>0</v>
      </c>
      <c r="R504" t="s">
        <v>145</v>
      </c>
      <c r="S504">
        <v>0</v>
      </c>
    </row>
    <row r="505" spans="1:19">
      <c r="A505" t="s">
        <v>25</v>
      </c>
      <c r="B505" t="s">
        <v>2011</v>
      </c>
      <c r="C505">
        <f>"S102VE"</f>
        <v>0</v>
      </c>
      <c r="D505">
        <v>2</v>
      </c>
      <c r="E505">
        <v>1</v>
      </c>
      <c r="F505">
        <v>1</v>
      </c>
      <c r="G505">
        <v>0</v>
      </c>
      <c r="H505">
        <v>4</v>
      </c>
      <c r="I505">
        <v>1</v>
      </c>
      <c r="J505">
        <v>2</v>
      </c>
      <c r="K505">
        <v>11.7</v>
      </c>
      <c r="L505" s="2">
        <v>6</v>
      </c>
      <c r="M505">
        <v>0</v>
      </c>
      <c r="N505" s="2">
        <v>0</v>
      </c>
      <c r="O505">
        <v>-1.4</v>
      </c>
      <c r="P505" t="s">
        <v>100</v>
      </c>
      <c r="Q505">
        <v>0</v>
      </c>
      <c r="R505" t="s">
        <v>145</v>
      </c>
      <c r="S505">
        <v>0</v>
      </c>
    </row>
    <row r="506" spans="1:19">
      <c r="A506" t="s">
        <v>25</v>
      </c>
      <c r="B506" t="s">
        <v>1993</v>
      </c>
      <c r="C506">
        <f>"M020"</f>
        <v>0</v>
      </c>
      <c r="D506">
        <v>2</v>
      </c>
      <c r="E506">
        <v>2</v>
      </c>
      <c r="F506">
        <v>0</v>
      </c>
      <c r="G506">
        <v>0</v>
      </c>
      <c r="H506">
        <v>4</v>
      </c>
      <c r="I506">
        <v>1</v>
      </c>
      <c r="J506">
        <v>2</v>
      </c>
      <c r="K506">
        <v>24.3</v>
      </c>
      <c r="L506" s="2">
        <v>12</v>
      </c>
      <c r="M506">
        <v>0</v>
      </c>
      <c r="N506" s="2">
        <v>0</v>
      </c>
      <c r="O506">
        <v>-1.4</v>
      </c>
      <c r="P506" t="s">
        <v>100</v>
      </c>
      <c r="Q506">
        <v>0</v>
      </c>
      <c r="R506" t="s">
        <v>145</v>
      </c>
      <c r="S506">
        <v>0</v>
      </c>
    </row>
    <row r="507" spans="1:19">
      <c r="A507" t="s">
        <v>25</v>
      </c>
      <c r="B507" t="s">
        <v>617</v>
      </c>
      <c r="C507">
        <f>"HD9070"</f>
        <v>0</v>
      </c>
      <c r="D507">
        <v>1</v>
      </c>
      <c r="E507">
        <v>0</v>
      </c>
      <c r="F507">
        <v>0</v>
      </c>
      <c r="G507">
        <v>1</v>
      </c>
      <c r="H507">
        <v>2</v>
      </c>
      <c r="I507">
        <v>0.5</v>
      </c>
      <c r="J507">
        <v>6</v>
      </c>
      <c r="K507">
        <v>18.63</v>
      </c>
      <c r="L507" s="2">
        <v>3</v>
      </c>
      <c r="M507">
        <v>0</v>
      </c>
      <c r="N507" s="2">
        <v>0</v>
      </c>
      <c r="O507">
        <v>-1.699999999999999</v>
      </c>
      <c r="P507" t="s">
        <v>10344</v>
      </c>
      <c r="Q507">
        <v>306</v>
      </c>
      <c r="R507" t="s">
        <v>10379</v>
      </c>
      <c r="S507">
        <v>1</v>
      </c>
    </row>
    <row r="508" spans="1:19">
      <c r="A508" t="s">
        <v>25</v>
      </c>
      <c r="B508" t="s">
        <v>1926</v>
      </c>
      <c r="C508">
        <f>"ZVP1140"</f>
        <v>0</v>
      </c>
      <c r="D508">
        <v>1</v>
      </c>
      <c r="E508">
        <v>4</v>
      </c>
      <c r="F508">
        <v>0</v>
      </c>
      <c r="G508">
        <v>0</v>
      </c>
      <c r="H508">
        <v>5</v>
      </c>
      <c r="I508">
        <v>0.5</v>
      </c>
      <c r="J508">
        <v>2</v>
      </c>
      <c r="K508">
        <v>2.088</v>
      </c>
      <c r="L508" s="2">
        <v>1</v>
      </c>
      <c r="M508">
        <v>0</v>
      </c>
      <c r="N508" s="2">
        <v>0</v>
      </c>
      <c r="O508">
        <v>-1.9</v>
      </c>
      <c r="P508" t="s">
        <v>100</v>
      </c>
      <c r="Q508">
        <v>0</v>
      </c>
      <c r="R508" t="s">
        <v>145</v>
      </c>
      <c r="S508">
        <v>0</v>
      </c>
    </row>
    <row r="509" spans="1:19">
      <c r="A509" t="s">
        <v>25</v>
      </c>
      <c r="B509" t="s">
        <v>2099</v>
      </c>
      <c r="C509">
        <f>"S308AZ"</f>
        <v>0</v>
      </c>
      <c r="D509">
        <v>1</v>
      </c>
      <c r="E509">
        <v>0</v>
      </c>
      <c r="F509">
        <v>2</v>
      </c>
      <c r="G509">
        <v>0</v>
      </c>
      <c r="H509">
        <v>3</v>
      </c>
      <c r="I509">
        <v>0.5</v>
      </c>
      <c r="J509">
        <v>2</v>
      </c>
      <c r="K509">
        <v>6.12</v>
      </c>
      <c r="L509" s="2">
        <v>3</v>
      </c>
      <c r="M509">
        <v>0</v>
      </c>
      <c r="N509" s="2">
        <v>0</v>
      </c>
      <c r="O509">
        <v>-1.9</v>
      </c>
      <c r="P509" t="s">
        <v>100</v>
      </c>
      <c r="Q509">
        <v>0</v>
      </c>
      <c r="R509" t="s">
        <v>145</v>
      </c>
      <c r="S509">
        <v>0</v>
      </c>
    </row>
    <row r="510" spans="1:19">
      <c r="A510" t="s">
        <v>25</v>
      </c>
      <c r="B510" t="s">
        <v>2159</v>
      </c>
      <c r="C510">
        <f>"NX17"</f>
        <v>0</v>
      </c>
      <c r="D510">
        <v>1</v>
      </c>
      <c r="E510">
        <v>1</v>
      </c>
      <c r="F510">
        <v>0</v>
      </c>
      <c r="G510">
        <v>0</v>
      </c>
      <c r="H510">
        <v>2</v>
      </c>
      <c r="I510">
        <v>0.5</v>
      </c>
      <c r="J510">
        <v>2</v>
      </c>
      <c r="K510">
        <v>124.2</v>
      </c>
      <c r="L510" s="2">
        <v>62</v>
      </c>
      <c r="M510">
        <v>0</v>
      </c>
      <c r="N510" s="2">
        <v>0</v>
      </c>
      <c r="O510">
        <v>-1.9</v>
      </c>
      <c r="P510" t="s">
        <v>100</v>
      </c>
      <c r="Q510">
        <v>0</v>
      </c>
      <c r="R510" t="s">
        <v>145</v>
      </c>
      <c r="S510">
        <v>0</v>
      </c>
    </row>
    <row r="511" spans="1:19">
      <c r="A511" t="s">
        <v>25</v>
      </c>
      <c r="B511" t="s">
        <v>510</v>
      </c>
      <c r="C511">
        <f>"ZVP1110"</f>
        <v>0</v>
      </c>
      <c r="D511">
        <v>3</v>
      </c>
      <c r="E511">
        <v>1</v>
      </c>
      <c r="F511">
        <v>3</v>
      </c>
      <c r="G511">
        <v>1</v>
      </c>
      <c r="H511">
        <v>8</v>
      </c>
      <c r="I511">
        <v>2</v>
      </c>
      <c r="J511">
        <v>5</v>
      </c>
      <c r="K511">
        <v>8.055</v>
      </c>
      <c r="L511" s="2">
        <v>2</v>
      </c>
      <c r="M511">
        <v>0</v>
      </c>
      <c r="N511" s="2">
        <v>0</v>
      </c>
      <c r="O511">
        <v>-2</v>
      </c>
      <c r="P511" t="s">
        <v>10318</v>
      </c>
      <c r="Q511">
        <v>313</v>
      </c>
      <c r="R511" t="s">
        <v>10380</v>
      </c>
      <c r="S511">
        <v>0</v>
      </c>
    </row>
    <row r="512" spans="1:19">
      <c r="A512" t="s">
        <v>25</v>
      </c>
      <c r="B512" t="s">
        <v>2334</v>
      </c>
      <c r="C512">
        <f>"M018"</f>
        <v>0</v>
      </c>
      <c r="D512">
        <v>0</v>
      </c>
      <c r="E512">
        <v>0</v>
      </c>
      <c r="F512">
        <v>0</v>
      </c>
      <c r="G512">
        <v>1</v>
      </c>
      <c r="H512">
        <v>1</v>
      </c>
      <c r="I512">
        <v>0</v>
      </c>
      <c r="J512">
        <v>6</v>
      </c>
      <c r="K512">
        <v>65.755</v>
      </c>
      <c r="L512" s="2">
        <v>11</v>
      </c>
      <c r="M512">
        <v>0</v>
      </c>
      <c r="N512" s="2">
        <v>0</v>
      </c>
      <c r="O512">
        <v>-2.199999999999999</v>
      </c>
      <c r="P512" t="s">
        <v>10345</v>
      </c>
      <c r="Q512">
        <v>1.65</v>
      </c>
      <c r="R512" t="s">
        <v>10381</v>
      </c>
      <c r="S512">
        <v>1</v>
      </c>
    </row>
    <row r="513" spans="1:19">
      <c r="A513" t="s">
        <v>25</v>
      </c>
      <c r="B513" t="s">
        <v>9087</v>
      </c>
      <c r="C513">
        <f>"6765200"</f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2</v>
      </c>
      <c r="K513">
        <v>2.322</v>
      </c>
      <c r="L513" s="2">
        <v>1</v>
      </c>
      <c r="M513">
        <v>0</v>
      </c>
      <c r="N513" s="2">
        <v>0</v>
      </c>
      <c r="O513">
        <v>-2.4</v>
      </c>
      <c r="P513" t="s">
        <v>100</v>
      </c>
      <c r="Q513">
        <v>0</v>
      </c>
      <c r="R513" t="s">
        <v>145</v>
      </c>
      <c r="S513">
        <v>0</v>
      </c>
    </row>
    <row r="514" spans="1:19">
      <c r="A514" t="s">
        <v>25</v>
      </c>
      <c r="B514" t="s">
        <v>2508</v>
      </c>
      <c r="C514">
        <f>"AYCS169"</f>
        <v>0</v>
      </c>
      <c r="D514">
        <v>0</v>
      </c>
      <c r="E514">
        <v>0</v>
      </c>
      <c r="F514">
        <v>1</v>
      </c>
      <c r="G514">
        <v>0</v>
      </c>
      <c r="H514">
        <v>1</v>
      </c>
      <c r="I514">
        <v>0</v>
      </c>
      <c r="J514">
        <v>2</v>
      </c>
      <c r="K514">
        <v>3.222</v>
      </c>
      <c r="L514" s="2">
        <v>2</v>
      </c>
      <c r="M514">
        <v>0</v>
      </c>
      <c r="N514" s="2">
        <v>0</v>
      </c>
      <c r="O514">
        <v>-2.4</v>
      </c>
      <c r="P514" t="s">
        <v>100</v>
      </c>
      <c r="Q514">
        <v>0</v>
      </c>
      <c r="R514" t="s">
        <v>145</v>
      </c>
      <c r="S514">
        <v>0</v>
      </c>
    </row>
    <row r="515" spans="1:19">
      <c r="A515" t="s">
        <v>25</v>
      </c>
      <c r="B515" t="s">
        <v>5404</v>
      </c>
      <c r="C515">
        <f>"ZVP1032"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2</v>
      </c>
      <c r="K515">
        <v>2.79</v>
      </c>
      <c r="L515" s="2">
        <v>1</v>
      </c>
      <c r="M515">
        <v>0</v>
      </c>
      <c r="N515" s="2">
        <v>0</v>
      </c>
      <c r="O515">
        <v>-2.4</v>
      </c>
      <c r="P515" t="s">
        <v>100</v>
      </c>
      <c r="Q515">
        <v>0</v>
      </c>
      <c r="R515" t="s">
        <v>145</v>
      </c>
      <c r="S515">
        <v>0</v>
      </c>
    </row>
    <row r="516" spans="1:19">
      <c r="A516" t="s">
        <v>25</v>
      </c>
      <c r="B516" t="s">
        <v>4653</v>
      </c>
      <c r="C516">
        <f>"LF010"</f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2</v>
      </c>
      <c r="K516">
        <v>8.262</v>
      </c>
      <c r="L516" s="2">
        <v>4</v>
      </c>
      <c r="M516">
        <v>0</v>
      </c>
      <c r="N516" s="2">
        <v>0</v>
      </c>
      <c r="O516">
        <v>-2.4</v>
      </c>
      <c r="P516" t="s">
        <v>100</v>
      </c>
      <c r="Q516">
        <v>0</v>
      </c>
      <c r="R516" t="s">
        <v>145</v>
      </c>
      <c r="S516">
        <v>0</v>
      </c>
    </row>
    <row r="517" spans="1:19">
      <c r="A517" t="s">
        <v>25</v>
      </c>
      <c r="B517" t="s">
        <v>2135</v>
      </c>
      <c r="C517">
        <f>"M022B"</f>
        <v>0</v>
      </c>
      <c r="D517">
        <v>3</v>
      </c>
      <c r="E517">
        <v>0</v>
      </c>
      <c r="F517">
        <v>0</v>
      </c>
      <c r="G517">
        <v>0</v>
      </c>
      <c r="H517">
        <v>3</v>
      </c>
      <c r="I517">
        <v>0</v>
      </c>
      <c r="J517">
        <v>2</v>
      </c>
      <c r="K517">
        <v>32.346</v>
      </c>
      <c r="L517" s="2">
        <v>16</v>
      </c>
      <c r="M517">
        <v>0</v>
      </c>
      <c r="N517" s="2">
        <v>0</v>
      </c>
      <c r="O517">
        <v>-2.4</v>
      </c>
      <c r="P517" t="s">
        <v>100</v>
      </c>
      <c r="Q517">
        <v>0</v>
      </c>
      <c r="R517" t="s">
        <v>145</v>
      </c>
      <c r="S517">
        <v>0</v>
      </c>
    </row>
    <row r="518" spans="1:19">
      <c r="A518" t="s">
        <v>25</v>
      </c>
      <c r="B518" t="s">
        <v>9643</v>
      </c>
      <c r="C518">
        <f>"PD20014VXS"</f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2</v>
      </c>
      <c r="K518">
        <v>0</v>
      </c>
      <c r="L518" s="2">
        <v>0</v>
      </c>
      <c r="M518">
        <v>0</v>
      </c>
      <c r="N518" s="2">
        <v>0</v>
      </c>
      <c r="O518">
        <v>-2.4</v>
      </c>
      <c r="P518" t="s">
        <v>100</v>
      </c>
      <c r="Q518">
        <v>0</v>
      </c>
      <c r="R518" t="s">
        <v>145</v>
      </c>
      <c r="S518">
        <v>0</v>
      </c>
    </row>
    <row r="519" spans="1:19">
      <c r="A519" t="s">
        <v>25</v>
      </c>
      <c r="B519" t="s">
        <v>2190</v>
      </c>
      <c r="C519">
        <f>"RJ308"</f>
        <v>0</v>
      </c>
      <c r="D519">
        <v>0</v>
      </c>
      <c r="E519">
        <v>0</v>
      </c>
      <c r="F519">
        <v>2</v>
      </c>
      <c r="G519">
        <v>0</v>
      </c>
      <c r="H519">
        <v>2</v>
      </c>
      <c r="I519">
        <v>0</v>
      </c>
      <c r="J519">
        <v>2</v>
      </c>
      <c r="K519">
        <v>10.782</v>
      </c>
      <c r="L519" s="2">
        <v>5</v>
      </c>
      <c r="M519">
        <v>0</v>
      </c>
      <c r="N519" s="2">
        <v>0</v>
      </c>
      <c r="O519">
        <v>-2.4</v>
      </c>
      <c r="P519" t="s">
        <v>100</v>
      </c>
      <c r="Q519">
        <v>0</v>
      </c>
      <c r="R519" t="s">
        <v>145</v>
      </c>
      <c r="S519">
        <v>0</v>
      </c>
    </row>
    <row r="520" spans="1:19">
      <c r="A520" t="s">
        <v>25</v>
      </c>
      <c r="B520" t="s">
        <v>9643</v>
      </c>
      <c r="C520">
        <f>"PD20014VM"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2</v>
      </c>
      <c r="K520">
        <v>0</v>
      </c>
      <c r="L520" s="2">
        <v>0</v>
      </c>
      <c r="M520">
        <v>0</v>
      </c>
      <c r="N520" s="2">
        <v>0</v>
      </c>
      <c r="O520">
        <v>-2.4</v>
      </c>
      <c r="P520" t="s">
        <v>100</v>
      </c>
      <c r="Q520">
        <v>0</v>
      </c>
      <c r="R520" t="s">
        <v>145</v>
      </c>
      <c r="S520">
        <v>0</v>
      </c>
    </row>
    <row r="521" spans="1:19">
      <c r="A521" t="s">
        <v>25</v>
      </c>
      <c r="B521" t="s">
        <v>3872</v>
      </c>
      <c r="C521">
        <f>"SP001M"</f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2</v>
      </c>
      <c r="K521">
        <v>6.12</v>
      </c>
      <c r="L521" s="2">
        <v>3</v>
      </c>
      <c r="M521">
        <v>0</v>
      </c>
      <c r="N521" s="2">
        <v>0</v>
      </c>
      <c r="O521">
        <v>-2.4</v>
      </c>
      <c r="P521" t="s">
        <v>100</v>
      </c>
      <c r="Q521">
        <v>0</v>
      </c>
      <c r="R521" t="s">
        <v>145</v>
      </c>
      <c r="S521">
        <v>0</v>
      </c>
    </row>
    <row r="522" spans="1:19">
      <c r="A522" t="s">
        <v>25</v>
      </c>
      <c r="B522" t="s">
        <v>7527</v>
      </c>
      <c r="C522">
        <f>"A3MVE"</f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2</v>
      </c>
      <c r="K522">
        <v>2.385</v>
      </c>
      <c r="L522" s="2">
        <v>1</v>
      </c>
      <c r="M522">
        <v>0</v>
      </c>
      <c r="N522" s="2">
        <v>0</v>
      </c>
      <c r="O522">
        <v>-2.4</v>
      </c>
      <c r="P522" t="s">
        <v>100</v>
      </c>
      <c r="Q522">
        <v>0</v>
      </c>
      <c r="R522" t="s">
        <v>145</v>
      </c>
      <c r="S522">
        <v>0</v>
      </c>
    </row>
    <row r="523" spans="1:19">
      <c r="A523" t="s">
        <v>25</v>
      </c>
      <c r="B523" t="s">
        <v>9924</v>
      </c>
      <c r="C523">
        <f>"SP001L"</f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2</v>
      </c>
      <c r="K523">
        <v>6.75</v>
      </c>
      <c r="L523" s="2">
        <v>3</v>
      </c>
      <c r="M523">
        <v>0</v>
      </c>
      <c r="N523" s="2">
        <v>0</v>
      </c>
      <c r="O523">
        <v>-2.4</v>
      </c>
      <c r="P523" t="s">
        <v>100</v>
      </c>
      <c r="Q523">
        <v>0</v>
      </c>
      <c r="R523" t="s">
        <v>145</v>
      </c>
      <c r="S523">
        <v>0</v>
      </c>
    </row>
    <row r="524" spans="1:19">
      <c r="A524" t="s">
        <v>25</v>
      </c>
      <c r="B524" t="s">
        <v>9926</v>
      </c>
      <c r="C524">
        <f>"SP001XL"</f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2</v>
      </c>
      <c r="K524">
        <v>7.182</v>
      </c>
      <c r="L524" s="2">
        <v>4</v>
      </c>
      <c r="M524">
        <v>0</v>
      </c>
      <c r="N524" s="2">
        <v>0</v>
      </c>
      <c r="O524">
        <v>-2.4</v>
      </c>
      <c r="P524" t="s">
        <v>100</v>
      </c>
      <c r="Q524">
        <v>0</v>
      </c>
      <c r="R524" t="s">
        <v>145</v>
      </c>
      <c r="S524">
        <v>0</v>
      </c>
    </row>
    <row r="525" spans="1:19">
      <c r="A525" t="s">
        <v>25</v>
      </c>
      <c r="B525" t="s">
        <v>5044</v>
      </c>
      <c r="C525">
        <f>"ZVP4345"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2</v>
      </c>
      <c r="K525">
        <v>4.32</v>
      </c>
      <c r="L525" s="2">
        <v>2</v>
      </c>
      <c r="M525">
        <v>0</v>
      </c>
      <c r="N525" s="2">
        <v>0</v>
      </c>
      <c r="O525">
        <v>-2.4</v>
      </c>
      <c r="P525" t="s">
        <v>100</v>
      </c>
      <c r="Q525">
        <v>0</v>
      </c>
      <c r="R525" t="s">
        <v>145</v>
      </c>
      <c r="S525">
        <v>0</v>
      </c>
    </row>
    <row r="526" spans="1:19">
      <c r="A526" t="s">
        <v>25</v>
      </c>
      <c r="B526" t="s">
        <v>2160</v>
      </c>
      <c r="C526">
        <f>"QW201"</f>
        <v>0</v>
      </c>
      <c r="D526">
        <v>2</v>
      </c>
      <c r="E526">
        <v>0</v>
      </c>
      <c r="F526">
        <v>0</v>
      </c>
      <c r="G526">
        <v>0</v>
      </c>
      <c r="H526">
        <v>2</v>
      </c>
      <c r="I526">
        <v>0</v>
      </c>
      <c r="J526">
        <v>2</v>
      </c>
      <c r="K526">
        <v>1.08</v>
      </c>
      <c r="L526" s="2">
        <v>1</v>
      </c>
      <c r="M526">
        <v>0</v>
      </c>
      <c r="N526" s="2">
        <v>0</v>
      </c>
      <c r="O526">
        <v>-2.4</v>
      </c>
      <c r="P526" t="s">
        <v>100</v>
      </c>
      <c r="Q526">
        <v>0</v>
      </c>
      <c r="R526" t="s">
        <v>145</v>
      </c>
      <c r="S526">
        <v>0</v>
      </c>
    </row>
    <row r="527" spans="1:19">
      <c r="A527" t="s">
        <v>25</v>
      </c>
      <c r="B527" t="s">
        <v>2500</v>
      </c>
      <c r="C527">
        <f>"S102FU"</f>
        <v>0</v>
      </c>
      <c r="D527">
        <v>0</v>
      </c>
      <c r="E527">
        <v>1</v>
      </c>
      <c r="F527">
        <v>0</v>
      </c>
      <c r="G527">
        <v>0</v>
      </c>
      <c r="H527">
        <v>1</v>
      </c>
      <c r="I527">
        <v>0</v>
      </c>
      <c r="J527">
        <v>2</v>
      </c>
      <c r="K527">
        <v>11.7</v>
      </c>
      <c r="L527" s="2">
        <v>6</v>
      </c>
      <c r="M527">
        <v>0</v>
      </c>
      <c r="N527" s="2">
        <v>0</v>
      </c>
      <c r="O527">
        <v>-2.4</v>
      </c>
      <c r="P527" t="s">
        <v>100</v>
      </c>
      <c r="Q527">
        <v>0</v>
      </c>
      <c r="R527" t="s">
        <v>145</v>
      </c>
      <c r="S527">
        <v>0</v>
      </c>
    </row>
    <row r="528" spans="1:19">
      <c r="A528" t="s">
        <v>25</v>
      </c>
      <c r="B528" t="s">
        <v>2158</v>
      </c>
      <c r="C528">
        <f>"M027"</f>
        <v>0</v>
      </c>
      <c r="D528">
        <v>2</v>
      </c>
      <c r="E528">
        <v>0</v>
      </c>
      <c r="F528">
        <v>0</v>
      </c>
      <c r="G528">
        <v>0</v>
      </c>
      <c r="H528">
        <v>2</v>
      </c>
      <c r="I528">
        <v>0</v>
      </c>
      <c r="J528">
        <v>2</v>
      </c>
      <c r="K528">
        <v>27.03</v>
      </c>
      <c r="L528" s="2">
        <v>14</v>
      </c>
      <c r="M528">
        <v>0</v>
      </c>
      <c r="N528" s="2">
        <v>0</v>
      </c>
      <c r="O528">
        <v>-2.4</v>
      </c>
      <c r="P528" t="s">
        <v>100</v>
      </c>
      <c r="Q528">
        <v>0</v>
      </c>
      <c r="R528" t="s">
        <v>145</v>
      </c>
      <c r="S528">
        <v>0</v>
      </c>
    </row>
    <row r="529" spans="1:19">
      <c r="A529" t="s">
        <v>25</v>
      </c>
      <c r="B529" t="s">
        <v>4613</v>
      </c>
      <c r="C529">
        <f>"50512"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2</v>
      </c>
      <c r="K529">
        <v>7.776</v>
      </c>
      <c r="L529" s="2">
        <v>4</v>
      </c>
      <c r="M529">
        <v>0</v>
      </c>
      <c r="N529" s="2">
        <v>0</v>
      </c>
      <c r="O529">
        <v>-2.4</v>
      </c>
      <c r="P529" t="s">
        <v>100</v>
      </c>
      <c r="Q529">
        <v>0</v>
      </c>
      <c r="R529" t="s">
        <v>145</v>
      </c>
      <c r="S529">
        <v>0</v>
      </c>
    </row>
    <row r="530" spans="1:19">
      <c r="A530" t="s">
        <v>25</v>
      </c>
      <c r="B530" t="s">
        <v>2566</v>
      </c>
      <c r="C530">
        <f>"6765033"</f>
        <v>0</v>
      </c>
      <c r="D530">
        <v>1</v>
      </c>
      <c r="E530">
        <v>0</v>
      </c>
      <c r="F530">
        <v>0</v>
      </c>
      <c r="G530">
        <v>0</v>
      </c>
      <c r="H530">
        <v>1</v>
      </c>
      <c r="I530">
        <v>0</v>
      </c>
      <c r="J530">
        <v>2</v>
      </c>
      <c r="K530">
        <v>2.322</v>
      </c>
      <c r="L530" s="2">
        <v>1</v>
      </c>
      <c r="M530">
        <v>0</v>
      </c>
      <c r="N530" s="2">
        <v>0</v>
      </c>
      <c r="O530">
        <v>-2.4</v>
      </c>
      <c r="P530" t="s">
        <v>100</v>
      </c>
      <c r="Q530">
        <v>0</v>
      </c>
      <c r="R530" t="s">
        <v>145</v>
      </c>
      <c r="S530">
        <v>0</v>
      </c>
    </row>
    <row r="531" spans="1:19">
      <c r="A531" t="s">
        <v>25</v>
      </c>
      <c r="B531" t="s">
        <v>9439</v>
      </c>
      <c r="C531">
        <f>"PD20014RM"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2</v>
      </c>
      <c r="K531">
        <v>0</v>
      </c>
      <c r="L531" s="2">
        <v>0</v>
      </c>
      <c r="M531">
        <v>0</v>
      </c>
      <c r="N531" s="2">
        <v>0</v>
      </c>
      <c r="O531">
        <v>-2.4</v>
      </c>
      <c r="P531" t="s">
        <v>100</v>
      </c>
      <c r="Q531">
        <v>0</v>
      </c>
      <c r="R531" t="s">
        <v>145</v>
      </c>
      <c r="S531">
        <v>0</v>
      </c>
    </row>
    <row r="532" spans="1:19">
      <c r="A532" t="s">
        <v>25</v>
      </c>
      <c r="B532" t="s">
        <v>9379</v>
      </c>
      <c r="C532">
        <f>"PD20014NXS"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2</v>
      </c>
      <c r="K532">
        <v>0</v>
      </c>
      <c r="L532" s="2">
        <v>0</v>
      </c>
      <c r="M532">
        <v>0</v>
      </c>
      <c r="N532" s="2">
        <v>0</v>
      </c>
      <c r="O532">
        <v>-2.4</v>
      </c>
      <c r="P532" t="s">
        <v>100</v>
      </c>
      <c r="Q532">
        <v>0</v>
      </c>
      <c r="R532" t="s">
        <v>145</v>
      </c>
      <c r="S532">
        <v>0</v>
      </c>
    </row>
    <row r="533" spans="1:19">
      <c r="A533" t="s">
        <v>25</v>
      </c>
      <c r="B533" t="s">
        <v>7607</v>
      </c>
      <c r="C533">
        <f>"RY29SRC"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2</v>
      </c>
      <c r="K533">
        <v>3.042</v>
      </c>
      <c r="L533" s="2">
        <v>2</v>
      </c>
      <c r="M533">
        <v>0</v>
      </c>
      <c r="N533" s="2">
        <v>0</v>
      </c>
      <c r="O533">
        <v>-2.4</v>
      </c>
      <c r="P533" t="s">
        <v>100</v>
      </c>
      <c r="Q533">
        <v>0</v>
      </c>
      <c r="R533" t="s">
        <v>145</v>
      </c>
      <c r="S533">
        <v>0</v>
      </c>
    </row>
    <row r="534" spans="1:19">
      <c r="A534" t="s">
        <v>25</v>
      </c>
      <c r="B534" t="s">
        <v>9777</v>
      </c>
      <c r="C534">
        <f>"S366"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2</v>
      </c>
      <c r="K534">
        <v>9.9</v>
      </c>
      <c r="L534" s="2">
        <v>5</v>
      </c>
      <c r="M534">
        <v>0</v>
      </c>
      <c r="N534" s="2">
        <v>0</v>
      </c>
      <c r="O534">
        <v>-2.4</v>
      </c>
      <c r="P534" t="s">
        <v>100</v>
      </c>
      <c r="Q534">
        <v>0</v>
      </c>
      <c r="R534" t="s">
        <v>145</v>
      </c>
      <c r="S534">
        <v>0</v>
      </c>
    </row>
    <row r="535" spans="1:19">
      <c r="A535" t="s">
        <v>25</v>
      </c>
      <c r="B535" t="s">
        <v>7517</v>
      </c>
      <c r="C535">
        <f>"A3LBL"</f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2</v>
      </c>
      <c r="K535">
        <v>4.05</v>
      </c>
      <c r="L535" s="2">
        <v>2</v>
      </c>
      <c r="M535">
        <v>0</v>
      </c>
      <c r="N535" s="2">
        <v>0</v>
      </c>
      <c r="O535">
        <v>-2.4</v>
      </c>
      <c r="P535" t="s">
        <v>100</v>
      </c>
      <c r="Q535">
        <v>0</v>
      </c>
      <c r="R535" t="s">
        <v>145</v>
      </c>
      <c r="S535">
        <v>0</v>
      </c>
    </row>
    <row r="536" spans="1:19">
      <c r="A536" t="s">
        <v>25</v>
      </c>
      <c r="B536" t="s">
        <v>6293</v>
      </c>
      <c r="C536">
        <f>"LN898JIBIA"</f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2</v>
      </c>
      <c r="K536">
        <v>4.41</v>
      </c>
      <c r="L536" s="2">
        <v>2</v>
      </c>
      <c r="M536">
        <v>0</v>
      </c>
      <c r="N536" s="2">
        <v>0</v>
      </c>
      <c r="O536">
        <v>-2.4</v>
      </c>
      <c r="P536" t="s">
        <v>100</v>
      </c>
      <c r="Q536">
        <v>0</v>
      </c>
      <c r="R536" t="s">
        <v>145</v>
      </c>
      <c r="S536">
        <v>0</v>
      </c>
    </row>
    <row r="537" spans="1:19">
      <c r="A537" t="s">
        <v>25</v>
      </c>
      <c r="B537" t="s">
        <v>6379</v>
      </c>
      <c r="C537">
        <f>"LS1030"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2</v>
      </c>
      <c r="K537">
        <v>1.782</v>
      </c>
      <c r="L537" s="2">
        <v>1</v>
      </c>
      <c r="M537">
        <v>0</v>
      </c>
      <c r="N537" s="2">
        <v>0</v>
      </c>
      <c r="O537">
        <v>-2.4</v>
      </c>
      <c r="P537" t="s">
        <v>100</v>
      </c>
      <c r="Q537">
        <v>0</v>
      </c>
      <c r="R537" t="s">
        <v>145</v>
      </c>
      <c r="S537">
        <v>0</v>
      </c>
    </row>
    <row r="538" spans="1:19">
      <c r="A538" t="s">
        <v>25</v>
      </c>
      <c r="B538" t="s">
        <v>6118</v>
      </c>
      <c r="C538">
        <f>"00278"</f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2</v>
      </c>
      <c r="K538">
        <v>3.96</v>
      </c>
      <c r="L538" s="2">
        <v>2</v>
      </c>
      <c r="M538">
        <v>0</v>
      </c>
      <c r="N538" s="2">
        <v>0</v>
      </c>
      <c r="O538">
        <v>-2.4</v>
      </c>
      <c r="P538" t="s">
        <v>100</v>
      </c>
      <c r="Q538">
        <v>0</v>
      </c>
      <c r="R538" t="s">
        <v>145</v>
      </c>
      <c r="S538">
        <v>0</v>
      </c>
    </row>
    <row r="539" spans="1:19">
      <c r="A539" t="s">
        <v>25</v>
      </c>
      <c r="B539" t="s">
        <v>2379</v>
      </c>
      <c r="C539">
        <f>"NFF03"</f>
        <v>0</v>
      </c>
      <c r="D539">
        <v>0</v>
      </c>
      <c r="E539">
        <v>0</v>
      </c>
      <c r="F539">
        <v>1</v>
      </c>
      <c r="G539">
        <v>0</v>
      </c>
      <c r="H539">
        <v>1</v>
      </c>
      <c r="I539">
        <v>0</v>
      </c>
      <c r="J539">
        <v>2</v>
      </c>
      <c r="K539">
        <v>18.9</v>
      </c>
      <c r="L539" s="2">
        <v>9</v>
      </c>
      <c r="M539">
        <v>0</v>
      </c>
      <c r="N539" s="2">
        <v>0</v>
      </c>
      <c r="O539">
        <v>-2.4</v>
      </c>
      <c r="P539" t="s">
        <v>100</v>
      </c>
      <c r="Q539">
        <v>0</v>
      </c>
      <c r="R539" t="s">
        <v>145</v>
      </c>
      <c r="S539">
        <v>0</v>
      </c>
    </row>
    <row r="540" spans="1:19">
      <c r="A540" t="s">
        <v>25</v>
      </c>
      <c r="B540" t="s">
        <v>8729</v>
      </c>
      <c r="C540">
        <f>"YB0751"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2</v>
      </c>
      <c r="K540">
        <v>47.58</v>
      </c>
      <c r="L540" s="2">
        <v>24</v>
      </c>
      <c r="M540">
        <v>0</v>
      </c>
      <c r="N540" s="2">
        <v>0</v>
      </c>
      <c r="O540">
        <v>-2.4</v>
      </c>
      <c r="P540" t="s">
        <v>100</v>
      </c>
      <c r="Q540">
        <v>0</v>
      </c>
      <c r="R540" t="s">
        <v>145</v>
      </c>
      <c r="S540">
        <v>0</v>
      </c>
    </row>
    <row r="541" spans="1:19">
      <c r="A541" t="s">
        <v>25</v>
      </c>
      <c r="B541" t="s">
        <v>8649</v>
      </c>
      <c r="C541">
        <f>"M0101"</f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2</v>
      </c>
      <c r="K541">
        <v>18.9</v>
      </c>
      <c r="L541" s="2">
        <v>9</v>
      </c>
      <c r="M541">
        <v>0</v>
      </c>
      <c r="N541" s="2">
        <v>0</v>
      </c>
      <c r="O541">
        <v>-2.4</v>
      </c>
      <c r="P541" t="s">
        <v>100</v>
      </c>
      <c r="Q541">
        <v>0</v>
      </c>
      <c r="R541" t="s">
        <v>145</v>
      </c>
      <c r="S541">
        <v>0</v>
      </c>
    </row>
    <row r="542" spans="1:19">
      <c r="A542" t="s">
        <v>25</v>
      </c>
      <c r="B542" t="s">
        <v>3448</v>
      </c>
      <c r="C542">
        <f>"zy2035"</f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2</v>
      </c>
      <c r="K542">
        <v>17.82</v>
      </c>
      <c r="L542" s="2">
        <v>9</v>
      </c>
      <c r="M542">
        <v>0</v>
      </c>
      <c r="N542" s="2">
        <v>0</v>
      </c>
      <c r="O542">
        <v>-2.4</v>
      </c>
      <c r="P542" t="s">
        <v>100</v>
      </c>
      <c r="Q542">
        <v>0</v>
      </c>
      <c r="R542" t="s">
        <v>145</v>
      </c>
      <c r="S542">
        <v>0</v>
      </c>
    </row>
    <row r="543" spans="1:19">
      <c r="A543" t="s">
        <v>25</v>
      </c>
      <c r="B543" t="s">
        <v>6117</v>
      </c>
      <c r="C543">
        <f>"00279"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2</v>
      </c>
      <c r="K543">
        <v>10.782</v>
      </c>
      <c r="L543" s="2">
        <v>5</v>
      </c>
      <c r="M543">
        <v>0</v>
      </c>
      <c r="N543" s="2">
        <v>0</v>
      </c>
      <c r="O543">
        <v>-2.4</v>
      </c>
      <c r="P543" t="s">
        <v>100</v>
      </c>
      <c r="Q543">
        <v>0</v>
      </c>
      <c r="R543" t="s">
        <v>145</v>
      </c>
      <c r="S543">
        <v>0</v>
      </c>
    </row>
    <row r="544" spans="1:19">
      <c r="A544" t="s">
        <v>25</v>
      </c>
      <c r="B544" t="s">
        <v>2349</v>
      </c>
      <c r="C544">
        <f>"TR065"</f>
        <v>0</v>
      </c>
      <c r="D544">
        <v>0</v>
      </c>
      <c r="E544">
        <v>1</v>
      </c>
      <c r="F544">
        <v>0</v>
      </c>
      <c r="G544">
        <v>0</v>
      </c>
      <c r="H544">
        <v>1</v>
      </c>
      <c r="I544">
        <v>0</v>
      </c>
      <c r="J544">
        <v>2</v>
      </c>
      <c r="K544">
        <v>3.042</v>
      </c>
      <c r="L544" s="2">
        <v>2</v>
      </c>
      <c r="M544">
        <v>0</v>
      </c>
      <c r="N544" s="2">
        <v>0</v>
      </c>
      <c r="O544">
        <v>-2.4</v>
      </c>
      <c r="P544" t="s">
        <v>100</v>
      </c>
      <c r="Q544">
        <v>0</v>
      </c>
      <c r="R544" t="s">
        <v>145</v>
      </c>
      <c r="S544">
        <v>0</v>
      </c>
    </row>
    <row r="545" spans="1:19">
      <c r="A545" t="s">
        <v>25</v>
      </c>
      <c r="B545" t="s">
        <v>2275</v>
      </c>
      <c r="C545">
        <f>"LS111ROS"</f>
        <v>0</v>
      </c>
      <c r="D545">
        <v>2</v>
      </c>
      <c r="E545">
        <v>0</v>
      </c>
      <c r="F545">
        <v>0</v>
      </c>
      <c r="G545">
        <v>0</v>
      </c>
      <c r="H545">
        <v>2</v>
      </c>
      <c r="I545">
        <v>0</v>
      </c>
      <c r="J545">
        <v>2</v>
      </c>
      <c r="K545">
        <v>2.304</v>
      </c>
      <c r="L545" s="2">
        <v>1</v>
      </c>
      <c r="M545">
        <v>0</v>
      </c>
      <c r="N545" s="2">
        <v>0</v>
      </c>
      <c r="O545">
        <v>-2.4</v>
      </c>
      <c r="P545" t="s">
        <v>100</v>
      </c>
      <c r="Q545">
        <v>0</v>
      </c>
      <c r="R545" t="s">
        <v>145</v>
      </c>
      <c r="S545">
        <v>0</v>
      </c>
    </row>
    <row r="546" spans="1:19">
      <c r="A546" t="s">
        <v>25</v>
      </c>
      <c r="B546" t="s">
        <v>2602</v>
      </c>
      <c r="C546">
        <f>"LS1040"</f>
        <v>0</v>
      </c>
      <c r="D546">
        <v>0</v>
      </c>
      <c r="E546">
        <v>1</v>
      </c>
      <c r="F546">
        <v>0</v>
      </c>
      <c r="G546">
        <v>0</v>
      </c>
      <c r="H546">
        <v>1</v>
      </c>
      <c r="I546">
        <v>0</v>
      </c>
      <c r="J546">
        <v>2</v>
      </c>
      <c r="K546">
        <v>1.35</v>
      </c>
      <c r="L546" s="2">
        <v>1</v>
      </c>
      <c r="M546">
        <v>0</v>
      </c>
      <c r="N546" s="2">
        <v>0</v>
      </c>
      <c r="O546">
        <v>-2.4</v>
      </c>
      <c r="P546" t="s">
        <v>100</v>
      </c>
      <c r="Q546">
        <v>0</v>
      </c>
      <c r="R546" t="s">
        <v>145</v>
      </c>
      <c r="S546">
        <v>0</v>
      </c>
    </row>
    <row r="547" spans="1:19">
      <c r="A547" t="s">
        <v>25</v>
      </c>
      <c r="B547" t="s">
        <v>6120</v>
      </c>
      <c r="C547">
        <f>"00280"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2</v>
      </c>
      <c r="K547">
        <v>4.23</v>
      </c>
      <c r="L547" s="2">
        <v>2</v>
      </c>
      <c r="M547">
        <v>0</v>
      </c>
      <c r="N547" s="2">
        <v>0</v>
      </c>
      <c r="O547">
        <v>-2.4</v>
      </c>
      <c r="P547" t="s">
        <v>100</v>
      </c>
      <c r="Q547">
        <v>0</v>
      </c>
      <c r="R547" t="s">
        <v>145</v>
      </c>
      <c r="S547">
        <v>0</v>
      </c>
    </row>
    <row r="548" spans="1:19">
      <c r="A548" t="s">
        <v>25</v>
      </c>
      <c r="B548" t="s">
        <v>9573</v>
      </c>
      <c r="C548">
        <f>"ZVP400YO"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2</v>
      </c>
      <c r="K548">
        <v>1.782</v>
      </c>
      <c r="L548" s="2">
        <v>1</v>
      </c>
      <c r="M548">
        <v>0</v>
      </c>
      <c r="N548" s="2">
        <v>0</v>
      </c>
      <c r="O548">
        <v>-2.4</v>
      </c>
      <c r="P548" t="s">
        <v>100</v>
      </c>
      <c r="Q548">
        <v>0</v>
      </c>
      <c r="R548" t="s">
        <v>145</v>
      </c>
      <c r="S548">
        <v>0</v>
      </c>
    </row>
    <row r="549" spans="1:19">
      <c r="A549" t="s">
        <v>25</v>
      </c>
      <c r="B549" t="s">
        <v>5580</v>
      </c>
      <c r="C549">
        <f>"16#"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2</v>
      </c>
      <c r="K549">
        <v>3.582</v>
      </c>
      <c r="L549" s="2">
        <v>2</v>
      </c>
      <c r="M549">
        <v>0</v>
      </c>
      <c r="N549" s="2">
        <v>0</v>
      </c>
      <c r="O549">
        <v>-2.4</v>
      </c>
      <c r="P549" t="s">
        <v>100</v>
      </c>
      <c r="Q549">
        <v>0</v>
      </c>
      <c r="R549" t="s">
        <v>145</v>
      </c>
      <c r="S549">
        <v>0</v>
      </c>
    </row>
    <row r="550" spans="1:19">
      <c r="A550" t="s">
        <v>25</v>
      </c>
      <c r="B550" t="s">
        <v>5579</v>
      </c>
      <c r="C550">
        <f>"15#"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2</v>
      </c>
      <c r="K550">
        <v>3.33</v>
      </c>
      <c r="L550" s="2">
        <v>2</v>
      </c>
      <c r="M550">
        <v>0</v>
      </c>
      <c r="N550" s="2">
        <v>0</v>
      </c>
      <c r="O550">
        <v>-2.4</v>
      </c>
      <c r="P550" t="s">
        <v>100</v>
      </c>
      <c r="Q550">
        <v>0</v>
      </c>
      <c r="R550" t="s">
        <v>145</v>
      </c>
      <c r="S550">
        <v>0</v>
      </c>
    </row>
    <row r="551" spans="1:19">
      <c r="A551" t="s">
        <v>25</v>
      </c>
      <c r="B551" t="s">
        <v>2097</v>
      </c>
      <c r="C551">
        <f>"11624"</f>
        <v>0</v>
      </c>
      <c r="D551">
        <v>0</v>
      </c>
      <c r="E551">
        <v>3</v>
      </c>
      <c r="F551">
        <v>0</v>
      </c>
      <c r="G551">
        <v>0</v>
      </c>
      <c r="H551">
        <v>3</v>
      </c>
      <c r="I551">
        <v>0</v>
      </c>
      <c r="J551">
        <v>2</v>
      </c>
      <c r="K551">
        <v>6.3</v>
      </c>
      <c r="L551" s="2">
        <v>3</v>
      </c>
      <c r="M551">
        <v>0</v>
      </c>
      <c r="N551" s="2">
        <v>0</v>
      </c>
      <c r="O551">
        <v>-2.4</v>
      </c>
      <c r="P551" t="s">
        <v>100</v>
      </c>
      <c r="Q551">
        <v>0</v>
      </c>
      <c r="R551" t="s">
        <v>145</v>
      </c>
      <c r="S551">
        <v>0</v>
      </c>
    </row>
    <row r="552" spans="1:19">
      <c r="A552" t="s">
        <v>25</v>
      </c>
      <c r="B552" t="s">
        <v>5600</v>
      </c>
      <c r="C552">
        <f>"17#"</f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2</v>
      </c>
      <c r="K552">
        <v>4.32</v>
      </c>
      <c r="L552" s="2">
        <v>2</v>
      </c>
      <c r="M552">
        <v>0</v>
      </c>
      <c r="N552" s="2">
        <v>0</v>
      </c>
      <c r="O552">
        <v>-2.4</v>
      </c>
      <c r="P552" t="s">
        <v>100</v>
      </c>
      <c r="Q552">
        <v>0</v>
      </c>
      <c r="R552" t="s">
        <v>145</v>
      </c>
      <c r="S552">
        <v>0</v>
      </c>
    </row>
    <row r="553" spans="1:19">
      <c r="A553" t="s">
        <v>25</v>
      </c>
      <c r="B553" t="s">
        <v>8991</v>
      </c>
      <c r="C553">
        <f>"S401AAZ"</f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2</v>
      </c>
      <c r="K553">
        <v>1.422</v>
      </c>
      <c r="L553" s="2">
        <v>1</v>
      </c>
      <c r="M553">
        <v>0</v>
      </c>
      <c r="N553" s="2">
        <v>0</v>
      </c>
      <c r="O553">
        <v>-2.4</v>
      </c>
      <c r="P553" t="s">
        <v>100</v>
      </c>
      <c r="Q553">
        <v>0</v>
      </c>
      <c r="R553" t="s">
        <v>145</v>
      </c>
      <c r="S553">
        <v>0</v>
      </c>
    </row>
    <row r="554" spans="1:19">
      <c r="A554" t="s">
        <v>25</v>
      </c>
      <c r="B554" t="s">
        <v>3352</v>
      </c>
      <c r="C554">
        <f>"YM12"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2</v>
      </c>
      <c r="K554">
        <v>4.662</v>
      </c>
      <c r="L554" s="2">
        <v>2</v>
      </c>
      <c r="M554">
        <v>0</v>
      </c>
      <c r="N554" s="2">
        <v>0</v>
      </c>
      <c r="O554">
        <v>-2.4</v>
      </c>
      <c r="P554" t="s">
        <v>100</v>
      </c>
      <c r="Q554">
        <v>0</v>
      </c>
      <c r="R554" t="s">
        <v>145</v>
      </c>
      <c r="S554">
        <v>0</v>
      </c>
    </row>
    <row r="555" spans="1:19">
      <c r="A555" t="s">
        <v>25</v>
      </c>
      <c r="B555" t="s">
        <v>5578</v>
      </c>
      <c r="C555">
        <f>"18#"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2</v>
      </c>
      <c r="K555">
        <v>7.02</v>
      </c>
      <c r="L555" s="2">
        <v>4</v>
      </c>
      <c r="M555">
        <v>0</v>
      </c>
      <c r="N555" s="2">
        <v>0</v>
      </c>
      <c r="O555">
        <v>-2.4</v>
      </c>
      <c r="P555" t="s">
        <v>100</v>
      </c>
      <c r="Q555">
        <v>0</v>
      </c>
      <c r="R555" t="s">
        <v>145</v>
      </c>
      <c r="S555">
        <v>0</v>
      </c>
    </row>
    <row r="556" spans="1:19">
      <c r="A556" t="s">
        <v>25</v>
      </c>
      <c r="B556" t="s">
        <v>2520</v>
      </c>
      <c r="C556">
        <f>"R2AZ"</f>
        <v>0</v>
      </c>
      <c r="D556">
        <v>1</v>
      </c>
      <c r="E556">
        <v>0</v>
      </c>
      <c r="F556">
        <v>0</v>
      </c>
      <c r="G556">
        <v>0</v>
      </c>
      <c r="H556">
        <v>1</v>
      </c>
      <c r="I556">
        <v>0</v>
      </c>
      <c r="J556">
        <v>2</v>
      </c>
      <c r="K556">
        <v>20.682</v>
      </c>
      <c r="L556" s="2">
        <v>10</v>
      </c>
      <c r="M556">
        <v>0</v>
      </c>
      <c r="N556" s="2">
        <v>0</v>
      </c>
      <c r="O556">
        <v>-2.4</v>
      </c>
      <c r="P556" t="s">
        <v>100</v>
      </c>
      <c r="Q556">
        <v>0</v>
      </c>
      <c r="R556" t="s">
        <v>145</v>
      </c>
      <c r="S556">
        <v>0</v>
      </c>
    </row>
    <row r="557" spans="1:19">
      <c r="A557" t="s">
        <v>25</v>
      </c>
      <c r="B557" t="s">
        <v>7696</v>
      </c>
      <c r="C557">
        <f>"RY29SAC"</f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2</v>
      </c>
      <c r="K557">
        <v>3.042</v>
      </c>
      <c r="L557" s="2">
        <v>2</v>
      </c>
      <c r="M557">
        <v>0</v>
      </c>
      <c r="N557" s="2">
        <v>0</v>
      </c>
      <c r="O557">
        <v>-2.4</v>
      </c>
      <c r="P557" t="s">
        <v>100</v>
      </c>
      <c r="Q557">
        <v>0</v>
      </c>
      <c r="R557" t="s">
        <v>145</v>
      </c>
      <c r="S557">
        <v>0</v>
      </c>
    </row>
    <row r="558" spans="1:19">
      <c r="A558" t="s">
        <v>25</v>
      </c>
      <c r="B558" t="s">
        <v>7609</v>
      </c>
      <c r="C558">
        <f>"RY29SB"</f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2</v>
      </c>
      <c r="K558">
        <v>2.502</v>
      </c>
      <c r="L558" s="2">
        <v>1</v>
      </c>
      <c r="M558">
        <v>0</v>
      </c>
      <c r="N558" s="2">
        <v>0</v>
      </c>
      <c r="O558">
        <v>-2.4</v>
      </c>
      <c r="P558" t="s">
        <v>100</v>
      </c>
      <c r="Q558">
        <v>0</v>
      </c>
      <c r="R558" t="s">
        <v>145</v>
      </c>
      <c r="S558">
        <v>0</v>
      </c>
    </row>
    <row r="559" spans="1:19">
      <c r="A559" t="s">
        <v>25</v>
      </c>
      <c r="B559" t="s">
        <v>7513</v>
      </c>
      <c r="C559">
        <f>"A3MBL"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2</v>
      </c>
      <c r="K559">
        <v>4.77</v>
      </c>
      <c r="L559" s="2">
        <v>2</v>
      </c>
      <c r="M559">
        <v>0</v>
      </c>
      <c r="N559" s="2">
        <v>0</v>
      </c>
      <c r="O559">
        <v>-2.4</v>
      </c>
      <c r="P559" t="s">
        <v>100</v>
      </c>
      <c r="Q559">
        <v>0</v>
      </c>
      <c r="R559" t="s">
        <v>145</v>
      </c>
      <c r="S559">
        <v>0</v>
      </c>
    </row>
    <row r="560" spans="1:19">
      <c r="A560" t="s">
        <v>25</v>
      </c>
      <c r="B560" t="s">
        <v>7514</v>
      </c>
      <c r="C560">
        <f>"A3MAZ"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2</v>
      </c>
      <c r="K560">
        <v>2.385</v>
      </c>
      <c r="L560" s="2">
        <v>1</v>
      </c>
      <c r="M560">
        <v>0</v>
      </c>
      <c r="N560" s="2">
        <v>0</v>
      </c>
      <c r="O560">
        <v>-2.4</v>
      </c>
      <c r="P560" t="s">
        <v>100</v>
      </c>
      <c r="Q560">
        <v>0</v>
      </c>
      <c r="R560" t="s">
        <v>145</v>
      </c>
      <c r="S560">
        <v>0</v>
      </c>
    </row>
    <row r="561" spans="1:19">
      <c r="A561" t="s">
        <v>25</v>
      </c>
      <c r="B561" t="s">
        <v>7144</v>
      </c>
      <c r="C561">
        <f>"R3HC"</f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2</v>
      </c>
      <c r="K561">
        <v>50.22</v>
      </c>
      <c r="L561" s="2">
        <v>25</v>
      </c>
      <c r="M561">
        <v>0</v>
      </c>
      <c r="N561" s="2">
        <v>0</v>
      </c>
      <c r="O561">
        <v>-2.4</v>
      </c>
      <c r="P561" t="s">
        <v>100</v>
      </c>
      <c r="Q561">
        <v>0</v>
      </c>
      <c r="R561" t="s">
        <v>145</v>
      </c>
      <c r="S561">
        <v>0</v>
      </c>
    </row>
    <row r="562" spans="1:19">
      <c r="A562" t="s">
        <v>25</v>
      </c>
      <c r="B562" t="s">
        <v>6052</v>
      </c>
      <c r="C562">
        <f>"00269"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2</v>
      </c>
      <c r="K562">
        <v>1.962</v>
      </c>
      <c r="L562" s="2">
        <v>1</v>
      </c>
      <c r="M562">
        <v>0</v>
      </c>
      <c r="N562" s="2">
        <v>0</v>
      </c>
      <c r="O562">
        <v>-2.4</v>
      </c>
      <c r="P562" t="s">
        <v>100</v>
      </c>
      <c r="Q562">
        <v>0</v>
      </c>
      <c r="R562" t="s">
        <v>145</v>
      </c>
      <c r="S562">
        <v>0</v>
      </c>
    </row>
    <row r="563" spans="1:19">
      <c r="A563" t="s">
        <v>25</v>
      </c>
      <c r="B563" t="s">
        <v>2176</v>
      </c>
      <c r="C563">
        <f>"234903"</f>
        <v>0</v>
      </c>
      <c r="D563">
        <v>1</v>
      </c>
      <c r="E563">
        <v>1</v>
      </c>
      <c r="F563">
        <v>0</v>
      </c>
      <c r="G563">
        <v>0</v>
      </c>
      <c r="H563">
        <v>2</v>
      </c>
      <c r="I563">
        <v>0.5</v>
      </c>
      <c r="J563">
        <v>3</v>
      </c>
      <c r="K563">
        <v>6.723</v>
      </c>
      <c r="L563" s="2">
        <v>2</v>
      </c>
      <c r="M563">
        <v>0</v>
      </c>
      <c r="N563" s="2">
        <v>0</v>
      </c>
      <c r="O563">
        <v>-3.1</v>
      </c>
      <c r="P563" t="s">
        <v>100</v>
      </c>
      <c r="Q563">
        <v>0</v>
      </c>
      <c r="R563" t="s">
        <v>145</v>
      </c>
      <c r="S563">
        <v>0</v>
      </c>
    </row>
    <row r="564" spans="1:19">
      <c r="A564" t="s">
        <v>25</v>
      </c>
      <c r="B564" t="s">
        <v>2196</v>
      </c>
      <c r="C564">
        <f>"MI13"</f>
        <v>0</v>
      </c>
      <c r="D564">
        <v>0</v>
      </c>
      <c r="E564">
        <v>1</v>
      </c>
      <c r="F564">
        <v>1</v>
      </c>
      <c r="G564">
        <v>0</v>
      </c>
      <c r="H564">
        <v>2</v>
      </c>
      <c r="I564">
        <v>0.5</v>
      </c>
      <c r="J564">
        <v>3</v>
      </c>
      <c r="K564">
        <v>10.773</v>
      </c>
      <c r="L564" s="2">
        <v>4</v>
      </c>
      <c r="M564">
        <v>0</v>
      </c>
      <c r="N564" s="2">
        <v>0</v>
      </c>
      <c r="O564">
        <v>-3.1</v>
      </c>
      <c r="P564" t="s">
        <v>100</v>
      </c>
      <c r="Q564">
        <v>0</v>
      </c>
      <c r="R564" t="s">
        <v>145</v>
      </c>
      <c r="S564">
        <v>0</v>
      </c>
    </row>
    <row r="565" spans="1:19">
      <c r="A565" t="s">
        <v>25</v>
      </c>
      <c r="B565" t="s">
        <v>1981</v>
      </c>
      <c r="C565">
        <f>"LS111AM"</f>
        <v>0</v>
      </c>
      <c r="D565">
        <v>3</v>
      </c>
      <c r="E565">
        <v>0</v>
      </c>
      <c r="F565">
        <v>1</v>
      </c>
      <c r="G565">
        <v>0</v>
      </c>
      <c r="H565">
        <v>4</v>
      </c>
      <c r="I565">
        <v>0.5</v>
      </c>
      <c r="J565">
        <v>3</v>
      </c>
      <c r="K565">
        <v>3.712</v>
      </c>
      <c r="L565" s="2">
        <v>1</v>
      </c>
      <c r="M565">
        <v>0</v>
      </c>
      <c r="N565" s="2">
        <v>0</v>
      </c>
      <c r="O565">
        <v>-3.1</v>
      </c>
      <c r="P565" t="s">
        <v>100</v>
      </c>
      <c r="Q565">
        <v>0</v>
      </c>
      <c r="R565" t="s">
        <v>145</v>
      </c>
      <c r="S565">
        <v>0</v>
      </c>
    </row>
    <row r="566" spans="1:19">
      <c r="A566" t="s">
        <v>25</v>
      </c>
      <c r="B566" t="s">
        <v>1936</v>
      </c>
      <c r="C566">
        <f>"S156L"</f>
        <v>0</v>
      </c>
      <c r="D566">
        <v>2</v>
      </c>
      <c r="E566">
        <v>2</v>
      </c>
      <c r="F566">
        <v>1</v>
      </c>
      <c r="G566">
        <v>0</v>
      </c>
      <c r="H566">
        <v>5</v>
      </c>
      <c r="I566">
        <v>1.5</v>
      </c>
      <c r="J566">
        <v>4</v>
      </c>
      <c r="K566">
        <v>2.844</v>
      </c>
      <c r="L566" s="2">
        <v>1</v>
      </c>
      <c r="M566">
        <v>0</v>
      </c>
      <c r="N566" s="2">
        <v>0</v>
      </c>
      <c r="O566">
        <v>-3.3</v>
      </c>
      <c r="P566" t="s">
        <v>100</v>
      </c>
      <c r="Q566">
        <v>0</v>
      </c>
      <c r="R566" t="s">
        <v>145</v>
      </c>
      <c r="S566">
        <v>0</v>
      </c>
    </row>
    <row r="567" spans="1:19">
      <c r="A567" t="s">
        <v>25</v>
      </c>
      <c r="B567" t="s">
        <v>1935</v>
      </c>
      <c r="C567">
        <f>"CH9407"</f>
        <v>0</v>
      </c>
      <c r="D567">
        <v>2</v>
      </c>
      <c r="E567">
        <v>2</v>
      </c>
      <c r="F567">
        <v>1</v>
      </c>
      <c r="G567">
        <v>0</v>
      </c>
      <c r="H567">
        <v>5</v>
      </c>
      <c r="I567">
        <v>1.5</v>
      </c>
      <c r="J567">
        <v>4</v>
      </c>
      <c r="K567">
        <v>5.4</v>
      </c>
      <c r="L567" s="2">
        <v>1</v>
      </c>
      <c r="M567">
        <v>0</v>
      </c>
      <c r="N567" s="2">
        <v>0</v>
      </c>
      <c r="O567">
        <v>-3.3</v>
      </c>
      <c r="P567" t="s">
        <v>100</v>
      </c>
      <c r="Q567">
        <v>0</v>
      </c>
      <c r="R567" t="s">
        <v>145</v>
      </c>
      <c r="S567">
        <v>0</v>
      </c>
    </row>
    <row r="568" spans="1:19">
      <c r="A568" t="s">
        <v>25</v>
      </c>
      <c r="B568" t="s">
        <v>1930</v>
      </c>
      <c r="C568">
        <f>"LN802"</f>
        <v>0</v>
      </c>
      <c r="D568">
        <v>2</v>
      </c>
      <c r="E568">
        <v>2</v>
      </c>
      <c r="F568">
        <v>1</v>
      </c>
      <c r="G568">
        <v>0</v>
      </c>
      <c r="H568">
        <v>5</v>
      </c>
      <c r="I568">
        <v>1.5</v>
      </c>
      <c r="J568">
        <v>4</v>
      </c>
      <c r="K568">
        <v>10.404</v>
      </c>
      <c r="L568" s="2">
        <v>3</v>
      </c>
      <c r="M568">
        <v>0</v>
      </c>
      <c r="N568" s="2">
        <v>0</v>
      </c>
      <c r="O568">
        <v>-3.3</v>
      </c>
      <c r="P568" t="s">
        <v>100</v>
      </c>
      <c r="Q568">
        <v>0</v>
      </c>
      <c r="R568" t="s">
        <v>145</v>
      </c>
      <c r="S568">
        <v>0</v>
      </c>
    </row>
    <row r="569" spans="1:19">
      <c r="A569" t="s">
        <v>25</v>
      </c>
      <c r="B569" t="s">
        <v>8868</v>
      </c>
      <c r="C569">
        <f>"RL102"</f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3</v>
      </c>
      <c r="K569">
        <v>28.35</v>
      </c>
      <c r="L569" s="2">
        <v>9</v>
      </c>
      <c r="M569">
        <v>0</v>
      </c>
      <c r="N569" s="2">
        <v>0</v>
      </c>
      <c r="O569">
        <v>-3.6</v>
      </c>
      <c r="P569" t="s">
        <v>100</v>
      </c>
      <c r="Q569">
        <v>0</v>
      </c>
      <c r="R569" t="s">
        <v>145</v>
      </c>
      <c r="S569">
        <v>0</v>
      </c>
    </row>
    <row r="570" spans="1:19">
      <c r="A570" t="s">
        <v>25</v>
      </c>
      <c r="B570" t="s">
        <v>8642</v>
      </c>
      <c r="C570">
        <f>"512"</f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3</v>
      </c>
      <c r="K570">
        <v>32.13</v>
      </c>
      <c r="L570" s="2">
        <v>11</v>
      </c>
      <c r="M570">
        <v>0</v>
      </c>
      <c r="N570" s="2">
        <v>0</v>
      </c>
      <c r="O570">
        <v>-3.6</v>
      </c>
      <c r="P570" t="s">
        <v>100</v>
      </c>
      <c r="Q570">
        <v>0</v>
      </c>
      <c r="R570" t="s">
        <v>145</v>
      </c>
      <c r="S570">
        <v>0</v>
      </c>
    </row>
    <row r="571" spans="1:19">
      <c r="A571" t="s">
        <v>25</v>
      </c>
      <c r="B571" t="s">
        <v>8746</v>
      </c>
      <c r="C571">
        <f>"M004H"</f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3</v>
      </c>
      <c r="K571">
        <v>25.65</v>
      </c>
      <c r="L571" s="2">
        <v>9</v>
      </c>
      <c r="M571">
        <v>0</v>
      </c>
      <c r="N571" s="2">
        <v>0</v>
      </c>
      <c r="O571">
        <v>-3.6</v>
      </c>
      <c r="P571" t="s">
        <v>100</v>
      </c>
      <c r="Q571">
        <v>0</v>
      </c>
      <c r="R571" t="s">
        <v>145</v>
      </c>
      <c r="S571">
        <v>0</v>
      </c>
    </row>
    <row r="572" spans="1:19">
      <c r="A572" t="s">
        <v>25</v>
      </c>
      <c r="B572" t="s">
        <v>8314</v>
      </c>
      <c r="C572">
        <f>"LN1024"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3</v>
      </c>
      <c r="K572">
        <v>2.673</v>
      </c>
      <c r="L572" s="2">
        <v>1</v>
      </c>
      <c r="M572">
        <v>0</v>
      </c>
      <c r="N572" s="2">
        <v>0</v>
      </c>
      <c r="O572">
        <v>-3.6</v>
      </c>
      <c r="P572" t="s">
        <v>100</v>
      </c>
      <c r="Q572">
        <v>0</v>
      </c>
      <c r="R572" t="s">
        <v>145</v>
      </c>
      <c r="S572">
        <v>0</v>
      </c>
    </row>
    <row r="573" spans="1:19">
      <c r="A573" t="s">
        <v>25</v>
      </c>
      <c r="B573" t="s">
        <v>2573</v>
      </c>
      <c r="C573">
        <f>"LF012"</f>
        <v>0</v>
      </c>
      <c r="D573">
        <v>0</v>
      </c>
      <c r="E573">
        <v>1</v>
      </c>
      <c r="F573">
        <v>0</v>
      </c>
      <c r="G573">
        <v>0</v>
      </c>
      <c r="H573">
        <v>1</v>
      </c>
      <c r="I573">
        <v>0</v>
      </c>
      <c r="J573">
        <v>3</v>
      </c>
      <c r="K573">
        <v>7.155</v>
      </c>
      <c r="L573" s="2">
        <v>2</v>
      </c>
      <c r="M573">
        <v>0</v>
      </c>
      <c r="N573" s="2">
        <v>0</v>
      </c>
      <c r="O573">
        <v>-3.6</v>
      </c>
      <c r="P573" t="s">
        <v>100</v>
      </c>
      <c r="Q573">
        <v>0</v>
      </c>
      <c r="R573" t="s">
        <v>145</v>
      </c>
      <c r="S573">
        <v>0</v>
      </c>
    </row>
    <row r="574" spans="1:19">
      <c r="A574" t="s">
        <v>25</v>
      </c>
      <c r="B574" t="s">
        <v>8627</v>
      </c>
      <c r="C574">
        <f>"JS105ROS"</f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3</v>
      </c>
      <c r="K574">
        <v>0</v>
      </c>
      <c r="L574" s="2">
        <v>0</v>
      </c>
      <c r="M574">
        <v>0</v>
      </c>
      <c r="N574" s="2">
        <v>0</v>
      </c>
      <c r="O574">
        <v>-3.6</v>
      </c>
      <c r="P574" t="s">
        <v>100</v>
      </c>
      <c r="Q574">
        <v>0</v>
      </c>
      <c r="R574" t="s">
        <v>145</v>
      </c>
      <c r="S574">
        <v>0</v>
      </c>
    </row>
    <row r="575" spans="1:19">
      <c r="A575" t="s">
        <v>25</v>
      </c>
      <c r="B575" t="s">
        <v>2455</v>
      </c>
      <c r="C575">
        <f>"TD05"</f>
        <v>0</v>
      </c>
      <c r="D575">
        <v>1</v>
      </c>
      <c r="E575">
        <v>0</v>
      </c>
      <c r="F575">
        <v>0</v>
      </c>
      <c r="G575">
        <v>0</v>
      </c>
      <c r="H575">
        <v>1</v>
      </c>
      <c r="I575">
        <v>0</v>
      </c>
      <c r="J575">
        <v>3</v>
      </c>
      <c r="K575">
        <v>14.85</v>
      </c>
      <c r="L575" s="2">
        <v>5</v>
      </c>
      <c r="M575">
        <v>0</v>
      </c>
      <c r="N575" s="2">
        <v>0</v>
      </c>
      <c r="O575">
        <v>-3.6</v>
      </c>
      <c r="P575" t="s">
        <v>100</v>
      </c>
      <c r="Q575">
        <v>0</v>
      </c>
      <c r="R575" t="s">
        <v>145</v>
      </c>
      <c r="S575">
        <v>0</v>
      </c>
    </row>
    <row r="576" spans="1:19">
      <c r="A576" t="s">
        <v>25</v>
      </c>
      <c r="B576" t="s">
        <v>5691</v>
      </c>
      <c r="C576">
        <f>"11634"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3</v>
      </c>
      <c r="K576">
        <v>10.08</v>
      </c>
      <c r="L576" s="2">
        <v>3</v>
      </c>
      <c r="M576">
        <v>0</v>
      </c>
      <c r="N576" s="2">
        <v>0</v>
      </c>
      <c r="O576">
        <v>-3.6</v>
      </c>
      <c r="P576" t="s">
        <v>100</v>
      </c>
      <c r="Q576">
        <v>0</v>
      </c>
      <c r="R576" t="s">
        <v>145</v>
      </c>
      <c r="S576">
        <v>0</v>
      </c>
    </row>
    <row r="577" spans="1:19">
      <c r="A577" t="s">
        <v>25</v>
      </c>
      <c r="B577" t="s">
        <v>6187</v>
      </c>
      <c r="C577">
        <f>"SFN1"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3</v>
      </c>
      <c r="K577">
        <v>5.373</v>
      </c>
      <c r="L577" s="2">
        <v>2</v>
      </c>
      <c r="M577">
        <v>0</v>
      </c>
      <c r="N577" s="2">
        <v>0</v>
      </c>
      <c r="O577">
        <v>-3.6</v>
      </c>
      <c r="P577" t="s">
        <v>100</v>
      </c>
      <c r="Q577">
        <v>0</v>
      </c>
      <c r="R577" t="s">
        <v>145</v>
      </c>
      <c r="S577">
        <v>0</v>
      </c>
    </row>
    <row r="578" spans="1:19">
      <c r="A578" t="s">
        <v>25</v>
      </c>
      <c r="B578" t="s">
        <v>5630</v>
      </c>
      <c r="C578">
        <f>"S310A"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3</v>
      </c>
      <c r="K578">
        <v>18.873</v>
      </c>
      <c r="L578" s="2">
        <v>6</v>
      </c>
      <c r="M578">
        <v>0</v>
      </c>
      <c r="N578" s="2">
        <v>0</v>
      </c>
      <c r="O578">
        <v>-3.6</v>
      </c>
      <c r="P578" t="s">
        <v>100</v>
      </c>
      <c r="Q578">
        <v>0</v>
      </c>
      <c r="R578" t="s">
        <v>145</v>
      </c>
      <c r="S578">
        <v>0</v>
      </c>
    </row>
    <row r="579" spans="1:19">
      <c r="A579" t="s">
        <v>25</v>
      </c>
      <c r="B579" t="s">
        <v>6968</v>
      </c>
      <c r="C579">
        <f>"MP006"</f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3</v>
      </c>
      <c r="K579">
        <v>2.565</v>
      </c>
      <c r="L579" s="2">
        <v>1</v>
      </c>
      <c r="M579">
        <v>0</v>
      </c>
      <c r="N579" s="2">
        <v>0</v>
      </c>
      <c r="O579">
        <v>-3.6</v>
      </c>
      <c r="P579" t="s">
        <v>100</v>
      </c>
      <c r="Q579">
        <v>0</v>
      </c>
      <c r="R579" t="s">
        <v>145</v>
      </c>
      <c r="S579">
        <v>0</v>
      </c>
    </row>
    <row r="580" spans="1:19">
      <c r="A580" t="s">
        <v>25</v>
      </c>
      <c r="B580" t="s">
        <v>7589</v>
      </c>
      <c r="C580">
        <f>"RY29LAC"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3</v>
      </c>
      <c r="K580">
        <v>4.725</v>
      </c>
      <c r="L580" s="2">
        <v>2</v>
      </c>
      <c r="M580">
        <v>0</v>
      </c>
      <c r="N580" s="2">
        <v>0</v>
      </c>
      <c r="O580">
        <v>-3.6</v>
      </c>
      <c r="P580" t="s">
        <v>100</v>
      </c>
      <c r="Q580">
        <v>0</v>
      </c>
      <c r="R580" t="s">
        <v>145</v>
      </c>
      <c r="S580">
        <v>0</v>
      </c>
    </row>
    <row r="581" spans="1:19">
      <c r="A581" t="s">
        <v>25</v>
      </c>
      <c r="B581" t="s">
        <v>2001</v>
      </c>
      <c r="C581">
        <f>"LN104"</f>
        <v>0</v>
      </c>
      <c r="D581">
        <v>1</v>
      </c>
      <c r="E581">
        <v>1</v>
      </c>
      <c r="F581">
        <v>2</v>
      </c>
      <c r="G581">
        <v>0</v>
      </c>
      <c r="H581">
        <v>4</v>
      </c>
      <c r="I581">
        <v>1</v>
      </c>
      <c r="J581">
        <v>4</v>
      </c>
      <c r="K581">
        <v>6.084</v>
      </c>
      <c r="L581" s="2">
        <v>2</v>
      </c>
      <c r="M581">
        <v>0</v>
      </c>
      <c r="N581" s="2">
        <v>0</v>
      </c>
      <c r="O581">
        <v>-3.8</v>
      </c>
      <c r="P581" t="s">
        <v>100</v>
      </c>
      <c r="Q581">
        <v>0</v>
      </c>
      <c r="R581" t="s">
        <v>145</v>
      </c>
      <c r="S581">
        <v>0</v>
      </c>
    </row>
    <row r="582" spans="1:19">
      <c r="A582" t="s">
        <v>25</v>
      </c>
      <c r="B582" t="s">
        <v>1748</v>
      </c>
      <c r="C582">
        <f>"ZVP2206"</f>
        <v>0</v>
      </c>
      <c r="D582">
        <v>2</v>
      </c>
      <c r="E582">
        <v>11</v>
      </c>
      <c r="F582">
        <v>0</v>
      </c>
      <c r="G582">
        <v>0</v>
      </c>
      <c r="H582">
        <v>13</v>
      </c>
      <c r="I582">
        <v>1</v>
      </c>
      <c r="J582">
        <v>4</v>
      </c>
      <c r="K582">
        <v>6.444</v>
      </c>
      <c r="L582" s="2">
        <v>2</v>
      </c>
      <c r="M582">
        <v>0</v>
      </c>
      <c r="N582" s="2">
        <v>0</v>
      </c>
      <c r="O582">
        <v>-3.8</v>
      </c>
      <c r="P582" t="s">
        <v>100</v>
      </c>
      <c r="Q582">
        <v>0</v>
      </c>
      <c r="R582" t="s">
        <v>145</v>
      </c>
      <c r="S582">
        <v>0</v>
      </c>
    </row>
    <row r="583" spans="1:19">
      <c r="A583" t="s">
        <v>25</v>
      </c>
      <c r="B583" t="s">
        <v>1896</v>
      </c>
      <c r="C583">
        <f>"6765149"</f>
        <v>0</v>
      </c>
      <c r="D583">
        <v>4</v>
      </c>
      <c r="E583">
        <v>2</v>
      </c>
      <c r="F583">
        <v>0</v>
      </c>
      <c r="G583">
        <v>0</v>
      </c>
      <c r="H583">
        <v>6</v>
      </c>
      <c r="I583">
        <v>1</v>
      </c>
      <c r="J583">
        <v>4</v>
      </c>
      <c r="K583">
        <v>3.06</v>
      </c>
      <c r="L583" s="2">
        <v>1</v>
      </c>
      <c r="M583">
        <v>0</v>
      </c>
      <c r="N583" s="2">
        <v>0</v>
      </c>
      <c r="O583">
        <v>-3.8</v>
      </c>
      <c r="P583" t="s">
        <v>100</v>
      </c>
      <c r="Q583">
        <v>0</v>
      </c>
      <c r="R583" t="s">
        <v>145</v>
      </c>
      <c r="S583">
        <v>0</v>
      </c>
    </row>
    <row r="584" spans="1:19">
      <c r="A584" t="s">
        <v>25</v>
      </c>
      <c r="B584" t="s">
        <v>2324</v>
      </c>
      <c r="C584">
        <f>"425B"</f>
        <v>0</v>
      </c>
      <c r="D584">
        <v>0</v>
      </c>
      <c r="E584">
        <v>1</v>
      </c>
      <c r="F584">
        <v>0</v>
      </c>
      <c r="G584">
        <v>1</v>
      </c>
      <c r="H584">
        <v>2</v>
      </c>
      <c r="I584">
        <v>0.5</v>
      </c>
      <c r="J584">
        <v>8</v>
      </c>
      <c r="K584">
        <v>111.78</v>
      </c>
      <c r="L584" s="2">
        <v>14</v>
      </c>
      <c r="M584">
        <v>0</v>
      </c>
      <c r="N584" s="2">
        <v>0</v>
      </c>
      <c r="O584">
        <v>-4.1</v>
      </c>
      <c r="P584" t="s">
        <v>10346</v>
      </c>
      <c r="Q584">
        <v>-1.052</v>
      </c>
      <c r="R584" t="s">
        <v>10382</v>
      </c>
      <c r="S584">
        <v>1</v>
      </c>
    </row>
    <row r="585" spans="1:19">
      <c r="A585" t="s">
        <v>25</v>
      </c>
      <c r="B585" t="s">
        <v>3403</v>
      </c>
      <c r="C585">
        <f>"ND07050"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4</v>
      </c>
      <c r="K585">
        <v>11.16</v>
      </c>
      <c r="L585" s="2">
        <v>3</v>
      </c>
      <c r="M585">
        <v>0</v>
      </c>
      <c r="N585" s="2">
        <v>0</v>
      </c>
      <c r="O585">
        <v>-4.8</v>
      </c>
      <c r="P585" t="s">
        <v>100</v>
      </c>
      <c r="Q585">
        <v>0</v>
      </c>
      <c r="R585" t="s">
        <v>145</v>
      </c>
      <c r="S585">
        <v>0</v>
      </c>
    </row>
    <row r="586" spans="1:19">
      <c r="A586" t="s">
        <v>25</v>
      </c>
      <c r="B586" t="s">
        <v>9006</v>
      </c>
      <c r="C586">
        <f>"S401AVE"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4</v>
      </c>
      <c r="K586">
        <v>3.872</v>
      </c>
      <c r="L586" s="2">
        <v>1</v>
      </c>
      <c r="M586">
        <v>0</v>
      </c>
      <c r="N586" s="2">
        <v>0</v>
      </c>
      <c r="O586">
        <v>-4.8</v>
      </c>
      <c r="P586" t="s">
        <v>100</v>
      </c>
      <c r="Q586">
        <v>0</v>
      </c>
      <c r="R586" t="s">
        <v>145</v>
      </c>
      <c r="S586">
        <v>0</v>
      </c>
    </row>
    <row r="587" spans="1:19">
      <c r="A587" t="s">
        <v>25</v>
      </c>
      <c r="B587" t="s">
        <v>2592</v>
      </c>
      <c r="C587">
        <f>"BEP22R"</f>
        <v>0</v>
      </c>
      <c r="D587">
        <v>0</v>
      </c>
      <c r="E587">
        <v>1</v>
      </c>
      <c r="F587">
        <v>0</v>
      </c>
      <c r="G587">
        <v>0</v>
      </c>
      <c r="H587">
        <v>1</v>
      </c>
      <c r="I587">
        <v>0</v>
      </c>
      <c r="J587">
        <v>4</v>
      </c>
      <c r="K587">
        <v>7.164</v>
      </c>
      <c r="L587" s="2">
        <v>2</v>
      </c>
      <c r="M587">
        <v>0</v>
      </c>
      <c r="N587" s="2">
        <v>0</v>
      </c>
      <c r="O587">
        <v>-4.8</v>
      </c>
      <c r="P587" t="s">
        <v>100</v>
      </c>
      <c r="Q587">
        <v>0</v>
      </c>
      <c r="R587" t="s">
        <v>145</v>
      </c>
      <c r="S587">
        <v>0</v>
      </c>
    </row>
    <row r="588" spans="1:19">
      <c r="A588" t="s">
        <v>25</v>
      </c>
      <c r="B588" t="s">
        <v>7590</v>
      </c>
      <c r="C588">
        <f>"RY29SA"</f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4</v>
      </c>
      <c r="K588">
        <v>6.084</v>
      </c>
      <c r="L588" s="2">
        <v>2</v>
      </c>
      <c r="M588">
        <v>0</v>
      </c>
      <c r="N588" s="2">
        <v>0</v>
      </c>
      <c r="O588">
        <v>-4.8</v>
      </c>
      <c r="P588" t="s">
        <v>100</v>
      </c>
      <c r="Q588">
        <v>0</v>
      </c>
      <c r="R588" t="s">
        <v>145</v>
      </c>
      <c r="S588">
        <v>0</v>
      </c>
    </row>
    <row r="589" spans="1:19">
      <c r="A589" t="s">
        <v>25</v>
      </c>
      <c r="B589" t="s">
        <v>8644</v>
      </c>
      <c r="C589">
        <f>"S20028"</f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4</v>
      </c>
      <c r="K589">
        <v>86.04000000000001</v>
      </c>
      <c r="L589" s="2">
        <v>22</v>
      </c>
      <c r="M589">
        <v>0</v>
      </c>
      <c r="N589" s="2">
        <v>0</v>
      </c>
      <c r="O589">
        <v>-4.8</v>
      </c>
      <c r="P589" t="s">
        <v>100</v>
      </c>
      <c r="Q589">
        <v>0</v>
      </c>
      <c r="R589" t="s">
        <v>145</v>
      </c>
      <c r="S589">
        <v>0</v>
      </c>
    </row>
    <row r="590" spans="1:19">
      <c r="A590" t="s">
        <v>25</v>
      </c>
      <c r="B590" t="s">
        <v>3895</v>
      </c>
      <c r="C590">
        <f>"AYCS167"</f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4</v>
      </c>
      <c r="K590">
        <v>2.484</v>
      </c>
      <c r="L590" s="2">
        <v>1</v>
      </c>
      <c r="M590">
        <v>0</v>
      </c>
      <c r="N590" s="2">
        <v>0</v>
      </c>
      <c r="O590">
        <v>-4.8</v>
      </c>
      <c r="P590" t="s">
        <v>100</v>
      </c>
      <c r="Q590">
        <v>0</v>
      </c>
      <c r="R590" t="s">
        <v>145</v>
      </c>
      <c r="S590">
        <v>0</v>
      </c>
    </row>
    <row r="591" spans="1:19">
      <c r="A591" t="s">
        <v>25</v>
      </c>
      <c r="B591" t="s">
        <v>9643</v>
      </c>
      <c r="C591">
        <f>"PD20014VS"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4</v>
      </c>
      <c r="K591">
        <v>0</v>
      </c>
      <c r="L591" s="2">
        <v>0</v>
      </c>
      <c r="M591">
        <v>0</v>
      </c>
      <c r="N591" s="2">
        <v>0</v>
      </c>
      <c r="O591">
        <v>-4.8</v>
      </c>
      <c r="P591" t="s">
        <v>100</v>
      </c>
      <c r="Q591">
        <v>0</v>
      </c>
      <c r="R591" t="s">
        <v>145</v>
      </c>
      <c r="S591">
        <v>0</v>
      </c>
    </row>
    <row r="592" spans="1:19">
      <c r="A592" t="s">
        <v>25</v>
      </c>
      <c r="B592" t="s">
        <v>9439</v>
      </c>
      <c r="C592">
        <f>"PD20014RS"</f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4</v>
      </c>
      <c r="K592">
        <v>0</v>
      </c>
      <c r="L592" s="2">
        <v>0</v>
      </c>
      <c r="M592">
        <v>0</v>
      </c>
      <c r="N592" s="2">
        <v>0</v>
      </c>
      <c r="O592">
        <v>-4.8</v>
      </c>
      <c r="P592" t="s">
        <v>100</v>
      </c>
      <c r="Q592">
        <v>0</v>
      </c>
      <c r="R592" t="s">
        <v>145</v>
      </c>
      <c r="S592">
        <v>0</v>
      </c>
    </row>
    <row r="593" spans="1:19">
      <c r="A593" t="s">
        <v>25</v>
      </c>
      <c r="B593" t="s">
        <v>8626</v>
      </c>
      <c r="C593">
        <f>"JS105VE"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4</v>
      </c>
      <c r="K593">
        <v>0</v>
      </c>
      <c r="L593" s="2">
        <v>0</v>
      </c>
      <c r="M593">
        <v>0</v>
      </c>
      <c r="N593" s="2">
        <v>0</v>
      </c>
      <c r="O593">
        <v>-4.8</v>
      </c>
      <c r="P593" t="s">
        <v>100</v>
      </c>
      <c r="Q593">
        <v>0</v>
      </c>
      <c r="R593" t="s">
        <v>145</v>
      </c>
      <c r="S593">
        <v>0</v>
      </c>
    </row>
    <row r="594" spans="1:19">
      <c r="A594" t="s">
        <v>25</v>
      </c>
      <c r="B594" t="s">
        <v>9379</v>
      </c>
      <c r="C594">
        <f>"PD20014NL"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4</v>
      </c>
      <c r="K594">
        <v>0</v>
      </c>
      <c r="L594" s="2">
        <v>0</v>
      </c>
      <c r="M594">
        <v>0</v>
      </c>
      <c r="N594" s="2">
        <v>0</v>
      </c>
      <c r="O594">
        <v>-4.8</v>
      </c>
      <c r="P594" t="s">
        <v>100</v>
      </c>
      <c r="Q594">
        <v>0</v>
      </c>
      <c r="R594" t="s">
        <v>145</v>
      </c>
      <c r="S594">
        <v>0</v>
      </c>
    </row>
    <row r="595" spans="1:19">
      <c r="A595" t="s">
        <v>25</v>
      </c>
      <c r="B595" t="s">
        <v>8730</v>
      </c>
      <c r="C595">
        <f>"YB0741"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4</v>
      </c>
      <c r="K595">
        <v>71.64</v>
      </c>
      <c r="L595" s="2">
        <v>18</v>
      </c>
      <c r="M595">
        <v>0</v>
      </c>
      <c r="N595" s="2">
        <v>0</v>
      </c>
      <c r="O595">
        <v>-4.8</v>
      </c>
      <c r="P595" t="s">
        <v>100</v>
      </c>
      <c r="Q595">
        <v>0</v>
      </c>
      <c r="R595" t="s">
        <v>145</v>
      </c>
      <c r="S595">
        <v>0</v>
      </c>
    </row>
    <row r="596" spans="1:19">
      <c r="A596" t="s">
        <v>25</v>
      </c>
      <c r="B596" t="s">
        <v>4520</v>
      </c>
      <c r="C596">
        <f>"S101ROJ"</f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4</v>
      </c>
      <c r="K596">
        <v>16.2</v>
      </c>
      <c r="L596" s="2">
        <v>4</v>
      </c>
      <c r="M596">
        <v>0</v>
      </c>
      <c r="N596" s="2">
        <v>0</v>
      </c>
      <c r="O596">
        <v>-4.8</v>
      </c>
      <c r="P596" t="s">
        <v>100</v>
      </c>
      <c r="Q596">
        <v>0</v>
      </c>
      <c r="R596" t="s">
        <v>145</v>
      </c>
      <c r="S596">
        <v>0</v>
      </c>
    </row>
    <row r="597" spans="1:19">
      <c r="A597" t="s">
        <v>25</v>
      </c>
      <c r="B597" t="s">
        <v>9047</v>
      </c>
      <c r="C597">
        <f>"JS015SR"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4</v>
      </c>
      <c r="K597">
        <v>8.82</v>
      </c>
      <c r="L597" s="2">
        <v>2</v>
      </c>
      <c r="M597">
        <v>0</v>
      </c>
      <c r="N597" s="2">
        <v>0</v>
      </c>
      <c r="O597">
        <v>-4.8</v>
      </c>
      <c r="P597" t="s">
        <v>100</v>
      </c>
      <c r="Q597">
        <v>0</v>
      </c>
      <c r="R597" t="s">
        <v>145</v>
      </c>
      <c r="S597">
        <v>0</v>
      </c>
    </row>
    <row r="598" spans="1:19">
      <c r="A598" t="s">
        <v>25</v>
      </c>
      <c r="B598" t="s">
        <v>8625</v>
      </c>
      <c r="C598">
        <f>"SP001S"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4</v>
      </c>
      <c r="K598">
        <v>10.62</v>
      </c>
      <c r="L598" s="2">
        <v>3</v>
      </c>
      <c r="M598">
        <v>0</v>
      </c>
      <c r="N598" s="2">
        <v>0</v>
      </c>
      <c r="O598">
        <v>-4.8</v>
      </c>
      <c r="P598" t="s">
        <v>100</v>
      </c>
      <c r="Q598">
        <v>0</v>
      </c>
      <c r="R598" t="s">
        <v>145</v>
      </c>
      <c r="S598">
        <v>0</v>
      </c>
    </row>
    <row r="599" spans="1:19">
      <c r="A599" t="s">
        <v>25</v>
      </c>
      <c r="B599" t="s">
        <v>8989</v>
      </c>
      <c r="C599">
        <f>"S402AMO"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4</v>
      </c>
      <c r="K599">
        <v>10.764</v>
      </c>
      <c r="L599" s="2">
        <v>3</v>
      </c>
      <c r="M599">
        <v>0</v>
      </c>
      <c r="N599" s="2">
        <v>0</v>
      </c>
      <c r="O599">
        <v>-4.8</v>
      </c>
      <c r="P599" t="s">
        <v>100</v>
      </c>
      <c r="Q599">
        <v>0</v>
      </c>
      <c r="R599" t="s">
        <v>145</v>
      </c>
      <c r="S599">
        <v>0</v>
      </c>
    </row>
    <row r="600" spans="1:19">
      <c r="A600" t="s">
        <v>25</v>
      </c>
      <c r="B600" t="s">
        <v>8962</v>
      </c>
      <c r="C600">
        <f>"S402AVE"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4</v>
      </c>
      <c r="K600">
        <v>10.764</v>
      </c>
      <c r="L600" s="2">
        <v>3</v>
      </c>
      <c r="M600">
        <v>0</v>
      </c>
      <c r="N600" s="2">
        <v>0</v>
      </c>
      <c r="O600">
        <v>-4.8</v>
      </c>
      <c r="P600" t="s">
        <v>100</v>
      </c>
      <c r="Q600">
        <v>0</v>
      </c>
      <c r="R600" t="s">
        <v>145</v>
      </c>
      <c r="S600">
        <v>0</v>
      </c>
    </row>
    <row r="601" spans="1:19">
      <c r="A601" t="s">
        <v>25</v>
      </c>
      <c r="B601" t="s">
        <v>1812</v>
      </c>
      <c r="C601">
        <f>"ZVP2556"</f>
        <v>0</v>
      </c>
      <c r="D601">
        <v>3</v>
      </c>
      <c r="E601">
        <v>1</v>
      </c>
      <c r="F601">
        <v>5</v>
      </c>
      <c r="G601">
        <v>0</v>
      </c>
      <c r="H601">
        <v>9</v>
      </c>
      <c r="I601">
        <v>2</v>
      </c>
      <c r="J601">
        <v>6</v>
      </c>
      <c r="K601">
        <v>8.586</v>
      </c>
      <c r="L601" s="2">
        <v>1</v>
      </c>
      <c r="M601">
        <v>0</v>
      </c>
      <c r="N601" s="2">
        <v>0</v>
      </c>
      <c r="O601">
        <v>-5.199999999999999</v>
      </c>
      <c r="P601" t="s">
        <v>100</v>
      </c>
      <c r="Q601">
        <v>0</v>
      </c>
      <c r="R601" t="s">
        <v>145</v>
      </c>
      <c r="S601">
        <v>0</v>
      </c>
    </row>
    <row r="602" spans="1:19">
      <c r="A602" t="s">
        <v>25</v>
      </c>
      <c r="B602" t="s">
        <v>1792</v>
      </c>
      <c r="C602">
        <f>"50562"</f>
        <v>0</v>
      </c>
      <c r="D602">
        <v>1</v>
      </c>
      <c r="E602">
        <v>3</v>
      </c>
      <c r="F602">
        <v>6</v>
      </c>
      <c r="G602">
        <v>0</v>
      </c>
      <c r="H602">
        <v>10</v>
      </c>
      <c r="I602">
        <v>2</v>
      </c>
      <c r="J602">
        <v>6</v>
      </c>
      <c r="K602">
        <v>21.546</v>
      </c>
      <c r="L602" s="2">
        <v>4</v>
      </c>
      <c r="M602">
        <v>0</v>
      </c>
      <c r="N602" s="2">
        <v>0</v>
      </c>
      <c r="O602">
        <v>-5.199999999999999</v>
      </c>
      <c r="P602" t="s">
        <v>100</v>
      </c>
      <c r="Q602">
        <v>0</v>
      </c>
      <c r="R602" t="s">
        <v>145</v>
      </c>
      <c r="S602">
        <v>0</v>
      </c>
    </row>
    <row r="603" spans="1:19">
      <c r="A603" t="s">
        <v>25</v>
      </c>
      <c r="B603" t="s">
        <v>1927</v>
      </c>
      <c r="C603">
        <f>"ZVP1109"</f>
        <v>0</v>
      </c>
      <c r="D603">
        <v>2</v>
      </c>
      <c r="E603">
        <v>2</v>
      </c>
      <c r="F603">
        <v>1</v>
      </c>
      <c r="G603">
        <v>0</v>
      </c>
      <c r="H603">
        <v>5</v>
      </c>
      <c r="I603">
        <v>1.5</v>
      </c>
      <c r="J603">
        <v>6</v>
      </c>
      <c r="K603">
        <v>8.586</v>
      </c>
      <c r="L603" s="2">
        <v>1</v>
      </c>
      <c r="M603">
        <v>0</v>
      </c>
      <c r="N603" s="2">
        <v>0</v>
      </c>
      <c r="O603">
        <v>-5.699999999999999</v>
      </c>
      <c r="P603" t="s">
        <v>100</v>
      </c>
      <c r="Q603">
        <v>0</v>
      </c>
      <c r="R603" t="s">
        <v>145</v>
      </c>
      <c r="S603">
        <v>0</v>
      </c>
    </row>
    <row r="604" spans="1:19">
      <c r="A604" t="s">
        <v>25</v>
      </c>
      <c r="B604" t="s">
        <v>9677</v>
      </c>
      <c r="C604">
        <f>"S304"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5</v>
      </c>
      <c r="K604">
        <v>14.715</v>
      </c>
      <c r="L604" s="2">
        <v>3</v>
      </c>
      <c r="M604">
        <v>0</v>
      </c>
      <c r="N604" s="2">
        <v>0</v>
      </c>
      <c r="O604">
        <v>-6</v>
      </c>
      <c r="P604" t="s">
        <v>100</v>
      </c>
      <c r="Q604">
        <v>0</v>
      </c>
      <c r="R604" t="s">
        <v>145</v>
      </c>
      <c r="S604">
        <v>0</v>
      </c>
    </row>
    <row r="605" spans="1:19">
      <c r="A605" t="s">
        <v>25</v>
      </c>
      <c r="B605" t="s">
        <v>9643</v>
      </c>
      <c r="C605">
        <f>"PD20014VL"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5</v>
      </c>
      <c r="K605">
        <v>0</v>
      </c>
      <c r="L605" s="2">
        <v>0</v>
      </c>
      <c r="M605">
        <v>0</v>
      </c>
      <c r="N605" s="2">
        <v>0</v>
      </c>
      <c r="O605">
        <v>-6</v>
      </c>
      <c r="P605" t="s">
        <v>100</v>
      </c>
      <c r="Q605">
        <v>0</v>
      </c>
      <c r="R605" t="s">
        <v>145</v>
      </c>
      <c r="S605">
        <v>0</v>
      </c>
    </row>
    <row r="606" spans="1:19">
      <c r="A606" t="s">
        <v>25</v>
      </c>
      <c r="B606" t="s">
        <v>9559</v>
      </c>
      <c r="C606">
        <f>"MS004"</f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5</v>
      </c>
      <c r="K606">
        <v>6.255</v>
      </c>
      <c r="L606" s="2">
        <v>1</v>
      </c>
      <c r="M606">
        <v>0</v>
      </c>
      <c r="N606" s="2">
        <v>0</v>
      </c>
      <c r="O606">
        <v>-6</v>
      </c>
      <c r="P606" t="s">
        <v>100</v>
      </c>
      <c r="Q606">
        <v>0</v>
      </c>
      <c r="R606" t="s">
        <v>145</v>
      </c>
      <c r="S606">
        <v>0</v>
      </c>
    </row>
    <row r="607" spans="1:19">
      <c r="A607" t="s">
        <v>25</v>
      </c>
      <c r="B607" t="s">
        <v>7610</v>
      </c>
      <c r="C607">
        <f>"RY29LB"</f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5</v>
      </c>
      <c r="K607">
        <v>8.01</v>
      </c>
      <c r="L607" s="2">
        <v>2</v>
      </c>
      <c r="M607">
        <v>0</v>
      </c>
      <c r="N607" s="2">
        <v>0</v>
      </c>
      <c r="O607">
        <v>-6</v>
      </c>
      <c r="P607" t="s">
        <v>100</v>
      </c>
      <c r="Q607">
        <v>0</v>
      </c>
      <c r="R607" t="s">
        <v>145</v>
      </c>
      <c r="S607">
        <v>0</v>
      </c>
    </row>
    <row r="608" spans="1:19">
      <c r="A608" t="s">
        <v>25</v>
      </c>
      <c r="B608" t="s">
        <v>2579</v>
      </c>
      <c r="C608">
        <f>"6765019"</f>
        <v>0</v>
      </c>
      <c r="D608">
        <v>0</v>
      </c>
      <c r="E608">
        <v>0</v>
      </c>
      <c r="F608">
        <v>1</v>
      </c>
      <c r="G608">
        <v>0</v>
      </c>
      <c r="H608">
        <v>1</v>
      </c>
      <c r="I608">
        <v>0</v>
      </c>
      <c r="J608">
        <v>5</v>
      </c>
      <c r="K608">
        <v>7.605</v>
      </c>
      <c r="L608" s="2">
        <v>2</v>
      </c>
      <c r="M608">
        <v>0</v>
      </c>
      <c r="N608" s="2">
        <v>0</v>
      </c>
      <c r="O608">
        <v>-6</v>
      </c>
      <c r="P608" t="s">
        <v>100</v>
      </c>
      <c r="Q608">
        <v>0</v>
      </c>
      <c r="R608" t="s">
        <v>145</v>
      </c>
      <c r="S608">
        <v>0</v>
      </c>
    </row>
    <row r="609" spans="1:19">
      <c r="A609" t="s">
        <v>25</v>
      </c>
      <c r="B609" t="s">
        <v>9379</v>
      </c>
      <c r="C609">
        <f>"PD20014NM"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5</v>
      </c>
      <c r="K609">
        <v>0</v>
      </c>
      <c r="L609" s="2">
        <v>0</v>
      </c>
      <c r="M609">
        <v>0</v>
      </c>
      <c r="N609" s="2">
        <v>0</v>
      </c>
      <c r="O609">
        <v>-6</v>
      </c>
      <c r="P609" t="s">
        <v>100</v>
      </c>
      <c r="Q609">
        <v>0</v>
      </c>
      <c r="R609" t="s">
        <v>145</v>
      </c>
      <c r="S609">
        <v>0</v>
      </c>
    </row>
    <row r="610" spans="1:19">
      <c r="A610" t="s">
        <v>25</v>
      </c>
      <c r="B610" t="s">
        <v>9439</v>
      </c>
      <c r="C610">
        <f>"PD20014RXS"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5</v>
      </c>
      <c r="K610">
        <v>0</v>
      </c>
      <c r="L610" s="2">
        <v>0</v>
      </c>
      <c r="M610">
        <v>0</v>
      </c>
      <c r="N610" s="2">
        <v>0</v>
      </c>
      <c r="O610">
        <v>-6</v>
      </c>
      <c r="P610" t="s">
        <v>100</v>
      </c>
      <c r="Q610">
        <v>0</v>
      </c>
      <c r="R610" t="s">
        <v>145</v>
      </c>
      <c r="S610">
        <v>0</v>
      </c>
    </row>
    <row r="611" spans="1:19">
      <c r="A611" t="s">
        <v>25</v>
      </c>
      <c r="B611" t="s">
        <v>3435</v>
      </c>
      <c r="C611">
        <f>"TD04"</f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5</v>
      </c>
      <c r="K611">
        <v>22.496</v>
      </c>
      <c r="L611" s="2">
        <v>4</v>
      </c>
      <c r="M611">
        <v>0</v>
      </c>
      <c r="N611" s="2">
        <v>0</v>
      </c>
      <c r="O611">
        <v>-6</v>
      </c>
      <c r="P611" t="s">
        <v>100</v>
      </c>
      <c r="Q611">
        <v>0</v>
      </c>
      <c r="R611" t="s">
        <v>145</v>
      </c>
      <c r="S611">
        <v>0</v>
      </c>
    </row>
    <row r="612" spans="1:19">
      <c r="A612" t="s">
        <v>25</v>
      </c>
      <c r="B612" t="s">
        <v>2284</v>
      </c>
      <c r="C612">
        <f>"AYCS025"</f>
        <v>0</v>
      </c>
      <c r="D612">
        <v>2</v>
      </c>
      <c r="E612">
        <v>0</v>
      </c>
      <c r="F612">
        <v>0</v>
      </c>
      <c r="G612">
        <v>0</v>
      </c>
      <c r="H612">
        <v>2</v>
      </c>
      <c r="I612">
        <v>0</v>
      </c>
      <c r="J612">
        <v>5</v>
      </c>
      <c r="K612">
        <v>4.455</v>
      </c>
      <c r="L612" s="2">
        <v>1</v>
      </c>
      <c r="M612">
        <v>0</v>
      </c>
      <c r="N612" s="2">
        <v>0</v>
      </c>
      <c r="O612">
        <v>-6</v>
      </c>
      <c r="P612" t="s">
        <v>100</v>
      </c>
      <c r="Q612">
        <v>0</v>
      </c>
      <c r="R612" t="s">
        <v>145</v>
      </c>
      <c r="S612">
        <v>0</v>
      </c>
    </row>
    <row r="613" spans="1:19">
      <c r="A613" t="s">
        <v>25</v>
      </c>
      <c r="B613" t="s">
        <v>1932</v>
      </c>
      <c r="C613">
        <f>"49020"</f>
        <v>0</v>
      </c>
      <c r="D613">
        <v>0</v>
      </c>
      <c r="E613">
        <v>3</v>
      </c>
      <c r="F613">
        <v>2</v>
      </c>
      <c r="G613">
        <v>0</v>
      </c>
      <c r="H613">
        <v>5</v>
      </c>
      <c r="I613">
        <v>1</v>
      </c>
      <c r="J613">
        <v>6</v>
      </c>
      <c r="K613">
        <v>21.06</v>
      </c>
      <c r="L613" s="2">
        <v>4</v>
      </c>
      <c r="M613">
        <v>0</v>
      </c>
      <c r="N613" s="2">
        <v>0</v>
      </c>
      <c r="O613">
        <v>-6.199999999999999</v>
      </c>
      <c r="P613" t="s">
        <v>100</v>
      </c>
      <c r="Q613">
        <v>0</v>
      </c>
      <c r="R613" t="s">
        <v>145</v>
      </c>
      <c r="S613">
        <v>0</v>
      </c>
    </row>
    <row r="614" spans="1:19">
      <c r="A614" t="s">
        <v>25</v>
      </c>
      <c r="B614" t="s">
        <v>2286</v>
      </c>
      <c r="C614">
        <f>"53126"</f>
        <v>0</v>
      </c>
      <c r="D614">
        <v>1</v>
      </c>
      <c r="E614">
        <v>0</v>
      </c>
      <c r="F614">
        <v>1</v>
      </c>
      <c r="G614">
        <v>0</v>
      </c>
      <c r="H614">
        <v>2</v>
      </c>
      <c r="I614">
        <v>0.5</v>
      </c>
      <c r="J614">
        <v>6</v>
      </c>
      <c r="K614">
        <v>53.46</v>
      </c>
      <c r="L614" s="2">
        <v>9</v>
      </c>
      <c r="M614">
        <v>0</v>
      </c>
      <c r="N614" s="2">
        <v>0</v>
      </c>
      <c r="O614">
        <v>-6.699999999999999</v>
      </c>
      <c r="P614" t="s">
        <v>100</v>
      </c>
      <c r="Q614">
        <v>0</v>
      </c>
      <c r="R614" t="s">
        <v>145</v>
      </c>
      <c r="S614">
        <v>0</v>
      </c>
    </row>
    <row r="615" spans="1:19">
      <c r="A615" t="s">
        <v>25</v>
      </c>
      <c r="B615" t="s">
        <v>1690</v>
      </c>
      <c r="C615">
        <f>"MYG003"</f>
        <v>0</v>
      </c>
      <c r="D615">
        <v>9</v>
      </c>
      <c r="E615">
        <v>2</v>
      </c>
      <c r="F615">
        <v>8</v>
      </c>
      <c r="G615">
        <v>0</v>
      </c>
      <c r="H615">
        <v>19</v>
      </c>
      <c r="I615">
        <v>5</v>
      </c>
      <c r="J615">
        <v>10</v>
      </c>
      <c r="K615">
        <v>2.61</v>
      </c>
      <c r="L615" s="2">
        <v>0</v>
      </c>
      <c r="M615">
        <v>0</v>
      </c>
      <c r="N615" s="2">
        <v>0</v>
      </c>
      <c r="O615">
        <v>-7</v>
      </c>
      <c r="P615" t="s">
        <v>100</v>
      </c>
      <c r="Q615">
        <v>0</v>
      </c>
      <c r="R615" t="s">
        <v>145</v>
      </c>
      <c r="S615">
        <v>0</v>
      </c>
    </row>
    <row r="616" spans="1:19">
      <c r="A616" t="s">
        <v>25</v>
      </c>
      <c r="B616" t="s">
        <v>8660</v>
      </c>
      <c r="C616">
        <f>"YB018"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6</v>
      </c>
      <c r="K616">
        <v>107.46</v>
      </c>
      <c r="L616" s="2">
        <v>18</v>
      </c>
      <c r="M616">
        <v>0</v>
      </c>
      <c r="N616" s="2">
        <v>0</v>
      </c>
      <c r="O616">
        <v>-7.199999999999999</v>
      </c>
      <c r="P616" t="s">
        <v>100</v>
      </c>
      <c r="Q616">
        <v>0</v>
      </c>
      <c r="R616" t="s">
        <v>145</v>
      </c>
      <c r="S616">
        <v>0</v>
      </c>
    </row>
    <row r="617" spans="1:19">
      <c r="A617" t="s">
        <v>25</v>
      </c>
      <c r="B617" t="s">
        <v>3181</v>
      </c>
      <c r="C617">
        <f>"nd07100"</f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6</v>
      </c>
      <c r="K617">
        <v>18.9</v>
      </c>
      <c r="L617" s="2">
        <v>3</v>
      </c>
      <c r="M617">
        <v>0</v>
      </c>
      <c r="N617" s="2">
        <v>0</v>
      </c>
      <c r="O617">
        <v>-7.199999999999999</v>
      </c>
      <c r="P617" t="s">
        <v>100</v>
      </c>
      <c r="Q617">
        <v>0</v>
      </c>
      <c r="R617" t="s">
        <v>145</v>
      </c>
      <c r="S617">
        <v>0</v>
      </c>
    </row>
    <row r="618" spans="1:19">
      <c r="A618" t="s">
        <v>25</v>
      </c>
      <c r="B618" t="s">
        <v>2218</v>
      </c>
      <c r="C618">
        <f>"53136"</f>
        <v>0</v>
      </c>
      <c r="D618">
        <v>0</v>
      </c>
      <c r="E618">
        <v>2</v>
      </c>
      <c r="F618">
        <v>0</v>
      </c>
      <c r="G618">
        <v>0</v>
      </c>
      <c r="H618">
        <v>2</v>
      </c>
      <c r="I618">
        <v>0</v>
      </c>
      <c r="J618">
        <v>6</v>
      </c>
      <c r="K618">
        <v>49.41</v>
      </c>
      <c r="L618" s="2">
        <v>8</v>
      </c>
      <c r="M618">
        <v>0</v>
      </c>
      <c r="N618" s="2">
        <v>0</v>
      </c>
      <c r="O618">
        <v>-7.199999999999999</v>
      </c>
      <c r="P618" t="s">
        <v>100</v>
      </c>
      <c r="Q618">
        <v>0</v>
      </c>
      <c r="R618" t="s">
        <v>145</v>
      </c>
      <c r="S618">
        <v>0</v>
      </c>
    </row>
    <row r="619" spans="1:19">
      <c r="A619" t="s">
        <v>25</v>
      </c>
      <c r="B619" t="s">
        <v>8661</v>
      </c>
      <c r="C619">
        <f>"114"</f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6</v>
      </c>
      <c r="K619">
        <v>31.59</v>
      </c>
      <c r="L619" s="2">
        <v>5</v>
      </c>
      <c r="M619">
        <v>0</v>
      </c>
      <c r="N619" s="2">
        <v>0</v>
      </c>
      <c r="O619">
        <v>-7.199999999999999</v>
      </c>
      <c r="P619" t="s">
        <v>100</v>
      </c>
      <c r="Q619">
        <v>0</v>
      </c>
      <c r="R619" t="s">
        <v>145</v>
      </c>
      <c r="S619">
        <v>0</v>
      </c>
    </row>
    <row r="620" spans="1:19">
      <c r="A620" t="s">
        <v>25</v>
      </c>
      <c r="B620" t="s">
        <v>1715</v>
      </c>
      <c r="C620">
        <f>"STB50"</f>
        <v>0</v>
      </c>
      <c r="D620">
        <v>6</v>
      </c>
      <c r="E620">
        <v>2</v>
      </c>
      <c r="F620">
        <v>9</v>
      </c>
      <c r="G620">
        <v>0</v>
      </c>
      <c r="H620">
        <v>17</v>
      </c>
      <c r="I620">
        <v>4</v>
      </c>
      <c r="J620">
        <v>10</v>
      </c>
      <c r="K620">
        <v>7.11</v>
      </c>
      <c r="L620" s="2">
        <v>1</v>
      </c>
      <c r="M620">
        <v>0</v>
      </c>
      <c r="N620" s="2">
        <v>0</v>
      </c>
      <c r="O620">
        <v>-8</v>
      </c>
      <c r="P620" t="s">
        <v>100</v>
      </c>
      <c r="Q620">
        <v>0</v>
      </c>
      <c r="R620" t="s">
        <v>145</v>
      </c>
      <c r="S620">
        <v>0</v>
      </c>
    </row>
    <row r="621" spans="1:19">
      <c r="A621" t="s">
        <v>25</v>
      </c>
      <c r="B621" t="s">
        <v>1583</v>
      </c>
      <c r="C621">
        <f>"LF013"</f>
        <v>0</v>
      </c>
      <c r="D621">
        <v>0</v>
      </c>
      <c r="E621">
        <v>0</v>
      </c>
      <c r="F621">
        <v>0</v>
      </c>
      <c r="G621">
        <v>1</v>
      </c>
      <c r="H621">
        <v>1</v>
      </c>
      <c r="I621">
        <v>0</v>
      </c>
      <c r="J621">
        <v>11</v>
      </c>
      <c r="K621">
        <v>44.055</v>
      </c>
      <c r="L621" s="2">
        <v>4</v>
      </c>
      <c r="M621">
        <v>0</v>
      </c>
      <c r="N621" s="2">
        <v>0</v>
      </c>
      <c r="O621">
        <v>-8.199999999999999</v>
      </c>
      <c r="P621" t="s">
        <v>10347</v>
      </c>
      <c r="Q621">
        <v>188</v>
      </c>
      <c r="R621" t="s">
        <v>10383</v>
      </c>
      <c r="S621">
        <v>1</v>
      </c>
    </row>
    <row r="622" spans="1:19">
      <c r="A622" t="s">
        <v>25</v>
      </c>
      <c r="B622" t="s">
        <v>6216</v>
      </c>
      <c r="C622">
        <f>"NN02S"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7</v>
      </c>
      <c r="K622">
        <v>26.46</v>
      </c>
      <c r="L622" s="2">
        <v>4</v>
      </c>
      <c r="M622">
        <v>0</v>
      </c>
      <c r="N622" s="2">
        <v>0</v>
      </c>
      <c r="O622">
        <v>-8.4</v>
      </c>
      <c r="P622" t="s">
        <v>100</v>
      </c>
      <c r="Q622">
        <v>0</v>
      </c>
      <c r="R622" t="s">
        <v>145</v>
      </c>
      <c r="S622">
        <v>0</v>
      </c>
    </row>
    <row r="623" spans="1:19">
      <c r="A623" t="s">
        <v>25</v>
      </c>
      <c r="B623" t="s">
        <v>9043</v>
      </c>
      <c r="C623">
        <f>"JS015XSR"</f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7</v>
      </c>
      <c r="K623">
        <v>14.175</v>
      </c>
      <c r="L623" s="2">
        <v>2</v>
      </c>
      <c r="M623">
        <v>0</v>
      </c>
      <c r="N623" s="2">
        <v>0</v>
      </c>
      <c r="O623">
        <v>-8.4</v>
      </c>
      <c r="P623" t="s">
        <v>100</v>
      </c>
      <c r="Q623">
        <v>0</v>
      </c>
      <c r="R623" t="s">
        <v>145</v>
      </c>
      <c r="S623">
        <v>0</v>
      </c>
    </row>
    <row r="624" spans="1:19">
      <c r="A624" t="s">
        <v>25</v>
      </c>
      <c r="B624" t="s">
        <v>4601</v>
      </c>
      <c r="C624">
        <f>"ND12001"</f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7</v>
      </c>
      <c r="K624">
        <v>47.25</v>
      </c>
      <c r="L624" s="2">
        <v>7</v>
      </c>
      <c r="M624">
        <v>0</v>
      </c>
      <c r="N624" s="2">
        <v>0</v>
      </c>
      <c r="O624">
        <v>-8.4</v>
      </c>
      <c r="P624" t="s">
        <v>100</v>
      </c>
      <c r="Q624">
        <v>0</v>
      </c>
      <c r="R624" t="s">
        <v>145</v>
      </c>
      <c r="S624">
        <v>0</v>
      </c>
    </row>
    <row r="625" spans="1:19">
      <c r="A625" t="s">
        <v>25</v>
      </c>
      <c r="B625" t="s">
        <v>2265</v>
      </c>
      <c r="C625">
        <f>"JS015MJ"</f>
        <v>0</v>
      </c>
      <c r="D625">
        <v>0</v>
      </c>
      <c r="E625">
        <v>0</v>
      </c>
      <c r="F625">
        <v>2</v>
      </c>
      <c r="G625">
        <v>0</v>
      </c>
      <c r="H625">
        <v>2</v>
      </c>
      <c r="I625">
        <v>0</v>
      </c>
      <c r="J625">
        <v>7</v>
      </c>
      <c r="K625">
        <v>18.207</v>
      </c>
      <c r="L625" s="2">
        <v>3</v>
      </c>
      <c r="M625">
        <v>0</v>
      </c>
      <c r="N625" s="2">
        <v>0</v>
      </c>
      <c r="O625">
        <v>-8.4</v>
      </c>
      <c r="P625" t="s">
        <v>100</v>
      </c>
      <c r="Q625">
        <v>0</v>
      </c>
      <c r="R625" t="s">
        <v>145</v>
      </c>
      <c r="S625">
        <v>0</v>
      </c>
    </row>
    <row r="626" spans="1:19">
      <c r="A626" t="s">
        <v>25</v>
      </c>
      <c r="B626" t="s">
        <v>8655</v>
      </c>
      <c r="C626">
        <f>"125"</f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7</v>
      </c>
      <c r="K626">
        <v>59.85</v>
      </c>
      <c r="L626" s="2">
        <v>9</v>
      </c>
      <c r="M626">
        <v>0</v>
      </c>
      <c r="N626" s="2">
        <v>0</v>
      </c>
      <c r="O626">
        <v>-8.4</v>
      </c>
      <c r="P626" t="s">
        <v>100</v>
      </c>
      <c r="Q626">
        <v>0</v>
      </c>
      <c r="R626" t="s">
        <v>145</v>
      </c>
      <c r="S626">
        <v>0</v>
      </c>
    </row>
    <row r="627" spans="1:19">
      <c r="A627" t="s">
        <v>25</v>
      </c>
      <c r="B627" t="s">
        <v>9088</v>
      </c>
      <c r="C627">
        <f>"6765170"</f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7</v>
      </c>
      <c r="K627">
        <v>8.127000000000001</v>
      </c>
      <c r="L627" s="2">
        <v>1</v>
      </c>
      <c r="M627">
        <v>0</v>
      </c>
      <c r="N627" s="2">
        <v>0</v>
      </c>
      <c r="O627">
        <v>-8.4</v>
      </c>
      <c r="P627" t="s">
        <v>100</v>
      </c>
      <c r="Q627">
        <v>0</v>
      </c>
      <c r="R627" t="s">
        <v>145</v>
      </c>
      <c r="S627">
        <v>0</v>
      </c>
    </row>
    <row r="628" spans="1:19">
      <c r="A628" t="s">
        <v>25</v>
      </c>
      <c r="B628" t="s">
        <v>1716</v>
      </c>
      <c r="C628">
        <f>"ZVP1051"</f>
        <v>0</v>
      </c>
      <c r="D628">
        <v>10</v>
      </c>
      <c r="E628">
        <v>0</v>
      </c>
      <c r="F628">
        <v>7</v>
      </c>
      <c r="G628">
        <v>0</v>
      </c>
      <c r="H628">
        <v>17</v>
      </c>
      <c r="I628">
        <v>3.5</v>
      </c>
      <c r="J628">
        <v>10</v>
      </c>
      <c r="K628">
        <v>17.55</v>
      </c>
      <c r="L628" s="2">
        <v>2</v>
      </c>
      <c r="M628">
        <v>0</v>
      </c>
      <c r="N628" s="2">
        <v>0</v>
      </c>
      <c r="O628">
        <v>-8.5</v>
      </c>
      <c r="P628" t="s">
        <v>100</v>
      </c>
      <c r="Q628">
        <v>0</v>
      </c>
      <c r="R628" t="s">
        <v>145</v>
      </c>
      <c r="S628">
        <v>0</v>
      </c>
    </row>
    <row r="629" spans="1:19">
      <c r="A629" t="s">
        <v>25</v>
      </c>
      <c r="B629" t="s">
        <v>2569</v>
      </c>
      <c r="C629">
        <f>"6765163"</f>
        <v>0</v>
      </c>
      <c r="D629">
        <v>0</v>
      </c>
      <c r="E629">
        <v>0</v>
      </c>
      <c r="F629">
        <v>1</v>
      </c>
      <c r="G629">
        <v>0</v>
      </c>
      <c r="H629">
        <v>1</v>
      </c>
      <c r="I629">
        <v>0</v>
      </c>
      <c r="J629">
        <v>8</v>
      </c>
      <c r="K629">
        <v>12.168</v>
      </c>
      <c r="L629" s="2">
        <v>2</v>
      </c>
      <c r="M629">
        <v>0</v>
      </c>
      <c r="N629" s="2">
        <v>0</v>
      </c>
      <c r="O629">
        <v>-9.6</v>
      </c>
      <c r="P629" t="s">
        <v>100</v>
      </c>
      <c r="Q629">
        <v>0</v>
      </c>
      <c r="R629" t="s">
        <v>145</v>
      </c>
      <c r="S629">
        <v>0</v>
      </c>
    </row>
    <row r="630" spans="1:19">
      <c r="A630" t="s">
        <v>25</v>
      </c>
      <c r="B630" t="s">
        <v>3449</v>
      </c>
      <c r="C630">
        <f>"ZY1525"</f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8</v>
      </c>
      <c r="K630">
        <v>54</v>
      </c>
      <c r="L630" s="2">
        <v>7</v>
      </c>
      <c r="M630">
        <v>0</v>
      </c>
      <c r="N630" s="2">
        <v>0</v>
      </c>
      <c r="O630">
        <v>-9.6</v>
      </c>
      <c r="P630" t="s">
        <v>100</v>
      </c>
      <c r="Q630">
        <v>0</v>
      </c>
      <c r="R630" t="s">
        <v>145</v>
      </c>
      <c r="S630">
        <v>0</v>
      </c>
    </row>
    <row r="631" spans="1:19">
      <c r="A631" t="s">
        <v>25</v>
      </c>
      <c r="B631" t="s">
        <v>9379</v>
      </c>
      <c r="C631">
        <f>"PD20014NS"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8</v>
      </c>
      <c r="K631">
        <v>0</v>
      </c>
      <c r="L631" s="2">
        <v>0</v>
      </c>
      <c r="M631">
        <v>0</v>
      </c>
      <c r="N631" s="2">
        <v>0</v>
      </c>
      <c r="O631">
        <v>-9.6</v>
      </c>
      <c r="P631" t="s">
        <v>100</v>
      </c>
      <c r="Q631">
        <v>0</v>
      </c>
      <c r="R631" t="s">
        <v>145</v>
      </c>
      <c r="S631">
        <v>0</v>
      </c>
    </row>
    <row r="632" spans="1:19">
      <c r="A632" t="s">
        <v>25</v>
      </c>
      <c r="B632" t="s">
        <v>9049</v>
      </c>
      <c r="C632">
        <f>"JS015SA"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8</v>
      </c>
      <c r="K632">
        <v>17.64</v>
      </c>
      <c r="L632" s="2">
        <v>2</v>
      </c>
      <c r="M632">
        <v>0</v>
      </c>
      <c r="N632" s="2">
        <v>0</v>
      </c>
      <c r="O632">
        <v>-9.6</v>
      </c>
      <c r="P632" t="s">
        <v>100</v>
      </c>
      <c r="Q632">
        <v>0</v>
      </c>
      <c r="R632" t="s">
        <v>145</v>
      </c>
      <c r="S632">
        <v>0</v>
      </c>
    </row>
    <row r="633" spans="1:19">
      <c r="A633" t="s">
        <v>25</v>
      </c>
      <c r="B633" t="s">
        <v>2731</v>
      </c>
      <c r="C633">
        <f>"S304A"</f>
        <v>0</v>
      </c>
      <c r="D633">
        <v>0</v>
      </c>
      <c r="E633">
        <v>1</v>
      </c>
      <c r="F633">
        <v>0</v>
      </c>
      <c r="G633">
        <v>0</v>
      </c>
      <c r="H633">
        <v>1</v>
      </c>
      <c r="I633">
        <v>0</v>
      </c>
      <c r="J633">
        <v>8</v>
      </c>
      <c r="K633">
        <v>31.68</v>
      </c>
      <c r="L633" s="2">
        <v>4</v>
      </c>
      <c r="M633">
        <v>0</v>
      </c>
      <c r="N633" s="2">
        <v>0</v>
      </c>
      <c r="O633">
        <v>-9.6</v>
      </c>
      <c r="P633" t="s">
        <v>100</v>
      </c>
      <c r="Q633">
        <v>0</v>
      </c>
      <c r="R633" t="s">
        <v>145</v>
      </c>
      <c r="S633">
        <v>0</v>
      </c>
    </row>
    <row r="634" spans="1:19">
      <c r="A634" t="s">
        <v>25</v>
      </c>
      <c r="B634" t="s">
        <v>3395</v>
      </c>
      <c r="C634">
        <f>"ND20100"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8</v>
      </c>
      <c r="K634">
        <v>121.68</v>
      </c>
      <c r="L634" s="2">
        <v>15</v>
      </c>
      <c r="M634">
        <v>0</v>
      </c>
      <c r="N634" s="2">
        <v>0</v>
      </c>
      <c r="O634">
        <v>-9.6</v>
      </c>
      <c r="P634" t="s">
        <v>100</v>
      </c>
      <c r="Q634">
        <v>0</v>
      </c>
      <c r="R634" t="s">
        <v>145</v>
      </c>
      <c r="S634">
        <v>0</v>
      </c>
    </row>
    <row r="635" spans="1:19">
      <c r="A635" t="s">
        <v>25</v>
      </c>
      <c r="B635" t="s">
        <v>3402</v>
      </c>
      <c r="C635">
        <f>"ND07075"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8</v>
      </c>
      <c r="K635">
        <v>23.76</v>
      </c>
      <c r="L635" s="2">
        <v>3</v>
      </c>
      <c r="M635">
        <v>0</v>
      </c>
      <c r="N635" s="2">
        <v>0</v>
      </c>
      <c r="O635">
        <v>-9.6</v>
      </c>
      <c r="P635" t="s">
        <v>100</v>
      </c>
      <c r="Q635">
        <v>0</v>
      </c>
      <c r="R635" t="s">
        <v>145</v>
      </c>
      <c r="S635">
        <v>0</v>
      </c>
    </row>
    <row r="636" spans="1:19">
      <c r="A636" t="s">
        <v>25</v>
      </c>
      <c r="B636" t="s">
        <v>6053</v>
      </c>
      <c r="C636">
        <f>"00238"</f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10</v>
      </c>
      <c r="K636">
        <v>8.82</v>
      </c>
      <c r="L636" s="2">
        <v>1</v>
      </c>
      <c r="M636">
        <v>0</v>
      </c>
      <c r="N636" s="2">
        <v>0</v>
      </c>
      <c r="O636">
        <v>-12</v>
      </c>
      <c r="P636" t="s">
        <v>100</v>
      </c>
      <c r="Q636">
        <v>0</v>
      </c>
      <c r="R636" t="s">
        <v>145</v>
      </c>
      <c r="S636">
        <v>0</v>
      </c>
    </row>
    <row r="637" spans="1:19">
      <c r="A637" t="s">
        <v>25</v>
      </c>
      <c r="B637" t="s">
        <v>6979</v>
      </c>
      <c r="C637">
        <f>"NA04"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10</v>
      </c>
      <c r="K637">
        <v>11.61</v>
      </c>
      <c r="L637" s="2">
        <v>1</v>
      </c>
      <c r="M637">
        <v>0</v>
      </c>
      <c r="N637" s="2">
        <v>0</v>
      </c>
      <c r="O637">
        <v>-12</v>
      </c>
      <c r="P637" t="s">
        <v>100</v>
      </c>
      <c r="Q637">
        <v>0</v>
      </c>
      <c r="R637" t="s">
        <v>145</v>
      </c>
      <c r="S637">
        <v>0</v>
      </c>
    </row>
    <row r="638" spans="1:19">
      <c r="A638" t="s">
        <v>25</v>
      </c>
      <c r="B638" t="s">
        <v>1925</v>
      </c>
      <c r="C638">
        <f>"M113"</f>
        <v>0</v>
      </c>
      <c r="D638">
        <v>0</v>
      </c>
      <c r="E638">
        <v>5</v>
      </c>
      <c r="F638">
        <v>0</v>
      </c>
      <c r="G638">
        <v>0</v>
      </c>
      <c r="H638">
        <v>5</v>
      </c>
      <c r="I638">
        <v>0</v>
      </c>
      <c r="J638">
        <v>10</v>
      </c>
      <c r="K638">
        <v>62.37</v>
      </c>
      <c r="L638" s="2">
        <v>6</v>
      </c>
      <c r="M638">
        <v>0</v>
      </c>
      <c r="N638" s="2">
        <v>0</v>
      </c>
      <c r="O638">
        <v>-12</v>
      </c>
      <c r="P638" t="s">
        <v>100</v>
      </c>
      <c r="Q638">
        <v>0</v>
      </c>
      <c r="R638" t="s">
        <v>145</v>
      </c>
      <c r="S638">
        <v>0</v>
      </c>
    </row>
    <row r="639" spans="1:19">
      <c r="A639" t="s">
        <v>25</v>
      </c>
      <c r="B639" t="s">
        <v>2492</v>
      </c>
      <c r="C639">
        <f>"6765125"</f>
        <v>0</v>
      </c>
      <c r="D639">
        <v>1</v>
      </c>
      <c r="E639">
        <v>0</v>
      </c>
      <c r="F639">
        <v>0</v>
      </c>
      <c r="G639">
        <v>0</v>
      </c>
      <c r="H639">
        <v>1</v>
      </c>
      <c r="I639">
        <v>0</v>
      </c>
      <c r="J639">
        <v>10</v>
      </c>
      <c r="K639">
        <v>13.41</v>
      </c>
      <c r="L639" s="2">
        <v>1</v>
      </c>
      <c r="M639">
        <v>0</v>
      </c>
      <c r="N639" s="2">
        <v>0</v>
      </c>
      <c r="O639">
        <v>-12</v>
      </c>
      <c r="P639" t="s">
        <v>100</v>
      </c>
      <c r="Q639">
        <v>0</v>
      </c>
      <c r="R639" t="s">
        <v>145</v>
      </c>
      <c r="S639">
        <v>0</v>
      </c>
    </row>
    <row r="640" spans="1:19">
      <c r="A640" t="s">
        <v>25</v>
      </c>
      <c r="B640" t="s">
        <v>9822</v>
      </c>
      <c r="C640">
        <f>"AYCS240"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10</v>
      </c>
      <c r="K640">
        <v>44.91</v>
      </c>
      <c r="L640" s="2">
        <v>4</v>
      </c>
      <c r="M640">
        <v>0</v>
      </c>
      <c r="N640" s="2">
        <v>0</v>
      </c>
      <c r="O640">
        <v>-12</v>
      </c>
      <c r="P640" t="s">
        <v>100</v>
      </c>
      <c r="Q640">
        <v>0</v>
      </c>
      <c r="R640" t="s">
        <v>145</v>
      </c>
      <c r="S640">
        <v>0</v>
      </c>
    </row>
    <row r="641" spans="1:19">
      <c r="A641" t="s">
        <v>25</v>
      </c>
      <c r="B641" t="s">
        <v>8641</v>
      </c>
      <c r="C641">
        <f>"M032"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11</v>
      </c>
      <c r="K641">
        <v>114.24</v>
      </c>
      <c r="L641" s="2">
        <v>10</v>
      </c>
      <c r="M641">
        <v>0</v>
      </c>
      <c r="N641" s="2">
        <v>0</v>
      </c>
      <c r="O641">
        <v>-13.2</v>
      </c>
      <c r="P641" t="s">
        <v>100</v>
      </c>
      <c r="Q641">
        <v>0</v>
      </c>
      <c r="R641" t="s">
        <v>145</v>
      </c>
      <c r="S641">
        <v>0</v>
      </c>
    </row>
    <row r="642" spans="1:19">
      <c r="A642" t="s">
        <v>25</v>
      </c>
      <c r="B642" t="s">
        <v>6217</v>
      </c>
      <c r="C642">
        <f>"NN02L"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11</v>
      </c>
      <c r="K642">
        <v>84.15000000000001</v>
      </c>
      <c r="L642" s="2">
        <v>8</v>
      </c>
      <c r="M642">
        <v>0</v>
      </c>
      <c r="N642" s="2">
        <v>0</v>
      </c>
      <c r="O642">
        <v>-13.2</v>
      </c>
      <c r="P642" t="s">
        <v>100</v>
      </c>
      <c r="Q642">
        <v>0</v>
      </c>
      <c r="R642" t="s">
        <v>145</v>
      </c>
      <c r="S642">
        <v>0</v>
      </c>
    </row>
    <row r="643" spans="1:19">
      <c r="A643" t="s">
        <v>25</v>
      </c>
      <c r="B643" t="s">
        <v>9044</v>
      </c>
      <c r="C643">
        <f>"JS015XSJ"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11</v>
      </c>
      <c r="K643">
        <v>22.275</v>
      </c>
      <c r="L643" s="2">
        <v>2</v>
      </c>
      <c r="M643">
        <v>0</v>
      </c>
      <c r="N643" s="2">
        <v>0</v>
      </c>
      <c r="O643">
        <v>-13.2</v>
      </c>
      <c r="P643" t="s">
        <v>100</v>
      </c>
      <c r="Q643">
        <v>0</v>
      </c>
      <c r="R643" t="s">
        <v>145</v>
      </c>
      <c r="S643">
        <v>0</v>
      </c>
    </row>
    <row r="644" spans="1:19">
      <c r="A644" t="s">
        <v>25</v>
      </c>
      <c r="B644" t="s">
        <v>8451</v>
      </c>
      <c r="C644">
        <f>"6765217"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12</v>
      </c>
      <c r="K644">
        <v>18.252</v>
      </c>
      <c r="L644" s="2">
        <v>2</v>
      </c>
      <c r="M644">
        <v>0</v>
      </c>
      <c r="N644" s="2">
        <v>0</v>
      </c>
      <c r="O644">
        <v>-14.4</v>
      </c>
      <c r="P644" t="s">
        <v>100</v>
      </c>
      <c r="Q644">
        <v>0</v>
      </c>
      <c r="R644" t="s">
        <v>145</v>
      </c>
      <c r="S644">
        <v>0</v>
      </c>
    </row>
    <row r="645" spans="1:19">
      <c r="A645" t="s">
        <v>25</v>
      </c>
      <c r="B645" t="s">
        <v>9439</v>
      </c>
      <c r="C645">
        <f>"PD20014RL"</f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12</v>
      </c>
      <c r="K645">
        <v>32.76</v>
      </c>
      <c r="L645" s="2">
        <v>3</v>
      </c>
      <c r="M645">
        <v>0</v>
      </c>
      <c r="N645" s="2">
        <v>0</v>
      </c>
      <c r="O645">
        <v>-14.4</v>
      </c>
      <c r="P645" t="s">
        <v>100</v>
      </c>
      <c r="Q645">
        <v>0</v>
      </c>
      <c r="R645" t="s">
        <v>145</v>
      </c>
      <c r="S645">
        <v>0</v>
      </c>
    </row>
    <row r="646" spans="1:19">
      <c r="A646" t="s">
        <v>25</v>
      </c>
      <c r="B646" t="s">
        <v>2565</v>
      </c>
      <c r="C646">
        <f>"6765040"</f>
        <v>0</v>
      </c>
      <c r="D646">
        <v>1</v>
      </c>
      <c r="E646">
        <v>0</v>
      </c>
      <c r="F646">
        <v>0</v>
      </c>
      <c r="G646">
        <v>0</v>
      </c>
      <c r="H646">
        <v>1</v>
      </c>
      <c r="I646">
        <v>0</v>
      </c>
      <c r="J646">
        <v>13</v>
      </c>
      <c r="K646">
        <v>17.433</v>
      </c>
      <c r="L646" s="2">
        <v>1</v>
      </c>
      <c r="M646">
        <v>0</v>
      </c>
      <c r="N646" s="2">
        <v>0</v>
      </c>
      <c r="O646">
        <v>-15.6</v>
      </c>
      <c r="P646" t="s">
        <v>100</v>
      </c>
      <c r="Q646">
        <v>0</v>
      </c>
      <c r="R646" t="s">
        <v>145</v>
      </c>
      <c r="S646">
        <v>0</v>
      </c>
    </row>
    <row r="647" spans="1:19">
      <c r="A647" t="s">
        <v>25</v>
      </c>
      <c r="B647" t="s">
        <v>8760</v>
      </c>
      <c r="C647">
        <f>"M011B"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13</v>
      </c>
      <c r="K647">
        <v>210.78</v>
      </c>
      <c r="L647" s="2">
        <v>16</v>
      </c>
      <c r="M647">
        <v>0</v>
      </c>
      <c r="N647" s="2">
        <v>0</v>
      </c>
      <c r="O647">
        <v>-15.6</v>
      </c>
      <c r="P647" t="s">
        <v>100</v>
      </c>
      <c r="Q647">
        <v>0</v>
      </c>
      <c r="R647" t="s">
        <v>145</v>
      </c>
      <c r="S647">
        <v>0</v>
      </c>
    </row>
    <row r="648" spans="1:19">
      <c r="A648" t="s">
        <v>25</v>
      </c>
      <c r="B648" t="s">
        <v>9046</v>
      </c>
      <c r="C648">
        <f>"JS015SRO"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13</v>
      </c>
      <c r="K648">
        <v>28.665</v>
      </c>
      <c r="L648" s="2">
        <v>2</v>
      </c>
      <c r="M648">
        <v>0</v>
      </c>
      <c r="N648" s="2">
        <v>0</v>
      </c>
      <c r="O648">
        <v>-15.6</v>
      </c>
      <c r="P648" t="s">
        <v>100</v>
      </c>
      <c r="Q648">
        <v>0</v>
      </c>
      <c r="R648" t="s">
        <v>145</v>
      </c>
      <c r="S648">
        <v>0</v>
      </c>
    </row>
    <row r="649" spans="1:19">
      <c r="A649" t="s">
        <v>25</v>
      </c>
      <c r="B649" t="s">
        <v>8818</v>
      </c>
      <c r="C649">
        <f>"JS015MR"</f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14</v>
      </c>
      <c r="K649">
        <v>36.414</v>
      </c>
      <c r="L649" s="2">
        <v>3</v>
      </c>
      <c r="M649">
        <v>0</v>
      </c>
      <c r="N649" s="2">
        <v>0</v>
      </c>
      <c r="O649">
        <v>-16.8</v>
      </c>
      <c r="P649" t="s">
        <v>100</v>
      </c>
      <c r="Q649">
        <v>0</v>
      </c>
      <c r="R649" t="s">
        <v>145</v>
      </c>
      <c r="S649">
        <v>0</v>
      </c>
    </row>
    <row r="650" spans="1:19">
      <c r="A650" t="s">
        <v>25</v>
      </c>
      <c r="B650" t="s">
        <v>6954</v>
      </c>
      <c r="C650">
        <f>"NA05"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14</v>
      </c>
      <c r="K650">
        <v>9.449999999999999</v>
      </c>
      <c r="L650" s="2">
        <v>1</v>
      </c>
      <c r="M650">
        <v>0</v>
      </c>
      <c r="N650" s="2">
        <v>0</v>
      </c>
      <c r="O650">
        <v>-16.8</v>
      </c>
      <c r="P650" t="s">
        <v>100</v>
      </c>
      <c r="Q650">
        <v>0</v>
      </c>
      <c r="R650" t="s">
        <v>145</v>
      </c>
      <c r="S650">
        <v>0</v>
      </c>
    </row>
    <row r="651" spans="1:19">
      <c r="A651" t="s">
        <v>25</v>
      </c>
      <c r="B651" t="s">
        <v>2136</v>
      </c>
      <c r="C651">
        <f>"BEP22A"</f>
        <v>0</v>
      </c>
      <c r="D651">
        <v>3</v>
      </c>
      <c r="E651">
        <v>0</v>
      </c>
      <c r="F651">
        <v>0</v>
      </c>
      <c r="G651">
        <v>0</v>
      </c>
      <c r="H651">
        <v>3</v>
      </c>
      <c r="I651">
        <v>0</v>
      </c>
      <c r="J651">
        <v>14</v>
      </c>
      <c r="K651">
        <v>20.95</v>
      </c>
      <c r="L651" s="2">
        <v>1</v>
      </c>
      <c r="M651">
        <v>0</v>
      </c>
      <c r="N651" s="2">
        <v>0</v>
      </c>
      <c r="O651">
        <v>-16.8</v>
      </c>
      <c r="P651" t="s">
        <v>100</v>
      </c>
      <c r="Q651">
        <v>0</v>
      </c>
      <c r="R651" t="s">
        <v>145</v>
      </c>
      <c r="S651">
        <v>0</v>
      </c>
    </row>
    <row r="652" spans="1:19">
      <c r="A652" t="s">
        <v>25</v>
      </c>
      <c r="B652" t="s">
        <v>9089</v>
      </c>
      <c r="C652">
        <f>"6765101"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14</v>
      </c>
      <c r="K652">
        <v>21.294</v>
      </c>
      <c r="L652" s="2">
        <v>2</v>
      </c>
      <c r="M652">
        <v>0</v>
      </c>
      <c r="N652" s="2">
        <v>0</v>
      </c>
      <c r="O652">
        <v>-16.8</v>
      </c>
      <c r="P652" t="s">
        <v>100</v>
      </c>
      <c r="Q652">
        <v>0</v>
      </c>
      <c r="R652" t="s">
        <v>145</v>
      </c>
      <c r="S652">
        <v>0</v>
      </c>
    </row>
    <row r="653" spans="1:19">
      <c r="A653" t="s">
        <v>25</v>
      </c>
      <c r="B653" t="s">
        <v>9045</v>
      </c>
      <c r="C653">
        <f>"JS015XSA"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14</v>
      </c>
      <c r="K653">
        <v>28.35</v>
      </c>
      <c r="L653" s="2">
        <v>2</v>
      </c>
      <c r="M653">
        <v>0</v>
      </c>
      <c r="N653" s="2">
        <v>0</v>
      </c>
      <c r="O653">
        <v>-16.8</v>
      </c>
      <c r="P653" t="s">
        <v>100</v>
      </c>
      <c r="Q653">
        <v>0</v>
      </c>
      <c r="R653" t="s">
        <v>145</v>
      </c>
      <c r="S653">
        <v>0</v>
      </c>
    </row>
    <row r="654" spans="1:19">
      <c r="A654" t="s">
        <v>25</v>
      </c>
      <c r="B654" t="s">
        <v>8761</v>
      </c>
      <c r="C654">
        <f>"115"</f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14</v>
      </c>
      <c r="K654">
        <v>95.13</v>
      </c>
      <c r="L654" s="2">
        <v>7</v>
      </c>
      <c r="M654">
        <v>0</v>
      </c>
      <c r="N654" s="2">
        <v>0</v>
      </c>
      <c r="O654">
        <v>-16.8</v>
      </c>
      <c r="P654" t="s">
        <v>100</v>
      </c>
      <c r="Q654">
        <v>0</v>
      </c>
      <c r="R654" t="s">
        <v>145</v>
      </c>
      <c r="S654">
        <v>0</v>
      </c>
    </row>
    <row r="655" spans="1:19">
      <c r="A655" t="s">
        <v>25</v>
      </c>
      <c r="B655" t="s">
        <v>4602</v>
      </c>
      <c r="C655">
        <f>"ND12002"</f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15</v>
      </c>
      <c r="K655">
        <v>114.75</v>
      </c>
      <c r="L655" s="2">
        <v>8</v>
      </c>
      <c r="M655">
        <v>0</v>
      </c>
      <c r="N655" s="2">
        <v>0</v>
      </c>
      <c r="O655">
        <v>-18</v>
      </c>
      <c r="P655" t="s">
        <v>100</v>
      </c>
      <c r="Q655">
        <v>0</v>
      </c>
      <c r="R655" t="s">
        <v>145</v>
      </c>
      <c r="S655">
        <v>0</v>
      </c>
    </row>
    <row r="656" spans="1:19">
      <c r="A656" t="s">
        <v>25</v>
      </c>
      <c r="B656" t="s">
        <v>8819</v>
      </c>
      <c r="C656">
        <f>"JS015MA"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15</v>
      </c>
      <c r="K656">
        <v>39.015</v>
      </c>
      <c r="L656" s="2">
        <v>3</v>
      </c>
      <c r="M656">
        <v>0</v>
      </c>
      <c r="N656" s="2">
        <v>0</v>
      </c>
      <c r="O656">
        <v>-18</v>
      </c>
      <c r="P656" t="s">
        <v>100</v>
      </c>
      <c r="Q656">
        <v>0</v>
      </c>
      <c r="R656" t="s">
        <v>145</v>
      </c>
      <c r="S656">
        <v>0</v>
      </c>
    </row>
    <row r="657" spans="1:19">
      <c r="A657" t="s">
        <v>25</v>
      </c>
      <c r="B657" t="s">
        <v>419</v>
      </c>
      <c r="C657">
        <f>"NR02024"</f>
        <v>0</v>
      </c>
      <c r="D657">
        <v>0</v>
      </c>
      <c r="E657">
        <v>0</v>
      </c>
      <c r="F657">
        <v>0</v>
      </c>
      <c r="G657">
        <v>1</v>
      </c>
      <c r="H657">
        <v>1</v>
      </c>
      <c r="I657">
        <v>0</v>
      </c>
      <c r="J657">
        <v>20</v>
      </c>
      <c r="K657">
        <v>160.2</v>
      </c>
      <c r="L657" s="2">
        <v>8</v>
      </c>
      <c r="M657">
        <v>0</v>
      </c>
      <c r="N657" s="2">
        <v>0</v>
      </c>
      <c r="O657">
        <v>-19</v>
      </c>
      <c r="P657" t="s">
        <v>10348</v>
      </c>
      <c r="Q657">
        <v>418</v>
      </c>
      <c r="R657" t="s">
        <v>10384</v>
      </c>
      <c r="S657">
        <v>1</v>
      </c>
    </row>
    <row r="658" spans="1:19">
      <c r="A658" t="s">
        <v>25</v>
      </c>
      <c r="B658" t="s">
        <v>9048</v>
      </c>
      <c r="C658">
        <f>"JS015SJ"</f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16</v>
      </c>
      <c r="K658">
        <v>35.28</v>
      </c>
      <c r="L658" s="2">
        <v>2</v>
      </c>
      <c r="M658">
        <v>0</v>
      </c>
      <c r="N658" s="2">
        <v>0</v>
      </c>
      <c r="O658">
        <v>-19.2</v>
      </c>
      <c r="P658" t="s">
        <v>100</v>
      </c>
      <c r="Q658">
        <v>0</v>
      </c>
      <c r="R658" t="s">
        <v>145</v>
      </c>
      <c r="S658">
        <v>0</v>
      </c>
    </row>
    <row r="659" spans="1:19">
      <c r="A659" t="s">
        <v>25</v>
      </c>
      <c r="B659" t="s">
        <v>8453</v>
      </c>
      <c r="C659">
        <f>"6765026"</f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16</v>
      </c>
      <c r="K659">
        <v>21.456</v>
      </c>
      <c r="L659" s="2">
        <v>1</v>
      </c>
      <c r="M659">
        <v>0</v>
      </c>
      <c r="N659" s="2">
        <v>0</v>
      </c>
      <c r="O659">
        <v>-19.2</v>
      </c>
      <c r="P659" t="s">
        <v>100</v>
      </c>
      <c r="Q659">
        <v>0</v>
      </c>
      <c r="R659" t="s">
        <v>145</v>
      </c>
      <c r="S659">
        <v>0</v>
      </c>
    </row>
    <row r="660" spans="1:19">
      <c r="A660" t="s">
        <v>25</v>
      </c>
      <c r="B660" t="s">
        <v>7963</v>
      </c>
      <c r="C660">
        <f>"NFF44"</f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16</v>
      </c>
      <c r="K660">
        <v>68.40000000000001</v>
      </c>
      <c r="L660" s="2">
        <v>4</v>
      </c>
      <c r="M660">
        <v>0</v>
      </c>
      <c r="N660" s="2">
        <v>0</v>
      </c>
      <c r="O660">
        <v>-19.2</v>
      </c>
      <c r="P660" t="s">
        <v>100</v>
      </c>
      <c r="Q660">
        <v>0</v>
      </c>
      <c r="R660" t="s">
        <v>145</v>
      </c>
      <c r="S660">
        <v>0</v>
      </c>
    </row>
    <row r="661" spans="1:19">
      <c r="A661" t="s">
        <v>25</v>
      </c>
      <c r="B661" t="s">
        <v>9050</v>
      </c>
      <c r="C661">
        <f>"JS015MRO"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20</v>
      </c>
      <c r="K661">
        <v>52.02</v>
      </c>
      <c r="L661" s="2">
        <v>3</v>
      </c>
      <c r="M661">
        <v>0</v>
      </c>
      <c r="N661" s="2">
        <v>0</v>
      </c>
      <c r="O661">
        <v>-24</v>
      </c>
      <c r="P661" t="s">
        <v>100</v>
      </c>
      <c r="Q661">
        <v>0</v>
      </c>
      <c r="R661" t="s">
        <v>145</v>
      </c>
      <c r="S661">
        <v>0</v>
      </c>
    </row>
    <row r="662" spans="1:19">
      <c r="A662" t="s">
        <v>25</v>
      </c>
      <c r="B662" t="s">
        <v>9983</v>
      </c>
      <c r="C662">
        <f>"NG02"</f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20</v>
      </c>
      <c r="K662">
        <v>50.4</v>
      </c>
      <c r="L662" s="2">
        <v>3</v>
      </c>
      <c r="M662">
        <v>0</v>
      </c>
      <c r="N662" s="2">
        <v>0</v>
      </c>
      <c r="O662">
        <v>-24</v>
      </c>
      <c r="P662" t="s">
        <v>100</v>
      </c>
      <c r="Q662">
        <v>0</v>
      </c>
      <c r="R662" t="s">
        <v>145</v>
      </c>
      <c r="S662">
        <v>0</v>
      </c>
    </row>
    <row r="663" spans="1:19">
      <c r="A663" t="s">
        <v>25</v>
      </c>
      <c r="B663" t="s">
        <v>9286</v>
      </c>
      <c r="C663">
        <f>"PD20014AXS"</f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22</v>
      </c>
      <c r="K663">
        <v>77.22</v>
      </c>
      <c r="L663" s="2">
        <v>4</v>
      </c>
      <c r="M663">
        <v>0</v>
      </c>
      <c r="N663" s="2">
        <v>0</v>
      </c>
      <c r="O663">
        <v>-26.4</v>
      </c>
      <c r="P663" t="s">
        <v>100</v>
      </c>
      <c r="Q663">
        <v>0</v>
      </c>
      <c r="R663" t="s">
        <v>145</v>
      </c>
      <c r="S663">
        <v>0</v>
      </c>
    </row>
    <row r="664" spans="1:19">
      <c r="A664" t="s">
        <v>25</v>
      </c>
      <c r="B664" t="s">
        <v>2002</v>
      </c>
      <c r="C664">
        <f>"AYCS200"</f>
        <v>0</v>
      </c>
      <c r="D664">
        <v>4</v>
      </c>
      <c r="E664">
        <v>0</v>
      </c>
      <c r="F664">
        <v>0</v>
      </c>
      <c r="G664">
        <v>0</v>
      </c>
      <c r="H664">
        <v>4</v>
      </c>
      <c r="I664">
        <v>0</v>
      </c>
      <c r="J664">
        <v>26</v>
      </c>
      <c r="K664">
        <v>76.05</v>
      </c>
      <c r="L664" s="2">
        <v>3</v>
      </c>
      <c r="M664">
        <v>0</v>
      </c>
      <c r="N664" s="2">
        <v>0</v>
      </c>
      <c r="O664">
        <v>-31.2</v>
      </c>
      <c r="P664" t="s">
        <v>100</v>
      </c>
      <c r="Q664">
        <v>0</v>
      </c>
      <c r="R664" t="s">
        <v>145</v>
      </c>
      <c r="S664">
        <v>0</v>
      </c>
    </row>
    <row r="665" spans="1:19">
      <c r="A665" t="s">
        <v>25</v>
      </c>
      <c r="B665" t="s">
        <v>9925</v>
      </c>
      <c r="C665">
        <f>"AYCS202"</f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27</v>
      </c>
      <c r="K665">
        <v>95.985</v>
      </c>
      <c r="L665" s="2">
        <v>4</v>
      </c>
      <c r="M665">
        <v>0</v>
      </c>
      <c r="N665" s="2">
        <v>0</v>
      </c>
      <c r="O665">
        <v>-32.4</v>
      </c>
      <c r="P665" t="s">
        <v>100</v>
      </c>
      <c r="Q665">
        <v>0</v>
      </c>
      <c r="R665" t="s">
        <v>145</v>
      </c>
      <c r="S665">
        <v>0</v>
      </c>
    </row>
    <row r="666" spans="1:19">
      <c r="A666" t="s">
        <v>25</v>
      </c>
      <c r="B666" t="s">
        <v>9286</v>
      </c>
      <c r="C666">
        <f>"PD20014AL"</f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27</v>
      </c>
      <c r="K666">
        <v>126.36</v>
      </c>
      <c r="L666" s="2">
        <v>5</v>
      </c>
      <c r="M666">
        <v>0</v>
      </c>
      <c r="N666" s="2">
        <v>0</v>
      </c>
      <c r="O666">
        <v>-32.4</v>
      </c>
      <c r="P666" t="s">
        <v>100</v>
      </c>
      <c r="Q666">
        <v>0</v>
      </c>
      <c r="R666" t="s">
        <v>145</v>
      </c>
      <c r="S666">
        <v>0</v>
      </c>
    </row>
    <row r="667" spans="1:19">
      <c r="A667" t="s">
        <v>25</v>
      </c>
      <c r="B667" t="s">
        <v>1652</v>
      </c>
      <c r="C667">
        <f>"NFF10"</f>
        <v>0</v>
      </c>
      <c r="D667">
        <v>0</v>
      </c>
      <c r="E667">
        <v>0</v>
      </c>
      <c r="F667">
        <v>0</v>
      </c>
      <c r="G667">
        <v>1</v>
      </c>
      <c r="H667">
        <v>1</v>
      </c>
      <c r="I667">
        <v>0</v>
      </c>
      <c r="J667">
        <v>33</v>
      </c>
      <c r="K667">
        <v>17.523</v>
      </c>
      <c r="L667" s="2">
        <v>1</v>
      </c>
      <c r="M667">
        <v>0</v>
      </c>
      <c r="N667" s="2">
        <v>0</v>
      </c>
      <c r="O667">
        <v>-34.6</v>
      </c>
      <c r="P667" t="s">
        <v>10349</v>
      </c>
      <c r="Q667">
        <v>99</v>
      </c>
      <c r="R667" t="s">
        <v>10385</v>
      </c>
      <c r="S667">
        <v>1</v>
      </c>
    </row>
    <row r="668" spans="1:19">
      <c r="A668" t="s">
        <v>25</v>
      </c>
      <c r="B668" t="s">
        <v>2087</v>
      </c>
      <c r="C668">
        <f>"D146FUC"</f>
        <v>0</v>
      </c>
      <c r="D668">
        <v>0</v>
      </c>
      <c r="E668">
        <v>1</v>
      </c>
      <c r="F668">
        <v>2</v>
      </c>
      <c r="G668">
        <v>0</v>
      </c>
      <c r="H668">
        <v>3</v>
      </c>
      <c r="I668">
        <v>0.5</v>
      </c>
      <c r="J668">
        <v>38</v>
      </c>
      <c r="K668">
        <v>12.312</v>
      </c>
      <c r="L668" s="2">
        <v>0</v>
      </c>
      <c r="M668">
        <v>0</v>
      </c>
      <c r="N668" s="2">
        <v>0</v>
      </c>
      <c r="O668">
        <v>-45.1</v>
      </c>
      <c r="P668" t="s">
        <v>100</v>
      </c>
      <c r="Q668">
        <v>0</v>
      </c>
      <c r="R668" t="s">
        <v>145</v>
      </c>
      <c r="S668">
        <v>0</v>
      </c>
    </row>
    <row r="669" spans="1:19">
      <c r="A669" t="s">
        <v>25</v>
      </c>
      <c r="B669" t="s">
        <v>1853</v>
      </c>
      <c r="C669">
        <f>"NW33"</f>
        <v>0</v>
      </c>
      <c r="D669">
        <v>0</v>
      </c>
      <c r="E669">
        <v>2</v>
      </c>
      <c r="F669">
        <v>5</v>
      </c>
      <c r="G669">
        <v>0</v>
      </c>
      <c r="H669">
        <v>7</v>
      </c>
      <c r="I669">
        <v>1</v>
      </c>
      <c r="J669">
        <v>52</v>
      </c>
      <c r="K669">
        <v>69.732</v>
      </c>
      <c r="L669" s="2">
        <v>1</v>
      </c>
      <c r="M669">
        <v>0</v>
      </c>
      <c r="N669" s="2">
        <v>0</v>
      </c>
      <c r="O669">
        <v>-61.4</v>
      </c>
      <c r="P669" t="s">
        <v>100</v>
      </c>
      <c r="Q669">
        <v>0</v>
      </c>
      <c r="R669" t="s">
        <v>145</v>
      </c>
      <c r="S669">
        <v>0</v>
      </c>
    </row>
    <row r="670" spans="1:19">
      <c r="A670" t="s">
        <v>25</v>
      </c>
      <c r="B670" t="s">
        <v>2014</v>
      </c>
      <c r="C670">
        <f>"NV0105"</f>
        <v>0</v>
      </c>
      <c r="D670">
        <v>0</v>
      </c>
      <c r="E670">
        <v>0</v>
      </c>
      <c r="F670">
        <v>4</v>
      </c>
      <c r="G670">
        <v>0</v>
      </c>
      <c r="H670">
        <v>4</v>
      </c>
      <c r="I670">
        <v>0</v>
      </c>
      <c r="J670">
        <v>52</v>
      </c>
      <c r="K670">
        <v>116.532</v>
      </c>
      <c r="L670" s="2">
        <v>2</v>
      </c>
      <c r="M670">
        <v>0</v>
      </c>
      <c r="N670" s="2">
        <v>0</v>
      </c>
      <c r="O670">
        <v>-62.4</v>
      </c>
      <c r="P670" t="s">
        <v>100</v>
      </c>
      <c r="Q670">
        <v>0</v>
      </c>
      <c r="R670" t="s">
        <v>145</v>
      </c>
      <c r="S670">
        <v>0</v>
      </c>
    </row>
    <row r="671" spans="1:19">
      <c r="A671" t="s">
        <v>25</v>
      </c>
      <c r="B671" t="s">
        <v>298</v>
      </c>
      <c r="C671">
        <f>"D140FUC"</f>
        <v>0</v>
      </c>
      <c r="D671">
        <v>0</v>
      </c>
      <c r="E671">
        <v>25</v>
      </c>
      <c r="F671">
        <v>49</v>
      </c>
      <c r="G671">
        <v>2</v>
      </c>
      <c r="H671">
        <v>76</v>
      </c>
      <c r="I671">
        <v>13.5</v>
      </c>
      <c r="J671">
        <v>70</v>
      </c>
      <c r="K671">
        <v>24.99</v>
      </c>
      <c r="L671" s="2">
        <v>0</v>
      </c>
      <c r="M671">
        <v>0</v>
      </c>
      <c r="N671" s="2">
        <v>0</v>
      </c>
      <c r="O671">
        <v>-66.5</v>
      </c>
      <c r="P671" t="s">
        <v>10350</v>
      </c>
      <c r="Q671">
        <v>446</v>
      </c>
      <c r="R671" t="s">
        <v>10386</v>
      </c>
      <c r="S671">
        <v>0</v>
      </c>
    </row>
    <row r="672" spans="1:19">
      <c r="A672" t="s">
        <v>25</v>
      </c>
      <c r="B672" t="s">
        <v>6955</v>
      </c>
      <c r="C672">
        <f>"NA06"</f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92</v>
      </c>
      <c r="K672">
        <v>115.92</v>
      </c>
      <c r="L672" s="2">
        <v>1</v>
      </c>
      <c r="M672">
        <v>0</v>
      </c>
      <c r="N672" s="2">
        <v>0</v>
      </c>
      <c r="O672">
        <v>-110.4</v>
      </c>
      <c r="P672" t="s">
        <v>100</v>
      </c>
      <c r="Q672">
        <v>0</v>
      </c>
      <c r="R672" t="s">
        <v>145</v>
      </c>
      <c r="S672">
        <v>0</v>
      </c>
    </row>
    <row r="673" spans="1:19">
      <c r="A673" t="s">
        <v>25</v>
      </c>
      <c r="B673" t="s">
        <v>2086</v>
      </c>
      <c r="C673">
        <f>"D140VE"</f>
        <v>0</v>
      </c>
      <c r="D673">
        <v>0</v>
      </c>
      <c r="E673">
        <v>1</v>
      </c>
      <c r="F673">
        <v>2</v>
      </c>
      <c r="G673">
        <v>0</v>
      </c>
      <c r="H673">
        <v>3</v>
      </c>
      <c r="I673">
        <v>0.5</v>
      </c>
      <c r="J673">
        <v>115</v>
      </c>
      <c r="K673">
        <v>41.055</v>
      </c>
      <c r="L673" s="2">
        <v>0</v>
      </c>
      <c r="M673">
        <v>0</v>
      </c>
      <c r="N673" s="2">
        <v>0</v>
      </c>
      <c r="O673">
        <v>-137.5</v>
      </c>
      <c r="P673" t="s">
        <v>100</v>
      </c>
      <c r="Q673">
        <v>0</v>
      </c>
      <c r="R673" t="s">
        <v>145</v>
      </c>
      <c r="S673">
        <v>0</v>
      </c>
    </row>
  </sheetData>
  <autoFilter ref="A2:S673"/>
  <hyperlinks>
    <hyperlink ref="A1" location="'ÍNDICE'!A1" display="⬅ Volver al índice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S20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192</v>
      </c>
      <c r="B3" t="s">
        <v>525</v>
      </c>
      <c r="C3">
        <f>"605ABL"</f>
        <v>0</v>
      </c>
      <c r="D3">
        <v>3</v>
      </c>
      <c r="E3">
        <v>0</v>
      </c>
      <c r="F3">
        <v>3</v>
      </c>
      <c r="G3">
        <v>3</v>
      </c>
      <c r="H3">
        <v>9</v>
      </c>
      <c r="I3">
        <v>3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9</v>
      </c>
      <c r="P3" t="s">
        <v>10388</v>
      </c>
      <c r="Q3">
        <v>20.283</v>
      </c>
      <c r="R3" t="s">
        <v>10400</v>
      </c>
      <c r="S3">
        <v>0</v>
      </c>
    </row>
    <row r="4" spans="1:19">
      <c r="A4" t="s">
        <v>192</v>
      </c>
      <c r="B4" t="s">
        <v>326</v>
      </c>
      <c r="C4">
        <f>"MP003"</f>
        <v>0</v>
      </c>
      <c r="D4">
        <v>2</v>
      </c>
      <c r="E4">
        <v>1</v>
      </c>
      <c r="F4">
        <v>0</v>
      </c>
      <c r="G4">
        <v>2</v>
      </c>
      <c r="H4">
        <v>5</v>
      </c>
      <c r="I4">
        <v>1.5</v>
      </c>
      <c r="J4">
        <v>1</v>
      </c>
      <c r="K4">
        <v>1.125</v>
      </c>
      <c r="L4" s="2">
        <v>1</v>
      </c>
      <c r="M4">
        <v>2</v>
      </c>
      <c r="N4" s="2">
        <v>2</v>
      </c>
      <c r="O4">
        <v>7.3</v>
      </c>
      <c r="P4" t="s">
        <v>10389</v>
      </c>
      <c r="Q4">
        <v>562</v>
      </c>
      <c r="R4" t="s">
        <v>10367</v>
      </c>
      <c r="S4">
        <v>1</v>
      </c>
    </row>
    <row r="5" spans="1:19">
      <c r="A5" t="s">
        <v>192</v>
      </c>
      <c r="B5" t="s">
        <v>586</v>
      </c>
      <c r="C5">
        <f>"A52"</f>
        <v>0</v>
      </c>
      <c r="D5">
        <v>0</v>
      </c>
      <c r="E5">
        <v>0</v>
      </c>
      <c r="F5">
        <v>0</v>
      </c>
      <c r="G5">
        <v>1</v>
      </c>
      <c r="H5">
        <v>1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5</v>
      </c>
      <c r="P5" t="s">
        <v>10390</v>
      </c>
      <c r="Q5">
        <v>36.884</v>
      </c>
      <c r="R5" t="s">
        <v>10401</v>
      </c>
      <c r="S5">
        <v>1</v>
      </c>
    </row>
    <row r="6" spans="1:19">
      <c r="A6" t="s">
        <v>192</v>
      </c>
      <c r="B6" t="s">
        <v>466</v>
      </c>
      <c r="C6">
        <f>"B103"</f>
        <v>0</v>
      </c>
      <c r="D6">
        <v>0</v>
      </c>
      <c r="E6">
        <v>0</v>
      </c>
      <c r="F6">
        <v>0</v>
      </c>
      <c r="G6">
        <v>1</v>
      </c>
      <c r="H6">
        <v>1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5</v>
      </c>
      <c r="P6" t="s">
        <v>10391</v>
      </c>
      <c r="Q6">
        <v>81</v>
      </c>
      <c r="R6" t="s">
        <v>10266</v>
      </c>
      <c r="S6">
        <v>1</v>
      </c>
    </row>
    <row r="7" spans="1:19">
      <c r="A7" t="s">
        <v>192</v>
      </c>
      <c r="B7" t="s">
        <v>245</v>
      </c>
      <c r="C7">
        <f>"HD9014"</f>
        <v>0</v>
      </c>
      <c r="D7">
        <v>16</v>
      </c>
      <c r="E7">
        <v>1</v>
      </c>
      <c r="F7">
        <v>1</v>
      </c>
      <c r="G7">
        <v>3</v>
      </c>
      <c r="H7">
        <v>21</v>
      </c>
      <c r="I7">
        <v>2</v>
      </c>
      <c r="J7">
        <v>5</v>
      </c>
      <c r="K7">
        <v>6.075</v>
      </c>
      <c r="L7" s="2">
        <v>1</v>
      </c>
      <c r="M7">
        <v>0</v>
      </c>
      <c r="N7" s="2">
        <v>0</v>
      </c>
      <c r="O7">
        <v>5</v>
      </c>
      <c r="P7" t="s">
        <v>10392</v>
      </c>
      <c r="Q7">
        <v>910</v>
      </c>
      <c r="R7" t="s">
        <v>10402</v>
      </c>
      <c r="S7">
        <v>1</v>
      </c>
    </row>
    <row r="8" spans="1:19">
      <c r="A8" t="s">
        <v>192</v>
      </c>
      <c r="B8" t="s">
        <v>1569</v>
      </c>
      <c r="C8">
        <f>"YJ002"</f>
        <v>0</v>
      </c>
      <c r="D8">
        <v>1</v>
      </c>
      <c r="E8">
        <v>0</v>
      </c>
      <c r="F8">
        <v>0</v>
      </c>
      <c r="G8">
        <v>1</v>
      </c>
      <c r="H8">
        <v>2</v>
      </c>
      <c r="I8">
        <v>0.5</v>
      </c>
      <c r="J8">
        <v>1</v>
      </c>
      <c r="K8">
        <v>801</v>
      </c>
      <c r="L8" s="2">
        <v>801</v>
      </c>
      <c r="M8">
        <v>0</v>
      </c>
      <c r="N8" s="2">
        <v>0</v>
      </c>
      <c r="O8">
        <v>4.3</v>
      </c>
      <c r="P8" t="s">
        <v>10393</v>
      </c>
      <c r="Q8">
        <v>200</v>
      </c>
      <c r="R8" t="s">
        <v>10402</v>
      </c>
      <c r="S8">
        <v>1</v>
      </c>
    </row>
    <row r="9" spans="1:19">
      <c r="A9" t="s">
        <v>192</v>
      </c>
      <c r="B9" t="s">
        <v>616</v>
      </c>
      <c r="C9">
        <f>"AL25"</f>
        <v>0</v>
      </c>
      <c r="D9">
        <v>3</v>
      </c>
      <c r="E9">
        <v>2</v>
      </c>
      <c r="F9">
        <v>1</v>
      </c>
      <c r="G9">
        <v>1</v>
      </c>
      <c r="H9">
        <v>7</v>
      </c>
      <c r="I9">
        <v>1.5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3.5</v>
      </c>
      <c r="P9" t="s">
        <v>10394</v>
      </c>
      <c r="Q9">
        <v>4.174</v>
      </c>
      <c r="R9" t="s">
        <v>10403</v>
      </c>
      <c r="S9">
        <v>0</v>
      </c>
    </row>
    <row r="10" spans="1:19">
      <c r="A10" t="s">
        <v>192</v>
      </c>
      <c r="B10" t="s">
        <v>724</v>
      </c>
      <c r="C10">
        <f>"603"</f>
        <v>0</v>
      </c>
      <c r="D10">
        <v>2</v>
      </c>
      <c r="E10">
        <v>1</v>
      </c>
      <c r="F10">
        <v>2</v>
      </c>
      <c r="G10">
        <v>1</v>
      </c>
      <c r="H10">
        <v>6</v>
      </c>
      <c r="I10">
        <v>1.5</v>
      </c>
      <c r="J10">
        <v>0</v>
      </c>
      <c r="K10">
        <v>0</v>
      </c>
      <c r="L10" s="2">
        <v>0</v>
      </c>
      <c r="M10">
        <v>2</v>
      </c>
      <c r="N10" s="2">
        <v>0</v>
      </c>
      <c r="O10">
        <v>3.5</v>
      </c>
      <c r="P10" t="s">
        <v>10346</v>
      </c>
      <c r="Q10">
        <v>-1.133</v>
      </c>
      <c r="R10" t="s">
        <v>10404</v>
      </c>
      <c r="S10">
        <v>0</v>
      </c>
    </row>
    <row r="11" spans="1:19">
      <c r="A11" t="s">
        <v>192</v>
      </c>
      <c r="B11" t="s">
        <v>546</v>
      </c>
      <c r="C11">
        <f>"A80"</f>
        <v>0</v>
      </c>
      <c r="D11">
        <v>2</v>
      </c>
      <c r="E11">
        <v>1</v>
      </c>
      <c r="F11">
        <v>1</v>
      </c>
      <c r="G11">
        <v>1</v>
      </c>
      <c r="H11">
        <v>5</v>
      </c>
      <c r="I11">
        <v>1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3</v>
      </c>
      <c r="P11" t="s">
        <v>10395</v>
      </c>
      <c r="Q11">
        <v>31.23</v>
      </c>
      <c r="R11" t="s">
        <v>10405</v>
      </c>
      <c r="S11">
        <v>0</v>
      </c>
    </row>
    <row r="12" spans="1:19">
      <c r="A12" t="s">
        <v>192</v>
      </c>
      <c r="B12" t="s">
        <v>761</v>
      </c>
      <c r="C12">
        <f>"AYCA0761"</f>
        <v>0</v>
      </c>
      <c r="D12">
        <v>2</v>
      </c>
      <c r="E12">
        <v>1</v>
      </c>
      <c r="F12">
        <v>2</v>
      </c>
      <c r="G12">
        <v>0</v>
      </c>
      <c r="H12">
        <v>5</v>
      </c>
      <c r="I12">
        <v>1.5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1.5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192</v>
      </c>
      <c r="B13" t="s">
        <v>923</v>
      </c>
      <c r="C13">
        <f>"A25"</f>
        <v>0</v>
      </c>
      <c r="D13">
        <v>2</v>
      </c>
      <c r="E13">
        <v>1</v>
      </c>
      <c r="F13">
        <v>0</v>
      </c>
      <c r="G13">
        <v>0</v>
      </c>
      <c r="H13">
        <v>3</v>
      </c>
      <c r="I13">
        <v>0.5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0.5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192</v>
      </c>
      <c r="B14" t="s">
        <v>688</v>
      </c>
      <c r="C14">
        <f>"890105"</f>
        <v>0</v>
      </c>
      <c r="D14">
        <v>1</v>
      </c>
      <c r="E14">
        <v>0</v>
      </c>
      <c r="F14">
        <v>5</v>
      </c>
      <c r="G14">
        <v>0</v>
      </c>
      <c r="H14">
        <v>6</v>
      </c>
      <c r="I14">
        <v>0.5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0.5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192</v>
      </c>
      <c r="B15" t="s">
        <v>1101</v>
      </c>
      <c r="C15">
        <f>"MP013"</f>
        <v>0</v>
      </c>
      <c r="D15">
        <v>1</v>
      </c>
      <c r="E15">
        <v>1</v>
      </c>
      <c r="F15">
        <v>0</v>
      </c>
      <c r="G15">
        <v>0</v>
      </c>
      <c r="H15">
        <v>2</v>
      </c>
      <c r="I15">
        <v>0.5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0.5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192</v>
      </c>
      <c r="B16" t="s">
        <v>607</v>
      </c>
      <c r="C16">
        <f>"MP002"</f>
        <v>0</v>
      </c>
      <c r="D16">
        <v>0</v>
      </c>
      <c r="E16">
        <v>8</v>
      </c>
      <c r="F16">
        <v>1</v>
      </c>
      <c r="G16">
        <v>0</v>
      </c>
      <c r="H16">
        <v>9</v>
      </c>
      <c r="I16">
        <v>0.5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0.5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192</v>
      </c>
      <c r="B17" t="s">
        <v>1610</v>
      </c>
      <c r="C17">
        <f>"YY35"</f>
        <v>0</v>
      </c>
      <c r="D17">
        <v>4</v>
      </c>
      <c r="E17">
        <v>0</v>
      </c>
      <c r="F17">
        <v>3</v>
      </c>
      <c r="G17">
        <v>0</v>
      </c>
      <c r="H17">
        <v>7</v>
      </c>
      <c r="I17">
        <v>1.5</v>
      </c>
      <c r="J17">
        <v>1</v>
      </c>
      <c r="K17">
        <v>675</v>
      </c>
      <c r="L17" s="2">
        <v>675</v>
      </c>
      <c r="M17">
        <v>0</v>
      </c>
      <c r="N17" s="2">
        <v>0</v>
      </c>
      <c r="O17">
        <v>0.3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192</v>
      </c>
      <c r="B18" t="s">
        <v>6009</v>
      </c>
      <c r="C18">
        <f>"6224"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192</v>
      </c>
      <c r="B19" t="s">
        <v>6168</v>
      </c>
      <c r="C19">
        <f>"B207"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192</v>
      </c>
      <c r="B20" t="s">
        <v>7203</v>
      </c>
      <c r="C20">
        <f>"890211"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192</v>
      </c>
      <c r="B21" t="s">
        <v>6185</v>
      </c>
      <c r="C21">
        <f>"890215"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192</v>
      </c>
      <c r="B22" t="s">
        <v>1308</v>
      </c>
      <c r="C22">
        <f>"LN4131"</f>
        <v>0</v>
      </c>
      <c r="D22">
        <v>0</v>
      </c>
      <c r="E22">
        <v>0</v>
      </c>
      <c r="F22">
        <v>1</v>
      </c>
      <c r="G22">
        <v>0</v>
      </c>
      <c r="H22">
        <v>1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192</v>
      </c>
      <c r="B23" t="s">
        <v>4674</v>
      </c>
      <c r="C23">
        <f>"B206"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192</v>
      </c>
      <c r="B24" t="s">
        <v>6380</v>
      </c>
      <c r="C24">
        <f>"F15"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192</v>
      </c>
      <c r="B25" t="s">
        <v>4805</v>
      </c>
      <c r="C25">
        <f>"B201"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192</v>
      </c>
      <c r="B26" t="s">
        <v>245</v>
      </c>
      <c r="C26">
        <f>"HD9060"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192</v>
      </c>
      <c r="B27" t="s">
        <v>1381</v>
      </c>
      <c r="C27">
        <f>"AB112"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192</v>
      </c>
      <c r="B28" t="s">
        <v>7437</v>
      </c>
      <c r="C28">
        <f>"201"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192</v>
      </c>
      <c r="B29" t="s">
        <v>7477</v>
      </c>
      <c r="C29">
        <f>"301"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192</v>
      </c>
      <c r="B30" t="s">
        <v>6377</v>
      </c>
      <c r="C30">
        <f>"B307B"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192</v>
      </c>
      <c r="B31" t="s">
        <v>6376</v>
      </c>
      <c r="C31">
        <f>"HD9073"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192</v>
      </c>
      <c r="B32" t="s">
        <v>3196</v>
      </c>
      <c r="C32">
        <f>"LN120"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192</v>
      </c>
      <c r="B33" t="s">
        <v>4681</v>
      </c>
      <c r="C33">
        <f>"890802"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192</v>
      </c>
      <c r="B34" t="s">
        <v>6010</v>
      </c>
      <c r="C34">
        <f>"AB115"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192</v>
      </c>
      <c r="B35" t="s">
        <v>6011</v>
      </c>
      <c r="C35">
        <f>"AB114"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192</v>
      </c>
      <c r="B36" t="s">
        <v>1443</v>
      </c>
      <c r="C36">
        <f>"890102"</f>
        <v>0</v>
      </c>
      <c r="D36">
        <v>0</v>
      </c>
      <c r="E36">
        <v>0</v>
      </c>
      <c r="F36">
        <v>1</v>
      </c>
      <c r="G36">
        <v>0</v>
      </c>
      <c r="H36">
        <v>1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192</v>
      </c>
      <c r="B37" t="s">
        <v>1383</v>
      </c>
      <c r="C37">
        <f>"890103"</f>
        <v>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192</v>
      </c>
      <c r="B38" t="s">
        <v>4806</v>
      </c>
      <c r="C38">
        <f>"B203"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192</v>
      </c>
      <c r="B39" t="s">
        <v>7438</v>
      </c>
      <c r="C39">
        <f>"203"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192</v>
      </c>
      <c r="B40" t="s">
        <v>7495</v>
      </c>
      <c r="C40">
        <f>"204"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192</v>
      </c>
      <c r="B41" t="s">
        <v>7492</v>
      </c>
      <c r="C41">
        <f>"701"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192</v>
      </c>
      <c r="B42" t="s">
        <v>7493</v>
      </c>
      <c r="C42">
        <f>"705"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192</v>
      </c>
      <c r="B43" t="s">
        <v>7494</v>
      </c>
      <c r="C43">
        <f>"702"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192</v>
      </c>
      <c r="B44" t="s">
        <v>7202</v>
      </c>
      <c r="C44">
        <f>"890114"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192</v>
      </c>
      <c r="B45" t="s">
        <v>6598</v>
      </c>
      <c r="C45">
        <f>"AB135"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192</v>
      </c>
      <c r="B46" t="s">
        <v>6597</v>
      </c>
      <c r="C46">
        <f>"LN009"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192</v>
      </c>
      <c r="B47" t="s">
        <v>1441</v>
      </c>
      <c r="C47">
        <f>"1403"</f>
        <v>0</v>
      </c>
      <c r="D47">
        <v>0</v>
      </c>
      <c r="E47">
        <v>1</v>
      </c>
      <c r="F47">
        <v>0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192</v>
      </c>
      <c r="B48" t="s">
        <v>7491</v>
      </c>
      <c r="C48">
        <f>"210"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192</v>
      </c>
      <c r="B49" t="s">
        <v>7490</v>
      </c>
      <c r="C49">
        <f>"207"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192</v>
      </c>
      <c r="B50" t="s">
        <v>7855</v>
      </c>
      <c r="C50">
        <f>"6736"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192</v>
      </c>
      <c r="B51" t="s">
        <v>7854</v>
      </c>
      <c r="C51">
        <f>"6737"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192</v>
      </c>
      <c r="B52" t="s">
        <v>7927</v>
      </c>
      <c r="C52">
        <f>"1564523855924"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192</v>
      </c>
      <c r="B53" t="s">
        <v>7926</v>
      </c>
      <c r="C53">
        <f>"1564524519198"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192</v>
      </c>
      <c r="B54" t="s">
        <v>7925</v>
      </c>
      <c r="C54">
        <f>"1564524702138"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192</v>
      </c>
      <c r="B55" t="s">
        <v>7924</v>
      </c>
      <c r="C55">
        <f>"1564528842637"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192</v>
      </c>
      <c r="B56" t="s">
        <v>7923</v>
      </c>
      <c r="C56">
        <f>"1564525918002"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192</v>
      </c>
      <c r="B57" t="s">
        <v>7920</v>
      </c>
      <c r="C57">
        <f>"1564611769293"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192</v>
      </c>
      <c r="B58" t="s">
        <v>7919</v>
      </c>
      <c r="C58">
        <f>"1564524630806"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192</v>
      </c>
      <c r="B59" t="s">
        <v>6599</v>
      </c>
      <c r="C59">
        <f>"LN052"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192</v>
      </c>
      <c r="B60" t="s">
        <v>7216</v>
      </c>
      <c r="C60">
        <f>"6505"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192</v>
      </c>
      <c r="B61" t="s">
        <v>7215</v>
      </c>
      <c r="C61">
        <f>"LN177"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192</v>
      </c>
      <c r="B62" t="s">
        <v>7192</v>
      </c>
      <c r="C62">
        <f>"6507"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192</v>
      </c>
      <c r="B63" t="s">
        <v>1394</v>
      </c>
      <c r="C63">
        <f>"LN015"</f>
        <v>0</v>
      </c>
      <c r="D63">
        <v>0</v>
      </c>
      <c r="E63">
        <v>1</v>
      </c>
      <c r="F63">
        <v>0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192</v>
      </c>
      <c r="B64" t="s">
        <v>6596</v>
      </c>
      <c r="C64">
        <f>"LN785"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192</v>
      </c>
      <c r="B65" t="s">
        <v>6049</v>
      </c>
      <c r="C65">
        <f>"B205"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192</v>
      </c>
      <c r="B66" t="s">
        <v>3117</v>
      </c>
      <c r="C66">
        <f>"6453"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192</v>
      </c>
      <c r="B67" t="s">
        <v>9550</v>
      </c>
      <c r="C67">
        <f>"calafblangris"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192</v>
      </c>
      <c r="B68" t="s">
        <v>7496</v>
      </c>
      <c r="C68">
        <f>"206"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192</v>
      </c>
      <c r="B69" t="s">
        <v>7481</v>
      </c>
      <c r="C69">
        <f>"205"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192</v>
      </c>
      <c r="B70" t="s">
        <v>7476</v>
      </c>
      <c r="C70">
        <f>"303"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192</v>
      </c>
      <c r="B71" t="s">
        <v>5789</v>
      </c>
      <c r="C71">
        <f>"APBPA"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192</v>
      </c>
      <c r="B72" t="s">
        <v>2741</v>
      </c>
      <c r="C72">
        <f>"6222"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192</v>
      </c>
      <c r="B73" t="s">
        <v>9206</v>
      </c>
      <c r="C73">
        <f>"Avediamante"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192</v>
      </c>
      <c r="B74" t="s">
        <v>9159</v>
      </c>
      <c r="C74">
        <f>"Diamantina"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192</v>
      </c>
      <c r="B75" t="s">
        <v>9158</v>
      </c>
      <c r="C75">
        <f>"5545474"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192</v>
      </c>
      <c r="B76" t="s">
        <v>4782</v>
      </c>
      <c r="C76">
        <f>"TAI"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192</v>
      </c>
      <c r="B77" t="s">
        <v>5736</v>
      </c>
      <c r="C77">
        <f>"ZVP2257"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192</v>
      </c>
      <c r="B78" t="s">
        <v>4309</v>
      </c>
      <c r="C78">
        <f>"201836"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192</v>
      </c>
      <c r="B79" t="s">
        <v>4311</v>
      </c>
      <c r="C79">
        <f>"201841"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192</v>
      </c>
      <c r="B80" t="s">
        <v>4308</v>
      </c>
      <c r="C80">
        <f>"NMAEIN"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192</v>
      </c>
      <c r="B81" t="s">
        <v>4068</v>
      </c>
      <c r="C81">
        <f>"LN010LCEL"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192</v>
      </c>
      <c r="B82" t="s">
        <v>4069</v>
      </c>
      <c r="C82">
        <f>"LN010LAZ"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192</v>
      </c>
      <c r="B83" t="s">
        <v>4310</v>
      </c>
      <c r="C83">
        <f>"201835"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192</v>
      </c>
      <c r="B84" t="s">
        <v>4114</v>
      </c>
      <c r="C84">
        <f>"LN010SCEL"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192</v>
      </c>
      <c r="B85" t="s">
        <v>4115</v>
      </c>
      <c r="C85">
        <f>"LN010SAZ"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192</v>
      </c>
      <c r="B86" t="s">
        <v>6593</v>
      </c>
      <c r="C86">
        <f>"LN032"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192</v>
      </c>
      <c r="B87" t="s">
        <v>9521</v>
      </c>
      <c r="C87">
        <f>"ZVP2106"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192</v>
      </c>
      <c r="B88" t="s">
        <v>9670</v>
      </c>
      <c r="C88">
        <f>"6411"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192</v>
      </c>
      <c r="B89" t="s">
        <v>9686</v>
      </c>
      <c r="C89">
        <f>"LN055"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192</v>
      </c>
      <c r="B90" t="s">
        <v>7232</v>
      </c>
      <c r="C90">
        <f>"FT02"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192</v>
      </c>
      <c r="B91" t="s">
        <v>7198</v>
      </c>
      <c r="C91">
        <f>"2910"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192</v>
      </c>
      <c r="B92" t="s">
        <v>8718</v>
      </c>
      <c r="C92">
        <f>"A4003"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192</v>
      </c>
      <c r="B93" t="s">
        <v>1059</v>
      </c>
      <c r="C93">
        <f>"ZVP100"</f>
        <v>0</v>
      </c>
      <c r="D93">
        <v>0</v>
      </c>
      <c r="E93">
        <v>2</v>
      </c>
      <c r="F93">
        <v>0</v>
      </c>
      <c r="G93">
        <v>0</v>
      </c>
      <c r="H93">
        <v>2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192</v>
      </c>
      <c r="B94" t="s">
        <v>8719</v>
      </c>
      <c r="C94">
        <f>"A101"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192</v>
      </c>
      <c r="B95" t="s">
        <v>8593</v>
      </c>
      <c r="C95">
        <f>"6092"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192</v>
      </c>
      <c r="B96" t="s">
        <v>9665</v>
      </c>
      <c r="C96">
        <f>"6641"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192</v>
      </c>
      <c r="B97" t="s">
        <v>9628</v>
      </c>
      <c r="C97">
        <f>"EH1214"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192</v>
      </c>
      <c r="B98" t="s">
        <v>9413</v>
      </c>
      <c r="C98">
        <f>"ZVP3230"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192</v>
      </c>
      <c r="B99" t="s">
        <v>9412</v>
      </c>
      <c r="C99">
        <f>"ZVP3237"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192</v>
      </c>
      <c r="B100" t="s">
        <v>8717</v>
      </c>
      <c r="C100">
        <f>"D611BL"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192</v>
      </c>
      <c r="B101" t="s">
        <v>1017</v>
      </c>
      <c r="C101">
        <f>"605A"</f>
        <v>0</v>
      </c>
      <c r="D101">
        <v>2</v>
      </c>
      <c r="E101">
        <v>0</v>
      </c>
      <c r="F101">
        <v>0</v>
      </c>
      <c r="G101">
        <v>0</v>
      </c>
      <c r="H101">
        <v>2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192</v>
      </c>
      <c r="B102" t="s">
        <v>907</v>
      </c>
      <c r="C102">
        <f>"700ACEL"</f>
        <v>0</v>
      </c>
      <c r="D102">
        <v>3</v>
      </c>
      <c r="E102">
        <v>0</v>
      </c>
      <c r="F102">
        <v>0</v>
      </c>
      <c r="G102">
        <v>0</v>
      </c>
      <c r="H102">
        <v>3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192</v>
      </c>
      <c r="B103" t="s">
        <v>7187</v>
      </c>
      <c r="C103">
        <f>"FT03"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192</v>
      </c>
      <c r="B104" t="s">
        <v>7248</v>
      </c>
      <c r="C104">
        <f>"B303"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192</v>
      </c>
      <c r="B105" t="s">
        <v>7233</v>
      </c>
      <c r="C105">
        <f>"B307C"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192</v>
      </c>
      <c r="B106" t="s">
        <v>7229</v>
      </c>
      <c r="C106">
        <f>"B202"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192</v>
      </c>
      <c r="B107" t="s">
        <v>7247</v>
      </c>
      <c r="C107">
        <f>"FT01"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192</v>
      </c>
      <c r="B108" t="s">
        <v>8701</v>
      </c>
      <c r="C108">
        <f>"A33BL"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192</v>
      </c>
      <c r="B109" t="s">
        <v>8686</v>
      </c>
      <c r="C109">
        <f>"808ANE"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192</v>
      </c>
      <c r="B110" t="s">
        <v>8687</v>
      </c>
      <c r="C110">
        <f>"808ACEL"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192</v>
      </c>
      <c r="B111" t="s">
        <v>8700</v>
      </c>
      <c r="C111">
        <f>"A4009"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192</v>
      </c>
      <c r="B112" t="s">
        <v>8657</v>
      </c>
      <c r="C112">
        <f>"A26AVER"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192</v>
      </c>
      <c r="B113" t="s">
        <v>8656</v>
      </c>
      <c r="C113">
        <f>"A26AMAR"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192</v>
      </c>
      <c r="B114" t="s">
        <v>8692</v>
      </c>
      <c r="C114">
        <f>"A26G"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192</v>
      </c>
      <c r="B115" t="s">
        <v>1063</v>
      </c>
      <c r="C115">
        <f>"619ABL"</f>
        <v>0</v>
      </c>
      <c r="D115">
        <v>2</v>
      </c>
      <c r="E115">
        <v>0</v>
      </c>
      <c r="F115">
        <v>0</v>
      </c>
      <c r="G115">
        <v>0</v>
      </c>
      <c r="H115">
        <v>2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192</v>
      </c>
      <c r="B116" t="s">
        <v>8707</v>
      </c>
      <c r="C116">
        <f>"BE02"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192</v>
      </c>
      <c r="B117" t="s">
        <v>8706</v>
      </c>
      <c r="C117">
        <f>"A3114H"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192</v>
      </c>
      <c r="B118" t="s">
        <v>8705</v>
      </c>
      <c r="C118">
        <f>"A4010H"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192</v>
      </c>
      <c r="B119" t="s">
        <v>906</v>
      </c>
      <c r="C119">
        <f>"700ABL"</f>
        <v>0</v>
      </c>
      <c r="D119">
        <v>3</v>
      </c>
      <c r="E119">
        <v>0</v>
      </c>
      <c r="F119">
        <v>0</v>
      </c>
      <c r="G119">
        <v>0</v>
      </c>
      <c r="H119">
        <v>3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192</v>
      </c>
      <c r="B120" t="s">
        <v>8663</v>
      </c>
      <c r="C120">
        <f>"601"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192</v>
      </c>
      <c r="B121" t="s">
        <v>8699</v>
      </c>
      <c r="C121">
        <f>"A4009H"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192</v>
      </c>
      <c r="B122" t="s">
        <v>8742</v>
      </c>
      <c r="C122">
        <f>"309"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192</v>
      </c>
      <c r="B123" t="s">
        <v>1039</v>
      </c>
      <c r="C123">
        <f>"D611N"</f>
        <v>0</v>
      </c>
      <c r="D123">
        <v>2</v>
      </c>
      <c r="E123">
        <v>0</v>
      </c>
      <c r="F123">
        <v>0</v>
      </c>
      <c r="G123">
        <v>0</v>
      </c>
      <c r="H123">
        <v>2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192</v>
      </c>
      <c r="B124" t="s">
        <v>8688</v>
      </c>
      <c r="C124">
        <f>"808ABL"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192</v>
      </c>
      <c r="B125" t="s">
        <v>8691</v>
      </c>
      <c r="C125">
        <f>"613"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192</v>
      </c>
      <c r="B126" t="s">
        <v>3894</v>
      </c>
      <c r="C126">
        <f>"ZVP2056"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192</v>
      </c>
      <c r="B127" t="s">
        <v>3933</v>
      </c>
      <c r="C127">
        <f>"ZVP2054"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192</v>
      </c>
      <c r="B128" t="s">
        <v>1032</v>
      </c>
      <c r="C128">
        <f>"MI25"</f>
        <v>0</v>
      </c>
      <c r="D128">
        <v>2</v>
      </c>
      <c r="E128">
        <v>0</v>
      </c>
      <c r="F128">
        <v>0</v>
      </c>
      <c r="G128">
        <v>0</v>
      </c>
      <c r="H128">
        <v>2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192</v>
      </c>
      <c r="B129" t="s">
        <v>3934</v>
      </c>
      <c r="C129">
        <f>"ZVP2055"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192</v>
      </c>
      <c r="B130" t="s">
        <v>9076</v>
      </c>
      <c r="C130">
        <f>"6765422"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192</v>
      </c>
      <c r="B131" t="s">
        <v>8459</v>
      </c>
      <c r="C131">
        <f>"6765439"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192</v>
      </c>
      <c r="B132" t="s">
        <v>1448</v>
      </c>
      <c r="C132">
        <f>"A19"</f>
        <v>0</v>
      </c>
      <c r="D132">
        <v>0</v>
      </c>
      <c r="E132">
        <v>0</v>
      </c>
      <c r="F132">
        <v>1</v>
      </c>
      <c r="G132">
        <v>0</v>
      </c>
      <c r="H132">
        <v>1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192</v>
      </c>
      <c r="B133" t="s">
        <v>8645</v>
      </c>
      <c r="C133">
        <f>"AA24"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192</v>
      </c>
      <c r="B134" t="s">
        <v>8318</v>
      </c>
      <c r="C134">
        <f>"LN898"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192</v>
      </c>
      <c r="B135" t="s">
        <v>9612</v>
      </c>
      <c r="C135">
        <f>"6354A"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192</v>
      </c>
      <c r="B136" t="s">
        <v>9666</v>
      </c>
      <c r="C136">
        <f>"6408"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192</v>
      </c>
      <c r="B137" t="s">
        <v>9667</v>
      </c>
      <c r="C137">
        <f>"6404"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192</v>
      </c>
      <c r="B138" t="s">
        <v>9668</v>
      </c>
      <c r="C138">
        <f>"6406"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192</v>
      </c>
      <c r="B139" t="s">
        <v>9669</v>
      </c>
      <c r="C139">
        <f>"ECMA"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192</v>
      </c>
      <c r="B140" t="s">
        <v>5106</v>
      </c>
      <c r="C140">
        <f>"ZVP2701"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192</v>
      </c>
      <c r="B141" t="s">
        <v>785</v>
      </c>
      <c r="C141">
        <f>"890107A"</f>
        <v>0</v>
      </c>
      <c r="D141">
        <v>4</v>
      </c>
      <c r="E141">
        <v>0</v>
      </c>
      <c r="F141">
        <v>0</v>
      </c>
      <c r="G141">
        <v>0</v>
      </c>
      <c r="H141">
        <v>4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192</v>
      </c>
      <c r="B142" t="s">
        <v>5960</v>
      </c>
      <c r="C142">
        <f>"890805"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192</v>
      </c>
      <c r="B143" t="s">
        <v>6402</v>
      </c>
      <c r="C143">
        <f>"ZVP2440"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192</v>
      </c>
      <c r="B144" t="s">
        <v>5738</v>
      </c>
      <c r="C144">
        <f>"ZVP2557"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192</v>
      </c>
      <c r="B145" t="s">
        <v>785</v>
      </c>
      <c r="C145">
        <f>"890107"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192</v>
      </c>
      <c r="B146" t="s">
        <v>4113</v>
      </c>
      <c r="C146">
        <f>"LN010SVE"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192</v>
      </c>
      <c r="B147" t="s">
        <v>1301</v>
      </c>
      <c r="C147">
        <f>"LN010LAM"</f>
        <v>0</v>
      </c>
      <c r="D147">
        <v>1</v>
      </c>
      <c r="E147">
        <v>0</v>
      </c>
      <c r="F147">
        <v>0</v>
      </c>
      <c r="G147">
        <v>0</v>
      </c>
      <c r="H147">
        <v>1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192</v>
      </c>
      <c r="B148" t="s">
        <v>4331</v>
      </c>
      <c r="C148">
        <f>"611002"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192</v>
      </c>
      <c r="B149" t="s">
        <v>4330</v>
      </c>
      <c r="C149">
        <f>"601001"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192</v>
      </c>
      <c r="B150" t="s">
        <v>908</v>
      </c>
      <c r="C150">
        <f>"LN010SAM"</f>
        <v>0</v>
      </c>
      <c r="D150">
        <v>0</v>
      </c>
      <c r="E150">
        <v>3</v>
      </c>
      <c r="F150">
        <v>0</v>
      </c>
      <c r="G150">
        <v>0</v>
      </c>
      <c r="H150">
        <v>3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192</v>
      </c>
      <c r="B151" t="s">
        <v>5712</v>
      </c>
      <c r="C151">
        <f>"ZVP2157"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192</v>
      </c>
      <c r="B152" t="s">
        <v>3007</v>
      </c>
      <c r="C152">
        <f>"6304"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192</v>
      </c>
      <c r="B153" t="s">
        <v>3006</v>
      </c>
      <c r="C153">
        <f>"6302"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192</v>
      </c>
      <c r="B154" t="s">
        <v>8463</v>
      </c>
      <c r="C154">
        <f>"6765446"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192</v>
      </c>
      <c r="B155" t="s">
        <v>8684</v>
      </c>
      <c r="C155">
        <f>"A33"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192</v>
      </c>
      <c r="B156" t="s">
        <v>4334</v>
      </c>
      <c r="C156">
        <f>"619191"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192</v>
      </c>
      <c r="B157" t="s">
        <v>4334</v>
      </c>
      <c r="C157">
        <f>"619205"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192</v>
      </c>
      <c r="B158" t="s">
        <v>3520</v>
      </c>
      <c r="C158">
        <f>"LN056"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192</v>
      </c>
      <c r="B159" t="s">
        <v>4315</v>
      </c>
      <c r="C159">
        <f>"618212"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192</v>
      </c>
      <c r="B160" t="s">
        <v>4315</v>
      </c>
      <c r="C160">
        <f>"201839"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100</v>
      </c>
      <c r="Q160">
        <v>0</v>
      </c>
      <c r="R160" t="s">
        <v>145</v>
      </c>
      <c r="S160">
        <v>0</v>
      </c>
    </row>
    <row r="161" spans="1:19">
      <c r="A161" t="s">
        <v>192</v>
      </c>
      <c r="B161" t="s">
        <v>3662</v>
      </c>
      <c r="C161">
        <f>"618166"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192</v>
      </c>
      <c r="B162" t="s">
        <v>3662</v>
      </c>
      <c r="C162">
        <f>"618067"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192</v>
      </c>
      <c r="B163" t="s">
        <v>4014</v>
      </c>
      <c r="C163">
        <f>"911469"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192</v>
      </c>
      <c r="B164" t="s">
        <v>4329</v>
      </c>
      <c r="C164">
        <f>"611003"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192</v>
      </c>
      <c r="B165" t="s">
        <v>4328</v>
      </c>
      <c r="C165">
        <f>"890806"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192</v>
      </c>
      <c r="B166" t="s">
        <v>4333</v>
      </c>
      <c r="C166">
        <f>"618069"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100</v>
      </c>
      <c r="Q166">
        <v>0</v>
      </c>
      <c r="R166" t="s">
        <v>145</v>
      </c>
      <c r="S166">
        <v>0</v>
      </c>
    </row>
    <row r="167" spans="1:19">
      <c r="A167" t="s">
        <v>192</v>
      </c>
      <c r="B167" t="s">
        <v>4332</v>
      </c>
      <c r="C167">
        <f>"890803"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100</v>
      </c>
      <c r="Q167">
        <v>0</v>
      </c>
      <c r="R167" t="s">
        <v>145</v>
      </c>
      <c r="S167">
        <v>0</v>
      </c>
    </row>
    <row r="168" spans="1:19">
      <c r="A168" t="s">
        <v>192</v>
      </c>
      <c r="B168" t="s">
        <v>1163</v>
      </c>
      <c r="C168">
        <f>"1893N"</f>
        <v>0</v>
      </c>
      <c r="D168">
        <v>0</v>
      </c>
      <c r="E168">
        <v>1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192</v>
      </c>
      <c r="B169" t="s">
        <v>8646</v>
      </c>
      <c r="C169">
        <f>"A14"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100</v>
      </c>
      <c r="Q169">
        <v>0</v>
      </c>
      <c r="R169" t="s">
        <v>145</v>
      </c>
      <c r="S169">
        <v>0</v>
      </c>
    </row>
    <row r="170" spans="1:19">
      <c r="A170" t="s">
        <v>192</v>
      </c>
      <c r="B170" t="s">
        <v>2181</v>
      </c>
      <c r="C170">
        <f>"605ACEL"</f>
        <v>0</v>
      </c>
      <c r="D170">
        <v>1</v>
      </c>
      <c r="E170">
        <v>1</v>
      </c>
      <c r="F170">
        <v>0</v>
      </c>
      <c r="G170">
        <v>0</v>
      </c>
      <c r="H170">
        <v>2</v>
      </c>
      <c r="I170">
        <v>0.5</v>
      </c>
      <c r="J170">
        <v>1</v>
      </c>
      <c r="K170">
        <v>15.92</v>
      </c>
      <c r="L170" s="2">
        <v>16</v>
      </c>
      <c r="M170">
        <v>0</v>
      </c>
      <c r="N170" s="2">
        <v>0</v>
      </c>
      <c r="O170">
        <v>-0.7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192</v>
      </c>
      <c r="B171" t="s">
        <v>2256</v>
      </c>
      <c r="C171">
        <f>"AB146"</f>
        <v>0</v>
      </c>
      <c r="D171">
        <v>0</v>
      </c>
      <c r="E171">
        <v>1</v>
      </c>
      <c r="F171">
        <v>1</v>
      </c>
      <c r="G171">
        <v>0</v>
      </c>
      <c r="H171">
        <v>2</v>
      </c>
      <c r="I171">
        <v>0.5</v>
      </c>
      <c r="J171">
        <v>1</v>
      </c>
      <c r="K171">
        <v>1.062</v>
      </c>
      <c r="L171" s="2">
        <v>1</v>
      </c>
      <c r="M171">
        <v>0</v>
      </c>
      <c r="N171" s="2">
        <v>0</v>
      </c>
      <c r="O171">
        <v>-0.7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192</v>
      </c>
      <c r="B172" t="s">
        <v>2204</v>
      </c>
      <c r="C172">
        <f>"YY36"</f>
        <v>0</v>
      </c>
      <c r="D172">
        <v>1</v>
      </c>
      <c r="E172">
        <v>1</v>
      </c>
      <c r="F172">
        <v>0</v>
      </c>
      <c r="G172">
        <v>0</v>
      </c>
      <c r="H172">
        <v>2</v>
      </c>
      <c r="I172">
        <v>0.5</v>
      </c>
      <c r="J172">
        <v>1</v>
      </c>
      <c r="K172">
        <v>1.755</v>
      </c>
      <c r="L172" s="2">
        <v>2</v>
      </c>
      <c r="M172">
        <v>0</v>
      </c>
      <c r="N172" s="2">
        <v>0</v>
      </c>
      <c r="O172">
        <v>-0.7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192</v>
      </c>
      <c r="B173" t="s">
        <v>1695</v>
      </c>
      <c r="C173">
        <f>"AB83"</f>
        <v>0</v>
      </c>
      <c r="D173">
        <v>1</v>
      </c>
      <c r="E173">
        <v>0</v>
      </c>
      <c r="F173">
        <v>4</v>
      </c>
      <c r="G173">
        <v>0</v>
      </c>
      <c r="H173">
        <v>5</v>
      </c>
      <c r="I173">
        <v>0.5</v>
      </c>
      <c r="J173">
        <v>1</v>
      </c>
      <c r="K173">
        <v>891</v>
      </c>
      <c r="L173" s="2">
        <v>891</v>
      </c>
      <c r="M173">
        <v>0</v>
      </c>
      <c r="N173" s="2">
        <v>0</v>
      </c>
      <c r="O173">
        <v>-0.7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192</v>
      </c>
      <c r="B174" t="s">
        <v>2255</v>
      </c>
      <c r="C174">
        <f>"GJ007"</f>
        <v>0</v>
      </c>
      <c r="D174">
        <v>1</v>
      </c>
      <c r="E174">
        <v>0</v>
      </c>
      <c r="F174">
        <v>1</v>
      </c>
      <c r="G174">
        <v>0</v>
      </c>
      <c r="H174">
        <v>2</v>
      </c>
      <c r="I174">
        <v>0.5</v>
      </c>
      <c r="J174">
        <v>1</v>
      </c>
      <c r="K174">
        <v>531</v>
      </c>
      <c r="L174" s="2">
        <v>531</v>
      </c>
      <c r="M174">
        <v>0</v>
      </c>
      <c r="N174" s="2">
        <v>0</v>
      </c>
      <c r="O174">
        <v>-0.7</v>
      </c>
      <c r="P174" t="s">
        <v>100</v>
      </c>
      <c r="Q174">
        <v>0</v>
      </c>
      <c r="R174" t="s">
        <v>145</v>
      </c>
      <c r="S174">
        <v>0</v>
      </c>
    </row>
    <row r="175" spans="1:19">
      <c r="A175" t="s">
        <v>192</v>
      </c>
      <c r="B175" t="s">
        <v>2382</v>
      </c>
      <c r="C175">
        <f>"613BL"</f>
        <v>0</v>
      </c>
      <c r="D175">
        <v>0</v>
      </c>
      <c r="E175">
        <v>0</v>
      </c>
      <c r="F175">
        <v>1</v>
      </c>
      <c r="G175">
        <v>0</v>
      </c>
      <c r="H175">
        <v>1</v>
      </c>
      <c r="I175">
        <v>0</v>
      </c>
      <c r="J175">
        <v>1</v>
      </c>
      <c r="K175">
        <v>18</v>
      </c>
      <c r="L175" s="2">
        <v>18</v>
      </c>
      <c r="M175">
        <v>0</v>
      </c>
      <c r="N175" s="2">
        <v>0</v>
      </c>
      <c r="O175">
        <v>-1.2</v>
      </c>
      <c r="P175" t="s">
        <v>100</v>
      </c>
      <c r="Q175">
        <v>0</v>
      </c>
      <c r="R175" t="s">
        <v>145</v>
      </c>
      <c r="S175">
        <v>0</v>
      </c>
    </row>
    <row r="176" spans="1:19">
      <c r="A176" t="s">
        <v>192</v>
      </c>
      <c r="B176" t="s">
        <v>8743</v>
      </c>
      <c r="C176">
        <f>"619ACEL"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1</v>
      </c>
      <c r="K176">
        <v>29.61</v>
      </c>
      <c r="L176" s="2">
        <v>30</v>
      </c>
      <c r="M176">
        <v>0</v>
      </c>
      <c r="N176" s="2">
        <v>0</v>
      </c>
      <c r="O176">
        <v>-1.2</v>
      </c>
      <c r="P176" t="s">
        <v>100</v>
      </c>
      <c r="Q176">
        <v>0</v>
      </c>
      <c r="R176" t="s">
        <v>145</v>
      </c>
      <c r="S176">
        <v>0</v>
      </c>
    </row>
    <row r="177" spans="1:19">
      <c r="A177" t="s">
        <v>192</v>
      </c>
      <c r="B177" t="s">
        <v>2448</v>
      </c>
      <c r="C177">
        <f>"B4001"</f>
        <v>0</v>
      </c>
      <c r="D177">
        <v>0</v>
      </c>
      <c r="E177">
        <v>1</v>
      </c>
      <c r="F177">
        <v>0</v>
      </c>
      <c r="G177">
        <v>0</v>
      </c>
      <c r="H177">
        <v>1</v>
      </c>
      <c r="I177">
        <v>0</v>
      </c>
      <c r="J177">
        <v>1</v>
      </c>
      <c r="K177">
        <v>62.91</v>
      </c>
      <c r="L177" s="2">
        <v>63</v>
      </c>
      <c r="M177">
        <v>0</v>
      </c>
      <c r="N177" s="2">
        <v>0</v>
      </c>
      <c r="O177">
        <v>-1.2</v>
      </c>
      <c r="P177" t="s">
        <v>100</v>
      </c>
      <c r="Q177">
        <v>0</v>
      </c>
      <c r="R177" t="s">
        <v>145</v>
      </c>
      <c r="S177">
        <v>0</v>
      </c>
    </row>
    <row r="178" spans="1:19">
      <c r="A178" t="s">
        <v>192</v>
      </c>
      <c r="B178" t="s">
        <v>7139</v>
      </c>
      <c r="C178">
        <f>"B102"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1</v>
      </c>
      <c r="K178">
        <v>441</v>
      </c>
      <c r="L178" s="2">
        <v>441</v>
      </c>
      <c r="M178">
        <v>0</v>
      </c>
      <c r="N178" s="2">
        <v>0</v>
      </c>
      <c r="O178">
        <v>-1.2</v>
      </c>
      <c r="P178" t="s">
        <v>100</v>
      </c>
      <c r="Q178">
        <v>0</v>
      </c>
      <c r="R178" t="s">
        <v>145</v>
      </c>
      <c r="S178">
        <v>0</v>
      </c>
    </row>
    <row r="179" spans="1:19">
      <c r="A179" t="s">
        <v>192</v>
      </c>
      <c r="B179" t="s">
        <v>9664</v>
      </c>
      <c r="C179">
        <f>"AB91"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1</v>
      </c>
      <c r="K179">
        <v>891</v>
      </c>
      <c r="L179" s="2">
        <v>891</v>
      </c>
      <c r="M179">
        <v>0</v>
      </c>
      <c r="N179" s="2">
        <v>0</v>
      </c>
      <c r="O179">
        <v>-1.2</v>
      </c>
      <c r="P179" t="s">
        <v>100</v>
      </c>
      <c r="Q179">
        <v>0</v>
      </c>
      <c r="R179" t="s">
        <v>145</v>
      </c>
      <c r="S179">
        <v>0</v>
      </c>
    </row>
    <row r="180" spans="1:19">
      <c r="A180" t="s">
        <v>192</v>
      </c>
      <c r="B180" t="s">
        <v>8659</v>
      </c>
      <c r="C180">
        <f>"A25A"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1</v>
      </c>
      <c r="K180">
        <v>116.91</v>
      </c>
      <c r="L180" s="2">
        <v>117</v>
      </c>
      <c r="M180">
        <v>0</v>
      </c>
      <c r="N180" s="2">
        <v>0</v>
      </c>
      <c r="O180">
        <v>-1.2</v>
      </c>
      <c r="P180" t="s">
        <v>100</v>
      </c>
      <c r="Q180">
        <v>0</v>
      </c>
      <c r="R180" t="s">
        <v>145</v>
      </c>
      <c r="S180">
        <v>0</v>
      </c>
    </row>
    <row r="181" spans="1:19">
      <c r="A181" t="s">
        <v>192</v>
      </c>
      <c r="B181" t="s">
        <v>8690</v>
      </c>
      <c r="C181">
        <f>"613cel"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1</v>
      </c>
      <c r="K181">
        <v>18</v>
      </c>
      <c r="L181" s="2">
        <v>18</v>
      </c>
      <c r="M181">
        <v>0</v>
      </c>
      <c r="N181" s="2">
        <v>0</v>
      </c>
      <c r="O181">
        <v>-1.2</v>
      </c>
      <c r="P181" t="s">
        <v>100</v>
      </c>
      <c r="Q181">
        <v>0</v>
      </c>
      <c r="R181" t="s">
        <v>145</v>
      </c>
      <c r="S181">
        <v>0</v>
      </c>
    </row>
    <row r="182" spans="1:19">
      <c r="A182" t="s">
        <v>192</v>
      </c>
      <c r="B182" t="s">
        <v>1974</v>
      </c>
      <c r="C182">
        <f>"6459"</f>
        <v>0</v>
      </c>
      <c r="D182">
        <v>2</v>
      </c>
      <c r="E182">
        <v>0</v>
      </c>
      <c r="F182">
        <v>2</v>
      </c>
      <c r="G182">
        <v>0</v>
      </c>
      <c r="H182">
        <v>4</v>
      </c>
      <c r="I182">
        <v>1</v>
      </c>
      <c r="J182">
        <v>2</v>
      </c>
      <c r="K182">
        <v>990</v>
      </c>
      <c r="L182" s="2">
        <v>495</v>
      </c>
      <c r="M182">
        <v>0</v>
      </c>
      <c r="N182" s="2">
        <v>0</v>
      </c>
      <c r="O182">
        <v>-1.4</v>
      </c>
      <c r="P182" t="s">
        <v>100</v>
      </c>
      <c r="Q182">
        <v>0</v>
      </c>
      <c r="R182" t="s">
        <v>145</v>
      </c>
      <c r="S182">
        <v>0</v>
      </c>
    </row>
    <row r="183" spans="1:19">
      <c r="A183" t="s">
        <v>192</v>
      </c>
      <c r="B183" t="s">
        <v>1866</v>
      </c>
      <c r="C183">
        <f>"LN010LROJ"</f>
        <v>0</v>
      </c>
      <c r="D183">
        <v>2</v>
      </c>
      <c r="E183">
        <v>3</v>
      </c>
      <c r="F183">
        <v>2</v>
      </c>
      <c r="G183">
        <v>0</v>
      </c>
      <c r="H183">
        <v>7</v>
      </c>
      <c r="I183">
        <v>2</v>
      </c>
      <c r="J183">
        <v>3</v>
      </c>
      <c r="K183">
        <v>1.404</v>
      </c>
      <c r="L183" s="2">
        <v>0</v>
      </c>
      <c r="M183">
        <v>0</v>
      </c>
      <c r="N183" s="2">
        <v>0</v>
      </c>
      <c r="O183">
        <v>-1.6</v>
      </c>
      <c r="P183" t="s">
        <v>100</v>
      </c>
      <c r="Q183">
        <v>0</v>
      </c>
      <c r="R183" t="s">
        <v>145</v>
      </c>
      <c r="S183">
        <v>0</v>
      </c>
    </row>
    <row r="184" spans="1:19">
      <c r="A184" t="s">
        <v>192</v>
      </c>
      <c r="B184" t="s">
        <v>1549</v>
      </c>
      <c r="C184">
        <f>"890104"</f>
        <v>0</v>
      </c>
      <c r="D184">
        <v>9</v>
      </c>
      <c r="E184">
        <v>3</v>
      </c>
      <c r="F184">
        <v>10</v>
      </c>
      <c r="G184">
        <v>1</v>
      </c>
      <c r="H184">
        <v>23</v>
      </c>
      <c r="I184">
        <v>6</v>
      </c>
      <c r="J184">
        <v>8</v>
      </c>
      <c r="K184">
        <v>2.808</v>
      </c>
      <c r="L184" s="2">
        <v>0</v>
      </c>
      <c r="M184">
        <v>0</v>
      </c>
      <c r="N184" s="2">
        <v>0</v>
      </c>
      <c r="O184">
        <v>-1.6</v>
      </c>
      <c r="P184" t="s">
        <v>10396</v>
      </c>
      <c r="Q184">
        <v>145</v>
      </c>
      <c r="R184" t="s">
        <v>10406</v>
      </c>
      <c r="S184">
        <v>0</v>
      </c>
    </row>
    <row r="185" spans="1:19">
      <c r="A185" t="s">
        <v>192</v>
      </c>
      <c r="B185" t="s">
        <v>1967</v>
      </c>
      <c r="C185">
        <f>"B101"</f>
        <v>0</v>
      </c>
      <c r="D185">
        <v>1</v>
      </c>
      <c r="E185">
        <v>0</v>
      </c>
      <c r="F185">
        <v>3</v>
      </c>
      <c r="G185">
        <v>0</v>
      </c>
      <c r="H185">
        <v>4</v>
      </c>
      <c r="I185">
        <v>0.5</v>
      </c>
      <c r="J185">
        <v>2</v>
      </c>
      <c r="K185">
        <v>720</v>
      </c>
      <c r="L185" s="2">
        <v>360</v>
      </c>
      <c r="M185">
        <v>0</v>
      </c>
      <c r="N185" s="2">
        <v>0</v>
      </c>
      <c r="O185">
        <v>-1.9</v>
      </c>
      <c r="P185" t="s">
        <v>100</v>
      </c>
      <c r="Q185">
        <v>0</v>
      </c>
      <c r="R185" t="s">
        <v>145</v>
      </c>
      <c r="S185">
        <v>0</v>
      </c>
    </row>
    <row r="186" spans="1:19">
      <c r="A186" t="s">
        <v>192</v>
      </c>
      <c r="B186" t="s">
        <v>2085</v>
      </c>
      <c r="C186">
        <f>"6513"</f>
        <v>0</v>
      </c>
      <c r="D186">
        <v>1</v>
      </c>
      <c r="E186">
        <v>0</v>
      </c>
      <c r="F186">
        <v>2</v>
      </c>
      <c r="G186">
        <v>0</v>
      </c>
      <c r="H186">
        <v>3</v>
      </c>
      <c r="I186">
        <v>0.5</v>
      </c>
      <c r="J186">
        <v>2</v>
      </c>
      <c r="K186">
        <v>1.792</v>
      </c>
      <c r="L186" s="2">
        <v>1</v>
      </c>
      <c r="M186">
        <v>0</v>
      </c>
      <c r="N186" s="2">
        <v>0</v>
      </c>
      <c r="O186">
        <v>-1.9</v>
      </c>
      <c r="P186" t="s">
        <v>100</v>
      </c>
      <c r="Q186">
        <v>0</v>
      </c>
      <c r="R186" t="s">
        <v>145</v>
      </c>
      <c r="S186">
        <v>0</v>
      </c>
    </row>
    <row r="187" spans="1:19">
      <c r="A187" t="s">
        <v>192</v>
      </c>
      <c r="B187" t="s">
        <v>582</v>
      </c>
      <c r="C187">
        <f>"YY33"</f>
        <v>0</v>
      </c>
      <c r="D187">
        <v>2</v>
      </c>
      <c r="E187">
        <v>2</v>
      </c>
      <c r="F187">
        <v>4</v>
      </c>
      <c r="G187">
        <v>1</v>
      </c>
      <c r="H187">
        <v>9</v>
      </c>
      <c r="I187">
        <v>2</v>
      </c>
      <c r="J187">
        <v>5</v>
      </c>
      <c r="K187">
        <v>3.555</v>
      </c>
      <c r="L187" s="2">
        <v>1</v>
      </c>
      <c r="M187">
        <v>0</v>
      </c>
      <c r="N187" s="2">
        <v>0</v>
      </c>
      <c r="O187">
        <v>-2</v>
      </c>
      <c r="P187" t="s">
        <v>10397</v>
      </c>
      <c r="Q187">
        <v>289</v>
      </c>
      <c r="R187" t="s">
        <v>10407</v>
      </c>
      <c r="S187">
        <v>0</v>
      </c>
    </row>
    <row r="188" spans="1:19">
      <c r="A188" t="s">
        <v>192</v>
      </c>
      <c r="B188" t="s">
        <v>2128</v>
      </c>
      <c r="C188">
        <f>"LN010SROJ"</f>
        <v>0</v>
      </c>
      <c r="D188">
        <v>0</v>
      </c>
      <c r="E188">
        <v>0</v>
      </c>
      <c r="F188">
        <v>3</v>
      </c>
      <c r="G188">
        <v>0</v>
      </c>
      <c r="H188">
        <v>3</v>
      </c>
      <c r="I188">
        <v>0</v>
      </c>
      <c r="J188">
        <v>2</v>
      </c>
      <c r="K188">
        <v>1.242</v>
      </c>
      <c r="L188" s="2">
        <v>1</v>
      </c>
      <c r="M188">
        <v>0</v>
      </c>
      <c r="N188" s="2">
        <v>0</v>
      </c>
      <c r="O188">
        <v>-2.4</v>
      </c>
      <c r="P188" t="s">
        <v>100</v>
      </c>
      <c r="Q188">
        <v>0</v>
      </c>
      <c r="R188" t="s">
        <v>145</v>
      </c>
      <c r="S188">
        <v>0</v>
      </c>
    </row>
    <row r="189" spans="1:19">
      <c r="A189" t="s">
        <v>192</v>
      </c>
      <c r="B189" t="s">
        <v>2257</v>
      </c>
      <c r="C189">
        <f>"6508"</f>
        <v>0</v>
      </c>
      <c r="D189">
        <v>0</v>
      </c>
      <c r="E189">
        <v>0</v>
      </c>
      <c r="F189">
        <v>2</v>
      </c>
      <c r="G189">
        <v>0</v>
      </c>
      <c r="H189">
        <v>2</v>
      </c>
      <c r="I189">
        <v>0</v>
      </c>
      <c r="J189">
        <v>2</v>
      </c>
      <c r="K189">
        <v>1.782</v>
      </c>
      <c r="L189" s="2">
        <v>1</v>
      </c>
      <c r="M189">
        <v>0</v>
      </c>
      <c r="N189" s="2">
        <v>0</v>
      </c>
      <c r="O189">
        <v>-2.4</v>
      </c>
      <c r="P189" t="s">
        <v>100</v>
      </c>
      <c r="Q189">
        <v>0</v>
      </c>
      <c r="R189" t="s">
        <v>145</v>
      </c>
      <c r="S189">
        <v>0</v>
      </c>
    </row>
    <row r="190" spans="1:19">
      <c r="A190" t="s">
        <v>192</v>
      </c>
      <c r="B190" t="s">
        <v>4067</v>
      </c>
      <c r="C190">
        <f>"LN010LVE"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3</v>
      </c>
      <c r="K190">
        <v>1.404</v>
      </c>
      <c r="L190" s="2">
        <v>0</v>
      </c>
      <c r="M190">
        <v>0</v>
      </c>
      <c r="N190" s="2">
        <v>0</v>
      </c>
      <c r="O190">
        <v>-3.6</v>
      </c>
      <c r="P190" t="s">
        <v>100</v>
      </c>
      <c r="Q190">
        <v>0</v>
      </c>
      <c r="R190" t="s">
        <v>145</v>
      </c>
      <c r="S190">
        <v>0</v>
      </c>
    </row>
    <row r="191" spans="1:19">
      <c r="A191" t="s">
        <v>192</v>
      </c>
      <c r="B191" t="s">
        <v>8689</v>
      </c>
      <c r="C191">
        <f>"808A"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3</v>
      </c>
      <c r="K191">
        <v>95.76000000000001</v>
      </c>
      <c r="L191" s="2">
        <v>32</v>
      </c>
      <c r="M191">
        <v>0</v>
      </c>
      <c r="N191" s="2">
        <v>0</v>
      </c>
      <c r="O191">
        <v>-3.6</v>
      </c>
      <c r="P191" t="s">
        <v>100</v>
      </c>
      <c r="Q191">
        <v>0</v>
      </c>
      <c r="R191" t="s">
        <v>145</v>
      </c>
      <c r="S191">
        <v>0</v>
      </c>
    </row>
    <row r="192" spans="1:19">
      <c r="A192" t="s">
        <v>192</v>
      </c>
      <c r="B192" t="s">
        <v>6600</v>
      </c>
      <c r="C192">
        <f>"LN427"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3</v>
      </c>
      <c r="K192">
        <v>8.073</v>
      </c>
      <c r="L192" s="2">
        <v>3</v>
      </c>
      <c r="M192">
        <v>0</v>
      </c>
      <c r="N192" s="2">
        <v>0</v>
      </c>
      <c r="O192">
        <v>-3.6</v>
      </c>
      <c r="P192" t="s">
        <v>100</v>
      </c>
      <c r="Q192">
        <v>0</v>
      </c>
      <c r="R192" t="s">
        <v>145</v>
      </c>
      <c r="S192">
        <v>0</v>
      </c>
    </row>
    <row r="193" spans="1:19">
      <c r="A193" t="s">
        <v>192</v>
      </c>
      <c r="B193" t="s">
        <v>1780</v>
      </c>
      <c r="C193">
        <f>"MP012"</f>
        <v>0</v>
      </c>
      <c r="D193">
        <v>3</v>
      </c>
      <c r="E193">
        <v>4</v>
      </c>
      <c r="F193">
        <v>4</v>
      </c>
      <c r="G193">
        <v>0</v>
      </c>
      <c r="H193">
        <v>11</v>
      </c>
      <c r="I193">
        <v>3.5</v>
      </c>
      <c r="J193">
        <v>6</v>
      </c>
      <c r="K193">
        <v>6.48</v>
      </c>
      <c r="L193" s="2">
        <v>1</v>
      </c>
      <c r="M193">
        <v>0</v>
      </c>
      <c r="N193" s="2">
        <v>0</v>
      </c>
      <c r="O193">
        <v>-3.699999999999999</v>
      </c>
      <c r="P193" t="s">
        <v>100</v>
      </c>
      <c r="Q193">
        <v>0</v>
      </c>
      <c r="R193" t="s">
        <v>145</v>
      </c>
      <c r="S193">
        <v>0</v>
      </c>
    </row>
    <row r="194" spans="1:19">
      <c r="A194" t="s">
        <v>192</v>
      </c>
      <c r="B194" t="s">
        <v>1790</v>
      </c>
      <c r="C194">
        <f>"MP001"</f>
        <v>0</v>
      </c>
      <c r="D194">
        <v>4</v>
      </c>
      <c r="E194">
        <v>2</v>
      </c>
      <c r="F194">
        <v>4</v>
      </c>
      <c r="G194">
        <v>0</v>
      </c>
      <c r="H194">
        <v>10</v>
      </c>
      <c r="I194">
        <v>3</v>
      </c>
      <c r="J194">
        <v>6</v>
      </c>
      <c r="K194">
        <v>6.75</v>
      </c>
      <c r="L194" s="2">
        <v>1</v>
      </c>
      <c r="M194">
        <v>0</v>
      </c>
      <c r="N194" s="2">
        <v>0</v>
      </c>
      <c r="O194">
        <v>-4.199999999999999</v>
      </c>
      <c r="P194" t="s">
        <v>100</v>
      </c>
      <c r="Q194">
        <v>0</v>
      </c>
      <c r="R194" t="s">
        <v>145</v>
      </c>
      <c r="S194">
        <v>0</v>
      </c>
    </row>
    <row r="195" spans="1:19">
      <c r="A195" t="s">
        <v>192</v>
      </c>
      <c r="B195" t="s">
        <v>1901</v>
      </c>
      <c r="C195">
        <f>"AB103"</f>
        <v>0</v>
      </c>
      <c r="D195">
        <v>1</v>
      </c>
      <c r="E195">
        <v>2</v>
      </c>
      <c r="F195">
        <v>3</v>
      </c>
      <c r="G195">
        <v>0</v>
      </c>
      <c r="H195">
        <v>6</v>
      </c>
      <c r="I195">
        <v>1.5</v>
      </c>
      <c r="J195">
        <v>6</v>
      </c>
      <c r="K195">
        <v>9.449999999999999</v>
      </c>
      <c r="L195" s="2">
        <v>2</v>
      </c>
      <c r="M195">
        <v>0</v>
      </c>
      <c r="N195" s="2">
        <v>0</v>
      </c>
      <c r="O195">
        <v>-5.699999999999999</v>
      </c>
      <c r="P195" t="s">
        <v>100</v>
      </c>
      <c r="Q195">
        <v>0</v>
      </c>
      <c r="R195" t="s">
        <v>145</v>
      </c>
      <c r="S195">
        <v>0</v>
      </c>
    </row>
    <row r="196" spans="1:19">
      <c r="A196" t="s">
        <v>192</v>
      </c>
      <c r="B196" t="s">
        <v>331</v>
      </c>
      <c r="C196">
        <f>"FT04"</f>
        <v>0</v>
      </c>
      <c r="D196">
        <v>1</v>
      </c>
      <c r="E196">
        <v>2</v>
      </c>
      <c r="F196">
        <v>8</v>
      </c>
      <c r="G196">
        <v>2</v>
      </c>
      <c r="H196">
        <v>13</v>
      </c>
      <c r="I196">
        <v>2</v>
      </c>
      <c r="J196">
        <v>10</v>
      </c>
      <c r="K196">
        <v>5.49</v>
      </c>
      <c r="L196" s="2">
        <v>1</v>
      </c>
      <c r="M196">
        <v>0</v>
      </c>
      <c r="N196" s="2">
        <v>0</v>
      </c>
      <c r="O196">
        <v>-6</v>
      </c>
      <c r="P196" t="s">
        <v>10398</v>
      </c>
      <c r="Q196">
        <v>566</v>
      </c>
      <c r="R196" t="s">
        <v>10408</v>
      </c>
      <c r="S196">
        <v>0</v>
      </c>
    </row>
    <row r="197" spans="1:19">
      <c r="A197" t="s">
        <v>192</v>
      </c>
      <c r="B197" t="s">
        <v>1837</v>
      </c>
      <c r="C197">
        <f>"MP004"</f>
        <v>0</v>
      </c>
      <c r="D197">
        <v>1</v>
      </c>
      <c r="E197">
        <v>6</v>
      </c>
      <c r="F197">
        <v>1</v>
      </c>
      <c r="G197">
        <v>0</v>
      </c>
      <c r="H197">
        <v>8</v>
      </c>
      <c r="I197">
        <v>1</v>
      </c>
      <c r="J197">
        <v>6</v>
      </c>
      <c r="K197">
        <v>6.75</v>
      </c>
      <c r="L197" s="2">
        <v>1</v>
      </c>
      <c r="M197">
        <v>0</v>
      </c>
      <c r="N197" s="2">
        <v>0</v>
      </c>
      <c r="O197">
        <v>-6.199999999999999</v>
      </c>
      <c r="P197" t="s">
        <v>100</v>
      </c>
      <c r="Q197">
        <v>0</v>
      </c>
      <c r="R197" t="s">
        <v>145</v>
      </c>
      <c r="S197">
        <v>0</v>
      </c>
    </row>
    <row r="198" spans="1:19">
      <c r="A198" t="s">
        <v>192</v>
      </c>
      <c r="B198" t="s">
        <v>1977</v>
      </c>
      <c r="C198">
        <f>"MP011"</f>
        <v>0</v>
      </c>
      <c r="D198">
        <v>0</v>
      </c>
      <c r="E198">
        <v>2</v>
      </c>
      <c r="F198">
        <v>2</v>
      </c>
      <c r="G198">
        <v>0</v>
      </c>
      <c r="H198">
        <v>4</v>
      </c>
      <c r="I198">
        <v>1</v>
      </c>
      <c r="J198">
        <v>6</v>
      </c>
      <c r="K198">
        <v>9.99</v>
      </c>
      <c r="L198" s="2">
        <v>2</v>
      </c>
      <c r="M198">
        <v>0</v>
      </c>
      <c r="N198" s="2">
        <v>0</v>
      </c>
      <c r="O198">
        <v>-6.199999999999999</v>
      </c>
      <c r="P198" t="s">
        <v>100</v>
      </c>
      <c r="Q198">
        <v>0</v>
      </c>
      <c r="R198" t="s">
        <v>145</v>
      </c>
      <c r="S198">
        <v>0</v>
      </c>
    </row>
    <row r="199" spans="1:19">
      <c r="A199" t="s">
        <v>192</v>
      </c>
      <c r="B199" t="s">
        <v>1705</v>
      </c>
      <c r="C199">
        <f>"zvp2608"</f>
        <v>0</v>
      </c>
      <c r="D199">
        <v>2</v>
      </c>
      <c r="E199">
        <v>11</v>
      </c>
      <c r="F199">
        <v>5</v>
      </c>
      <c r="G199">
        <v>0</v>
      </c>
      <c r="H199">
        <v>18</v>
      </c>
      <c r="I199">
        <v>3.5</v>
      </c>
      <c r="J199">
        <v>10</v>
      </c>
      <c r="K199">
        <v>11.85</v>
      </c>
      <c r="L199" s="2">
        <v>1</v>
      </c>
      <c r="M199">
        <v>0</v>
      </c>
      <c r="N199" s="2">
        <v>0</v>
      </c>
      <c r="O199">
        <v>-8.5</v>
      </c>
      <c r="P199" t="s">
        <v>100</v>
      </c>
      <c r="Q199">
        <v>0</v>
      </c>
      <c r="R199" t="s">
        <v>145</v>
      </c>
      <c r="S199">
        <v>0</v>
      </c>
    </row>
    <row r="200" spans="1:19">
      <c r="A200" t="s">
        <v>192</v>
      </c>
      <c r="B200" t="s">
        <v>1762</v>
      </c>
      <c r="C200">
        <f>"ZVP2307"</f>
        <v>0</v>
      </c>
      <c r="D200">
        <v>0</v>
      </c>
      <c r="E200">
        <v>6</v>
      </c>
      <c r="F200">
        <v>6</v>
      </c>
      <c r="G200">
        <v>0</v>
      </c>
      <c r="H200">
        <v>12</v>
      </c>
      <c r="I200">
        <v>3</v>
      </c>
      <c r="J200">
        <v>10</v>
      </c>
      <c r="K200">
        <v>14.31</v>
      </c>
      <c r="L200" s="2">
        <v>1</v>
      </c>
      <c r="M200">
        <v>0</v>
      </c>
      <c r="N200" s="2">
        <v>0</v>
      </c>
      <c r="O200">
        <v>-9</v>
      </c>
      <c r="P200" t="s">
        <v>100</v>
      </c>
      <c r="Q200">
        <v>0</v>
      </c>
      <c r="R200" t="s">
        <v>145</v>
      </c>
      <c r="S200">
        <v>0</v>
      </c>
    </row>
    <row r="201" spans="1:19">
      <c r="A201" t="s">
        <v>192</v>
      </c>
      <c r="B201" t="s">
        <v>1665</v>
      </c>
      <c r="C201">
        <f>"AB102"</f>
        <v>0</v>
      </c>
      <c r="D201">
        <v>2</v>
      </c>
      <c r="E201">
        <v>18</v>
      </c>
      <c r="F201">
        <v>3</v>
      </c>
      <c r="G201">
        <v>0</v>
      </c>
      <c r="H201">
        <v>23</v>
      </c>
      <c r="I201">
        <v>2.5</v>
      </c>
      <c r="J201">
        <v>12</v>
      </c>
      <c r="K201">
        <v>13.932</v>
      </c>
      <c r="L201" s="2">
        <v>1</v>
      </c>
      <c r="M201">
        <v>0</v>
      </c>
      <c r="N201" s="2">
        <v>0</v>
      </c>
      <c r="O201">
        <v>-11.9</v>
      </c>
      <c r="P201" t="s">
        <v>100</v>
      </c>
      <c r="Q201">
        <v>0</v>
      </c>
      <c r="R201" t="s">
        <v>145</v>
      </c>
      <c r="S201">
        <v>0</v>
      </c>
    </row>
    <row r="202" spans="1:19">
      <c r="A202" t="s">
        <v>192</v>
      </c>
      <c r="B202" t="s">
        <v>1621</v>
      </c>
      <c r="C202">
        <f>"F17"</f>
        <v>0</v>
      </c>
      <c r="D202">
        <v>3</v>
      </c>
      <c r="E202">
        <v>8</v>
      </c>
      <c r="F202">
        <v>20</v>
      </c>
      <c r="G202">
        <v>2</v>
      </c>
      <c r="H202">
        <v>33</v>
      </c>
      <c r="I202">
        <v>5.5</v>
      </c>
      <c r="J202">
        <v>18</v>
      </c>
      <c r="K202">
        <v>26.568</v>
      </c>
      <c r="L202" s="2">
        <v>1</v>
      </c>
      <c r="M202">
        <v>0</v>
      </c>
      <c r="N202" s="2">
        <v>0</v>
      </c>
      <c r="O202">
        <v>-12.1</v>
      </c>
      <c r="P202" t="s">
        <v>10399</v>
      </c>
      <c r="Q202">
        <v>1.065</v>
      </c>
      <c r="R202" t="s">
        <v>10409</v>
      </c>
      <c r="S202">
        <v>0</v>
      </c>
    </row>
    <row r="203" spans="1:19">
      <c r="A203" t="s">
        <v>192</v>
      </c>
      <c r="B203" t="s">
        <v>1617</v>
      </c>
      <c r="C203">
        <f>"F19"</f>
        <v>0</v>
      </c>
      <c r="D203">
        <v>14</v>
      </c>
      <c r="E203">
        <v>0</v>
      </c>
      <c r="F203">
        <v>20</v>
      </c>
      <c r="G203">
        <v>0</v>
      </c>
      <c r="H203">
        <v>34</v>
      </c>
      <c r="I203">
        <v>7</v>
      </c>
      <c r="J203">
        <v>20</v>
      </c>
      <c r="K203">
        <v>14.76</v>
      </c>
      <c r="L203" s="2">
        <v>1</v>
      </c>
      <c r="M203">
        <v>0</v>
      </c>
      <c r="N203" s="2">
        <v>0</v>
      </c>
      <c r="O203">
        <v>-17</v>
      </c>
      <c r="P203" t="s">
        <v>100</v>
      </c>
      <c r="Q203">
        <v>0</v>
      </c>
      <c r="R203" t="s">
        <v>145</v>
      </c>
      <c r="S203">
        <v>0</v>
      </c>
    </row>
  </sheetData>
  <autoFilter ref="A2:S203"/>
  <hyperlinks>
    <hyperlink ref="A1" location="'ÍNDICE'!A1" display="⬅ Volver al índice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4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38</v>
      </c>
      <c r="B3" t="s">
        <v>76</v>
      </c>
      <c r="C3">
        <f>"1003937"</f>
        <v>0</v>
      </c>
      <c r="D3">
        <v>31</v>
      </c>
      <c r="E3">
        <v>16</v>
      </c>
      <c r="F3">
        <v>0</v>
      </c>
      <c r="G3">
        <v>10</v>
      </c>
      <c r="H3">
        <v>57</v>
      </c>
      <c r="I3">
        <v>13</v>
      </c>
      <c r="J3">
        <v>3</v>
      </c>
      <c r="K3">
        <v>5.543</v>
      </c>
      <c r="L3" s="2">
        <v>2</v>
      </c>
      <c r="M3">
        <v>15</v>
      </c>
      <c r="N3" s="2">
        <v>30</v>
      </c>
      <c r="O3">
        <v>32.4</v>
      </c>
      <c r="P3" t="s">
        <v>123</v>
      </c>
      <c r="Q3">
        <v>-72</v>
      </c>
      <c r="R3" t="s">
        <v>168</v>
      </c>
      <c r="S3">
        <v>1</v>
      </c>
    </row>
    <row r="4" spans="1:19">
      <c r="A4" t="s">
        <v>38</v>
      </c>
      <c r="B4" t="s">
        <v>85</v>
      </c>
      <c r="C4">
        <f>"1003693"</f>
        <v>0</v>
      </c>
      <c r="D4">
        <v>18</v>
      </c>
      <c r="E4">
        <v>11</v>
      </c>
      <c r="F4">
        <v>0</v>
      </c>
      <c r="G4">
        <v>8</v>
      </c>
      <c r="H4">
        <v>37</v>
      </c>
      <c r="I4">
        <v>9.5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28.5</v>
      </c>
      <c r="P4" t="s">
        <v>131</v>
      </c>
      <c r="Q4">
        <v>-562</v>
      </c>
      <c r="R4" t="s">
        <v>176</v>
      </c>
      <c r="S4">
        <v>1</v>
      </c>
    </row>
    <row r="5" spans="1:19">
      <c r="A5" t="s">
        <v>38</v>
      </c>
      <c r="B5" t="s">
        <v>10219</v>
      </c>
      <c r="C5">
        <f>"1003697"</f>
        <v>0</v>
      </c>
      <c r="D5">
        <v>18</v>
      </c>
      <c r="E5">
        <v>0</v>
      </c>
      <c r="F5">
        <v>6</v>
      </c>
      <c r="G5">
        <v>8</v>
      </c>
      <c r="H5">
        <v>32</v>
      </c>
      <c r="I5">
        <v>7</v>
      </c>
      <c r="J5">
        <v>0</v>
      </c>
      <c r="K5">
        <v>0</v>
      </c>
      <c r="L5" s="2">
        <v>0</v>
      </c>
      <c r="M5">
        <v>11</v>
      </c>
      <c r="N5" s="2">
        <v>0</v>
      </c>
      <c r="O5">
        <v>26</v>
      </c>
      <c r="P5" t="s">
        <v>131</v>
      </c>
      <c r="Q5">
        <v>-562</v>
      </c>
      <c r="R5" t="s">
        <v>176</v>
      </c>
      <c r="S5">
        <v>1</v>
      </c>
    </row>
    <row r="6" spans="1:19">
      <c r="A6" t="s">
        <v>38</v>
      </c>
      <c r="B6" t="s">
        <v>347</v>
      </c>
      <c r="C6">
        <f>"1003687"</f>
        <v>0</v>
      </c>
      <c r="D6">
        <v>25</v>
      </c>
      <c r="E6">
        <v>18</v>
      </c>
      <c r="F6">
        <v>31</v>
      </c>
      <c r="G6">
        <v>0</v>
      </c>
      <c r="H6">
        <v>74</v>
      </c>
      <c r="I6">
        <v>21.5</v>
      </c>
      <c r="J6">
        <v>0</v>
      </c>
      <c r="K6">
        <v>0</v>
      </c>
      <c r="L6" s="2">
        <v>0</v>
      </c>
      <c r="M6">
        <v>22</v>
      </c>
      <c r="N6" s="2">
        <v>0</v>
      </c>
      <c r="O6">
        <v>21.5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38</v>
      </c>
      <c r="B7" t="s">
        <v>396</v>
      </c>
      <c r="C7">
        <f>"1003689"</f>
        <v>0</v>
      </c>
      <c r="D7">
        <v>19</v>
      </c>
      <c r="E7">
        <v>27</v>
      </c>
      <c r="F7">
        <v>0</v>
      </c>
      <c r="G7">
        <v>0</v>
      </c>
      <c r="H7">
        <v>46</v>
      </c>
      <c r="I7">
        <v>9.5</v>
      </c>
      <c r="J7">
        <v>0</v>
      </c>
      <c r="K7">
        <v>0</v>
      </c>
      <c r="L7" s="2">
        <v>0</v>
      </c>
      <c r="M7">
        <v>10</v>
      </c>
      <c r="N7" s="2">
        <v>0</v>
      </c>
      <c r="O7">
        <v>9.5</v>
      </c>
      <c r="P7" t="s">
        <v>10411</v>
      </c>
      <c r="Q7">
        <v>-2.089</v>
      </c>
      <c r="R7" t="s">
        <v>10416</v>
      </c>
      <c r="S7">
        <v>0</v>
      </c>
    </row>
    <row r="8" spans="1:19">
      <c r="A8" t="s">
        <v>38</v>
      </c>
      <c r="B8" t="s">
        <v>1755</v>
      </c>
      <c r="C8">
        <f>"1003688"</f>
        <v>0</v>
      </c>
      <c r="D8">
        <v>0</v>
      </c>
      <c r="E8">
        <v>6</v>
      </c>
      <c r="F8">
        <v>0</v>
      </c>
      <c r="G8">
        <v>6</v>
      </c>
      <c r="H8">
        <v>12</v>
      </c>
      <c r="I8">
        <v>3</v>
      </c>
      <c r="J8">
        <v>9</v>
      </c>
      <c r="K8">
        <v>21.255</v>
      </c>
      <c r="L8" s="2">
        <v>2</v>
      </c>
      <c r="M8">
        <v>0</v>
      </c>
      <c r="N8" s="2">
        <v>0</v>
      </c>
      <c r="O8">
        <v>7.200000000000001</v>
      </c>
      <c r="P8" t="s">
        <v>10412</v>
      </c>
      <c r="Q8">
        <v>2.418</v>
      </c>
      <c r="R8" t="s">
        <v>180</v>
      </c>
      <c r="S8">
        <v>1</v>
      </c>
    </row>
    <row r="9" spans="1:19">
      <c r="A9" t="s">
        <v>38</v>
      </c>
      <c r="B9" t="s">
        <v>506</v>
      </c>
      <c r="C9">
        <f>"BJS13"</f>
        <v>0</v>
      </c>
      <c r="D9">
        <v>2</v>
      </c>
      <c r="E9">
        <v>6</v>
      </c>
      <c r="F9">
        <v>2</v>
      </c>
      <c r="G9">
        <v>2</v>
      </c>
      <c r="H9">
        <v>12</v>
      </c>
      <c r="I9">
        <v>2</v>
      </c>
      <c r="J9">
        <v>0</v>
      </c>
      <c r="K9">
        <v>0</v>
      </c>
      <c r="L9" s="2">
        <v>0</v>
      </c>
      <c r="M9">
        <v>3</v>
      </c>
      <c r="N9" s="2">
        <v>0</v>
      </c>
      <c r="O9">
        <v>6</v>
      </c>
      <c r="P9" t="s">
        <v>10413</v>
      </c>
      <c r="Q9">
        <v>16.13</v>
      </c>
      <c r="R9" t="s">
        <v>10417</v>
      </c>
      <c r="S9">
        <v>0</v>
      </c>
    </row>
    <row r="10" spans="1:19">
      <c r="A10" t="s">
        <v>38</v>
      </c>
      <c r="B10" t="s">
        <v>441</v>
      </c>
      <c r="C10">
        <f>"1003692"</f>
        <v>0</v>
      </c>
      <c r="D10">
        <v>11</v>
      </c>
      <c r="E10">
        <v>15</v>
      </c>
      <c r="F10">
        <v>0</v>
      </c>
      <c r="G10">
        <v>0</v>
      </c>
      <c r="H10">
        <v>26</v>
      </c>
      <c r="I10">
        <v>5.5</v>
      </c>
      <c r="J10">
        <v>0</v>
      </c>
      <c r="K10">
        <v>0</v>
      </c>
      <c r="L10" s="2">
        <v>0</v>
      </c>
      <c r="M10">
        <v>6</v>
      </c>
      <c r="N10" s="2">
        <v>0</v>
      </c>
      <c r="O10">
        <v>5.5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38</v>
      </c>
      <c r="B11" t="s">
        <v>402</v>
      </c>
      <c r="C11">
        <f>"1003694"</f>
        <v>0</v>
      </c>
      <c r="D11">
        <v>8</v>
      </c>
      <c r="E11">
        <v>34</v>
      </c>
      <c r="F11">
        <v>0</v>
      </c>
      <c r="G11">
        <v>0</v>
      </c>
      <c r="H11">
        <v>42</v>
      </c>
      <c r="I11">
        <v>4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4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38</v>
      </c>
      <c r="B12" t="s">
        <v>499</v>
      </c>
      <c r="C12">
        <f>"1000774"</f>
        <v>0</v>
      </c>
      <c r="D12">
        <v>7</v>
      </c>
      <c r="E12">
        <v>10</v>
      </c>
      <c r="F12">
        <v>0</v>
      </c>
      <c r="G12">
        <v>0</v>
      </c>
      <c r="H12">
        <v>17</v>
      </c>
      <c r="I12">
        <v>3.5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3.5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38</v>
      </c>
      <c r="B13" t="s">
        <v>233</v>
      </c>
      <c r="C13">
        <f>"1003690"</f>
        <v>0</v>
      </c>
      <c r="D13">
        <v>0</v>
      </c>
      <c r="E13">
        <v>24</v>
      </c>
      <c r="F13">
        <v>0</v>
      </c>
      <c r="G13">
        <v>1</v>
      </c>
      <c r="H13">
        <v>25</v>
      </c>
      <c r="I13">
        <v>0.5</v>
      </c>
      <c r="J13">
        <v>2</v>
      </c>
      <c r="K13">
        <v>4.723</v>
      </c>
      <c r="L13" s="2">
        <v>2</v>
      </c>
      <c r="M13">
        <v>0</v>
      </c>
      <c r="N13" s="2">
        <v>0</v>
      </c>
      <c r="O13">
        <v>3.1</v>
      </c>
      <c r="P13" t="s">
        <v>10327</v>
      </c>
      <c r="Q13">
        <v>991</v>
      </c>
      <c r="R13" t="s">
        <v>10418</v>
      </c>
      <c r="S13">
        <v>1</v>
      </c>
    </row>
    <row r="14" spans="1:19">
      <c r="A14" t="s">
        <v>38</v>
      </c>
      <c r="B14" t="s">
        <v>606</v>
      </c>
      <c r="C14">
        <f>"BJSS2"</f>
        <v>0</v>
      </c>
      <c r="D14">
        <v>3</v>
      </c>
      <c r="E14">
        <v>5</v>
      </c>
      <c r="F14">
        <v>1</v>
      </c>
      <c r="G14">
        <v>0</v>
      </c>
      <c r="H14">
        <v>9</v>
      </c>
      <c r="I14">
        <v>2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2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38</v>
      </c>
      <c r="B15" t="s">
        <v>595</v>
      </c>
      <c r="C15">
        <f>"1002723"</f>
        <v>0</v>
      </c>
      <c r="D15">
        <v>1</v>
      </c>
      <c r="E15">
        <v>6</v>
      </c>
      <c r="F15">
        <v>3</v>
      </c>
      <c r="G15">
        <v>0</v>
      </c>
      <c r="H15">
        <v>10</v>
      </c>
      <c r="I15">
        <v>2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2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38</v>
      </c>
      <c r="B16" t="s">
        <v>625</v>
      </c>
      <c r="C16">
        <f>"BJSF"</f>
        <v>0</v>
      </c>
      <c r="D16">
        <v>4</v>
      </c>
      <c r="E16">
        <v>3</v>
      </c>
      <c r="F16">
        <v>1</v>
      </c>
      <c r="G16">
        <v>0</v>
      </c>
      <c r="H16">
        <v>8</v>
      </c>
      <c r="I16">
        <v>2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2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38</v>
      </c>
      <c r="B17" t="s">
        <v>626</v>
      </c>
      <c r="C17">
        <f>"1003641"</f>
        <v>0</v>
      </c>
      <c r="D17">
        <v>0</v>
      </c>
      <c r="E17">
        <v>3</v>
      </c>
      <c r="F17">
        <v>5</v>
      </c>
      <c r="G17">
        <v>0</v>
      </c>
      <c r="H17">
        <v>8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1.5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38</v>
      </c>
      <c r="B18" t="s">
        <v>559</v>
      </c>
      <c r="C18">
        <f>"1003695"</f>
        <v>0</v>
      </c>
      <c r="D18">
        <v>0</v>
      </c>
      <c r="E18">
        <v>9</v>
      </c>
      <c r="F18">
        <v>3</v>
      </c>
      <c r="G18">
        <v>0</v>
      </c>
      <c r="H18">
        <v>12</v>
      </c>
      <c r="I18">
        <v>1.5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1.5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38</v>
      </c>
      <c r="B19" t="s">
        <v>577</v>
      </c>
      <c r="C19">
        <f>"BJPSB"</f>
        <v>0</v>
      </c>
      <c r="D19">
        <v>8</v>
      </c>
      <c r="E19">
        <v>3</v>
      </c>
      <c r="F19">
        <v>0</v>
      </c>
      <c r="G19">
        <v>0</v>
      </c>
      <c r="H19">
        <v>11</v>
      </c>
      <c r="I19">
        <v>1.5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1.5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38</v>
      </c>
      <c r="B20" t="s">
        <v>766</v>
      </c>
      <c r="C20">
        <f>"1000550"</f>
        <v>0</v>
      </c>
      <c r="D20">
        <v>1</v>
      </c>
      <c r="E20">
        <v>1</v>
      </c>
      <c r="F20">
        <v>3</v>
      </c>
      <c r="G20">
        <v>0</v>
      </c>
      <c r="H20">
        <v>5</v>
      </c>
      <c r="I20">
        <v>1</v>
      </c>
      <c r="J20">
        <v>0</v>
      </c>
      <c r="K20">
        <v>0</v>
      </c>
      <c r="L20" s="2">
        <v>0</v>
      </c>
      <c r="M20">
        <v>1</v>
      </c>
      <c r="N20" s="2">
        <v>0</v>
      </c>
      <c r="O20">
        <v>1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38</v>
      </c>
      <c r="B21" t="s">
        <v>573</v>
      </c>
      <c r="C21">
        <f>"1507659573364"</f>
        <v>0</v>
      </c>
      <c r="D21">
        <v>2</v>
      </c>
      <c r="E21">
        <v>9</v>
      </c>
      <c r="F21">
        <v>0</v>
      </c>
      <c r="G21">
        <v>0</v>
      </c>
      <c r="H21">
        <v>11</v>
      </c>
      <c r="I21">
        <v>1</v>
      </c>
      <c r="J21">
        <v>0</v>
      </c>
      <c r="K21">
        <v>0</v>
      </c>
      <c r="L21" s="2">
        <v>0</v>
      </c>
      <c r="M21">
        <v>1</v>
      </c>
      <c r="N21" s="2">
        <v>0</v>
      </c>
      <c r="O21">
        <v>1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38</v>
      </c>
      <c r="B22" t="s">
        <v>591</v>
      </c>
      <c r="C22">
        <f>"1003696"</f>
        <v>0</v>
      </c>
      <c r="D22">
        <v>9</v>
      </c>
      <c r="E22">
        <v>1</v>
      </c>
      <c r="F22">
        <v>0</v>
      </c>
      <c r="G22">
        <v>0</v>
      </c>
      <c r="H22">
        <v>10</v>
      </c>
      <c r="I22">
        <v>0.5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0.5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38</v>
      </c>
      <c r="B23" t="s">
        <v>1568</v>
      </c>
      <c r="C23">
        <f>"BJRF13"</f>
        <v>0</v>
      </c>
      <c r="D23">
        <v>7</v>
      </c>
      <c r="E23">
        <v>2</v>
      </c>
      <c r="F23">
        <v>1</v>
      </c>
      <c r="G23">
        <v>0</v>
      </c>
      <c r="H23">
        <v>10</v>
      </c>
      <c r="I23">
        <v>1.5</v>
      </c>
      <c r="J23">
        <v>1</v>
      </c>
      <c r="K23">
        <v>48.886</v>
      </c>
      <c r="L23" s="2">
        <v>49</v>
      </c>
      <c r="M23">
        <v>0</v>
      </c>
      <c r="N23" s="2">
        <v>0</v>
      </c>
      <c r="O23">
        <v>0.3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38</v>
      </c>
      <c r="B24" t="s">
        <v>5676</v>
      </c>
      <c r="C24">
        <f>"BJAD"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38</v>
      </c>
      <c r="B25" t="s">
        <v>8839</v>
      </c>
      <c r="C25">
        <f>"1003685"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38</v>
      </c>
      <c r="B26" t="s">
        <v>1564</v>
      </c>
      <c r="C26">
        <f>"1002512"</f>
        <v>0</v>
      </c>
      <c r="D26">
        <v>11</v>
      </c>
      <c r="E26">
        <v>18</v>
      </c>
      <c r="F26">
        <v>1</v>
      </c>
      <c r="G26">
        <v>0</v>
      </c>
      <c r="H26">
        <v>30</v>
      </c>
      <c r="I26">
        <v>6</v>
      </c>
      <c r="J26">
        <v>5</v>
      </c>
      <c r="K26">
        <v>20.694</v>
      </c>
      <c r="L26" s="2">
        <v>4</v>
      </c>
      <c r="M26">
        <v>1</v>
      </c>
      <c r="N26" s="2">
        <v>4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38</v>
      </c>
      <c r="B27" t="s">
        <v>5674</v>
      </c>
      <c r="C27">
        <f>"1003799"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38</v>
      </c>
      <c r="B28" t="s">
        <v>5675</v>
      </c>
      <c r="C28">
        <f>"BJSS"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38</v>
      </c>
      <c r="B29" t="s">
        <v>6246</v>
      </c>
      <c r="C29">
        <f>"1000773"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38</v>
      </c>
      <c r="B30" t="s">
        <v>6260</v>
      </c>
      <c r="C30">
        <f>"1003638"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38</v>
      </c>
      <c r="B31" t="s">
        <v>1745</v>
      </c>
      <c r="C31">
        <f>"BJLBP"</f>
        <v>0</v>
      </c>
      <c r="D31">
        <v>8</v>
      </c>
      <c r="E31">
        <v>2</v>
      </c>
      <c r="F31">
        <v>1</v>
      </c>
      <c r="G31">
        <v>1</v>
      </c>
      <c r="H31">
        <v>12</v>
      </c>
      <c r="I31">
        <v>1.5</v>
      </c>
      <c r="J31">
        <v>3</v>
      </c>
      <c r="K31">
        <v>147.428</v>
      </c>
      <c r="L31" s="2">
        <v>49</v>
      </c>
      <c r="M31">
        <v>0</v>
      </c>
      <c r="N31" s="2">
        <v>0</v>
      </c>
      <c r="O31">
        <v>-0.09999999999999964</v>
      </c>
      <c r="P31" t="s">
        <v>10414</v>
      </c>
      <c r="Q31">
        <v>5.47</v>
      </c>
      <c r="R31" t="s">
        <v>10419</v>
      </c>
      <c r="S31">
        <v>0</v>
      </c>
    </row>
    <row r="32" spans="1:19">
      <c r="A32" t="s">
        <v>38</v>
      </c>
      <c r="B32" t="s">
        <v>1603</v>
      </c>
      <c r="C32">
        <f>"BJASB"</f>
        <v>0</v>
      </c>
      <c r="D32">
        <v>18</v>
      </c>
      <c r="E32">
        <v>6</v>
      </c>
      <c r="F32">
        <v>6</v>
      </c>
      <c r="G32">
        <v>1</v>
      </c>
      <c r="H32">
        <v>31</v>
      </c>
      <c r="I32">
        <v>6</v>
      </c>
      <c r="J32">
        <v>7</v>
      </c>
      <c r="K32">
        <v>114.463</v>
      </c>
      <c r="L32" s="2">
        <v>16</v>
      </c>
      <c r="M32">
        <v>0</v>
      </c>
      <c r="N32" s="2">
        <v>0</v>
      </c>
      <c r="O32">
        <v>-0.4000000000000004</v>
      </c>
      <c r="P32" t="s">
        <v>10415</v>
      </c>
      <c r="Q32">
        <v>2.127</v>
      </c>
      <c r="R32" t="s">
        <v>10420</v>
      </c>
      <c r="S32">
        <v>0</v>
      </c>
    </row>
    <row r="33" spans="1:19">
      <c r="A33" t="s">
        <v>38</v>
      </c>
      <c r="B33" t="s">
        <v>1571</v>
      </c>
      <c r="C33">
        <f>"1003762"</f>
        <v>0</v>
      </c>
      <c r="D33">
        <v>4</v>
      </c>
      <c r="E33">
        <v>15</v>
      </c>
      <c r="F33">
        <v>2</v>
      </c>
      <c r="G33">
        <v>0</v>
      </c>
      <c r="H33">
        <v>21</v>
      </c>
      <c r="I33">
        <v>3</v>
      </c>
      <c r="J33">
        <v>3</v>
      </c>
      <c r="K33">
        <v>11.841</v>
      </c>
      <c r="L33" s="2">
        <v>4</v>
      </c>
      <c r="M33">
        <v>0</v>
      </c>
      <c r="N33" s="2">
        <v>0</v>
      </c>
      <c r="O33">
        <v>-0.5999999999999996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38</v>
      </c>
      <c r="B34" t="s">
        <v>2238</v>
      </c>
      <c r="C34">
        <f>"BJPS"</f>
        <v>0</v>
      </c>
      <c r="D34">
        <v>0</v>
      </c>
      <c r="E34">
        <v>1</v>
      </c>
      <c r="F34">
        <v>1</v>
      </c>
      <c r="G34">
        <v>0</v>
      </c>
      <c r="H34">
        <v>2</v>
      </c>
      <c r="I34">
        <v>0.5</v>
      </c>
      <c r="J34">
        <v>1</v>
      </c>
      <c r="K34">
        <v>14.39</v>
      </c>
      <c r="L34" s="2">
        <v>14</v>
      </c>
      <c r="M34">
        <v>0</v>
      </c>
      <c r="N34" s="2">
        <v>0</v>
      </c>
      <c r="O34">
        <v>-0.7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38</v>
      </c>
      <c r="B35" t="s">
        <v>1839</v>
      </c>
      <c r="C35">
        <f>"1001126"</f>
        <v>0</v>
      </c>
      <c r="D35">
        <v>1</v>
      </c>
      <c r="E35">
        <v>2</v>
      </c>
      <c r="F35">
        <v>5</v>
      </c>
      <c r="G35">
        <v>0</v>
      </c>
      <c r="H35">
        <v>8</v>
      </c>
      <c r="I35">
        <v>1.5</v>
      </c>
      <c r="J35">
        <v>2</v>
      </c>
      <c r="K35">
        <v>103.388</v>
      </c>
      <c r="L35" s="2">
        <v>52</v>
      </c>
      <c r="M35">
        <v>0</v>
      </c>
      <c r="N35" s="2">
        <v>0</v>
      </c>
      <c r="O35">
        <v>-0.8999999999999999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38</v>
      </c>
      <c r="B36" t="s">
        <v>1996</v>
      </c>
      <c r="C36">
        <f>"1003763"</f>
        <v>0</v>
      </c>
      <c r="D36">
        <v>1</v>
      </c>
      <c r="E36">
        <v>3</v>
      </c>
      <c r="F36">
        <v>0</v>
      </c>
      <c r="G36">
        <v>0</v>
      </c>
      <c r="H36">
        <v>4</v>
      </c>
      <c r="I36">
        <v>0.5</v>
      </c>
      <c r="J36">
        <v>2</v>
      </c>
      <c r="K36">
        <v>7.105</v>
      </c>
      <c r="L36" s="2">
        <v>4</v>
      </c>
      <c r="M36">
        <v>0</v>
      </c>
      <c r="N36" s="2">
        <v>0</v>
      </c>
      <c r="O36">
        <v>-1.9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38</v>
      </c>
      <c r="B37" t="s">
        <v>8856</v>
      </c>
      <c r="C37">
        <f>"1003684"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3.92</v>
      </c>
      <c r="L37" s="2">
        <v>2</v>
      </c>
      <c r="M37">
        <v>0</v>
      </c>
      <c r="N37" s="2">
        <v>0</v>
      </c>
      <c r="O37">
        <v>-2.4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38</v>
      </c>
      <c r="B38" t="s">
        <v>1998</v>
      </c>
      <c r="C38">
        <f>"BJRFF"</f>
        <v>0</v>
      </c>
      <c r="D38">
        <v>1</v>
      </c>
      <c r="E38">
        <v>0</v>
      </c>
      <c r="F38">
        <v>3</v>
      </c>
      <c r="G38">
        <v>0</v>
      </c>
      <c r="H38">
        <v>4</v>
      </c>
      <c r="I38">
        <v>0.5</v>
      </c>
      <c r="J38">
        <v>3</v>
      </c>
      <c r="K38">
        <v>36.576</v>
      </c>
      <c r="L38" s="2">
        <v>12</v>
      </c>
      <c r="M38">
        <v>0</v>
      </c>
      <c r="N38" s="2">
        <v>0</v>
      </c>
      <c r="O38">
        <v>-3.1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38</v>
      </c>
      <c r="B39" t="s">
        <v>5677</v>
      </c>
      <c r="C39">
        <f>"2014214"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</v>
      </c>
      <c r="K39">
        <v>195.931</v>
      </c>
      <c r="L39" s="2">
        <v>49</v>
      </c>
      <c r="M39">
        <v>0</v>
      </c>
      <c r="N39" s="2">
        <v>0</v>
      </c>
      <c r="O39">
        <v>-4.8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38</v>
      </c>
      <c r="B40" t="s">
        <v>2527</v>
      </c>
      <c r="C40">
        <f>"1003761"</f>
        <v>0</v>
      </c>
      <c r="D40">
        <v>1</v>
      </c>
      <c r="E40">
        <v>0</v>
      </c>
      <c r="F40">
        <v>0</v>
      </c>
      <c r="G40">
        <v>0</v>
      </c>
      <c r="H40">
        <v>1</v>
      </c>
      <c r="I40">
        <v>0</v>
      </c>
      <c r="J40">
        <v>5</v>
      </c>
      <c r="K40">
        <v>19.736</v>
      </c>
      <c r="L40" s="2">
        <v>4</v>
      </c>
      <c r="M40">
        <v>0</v>
      </c>
      <c r="N40" s="2">
        <v>0</v>
      </c>
      <c r="O40">
        <v>-6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38</v>
      </c>
      <c r="B41" t="s">
        <v>1834</v>
      </c>
      <c r="C41">
        <f>"1001131"</f>
        <v>0</v>
      </c>
      <c r="D41">
        <v>3</v>
      </c>
      <c r="E41">
        <v>1</v>
      </c>
      <c r="F41">
        <v>4</v>
      </c>
      <c r="G41">
        <v>0</v>
      </c>
      <c r="H41">
        <v>8</v>
      </c>
      <c r="I41">
        <v>2</v>
      </c>
      <c r="J41">
        <v>7</v>
      </c>
      <c r="K41">
        <v>14.056</v>
      </c>
      <c r="L41" s="2">
        <v>2</v>
      </c>
      <c r="M41">
        <v>0</v>
      </c>
      <c r="N41" s="2">
        <v>0</v>
      </c>
      <c r="O41">
        <v>-6.4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38</v>
      </c>
      <c r="B42" t="s">
        <v>6277</v>
      </c>
      <c r="C42">
        <f>"1003640"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</v>
      </c>
      <c r="K42">
        <v>17.866</v>
      </c>
      <c r="L42" s="2">
        <v>2</v>
      </c>
      <c r="M42">
        <v>0</v>
      </c>
      <c r="N42" s="2">
        <v>0</v>
      </c>
      <c r="O42">
        <v>-9.6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38</v>
      </c>
      <c r="B43" t="s">
        <v>2575</v>
      </c>
      <c r="C43">
        <f>"BLG"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16</v>
      </c>
      <c r="K43">
        <v>58.002</v>
      </c>
      <c r="L43" s="2">
        <v>4</v>
      </c>
      <c r="M43">
        <v>0</v>
      </c>
      <c r="N43" s="2">
        <v>0</v>
      </c>
      <c r="O43">
        <v>-19.2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38</v>
      </c>
      <c r="B44" t="s">
        <v>1976</v>
      </c>
      <c r="C44">
        <f>"1001130"</f>
        <v>0</v>
      </c>
      <c r="D44">
        <v>1</v>
      </c>
      <c r="E44">
        <v>1</v>
      </c>
      <c r="F44">
        <v>2</v>
      </c>
      <c r="G44">
        <v>0</v>
      </c>
      <c r="H44">
        <v>4</v>
      </c>
      <c r="I44">
        <v>1</v>
      </c>
      <c r="J44">
        <v>27</v>
      </c>
      <c r="K44">
        <v>54.216</v>
      </c>
      <c r="L44" s="2">
        <v>2</v>
      </c>
      <c r="M44">
        <v>0</v>
      </c>
      <c r="N44" s="2">
        <v>0</v>
      </c>
      <c r="O44">
        <v>-31.4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38</v>
      </c>
      <c r="B45" t="s">
        <v>1831</v>
      </c>
      <c r="C45">
        <f>"1003691"</f>
        <v>0</v>
      </c>
      <c r="D45">
        <v>0</v>
      </c>
      <c r="E45">
        <v>6</v>
      </c>
      <c r="F45">
        <v>2</v>
      </c>
      <c r="G45">
        <v>0</v>
      </c>
      <c r="H45">
        <v>8</v>
      </c>
      <c r="I45">
        <v>1</v>
      </c>
      <c r="J45">
        <v>41</v>
      </c>
      <c r="K45">
        <v>90.77500000000001</v>
      </c>
      <c r="L45" s="2">
        <v>2</v>
      </c>
      <c r="M45">
        <v>0</v>
      </c>
      <c r="N45" s="2">
        <v>0</v>
      </c>
      <c r="O45">
        <v>-48.2</v>
      </c>
      <c r="P45" t="s">
        <v>100</v>
      </c>
      <c r="Q45">
        <v>0</v>
      </c>
      <c r="R45" t="s">
        <v>145</v>
      </c>
      <c r="S45">
        <v>0</v>
      </c>
    </row>
  </sheetData>
  <autoFilter ref="A2:S45"/>
  <hyperlinks>
    <hyperlink ref="A1" location="'ÍNDICE'!A1" display="⬅ Volver al í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S1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196</v>
      </c>
      <c r="B3" t="s">
        <v>282</v>
      </c>
      <c r="C3">
        <f>"2190"</f>
        <v>0</v>
      </c>
      <c r="D3">
        <v>0</v>
      </c>
      <c r="E3">
        <v>0</v>
      </c>
      <c r="F3">
        <v>4</v>
      </c>
      <c r="G3">
        <v>2</v>
      </c>
      <c r="H3">
        <v>6</v>
      </c>
      <c r="I3">
        <v>1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5</v>
      </c>
      <c r="P3" t="s">
        <v>10422</v>
      </c>
      <c r="Q3">
        <v>488</v>
      </c>
      <c r="R3" t="s">
        <v>10428</v>
      </c>
      <c r="S3">
        <v>0</v>
      </c>
    </row>
    <row r="4" spans="1:19">
      <c r="A4" t="s">
        <v>196</v>
      </c>
      <c r="B4" t="s">
        <v>335</v>
      </c>
      <c r="C4">
        <f>"2143"</f>
        <v>0</v>
      </c>
      <c r="D4">
        <v>0</v>
      </c>
      <c r="E4">
        <v>0</v>
      </c>
      <c r="F4">
        <v>0</v>
      </c>
      <c r="G4">
        <v>1</v>
      </c>
      <c r="H4">
        <v>1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5</v>
      </c>
      <c r="P4" t="s">
        <v>10423</v>
      </c>
      <c r="Q4">
        <v>315</v>
      </c>
      <c r="R4" t="s">
        <v>10429</v>
      </c>
      <c r="S4">
        <v>1</v>
      </c>
    </row>
    <row r="5" spans="1:19">
      <c r="A5" t="s">
        <v>196</v>
      </c>
      <c r="B5" t="s">
        <v>722</v>
      </c>
      <c r="C5">
        <f>"2036"</f>
        <v>0</v>
      </c>
      <c r="D5">
        <v>0</v>
      </c>
      <c r="E5">
        <v>0</v>
      </c>
      <c r="F5">
        <v>0</v>
      </c>
      <c r="G5">
        <v>1</v>
      </c>
      <c r="H5">
        <v>1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5</v>
      </c>
      <c r="P5" t="s">
        <v>10424</v>
      </c>
      <c r="Q5">
        <v>20</v>
      </c>
      <c r="R5" t="s">
        <v>10430</v>
      </c>
      <c r="S5">
        <v>1</v>
      </c>
    </row>
    <row r="6" spans="1:19">
      <c r="A6" t="s">
        <v>196</v>
      </c>
      <c r="B6" t="s">
        <v>2327</v>
      </c>
      <c r="C6">
        <f>"2542"</f>
        <v>0</v>
      </c>
      <c r="D6">
        <v>0</v>
      </c>
      <c r="E6">
        <v>0</v>
      </c>
      <c r="F6">
        <v>0</v>
      </c>
      <c r="G6">
        <v>1</v>
      </c>
      <c r="H6">
        <v>1</v>
      </c>
      <c r="I6">
        <v>0</v>
      </c>
      <c r="J6">
        <v>1</v>
      </c>
      <c r="K6">
        <v>1.125</v>
      </c>
      <c r="L6" s="2">
        <v>1</v>
      </c>
      <c r="M6">
        <v>0</v>
      </c>
      <c r="N6" s="2">
        <v>0</v>
      </c>
      <c r="O6">
        <v>3.8</v>
      </c>
      <c r="P6" t="s">
        <v>10332</v>
      </c>
      <c r="Q6">
        <v>2.648</v>
      </c>
      <c r="R6" t="s">
        <v>10431</v>
      </c>
      <c r="S6">
        <v>1</v>
      </c>
    </row>
    <row r="7" spans="1:19">
      <c r="A7" t="s">
        <v>196</v>
      </c>
      <c r="B7" t="s">
        <v>311</v>
      </c>
      <c r="C7">
        <f>"2335"</f>
        <v>0</v>
      </c>
      <c r="D7">
        <v>0</v>
      </c>
      <c r="E7">
        <v>2</v>
      </c>
      <c r="F7">
        <v>2</v>
      </c>
      <c r="G7">
        <v>1</v>
      </c>
      <c r="H7">
        <v>5</v>
      </c>
      <c r="I7">
        <v>1.5</v>
      </c>
      <c r="J7">
        <v>1</v>
      </c>
      <c r="K7">
        <v>2.565</v>
      </c>
      <c r="L7" s="2">
        <v>3</v>
      </c>
      <c r="M7">
        <v>1</v>
      </c>
      <c r="N7" s="2">
        <v>3</v>
      </c>
      <c r="O7">
        <v>2.3</v>
      </c>
      <c r="P7" t="s">
        <v>10425</v>
      </c>
      <c r="Q7">
        <v>620</v>
      </c>
      <c r="R7" t="s">
        <v>10432</v>
      </c>
      <c r="S7">
        <v>0</v>
      </c>
    </row>
    <row r="8" spans="1:19">
      <c r="A8" t="s">
        <v>196</v>
      </c>
      <c r="B8" t="s">
        <v>887</v>
      </c>
      <c r="C8">
        <f>"2235"</f>
        <v>0</v>
      </c>
      <c r="D8">
        <v>1</v>
      </c>
      <c r="E8">
        <v>1</v>
      </c>
      <c r="F8">
        <v>1</v>
      </c>
      <c r="G8">
        <v>0</v>
      </c>
      <c r="H8">
        <v>3</v>
      </c>
      <c r="I8">
        <v>1</v>
      </c>
      <c r="J8">
        <v>0</v>
      </c>
      <c r="K8">
        <v>0</v>
      </c>
      <c r="L8" s="2">
        <v>0</v>
      </c>
      <c r="M8">
        <v>1</v>
      </c>
      <c r="N8" s="2">
        <v>0</v>
      </c>
      <c r="O8">
        <v>1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196</v>
      </c>
      <c r="B9" t="s">
        <v>668</v>
      </c>
      <c r="C9">
        <f>"2176"</f>
        <v>0</v>
      </c>
      <c r="D9">
        <v>0</v>
      </c>
      <c r="E9">
        <v>5</v>
      </c>
      <c r="F9">
        <v>2</v>
      </c>
      <c r="G9">
        <v>0</v>
      </c>
      <c r="H9">
        <v>7</v>
      </c>
      <c r="I9">
        <v>1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1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196</v>
      </c>
      <c r="B10" t="s">
        <v>763</v>
      </c>
      <c r="C10">
        <f>"2030"</f>
        <v>0</v>
      </c>
      <c r="D10">
        <v>2</v>
      </c>
      <c r="E10">
        <v>0</v>
      </c>
      <c r="F10">
        <v>3</v>
      </c>
      <c r="G10">
        <v>0</v>
      </c>
      <c r="H10">
        <v>5</v>
      </c>
      <c r="I10">
        <v>1</v>
      </c>
      <c r="J10">
        <v>0</v>
      </c>
      <c r="K10">
        <v>0</v>
      </c>
      <c r="L10" s="2">
        <v>0</v>
      </c>
      <c r="M10">
        <v>1</v>
      </c>
      <c r="N10" s="2">
        <v>0</v>
      </c>
      <c r="O10">
        <v>1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196</v>
      </c>
      <c r="B11" t="s">
        <v>1120</v>
      </c>
      <c r="C11">
        <f>"2047"</f>
        <v>0</v>
      </c>
      <c r="D11">
        <v>1</v>
      </c>
      <c r="E11">
        <v>0</v>
      </c>
      <c r="F11">
        <v>1</v>
      </c>
      <c r="G11">
        <v>0</v>
      </c>
      <c r="H11">
        <v>2</v>
      </c>
      <c r="I11">
        <v>0.5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0.5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196</v>
      </c>
      <c r="B12" t="s">
        <v>884</v>
      </c>
      <c r="C12">
        <f>"2120"</f>
        <v>0</v>
      </c>
      <c r="D12">
        <v>2</v>
      </c>
      <c r="E12">
        <v>0</v>
      </c>
      <c r="F12">
        <v>1</v>
      </c>
      <c r="G12">
        <v>0</v>
      </c>
      <c r="H12">
        <v>3</v>
      </c>
      <c r="I12">
        <v>0.5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0.5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196</v>
      </c>
      <c r="B13" t="s">
        <v>5286</v>
      </c>
      <c r="C13">
        <f>"2230"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196</v>
      </c>
      <c r="B14" t="s">
        <v>4723</v>
      </c>
      <c r="C14">
        <f>"2241"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196</v>
      </c>
      <c r="B15" t="s">
        <v>1294</v>
      </c>
      <c r="C15">
        <f>"2137"</f>
        <v>0</v>
      </c>
      <c r="D15">
        <v>1</v>
      </c>
      <c r="E15">
        <v>0</v>
      </c>
      <c r="F15">
        <v>0</v>
      </c>
      <c r="G15">
        <v>0</v>
      </c>
      <c r="H15">
        <v>1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196</v>
      </c>
      <c r="B16" t="s">
        <v>1089</v>
      </c>
      <c r="C16">
        <f>"2196"</f>
        <v>0</v>
      </c>
      <c r="D16">
        <v>2</v>
      </c>
      <c r="E16">
        <v>0</v>
      </c>
      <c r="F16">
        <v>0</v>
      </c>
      <c r="G16">
        <v>0</v>
      </c>
      <c r="H16">
        <v>2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196</v>
      </c>
      <c r="B17" t="s">
        <v>1227</v>
      </c>
      <c r="C17">
        <f>"2045"</f>
        <v>0</v>
      </c>
      <c r="D17">
        <v>0</v>
      </c>
      <c r="E17">
        <v>0</v>
      </c>
      <c r="F17">
        <v>1</v>
      </c>
      <c r="G17">
        <v>0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196</v>
      </c>
      <c r="B18" t="s">
        <v>7445</v>
      </c>
      <c r="C18">
        <f>"2136"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196</v>
      </c>
      <c r="B19" t="s">
        <v>1229</v>
      </c>
      <c r="C19">
        <f>"2031"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196</v>
      </c>
      <c r="B20" t="s">
        <v>5560</v>
      </c>
      <c r="C20">
        <f>"2384"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196</v>
      </c>
      <c r="B21" t="s">
        <v>5575</v>
      </c>
      <c r="C21">
        <f>"2399"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196</v>
      </c>
      <c r="B22" t="s">
        <v>5515</v>
      </c>
      <c r="C22">
        <f>"2139"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196</v>
      </c>
      <c r="B23" t="s">
        <v>8092</v>
      </c>
      <c r="C23">
        <f>"2385"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196</v>
      </c>
      <c r="B24" t="s">
        <v>9611</v>
      </c>
      <c r="C24">
        <f>"2014"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196</v>
      </c>
      <c r="B25" t="s">
        <v>9302</v>
      </c>
      <c r="C25">
        <f>"2056"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196</v>
      </c>
      <c r="B26" t="s">
        <v>10062</v>
      </c>
      <c r="C26">
        <f>"2295"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196</v>
      </c>
      <c r="B27" t="s">
        <v>10061</v>
      </c>
      <c r="C27">
        <f>"2294"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196</v>
      </c>
      <c r="B28" t="s">
        <v>9722</v>
      </c>
      <c r="C28">
        <f>"25521"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196</v>
      </c>
      <c r="B29" t="s">
        <v>6893</v>
      </c>
      <c r="C29">
        <f>"2046"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196</v>
      </c>
      <c r="B30" t="s">
        <v>6898</v>
      </c>
      <c r="C30">
        <f>"2141"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196</v>
      </c>
      <c r="B31" t="s">
        <v>6488</v>
      </c>
      <c r="C31">
        <f>"2042"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196</v>
      </c>
      <c r="B32" t="s">
        <v>6981</v>
      </c>
      <c r="C32">
        <f>"2044"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196</v>
      </c>
      <c r="B33" t="s">
        <v>6984</v>
      </c>
      <c r="C33">
        <f>"2362"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196</v>
      </c>
      <c r="B34" t="s">
        <v>7446</v>
      </c>
      <c r="C34">
        <f>"2093"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196</v>
      </c>
      <c r="B35" t="s">
        <v>7447</v>
      </c>
      <c r="C35">
        <f>"2029"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196</v>
      </c>
      <c r="B36" t="s">
        <v>7487</v>
      </c>
      <c r="C36">
        <f>"2038"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196</v>
      </c>
      <c r="B37" t="s">
        <v>7486</v>
      </c>
      <c r="C37">
        <f>"2123"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196</v>
      </c>
      <c r="B38" t="s">
        <v>5673</v>
      </c>
      <c r="C38">
        <f>"2066"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196</v>
      </c>
      <c r="B39" t="s">
        <v>9244</v>
      </c>
      <c r="C39">
        <f>"2519"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196</v>
      </c>
      <c r="B40" t="s">
        <v>9239</v>
      </c>
      <c r="C40">
        <f>"2022"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196</v>
      </c>
      <c r="B41" t="s">
        <v>9857</v>
      </c>
      <c r="C41">
        <f>"2121"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196</v>
      </c>
      <c r="B42" t="s">
        <v>9868</v>
      </c>
      <c r="C42">
        <f>"2037"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196</v>
      </c>
      <c r="B43" t="s">
        <v>6982</v>
      </c>
      <c r="C43">
        <f>"2102"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196</v>
      </c>
      <c r="B44" t="s">
        <v>6252</v>
      </c>
      <c r="C44">
        <f>"2342"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196</v>
      </c>
      <c r="B45" t="s">
        <v>6228</v>
      </c>
      <c r="C45">
        <f>"20004"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196</v>
      </c>
      <c r="B46" t="s">
        <v>5662</v>
      </c>
      <c r="C46">
        <f>"2378"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196</v>
      </c>
      <c r="B47" t="s">
        <v>6350</v>
      </c>
      <c r="C47">
        <f>"2327"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196</v>
      </c>
      <c r="B48" t="s">
        <v>5935</v>
      </c>
      <c r="C48">
        <f>"2079"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196</v>
      </c>
      <c r="B49" t="s">
        <v>809</v>
      </c>
      <c r="C49">
        <f>"2189"</f>
        <v>0</v>
      </c>
      <c r="D49">
        <v>4</v>
      </c>
      <c r="E49">
        <v>0</v>
      </c>
      <c r="F49">
        <v>0</v>
      </c>
      <c r="G49">
        <v>0</v>
      </c>
      <c r="H49">
        <v>4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196</v>
      </c>
      <c r="B50" t="s">
        <v>5740</v>
      </c>
      <c r="C50">
        <f>"2229"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196</v>
      </c>
      <c r="B51" t="s">
        <v>3022</v>
      </c>
      <c r="C51">
        <f>"2341"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196</v>
      </c>
      <c r="B52" t="s">
        <v>3013</v>
      </c>
      <c r="C52">
        <f>"2340"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196</v>
      </c>
      <c r="B53" t="s">
        <v>2918</v>
      </c>
      <c r="C53">
        <f>"2017"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196</v>
      </c>
      <c r="B54" t="s">
        <v>2755</v>
      </c>
      <c r="C54">
        <f>"EDU1"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196</v>
      </c>
      <c r="B55" t="s">
        <v>8799</v>
      </c>
      <c r="C55">
        <f>"2228"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196</v>
      </c>
      <c r="B56" t="s">
        <v>8998</v>
      </c>
      <c r="C56">
        <f>"2182"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196</v>
      </c>
      <c r="B57" t="s">
        <v>3024</v>
      </c>
      <c r="C57">
        <f>"2418"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196</v>
      </c>
      <c r="B58" t="s">
        <v>1282</v>
      </c>
      <c r="C58">
        <f>"2361"</f>
        <v>0</v>
      </c>
      <c r="D58">
        <v>0</v>
      </c>
      <c r="E58">
        <v>0</v>
      </c>
      <c r="F58">
        <v>1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196</v>
      </c>
      <c r="B59" t="s">
        <v>3806</v>
      </c>
      <c r="C59">
        <f>"2537"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196</v>
      </c>
      <c r="B60" t="s">
        <v>3805</v>
      </c>
      <c r="C60">
        <f>"2554"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196</v>
      </c>
      <c r="B61" t="s">
        <v>3807</v>
      </c>
      <c r="C61">
        <f>"2546"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196</v>
      </c>
      <c r="B62" t="s">
        <v>3023</v>
      </c>
      <c r="C62">
        <f>"2419"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196</v>
      </c>
      <c r="B63" t="s">
        <v>8800</v>
      </c>
      <c r="C63">
        <f>"2220"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196</v>
      </c>
      <c r="B64" t="s">
        <v>3967</v>
      </c>
      <c r="C64">
        <f>"2545"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196</v>
      </c>
      <c r="B65" t="s">
        <v>3966</v>
      </c>
      <c r="C65">
        <f>"2544"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196</v>
      </c>
      <c r="B66" t="s">
        <v>6983</v>
      </c>
      <c r="C66">
        <f>"2043"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196</v>
      </c>
      <c r="B67" t="s">
        <v>6750</v>
      </c>
      <c r="C67">
        <f>"2448"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196</v>
      </c>
      <c r="B68" t="s">
        <v>984</v>
      </c>
      <c r="C68">
        <f>"2447"</f>
        <v>0</v>
      </c>
      <c r="D68">
        <v>2</v>
      </c>
      <c r="E68">
        <v>0</v>
      </c>
      <c r="F68">
        <v>0</v>
      </c>
      <c r="G68">
        <v>0</v>
      </c>
      <c r="H68">
        <v>2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196</v>
      </c>
      <c r="B69" t="s">
        <v>6751</v>
      </c>
      <c r="C69">
        <f>"2445"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196</v>
      </c>
      <c r="B70" t="s">
        <v>5495</v>
      </c>
      <c r="C70">
        <f>"COL2"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196</v>
      </c>
      <c r="B71" t="s">
        <v>5934</v>
      </c>
      <c r="C71">
        <f>"2027"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196</v>
      </c>
      <c r="B72" t="s">
        <v>5927</v>
      </c>
      <c r="C72">
        <f>"2381"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196</v>
      </c>
      <c r="B73" t="s">
        <v>6253</v>
      </c>
      <c r="C73">
        <f>"2239"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196</v>
      </c>
      <c r="B74" t="s">
        <v>1479</v>
      </c>
      <c r="C74">
        <f>"2531"</f>
        <v>0</v>
      </c>
      <c r="D74">
        <v>0</v>
      </c>
      <c r="E74">
        <v>0</v>
      </c>
      <c r="F74">
        <v>1</v>
      </c>
      <c r="G74">
        <v>0</v>
      </c>
      <c r="H74">
        <v>1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196</v>
      </c>
      <c r="B75" t="s">
        <v>6103</v>
      </c>
      <c r="C75">
        <f>"2092"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196</v>
      </c>
      <c r="B76" t="s">
        <v>6104</v>
      </c>
      <c r="C76">
        <f>"2018"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196</v>
      </c>
      <c r="B77" t="s">
        <v>6125</v>
      </c>
      <c r="C77">
        <f>"2000"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196</v>
      </c>
      <c r="B78" t="s">
        <v>6229</v>
      </c>
      <c r="C78">
        <f>"2006"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196</v>
      </c>
      <c r="B79" t="s">
        <v>1476</v>
      </c>
      <c r="C79">
        <f>"2442"</f>
        <v>0</v>
      </c>
      <c r="D79">
        <v>1</v>
      </c>
      <c r="E79">
        <v>0</v>
      </c>
      <c r="F79">
        <v>0</v>
      </c>
      <c r="G79">
        <v>0</v>
      </c>
      <c r="H79">
        <v>1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196</v>
      </c>
      <c r="B80" t="s">
        <v>6351</v>
      </c>
      <c r="C80">
        <f>"2328"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196</v>
      </c>
      <c r="B81" t="s">
        <v>6032</v>
      </c>
      <c r="C81">
        <f>"2326"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196</v>
      </c>
      <c r="B82" t="s">
        <v>6352</v>
      </c>
      <c r="C82">
        <f>"2325"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196</v>
      </c>
      <c r="B83" t="s">
        <v>740</v>
      </c>
      <c r="C83">
        <f>"2333"</f>
        <v>0</v>
      </c>
      <c r="D83">
        <v>0</v>
      </c>
      <c r="E83">
        <v>5</v>
      </c>
      <c r="F83">
        <v>0</v>
      </c>
      <c r="G83">
        <v>0</v>
      </c>
      <c r="H83">
        <v>5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196</v>
      </c>
      <c r="B84" t="s">
        <v>6153</v>
      </c>
      <c r="C84">
        <f>"2240"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196</v>
      </c>
      <c r="B85" t="s">
        <v>3026</v>
      </c>
      <c r="C85">
        <f>"2101"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196</v>
      </c>
      <c r="B86" t="s">
        <v>2886</v>
      </c>
      <c r="C86">
        <f>"2440"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196</v>
      </c>
      <c r="B87" t="s">
        <v>3001</v>
      </c>
      <c r="C87">
        <f>"2491999"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1.194</v>
      </c>
      <c r="L87" s="2">
        <v>1</v>
      </c>
      <c r="M87">
        <v>0</v>
      </c>
      <c r="N87" s="2">
        <v>0</v>
      </c>
      <c r="O87">
        <v>-1.2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196</v>
      </c>
      <c r="B88" t="s">
        <v>2919</v>
      </c>
      <c r="C88">
        <f>"2051"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1.305</v>
      </c>
      <c r="L88" s="2">
        <v>1</v>
      </c>
      <c r="M88">
        <v>0</v>
      </c>
      <c r="N88" s="2">
        <v>0</v>
      </c>
      <c r="O88">
        <v>-1.2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196</v>
      </c>
      <c r="B89" t="s">
        <v>7645</v>
      </c>
      <c r="C89">
        <f>"2200"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3.591</v>
      </c>
      <c r="L89" s="2">
        <v>4</v>
      </c>
      <c r="M89">
        <v>0</v>
      </c>
      <c r="N89" s="2">
        <v>0</v>
      </c>
      <c r="O89">
        <v>-1.2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196</v>
      </c>
      <c r="B90" t="s">
        <v>8083</v>
      </c>
      <c r="C90">
        <f>"2389"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</v>
      </c>
      <c r="K90">
        <v>1.395</v>
      </c>
      <c r="L90" s="2">
        <v>1</v>
      </c>
      <c r="M90">
        <v>0</v>
      </c>
      <c r="N90" s="2">
        <v>0</v>
      </c>
      <c r="O90">
        <v>-1.2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196</v>
      </c>
      <c r="B91" t="s">
        <v>2490</v>
      </c>
      <c r="C91">
        <f>"2293"</f>
        <v>0</v>
      </c>
      <c r="D91">
        <v>0</v>
      </c>
      <c r="E91">
        <v>1</v>
      </c>
      <c r="F91">
        <v>0</v>
      </c>
      <c r="G91">
        <v>0</v>
      </c>
      <c r="H91">
        <v>1</v>
      </c>
      <c r="I91">
        <v>0</v>
      </c>
      <c r="J91">
        <v>1</v>
      </c>
      <c r="K91">
        <v>3.015</v>
      </c>
      <c r="L91" s="2">
        <v>3</v>
      </c>
      <c r="M91">
        <v>0</v>
      </c>
      <c r="N91" s="2">
        <v>0</v>
      </c>
      <c r="O91">
        <v>-1.2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196</v>
      </c>
      <c r="B92" t="s">
        <v>2243</v>
      </c>
      <c r="C92">
        <f>"2028"</f>
        <v>0</v>
      </c>
      <c r="D92">
        <v>0</v>
      </c>
      <c r="E92">
        <v>0</v>
      </c>
      <c r="F92">
        <v>2</v>
      </c>
      <c r="G92">
        <v>0</v>
      </c>
      <c r="H92">
        <v>2</v>
      </c>
      <c r="I92">
        <v>0</v>
      </c>
      <c r="J92">
        <v>1</v>
      </c>
      <c r="K92">
        <v>3.591</v>
      </c>
      <c r="L92" s="2">
        <v>4</v>
      </c>
      <c r="M92">
        <v>0</v>
      </c>
      <c r="N92" s="2">
        <v>0</v>
      </c>
      <c r="O92">
        <v>-1.2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196</v>
      </c>
      <c r="B93" t="s">
        <v>6549</v>
      </c>
      <c r="C93">
        <f>"2409"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</v>
      </c>
      <c r="K93">
        <v>1.791</v>
      </c>
      <c r="L93" s="2">
        <v>2</v>
      </c>
      <c r="M93">
        <v>0</v>
      </c>
      <c r="N93" s="2">
        <v>0</v>
      </c>
      <c r="O93">
        <v>-1.2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196</v>
      </c>
      <c r="B94" t="s">
        <v>8075</v>
      </c>
      <c r="C94">
        <f>"2387"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1.665</v>
      </c>
      <c r="L94" s="2">
        <v>2</v>
      </c>
      <c r="M94">
        <v>0</v>
      </c>
      <c r="N94" s="2">
        <v>0</v>
      </c>
      <c r="O94">
        <v>-1.2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196</v>
      </c>
      <c r="B95" t="s">
        <v>2640</v>
      </c>
      <c r="C95">
        <f>"2015"</f>
        <v>0</v>
      </c>
      <c r="D95">
        <v>1</v>
      </c>
      <c r="E95">
        <v>0</v>
      </c>
      <c r="F95">
        <v>0</v>
      </c>
      <c r="G95">
        <v>0</v>
      </c>
      <c r="H95">
        <v>1</v>
      </c>
      <c r="I95">
        <v>0</v>
      </c>
      <c r="J95">
        <v>1</v>
      </c>
      <c r="K95">
        <v>2.16</v>
      </c>
      <c r="L95" s="2">
        <v>2</v>
      </c>
      <c r="M95">
        <v>0</v>
      </c>
      <c r="N95" s="2">
        <v>0</v>
      </c>
      <c r="O95">
        <v>-1.2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196</v>
      </c>
      <c r="B96" t="s">
        <v>2247</v>
      </c>
      <c r="C96">
        <f>"2426"</f>
        <v>0</v>
      </c>
      <c r="D96">
        <v>2</v>
      </c>
      <c r="E96">
        <v>0</v>
      </c>
      <c r="F96">
        <v>0</v>
      </c>
      <c r="G96">
        <v>0</v>
      </c>
      <c r="H96">
        <v>2</v>
      </c>
      <c r="I96">
        <v>0</v>
      </c>
      <c r="J96">
        <v>1</v>
      </c>
      <c r="K96">
        <v>2.691</v>
      </c>
      <c r="L96" s="2">
        <v>3</v>
      </c>
      <c r="M96">
        <v>0</v>
      </c>
      <c r="N96" s="2">
        <v>0</v>
      </c>
      <c r="O96">
        <v>-1.2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196</v>
      </c>
      <c r="B97" t="s">
        <v>2237</v>
      </c>
      <c r="C97">
        <f>"2233"</f>
        <v>0</v>
      </c>
      <c r="D97">
        <v>2</v>
      </c>
      <c r="E97">
        <v>0</v>
      </c>
      <c r="F97">
        <v>0</v>
      </c>
      <c r="G97">
        <v>0</v>
      </c>
      <c r="H97">
        <v>2</v>
      </c>
      <c r="I97">
        <v>0</v>
      </c>
      <c r="J97">
        <v>1</v>
      </c>
      <c r="K97">
        <v>1.881</v>
      </c>
      <c r="L97" s="2">
        <v>2</v>
      </c>
      <c r="M97">
        <v>0</v>
      </c>
      <c r="N97" s="2">
        <v>0</v>
      </c>
      <c r="O97">
        <v>-1.2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196</v>
      </c>
      <c r="B98" t="s">
        <v>8073</v>
      </c>
      <c r="C98">
        <f>"2140"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</v>
      </c>
      <c r="K98">
        <v>2.79</v>
      </c>
      <c r="L98" s="2">
        <v>3</v>
      </c>
      <c r="M98">
        <v>0</v>
      </c>
      <c r="N98" s="2">
        <v>0</v>
      </c>
      <c r="O98">
        <v>-1.2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196</v>
      </c>
      <c r="B99" t="s">
        <v>9556</v>
      </c>
      <c r="C99">
        <f>"2024"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1</v>
      </c>
      <c r="K99">
        <v>2.34</v>
      </c>
      <c r="L99" s="2">
        <v>2</v>
      </c>
      <c r="M99">
        <v>0</v>
      </c>
      <c r="N99" s="2">
        <v>0</v>
      </c>
      <c r="O99">
        <v>-1.2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196</v>
      </c>
      <c r="B100" t="s">
        <v>5494</v>
      </c>
      <c r="C100">
        <f>"2020"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1</v>
      </c>
      <c r="K100">
        <v>1.665</v>
      </c>
      <c r="L100" s="2">
        <v>2</v>
      </c>
      <c r="M100">
        <v>0</v>
      </c>
      <c r="N100" s="2">
        <v>0</v>
      </c>
      <c r="O100">
        <v>-1.2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196</v>
      </c>
      <c r="B101" t="s">
        <v>2769</v>
      </c>
      <c r="C101">
        <f>"2491520"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1</v>
      </c>
      <c r="K101">
        <v>1.194</v>
      </c>
      <c r="L101" s="2">
        <v>1</v>
      </c>
      <c r="M101">
        <v>0</v>
      </c>
      <c r="N101" s="2">
        <v>0</v>
      </c>
      <c r="O101">
        <v>-1.2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196</v>
      </c>
      <c r="B102" t="s">
        <v>2759</v>
      </c>
      <c r="C102">
        <f>"2491333"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1</v>
      </c>
      <c r="K102">
        <v>1.194</v>
      </c>
      <c r="L102" s="2">
        <v>1</v>
      </c>
      <c r="M102">
        <v>0</v>
      </c>
      <c r="N102" s="2">
        <v>0</v>
      </c>
      <c r="O102">
        <v>-1.2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196</v>
      </c>
      <c r="B103" t="s">
        <v>2266</v>
      </c>
      <c r="C103">
        <f>"2332"</f>
        <v>0</v>
      </c>
      <c r="D103">
        <v>0</v>
      </c>
      <c r="E103">
        <v>2</v>
      </c>
      <c r="F103">
        <v>0</v>
      </c>
      <c r="G103">
        <v>0</v>
      </c>
      <c r="H103">
        <v>2</v>
      </c>
      <c r="I103">
        <v>0</v>
      </c>
      <c r="J103">
        <v>1</v>
      </c>
      <c r="K103">
        <v>296</v>
      </c>
      <c r="L103" s="2">
        <v>296</v>
      </c>
      <c r="M103">
        <v>0</v>
      </c>
      <c r="N103" s="2">
        <v>0</v>
      </c>
      <c r="O103">
        <v>-1.2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196</v>
      </c>
      <c r="B104" t="s">
        <v>2770</v>
      </c>
      <c r="C104">
        <f>"2142"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1</v>
      </c>
      <c r="K104">
        <v>1.485</v>
      </c>
      <c r="L104" s="2">
        <v>1</v>
      </c>
      <c r="M104">
        <v>0</v>
      </c>
      <c r="N104" s="2">
        <v>0</v>
      </c>
      <c r="O104">
        <v>-1.2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196</v>
      </c>
      <c r="B105" t="s">
        <v>3000</v>
      </c>
      <c r="C105">
        <f>"2491307"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1</v>
      </c>
      <c r="K105">
        <v>1.194</v>
      </c>
      <c r="L105" s="2">
        <v>1</v>
      </c>
      <c r="M105">
        <v>0</v>
      </c>
      <c r="N105" s="2">
        <v>0</v>
      </c>
      <c r="O105">
        <v>-1.2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196</v>
      </c>
      <c r="B106" t="s">
        <v>2637</v>
      </c>
      <c r="C106">
        <f>"2025"</f>
        <v>0</v>
      </c>
      <c r="D106">
        <v>0</v>
      </c>
      <c r="E106">
        <v>0</v>
      </c>
      <c r="F106">
        <v>1</v>
      </c>
      <c r="G106">
        <v>0</v>
      </c>
      <c r="H106">
        <v>1</v>
      </c>
      <c r="I106">
        <v>0</v>
      </c>
      <c r="J106">
        <v>2</v>
      </c>
      <c r="K106">
        <v>5.13</v>
      </c>
      <c r="L106" s="2">
        <v>3</v>
      </c>
      <c r="M106">
        <v>0</v>
      </c>
      <c r="N106" s="2">
        <v>0</v>
      </c>
      <c r="O106">
        <v>-2.4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196</v>
      </c>
      <c r="B107" t="s">
        <v>2649</v>
      </c>
      <c r="C107">
        <f>"2016"</f>
        <v>0</v>
      </c>
      <c r="D107">
        <v>0</v>
      </c>
      <c r="E107">
        <v>0</v>
      </c>
      <c r="F107">
        <v>1</v>
      </c>
      <c r="G107">
        <v>0</v>
      </c>
      <c r="H107">
        <v>1</v>
      </c>
      <c r="I107">
        <v>0</v>
      </c>
      <c r="J107">
        <v>2</v>
      </c>
      <c r="K107">
        <v>4.23</v>
      </c>
      <c r="L107" s="2">
        <v>2</v>
      </c>
      <c r="M107">
        <v>0</v>
      </c>
      <c r="N107" s="2">
        <v>0</v>
      </c>
      <c r="O107">
        <v>-2.4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196</v>
      </c>
      <c r="B108" t="s">
        <v>5672</v>
      </c>
      <c r="C108">
        <f>"COL1"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2</v>
      </c>
      <c r="K108">
        <v>2.07</v>
      </c>
      <c r="L108" s="2">
        <v>1</v>
      </c>
      <c r="M108">
        <v>0</v>
      </c>
      <c r="N108" s="2">
        <v>0</v>
      </c>
      <c r="O108">
        <v>-2.4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196</v>
      </c>
      <c r="B109" t="s">
        <v>3043</v>
      </c>
      <c r="C109">
        <f>"2491306"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2</v>
      </c>
      <c r="K109">
        <v>2.388</v>
      </c>
      <c r="L109" s="2">
        <v>1</v>
      </c>
      <c r="M109">
        <v>0</v>
      </c>
      <c r="N109" s="2">
        <v>0</v>
      </c>
      <c r="O109">
        <v>-2.4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196</v>
      </c>
      <c r="B110" t="s">
        <v>6227</v>
      </c>
      <c r="C110">
        <f>"2288"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2</v>
      </c>
      <c r="K110">
        <v>3.042</v>
      </c>
      <c r="L110" s="2">
        <v>2</v>
      </c>
      <c r="M110">
        <v>0</v>
      </c>
      <c r="N110" s="2">
        <v>0</v>
      </c>
      <c r="O110">
        <v>-2.4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196</v>
      </c>
      <c r="B111" t="s">
        <v>6787</v>
      </c>
      <c r="C111">
        <f>"2446"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2</v>
      </c>
      <c r="K111">
        <v>5.022</v>
      </c>
      <c r="L111" s="2">
        <v>3</v>
      </c>
      <c r="M111">
        <v>0</v>
      </c>
      <c r="N111" s="2">
        <v>0</v>
      </c>
      <c r="O111">
        <v>-2.4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196</v>
      </c>
      <c r="B112" t="s">
        <v>8074</v>
      </c>
      <c r="C112">
        <f>"2388"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2</v>
      </c>
      <c r="K112">
        <v>3.33</v>
      </c>
      <c r="L112" s="2">
        <v>2</v>
      </c>
      <c r="M112">
        <v>0</v>
      </c>
      <c r="N112" s="2">
        <v>0</v>
      </c>
      <c r="O112">
        <v>-2.4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196</v>
      </c>
      <c r="B113" t="s">
        <v>7553</v>
      </c>
      <c r="C113">
        <f>"2005"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2</v>
      </c>
      <c r="K113">
        <v>3.258</v>
      </c>
      <c r="L113" s="2">
        <v>2</v>
      </c>
      <c r="M113">
        <v>0</v>
      </c>
      <c r="N113" s="2">
        <v>0</v>
      </c>
      <c r="O113">
        <v>-2.4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196</v>
      </c>
      <c r="B114" t="s">
        <v>2438</v>
      </c>
      <c r="C114">
        <f>"2094"</f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2</v>
      </c>
      <c r="K114">
        <v>5.04</v>
      </c>
      <c r="L114" s="2">
        <v>3</v>
      </c>
      <c r="M114">
        <v>0</v>
      </c>
      <c r="N114" s="2">
        <v>0</v>
      </c>
      <c r="O114">
        <v>-2.4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196</v>
      </c>
      <c r="B115" t="s">
        <v>2318</v>
      </c>
      <c r="C115">
        <f>"20451"</f>
        <v>0</v>
      </c>
      <c r="D115">
        <v>0</v>
      </c>
      <c r="E115">
        <v>1</v>
      </c>
      <c r="F115">
        <v>1</v>
      </c>
      <c r="G115">
        <v>0</v>
      </c>
      <c r="H115">
        <v>2</v>
      </c>
      <c r="I115">
        <v>0.5</v>
      </c>
      <c r="J115">
        <v>3</v>
      </c>
      <c r="K115">
        <v>5.535</v>
      </c>
      <c r="L115" s="2">
        <v>2</v>
      </c>
      <c r="M115">
        <v>0</v>
      </c>
      <c r="N115" s="2">
        <v>0</v>
      </c>
      <c r="O115">
        <v>-3.1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196</v>
      </c>
      <c r="B116" t="s">
        <v>1515</v>
      </c>
      <c r="C116">
        <f>"2386"</f>
        <v>0</v>
      </c>
      <c r="D116">
        <v>0</v>
      </c>
      <c r="E116">
        <v>0</v>
      </c>
      <c r="F116">
        <v>0</v>
      </c>
      <c r="G116">
        <v>1</v>
      </c>
      <c r="H116">
        <v>1</v>
      </c>
      <c r="I116">
        <v>0</v>
      </c>
      <c r="J116">
        <v>7</v>
      </c>
      <c r="K116">
        <v>9.765000000000001</v>
      </c>
      <c r="L116" s="2">
        <v>1</v>
      </c>
      <c r="M116">
        <v>0</v>
      </c>
      <c r="N116" s="2">
        <v>0</v>
      </c>
      <c r="O116">
        <v>-3.4</v>
      </c>
      <c r="P116" t="s">
        <v>10426</v>
      </c>
      <c r="Q116">
        <v>279</v>
      </c>
      <c r="R116" t="s">
        <v>10266</v>
      </c>
      <c r="S116">
        <v>1</v>
      </c>
    </row>
    <row r="117" spans="1:19">
      <c r="A117" t="s">
        <v>196</v>
      </c>
      <c r="B117" t="s">
        <v>2367</v>
      </c>
      <c r="C117">
        <f>"2133"</f>
        <v>0</v>
      </c>
      <c r="D117">
        <v>0</v>
      </c>
      <c r="E117">
        <v>0</v>
      </c>
      <c r="F117">
        <v>1</v>
      </c>
      <c r="G117">
        <v>0</v>
      </c>
      <c r="H117">
        <v>1</v>
      </c>
      <c r="I117">
        <v>0</v>
      </c>
      <c r="J117">
        <v>3</v>
      </c>
      <c r="K117">
        <v>2.025</v>
      </c>
      <c r="L117" s="2">
        <v>1</v>
      </c>
      <c r="M117">
        <v>0</v>
      </c>
      <c r="N117" s="2">
        <v>0</v>
      </c>
      <c r="O117">
        <v>-3.6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196</v>
      </c>
      <c r="B118" t="s">
        <v>8708</v>
      </c>
      <c r="C118">
        <f>"2221"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3</v>
      </c>
      <c r="K118">
        <v>3.393</v>
      </c>
      <c r="L118" s="2">
        <v>1</v>
      </c>
      <c r="M118">
        <v>0</v>
      </c>
      <c r="N118" s="2">
        <v>0</v>
      </c>
      <c r="O118">
        <v>-3.6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196</v>
      </c>
      <c r="B119" t="s">
        <v>2651</v>
      </c>
      <c r="C119">
        <f>"2041"</f>
        <v>0</v>
      </c>
      <c r="D119">
        <v>0</v>
      </c>
      <c r="E119">
        <v>0</v>
      </c>
      <c r="F119">
        <v>1</v>
      </c>
      <c r="G119">
        <v>0</v>
      </c>
      <c r="H119">
        <v>1</v>
      </c>
      <c r="I119">
        <v>0</v>
      </c>
      <c r="J119">
        <v>3</v>
      </c>
      <c r="K119">
        <v>8.073</v>
      </c>
      <c r="L119" s="2">
        <v>3</v>
      </c>
      <c r="M119">
        <v>0</v>
      </c>
      <c r="N119" s="2">
        <v>0</v>
      </c>
      <c r="O119">
        <v>-3.6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196</v>
      </c>
      <c r="B120" t="s">
        <v>9572</v>
      </c>
      <c r="C120">
        <f>"2021"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3</v>
      </c>
      <c r="K120">
        <v>8.775</v>
      </c>
      <c r="L120" s="2">
        <v>3</v>
      </c>
      <c r="M120">
        <v>0</v>
      </c>
      <c r="N120" s="2">
        <v>0</v>
      </c>
      <c r="O120">
        <v>-3.6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196</v>
      </c>
      <c r="B121" t="s">
        <v>6346</v>
      </c>
      <c r="C121">
        <f>"2331"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3</v>
      </c>
      <c r="K121">
        <v>889</v>
      </c>
      <c r="L121" s="2">
        <v>296</v>
      </c>
      <c r="M121">
        <v>0</v>
      </c>
      <c r="N121" s="2">
        <v>0</v>
      </c>
      <c r="O121">
        <v>-3.6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196</v>
      </c>
      <c r="B122" t="s">
        <v>2920</v>
      </c>
      <c r="C122">
        <f>"2130"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3</v>
      </c>
      <c r="K122">
        <v>9.18</v>
      </c>
      <c r="L122" s="2">
        <v>3</v>
      </c>
      <c r="M122">
        <v>0</v>
      </c>
      <c r="N122" s="2">
        <v>0</v>
      </c>
      <c r="O122">
        <v>-3.6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196</v>
      </c>
      <c r="B123" t="s">
        <v>2696</v>
      </c>
      <c r="C123">
        <f>"2040"</f>
        <v>0</v>
      </c>
      <c r="D123">
        <v>0</v>
      </c>
      <c r="E123">
        <v>0</v>
      </c>
      <c r="F123">
        <v>1</v>
      </c>
      <c r="G123">
        <v>0</v>
      </c>
      <c r="H123">
        <v>1</v>
      </c>
      <c r="I123">
        <v>0</v>
      </c>
      <c r="J123">
        <v>3</v>
      </c>
      <c r="K123">
        <v>3.483</v>
      </c>
      <c r="L123" s="2">
        <v>1</v>
      </c>
      <c r="M123">
        <v>0</v>
      </c>
      <c r="N123" s="2">
        <v>0</v>
      </c>
      <c r="O123">
        <v>-3.6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196</v>
      </c>
      <c r="B124" t="s">
        <v>4660</v>
      </c>
      <c r="C124">
        <f>"2222"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4</v>
      </c>
      <c r="K124">
        <v>7.02</v>
      </c>
      <c r="L124" s="2">
        <v>2</v>
      </c>
      <c r="M124">
        <v>0</v>
      </c>
      <c r="N124" s="2">
        <v>0</v>
      </c>
      <c r="O124">
        <v>-4.8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196</v>
      </c>
      <c r="B125" t="s">
        <v>3808</v>
      </c>
      <c r="C125">
        <f>"2543"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4</v>
      </c>
      <c r="K125">
        <v>1.08</v>
      </c>
      <c r="L125" s="2">
        <v>0</v>
      </c>
      <c r="M125">
        <v>0</v>
      </c>
      <c r="N125" s="2">
        <v>0</v>
      </c>
      <c r="O125">
        <v>-4.8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196</v>
      </c>
      <c r="B126" t="s">
        <v>6040</v>
      </c>
      <c r="C126">
        <f>"2382"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5</v>
      </c>
      <c r="K126">
        <v>11.025</v>
      </c>
      <c r="L126" s="2">
        <v>2</v>
      </c>
      <c r="M126">
        <v>0</v>
      </c>
      <c r="N126" s="2">
        <v>0</v>
      </c>
      <c r="O126">
        <v>-6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196</v>
      </c>
      <c r="B127" t="s">
        <v>6891</v>
      </c>
      <c r="C127">
        <f>"2012"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7</v>
      </c>
      <c r="K127">
        <v>14.76</v>
      </c>
      <c r="L127" s="2">
        <v>2</v>
      </c>
      <c r="M127">
        <v>0</v>
      </c>
      <c r="N127" s="2">
        <v>0</v>
      </c>
      <c r="O127">
        <v>-8.4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196</v>
      </c>
      <c r="B128" t="s">
        <v>2659</v>
      </c>
      <c r="C128">
        <f>"2010"</f>
        <v>0</v>
      </c>
      <c r="D128">
        <v>0</v>
      </c>
      <c r="E128">
        <v>0</v>
      </c>
      <c r="F128">
        <v>1</v>
      </c>
      <c r="G128">
        <v>0</v>
      </c>
      <c r="H128">
        <v>1</v>
      </c>
      <c r="I128">
        <v>0</v>
      </c>
      <c r="J128">
        <v>7</v>
      </c>
      <c r="K128">
        <v>12.285</v>
      </c>
      <c r="L128" s="2">
        <v>2</v>
      </c>
      <c r="M128">
        <v>0</v>
      </c>
      <c r="N128" s="2">
        <v>0</v>
      </c>
      <c r="O128">
        <v>-8.4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196</v>
      </c>
      <c r="B129" t="s">
        <v>6892</v>
      </c>
      <c r="C129">
        <f>"2013"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8</v>
      </c>
      <c r="K129">
        <v>11.88</v>
      </c>
      <c r="L129" s="2">
        <v>1</v>
      </c>
      <c r="M129">
        <v>0</v>
      </c>
      <c r="N129" s="2">
        <v>0</v>
      </c>
      <c r="O129">
        <v>-9.6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196</v>
      </c>
      <c r="B130" t="s">
        <v>6345</v>
      </c>
      <c r="C130">
        <f>"2334"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11</v>
      </c>
      <c r="K130">
        <v>3.259</v>
      </c>
      <c r="L130" s="2">
        <v>0</v>
      </c>
      <c r="M130">
        <v>0</v>
      </c>
      <c r="N130" s="2">
        <v>0</v>
      </c>
      <c r="O130">
        <v>-13.2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196</v>
      </c>
      <c r="B131" t="s">
        <v>5671</v>
      </c>
      <c r="C131">
        <f>"col3"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12</v>
      </c>
      <c r="K131">
        <v>11.7</v>
      </c>
      <c r="L131" s="2">
        <v>1</v>
      </c>
      <c r="M131">
        <v>0</v>
      </c>
      <c r="N131" s="2">
        <v>0</v>
      </c>
      <c r="O131">
        <v>-14.4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196</v>
      </c>
      <c r="B132" t="s">
        <v>1635</v>
      </c>
      <c r="C132">
        <f>"COL5"</f>
        <v>0</v>
      </c>
      <c r="D132">
        <v>0</v>
      </c>
      <c r="E132">
        <v>0</v>
      </c>
      <c r="F132">
        <v>0</v>
      </c>
      <c r="G132">
        <v>1</v>
      </c>
      <c r="H132">
        <v>1</v>
      </c>
      <c r="I132">
        <v>0</v>
      </c>
      <c r="J132">
        <v>19</v>
      </c>
      <c r="K132">
        <v>22.173</v>
      </c>
      <c r="L132" s="2">
        <v>1</v>
      </c>
      <c r="M132">
        <v>0</v>
      </c>
      <c r="N132" s="2">
        <v>0</v>
      </c>
      <c r="O132">
        <v>-17.8</v>
      </c>
      <c r="P132" t="s">
        <v>10427</v>
      </c>
      <c r="Q132">
        <v>117</v>
      </c>
      <c r="R132" t="s">
        <v>10271</v>
      </c>
      <c r="S132">
        <v>1</v>
      </c>
    </row>
    <row r="133" spans="1:19">
      <c r="A133" t="s">
        <v>196</v>
      </c>
      <c r="B133" t="s">
        <v>2410</v>
      </c>
      <c r="C133">
        <f>"2023"</f>
        <v>0</v>
      </c>
      <c r="D133">
        <v>0</v>
      </c>
      <c r="E133">
        <v>0</v>
      </c>
      <c r="F133">
        <v>1</v>
      </c>
      <c r="G133">
        <v>0</v>
      </c>
      <c r="H133">
        <v>1</v>
      </c>
      <c r="I133">
        <v>0</v>
      </c>
      <c r="J133">
        <v>15</v>
      </c>
      <c r="K133">
        <v>38.475</v>
      </c>
      <c r="L133" s="2">
        <v>3</v>
      </c>
      <c r="M133">
        <v>0</v>
      </c>
      <c r="N133" s="2">
        <v>0</v>
      </c>
      <c r="O133">
        <v>-18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196</v>
      </c>
      <c r="B134" t="s">
        <v>6203</v>
      </c>
      <c r="C134">
        <f>"2007"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30</v>
      </c>
      <c r="K134">
        <v>45.63</v>
      </c>
      <c r="L134" s="2">
        <v>2</v>
      </c>
      <c r="M134">
        <v>0</v>
      </c>
      <c r="N134" s="2">
        <v>0</v>
      </c>
      <c r="O134">
        <v>-36</v>
      </c>
      <c r="P134" t="s">
        <v>100</v>
      </c>
      <c r="Q134">
        <v>0</v>
      </c>
      <c r="R134" t="s">
        <v>145</v>
      </c>
      <c r="S134">
        <v>0</v>
      </c>
    </row>
  </sheetData>
  <autoFilter ref="A2:S134"/>
  <hyperlinks>
    <hyperlink ref="A1" location="'ÍNDICE'!A1" display="⬅ Volver al índice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S3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31</v>
      </c>
      <c r="B3" t="s">
        <v>56</v>
      </c>
      <c r="C3">
        <f>"183064"</f>
        <v>0</v>
      </c>
      <c r="D3">
        <v>27</v>
      </c>
      <c r="E3">
        <v>14</v>
      </c>
      <c r="F3">
        <v>41</v>
      </c>
      <c r="G3">
        <v>22</v>
      </c>
      <c r="H3">
        <v>104</v>
      </c>
      <c r="I3">
        <v>24.5</v>
      </c>
      <c r="J3">
        <v>3</v>
      </c>
      <c r="K3">
        <v>24.975</v>
      </c>
      <c r="L3" s="2">
        <v>8</v>
      </c>
      <c r="M3">
        <v>32</v>
      </c>
      <c r="N3" s="2">
        <v>256</v>
      </c>
      <c r="O3">
        <v>64.90000000000001</v>
      </c>
      <c r="P3" t="s">
        <v>106</v>
      </c>
      <c r="Q3">
        <v>39.114</v>
      </c>
      <c r="R3" t="s">
        <v>151</v>
      </c>
      <c r="S3">
        <v>0</v>
      </c>
    </row>
    <row r="4" spans="1:19">
      <c r="A4" t="s">
        <v>31</v>
      </c>
      <c r="B4" t="s">
        <v>87</v>
      </c>
      <c r="C4">
        <f>"RCM052"</f>
        <v>0</v>
      </c>
      <c r="D4">
        <v>9</v>
      </c>
      <c r="E4">
        <v>3</v>
      </c>
      <c r="F4">
        <v>9</v>
      </c>
      <c r="G4">
        <v>9</v>
      </c>
      <c r="H4">
        <v>30</v>
      </c>
      <c r="I4">
        <v>9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27</v>
      </c>
      <c r="P4" t="s">
        <v>133</v>
      </c>
      <c r="Q4">
        <v>12.844</v>
      </c>
      <c r="R4" t="s">
        <v>178</v>
      </c>
      <c r="S4">
        <v>0</v>
      </c>
    </row>
    <row r="5" spans="1:19">
      <c r="A5" t="s">
        <v>31</v>
      </c>
      <c r="B5" t="s">
        <v>474</v>
      </c>
      <c r="C5">
        <f>"1013967"</f>
        <v>0</v>
      </c>
      <c r="D5">
        <v>5</v>
      </c>
      <c r="E5">
        <v>7</v>
      </c>
      <c r="F5">
        <v>0</v>
      </c>
      <c r="G5">
        <v>6</v>
      </c>
      <c r="H5">
        <v>18</v>
      </c>
      <c r="I5">
        <v>5.5</v>
      </c>
      <c r="J5">
        <v>0</v>
      </c>
      <c r="K5">
        <v>0</v>
      </c>
      <c r="L5" s="2">
        <v>0</v>
      </c>
      <c r="M5">
        <v>8</v>
      </c>
      <c r="N5" s="2">
        <v>0</v>
      </c>
      <c r="O5">
        <v>20.5</v>
      </c>
      <c r="P5" t="s">
        <v>10434</v>
      </c>
      <c r="Q5">
        <v>11.215</v>
      </c>
      <c r="R5" t="s">
        <v>10452</v>
      </c>
      <c r="S5">
        <v>1</v>
      </c>
    </row>
    <row r="6" spans="1:19">
      <c r="A6" t="s">
        <v>31</v>
      </c>
      <c r="B6" t="s">
        <v>1576</v>
      </c>
      <c r="C6">
        <f>"1020300"</f>
        <v>0</v>
      </c>
      <c r="D6">
        <v>3</v>
      </c>
      <c r="E6">
        <v>9</v>
      </c>
      <c r="F6">
        <v>2</v>
      </c>
      <c r="G6">
        <v>6</v>
      </c>
      <c r="H6">
        <v>20</v>
      </c>
      <c r="I6">
        <v>4.5</v>
      </c>
      <c r="J6">
        <v>3</v>
      </c>
      <c r="K6">
        <v>19.176</v>
      </c>
      <c r="L6" s="2">
        <v>6</v>
      </c>
      <c r="M6">
        <v>4</v>
      </c>
      <c r="N6" s="2">
        <v>24</v>
      </c>
      <c r="O6">
        <v>15.9</v>
      </c>
      <c r="P6" t="s">
        <v>10435</v>
      </c>
      <c r="Q6">
        <v>1.932</v>
      </c>
      <c r="R6" t="s">
        <v>10453</v>
      </c>
      <c r="S6">
        <v>1</v>
      </c>
    </row>
    <row r="7" spans="1:19">
      <c r="A7" t="s">
        <v>31</v>
      </c>
      <c r="B7" t="s">
        <v>1689</v>
      </c>
      <c r="C7">
        <f>"RCM051"</f>
        <v>0</v>
      </c>
      <c r="D7">
        <v>1</v>
      </c>
      <c r="E7">
        <v>2</v>
      </c>
      <c r="F7">
        <v>4</v>
      </c>
      <c r="G7">
        <v>8</v>
      </c>
      <c r="H7">
        <v>15</v>
      </c>
      <c r="I7">
        <v>3</v>
      </c>
      <c r="J7">
        <v>7</v>
      </c>
      <c r="K7">
        <v>41.528</v>
      </c>
      <c r="L7" s="2">
        <v>6</v>
      </c>
      <c r="M7">
        <v>0</v>
      </c>
      <c r="N7" s="2">
        <v>0</v>
      </c>
      <c r="O7">
        <v>13.6</v>
      </c>
      <c r="P7" t="s">
        <v>10436</v>
      </c>
      <c r="Q7">
        <v>16.34</v>
      </c>
      <c r="R7" t="s">
        <v>10454</v>
      </c>
      <c r="S7">
        <v>1</v>
      </c>
    </row>
    <row r="8" spans="1:19">
      <c r="A8" t="s">
        <v>31</v>
      </c>
      <c r="B8" t="s">
        <v>1636</v>
      </c>
      <c r="C8">
        <f>"1005846"</f>
        <v>0</v>
      </c>
      <c r="D8">
        <v>2</v>
      </c>
      <c r="E8">
        <v>0</v>
      </c>
      <c r="F8">
        <v>0</v>
      </c>
      <c r="G8">
        <v>4</v>
      </c>
      <c r="H8">
        <v>6</v>
      </c>
      <c r="I8">
        <v>1</v>
      </c>
      <c r="J8">
        <v>1</v>
      </c>
      <c r="K8">
        <v>5.144</v>
      </c>
      <c r="L8" s="2">
        <v>5</v>
      </c>
      <c r="M8">
        <v>2</v>
      </c>
      <c r="N8" s="2">
        <v>10</v>
      </c>
      <c r="O8">
        <v>10.8</v>
      </c>
      <c r="P8" t="s">
        <v>10437</v>
      </c>
      <c r="Q8">
        <v>2.92</v>
      </c>
      <c r="R8" t="s">
        <v>10455</v>
      </c>
      <c r="S8">
        <v>1</v>
      </c>
    </row>
    <row r="9" spans="1:19">
      <c r="A9" t="s">
        <v>31</v>
      </c>
      <c r="B9" t="s">
        <v>1585</v>
      </c>
      <c r="C9">
        <f>"1020890"</f>
        <v>0</v>
      </c>
      <c r="D9">
        <v>11</v>
      </c>
      <c r="E9">
        <v>9</v>
      </c>
      <c r="F9">
        <v>8</v>
      </c>
      <c r="G9">
        <v>5</v>
      </c>
      <c r="H9">
        <v>33</v>
      </c>
      <c r="I9">
        <v>8.5</v>
      </c>
      <c r="J9">
        <v>7</v>
      </c>
      <c r="K9">
        <v>74.648</v>
      </c>
      <c r="L9" s="2">
        <v>11</v>
      </c>
      <c r="M9">
        <v>4</v>
      </c>
      <c r="N9" s="2">
        <v>44</v>
      </c>
      <c r="O9">
        <v>10.1</v>
      </c>
      <c r="P9" t="s">
        <v>10438</v>
      </c>
      <c r="Q9">
        <v>13.865</v>
      </c>
      <c r="R9" t="s">
        <v>10456</v>
      </c>
      <c r="S9">
        <v>0</v>
      </c>
    </row>
    <row r="10" spans="1:19">
      <c r="A10" t="s">
        <v>31</v>
      </c>
      <c r="B10" t="s">
        <v>581</v>
      </c>
      <c r="C10">
        <f>"5007673"</f>
        <v>0</v>
      </c>
      <c r="D10">
        <v>3</v>
      </c>
      <c r="E10">
        <v>2</v>
      </c>
      <c r="F10">
        <v>1</v>
      </c>
      <c r="G10">
        <v>2</v>
      </c>
      <c r="H10">
        <v>8</v>
      </c>
      <c r="I10">
        <v>2</v>
      </c>
      <c r="J10">
        <v>0</v>
      </c>
      <c r="K10">
        <v>0</v>
      </c>
      <c r="L10" s="2">
        <v>0</v>
      </c>
      <c r="M10">
        <v>3</v>
      </c>
      <c r="N10" s="2">
        <v>0</v>
      </c>
      <c r="O10">
        <v>9</v>
      </c>
      <c r="P10" t="s">
        <v>10312</v>
      </c>
      <c r="Q10">
        <v>11.384</v>
      </c>
      <c r="R10" t="s">
        <v>10457</v>
      </c>
      <c r="S10">
        <v>1</v>
      </c>
    </row>
    <row r="11" spans="1:19">
      <c r="A11" t="s">
        <v>31</v>
      </c>
      <c r="B11" t="s">
        <v>1741</v>
      </c>
      <c r="C11">
        <f>"1019649"</f>
        <v>0</v>
      </c>
      <c r="D11">
        <v>3</v>
      </c>
      <c r="E11">
        <v>7</v>
      </c>
      <c r="F11">
        <v>0</v>
      </c>
      <c r="G11">
        <v>3</v>
      </c>
      <c r="H11">
        <v>13</v>
      </c>
      <c r="I11">
        <v>3</v>
      </c>
      <c r="J11">
        <v>4</v>
      </c>
      <c r="K11">
        <v>27.3</v>
      </c>
      <c r="L11" s="2">
        <v>7</v>
      </c>
      <c r="M11">
        <v>0</v>
      </c>
      <c r="N11" s="2">
        <v>0</v>
      </c>
      <c r="O11">
        <v>7.2</v>
      </c>
      <c r="P11" t="s">
        <v>10439</v>
      </c>
      <c r="Q11">
        <v>2.19</v>
      </c>
      <c r="R11" t="s">
        <v>10458</v>
      </c>
      <c r="S11">
        <v>1</v>
      </c>
    </row>
    <row r="12" spans="1:19">
      <c r="A12" t="s">
        <v>31</v>
      </c>
      <c r="B12" t="s">
        <v>533</v>
      </c>
      <c r="C12">
        <f>"RCM056"</f>
        <v>0</v>
      </c>
      <c r="D12">
        <v>0</v>
      </c>
      <c r="E12">
        <v>6</v>
      </c>
      <c r="F12">
        <v>3</v>
      </c>
      <c r="G12">
        <v>2</v>
      </c>
      <c r="H12">
        <v>11</v>
      </c>
      <c r="I12">
        <v>2.5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6.5</v>
      </c>
      <c r="P12" t="s">
        <v>10440</v>
      </c>
      <c r="Q12">
        <v>9.465</v>
      </c>
      <c r="R12" t="s">
        <v>10459</v>
      </c>
      <c r="S12">
        <v>0</v>
      </c>
    </row>
    <row r="13" spans="1:19">
      <c r="A13" t="s">
        <v>31</v>
      </c>
      <c r="B13" t="s">
        <v>2043</v>
      </c>
      <c r="C13">
        <f>"1020298"</f>
        <v>0</v>
      </c>
      <c r="D13">
        <v>0</v>
      </c>
      <c r="E13">
        <v>0</v>
      </c>
      <c r="F13">
        <v>1</v>
      </c>
      <c r="G13">
        <v>2</v>
      </c>
      <c r="H13">
        <v>3</v>
      </c>
      <c r="I13">
        <v>0.5</v>
      </c>
      <c r="J13">
        <v>1</v>
      </c>
      <c r="K13">
        <v>7.246</v>
      </c>
      <c r="L13" s="2">
        <v>7</v>
      </c>
      <c r="M13">
        <v>0</v>
      </c>
      <c r="N13" s="2">
        <v>0</v>
      </c>
      <c r="O13">
        <v>6.3</v>
      </c>
      <c r="P13" t="s">
        <v>10441</v>
      </c>
      <c r="Q13">
        <v>1.458</v>
      </c>
      <c r="R13" t="s">
        <v>10460</v>
      </c>
      <c r="S13">
        <v>1</v>
      </c>
    </row>
    <row r="14" spans="1:19">
      <c r="A14" t="s">
        <v>31</v>
      </c>
      <c r="B14" t="s">
        <v>1577</v>
      </c>
      <c r="C14">
        <f>"1602190159459"</f>
        <v>0</v>
      </c>
      <c r="D14">
        <v>5</v>
      </c>
      <c r="E14">
        <v>3</v>
      </c>
      <c r="F14">
        <v>0</v>
      </c>
      <c r="G14">
        <v>1</v>
      </c>
      <c r="H14">
        <v>9</v>
      </c>
      <c r="I14">
        <v>2</v>
      </c>
      <c r="J14">
        <v>1</v>
      </c>
      <c r="K14">
        <v>10.575</v>
      </c>
      <c r="L14" s="2">
        <v>11</v>
      </c>
      <c r="M14">
        <v>2</v>
      </c>
      <c r="N14" s="2">
        <v>22</v>
      </c>
      <c r="O14">
        <v>5.8</v>
      </c>
      <c r="P14" t="s">
        <v>10442</v>
      </c>
      <c r="Q14">
        <v>2.022</v>
      </c>
      <c r="R14" t="s">
        <v>10461</v>
      </c>
      <c r="S14">
        <v>1</v>
      </c>
    </row>
    <row r="15" spans="1:19">
      <c r="A15" t="s">
        <v>31</v>
      </c>
      <c r="B15" t="s">
        <v>481</v>
      </c>
      <c r="C15">
        <f>"5007609"</f>
        <v>0</v>
      </c>
      <c r="D15">
        <v>3</v>
      </c>
      <c r="E15">
        <v>8</v>
      </c>
      <c r="F15">
        <v>3</v>
      </c>
      <c r="G15">
        <v>1</v>
      </c>
      <c r="H15">
        <v>15</v>
      </c>
      <c r="I15">
        <v>3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5</v>
      </c>
      <c r="P15" t="s">
        <v>10443</v>
      </c>
      <c r="Q15">
        <v>19.161</v>
      </c>
      <c r="R15" t="s">
        <v>10462</v>
      </c>
      <c r="S15">
        <v>0</v>
      </c>
    </row>
    <row r="16" spans="1:19">
      <c r="A16" t="s">
        <v>31</v>
      </c>
      <c r="B16" t="s">
        <v>1686</v>
      </c>
      <c r="C16">
        <f>"RCM054"</f>
        <v>0</v>
      </c>
      <c r="D16">
        <v>2</v>
      </c>
      <c r="E16">
        <v>7</v>
      </c>
      <c r="F16">
        <v>7</v>
      </c>
      <c r="G16">
        <v>3</v>
      </c>
      <c r="H16">
        <v>19</v>
      </c>
      <c r="I16">
        <v>5</v>
      </c>
      <c r="J16">
        <v>5</v>
      </c>
      <c r="K16">
        <v>48.113</v>
      </c>
      <c r="L16" s="2">
        <v>10</v>
      </c>
      <c r="M16">
        <v>2</v>
      </c>
      <c r="N16" s="2">
        <v>20</v>
      </c>
      <c r="O16">
        <v>5</v>
      </c>
      <c r="P16" t="s">
        <v>10444</v>
      </c>
      <c r="Q16">
        <v>1.36</v>
      </c>
      <c r="R16" t="s">
        <v>10463</v>
      </c>
      <c r="S16">
        <v>0</v>
      </c>
    </row>
    <row r="17" spans="1:19">
      <c r="A17" t="s">
        <v>31</v>
      </c>
      <c r="B17" t="s">
        <v>502</v>
      </c>
      <c r="C17">
        <f>"RCM059"</f>
        <v>0</v>
      </c>
      <c r="D17">
        <v>11</v>
      </c>
      <c r="E17">
        <v>0</v>
      </c>
      <c r="F17">
        <v>4</v>
      </c>
      <c r="G17">
        <v>1</v>
      </c>
      <c r="H17">
        <v>16</v>
      </c>
      <c r="I17">
        <v>2.5</v>
      </c>
      <c r="J17">
        <v>0</v>
      </c>
      <c r="K17">
        <v>0</v>
      </c>
      <c r="L17" s="2">
        <v>0</v>
      </c>
      <c r="M17">
        <v>3</v>
      </c>
      <c r="N17" s="2">
        <v>0</v>
      </c>
      <c r="O17">
        <v>4.5</v>
      </c>
      <c r="P17" t="s">
        <v>10445</v>
      </c>
      <c r="Q17">
        <v>2.773</v>
      </c>
      <c r="R17" t="s">
        <v>10464</v>
      </c>
      <c r="S17">
        <v>0</v>
      </c>
    </row>
    <row r="18" spans="1:19">
      <c r="A18" t="s">
        <v>31</v>
      </c>
      <c r="B18" t="s">
        <v>330</v>
      </c>
      <c r="C18">
        <f>"1005845"</f>
        <v>0</v>
      </c>
      <c r="D18">
        <v>0</v>
      </c>
      <c r="E18">
        <v>0</v>
      </c>
      <c r="F18">
        <v>2</v>
      </c>
      <c r="G18">
        <v>1</v>
      </c>
      <c r="H18">
        <v>3</v>
      </c>
      <c r="I18">
        <v>0.5</v>
      </c>
      <c r="J18">
        <v>0</v>
      </c>
      <c r="K18">
        <v>0</v>
      </c>
      <c r="L18" s="2">
        <v>0</v>
      </c>
      <c r="M18">
        <v>1</v>
      </c>
      <c r="N18" s="2">
        <v>0</v>
      </c>
      <c r="O18">
        <v>2.5</v>
      </c>
      <c r="P18" t="s">
        <v>10446</v>
      </c>
      <c r="Q18">
        <v>326</v>
      </c>
      <c r="R18" t="s">
        <v>10465</v>
      </c>
      <c r="S18">
        <v>0</v>
      </c>
    </row>
    <row r="19" spans="1:19">
      <c r="A19" t="s">
        <v>31</v>
      </c>
      <c r="B19" t="s">
        <v>699</v>
      </c>
      <c r="C19">
        <f>"1020301"</f>
        <v>0</v>
      </c>
      <c r="D19">
        <v>4</v>
      </c>
      <c r="E19">
        <v>0</v>
      </c>
      <c r="F19">
        <v>2</v>
      </c>
      <c r="G19">
        <v>0</v>
      </c>
      <c r="H19">
        <v>6</v>
      </c>
      <c r="I19">
        <v>1</v>
      </c>
      <c r="J19">
        <v>0</v>
      </c>
      <c r="K19">
        <v>0</v>
      </c>
      <c r="L19" s="2">
        <v>0</v>
      </c>
      <c r="M19">
        <v>1</v>
      </c>
      <c r="N19" s="2">
        <v>0</v>
      </c>
      <c r="O19">
        <v>1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31</v>
      </c>
      <c r="B20" t="s">
        <v>9649</v>
      </c>
      <c r="C20">
        <f>"RCM049"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31</v>
      </c>
      <c r="B21" t="s">
        <v>3663</v>
      </c>
      <c r="C21">
        <f>"RCM055"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31</v>
      </c>
      <c r="B22" t="s">
        <v>1286</v>
      </c>
      <c r="C22">
        <f>"1019646"</f>
        <v>0</v>
      </c>
      <c r="D22">
        <v>0</v>
      </c>
      <c r="E22">
        <v>1</v>
      </c>
      <c r="F22">
        <v>0</v>
      </c>
      <c r="G22">
        <v>0</v>
      </c>
      <c r="H22">
        <v>1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31</v>
      </c>
      <c r="B23" t="s">
        <v>3484</v>
      </c>
      <c r="C23">
        <f>"1020295"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31</v>
      </c>
      <c r="B24" t="s">
        <v>343</v>
      </c>
      <c r="C24">
        <f>"5001419"</f>
        <v>0</v>
      </c>
      <c r="D24">
        <v>1</v>
      </c>
      <c r="E24">
        <v>4</v>
      </c>
      <c r="F24">
        <v>3</v>
      </c>
      <c r="G24">
        <v>1</v>
      </c>
      <c r="H24">
        <v>9</v>
      </c>
      <c r="I24">
        <v>2</v>
      </c>
      <c r="J24">
        <v>5</v>
      </c>
      <c r="K24">
        <v>26.625</v>
      </c>
      <c r="L24" s="2">
        <v>5</v>
      </c>
      <c r="M24">
        <v>0</v>
      </c>
      <c r="N24" s="2">
        <v>0</v>
      </c>
      <c r="O24">
        <v>-2</v>
      </c>
      <c r="P24" t="s">
        <v>10447</v>
      </c>
      <c r="Q24">
        <v>549</v>
      </c>
      <c r="R24" t="s">
        <v>10466</v>
      </c>
      <c r="S24">
        <v>0</v>
      </c>
    </row>
    <row r="25" spans="1:19">
      <c r="A25" t="s">
        <v>31</v>
      </c>
      <c r="B25" t="s">
        <v>1721</v>
      </c>
      <c r="C25">
        <f>"RCM058"</f>
        <v>0</v>
      </c>
      <c r="D25">
        <v>4</v>
      </c>
      <c r="E25">
        <v>3</v>
      </c>
      <c r="F25">
        <v>5</v>
      </c>
      <c r="G25">
        <v>2</v>
      </c>
      <c r="H25">
        <v>14</v>
      </c>
      <c r="I25">
        <v>3.5</v>
      </c>
      <c r="J25">
        <v>8</v>
      </c>
      <c r="K25">
        <v>167.456</v>
      </c>
      <c r="L25" s="2">
        <v>21</v>
      </c>
      <c r="M25">
        <v>0</v>
      </c>
      <c r="N25" s="2">
        <v>0</v>
      </c>
      <c r="O25">
        <v>-2.1</v>
      </c>
      <c r="P25" t="s">
        <v>10448</v>
      </c>
      <c r="Q25">
        <v>8.388</v>
      </c>
      <c r="R25" t="s">
        <v>10467</v>
      </c>
      <c r="S25">
        <v>0</v>
      </c>
    </row>
    <row r="26" spans="1:19">
      <c r="A26" t="s">
        <v>31</v>
      </c>
      <c r="B26" t="s">
        <v>1770</v>
      </c>
      <c r="C26">
        <f>"1019648"</f>
        <v>0</v>
      </c>
      <c r="D26">
        <v>3</v>
      </c>
      <c r="E26">
        <v>0</v>
      </c>
      <c r="F26">
        <v>7</v>
      </c>
      <c r="G26">
        <v>1</v>
      </c>
      <c r="H26">
        <v>11</v>
      </c>
      <c r="I26">
        <v>2</v>
      </c>
      <c r="J26">
        <v>7</v>
      </c>
      <c r="K26">
        <v>36.344</v>
      </c>
      <c r="L26" s="2">
        <v>5</v>
      </c>
      <c r="M26">
        <v>0</v>
      </c>
      <c r="N26" s="2">
        <v>0</v>
      </c>
      <c r="O26">
        <v>-4.4</v>
      </c>
      <c r="P26" t="s">
        <v>10449</v>
      </c>
      <c r="Q26">
        <v>2.363</v>
      </c>
      <c r="R26" t="s">
        <v>10468</v>
      </c>
      <c r="S26">
        <v>0</v>
      </c>
    </row>
    <row r="27" spans="1:19">
      <c r="A27" t="s">
        <v>31</v>
      </c>
      <c r="B27" t="s">
        <v>1713</v>
      </c>
      <c r="C27">
        <f>"RCM053"</f>
        <v>0</v>
      </c>
      <c r="D27">
        <v>0</v>
      </c>
      <c r="E27">
        <v>10</v>
      </c>
      <c r="F27">
        <v>7</v>
      </c>
      <c r="G27">
        <v>0</v>
      </c>
      <c r="H27">
        <v>17</v>
      </c>
      <c r="I27">
        <v>3.5</v>
      </c>
      <c r="J27">
        <v>7</v>
      </c>
      <c r="K27">
        <v>52.788</v>
      </c>
      <c r="L27" s="2">
        <v>8</v>
      </c>
      <c r="M27">
        <v>0</v>
      </c>
      <c r="N27" s="2">
        <v>0</v>
      </c>
      <c r="O27">
        <v>-4.9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31</v>
      </c>
      <c r="B28" t="s">
        <v>1858</v>
      </c>
      <c r="C28">
        <f>"RCM057"</f>
        <v>0</v>
      </c>
      <c r="D28">
        <v>4</v>
      </c>
      <c r="E28">
        <v>1</v>
      </c>
      <c r="F28">
        <v>2</v>
      </c>
      <c r="G28">
        <v>0</v>
      </c>
      <c r="H28">
        <v>7</v>
      </c>
      <c r="I28">
        <v>1.5</v>
      </c>
      <c r="J28">
        <v>6</v>
      </c>
      <c r="K28">
        <v>112.332</v>
      </c>
      <c r="L28" s="2">
        <v>19</v>
      </c>
      <c r="M28">
        <v>0</v>
      </c>
      <c r="N28" s="2">
        <v>0</v>
      </c>
      <c r="O28">
        <v>-5.699999999999999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31</v>
      </c>
      <c r="B29" t="s">
        <v>3483</v>
      </c>
      <c r="C29">
        <f>"FPP4060"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</v>
      </c>
      <c r="K29">
        <v>45.66</v>
      </c>
      <c r="L29" s="2">
        <v>9</v>
      </c>
      <c r="M29">
        <v>0</v>
      </c>
      <c r="N29" s="2">
        <v>0</v>
      </c>
      <c r="O29">
        <v>-6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31</v>
      </c>
      <c r="B30" t="s">
        <v>1747</v>
      </c>
      <c r="C30">
        <f>"1019647"</f>
        <v>0</v>
      </c>
      <c r="D30">
        <v>6</v>
      </c>
      <c r="E30">
        <v>6</v>
      </c>
      <c r="F30">
        <v>1</v>
      </c>
      <c r="G30">
        <v>0</v>
      </c>
      <c r="H30">
        <v>13</v>
      </c>
      <c r="I30">
        <v>3.5</v>
      </c>
      <c r="J30">
        <v>8</v>
      </c>
      <c r="K30">
        <v>33.32</v>
      </c>
      <c r="L30" s="2">
        <v>4</v>
      </c>
      <c r="M30">
        <v>0</v>
      </c>
      <c r="N30" s="2">
        <v>0</v>
      </c>
      <c r="O30">
        <v>-6.1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31</v>
      </c>
      <c r="B31" t="s">
        <v>1757</v>
      </c>
      <c r="C31">
        <f>"RCM026"</f>
        <v>0</v>
      </c>
      <c r="D31">
        <v>0</v>
      </c>
      <c r="E31">
        <v>8</v>
      </c>
      <c r="F31">
        <v>1</v>
      </c>
      <c r="G31">
        <v>2</v>
      </c>
      <c r="H31">
        <v>11</v>
      </c>
      <c r="I31">
        <v>1.5</v>
      </c>
      <c r="J31">
        <v>13</v>
      </c>
      <c r="K31">
        <v>108.94</v>
      </c>
      <c r="L31" s="2">
        <v>8</v>
      </c>
      <c r="M31">
        <v>0</v>
      </c>
      <c r="N31" s="2">
        <v>0</v>
      </c>
      <c r="O31">
        <v>-7.1</v>
      </c>
      <c r="P31" t="s">
        <v>10450</v>
      </c>
      <c r="Q31">
        <v>4.578</v>
      </c>
      <c r="R31" t="s">
        <v>10469</v>
      </c>
      <c r="S31">
        <v>1</v>
      </c>
    </row>
    <row r="32" spans="1:19">
      <c r="A32" t="s">
        <v>31</v>
      </c>
      <c r="B32" t="s">
        <v>1832</v>
      </c>
      <c r="C32">
        <f>"1020892"</f>
        <v>0</v>
      </c>
      <c r="D32">
        <v>0</v>
      </c>
      <c r="E32">
        <v>7</v>
      </c>
      <c r="F32">
        <v>1</v>
      </c>
      <c r="G32">
        <v>0</v>
      </c>
      <c r="H32">
        <v>8</v>
      </c>
      <c r="I32">
        <v>0.5</v>
      </c>
      <c r="J32">
        <v>11</v>
      </c>
      <c r="K32">
        <v>96.712</v>
      </c>
      <c r="L32" s="2">
        <v>9</v>
      </c>
      <c r="M32">
        <v>0</v>
      </c>
      <c r="N32" s="2">
        <v>0</v>
      </c>
      <c r="O32">
        <v>-12.7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31</v>
      </c>
      <c r="B33" t="s">
        <v>2591</v>
      </c>
      <c r="C33">
        <f>"RCM025"</f>
        <v>0</v>
      </c>
      <c r="D33">
        <v>1</v>
      </c>
      <c r="E33">
        <v>0</v>
      </c>
      <c r="F33">
        <v>0</v>
      </c>
      <c r="G33">
        <v>0</v>
      </c>
      <c r="H33">
        <v>1</v>
      </c>
      <c r="I33">
        <v>0</v>
      </c>
      <c r="J33">
        <v>15</v>
      </c>
      <c r="K33">
        <v>107.67</v>
      </c>
      <c r="L33" s="2">
        <v>7</v>
      </c>
      <c r="M33">
        <v>0</v>
      </c>
      <c r="N33" s="2">
        <v>0</v>
      </c>
      <c r="O33">
        <v>-18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31</v>
      </c>
      <c r="B34" t="s">
        <v>1683</v>
      </c>
      <c r="C34">
        <f>"1020893"</f>
        <v>0</v>
      </c>
      <c r="D34">
        <v>8</v>
      </c>
      <c r="E34">
        <v>11</v>
      </c>
      <c r="F34">
        <v>1</v>
      </c>
      <c r="G34">
        <v>0</v>
      </c>
      <c r="H34">
        <v>20</v>
      </c>
      <c r="I34">
        <v>4.5</v>
      </c>
      <c r="J34">
        <v>22</v>
      </c>
      <c r="K34">
        <v>313.744</v>
      </c>
      <c r="L34" s="2">
        <v>14</v>
      </c>
      <c r="M34">
        <v>0</v>
      </c>
      <c r="N34" s="2">
        <v>0</v>
      </c>
      <c r="O34">
        <v>-21.9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31</v>
      </c>
      <c r="B35" t="s">
        <v>2123</v>
      </c>
      <c r="C35">
        <f>"18900"</f>
        <v>0</v>
      </c>
      <c r="D35">
        <v>1</v>
      </c>
      <c r="E35">
        <v>1</v>
      </c>
      <c r="F35">
        <v>1</v>
      </c>
      <c r="G35">
        <v>0</v>
      </c>
      <c r="H35">
        <v>3</v>
      </c>
      <c r="I35">
        <v>1</v>
      </c>
      <c r="J35">
        <v>21</v>
      </c>
      <c r="K35">
        <v>199.066</v>
      </c>
      <c r="L35" s="2">
        <v>9</v>
      </c>
      <c r="M35">
        <v>0</v>
      </c>
      <c r="N35" s="2">
        <v>0</v>
      </c>
      <c r="O35">
        <v>-24.2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31</v>
      </c>
      <c r="B36" t="s">
        <v>372</v>
      </c>
      <c r="C36">
        <f>"5008555"</f>
        <v>0</v>
      </c>
      <c r="D36">
        <v>10</v>
      </c>
      <c r="E36">
        <v>45</v>
      </c>
      <c r="F36">
        <v>34</v>
      </c>
      <c r="G36">
        <v>36</v>
      </c>
      <c r="H36">
        <v>125</v>
      </c>
      <c r="I36">
        <v>35</v>
      </c>
      <c r="J36">
        <v>116</v>
      </c>
      <c r="K36">
        <v>788.417</v>
      </c>
      <c r="L36" s="2">
        <v>7</v>
      </c>
      <c r="M36">
        <v>0</v>
      </c>
      <c r="N36" s="2">
        <v>0</v>
      </c>
      <c r="O36">
        <v>-29.19999999999999</v>
      </c>
      <c r="P36" t="s">
        <v>10451</v>
      </c>
      <c r="Q36">
        <v>11.059</v>
      </c>
      <c r="R36" t="s">
        <v>10470</v>
      </c>
      <c r="S36">
        <v>1</v>
      </c>
    </row>
  </sheetData>
  <autoFilter ref="A2:S36"/>
  <hyperlinks>
    <hyperlink ref="A1" location="'ÍNDICE'!A1" display="⬅ Volver al índice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S7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209</v>
      </c>
      <c r="B3" t="s">
        <v>911</v>
      </c>
      <c r="C3">
        <f>"4GA020033"</f>
        <v>0</v>
      </c>
      <c r="D3">
        <v>0</v>
      </c>
      <c r="E3">
        <v>1</v>
      </c>
      <c r="F3">
        <v>2</v>
      </c>
      <c r="G3">
        <v>0</v>
      </c>
      <c r="H3">
        <v>3</v>
      </c>
      <c r="I3">
        <v>0.5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0.5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209</v>
      </c>
      <c r="B4" t="s">
        <v>1070</v>
      </c>
      <c r="C4">
        <f>"4PE020011"</f>
        <v>0</v>
      </c>
      <c r="D4">
        <v>1</v>
      </c>
      <c r="E4">
        <v>1</v>
      </c>
      <c r="F4">
        <v>0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209</v>
      </c>
      <c r="B5" t="s">
        <v>5779</v>
      </c>
      <c r="C5">
        <f>"5GA80006"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209</v>
      </c>
      <c r="B6" t="s">
        <v>3083</v>
      </c>
      <c r="C6">
        <f>"5GA80004"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209</v>
      </c>
      <c r="B7" t="s">
        <v>3082</v>
      </c>
      <c r="C7">
        <f>"5GA80002"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209</v>
      </c>
      <c r="B8" t="s">
        <v>5778</v>
      </c>
      <c r="C8">
        <f>"5GA80003"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209</v>
      </c>
      <c r="B9" t="s">
        <v>5777</v>
      </c>
      <c r="C9">
        <f>"5GA80005"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209</v>
      </c>
      <c r="B10" t="s">
        <v>3080</v>
      </c>
      <c r="C10">
        <f>"5GA80001"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209</v>
      </c>
      <c r="B11" t="s">
        <v>3081</v>
      </c>
      <c r="C11">
        <f>"5GA80007"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209</v>
      </c>
      <c r="B12" t="s">
        <v>8447</v>
      </c>
      <c r="C12">
        <f>"4GA070002"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209</v>
      </c>
      <c r="B13" t="s">
        <v>8448</v>
      </c>
      <c r="C13">
        <f>"4GA020029"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209</v>
      </c>
      <c r="B14" t="s">
        <v>1309</v>
      </c>
      <c r="C14">
        <f>"4PE120007"</f>
        <v>0</v>
      </c>
      <c r="D14">
        <v>1</v>
      </c>
      <c r="E14">
        <v>0</v>
      </c>
      <c r="F14">
        <v>0</v>
      </c>
      <c r="G14">
        <v>0</v>
      </c>
      <c r="H14">
        <v>1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209</v>
      </c>
      <c r="B15" t="s">
        <v>8380</v>
      </c>
      <c r="C15">
        <f>"4PE040065"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209</v>
      </c>
      <c r="B16" t="s">
        <v>8479</v>
      </c>
      <c r="C16">
        <f>"4GA070003"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209</v>
      </c>
      <c r="B17" t="s">
        <v>8480</v>
      </c>
      <c r="C17">
        <f>"4GA020030"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209</v>
      </c>
      <c r="B18" t="s">
        <v>8309</v>
      </c>
      <c r="C18">
        <f>"4PE020007"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209</v>
      </c>
      <c r="B19" t="s">
        <v>8376</v>
      </c>
      <c r="C19">
        <f>"4GA020031"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209</v>
      </c>
      <c r="B20" t="s">
        <v>8440</v>
      </c>
      <c r="C20">
        <f>"4PE020005"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209</v>
      </c>
      <c r="B21" t="s">
        <v>8341</v>
      </c>
      <c r="C21">
        <f>"4GA020034"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209</v>
      </c>
      <c r="B22" t="s">
        <v>8486</v>
      </c>
      <c r="C22">
        <f>"5GA70005"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209</v>
      </c>
      <c r="B23" t="s">
        <v>8487</v>
      </c>
      <c r="C23">
        <f>"4PE040067"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209</v>
      </c>
      <c r="B24" t="s">
        <v>8310</v>
      </c>
      <c r="C24">
        <f>"4PE070003"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209</v>
      </c>
      <c r="B25" t="s">
        <v>8379</v>
      </c>
      <c r="C25">
        <f>"5GA70001"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209</v>
      </c>
      <c r="B26" t="s">
        <v>8382</v>
      </c>
      <c r="C26">
        <f>"4PE040071"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209</v>
      </c>
      <c r="B27" t="s">
        <v>1305</v>
      </c>
      <c r="C27">
        <f>"4PE020013"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209</v>
      </c>
      <c r="B28" t="s">
        <v>8397</v>
      </c>
      <c r="C28">
        <f>"4GA020037"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209</v>
      </c>
      <c r="B29" t="s">
        <v>8396</v>
      </c>
      <c r="C29">
        <f>"4GA070008"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209</v>
      </c>
      <c r="B30" t="s">
        <v>8740</v>
      </c>
      <c r="C30">
        <f>"4PE120006"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209</v>
      </c>
      <c r="B31" t="s">
        <v>8340</v>
      </c>
      <c r="C31">
        <f>"4GA070006"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209</v>
      </c>
      <c r="B32" t="s">
        <v>1306</v>
      </c>
      <c r="C32">
        <f>"4GA020035"</f>
        <v>0</v>
      </c>
      <c r="D32">
        <v>0</v>
      </c>
      <c r="E32">
        <v>0</v>
      </c>
      <c r="F32">
        <v>1</v>
      </c>
      <c r="G32">
        <v>0</v>
      </c>
      <c r="H32">
        <v>1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209</v>
      </c>
      <c r="B33" t="s">
        <v>8339</v>
      </c>
      <c r="C33">
        <f>"4GA070007"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209</v>
      </c>
      <c r="B34" t="s">
        <v>1240</v>
      </c>
      <c r="C34">
        <f>"4PE020004"</f>
        <v>0</v>
      </c>
      <c r="D34">
        <v>1</v>
      </c>
      <c r="E34">
        <v>0</v>
      </c>
      <c r="F34">
        <v>0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209</v>
      </c>
      <c r="B35" t="s">
        <v>8485</v>
      </c>
      <c r="C35">
        <f>"4PE040064"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209</v>
      </c>
      <c r="B36" t="s">
        <v>8484</v>
      </c>
      <c r="C36">
        <f>"4PE070002"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209</v>
      </c>
      <c r="B37" t="s">
        <v>8481</v>
      </c>
      <c r="C37">
        <f>"4PE070001"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209</v>
      </c>
      <c r="B38" t="s">
        <v>8483</v>
      </c>
      <c r="C38">
        <f>"4PE120005"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209</v>
      </c>
      <c r="B39" t="s">
        <v>1239</v>
      </c>
      <c r="C39">
        <f>"4PE020003"</f>
        <v>0</v>
      </c>
      <c r="D39">
        <v>1</v>
      </c>
      <c r="E39">
        <v>0</v>
      </c>
      <c r="F39">
        <v>0</v>
      </c>
      <c r="G39">
        <v>0</v>
      </c>
      <c r="H39">
        <v>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209</v>
      </c>
      <c r="B40" t="s">
        <v>8413</v>
      </c>
      <c r="C40">
        <f>"4PE120009"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209</v>
      </c>
      <c r="B41" t="s">
        <v>8308</v>
      </c>
      <c r="C41">
        <f>"4PE070005"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209</v>
      </c>
      <c r="B42" t="s">
        <v>8344</v>
      </c>
      <c r="C42">
        <f>"4PE070004"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209</v>
      </c>
      <c r="B43" t="s">
        <v>8343</v>
      </c>
      <c r="C43">
        <f>"4PE020012"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209</v>
      </c>
      <c r="B44" t="s">
        <v>1307</v>
      </c>
      <c r="C44">
        <f>"4PE070007"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209</v>
      </c>
      <c r="B45" t="s">
        <v>8342</v>
      </c>
      <c r="C45">
        <f>"4PE120016"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209</v>
      </c>
      <c r="B46" t="s">
        <v>1321</v>
      </c>
      <c r="C46">
        <f>"4PE040070"</f>
        <v>0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209</v>
      </c>
      <c r="B47" t="s">
        <v>8736</v>
      </c>
      <c r="C47">
        <f>"4PE120015"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209</v>
      </c>
      <c r="B48" t="s">
        <v>8735</v>
      </c>
      <c r="C48">
        <f>"4PE040068"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209</v>
      </c>
      <c r="B49" t="s">
        <v>8482</v>
      </c>
      <c r="C49">
        <f>"4PE040063"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209</v>
      </c>
      <c r="B50" t="s">
        <v>8734</v>
      </c>
      <c r="C50">
        <f>"4PE070006"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209</v>
      </c>
      <c r="B51" t="s">
        <v>664</v>
      </c>
      <c r="C51">
        <f>"5GA70006"</f>
        <v>0</v>
      </c>
      <c r="D51">
        <v>7</v>
      </c>
      <c r="E51">
        <v>0</v>
      </c>
      <c r="F51">
        <v>0</v>
      </c>
      <c r="G51">
        <v>0</v>
      </c>
      <c r="H51">
        <v>7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209</v>
      </c>
      <c r="B52" t="s">
        <v>8716</v>
      </c>
      <c r="C52">
        <f>"4GA070004"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209</v>
      </c>
      <c r="B53" t="s">
        <v>8733</v>
      </c>
      <c r="C53">
        <f>"4GA020032"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209</v>
      </c>
      <c r="B54" t="s">
        <v>8669</v>
      </c>
      <c r="C54">
        <f>"4GA070005"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209</v>
      </c>
      <c r="B55" t="s">
        <v>8375</v>
      </c>
      <c r="C55">
        <f>"4PE120008"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209</v>
      </c>
      <c r="B56" t="s">
        <v>8374</v>
      </c>
      <c r="C56">
        <f>"4PE040066"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209</v>
      </c>
      <c r="B57" t="s">
        <v>8373</v>
      </c>
      <c r="C57">
        <f>"4PE020006"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209</v>
      </c>
      <c r="B58" t="s">
        <v>1164</v>
      </c>
      <c r="C58">
        <f>"C2241"</f>
        <v>0</v>
      </c>
      <c r="D58">
        <v>1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209</v>
      </c>
      <c r="B59" t="s">
        <v>7284</v>
      </c>
      <c r="C59">
        <f>"C2623"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209</v>
      </c>
      <c r="B60" t="s">
        <v>3538</v>
      </c>
      <c r="C60">
        <f>"C2272"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209</v>
      </c>
      <c r="B61" t="s">
        <v>3645</v>
      </c>
      <c r="C61">
        <f>"C2234"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209</v>
      </c>
      <c r="B62" t="s">
        <v>3745</v>
      </c>
      <c r="C62">
        <f>"C2265"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209</v>
      </c>
      <c r="B63" t="s">
        <v>1043</v>
      </c>
      <c r="C63">
        <f>"5PE80002"</f>
        <v>0</v>
      </c>
      <c r="D63">
        <v>0</v>
      </c>
      <c r="E63">
        <v>2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209</v>
      </c>
      <c r="B64" t="s">
        <v>8608</v>
      </c>
      <c r="C64">
        <f>"5GA70003"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209</v>
      </c>
      <c r="B65" t="s">
        <v>8592</v>
      </c>
      <c r="C65">
        <f>"5GA70004"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209</v>
      </c>
      <c r="B66" t="s">
        <v>1169</v>
      </c>
      <c r="C66">
        <f>"C2227"</f>
        <v>0</v>
      </c>
      <c r="D66">
        <v>0</v>
      </c>
      <c r="E66">
        <v>1</v>
      </c>
      <c r="F66">
        <v>0</v>
      </c>
      <c r="G66">
        <v>0</v>
      </c>
      <c r="H66">
        <v>1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209</v>
      </c>
      <c r="B67" t="s">
        <v>3746</v>
      </c>
      <c r="C67">
        <f>"C2258"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209</v>
      </c>
      <c r="B68" t="s">
        <v>8594</v>
      </c>
      <c r="C68">
        <f>"5PE29002"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1.861</v>
      </c>
      <c r="L68" s="2">
        <v>2</v>
      </c>
      <c r="M68">
        <v>0</v>
      </c>
      <c r="N68" s="2">
        <v>0</v>
      </c>
      <c r="O68">
        <v>-1.2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209</v>
      </c>
      <c r="B69" t="s">
        <v>8378</v>
      </c>
      <c r="C69">
        <f>"5GA70002"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2.813</v>
      </c>
      <c r="L69" s="2">
        <v>1</v>
      </c>
      <c r="M69">
        <v>0</v>
      </c>
      <c r="N69" s="2">
        <v>0</v>
      </c>
      <c r="O69">
        <v>-2.4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209</v>
      </c>
      <c r="B70" t="s">
        <v>8377</v>
      </c>
      <c r="C70">
        <f>"5PE80001"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</v>
      </c>
      <c r="K70">
        <v>6.02</v>
      </c>
      <c r="L70" s="2">
        <v>1</v>
      </c>
      <c r="M70">
        <v>0</v>
      </c>
      <c r="N70" s="2">
        <v>0</v>
      </c>
      <c r="O70">
        <v>-6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209</v>
      </c>
      <c r="B71" t="s">
        <v>2832</v>
      </c>
      <c r="C71">
        <f>"1026LAA"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</v>
      </c>
      <c r="K71">
        <v>10.548</v>
      </c>
      <c r="L71" s="2">
        <v>1</v>
      </c>
      <c r="M71">
        <v>0</v>
      </c>
      <c r="N71" s="2">
        <v>0</v>
      </c>
      <c r="O71">
        <v>-9.6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209</v>
      </c>
      <c r="B72" t="s">
        <v>2180</v>
      </c>
      <c r="C72">
        <f>"5PE29001"</f>
        <v>0</v>
      </c>
      <c r="D72">
        <v>0</v>
      </c>
      <c r="E72">
        <v>2</v>
      </c>
      <c r="F72">
        <v>0</v>
      </c>
      <c r="G72">
        <v>0</v>
      </c>
      <c r="H72">
        <v>2</v>
      </c>
      <c r="I72">
        <v>0</v>
      </c>
      <c r="J72">
        <v>9</v>
      </c>
      <c r="K72">
        <v>16.747</v>
      </c>
      <c r="L72" s="2">
        <v>2</v>
      </c>
      <c r="M72">
        <v>0</v>
      </c>
      <c r="N72" s="2">
        <v>0</v>
      </c>
      <c r="O72">
        <v>-10.8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209</v>
      </c>
      <c r="B73" t="s">
        <v>3450</v>
      </c>
      <c r="C73">
        <f>"1008LLA"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24</v>
      </c>
      <c r="K73">
        <v>31.644</v>
      </c>
      <c r="L73" s="2">
        <v>1</v>
      </c>
      <c r="M73">
        <v>0</v>
      </c>
      <c r="N73" s="2">
        <v>0</v>
      </c>
      <c r="O73">
        <v>-28.8</v>
      </c>
      <c r="P73" t="s">
        <v>100</v>
      </c>
      <c r="Q73">
        <v>0</v>
      </c>
      <c r="R73" t="s">
        <v>145</v>
      </c>
      <c r="S73">
        <v>0</v>
      </c>
    </row>
  </sheetData>
  <autoFilter ref="A2:S73"/>
  <hyperlinks>
    <hyperlink ref="A1" location="'ÍNDICE'!A1" display="⬅ Volver al índice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S19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30</v>
      </c>
      <c r="B3" t="s">
        <v>54</v>
      </c>
      <c r="C3">
        <f>"100146"</f>
        <v>0</v>
      </c>
      <c r="D3">
        <v>44</v>
      </c>
      <c r="E3">
        <v>14</v>
      </c>
      <c r="F3">
        <v>49</v>
      </c>
      <c r="G3">
        <v>21</v>
      </c>
      <c r="H3">
        <v>128</v>
      </c>
      <c r="I3">
        <v>32.5</v>
      </c>
      <c r="J3">
        <v>2</v>
      </c>
      <c r="K3">
        <v>91.294</v>
      </c>
      <c r="L3" s="2">
        <v>46</v>
      </c>
      <c r="M3">
        <v>41</v>
      </c>
      <c r="N3" s="2">
        <v>1886</v>
      </c>
      <c r="O3">
        <v>72.09999999999999</v>
      </c>
      <c r="P3" t="s">
        <v>104</v>
      </c>
      <c r="Q3">
        <v>188.288</v>
      </c>
      <c r="R3" t="s">
        <v>149</v>
      </c>
      <c r="S3">
        <v>0</v>
      </c>
    </row>
    <row r="4" spans="1:19">
      <c r="A4" t="s">
        <v>30</v>
      </c>
      <c r="B4" t="s">
        <v>62</v>
      </c>
      <c r="C4">
        <f>"100588"</f>
        <v>0</v>
      </c>
      <c r="D4">
        <v>20</v>
      </c>
      <c r="E4">
        <v>7</v>
      </c>
      <c r="F4">
        <v>20</v>
      </c>
      <c r="G4">
        <v>21</v>
      </c>
      <c r="H4">
        <v>68</v>
      </c>
      <c r="I4">
        <v>20</v>
      </c>
      <c r="J4">
        <v>10</v>
      </c>
      <c r="K4">
        <v>28.412</v>
      </c>
      <c r="L4" s="2">
        <v>3</v>
      </c>
      <c r="M4">
        <v>20</v>
      </c>
      <c r="N4" s="2">
        <v>60</v>
      </c>
      <c r="O4">
        <v>53</v>
      </c>
      <c r="P4" t="s">
        <v>111</v>
      </c>
      <c r="Q4">
        <v>7.722</v>
      </c>
      <c r="R4" t="s">
        <v>156</v>
      </c>
      <c r="S4">
        <v>1</v>
      </c>
    </row>
    <row r="5" spans="1:19">
      <c r="A5" t="s">
        <v>30</v>
      </c>
      <c r="B5" t="s">
        <v>64</v>
      </c>
      <c r="C5">
        <f>"100587"</f>
        <v>0</v>
      </c>
      <c r="D5">
        <v>10</v>
      </c>
      <c r="E5">
        <v>0</v>
      </c>
      <c r="F5">
        <v>30</v>
      </c>
      <c r="G5">
        <v>18</v>
      </c>
      <c r="H5">
        <v>58</v>
      </c>
      <c r="I5">
        <v>14</v>
      </c>
      <c r="J5">
        <v>2</v>
      </c>
      <c r="K5">
        <v>5.682</v>
      </c>
      <c r="L5" s="2">
        <v>3</v>
      </c>
      <c r="M5">
        <v>21</v>
      </c>
      <c r="N5" s="2">
        <v>63</v>
      </c>
      <c r="O5">
        <v>47.6</v>
      </c>
      <c r="P5" t="s">
        <v>112</v>
      </c>
      <c r="Q5">
        <v>-1.378</v>
      </c>
      <c r="R5" t="s">
        <v>157</v>
      </c>
      <c r="S5">
        <v>0</v>
      </c>
    </row>
    <row r="6" spans="1:19">
      <c r="A6" t="s">
        <v>30</v>
      </c>
      <c r="B6" t="s">
        <v>67</v>
      </c>
      <c r="C6">
        <f>"100129"</f>
        <v>0</v>
      </c>
      <c r="D6">
        <v>10</v>
      </c>
      <c r="E6">
        <v>6</v>
      </c>
      <c r="F6">
        <v>18</v>
      </c>
      <c r="G6">
        <v>15</v>
      </c>
      <c r="H6">
        <v>49</v>
      </c>
      <c r="I6">
        <v>12.5</v>
      </c>
      <c r="J6">
        <v>0</v>
      </c>
      <c r="K6">
        <v>0</v>
      </c>
      <c r="L6" s="2">
        <v>0</v>
      </c>
      <c r="M6">
        <v>20</v>
      </c>
      <c r="N6" s="2">
        <v>0</v>
      </c>
      <c r="O6">
        <v>42.5</v>
      </c>
      <c r="P6" t="s">
        <v>115</v>
      </c>
      <c r="Q6">
        <v>74.89400000000001</v>
      </c>
      <c r="R6" t="s">
        <v>160</v>
      </c>
      <c r="S6">
        <v>0</v>
      </c>
    </row>
    <row r="7" spans="1:19">
      <c r="A7" t="s">
        <v>30</v>
      </c>
      <c r="B7" t="s">
        <v>68</v>
      </c>
      <c r="C7">
        <f>"101224"</f>
        <v>0</v>
      </c>
      <c r="D7">
        <v>19</v>
      </c>
      <c r="E7">
        <v>11</v>
      </c>
      <c r="F7">
        <v>48</v>
      </c>
      <c r="G7">
        <v>12</v>
      </c>
      <c r="H7">
        <v>90</v>
      </c>
      <c r="I7">
        <v>15.5</v>
      </c>
      <c r="J7">
        <v>0</v>
      </c>
      <c r="K7">
        <v>0</v>
      </c>
      <c r="L7" s="2">
        <v>0</v>
      </c>
      <c r="M7">
        <v>22</v>
      </c>
      <c r="N7" s="2">
        <v>0</v>
      </c>
      <c r="O7">
        <v>39.5</v>
      </c>
      <c r="P7" t="s">
        <v>116</v>
      </c>
      <c r="Q7">
        <v>109.253</v>
      </c>
      <c r="R7" t="s">
        <v>161</v>
      </c>
      <c r="S7">
        <v>0</v>
      </c>
    </row>
    <row r="8" spans="1:19">
      <c r="A8" t="s">
        <v>30</v>
      </c>
      <c r="B8" t="s">
        <v>77</v>
      </c>
      <c r="C8">
        <f>"101339"</f>
        <v>0</v>
      </c>
      <c r="D8">
        <v>3</v>
      </c>
      <c r="E8">
        <v>17</v>
      </c>
      <c r="F8">
        <v>14</v>
      </c>
      <c r="G8">
        <v>10</v>
      </c>
      <c r="H8">
        <v>44</v>
      </c>
      <c r="I8">
        <v>12</v>
      </c>
      <c r="J8">
        <v>0</v>
      </c>
      <c r="K8">
        <v>0</v>
      </c>
      <c r="L8" s="2">
        <v>0</v>
      </c>
      <c r="M8">
        <v>17</v>
      </c>
      <c r="N8" s="2">
        <v>0</v>
      </c>
      <c r="O8">
        <v>32</v>
      </c>
      <c r="P8" t="s">
        <v>124</v>
      </c>
      <c r="Q8">
        <v>112.8</v>
      </c>
      <c r="R8" t="s">
        <v>169</v>
      </c>
      <c r="S8">
        <v>0</v>
      </c>
    </row>
    <row r="9" spans="1:19">
      <c r="A9" t="s">
        <v>30</v>
      </c>
      <c r="B9" t="s">
        <v>79</v>
      </c>
      <c r="C9">
        <f>"100571"</f>
        <v>0</v>
      </c>
      <c r="D9">
        <v>0</v>
      </c>
      <c r="E9">
        <v>4</v>
      </c>
      <c r="F9">
        <v>6</v>
      </c>
      <c r="G9">
        <v>12</v>
      </c>
      <c r="H9">
        <v>22</v>
      </c>
      <c r="I9">
        <v>5</v>
      </c>
      <c r="J9">
        <v>0</v>
      </c>
      <c r="K9">
        <v>0</v>
      </c>
      <c r="L9" s="2">
        <v>0</v>
      </c>
      <c r="M9">
        <v>11</v>
      </c>
      <c r="N9" s="2">
        <v>0</v>
      </c>
      <c r="O9">
        <v>32</v>
      </c>
      <c r="P9" t="s">
        <v>125</v>
      </c>
      <c r="Q9">
        <v>-7.926</v>
      </c>
      <c r="R9" t="s">
        <v>170</v>
      </c>
      <c r="S9">
        <v>1</v>
      </c>
    </row>
    <row r="10" spans="1:19">
      <c r="A10" t="s">
        <v>30</v>
      </c>
      <c r="B10" t="s">
        <v>80</v>
      </c>
      <c r="C10">
        <f>"100138"</f>
        <v>0</v>
      </c>
      <c r="D10">
        <v>13</v>
      </c>
      <c r="E10">
        <v>4</v>
      </c>
      <c r="F10">
        <v>36</v>
      </c>
      <c r="G10">
        <v>12</v>
      </c>
      <c r="H10">
        <v>65</v>
      </c>
      <c r="I10">
        <v>12.5</v>
      </c>
      <c r="J10">
        <v>4</v>
      </c>
      <c r="K10">
        <v>170.271</v>
      </c>
      <c r="L10" s="2">
        <v>43</v>
      </c>
      <c r="M10">
        <v>14</v>
      </c>
      <c r="N10" s="2">
        <v>602</v>
      </c>
      <c r="O10">
        <v>31.7</v>
      </c>
      <c r="P10" t="s">
        <v>126</v>
      </c>
      <c r="Q10">
        <v>93.221</v>
      </c>
      <c r="R10" t="s">
        <v>171</v>
      </c>
      <c r="S10">
        <v>0</v>
      </c>
    </row>
    <row r="11" spans="1:19">
      <c r="A11" t="s">
        <v>30</v>
      </c>
      <c r="B11" t="s">
        <v>81</v>
      </c>
      <c r="C11">
        <f>"100597"</f>
        <v>0</v>
      </c>
      <c r="D11">
        <v>8</v>
      </c>
      <c r="E11">
        <v>6</v>
      </c>
      <c r="F11">
        <v>8</v>
      </c>
      <c r="G11">
        <v>10</v>
      </c>
      <c r="H11">
        <v>32</v>
      </c>
      <c r="I11">
        <v>8</v>
      </c>
      <c r="J11">
        <v>0</v>
      </c>
      <c r="K11">
        <v>0</v>
      </c>
      <c r="L11" s="2">
        <v>0</v>
      </c>
      <c r="M11">
        <v>13</v>
      </c>
      <c r="N11" s="2">
        <v>0</v>
      </c>
      <c r="O11">
        <v>31</v>
      </c>
      <c r="P11" t="s">
        <v>127</v>
      </c>
      <c r="Q11">
        <v>-1.957</v>
      </c>
      <c r="R11" t="s">
        <v>172</v>
      </c>
      <c r="S11">
        <v>1</v>
      </c>
    </row>
    <row r="12" spans="1:19">
      <c r="A12" t="s">
        <v>30</v>
      </c>
      <c r="B12" t="s">
        <v>505</v>
      </c>
      <c r="C12">
        <f>"101257"</f>
        <v>0</v>
      </c>
      <c r="D12">
        <v>5</v>
      </c>
      <c r="E12">
        <v>0</v>
      </c>
      <c r="F12">
        <v>0</v>
      </c>
      <c r="G12">
        <v>9</v>
      </c>
      <c r="H12">
        <v>14</v>
      </c>
      <c r="I12">
        <v>2.5</v>
      </c>
      <c r="J12">
        <v>0</v>
      </c>
      <c r="K12">
        <v>0</v>
      </c>
      <c r="L12" s="2">
        <v>0</v>
      </c>
      <c r="M12">
        <v>7</v>
      </c>
      <c r="N12" s="2">
        <v>0</v>
      </c>
      <c r="O12">
        <v>23.5</v>
      </c>
      <c r="P12" t="s">
        <v>10473</v>
      </c>
      <c r="Q12">
        <v>8.670999999999999</v>
      </c>
      <c r="R12" t="s">
        <v>10509</v>
      </c>
      <c r="S12">
        <v>1</v>
      </c>
    </row>
    <row r="13" spans="1:19">
      <c r="A13" t="s">
        <v>30</v>
      </c>
      <c r="B13" t="s">
        <v>444</v>
      </c>
      <c r="C13">
        <f>"100601"</f>
        <v>0</v>
      </c>
      <c r="D13">
        <v>14</v>
      </c>
      <c r="E13">
        <v>0</v>
      </c>
      <c r="F13">
        <v>2</v>
      </c>
      <c r="G13">
        <v>7</v>
      </c>
      <c r="H13">
        <v>23</v>
      </c>
      <c r="I13">
        <v>4.5</v>
      </c>
      <c r="J13">
        <v>0</v>
      </c>
      <c r="K13">
        <v>0</v>
      </c>
      <c r="L13" s="2">
        <v>0</v>
      </c>
      <c r="M13">
        <v>8</v>
      </c>
      <c r="N13" s="2">
        <v>0</v>
      </c>
      <c r="O13">
        <v>21.5</v>
      </c>
      <c r="P13" t="s">
        <v>10474</v>
      </c>
      <c r="Q13">
        <v>10.85</v>
      </c>
      <c r="R13" t="s">
        <v>10510</v>
      </c>
      <c r="S13">
        <v>1</v>
      </c>
    </row>
    <row r="14" spans="1:19">
      <c r="A14" t="s">
        <v>30</v>
      </c>
      <c r="B14" t="s">
        <v>580</v>
      </c>
      <c r="C14">
        <f>"100599"</f>
        <v>0</v>
      </c>
      <c r="D14">
        <v>18</v>
      </c>
      <c r="E14">
        <v>0</v>
      </c>
      <c r="F14">
        <v>0</v>
      </c>
      <c r="G14">
        <v>7</v>
      </c>
      <c r="H14">
        <v>25</v>
      </c>
      <c r="I14">
        <v>3.5</v>
      </c>
      <c r="J14">
        <v>0</v>
      </c>
      <c r="K14">
        <v>0</v>
      </c>
      <c r="L14" s="2">
        <v>0</v>
      </c>
      <c r="M14">
        <v>7</v>
      </c>
      <c r="N14" s="2">
        <v>0</v>
      </c>
      <c r="O14">
        <v>20.5</v>
      </c>
      <c r="P14" t="s">
        <v>10475</v>
      </c>
      <c r="Q14">
        <v>-56.371</v>
      </c>
      <c r="R14" t="s">
        <v>10511</v>
      </c>
      <c r="S14">
        <v>1</v>
      </c>
    </row>
    <row r="15" spans="1:19">
      <c r="A15" t="s">
        <v>30</v>
      </c>
      <c r="B15" t="s">
        <v>415</v>
      </c>
      <c r="C15">
        <f>"100410"</f>
        <v>0</v>
      </c>
      <c r="D15">
        <v>0</v>
      </c>
      <c r="E15">
        <v>6</v>
      </c>
      <c r="F15">
        <v>11</v>
      </c>
      <c r="G15">
        <v>6</v>
      </c>
      <c r="H15">
        <v>23</v>
      </c>
      <c r="I15">
        <v>6</v>
      </c>
      <c r="J15">
        <v>0</v>
      </c>
      <c r="K15">
        <v>0</v>
      </c>
      <c r="L15" s="2">
        <v>0</v>
      </c>
      <c r="M15">
        <v>9</v>
      </c>
      <c r="N15" s="2">
        <v>0</v>
      </c>
      <c r="O15">
        <v>18</v>
      </c>
      <c r="P15" t="s">
        <v>10476</v>
      </c>
      <c r="Q15">
        <v>55.344</v>
      </c>
      <c r="R15" t="s">
        <v>10512</v>
      </c>
      <c r="S15">
        <v>0</v>
      </c>
    </row>
    <row r="16" spans="1:19">
      <c r="A16" t="s">
        <v>30</v>
      </c>
      <c r="B16" t="s">
        <v>503</v>
      </c>
      <c r="C16">
        <f>"100953"</f>
        <v>0</v>
      </c>
      <c r="D16">
        <v>8</v>
      </c>
      <c r="E16">
        <v>0</v>
      </c>
      <c r="F16">
        <v>0</v>
      </c>
      <c r="G16">
        <v>6</v>
      </c>
      <c r="H16">
        <v>14</v>
      </c>
      <c r="I16">
        <v>3</v>
      </c>
      <c r="J16">
        <v>0</v>
      </c>
      <c r="K16">
        <v>0</v>
      </c>
      <c r="L16" s="2">
        <v>0</v>
      </c>
      <c r="M16">
        <v>6</v>
      </c>
      <c r="N16" s="2">
        <v>0</v>
      </c>
      <c r="O16">
        <v>18</v>
      </c>
      <c r="P16" t="s">
        <v>10477</v>
      </c>
      <c r="Q16">
        <v>10.054</v>
      </c>
      <c r="R16" t="s">
        <v>10513</v>
      </c>
      <c r="S16">
        <v>1</v>
      </c>
    </row>
    <row r="17" spans="1:19">
      <c r="A17" t="s">
        <v>30</v>
      </c>
      <c r="B17" t="s">
        <v>390</v>
      </c>
      <c r="C17">
        <f>"100413"</f>
        <v>0</v>
      </c>
      <c r="D17">
        <v>9</v>
      </c>
      <c r="E17">
        <v>2</v>
      </c>
      <c r="F17">
        <v>23</v>
      </c>
      <c r="G17">
        <v>5</v>
      </c>
      <c r="H17">
        <v>39</v>
      </c>
      <c r="I17">
        <v>7</v>
      </c>
      <c r="J17">
        <v>0</v>
      </c>
      <c r="K17">
        <v>0</v>
      </c>
      <c r="L17" s="2">
        <v>0</v>
      </c>
      <c r="M17">
        <v>10</v>
      </c>
      <c r="N17" s="2">
        <v>0</v>
      </c>
      <c r="O17">
        <v>17</v>
      </c>
      <c r="P17" t="s">
        <v>10478</v>
      </c>
      <c r="Q17">
        <v>38.095</v>
      </c>
      <c r="R17" t="s">
        <v>10514</v>
      </c>
      <c r="S17">
        <v>0</v>
      </c>
    </row>
    <row r="18" spans="1:19">
      <c r="A18" t="s">
        <v>30</v>
      </c>
      <c r="B18" t="s">
        <v>467</v>
      </c>
      <c r="C18">
        <f>"101260"</f>
        <v>0</v>
      </c>
      <c r="D18">
        <v>5</v>
      </c>
      <c r="E18">
        <v>3</v>
      </c>
      <c r="F18">
        <v>0</v>
      </c>
      <c r="G18">
        <v>5</v>
      </c>
      <c r="H18">
        <v>13</v>
      </c>
      <c r="I18">
        <v>4</v>
      </c>
      <c r="J18">
        <v>0</v>
      </c>
      <c r="K18">
        <v>0</v>
      </c>
      <c r="L18" s="2">
        <v>0</v>
      </c>
      <c r="M18">
        <v>6</v>
      </c>
      <c r="N18" s="2">
        <v>0</v>
      </c>
      <c r="O18">
        <v>17</v>
      </c>
      <c r="P18" t="s">
        <v>10479</v>
      </c>
      <c r="Q18">
        <v>32.22</v>
      </c>
      <c r="R18" t="s">
        <v>10515</v>
      </c>
      <c r="S18">
        <v>1</v>
      </c>
    </row>
    <row r="19" spans="1:19">
      <c r="A19" t="s">
        <v>30</v>
      </c>
      <c r="B19" t="s">
        <v>730</v>
      </c>
      <c r="C19">
        <f>"100586"</f>
        <v>0</v>
      </c>
      <c r="D19">
        <v>0</v>
      </c>
      <c r="E19">
        <v>0</v>
      </c>
      <c r="F19">
        <v>0</v>
      </c>
      <c r="G19">
        <v>7</v>
      </c>
      <c r="H19">
        <v>7</v>
      </c>
      <c r="I19">
        <v>0</v>
      </c>
      <c r="J19">
        <v>0</v>
      </c>
      <c r="K19">
        <v>0</v>
      </c>
      <c r="L19" s="2">
        <v>0</v>
      </c>
      <c r="M19">
        <v>4</v>
      </c>
      <c r="N19" s="2">
        <v>0</v>
      </c>
      <c r="O19">
        <v>17</v>
      </c>
      <c r="P19" t="s">
        <v>10480</v>
      </c>
      <c r="Q19">
        <v>-7.517</v>
      </c>
      <c r="R19" t="s">
        <v>10516</v>
      </c>
      <c r="S19">
        <v>1</v>
      </c>
    </row>
    <row r="20" spans="1:19">
      <c r="A20" t="s">
        <v>30</v>
      </c>
      <c r="B20" t="s">
        <v>374</v>
      </c>
      <c r="C20">
        <f>"100135"</f>
        <v>0</v>
      </c>
      <c r="D20">
        <v>24</v>
      </c>
      <c r="E20">
        <v>9</v>
      </c>
      <c r="F20">
        <v>43</v>
      </c>
      <c r="G20">
        <v>8</v>
      </c>
      <c r="H20">
        <v>84</v>
      </c>
      <c r="I20">
        <v>16.5</v>
      </c>
      <c r="J20">
        <v>13</v>
      </c>
      <c r="K20">
        <v>553.38</v>
      </c>
      <c r="L20" s="2">
        <v>43</v>
      </c>
      <c r="M20">
        <v>8</v>
      </c>
      <c r="N20" s="2">
        <v>344</v>
      </c>
      <c r="O20">
        <v>16.9</v>
      </c>
      <c r="P20" t="s">
        <v>10481</v>
      </c>
      <c r="Q20">
        <v>66.42400000000001</v>
      </c>
      <c r="R20" t="s">
        <v>10517</v>
      </c>
      <c r="S20">
        <v>0</v>
      </c>
    </row>
    <row r="21" spans="1:19">
      <c r="A21" t="s">
        <v>30</v>
      </c>
      <c r="B21" t="s">
        <v>1553</v>
      </c>
      <c r="C21">
        <f>"100136"</f>
        <v>0</v>
      </c>
      <c r="D21">
        <v>12</v>
      </c>
      <c r="E21">
        <v>1</v>
      </c>
      <c r="F21">
        <v>0</v>
      </c>
      <c r="G21">
        <v>6</v>
      </c>
      <c r="H21">
        <v>19</v>
      </c>
      <c r="I21">
        <v>3.5</v>
      </c>
      <c r="J21">
        <v>2</v>
      </c>
      <c r="K21">
        <v>30.192</v>
      </c>
      <c r="L21" s="2">
        <v>15</v>
      </c>
      <c r="M21">
        <v>4</v>
      </c>
      <c r="N21" s="2">
        <v>60</v>
      </c>
      <c r="O21">
        <v>16.1</v>
      </c>
      <c r="P21" t="s">
        <v>10482</v>
      </c>
      <c r="Q21">
        <v>-4.913</v>
      </c>
      <c r="R21" t="s">
        <v>10518</v>
      </c>
      <c r="S21">
        <v>1</v>
      </c>
    </row>
    <row r="22" spans="1:19">
      <c r="A22" t="s">
        <v>30</v>
      </c>
      <c r="B22" t="s">
        <v>522</v>
      </c>
      <c r="C22">
        <f>"100152"</f>
        <v>0</v>
      </c>
      <c r="D22">
        <v>7</v>
      </c>
      <c r="E22">
        <v>0</v>
      </c>
      <c r="F22">
        <v>1</v>
      </c>
      <c r="G22">
        <v>5</v>
      </c>
      <c r="H22">
        <v>13</v>
      </c>
      <c r="I22">
        <v>3</v>
      </c>
      <c r="J22">
        <v>0</v>
      </c>
      <c r="K22">
        <v>0</v>
      </c>
      <c r="L22" s="2">
        <v>0</v>
      </c>
      <c r="M22">
        <v>6</v>
      </c>
      <c r="N22" s="2">
        <v>0</v>
      </c>
      <c r="O22">
        <v>16</v>
      </c>
      <c r="P22" t="s">
        <v>10483</v>
      </c>
      <c r="Q22">
        <v>6.15</v>
      </c>
      <c r="R22" t="s">
        <v>10519</v>
      </c>
      <c r="S22">
        <v>1</v>
      </c>
    </row>
    <row r="23" spans="1:19">
      <c r="A23" t="s">
        <v>30</v>
      </c>
      <c r="B23" t="s">
        <v>398</v>
      </c>
      <c r="C23">
        <f>"100903"</f>
        <v>0</v>
      </c>
      <c r="D23">
        <v>29</v>
      </c>
      <c r="E23">
        <v>0</v>
      </c>
      <c r="F23">
        <v>2</v>
      </c>
      <c r="G23">
        <v>4</v>
      </c>
      <c r="H23">
        <v>35</v>
      </c>
      <c r="I23">
        <v>3</v>
      </c>
      <c r="J23">
        <v>0</v>
      </c>
      <c r="K23">
        <v>0</v>
      </c>
      <c r="L23" s="2">
        <v>0</v>
      </c>
      <c r="M23">
        <v>5</v>
      </c>
      <c r="N23" s="2">
        <v>0</v>
      </c>
      <c r="O23">
        <v>14</v>
      </c>
      <c r="P23" t="s">
        <v>10484</v>
      </c>
      <c r="Q23">
        <v>35.404</v>
      </c>
      <c r="R23" t="s">
        <v>10520</v>
      </c>
      <c r="S23">
        <v>1</v>
      </c>
    </row>
    <row r="24" spans="1:19">
      <c r="A24" t="s">
        <v>30</v>
      </c>
      <c r="B24" t="s">
        <v>1542</v>
      </c>
      <c r="C24">
        <f>"100905"</f>
        <v>0</v>
      </c>
      <c r="D24">
        <v>7</v>
      </c>
      <c r="E24">
        <v>0</v>
      </c>
      <c r="F24">
        <v>1</v>
      </c>
      <c r="G24">
        <v>4</v>
      </c>
      <c r="H24">
        <v>12</v>
      </c>
      <c r="I24">
        <v>2.5</v>
      </c>
      <c r="J24">
        <v>1</v>
      </c>
      <c r="K24">
        <v>42.096</v>
      </c>
      <c r="L24" s="2">
        <v>42</v>
      </c>
      <c r="M24">
        <v>4</v>
      </c>
      <c r="N24" s="2">
        <v>168</v>
      </c>
      <c r="O24">
        <v>12.3</v>
      </c>
      <c r="P24" t="s">
        <v>10485</v>
      </c>
      <c r="Q24">
        <v>16.456</v>
      </c>
      <c r="R24" t="s">
        <v>10521</v>
      </c>
      <c r="S24">
        <v>1</v>
      </c>
    </row>
    <row r="25" spans="1:19">
      <c r="A25" t="s">
        <v>30</v>
      </c>
      <c r="B25" t="s">
        <v>1732</v>
      </c>
      <c r="C25">
        <f>"100580"</f>
        <v>0</v>
      </c>
      <c r="D25">
        <v>0</v>
      </c>
      <c r="E25">
        <v>0</v>
      </c>
      <c r="F25">
        <v>0</v>
      </c>
      <c r="G25">
        <v>12</v>
      </c>
      <c r="H25">
        <v>12</v>
      </c>
      <c r="I25">
        <v>0</v>
      </c>
      <c r="J25">
        <v>13</v>
      </c>
      <c r="K25">
        <v>36.936</v>
      </c>
      <c r="L25" s="2">
        <v>3</v>
      </c>
      <c r="M25">
        <v>0</v>
      </c>
      <c r="N25" s="2">
        <v>0</v>
      </c>
      <c r="O25">
        <v>11.4</v>
      </c>
      <c r="P25" t="s">
        <v>10486</v>
      </c>
      <c r="Q25">
        <v>8.896000000000001</v>
      </c>
      <c r="R25" t="s">
        <v>10522</v>
      </c>
      <c r="S25">
        <v>1</v>
      </c>
    </row>
    <row r="26" spans="1:19">
      <c r="A26" t="s">
        <v>30</v>
      </c>
      <c r="B26" t="s">
        <v>1560</v>
      </c>
      <c r="C26">
        <f>"101263"</f>
        <v>0</v>
      </c>
      <c r="D26">
        <v>4</v>
      </c>
      <c r="E26">
        <v>2</v>
      </c>
      <c r="F26">
        <v>0</v>
      </c>
      <c r="G26">
        <v>3</v>
      </c>
      <c r="H26">
        <v>9</v>
      </c>
      <c r="I26">
        <v>2.5</v>
      </c>
      <c r="J26">
        <v>1</v>
      </c>
      <c r="K26">
        <v>43.968</v>
      </c>
      <c r="L26" s="2">
        <v>44</v>
      </c>
      <c r="M26">
        <v>3</v>
      </c>
      <c r="N26" s="2">
        <v>132</v>
      </c>
      <c r="O26">
        <v>10.3</v>
      </c>
      <c r="P26" t="s">
        <v>10487</v>
      </c>
      <c r="Q26">
        <v>24.352</v>
      </c>
      <c r="R26" t="s">
        <v>10266</v>
      </c>
      <c r="S26">
        <v>1</v>
      </c>
    </row>
    <row r="27" spans="1:19">
      <c r="A27" t="s">
        <v>30</v>
      </c>
      <c r="B27" t="s">
        <v>570</v>
      </c>
      <c r="C27">
        <f>"101269"</f>
        <v>0</v>
      </c>
      <c r="D27">
        <v>0</v>
      </c>
      <c r="E27">
        <v>0</v>
      </c>
      <c r="F27">
        <v>1</v>
      </c>
      <c r="G27">
        <v>3</v>
      </c>
      <c r="H27">
        <v>4</v>
      </c>
      <c r="I27">
        <v>0.5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9.5</v>
      </c>
      <c r="P27" t="s">
        <v>10488</v>
      </c>
      <c r="Q27">
        <v>28.656</v>
      </c>
      <c r="R27" t="s">
        <v>10523</v>
      </c>
      <c r="S27">
        <v>1</v>
      </c>
    </row>
    <row r="28" spans="1:19">
      <c r="A28" t="s">
        <v>30</v>
      </c>
      <c r="B28" t="s">
        <v>1587</v>
      </c>
      <c r="C28">
        <f>"100458"</f>
        <v>0</v>
      </c>
      <c r="D28">
        <v>0</v>
      </c>
      <c r="E28">
        <v>0</v>
      </c>
      <c r="F28">
        <v>4</v>
      </c>
      <c r="G28">
        <v>4</v>
      </c>
      <c r="H28">
        <v>8</v>
      </c>
      <c r="I28">
        <v>2</v>
      </c>
      <c r="J28">
        <v>1</v>
      </c>
      <c r="K28">
        <v>21.374</v>
      </c>
      <c r="L28" s="2">
        <v>21</v>
      </c>
      <c r="M28">
        <v>3</v>
      </c>
      <c r="N28" s="2">
        <v>63</v>
      </c>
      <c r="O28">
        <v>8.800000000000001</v>
      </c>
      <c r="P28" t="s">
        <v>10489</v>
      </c>
      <c r="Q28">
        <v>11.948</v>
      </c>
      <c r="R28" t="s">
        <v>10524</v>
      </c>
      <c r="S28">
        <v>0</v>
      </c>
    </row>
    <row r="29" spans="1:19">
      <c r="A29" t="s">
        <v>30</v>
      </c>
      <c r="B29" t="s">
        <v>1143</v>
      </c>
      <c r="C29">
        <f>"100132"</f>
        <v>0</v>
      </c>
      <c r="D29">
        <v>16</v>
      </c>
      <c r="E29">
        <v>4</v>
      </c>
      <c r="F29">
        <v>13</v>
      </c>
      <c r="G29">
        <v>3</v>
      </c>
      <c r="H29">
        <v>36</v>
      </c>
      <c r="I29">
        <v>8.5</v>
      </c>
      <c r="J29">
        <v>5</v>
      </c>
      <c r="K29">
        <v>236.81</v>
      </c>
      <c r="L29" s="2">
        <v>47</v>
      </c>
      <c r="M29">
        <v>5</v>
      </c>
      <c r="N29" s="2">
        <v>235</v>
      </c>
      <c r="O29">
        <v>8.5</v>
      </c>
      <c r="P29" t="s">
        <v>10490</v>
      </c>
      <c r="Q29">
        <v>16.713</v>
      </c>
      <c r="R29" t="s">
        <v>10525</v>
      </c>
      <c r="S29">
        <v>0</v>
      </c>
    </row>
    <row r="30" spans="1:19">
      <c r="A30" t="s">
        <v>30</v>
      </c>
      <c r="B30" t="s">
        <v>614</v>
      </c>
      <c r="C30">
        <f>"101258"</f>
        <v>0</v>
      </c>
      <c r="D30">
        <v>4</v>
      </c>
      <c r="E30">
        <v>1</v>
      </c>
      <c r="F30">
        <v>0</v>
      </c>
      <c r="G30">
        <v>2</v>
      </c>
      <c r="H30">
        <v>7</v>
      </c>
      <c r="I30">
        <v>1.5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8.5</v>
      </c>
      <c r="P30" t="s">
        <v>10312</v>
      </c>
      <c r="Q30">
        <v>5.534</v>
      </c>
      <c r="R30" t="s">
        <v>10526</v>
      </c>
      <c r="S30">
        <v>1</v>
      </c>
    </row>
    <row r="31" spans="1:19">
      <c r="A31" t="s">
        <v>30</v>
      </c>
      <c r="B31" t="s">
        <v>1545</v>
      </c>
      <c r="C31">
        <f>"101150"</f>
        <v>0</v>
      </c>
      <c r="D31">
        <v>17</v>
      </c>
      <c r="E31">
        <v>3</v>
      </c>
      <c r="F31">
        <v>17</v>
      </c>
      <c r="G31">
        <v>3</v>
      </c>
      <c r="H31">
        <v>40</v>
      </c>
      <c r="I31">
        <v>10</v>
      </c>
      <c r="J31">
        <v>7</v>
      </c>
      <c r="K31">
        <v>9.529999999999999</v>
      </c>
      <c r="L31" s="2">
        <v>1</v>
      </c>
      <c r="M31">
        <v>4</v>
      </c>
      <c r="N31" s="2">
        <v>4</v>
      </c>
      <c r="O31">
        <v>7.6</v>
      </c>
      <c r="P31" t="s">
        <v>10491</v>
      </c>
      <c r="Q31">
        <v>-1.288</v>
      </c>
      <c r="R31" t="s">
        <v>10527</v>
      </c>
      <c r="S31">
        <v>0</v>
      </c>
    </row>
    <row r="32" spans="1:19">
      <c r="A32" t="s">
        <v>30</v>
      </c>
      <c r="B32" t="s">
        <v>336</v>
      </c>
      <c r="C32">
        <f>"100976"</f>
        <v>0</v>
      </c>
      <c r="D32">
        <v>9</v>
      </c>
      <c r="E32">
        <v>2</v>
      </c>
      <c r="F32">
        <v>2</v>
      </c>
      <c r="G32">
        <v>3</v>
      </c>
      <c r="H32">
        <v>16</v>
      </c>
      <c r="I32">
        <v>2.5</v>
      </c>
      <c r="J32">
        <v>4</v>
      </c>
      <c r="K32">
        <v>5.304</v>
      </c>
      <c r="L32" s="2">
        <v>1</v>
      </c>
      <c r="M32">
        <v>0</v>
      </c>
      <c r="N32" s="2">
        <v>0</v>
      </c>
      <c r="O32">
        <v>6.7</v>
      </c>
      <c r="P32" t="s">
        <v>10492</v>
      </c>
      <c r="Q32">
        <v>535</v>
      </c>
      <c r="R32" t="s">
        <v>10528</v>
      </c>
      <c r="S32">
        <v>1</v>
      </c>
    </row>
    <row r="33" spans="1:19">
      <c r="A33" t="s">
        <v>30</v>
      </c>
      <c r="B33" t="s">
        <v>653</v>
      </c>
      <c r="C33">
        <f>"100503"</f>
        <v>0</v>
      </c>
      <c r="D33">
        <v>3</v>
      </c>
      <c r="E33">
        <v>2</v>
      </c>
      <c r="F33">
        <v>4</v>
      </c>
      <c r="G33">
        <v>2</v>
      </c>
      <c r="H33">
        <v>11</v>
      </c>
      <c r="I33">
        <v>2.5</v>
      </c>
      <c r="J33">
        <v>0</v>
      </c>
      <c r="K33">
        <v>0</v>
      </c>
      <c r="L33" s="2">
        <v>0</v>
      </c>
      <c r="M33">
        <v>4</v>
      </c>
      <c r="N33" s="2">
        <v>0</v>
      </c>
      <c r="O33">
        <v>6.5</v>
      </c>
      <c r="P33" t="s">
        <v>10493</v>
      </c>
      <c r="Q33">
        <v>-16</v>
      </c>
      <c r="R33" t="s">
        <v>10529</v>
      </c>
      <c r="S33">
        <v>0</v>
      </c>
    </row>
    <row r="34" spans="1:19">
      <c r="A34" t="s">
        <v>30</v>
      </c>
      <c r="B34" t="s">
        <v>1825</v>
      </c>
      <c r="C34">
        <f>"100897"</f>
        <v>0</v>
      </c>
      <c r="D34">
        <v>3</v>
      </c>
      <c r="E34">
        <v>1</v>
      </c>
      <c r="F34">
        <v>0</v>
      </c>
      <c r="G34">
        <v>2</v>
      </c>
      <c r="H34">
        <v>6</v>
      </c>
      <c r="I34">
        <v>1.5</v>
      </c>
      <c r="J34">
        <v>2</v>
      </c>
      <c r="K34">
        <v>77.304</v>
      </c>
      <c r="L34" s="2">
        <v>39</v>
      </c>
      <c r="M34">
        <v>0</v>
      </c>
      <c r="N34" s="2">
        <v>0</v>
      </c>
      <c r="O34">
        <v>6.1</v>
      </c>
      <c r="P34" t="s">
        <v>10286</v>
      </c>
      <c r="Q34">
        <v>10.074</v>
      </c>
      <c r="R34" t="s">
        <v>10530</v>
      </c>
      <c r="S34">
        <v>1</v>
      </c>
    </row>
    <row r="35" spans="1:19">
      <c r="A35" t="s">
        <v>30</v>
      </c>
      <c r="B35" t="s">
        <v>1846</v>
      </c>
      <c r="C35">
        <f>"101316"</f>
        <v>0</v>
      </c>
      <c r="D35">
        <v>2</v>
      </c>
      <c r="E35">
        <v>0</v>
      </c>
      <c r="F35">
        <v>0</v>
      </c>
      <c r="G35">
        <v>5</v>
      </c>
      <c r="H35">
        <v>7</v>
      </c>
      <c r="I35">
        <v>1</v>
      </c>
      <c r="J35">
        <v>7</v>
      </c>
      <c r="K35">
        <v>28.476</v>
      </c>
      <c r="L35" s="2">
        <v>4</v>
      </c>
      <c r="M35">
        <v>0</v>
      </c>
      <c r="N35" s="2">
        <v>0</v>
      </c>
      <c r="O35">
        <v>5.6</v>
      </c>
      <c r="P35" t="s">
        <v>10494</v>
      </c>
      <c r="Q35">
        <v>2.728</v>
      </c>
      <c r="R35" t="s">
        <v>10531</v>
      </c>
      <c r="S35">
        <v>1</v>
      </c>
    </row>
    <row r="36" spans="1:19">
      <c r="A36" t="s">
        <v>30</v>
      </c>
      <c r="B36" t="s">
        <v>773</v>
      </c>
      <c r="C36">
        <f>"101295"</f>
        <v>0</v>
      </c>
      <c r="D36">
        <v>3</v>
      </c>
      <c r="E36">
        <v>0</v>
      </c>
      <c r="F36">
        <v>0</v>
      </c>
      <c r="G36">
        <v>1</v>
      </c>
      <c r="H36">
        <v>4</v>
      </c>
      <c r="I36">
        <v>0.5</v>
      </c>
      <c r="J36">
        <v>0</v>
      </c>
      <c r="K36">
        <v>0</v>
      </c>
      <c r="L36" s="2">
        <v>0</v>
      </c>
      <c r="M36">
        <v>1</v>
      </c>
      <c r="N36" s="2">
        <v>0</v>
      </c>
      <c r="O36">
        <v>5.5</v>
      </c>
      <c r="P36" t="s">
        <v>10495</v>
      </c>
      <c r="Q36">
        <v>1.418</v>
      </c>
      <c r="R36" t="s">
        <v>10532</v>
      </c>
      <c r="S36">
        <v>1</v>
      </c>
    </row>
    <row r="37" spans="1:19">
      <c r="A37" t="s">
        <v>30</v>
      </c>
      <c r="B37" t="s">
        <v>1132</v>
      </c>
      <c r="C37">
        <f>"101252"</f>
        <v>0</v>
      </c>
      <c r="D37">
        <v>0</v>
      </c>
      <c r="E37">
        <v>0</v>
      </c>
      <c r="F37">
        <v>0</v>
      </c>
      <c r="G37">
        <v>1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5</v>
      </c>
      <c r="P37" t="s">
        <v>10496</v>
      </c>
      <c r="Q37">
        <v>2.73</v>
      </c>
      <c r="R37" t="s">
        <v>10264</v>
      </c>
      <c r="S37">
        <v>1</v>
      </c>
    </row>
    <row r="38" spans="1:19">
      <c r="A38" t="s">
        <v>30</v>
      </c>
      <c r="B38" t="s">
        <v>967</v>
      </c>
      <c r="C38">
        <f>"100203"</f>
        <v>0</v>
      </c>
      <c r="D38">
        <v>0</v>
      </c>
      <c r="E38">
        <v>0</v>
      </c>
      <c r="F38">
        <v>0</v>
      </c>
      <c r="G38">
        <v>1</v>
      </c>
      <c r="H38">
        <v>1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5</v>
      </c>
      <c r="P38" t="s">
        <v>10497</v>
      </c>
      <c r="Q38">
        <v>4.853</v>
      </c>
      <c r="R38" t="s">
        <v>10533</v>
      </c>
      <c r="S38">
        <v>1</v>
      </c>
    </row>
    <row r="39" spans="1:19">
      <c r="A39" t="s">
        <v>30</v>
      </c>
      <c r="B39" t="s">
        <v>2046</v>
      </c>
      <c r="C39">
        <f>"100603"</f>
        <v>0</v>
      </c>
      <c r="D39">
        <v>0</v>
      </c>
      <c r="E39">
        <v>0</v>
      </c>
      <c r="F39">
        <v>0</v>
      </c>
      <c r="G39">
        <v>1</v>
      </c>
      <c r="H39">
        <v>1</v>
      </c>
      <c r="I39">
        <v>0</v>
      </c>
      <c r="J39">
        <v>1</v>
      </c>
      <c r="K39">
        <v>39.295</v>
      </c>
      <c r="L39" s="2">
        <v>39</v>
      </c>
      <c r="M39">
        <v>0</v>
      </c>
      <c r="N39" s="2">
        <v>0</v>
      </c>
      <c r="O39">
        <v>3.8</v>
      </c>
      <c r="P39" t="s">
        <v>10498</v>
      </c>
      <c r="Q39">
        <v>9.436</v>
      </c>
      <c r="R39" t="s">
        <v>10534</v>
      </c>
      <c r="S39">
        <v>1</v>
      </c>
    </row>
    <row r="40" spans="1:19">
      <c r="A40" t="s">
        <v>30</v>
      </c>
      <c r="B40" t="s">
        <v>1881</v>
      </c>
      <c r="C40">
        <f>"101239"</f>
        <v>0</v>
      </c>
      <c r="D40">
        <v>1</v>
      </c>
      <c r="E40">
        <v>2</v>
      </c>
      <c r="F40">
        <v>0</v>
      </c>
      <c r="G40">
        <v>1</v>
      </c>
      <c r="H40">
        <v>4</v>
      </c>
      <c r="I40">
        <v>1</v>
      </c>
      <c r="J40">
        <v>2</v>
      </c>
      <c r="K40">
        <v>90.434</v>
      </c>
      <c r="L40" s="2">
        <v>45</v>
      </c>
      <c r="M40">
        <v>0</v>
      </c>
      <c r="N40" s="2">
        <v>0</v>
      </c>
      <c r="O40">
        <v>3.6</v>
      </c>
      <c r="P40" t="s">
        <v>10499</v>
      </c>
      <c r="Q40">
        <v>8.555999999999999</v>
      </c>
      <c r="R40" t="s">
        <v>10535</v>
      </c>
      <c r="S40">
        <v>1</v>
      </c>
    </row>
    <row r="41" spans="1:19">
      <c r="A41" t="s">
        <v>30</v>
      </c>
      <c r="B41" t="s">
        <v>1633</v>
      </c>
      <c r="C41">
        <f>"100904"</f>
        <v>0</v>
      </c>
      <c r="D41">
        <v>2</v>
      </c>
      <c r="E41">
        <v>1</v>
      </c>
      <c r="F41">
        <v>2</v>
      </c>
      <c r="G41">
        <v>1</v>
      </c>
      <c r="H41">
        <v>6</v>
      </c>
      <c r="I41">
        <v>1.5</v>
      </c>
      <c r="J41">
        <v>1</v>
      </c>
      <c r="K41">
        <v>11.933</v>
      </c>
      <c r="L41" s="2">
        <v>12</v>
      </c>
      <c r="M41">
        <v>1</v>
      </c>
      <c r="N41" s="2">
        <v>12</v>
      </c>
      <c r="O41">
        <v>2.3</v>
      </c>
      <c r="P41" t="s">
        <v>10500</v>
      </c>
      <c r="Q41">
        <v>3.184</v>
      </c>
      <c r="R41" t="s">
        <v>10536</v>
      </c>
      <c r="S41">
        <v>0</v>
      </c>
    </row>
    <row r="42" spans="1:19">
      <c r="A42" t="s">
        <v>30</v>
      </c>
      <c r="B42" t="s">
        <v>1600</v>
      </c>
      <c r="C42">
        <f>"101248"</f>
        <v>0</v>
      </c>
      <c r="D42">
        <v>2</v>
      </c>
      <c r="E42">
        <v>1</v>
      </c>
      <c r="F42">
        <v>3</v>
      </c>
      <c r="G42">
        <v>1</v>
      </c>
      <c r="H42">
        <v>7</v>
      </c>
      <c r="I42">
        <v>1.5</v>
      </c>
      <c r="J42">
        <v>1</v>
      </c>
      <c r="K42">
        <v>42.681</v>
      </c>
      <c r="L42" s="2">
        <v>43</v>
      </c>
      <c r="M42">
        <v>1</v>
      </c>
      <c r="N42" s="2">
        <v>43</v>
      </c>
      <c r="O42">
        <v>2.3</v>
      </c>
      <c r="P42" t="s">
        <v>10498</v>
      </c>
      <c r="Q42">
        <v>6.05</v>
      </c>
      <c r="R42" t="s">
        <v>10537</v>
      </c>
      <c r="S42">
        <v>0</v>
      </c>
    </row>
    <row r="43" spans="1:19">
      <c r="A43" t="s">
        <v>30</v>
      </c>
      <c r="B43" t="s">
        <v>10227</v>
      </c>
      <c r="C43">
        <f>"100906"</f>
        <v>0</v>
      </c>
      <c r="D43">
        <v>10</v>
      </c>
      <c r="E43">
        <v>0</v>
      </c>
      <c r="F43">
        <v>6</v>
      </c>
      <c r="G43">
        <v>2</v>
      </c>
      <c r="H43">
        <v>18</v>
      </c>
      <c r="I43">
        <v>4</v>
      </c>
      <c r="J43">
        <v>5</v>
      </c>
      <c r="K43">
        <v>64.345</v>
      </c>
      <c r="L43" s="2">
        <v>13</v>
      </c>
      <c r="M43">
        <v>0</v>
      </c>
      <c r="N43" s="2">
        <v>0</v>
      </c>
      <c r="O43">
        <v>2</v>
      </c>
      <c r="P43" t="s">
        <v>10501</v>
      </c>
      <c r="Q43">
        <v>-544</v>
      </c>
      <c r="R43" t="s">
        <v>10538</v>
      </c>
      <c r="S43">
        <v>0</v>
      </c>
    </row>
    <row r="44" spans="1:19">
      <c r="A44" t="s">
        <v>30</v>
      </c>
      <c r="B44" t="s">
        <v>2157</v>
      </c>
      <c r="C44">
        <f>"100289"</f>
        <v>0</v>
      </c>
      <c r="D44">
        <v>0</v>
      </c>
      <c r="E44">
        <v>1</v>
      </c>
      <c r="F44">
        <v>0</v>
      </c>
      <c r="G44">
        <v>1</v>
      </c>
      <c r="H44">
        <v>2</v>
      </c>
      <c r="I44">
        <v>0.5</v>
      </c>
      <c r="J44">
        <v>3</v>
      </c>
      <c r="K44">
        <v>17.451</v>
      </c>
      <c r="L44" s="2">
        <v>6</v>
      </c>
      <c r="M44">
        <v>0</v>
      </c>
      <c r="N44" s="2">
        <v>0</v>
      </c>
      <c r="O44">
        <v>1.9</v>
      </c>
      <c r="P44" t="s">
        <v>10502</v>
      </c>
      <c r="Q44">
        <v>1.233</v>
      </c>
      <c r="R44" t="s">
        <v>10539</v>
      </c>
      <c r="S44">
        <v>1</v>
      </c>
    </row>
    <row r="45" spans="1:19">
      <c r="A45" t="s">
        <v>30</v>
      </c>
      <c r="B45" t="s">
        <v>1684</v>
      </c>
      <c r="C45">
        <f>"100898"</f>
        <v>0</v>
      </c>
      <c r="D45">
        <v>1</v>
      </c>
      <c r="E45">
        <v>2</v>
      </c>
      <c r="F45">
        <v>1</v>
      </c>
      <c r="G45">
        <v>1</v>
      </c>
      <c r="H45">
        <v>5</v>
      </c>
      <c r="I45">
        <v>1</v>
      </c>
      <c r="J45">
        <v>1</v>
      </c>
      <c r="K45">
        <v>11.933</v>
      </c>
      <c r="L45" s="2">
        <v>12</v>
      </c>
      <c r="M45">
        <v>0</v>
      </c>
      <c r="N45" s="2">
        <v>0</v>
      </c>
      <c r="O45">
        <v>1.8</v>
      </c>
      <c r="P45" t="s">
        <v>10500</v>
      </c>
      <c r="Q45">
        <v>3.185</v>
      </c>
      <c r="R45" t="s">
        <v>10540</v>
      </c>
      <c r="S45">
        <v>0</v>
      </c>
    </row>
    <row r="46" spans="1:19">
      <c r="A46" t="s">
        <v>30</v>
      </c>
      <c r="B46" t="s">
        <v>1574</v>
      </c>
      <c r="C46">
        <f>"101242"</f>
        <v>0</v>
      </c>
      <c r="D46">
        <v>11</v>
      </c>
      <c r="E46">
        <v>1</v>
      </c>
      <c r="F46">
        <v>13</v>
      </c>
      <c r="G46">
        <v>0</v>
      </c>
      <c r="H46">
        <v>25</v>
      </c>
      <c r="I46">
        <v>6</v>
      </c>
      <c r="J46">
        <v>4</v>
      </c>
      <c r="K46">
        <v>150.723</v>
      </c>
      <c r="L46" s="2">
        <v>38</v>
      </c>
      <c r="M46">
        <v>2</v>
      </c>
      <c r="N46" s="2">
        <v>76</v>
      </c>
      <c r="O46">
        <v>1.2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30</v>
      </c>
      <c r="B47" t="s">
        <v>1589</v>
      </c>
      <c r="C47">
        <f>"101199"</f>
        <v>0</v>
      </c>
      <c r="D47">
        <v>3</v>
      </c>
      <c r="E47">
        <v>0</v>
      </c>
      <c r="F47">
        <v>2</v>
      </c>
      <c r="G47">
        <v>0</v>
      </c>
      <c r="H47">
        <v>5</v>
      </c>
      <c r="I47">
        <v>1</v>
      </c>
      <c r="J47">
        <v>0</v>
      </c>
      <c r="K47">
        <v>0</v>
      </c>
      <c r="L47" s="2">
        <v>0</v>
      </c>
      <c r="M47">
        <v>1</v>
      </c>
      <c r="N47" s="2">
        <v>0</v>
      </c>
      <c r="O47">
        <v>1</v>
      </c>
      <c r="P47" t="s">
        <v>10503</v>
      </c>
      <c r="Q47">
        <v>-118</v>
      </c>
      <c r="R47" t="s">
        <v>10541</v>
      </c>
      <c r="S47">
        <v>0</v>
      </c>
    </row>
    <row r="48" spans="1:19">
      <c r="A48" t="s">
        <v>30</v>
      </c>
      <c r="B48" t="s">
        <v>827</v>
      </c>
      <c r="C48">
        <f>"101056"</f>
        <v>0</v>
      </c>
      <c r="D48">
        <v>3</v>
      </c>
      <c r="E48">
        <v>1</v>
      </c>
      <c r="F48">
        <v>0</v>
      </c>
      <c r="G48">
        <v>0</v>
      </c>
      <c r="H48">
        <v>4</v>
      </c>
      <c r="I48">
        <v>0.5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0.5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30</v>
      </c>
      <c r="B49" t="s">
        <v>1014</v>
      </c>
      <c r="C49">
        <f>"100583"</f>
        <v>0</v>
      </c>
      <c r="D49">
        <v>1</v>
      </c>
      <c r="E49">
        <v>1</v>
      </c>
      <c r="F49">
        <v>0</v>
      </c>
      <c r="G49">
        <v>0</v>
      </c>
      <c r="H49">
        <v>2</v>
      </c>
      <c r="I49">
        <v>0.5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0.5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30</v>
      </c>
      <c r="B50" t="s">
        <v>947</v>
      </c>
      <c r="C50">
        <f>"101298"</f>
        <v>0</v>
      </c>
      <c r="D50">
        <v>2</v>
      </c>
      <c r="E50">
        <v>1</v>
      </c>
      <c r="F50">
        <v>0</v>
      </c>
      <c r="G50">
        <v>0</v>
      </c>
      <c r="H50">
        <v>3</v>
      </c>
      <c r="I50">
        <v>0.5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0.5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30</v>
      </c>
      <c r="B51" t="s">
        <v>926</v>
      </c>
      <c r="C51">
        <f>"101254"</f>
        <v>0</v>
      </c>
      <c r="D51">
        <v>1</v>
      </c>
      <c r="E51">
        <v>2</v>
      </c>
      <c r="F51">
        <v>0</v>
      </c>
      <c r="G51">
        <v>0</v>
      </c>
      <c r="H51">
        <v>3</v>
      </c>
      <c r="I51">
        <v>0.5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0.5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30</v>
      </c>
      <c r="B52" t="s">
        <v>924</v>
      </c>
      <c r="C52">
        <f>"101266"</f>
        <v>0</v>
      </c>
      <c r="D52">
        <v>2</v>
      </c>
      <c r="E52">
        <v>1</v>
      </c>
      <c r="F52">
        <v>0</v>
      </c>
      <c r="G52">
        <v>0</v>
      </c>
      <c r="H52">
        <v>3</v>
      </c>
      <c r="I52">
        <v>0.5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0.5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30</v>
      </c>
      <c r="B53" t="s">
        <v>738</v>
      </c>
      <c r="C53">
        <f>"100224"</f>
        <v>0</v>
      </c>
      <c r="D53">
        <v>1</v>
      </c>
      <c r="E53">
        <v>4</v>
      </c>
      <c r="F53">
        <v>0</v>
      </c>
      <c r="G53">
        <v>0</v>
      </c>
      <c r="H53">
        <v>5</v>
      </c>
      <c r="I53">
        <v>0.5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0.5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30</v>
      </c>
      <c r="B54" t="s">
        <v>837</v>
      </c>
      <c r="C54">
        <f>"100407"</f>
        <v>0</v>
      </c>
      <c r="D54">
        <v>1</v>
      </c>
      <c r="E54">
        <v>3</v>
      </c>
      <c r="F54">
        <v>0</v>
      </c>
      <c r="G54">
        <v>0</v>
      </c>
      <c r="H54">
        <v>4</v>
      </c>
      <c r="I54">
        <v>0.5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0.5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30</v>
      </c>
      <c r="B55" t="s">
        <v>671</v>
      </c>
      <c r="C55">
        <f>"100585"</f>
        <v>0</v>
      </c>
      <c r="D55">
        <v>6</v>
      </c>
      <c r="E55">
        <v>1</v>
      </c>
      <c r="F55">
        <v>0</v>
      </c>
      <c r="G55">
        <v>0</v>
      </c>
      <c r="H55">
        <v>7</v>
      </c>
      <c r="I55">
        <v>0.5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0.5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30</v>
      </c>
      <c r="B56" t="s">
        <v>8596</v>
      </c>
      <c r="C56">
        <f>"101251"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30</v>
      </c>
      <c r="B57" t="s">
        <v>697</v>
      </c>
      <c r="C57">
        <f>"100908"</f>
        <v>0</v>
      </c>
      <c r="D57">
        <v>6</v>
      </c>
      <c r="E57">
        <v>0</v>
      </c>
      <c r="F57">
        <v>0</v>
      </c>
      <c r="G57">
        <v>0</v>
      </c>
      <c r="H57">
        <v>6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30</v>
      </c>
      <c r="B58" t="s">
        <v>10175</v>
      </c>
      <c r="C58">
        <f>"101220"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30</v>
      </c>
      <c r="B59" t="s">
        <v>9902</v>
      </c>
      <c r="C59">
        <f>"101265"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30</v>
      </c>
      <c r="B60" t="s">
        <v>9904</v>
      </c>
      <c r="C60">
        <f>"101262"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30</v>
      </c>
      <c r="B61" t="s">
        <v>9903</v>
      </c>
      <c r="C61">
        <f>"101264"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30</v>
      </c>
      <c r="B62" t="s">
        <v>9838</v>
      </c>
      <c r="C62">
        <f>"101324"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30</v>
      </c>
      <c r="B63" t="s">
        <v>8668</v>
      </c>
      <c r="C63">
        <f>"100981"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30</v>
      </c>
      <c r="B64" t="s">
        <v>1517</v>
      </c>
      <c r="C64">
        <f>"100436"</f>
        <v>0</v>
      </c>
      <c r="D64">
        <v>0</v>
      </c>
      <c r="E64">
        <v>0</v>
      </c>
      <c r="F64">
        <v>2</v>
      </c>
      <c r="G64">
        <v>0</v>
      </c>
      <c r="H64">
        <v>2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10504</v>
      </c>
      <c r="Q64">
        <v>-8.092000000000001</v>
      </c>
      <c r="R64" t="s">
        <v>10266</v>
      </c>
      <c r="S64">
        <v>0</v>
      </c>
    </row>
    <row r="65" spans="1:19">
      <c r="A65" t="s">
        <v>30</v>
      </c>
      <c r="B65" t="s">
        <v>5414</v>
      </c>
      <c r="C65">
        <f>"1000023"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30</v>
      </c>
      <c r="B66" t="s">
        <v>6204</v>
      </c>
      <c r="C66">
        <f>"100105"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30</v>
      </c>
      <c r="B67" t="s">
        <v>795</v>
      </c>
      <c r="C67">
        <f>"101293"</f>
        <v>0</v>
      </c>
      <c r="D67">
        <v>4</v>
      </c>
      <c r="E67">
        <v>0</v>
      </c>
      <c r="F67">
        <v>0</v>
      </c>
      <c r="G67">
        <v>0</v>
      </c>
      <c r="H67">
        <v>4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30</v>
      </c>
      <c r="B68" t="s">
        <v>6205</v>
      </c>
      <c r="C68">
        <f>"100027"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30</v>
      </c>
      <c r="B69" t="s">
        <v>808</v>
      </c>
      <c r="C69">
        <f>"101294"</f>
        <v>0</v>
      </c>
      <c r="D69">
        <v>4</v>
      </c>
      <c r="E69">
        <v>0</v>
      </c>
      <c r="F69">
        <v>0</v>
      </c>
      <c r="G69">
        <v>0</v>
      </c>
      <c r="H69">
        <v>4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30</v>
      </c>
      <c r="B70" t="s">
        <v>2837</v>
      </c>
      <c r="C70">
        <f>"100456"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30</v>
      </c>
      <c r="B71" t="s">
        <v>6292</v>
      </c>
      <c r="C71">
        <f>"101094"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30</v>
      </c>
      <c r="B72" t="s">
        <v>6247</v>
      </c>
      <c r="C72">
        <f>"101092"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30</v>
      </c>
      <c r="B73" t="s">
        <v>1409</v>
      </c>
      <c r="C73">
        <f>"101093CAL"</f>
        <v>0</v>
      </c>
      <c r="D73">
        <v>1</v>
      </c>
      <c r="E73">
        <v>0</v>
      </c>
      <c r="F73">
        <v>0</v>
      </c>
      <c r="G73">
        <v>0</v>
      </c>
      <c r="H73">
        <v>1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30</v>
      </c>
      <c r="B74" t="s">
        <v>8589</v>
      </c>
      <c r="C74">
        <f>"101261"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30</v>
      </c>
      <c r="B75" t="s">
        <v>9837</v>
      </c>
      <c r="C75">
        <f>"101256"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30</v>
      </c>
      <c r="B76" t="s">
        <v>1319</v>
      </c>
      <c r="C76">
        <f>"101253"</f>
        <v>0</v>
      </c>
      <c r="D76">
        <v>0</v>
      </c>
      <c r="E76">
        <v>0</v>
      </c>
      <c r="F76">
        <v>1</v>
      </c>
      <c r="G76">
        <v>0</v>
      </c>
      <c r="H76">
        <v>1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30</v>
      </c>
      <c r="B77" t="s">
        <v>9840</v>
      </c>
      <c r="C77">
        <f>"101321"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30</v>
      </c>
      <c r="B78" t="s">
        <v>1289</v>
      </c>
      <c r="C78">
        <f>"100130"</f>
        <v>0</v>
      </c>
      <c r="D78">
        <v>0</v>
      </c>
      <c r="E78">
        <v>1</v>
      </c>
      <c r="F78">
        <v>0</v>
      </c>
      <c r="G78">
        <v>0</v>
      </c>
      <c r="H78">
        <v>1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30</v>
      </c>
      <c r="B79" t="s">
        <v>9901</v>
      </c>
      <c r="C79">
        <f>"101267"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30</v>
      </c>
      <c r="B80" t="s">
        <v>10098</v>
      </c>
      <c r="C80">
        <f>"100137"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30</v>
      </c>
      <c r="B81" t="s">
        <v>1320</v>
      </c>
      <c r="C81">
        <f>"101232"</f>
        <v>0</v>
      </c>
      <c r="D81">
        <v>0</v>
      </c>
      <c r="E81">
        <v>1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30</v>
      </c>
      <c r="B82" t="s">
        <v>8595</v>
      </c>
      <c r="C82">
        <f>"101323G"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30</v>
      </c>
      <c r="B83" t="s">
        <v>8598</v>
      </c>
      <c r="C83">
        <f>"101247"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30</v>
      </c>
      <c r="B84" t="s">
        <v>925</v>
      </c>
      <c r="C84">
        <f>"100909"</f>
        <v>0</v>
      </c>
      <c r="D84">
        <v>3</v>
      </c>
      <c r="E84">
        <v>0</v>
      </c>
      <c r="F84">
        <v>0</v>
      </c>
      <c r="G84">
        <v>0</v>
      </c>
      <c r="H84">
        <v>3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30</v>
      </c>
      <c r="B85" t="s">
        <v>8738</v>
      </c>
      <c r="C85">
        <f>"100972"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30</v>
      </c>
      <c r="B86" t="s">
        <v>8739</v>
      </c>
      <c r="C86">
        <f>"100980"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30</v>
      </c>
      <c r="B87" t="s">
        <v>6007</v>
      </c>
      <c r="C87">
        <f>"100435"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30</v>
      </c>
      <c r="B88" t="s">
        <v>279</v>
      </c>
      <c r="C88">
        <f>"100771"</f>
        <v>0</v>
      </c>
      <c r="D88">
        <v>0</v>
      </c>
      <c r="E88">
        <v>0</v>
      </c>
      <c r="F88">
        <v>1</v>
      </c>
      <c r="G88">
        <v>0</v>
      </c>
      <c r="H88">
        <v>1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10505</v>
      </c>
      <c r="Q88">
        <v>518</v>
      </c>
      <c r="R88" t="s">
        <v>10542</v>
      </c>
      <c r="S88">
        <v>0</v>
      </c>
    </row>
    <row r="89" spans="1:19">
      <c r="A89" t="s">
        <v>30</v>
      </c>
      <c r="B89" t="s">
        <v>8737</v>
      </c>
      <c r="C89">
        <f>"100902"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30</v>
      </c>
      <c r="B90" t="s">
        <v>8597</v>
      </c>
      <c r="C90">
        <f>"101249"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30</v>
      </c>
      <c r="B91" t="s">
        <v>1288</v>
      </c>
      <c r="C91">
        <f>"100522"</f>
        <v>0</v>
      </c>
      <c r="D91">
        <v>0</v>
      </c>
      <c r="E91">
        <v>1</v>
      </c>
      <c r="F91">
        <v>0</v>
      </c>
      <c r="G91">
        <v>0</v>
      </c>
      <c r="H91">
        <v>1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30</v>
      </c>
      <c r="B92" t="s">
        <v>10034</v>
      </c>
      <c r="C92">
        <f>"101270"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30</v>
      </c>
      <c r="B93" t="s">
        <v>10041</v>
      </c>
      <c r="C93">
        <f>"101149"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30</v>
      </c>
      <c r="B94" t="s">
        <v>9392</v>
      </c>
      <c r="C94">
        <f>"100228"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30</v>
      </c>
      <c r="B95" t="s">
        <v>9393</v>
      </c>
      <c r="C95">
        <f>"100579"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30</v>
      </c>
      <c r="B96" t="s">
        <v>10174</v>
      </c>
      <c r="C96">
        <f>"100521"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30</v>
      </c>
      <c r="B97" t="s">
        <v>10035</v>
      </c>
      <c r="C97">
        <f>"101268"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30</v>
      </c>
      <c r="B98" t="s">
        <v>981</v>
      </c>
      <c r="C98">
        <f>"1006899"</f>
        <v>0</v>
      </c>
      <c r="D98">
        <v>2</v>
      </c>
      <c r="E98">
        <v>0</v>
      </c>
      <c r="F98">
        <v>0</v>
      </c>
      <c r="G98">
        <v>0</v>
      </c>
      <c r="H98">
        <v>2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30</v>
      </c>
      <c r="B99" t="s">
        <v>9644</v>
      </c>
      <c r="C99">
        <f>"100692"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30</v>
      </c>
      <c r="B100" t="s">
        <v>9457</v>
      </c>
      <c r="C100">
        <f>"100605"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30</v>
      </c>
      <c r="B101" t="s">
        <v>9391</v>
      </c>
      <c r="C101">
        <f>"100690"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30</v>
      </c>
      <c r="B102" t="s">
        <v>9454</v>
      </c>
      <c r="C102">
        <f>"101396"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30</v>
      </c>
      <c r="B103" t="s">
        <v>9455</v>
      </c>
      <c r="C103">
        <f>"100684"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30</v>
      </c>
      <c r="B104" t="s">
        <v>9453</v>
      </c>
      <c r="C104">
        <f>"101317"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30</v>
      </c>
      <c r="B105" t="s">
        <v>10037</v>
      </c>
      <c r="C105">
        <f>"101106"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30</v>
      </c>
      <c r="B106" t="s">
        <v>970</v>
      </c>
      <c r="C106">
        <f>"100524"</f>
        <v>0</v>
      </c>
      <c r="D106">
        <v>2</v>
      </c>
      <c r="E106">
        <v>0</v>
      </c>
      <c r="F106">
        <v>0</v>
      </c>
      <c r="G106">
        <v>0</v>
      </c>
      <c r="H106">
        <v>2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30</v>
      </c>
      <c r="B107" t="s">
        <v>9645</v>
      </c>
      <c r="C107">
        <f>"100691"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30</v>
      </c>
      <c r="B108" t="s">
        <v>1159</v>
      </c>
      <c r="C108">
        <f>"100584"</f>
        <v>0</v>
      </c>
      <c r="D108">
        <v>1</v>
      </c>
      <c r="E108">
        <v>0</v>
      </c>
      <c r="F108">
        <v>0</v>
      </c>
      <c r="G108">
        <v>0</v>
      </c>
      <c r="H108">
        <v>1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30</v>
      </c>
      <c r="B109" t="s">
        <v>1157</v>
      </c>
      <c r="C109">
        <f>"101318"</f>
        <v>0</v>
      </c>
      <c r="D109">
        <v>0</v>
      </c>
      <c r="E109">
        <v>1</v>
      </c>
      <c r="F109">
        <v>0</v>
      </c>
      <c r="G109">
        <v>0</v>
      </c>
      <c r="H109">
        <v>1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30</v>
      </c>
      <c r="B110" t="s">
        <v>10052</v>
      </c>
      <c r="C110">
        <f>"100581"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30</v>
      </c>
      <c r="B111" t="s">
        <v>5346</v>
      </c>
      <c r="C111">
        <f>"101327"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30</v>
      </c>
      <c r="B112" t="s">
        <v>983</v>
      </c>
      <c r="C112">
        <f>"101060"</f>
        <v>0</v>
      </c>
      <c r="D112">
        <v>0</v>
      </c>
      <c r="E112">
        <v>2</v>
      </c>
      <c r="F112">
        <v>0</v>
      </c>
      <c r="G112">
        <v>0</v>
      </c>
      <c r="H112">
        <v>2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30</v>
      </c>
      <c r="B113" t="s">
        <v>8779</v>
      </c>
      <c r="C113">
        <f>"100038"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30</v>
      </c>
      <c r="B114" t="s">
        <v>9558</v>
      </c>
      <c r="C114">
        <f>"101399"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30</v>
      </c>
      <c r="B115" t="s">
        <v>9653</v>
      </c>
      <c r="C115">
        <f>"100610"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30</v>
      </c>
      <c r="B116" t="s">
        <v>1214</v>
      </c>
      <c r="C116">
        <f>"100504"</f>
        <v>0</v>
      </c>
      <c r="D116">
        <v>0</v>
      </c>
      <c r="E116">
        <v>1</v>
      </c>
      <c r="F116">
        <v>0</v>
      </c>
      <c r="G116">
        <v>0</v>
      </c>
      <c r="H116">
        <v>1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30</v>
      </c>
      <c r="B117" t="s">
        <v>9652</v>
      </c>
      <c r="C117">
        <f>"520473"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30</v>
      </c>
      <c r="B118" t="s">
        <v>8900</v>
      </c>
      <c r="C118">
        <f>"101204"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30</v>
      </c>
      <c r="B119" t="s">
        <v>2763</v>
      </c>
      <c r="C119">
        <f>"100457"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30</v>
      </c>
      <c r="B120" t="s">
        <v>7706</v>
      </c>
      <c r="C120">
        <f>"100501"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30</v>
      </c>
      <c r="B121" t="s">
        <v>1182</v>
      </c>
      <c r="C121">
        <f>"100411"</f>
        <v>0</v>
      </c>
      <c r="D121">
        <v>1</v>
      </c>
      <c r="E121">
        <v>0</v>
      </c>
      <c r="F121">
        <v>0</v>
      </c>
      <c r="G121">
        <v>0</v>
      </c>
      <c r="H121">
        <v>1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30</v>
      </c>
      <c r="B122" t="s">
        <v>9836</v>
      </c>
      <c r="C122">
        <f>"100402"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30</v>
      </c>
      <c r="B123" t="s">
        <v>1151</v>
      </c>
      <c r="C123">
        <f>"101240"</f>
        <v>0</v>
      </c>
      <c r="D123">
        <v>0</v>
      </c>
      <c r="E123">
        <v>1</v>
      </c>
      <c r="F123">
        <v>0</v>
      </c>
      <c r="G123">
        <v>0</v>
      </c>
      <c r="H123">
        <v>1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30</v>
      </c>
      <c r="B124" t="s">
        <v>10038</v>
      </c>
      <c r="C124">
        <f>"100409"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30</v>
      </c>
      <c r="B125" t="s">
        <v>1150</v>
      </c>
      <c r="C125">
        <f>"100408"</f>
        <v>0</v>
      </c>
      <c r="D125">
        <v>0</v>
      </c>
      <c r="E125">
        <v>1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30</v>
      </c>
      <c r="B126" t="s">
        <v>1026</v>
      </c>
      <c r="C126">
        <f>"100147"</f>
        <v>0</v>
      </c>
      <c r="D126">
        <v>2</v>
      </c>
      <c r="E126">
        <v>0</v>
      </c>
      <c r="F126">
        <v>0</v>
      </c>
      <c r="G126">
        <v>0</v>
      </c>
      <c r="H126">
        <v>2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30</v>
      </c>
      <c r="B127" t="s">
        <v>1153</v>
      </c>
      <c r="C127">
        <f>"100403"</f>
        <v>0</v>
      </c>
      <c r="D127">
        <v>0</v>
      </c>
      <c r="E127">
        <v>1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30</v>
      </c>
      <c r="B128" t="s">
        <v>9991</v>
      </c>
      <c r="C128">
        <f>"101325"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30</v>
      </c>
      <c r="B129" t="s">
        <v>10040</v>
      </c>
      <c r="C129">
        <f>"101322"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30</v>
      </c>
      <c r="B130" t="s">
        <v>6248</v>
      </c>
      <c r="C130">
        <f>"101091"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30</v>
      </c>
      <c r="B131" t="s">
        <v>6305</v>
      </c>
      <c r="C131">
        <f>"101299"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30</v>
      </c>
      <c r="B132" t="s">
        <v>1034</v>
      </c>
      <c r="C132">
        <f>"101058"</f>
        <v>0</v>
      </c>
      <c r="D132">
        <v>0</v>
      </c>
      <c r="E132">
        <v>2</v>
      </c>
      <c r="F132">
        <v>0</v>
      </c>
      <c r="G132">
        <v>0</v>
      </c>
      <c r="H132">
        <v>2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30</v>
      </c>
      <c r="B133" t="s">
        <v>8901</v>
      </c>
      <c r="C133">
        <f>"101198"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30</v>
      </c>
      <c r="B134" t="s">
        <v>8902</v>
      </c>
      <c r="C134">
        <f>"101197"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30</v>
      </c>
      <c r="B135" t="s">
        <v>9002</v>
      </c>
      <c r="C135">
        <f>"101193"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30</v>
      </c>
      <c r="B136" t="s">
        <v>8780</v>
      </c>
      <c r="C136">
        <f>"100039"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30</v>
      </c>
      <c r="B137" t="s">
        <v>670</v>
      </c>
      <c r="C137">
        <f>"101398"</f>
        <v>0</v>
      </c>
      <c r="D137">
        <v>7</v>
      </c>
      <c r="E137">
        <v>0</v>
      </c>
      <c r="F137">
        <v>0</v>
      </c>
      <c r="G137">
        <v>0</v>
      </c>
      <c r="H137">
        <v>7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30</v>
      </c>
      <c r="B138" t="s">
        <v>2753</v>
      </c>
      <c r="C138">
        <f>"100455"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30</v>
      </c>
      <c r="B139" t="s">
        <v>2751</v>
      </c>
      <c r="C139">
        <f>"100459"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30</v>
      </c>
      <c r="B140" t="s">
        <v>1868</v>
      </c>
      <c r="C140">
        <f>"101340"</f>
        <v>0</v>
      </c>
      <c r="D140">
        <v>2</v>
      </c>
      <c r="E140">
        <v>1</v>
      </c>
      <c r="F140">
        <v>2</v>
      </c>
      <c r="G140">
        <v>1</v>
      </c>
      <c r="H140">
        <v>6</v>
      </c>
      <c r="I140">
        <v>1.5</v>
      </c>
      <c r="J140">
        <v>3</v>
      </c>
      <c r="K140">
        <v>41.378</v>
      </c>
      <c r="L140" s="2">
        <v>14</v>
      </c>
      <c r="M140">
        <v>0</v>
      </c>
      <c r="N140" s="2">
        <v>0</v>
      </c>
      <c r="O140">
        <v>-0.09999999999999964</v>
      </c>
      <c r="P140" t="s">
        <v>10506</v>
      </c>
      <c r="Q140">
        <v>2.758</v>
      </c>
      <c r="R140" t="s">
        <v>10266</v>
      </c>
      <c r="S140">
        <v>0</v>
      </c>
    </row>
    <row r="141" spans="1:19">
      <c r="A141" t="s">
        <v>30</v>
      </c>
      <c r="B141" t="s">
        <v>1754</v>
      </c>
      <c r="C141">
        <f>"100738"</f>
        <v>0</v>
      </c>
      <c r="D141">
        <v>3</v>
      </c>
      <c r="E141">
        <v>2</v>
      </c>
      <c r="F141">
        <v>5</v>
      </c>
      <c r="G141">
        <v>1</v>
      </c>
      <c r="H141">
        <v>11</v>
      </c>
      <c r="I141">
        <v>2.5</v>
      </c>
      <c r="J141">
        <v>4</v>
      </c>
      <c r="K141">
        <v>117.248</v>
      </c>
      <c r="L141" s="2">
        <v>29</v>
      </c>
      <c r="M141">
        <v>0</v>
      </c>
      <c r="N141" s="2">
        <v>0</v>
      </c>
      <c r="O141">
        <v>-0.2999999999999998</v>
      </c>
      <c r="P141" t="s">
        <v>10394</v>
      </c>
      <c r="Q141">
        <v>6.658</v>
      </c>
      <c r="R141" t="s">
        <v>10543</v>
      </c>
      <c r="S141">
        <v>0</v>
      </c>
    </row>
    <row r="142" spans="1:19">
      <c r="A142" t="s">
        <v>30</v>
      </c>
      <c r="B142" t="s">
        <v>1779</v>
      </c>
      <c r="C142">
        <f>"100144"</f>
        <v>0</v>
      </c>
      <c r="D142">
        <v>2</v>
      </c>
      <c r="E142">
        <v>5</v>
      </c>
      <c r="F142">
        <v>4</v>
      </c>
      <c r="G142">
        <v>0</v>
      </c>
      <c r="H142">
        <v>11</v>
      </c>
      <c r="I142">
        <v>3</v>
      </c>
      <c r="J142">
        <v>3</v>
      </c>
      <c r="K142">
        <v>46.077</v>
      </c>
      <c r="L142" s="2">
        <v>15</v>
      </c>
      <c r="M142">
        <v>0</v>
      </c>
      <c r="N142" s="2">
        <v>0</v>
      </c>
      <c r="O142">
        <v>-0.5999999999999996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30</v>
      </c>
      <c r="B143" t="s">
        <v>1843</v>
      </c>
      <c r="C143">
        <f>"100901"</f>
        <v>0</v>
      </c>
      <c r="D143">
        <v>1</v>
      </c>
      <c r="E143">
        <v>1</v>
      </c>
      <c r="F143">
        <v>4</v>
      </c>
      <c r="G143">
        <v>1</v>
      </c>
      <c r="H143">
        <v>7</v>
      </c>
      <c r="I143">
        <v>1</v>
      </c>
      <c r="J143">
        <v>3</v>
      </c>
      <c r="K143">
        <v>35.799</v>
      </c>
      <c r="L143" s="2">
        <v>12</v>
      </c>
      <c r="M143">
        <v>0</v>
      </c>
      <c r="N143" s="2">
        <v>0</v>
      </c>
      <c r="O143">
        <v>-0.5999999999999996</v>
      </c>
      <c r="P143" t="s">
        <v>10507</v>
      </c>
      <c r="Q143">
        <v>3.918</v>
      </c>
      <c r="R143" t="s">
        <v>10544</v>
      </c>
      <c r="S143">
        <v>0</v>
      </c>
    </row>
    <row r="144" spans="1:19">
      <c r="A144" t="s">
        <v>30</v>
      </c>
      <c r="B144" t="s">
        <v>2220</v>
      </c>
      <c r="C144">
        <f>"100533"</f>
        <v>0</v>
      </c>
      <c r="D144">
        <v>1</v>
      </c>
      <c r="E144">
        <v>1</v>
      </c>
      <c r="F144">
        <v>0</v>
      </c>
      <c r="G144">
        <v>0</v>
      </c>
      <c r="H144">
        <v>2</v>
      </c>
      <c r="I144">
        <v>0.5</v>
      </c>
      <c r="J144">
        <v>1</v>
      </c>
      <c r="K144">
        <v>41.125</v>
      </c>
      <c r="L144" s="2">
        <v>41</v>
      </c>
      <c r="M144">
        <v>0</v>
      </c>
      <c r="N144" s="2">
        <v>0</v>
      </c>
      <c r="O144">
        <v>-0.7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30</v>
      </c>
      <c r="B145" t="s">
        <v>2223</v>
      </c>
      <c r="C145">
        <f>"1011081"</f>
        <v>0</v>
      </c>
      <c r="D145">
        <v>0</v>
      </c>
      <c r="E145">
        <v>1</v>
      </c>
      <c r="F145">
        <v>1</v>
      </c>
      <c r="G145">
        <v>0</v>
      </c>
      <c r="H145">
        <v>2</v>
      </c>
      <c r="I145">
        <v>0.5</v>
      </c>
      <c r="J145">
        <v>1</v>
      </c>
      <c r="K145">
        <v>3.756</v>
      </c>
      <c r="L145" s="2">
        <v>4</v>
      </c>
      <c r="M145">
        <v>0</v>
      </c>
      <c r="N145" s="2">
        <v>0</v>
      </c>
      <c r="O145">
        <v>-0.7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30</v>
      </c>
      <c r="B146" t="s">
        <v>2173</v>
      </c>
      <c r="C146">
        <f>"100548"</f>
        <v>0</v>
      </c>
      <c r="D146">
        <v>0</v>
      </c>
      <c r="E146">
        <v>1</v>
      </c>
      <c r="F146">
        <v>1</v>
      </c>
      <c r="G146">
        <v>0</v>
      </c>
      <c r="H146">
        <v>2</v>
      </c>
      <c r="I146">
        <v>0.5</v>
      </c>
      <c r="J146">
        <v>1</v>
      </c>
      <c r="K146">
        <v>11.116</v>
      </c>
      <c r="L146" s="2">
        <v>11</v>
      </c>
      <c r="M146">
        <v>0</v>
      </c>
      <c r="N146" s="2">
        <v>0</v>
      </c>
      <c r="O146">
        <v>-0.7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30</v>
      </c>
      <c r="B147" t="s">
        <v>1934</v>
      </c>
      <c r="C147">
        <f>"101385"</f>
        <v>0</v>
      </c>
      <c r="D147">
        <v>2</v>
      </c>
      <c r="E147">
        <v>2</v>
      </c>
      <c r="F147">
        <v>1</v>
      </c>
      <c r="G147">
        <v>0</v>
      </c>
      <c r="H147">
        <v>5</v>
      </c>
      <c r="I147">
        <v>1.5</v>
      </c>
      <c r="J147">
        <v>2</v>
      </c>
      <c r="K147">
        <v>12.39</v>
      </c>
      <c r="L147" s="2">
        <v>6</v>
      </c>
      <c r="M147">
        <v>0</v>
      </c>
      <c r="N147" s="2">
        <v>0</v>
      </c>
      <c r="O147">
        <v>-0.8999999999999999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30</v>
      </c>
      <c r="B148" t="s">
        <v>1717</v>
      </c>
      <c r="C148">
        <f>"101395"</f>
        <v>0</v>
      </c>
      <c r="D148">
        <v>6</v>
      </c>
      <c r="E148">
        <v>1</v>
      </c>
      <c r="F148">
        <v>2</v>
      </c>
      <c r="G148">
        <v>0</v>
      </c>
      <c r="H148">
        <v>9</v>
      </c>
      <c r="I148">
        <v>1.5</v>
      </c>
      <c r="J148">
        <v>2</v>
      </c>
      <c r="K148">
        <v>75.69</v>
      </c>
      <c r="L148" s="2">
        <v>38</v>
      </c>
      <c r="M148">
        <v>0</v>
      </c>
      <c r="N148" s="2">
        <v>0</v>
      </c>
      <c r="O148">
        <v>-0.8999999999999999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30</v>
      </c>
      <c r="B149" t="s">
        <v>277</v>
      </c>
      <c r="C149">
        <f>"100699"</f>
        <v>0</v>
      </c>
      <c r="D149">
        <v>0</v>
      </c>
      <c r="E149">
        <v>0</v>
      </c>
      <c r="F149">
        <v>0</v>
      </c>
      <c r="G149">
        <v>1</v>
      </c>
      <c r="H149">
        <v>1</v>
      </c>
      <c r="I149">
        <v>0</v>
      </c>
      <c r="J149">
        <v>5</v>
      </c>
      <c r="K149">
        <v>56.823</v>
      </c>
      <c r="L149" s="2">
        <v>11</v>
      </c>
      <c r="M149">
        <v>0</v>
      </c>
      <c r="N149" s="2">
        <v>0</v>
      </c>
      <c r="O149">
        <v>-1</v>
      </c>
      <c r="P149" t="s">
        <v>10442</v>
      </c>
      <c r="Q149">
        <v>803</v>
      </c>
      <c r="R149" t="s">
        <v>10545</v>
      </c>
      <c r="S149">
        <v>1</v>
      </c>
    </row>
    <row r="150" spans="1:19">
      <c r="A150" t="s">
        <v>30</v>
      </c>
      <c r="B150" t="s">
        <v>9557</v>
      </c>
      <c r="C150">
        <f>"100602"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</v>
      </c>
      <c r="K150">
        <v>11.816</v>
      </c>
      <c r="L150" s="2">
        <v>12</v>
      </c>
      <c r="M150">
        <v>0</v>
      </c>
      <c r="N150" s="2">
        <v>0</v>
      </c>
      <c r="O150">
        <v>-1.2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30</v>
      </c>
      <c r="B151" t="s">
        <v>2694</v>
      </c>
      <c r="C151">
        <f>"100971"</f>
        <v>0</v>
      </c>
      <c r="D151">
        <v>0</v>
      </c>
      <c r="E151">
        <v>0</v>
      </c>
      <c r="F151">
        <v>1</v>
      </c>
      <c r="G151">
        <v>0</v>
      </c>
      <c r="H151">
        <v>1</v>
      </c>
      <c r="I151">
        <v>0</v>
      </c>
      <c r="J151">
        <v>1</v>
      </c>
      <c r="K151">
        <v>37.914</v>
      </c>
      <c r="L151" s="2">
        <v>38</v>
      </c>
      <c r="M151">
        <v>0</v>
      </c>
      <c r="N151" s="2">
        <v>0</v>
      </c>
      <c r="O151">
        <v>-1.2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30</v>
      </c>
      <c r="B152" t="s">
        <v>1641</v>
      </c>
      <c r="C152">
        <f>"101148"</f>
        <v>0</v>
      </c>
      <c r="D152">
        <v>6</v>
      </c>
      <c r="E152">
        <v>0</v>
      </c>
      <c r="F152">
        <v>0</v>
      </c>
      <c r="G152">
        <v>0</v>
      </c>
      <c r="H152">
        <v>6</v>
      </c>
      <c r="I152">
        <v>0</v>
      </c>
      <c r="J152">
        <v>1</v>
      </c>
      <c r="K152">
        <v>1.357</v>
      </c>
      <c r="L152" s="2">
        <v>1</v>
      </c>
      <c r="M152">
        <v>0</v>
      </c>
      <c r="N152" s="2">
        <v>0</v>
      </c>
      <c r="O152">
        <v>-1.2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30</v>
      </c>
      <c r="B153" t="s">
        <v>1612</v>
      </c>
      <c r="C153">
        <f>"101319"</f>
        <v>0</v>
      </c>
      <c r="D153">
        <v>1</v>
      </c>
      <c r="E153">
        <v>2</v>
      </c>
      <c r="F153">
        <v>1</v>
      </c>
      <c r="G153">
        <v>1</v>
      </c>
      <c r="H153">
        <v>5</v>
      </c>
      <c r="I153">
        <v>1</v>
      </c>
      <c r="J153">
        <v>4</v>
      </c>
      <c r="K153">
        <v>16.272</v>
      </c>
      <c r="L153" s="2">
        <v>4</v>
      </c>
      <c r="M153">
        <v>0</v>
      </c>
      <c r="N153" s="2">
        <v>0</v>
      </c>
      <c r="O153">
        <v>-1.8</v>
      </c>
      <c r="P153" t="s">
        <v>10347</v>
      </c>
      <c r="Q153">
        <v>125</v>
      </c>
      <c r="R153" t="s">
        <v>10546</v>
      </c>
      <c r="S153">
        <v>0</v>
      </c>
    </row>
    <row r="154" spans="1:19">
      <c r="A154" t="s">
        <v>30</v>
      </c>
      <c r="B154" t="s">
        <v>10212</v>
      </c>
      <c r="C154">
        <f>"101320"</f>
        <v>0</v>
      </c>
      <c r="D154">
        <v>0</v>
      </c>
      <c r="E154">
        <v>4</v>
      </c>
      <c r="F154">
        <v>1</v>
      </c>
      <c r="G154">
        <v>1</v>
      </c>
      <c r="H154">
        <v>6</v>
      </c>
      <c r="I154">
        <v>1</v>
      </c>
      <c r="J154">
        <v>4</v>
      </c>
      <c r="K154">
        <v>16.888</v>
      </c>
      <c r="L154" s="2">
        <v>4</v>
      </c>
      <c r="M154">
        <v>0</v>
      </c>
      <c r="N154" s="2">
        <v>0</v>
      </c>
      <c r="O154">
        <v>-1.8</v>
      </c>
      <c r="P154" t="s">
        <v>10347</v>
      </c>
      <c r="Q154">
        <v>-28</v>
      </c>
      <c r="R154" t="s">
        <v>10547</v>
      </c>
      <c r="S154">
        <v>0</v>
      </c>
    </row>
    <row r="155" spans="1:19">
      <c r="A155" t="s">
        <v>30</v>
      </c>
      <c r="B155" t="s">
        <v>6306</v>
      </c>
      <c r="C155">
        <f>"101154"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2</v>
      </c>
      <c r="K155">
        <v>28.51</v>
      </c>
      <c r="L155" s="2">
        <v>14</v>
      </c>
      <c r="M155">
        <v>0</v>
      </c>
      <c r="N155" s="2">
        <v>0</v>
      </c>
      <c r="O155">
        <v>-2.4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30</v>
      </c>
      <c r="B156" t="s">
        <v>2760</v>
      </c>
      <c r="C156">
        <f>"100283"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2</v>
      </c>
      <c r="K156">
        <v>15.678</v>
      </c>
      <c r="L156" s="2">
        <v>8</v>
      </c>
      <c r="M156">
        <v>0</v>
      </c>
      <c r="N156" s="2">
        <v>0</v>
      </c>
      <c r="O156">
        <v>-2.4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30</v>
      </c>
      <c r="B157" t="s">
        <v>9839</v>
      </c>
      <c r="C157">
        <f>"101231"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2</v>
      </c>
      <c r="K157">
        <v>27.938</v>
      </c>
      <c r="L157" s="2">
        <v>14</v>
      </c>
      <c r="M157">
        <v>0</v>
      </c>
      <c r="N157" s="2">
        <v>0</v>
      </c>
      <c r="O157">
        <v>-2.4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30</v>
      </c>
      <c r="B158" t="s">
        <v>2717</v>
      </c>
      <c r="C158">
        <f>"100900"</f>
        <v>0</v>
      </c>
      <c r="D158">
        <v>1</v>
      </c>
      <c r="E158">
        <v>0</v>
      </c>
      <c r="F158">
        <v>0</v>
      </c>
      <c r="G158">
        <v>0</v>
      </c>
      <c r="H158">
        <v>1</v>
      </c>
      <c r="I158">
        <v>0</v>
      </c>
      <c r="J158">
        <v>2</v>
      </c>
      <c r="K158">
        <v>77.304</v>
      </c>
      <c r="L158" s="2">
        <v>39</v>
      </c>
      <c r="M158">
        <v>0</v>
      </c>
      <c r="N158" s="2">
        <v>0</v>
      </c>
      <c r="O158">
        <v>-2.4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30</v>
      </c>
      <c r="B159" t="s">
        <v>2032</v>
      </c>
      <c r="C159">
        <f>"101121"</f>
        <v>0</v>
      </c>
      <c r="D159">
        <v>4</v>
      </c>
      <c r="E159">
        <v>0</v>
      </c>
      <c r="F159">
        <v>0</v>
      </c>
      <c r="G159">
        <v>0</v>
      </c>
      <c r="H159">
        <v>4</v>
      </c>
      <c r="I159">
        <v>0</v>
      </c>
      <c r="J159">
        <v>2</v>
      </c>
      <c r="K159">
        <v>22.284</v>
      </c>
      <c r="L159" s="2">
        <v>11</v>
      </c>
      <c r="M159">
        <v>0</v>
      </c>
      <c r="N159" s="2">
        <v>0</v>
      </c>
      <c r="O159">
        <v>-2.4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30</v>
      </c>
      <c r="B160" t="s">
        <v>10213</v>
      </c>
      <c r="C160">
        <f>"100530"</f>
        <v>0</v>
      </c>
      <c r="D160">
        <v>0</v>
      </c>
      <c r="E160">
        <v>0</v>
      </c>
      <c r="F160">
        <v>2</v>
      </c>
      <c r="G160">
        <v>0</v>
      </c>
      <c r="H160">
        <v>2</v>
      </c>
      <c r="I160">
        <v>0</v>
      </c>
      <c r="J160">
        <v>2</v>
      </c>
      <c r="K160">
        <v>87.744</v>
      </c>
      <c r="L160" s="2">
        <v>44</v>
      </c>
      <c r="M160">
        <v>0</v>
      </c>
      <c r="N160" s="2">
        <v>0</v>
      </c>
      <c r="O160">
        <v>-2.4</v>
      </c>
      <c r="P160" t="s">
        <v>10508</v>
      </c>
      <c r="Q160">
        <v>-17.548</v>
      </c>
      <c r="R160" t="s">
        <v>10266</v>
      </c>
      <c r="S160">
        <v>0</v>
      </c>
    </row>
    <row r="161" spans="1:19">
      <c r="A161" t="s">
        <v>30</v>
      </c>
      <c r="B161" t="s">
        <v>9394</v>
      </c>
      <c r="C161">
        <f>"100589"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2</v>
      </c>
      <c r="K161">
        <v>104.965</v>
      </c>
      <c r="L161" s="2">
        <v>52</v>
      </c>
      <c r="M161">
        <v>0</v>
      </c>
      <c r="N161" s="2">
        <v>0</v>
      </c>
      <c r="O161">
        <v>-2.4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30</v>
      </c>
      <c r="B162" t="s">
        <v>9452</v>
      </c>
      <c r="C162">
        <f>"100598"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2</v>
      </c>
      <c r="K162">
        <v>23.632</v>
      </c>
      <c r="L162" s="2">
        <v>12</v>
      </c>
      <c r="M162">
        <v>0</v>
      </c>
      <c r="N162" s="2">
        <v>0</v>
      </c>
      <c r="O162">
        <v>-2.4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30</v>
      </c>
      <c r="B163" t="s">
        <v>1882</v>
      </c>
      <c r="C163">
        <f>"101397"</f>
        <v>0</v>
      </c>
      <c r="D163">
        <v>6</v>
      </c>
      <c r="E163">
        <v>0</v>
      </c>
      <c r="F163">
        <v>0</v>
      </c>
      <c r="G163">
        <v>0</v>
      </c>
      <c r="H163">
        <v>6</v>
      </c>
      <c r="I163">
        <v>0</v>
      </c>
      <c r="J163">
        <v>2</v>
      </c>
      <c r="K163">
        <v>72.968</v>
      </c>
      <c r="L163" s="2">
        <v>36</v>
      </c>
      <c r="M163">
        <v>0</v>
      </c>
      <c r="N163" s="2">
        <v>0</v>
      </c>
      <c r="O163">
        <v>-2.4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30</v>
      </c>
      <c r="B164" t="s">
        <v>2836</v>
      </c>
      <c r="C164">
        <f>"100282"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2</v>
      </c>
      <c r="K164">
        <v>10.01</v>
      </c>
      <c r="L164" s="2">
        <v>5</v>
      </c>
      <c r="M164">
        <v>0</v>
      </c>
      <c r="N164" s="2">
        <v>0</v>
      </c>
      <c r="O164">
        <v>-2.4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30</v>
      </c>
      <c r="B165" t="s">
        <v>2363</v>
      </c>
      <c r="C165">
        <f>"100999"</f>
        <v>0</v>
      </c>
      <c r="D165">
        <v>0</v>
      </c>
      <c r="E165">
        <v>0</v>
      </c>
      <c r="F165">
        <v>1</v>
      </c>
      <c r="G165">
        <v>0</v>
      </c>
      <c r="H165">
        <v>1</v>
      </c>
      <c r="I165">
        <v>0</v>
      </c>
      <c r="J165">
        <v>2</v>
      </c>
      <c r="K165">
        <v>11.524</v>
      </c>
      <c r="L165" s="2">
        <v>6</v>
      </c>
      <c r="M165">
        <v>0</v>
      </c>
      <c r="N165" s="2">
        <v>0</v>
      </c>
      <c r="O165">
        <v>-2.4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30</v>
      </c>
      <c r="B166" t="s">
        <v>365</v>
      </c>
      <c r="C166">
        <f>"101112"</f>
        <v>0</v>
      </c>
      <c r="D166">
        <v>4</v>
      </c>
      <c r="E166">
        <v>4</v>
      </c>
      <c r="F166">
        <v>6</v>
      </c>
      <c r="G166">
        <v>1</v>
      </c>
      <c r="H166">
        <v>15</v>
      </c>
      <c r="I166">
        <v>4</v>
      </c>
      <c r="J166">
        <v>7</v>
      </c>
      <c r="K166">
        <v>25.136</v>
      </c>
      <c r="L166" s="2">
        <v>4</v>
      </c>
      <c r="M166">
        <v>0</v>
      </c>
      <c r="N166" s="2">
        <v>0</v>
      </c>
      <c r="O166">
        <v>-2.4</v>
      </c>
      <c r="P166" t="s">
        <v>10291</v>
      </c>
      <c r="Q166">
        <v>474</v>
      </c>
      <c r="R166" t="s">
        <v>10548</v>
      </c>
      <c r="S166">
        <v>0</v>
      </c>
    </row>
    <row r="167" spans="1:19">
      <c r="A167" t="s">
        <v>30</v>
      </c>
      <c r="B167" t="s">
        <v>1651</v>
      </c>
      <c r="C167">
        <f>"101059"</f>
        <v>0</v>
      </c>
      <c r="D167">
        <v>2</v>
      </c>
      <c r="E167">
        <v>11</v>
      </c>
      <c r="F167">
        <v>10</v>
      </c>
      <c r="G167">
        <v>0</v>
      </c>
      <c r="H167">
        <v>23</v>
      </c>
      <c r="I167">
        <v>6</v>
      </c>
      <c r="J167">
        <v>7</v>
      </c>
      <c r="K167">
        <v>30.8</v>
      </c>
      <c r="L167" s="2">
        <v>4</v>
      </c>
      <c r="M167">
        <v>0</v>
      </c>
      <c r="N167" s="2">
        <v>0</v>
      </c>
      <c r="O167">
        <v>-2.4</v>
      </c>
      <c r="P167" t="s">
        <v>100</v>
      </c>
      <c r="Q167">
        <v>11.042</v>
      </c>
      <c r="R167" t="s">
        <v>145</v>
      </c>
      <c r="S167">
        <v>0</v>
      </c>
    </row>
    <row r="168" spans="1:19">
      <c r="A168" t="s">
        <v>30</v>
      </c>
      <c r="B168" t="s">
        <v>2287</v>
      </c>
      <c r="C168">
        <f>"100531"</f>
        <v>0</v>
      </c>
      <c r="D168">
        <v>1</v>
      </c>
      <c r="E168">
        <v>1</v>
      </c>
      <c r="F168">
        <v>0</v>
      </c>
      <c r="G168">
        <v>0</v>
      </c>
      <c r="H168">
        <v>2</v>
      </c>
      <c r="I168">
        <v>0.5</v>
      </c>
      <c r="J168">
        <v>3</v>
      </c>
      <c r="K168">
        <v>126.303</v>
      </c>
      <c r="L168" s="2">
        <v>42</v>
      </c>
      <c r="M168">
        <v>0</v>
      </c>
      <c r="N168" s="2">
        <v>0</v>
      </c>
      <c r="O168">
        <v>-3.1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30</v>
      </c>
      <c r="B169" t="s">
        <v>9456</v>
      </c>
      <c r="C169">
        <f>"100604"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3</v>
      </c>
      <c r="K169">
        <v>32.697</v>
      </c>
      <c r="L169" s="2">
        <v>11</v>
      </c>
      <c r="M169">
        <v>0</v>
      </c>
      <c r="N169" s="2">
        <v>0</v>
      </c>
      <c r="O169">
        <v>-3.6</v>
      </c>
      <c r="P169" t="s">
        <v>100</v>
      </c>
      <c r="Q169">
        <v>0</v>
      </c>
      <c r="R169" t="s">
        <v>145</v>
      </c>
      <c r="S169">
        <v>0</v>
      </c>
    </row>
    <row r="170" spans="1:19">
      <c r="A170" t="s">
        <v>30</v>
      </c>
      <c r="B170" t="s">
        <v>6307</v>
      </c>
      <c r="C170">
        <f>"101153"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3</v>
      </c>
      <c r="K170">
        <v>42.765</v>
      </c>
      <c r="L170" s="2">
        <v>14</v>
      </c>
      <c r="M170">
        <v>0</v>
      </c>
      <c r="N170" s="2">
        <v>0</v>
      </c>
      <c r="O170">
        <v>-3.6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30</v>
      </c>
      <c r="B171" t="s">
        <v>2467</v>
      </c>
      <c r="C171">
        <f>"100028"</f>
        <v>0</v>
      </c>
      <c r="D171">
        <v>0</v>
      </c>
      <c r="E171">
        <v>1</v>
      </c>
      <c r="F171">
        <v>0</v>
      </c>
      <c r="G171">
        <v>0</v>
      </c>
      <c r="H171">
        <v>1</v>
      </c>
      <c r="I171">
        <v>0</v>
      </c>
      <c r="J171">
        <v>3</v>
      </c>
      <c r="K171">
        <v>34.074</v>
      </c>
      <c r="L171" s="2">
        <v>11</v>
      </c>
      <c r="M171">
        <v>0</v>
      </c>
      <c r="N171" s="2">
        <v>0</v>
      </c>
      <c r="O171">
        <v>-3.6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30</v>
      </c>
      <c r="B172" t="s">
        <v>7288</v>
      </c>
      <c r="C172">
        <f>"100739"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3</v>
      </c>
      <c r="K172">
        <v>103.002</v>
      </c>
      <c r="L172" s="2">
        <v>34</v>
      </c>
      <c r="M172">
        <v>0</v>
      </c>
      <c r="N172" s="2">
        <v>0</v>
      </c>
      <c r="O172">
        <v>-3.6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30</v>
      </c>
      <c r="B173" t="s">
        <v>6303</v>
      </c>
      <c r="C173">
        <f>"101098"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3</v>
      </c>
      <c r="K173">
        <v>42.765</v>
      </c>
      <c r="L173" s="2">
        <v>14</v>
      </c>
      <c r="M173">
        <v>0</v>
      </c>
      <c r="N173" s="2">
        <v>0</v>
      </c>
      <c r="O173">
        <v>-3.6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30</v>
      </c>
      <c r="B174" t="s">
        <v>2449</v>
      </c>
      <c r="C174">
        <f>"100600"</f>
        <v>0</v>
      </c>
      <c r="D174">
        <v>0</v>
      </c>
      <c r="E174">
        <v>0</v>
      </c>
      <c r="F174">
        <v>1</v>
      </c>
      <c r="G174">
        <v>0</v>
      </c>
      <c r="H174">
        <v>1</v>
      </c>
      <c r="I174">
        <v>0</v>
      </c>
      <c r="J174">
        <v>3</v>
      </c>
      <c r="K174">
        <v>32.697</v>
      </c>
      <c r="L174" s="2">
        <v>11</v>
      </c>
      <c r="M174">
        <v>0</v>
      </c>
      <c r="N174" s="2">
        <v>0</v>
      </c>
      <c r="O174">
        <v>-3.6</v>
      </c>
      <c r="P174" t="s">
        <v>100</v>
      </c>
      <c r="Q174">
        <v>0</v>
      </c>
      <c r="R174" t="s">
        <v>145</v>
      </c>
      <c r="S174">
        <v>0</v>
      </c>
    </row>
    <row r="175" spans="1:19">
      <c r="A175" t="s">
        <v>30</v>
      </c>
      <c r="B175" t="s">
        <v>1628</v>
      </c>
      <c r="C175">
        <f>"101201"</f>
        <v>0</v>
      </c>
      <c r="D175">
        <v>1</v>
      </c>
      <c r="E175">
        <v>0</v>
      </c>
      <c r="F175">
        <v>0</v>
      </c>
      <c r="G175">
        <v>1</v>
      </c>
      <c r="H175">
        <v>2</v>
      </c>
      <c r="I175">
        <v>0.5</v>
      </c>
      <c r="J175">
        <v>8</v>
      </c>
      <c r="K175">
        <v>25.88</v>
      </c>
      <c r="L175" s="2">
        <v>3</v>
      </c>
      <c r="M175">
        <v>0</v>
      </c>
      <c r="N175" s="2">
        <v>0</v>
      </c>
      <c r="O175">
        <v>-4.1</v>
      </c>
      <c r="P175" t="s">
        <v>10327</v>
      </c>
      <c r="Q175">
        <v>118</v>
      </c>
      <c r="R175" t="s">
        <v>10541</v>
      </c>
      <c r="S175">
        <v>1</v>
      </c>
    </row>
    <row r="176" spans="1:19">
      <c r="A176" t="s">
        <v>30</v>
      </c>
      <c r="B176" t="s">
        <v>2594</v>
      </c>
      <c r="C176">
        <f>"101104"</f>
        <v>0</v>
      </c>
      <c r="D176">
        <v>0</v>
      </c>
      <c r="E176">
        <v>1</v>
      </c>
      <c r="F176">
        <v>0</v>
      </c>
      <c r="G176">
        <v>0</v>
      </c>
      <c r="H176">
        <v>1</v>
      </c>
      <c r="I176">
        <v>0</v>
      </c>
      <c r="J176">
        <v>4</v>
      </c>
      <c r="K176">
        <v>15.024</v>
      </c>
      <c r="L176" s="2">
        <v>4</v>
      </c>
      <c r="M176">
        <v>0</v>
      </c>
      <c r="N176" s="2">
        <v>0</v>
      </c>
      <c r="O176">
        <v>-4.8</v>
      </c>
      <c r="P176" t="s">
        <v>100</v>
      </c>
      <c r="Q176">
        <v>0</v>
      </c>
      <c r="R176" t="s">
        <v>145</v>
      </c>
      <c r="S176">
        <v>0</v>
      </c>
    </row>
    <row r="177" spans="1:19">
      <c r="A177" t="s">
        <v>30</v>
      </c>
      <c r="B177" t="s">
        <v>2174</v>
      </c>
      <c r="C177">
        <f>"100545"</f>
        <v>0</v>
      </c>
      <c r="D177">
        <v>0</v>
      </c>
      <c r="E177">
        <v>0</v>
      </c>
      <c r="F177">
        <v>2</v>
      </c>
      <c r="G177">
        <v>0</v>
      </c>
      <c r="H177">
        <v>2</v>
      </c>
      <c r="I177">
        <v>0</v>
      </c>
      <c r="J177">
        <v>4</v>
      </c>
      <c r="K177">
        <v>33.188</v>
      </c>
      <c r="L177" s="2">
        <v>8</v>
      </c>
      <c r="M177">
        <v>0</v>
      </c>
      <c r="N177" s="2">
        <v>0</v>
      </c>
      <c r="O177">
        <v>-4.8</v>
      </c>
      <c r="P177" t="s">
        <v>100</v>
      </c>
      <c r="Q177">
        <v>0</v>
      </c>
      <c r="R177" t="s">
        <v>145</v>
      </c>
      <c r="S177">
        <v>0</v>
      </c>
    </row>
    <row r="178" spans="1:19">
      <c r="A178" t="s">
        <v>30</v>
      </c>
      <c r="B178" t="s">
        <v>10039</v>
      </c>
      <c r="C178">
        <f>"101337"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4</v>
      </c>
      <c r="K178">
        <v>133.756</v>
      </c>
      <c r="L178" s="2">
        <v>33</v>
      </c>
      <c r="M178">
        <v>0</v>
      </c>
      <c r="N178" s="2">
        <v>0</v>
      </c>
      <c r="O178">
        <v>-4.8</v>
      </c>
      <c r="P178" t="s">
        <v>100</v>
      </c>
      <c r="Q178">
        <v>0</v>
      </c>
      <c r="R178" t="s">
        <v>145</v>
      </c>
      <c r="S178">
        <v>0</v>
      </c>
    </row>
    <row r="179" spans="1:19">
      <c r="A179" t="s">
        <v>30</v>
      </c>
      <c r="B179" t="s">
        <v>6304</v>
      </c>
      <c r="C179">
        <f>"101097"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4</v>
      </c>
      <c r="K179">
        <v>57.02</v>
      </c>
      <c r="L179" s="2">
        <v>14</v>
      </c>
      <c r="M179">
        <v>0</v>
      </c>
      <c r="N179" s="2">
        <v>0</v>
      </c>
      <c r="O179">
        <v>-4.8</v>
      </c>
      <c r="P179" t="s">
        <v>100</v>
      </c>
      <c r="Q179">
        <v>0</v>
      </c>
      <c r="R179" t="s">
        <v>145</v>
      </c>
      <c r="S179">
        <v>0</v>
      </c>
    </row>
    <row r="180" spans="1:19">
      <c r="A180" t="s">
        <v>30</v>
      </c>
      <c r="B180" t="s">
        <v>1989</v>
      </c>
      <c r="C180">
        <f>"100737"</f>
        <v>0</v>
      </c>
      <c r="D180">
        <v>2</v>
      </c>
      <c r="E180">
        <v>2</v>
      </c>
      <c r="F180">
        <v>0</v>
      </c>
      <c r="G180">
        <v>0</v>
      </c>
      <c r="H180">
        <v>4</v>
      </c>
      <c r="I180">
        <v>1</v>
      </c>
      <c r="J180">
        <v>5</v>
      </c>
      <c r="K180">
        <v>134.385</v>
      </c>
      <c r="L180" s="2">
        <v>27</v>
      </c>
      <c r="M180">
        <v>0</v>
      </c>
      <c r="N180" s="2">
        <v>0</v>
      </c>
      <c r="O180">
        <v>-5</v>
      </c>
      <c r="P180" t="s">
        <v>100</v>
      </c>
      <c r="Q180">
        <v>0</v>
      </c>
      <c r="R180" t="s">
        <v>145</v>
      </c>
      <c r="S180">
        <v>0</v>
      </c>
    </row>
    <row r="181" spans="1:19">
      <c r="A181" t="s">
        <v>30</v>
      </c>
      <c r="B181" t="s">
        <v>2376</v>
      </c>
      <c r="C181">
        <f>"100202"</f>
        <v>0</v>
      </c>
      <c r="D181">
        <v>0</v>
      </c>
      <c r="E181">
        <v>0</v>
      </c>
      <c r="F181">
        <v>1</v>
      </c>
      <c r="G181">
        <v>0</v>
      </c>
      <c r="H181">
        <v>1</v>
      </c>
      <c r="I181">
        <v>0</v>
      </c>
      <c r="J181">
        <v>5</v>
      </c>
      <c r="K181">
        <v>32.715</v>
      </c>
      <c r="L181" s="2">
        <v>7</v>
      </c>
      <c r="M181">
        <v>0</v>
      </c>
      <c r="N181" s="2">
        <v>0</v>
      </c>
      <c r="O181">
        <v>-6</v>
      </c>
      <c r="P181" t="s">
        <v>100</v>
      </c>
      <c r="Q181">
        <v>0</v>
      </c>
      <c r="R181" t="s">
        <v>145</v>
      </c>
      <c r="S181">
        <v>0</v>
      </c>
    </row>
    <row r="182" spans="1:19">
      <c r="A182" t="s">
        <v>30</v>
      </c>
      <c r="B182" t="s">
        <v>2198</v>
      </c>
      <c r="C182">
        <f>"100596"</f>
        <v>0</v>
      </c>
      <c r="D182">
        <v>1</v>
      </c>
      <c r="E182">
        <v>1</v>
      </c>
      <c r="F182">
        <v>0</v>
      </c>
      <c r="G182">
        <v>0</v>
      </c>
      <c r="H182">
        <v>2</v>
      </c>
      <c r="I182">
        <v>0.5</v>
      </c>
      <c r="J182">
        <v>6</v>
      </c>
      <c r="K182">
        <v>73.191</v>
      </c>
      <c r="L182" s="2">
        <v>12</v>
      </c>
      <c r="M182">
        <v>0</v>
      </c>
      <c r="N182" s="2">
        <v>0</v>
      </c>
      <c r="O182">
        <v>-6.699999999999999</v>
      </c>
      <c r="P182" t="s">
        <v>100</v>
      </c>
      <c r="Q182">
        <v>0</v>
      </c>
      <c r="R182" t="s">
        <v>145</v>
      </c>
      <c r="S182">
        <v>0</v>
      </c>
    </row>
    <row r="183" spans="1:19">
      <c r="A183" t="s">
        <v>30</v>
      </c>
      <c r="B183" t="s">
        <v>1835</v>
      </c>
      <c r="C183">
        <f>"101255"</f>
        <v>0</v>
      </c>
      <c r="D183">
        <v>0</v>
      </c>
      <c r="E183">
        <v>3</v>
      </c>
      <c r="F183">
        <v>5</v>
      </c>
      <c r="G183">
        <v>0</v>
      </c>
      <c r="H183">
        <v>8</v>
      </c>
      <c r="I183">
        <v>1.5</v>
      </c>
      <c r="J183">
        <v>7</v>
      </c>
      <c r="K183">
        <v>96.20099999999999</v>
      </c>
      <c r="L183" s="2">
        <v>14</v>
      </c>
      <c r="M183">
        <v>0</v>
      </c>
      <c r="N183" s="2">
        <v>0</v>
      </c>
      <c r="O183">
        <v>-6.9</v>
      </c>
      <c r="P183" t="s">
        <v>100</v>
      </c>
      <c r="Q183">
        <v>0</v>
      </c>
      <c r="R183" t="s">
        <v>145</v>
      </c>
      <c r="S183">
        <v>0</v>
      </c>
    </row>
    <row r="184" spans="1:19">
      <c r="A184" t="s">
        <v>30</v>
      </c>
      <c r="B184" t="s">
        <v>1819</v>
      </c>
      <c r="C184">
        <f>"101105G"</f>
        <v>0</v>
      </c>
      <c r="D184">
        <v>1</v>
      </c>
      <c r="E184">
        <v>2</v>
      </c>
      <c r="F184">
        <v>6</v>
      </c>
      <c r="G184">
        <v>0</v>
      </c>
      <c r="H184">
        <v>9</v>
      </c>
      <c r="I184">
        <v>1.5</v>
      </c>
      <c r="J184">
        <v>7</v>
      </c>
      <c r="K184">
        <v>28.504</v>
      </c>
      <c r="L184" s="2">
        <v>4</v>
      </c>
      <c r="M184">
        <v>0</v>
      </c>
      <c r="N184" s="2">
        <v>0</v>
      </c>
      <c r="O184">
        <v>-6.9</v>
      </c>
      <c r="P184" t="s">
        <v>100</v>
      </c>
      <c r="Q184">
        <v>0</v>
      </c>
      <c r="R184" t="s">
        <v>145</v>
      </c>
      <c r="S184">
        <v>0</v>
      </c>
    </row>
    <row r="185" spans="1:19">
      <c r="A185" t="s">
        <v>30</v>
      </c>
      <c r="B185" t="s">
        <v>2585</v>
      </c>
      <c r="C185">
        <f>"101152"</f>
        <v>0</v>
      </c>
      <c r="D185">
        <v>0</v>
      </c>
      <c r="E185">
        <v>0</v>
      </c>
      <c r="F185">
        <v>1</v>
      </c>
      <c r="G185">
        <v>0</v>
      </c>
      <c r="H185">
        <v>1</v>
      </c>
      <c r="I185">
        <v>0</v>
      </c>
      <c r="J185">
        <v>6</v>
      </c>
      <c r="K185">
        <v>8.544</v>
      </c>
      <c r="L185" s="2">
        <v>1</v>
      </c>
      <c r="M185">
        <v>0</v>
      </c>
      <c r="N185" s="2">
        <v>0</v>
      </c>
      <c r="O185">
        <v>-7.199999999999999</v>
      </c>
      <c r="P185" t="s">
        <v>100</v>
      </c>
      <c r="Q185">
        <v>0</v>
      </c>
      <c r="R185" t="s">
        <v>145</v>
      </c>
      <c r="S185">
        <v>0</v>
      </c>
    </row>
    <row r="186" spans="1:19">
      <c r="A186" t="s">
        <v>30</v>
      </c>
      <c r="B186" t="s">
        <v>10215</v>
      </c>
      <c r="C186">
        <f>"100523"</f>
        <v>0</v>
      </c>
      <c r="D186">
        <v>1</v>
      </c>
      <c r="E186">
        <v>0</v>
      </c>
      <c r="F186">
        <v>6</v>
      </c>
      <c r="G186">
        <v>2</v>
      </c>
      <c r="H186">
        <v>9</v>
      </c>
      <c r="I186">
        <v>1.5</v>
      </c>
      <c r="J186">
        <v>11</v>
      </c>
      <c r="K186">
        <v>138.996</v>
      </c>
      <c r="L186" s="2">
        <v>13</v>
      </c>
      <c r="M186">
        <v>0</v>
      </c>
      <c r="N186" s="2">
        <v>0</v>
      </c>
      <c r="O186">
        <v>-7.699999999999999</v>
      </c>
      <c r="P186" t="s">
        <v>10245</v>
      </c>
      <c r="Q186">
        <v>-62</v>
      </c>
      <c r="R186" t="s">
        <v>10549</v>
      </c>
      <c r="S186">
        <v>0</v>
      </c>
    </row>
    <row r="187" spans="1:19">
      <c r="A187" t="s">
        <v>30</v>
      </c>
      <c r="B187" t="s">
        <v>2184</v>
      </c>
      <c r="C187">
        <f>"100975"</f>
        <v>0</v>
      </c>
      <c r="D187">
        <v>2</v>
      </c>
      <c r="E187">
        <v>0</v>
      </c>
      <c r="F187">
        <v>0</v>
      </c>
      <c r="G187">
        <v>0</v>
      </c>
      <c r="H187">
        <v>2</v>
      </c>
      <c r="I187">
        <v>0</v>
      </c>
      <c r="J187">
        <v>7</v>
      </c>
      <c r="K187">
        <v>10.129</v>
      </c>
      <c r="L187" s="2">
        <v>1</v>
      </c>
      <c r="M187">
        <v>0</v>
      </c>
      <c r="N187" s="2">
        <v>0</v>
      </c>
      <c r="O187">
        <v>-8.4</v>
      </c>
      <c r="P187" t="s">
        <v>100</v>
      </c>
      <c r="Q187">
        <v>0</v>
      </c>
      <c r="R187" t="s">
        <v>145</v>
      </c>
      <c r="S187">
        <v>0</v>
      </c>
    </row>
    <row r="188" spans="1:19">
      <c r="A188" t="s">
        <v>30</v>
      </c>
      <c r="B188" t="s">
        <v>1623</v>
      </c>
      <c r="C188">
        <f>"101188"</f>
        <v>0</v>
      </c>
      <c r="D188">
        <v>1</v>
      </c>
      <c r="E188">
        <v>0</v>
      </c>
      <c r="F188">
        <v>1</v>
      </c>
      <c r="G188">
        <v>1</v>
      </c>
      <c r="H188">
        <v>3</v>
      </c>
      <c r="I188">
        <v>1</v>
      </c>
      <c r="J188">
        <v>12</v>
      </c>
      <c r="K188">
        <v>38.82</v>
      </c>
      <c r="L188" s="2">
        <v>3</v>
      </c>
      <c r="M188">
        <v>0</v>
      </c>
      <c r="N188" s="2">
        <v>0</v>
      </c>
      <c r="O188">
        <v>-11.4</v>
      </c>
      <c r="P188" t="s">
        <v>10327</v>
      </c>
      <c r="Q188">
        <v>118</v>
      </c>
      <c r="R188" t="s">
        <v>10541</v>
      </c>
      <c r="S188">
        <v>0</v>
      </c>
    </row>
    <row r="189" spans="1:19">
      <c r="A189" t="s">
        <v>30</v>
      </c>
      <c r="B189" t="s">
        <v>1760</v>
      </c>
      <c r="C189">
        <f>"101103"</f>
        <v>0</v>
      </c>
      <c r="D189">
        <v>7</v>
      </c>
      <c r="E189">
        <v>5</v>
      </c>
      <c r="F189">
        <v>0</v>
      </c>
      <c r="G189">
        <v>0</v>
      </c>
      <c r="H189">
        <v>12</v>
      </c>
      <c r="I189">
        <v>2.5</v>
      </c>
      <c r="J189">
        <v>12</v>
      </c>
      <c r="K189">
        <v>45.072</v>
      </c>
      <c r="L189" s="2">
        <v>4</v>
      </c>
      <c r="M189">
        <v>0</v>
      </c>
      <c r="N189" s="2">
        <v>0</v>
      </c>
      <c r="O189">
        <v>-11.9</v>
      </c>
      <c r="P189" t="s">
        <v>100</v>
      </c>
      <c r="Q189">
        <v>0</v>
      </c>
      <c r="R189" t="s">
        <v>145</v>
      </c>
      <c r="S189">
        <v>0</v>
      </c>
    </row>
    <row r="190" spans="1:19">
      <c r="A190" t="s">
        <v>30</v>
      </c>
      <c r="B190" t="s">
        <v>1917</v>
      </c>
      <c r="C190">
        <f>"100502"</f>
        <v>0</v>
      </c>
      <c r="D190">
        <v>0</v>
      </c>
      <c r="E190">
        <v>1</v>
      </c>
      <c r="F190">
        <v>4</v>
      </c>
      <c r="G190">
        <v>0</v>
      </c>
      <c r="H190">
        <v>5</v>
      </c>
      <c r="I190">
        <v>0.5</v>
      </c>
      <c r="J190">
        <v>12</v>
      </c>
      <c r="K190">
        <v>40.332</v>
      </c>
      <c r="L190" s="2">
        <v>3</v>
      </c>
      <c r="M190">
        <v>0</v>
      </c>
      <c r="N190" s="2">
        <v>0</v>
      </c>
      <c r="O190">
        <v>-13.9</v>
      </c>
      <c r="P190" t="s">
        <v>100</v>
      </c>
      <c r="Q190">
        <v>0</v>
      </c>
      <c r="R190" t="s">
        <v>145</v>
      </c>
      <c r="S190">
        <v>0</v>
      </c>
    </row>
    <row r="191" spans="1:19">
      <c r="A191" t="s">
        <v>30</v>
      </c>
      <c r="B191" t="s">
        <v>1969</v>
      </c>
      <c r="C191">
        <f>"101202"</f>
        <v>0</v>
      </c>
      <c r="D191">
        <v>2</v>
      </c>
      <c r="E191">
        <v>0</v>
      </c>
      <c r="F191">
        <v>2</v>
      </c>
      <c r="G191">
        <v>0</v>
      </c>
      <c r="H191">
        <v>4</v>
      </c>
      <c r="I191">
        <v>1</v>
      </c>
      <c r="J191">
        <v>13</v>
      </c>
      <c r="K191">
        <v>40.296</v>
      </c>
      <c r="L191" s="2">
        <v>3</v>
      </c>
      <c r="M191">
        <v>0</v>
      </c>
      <c r="N191" s="2">
        <v>0</v>
      </c>
      <c r="O191">
        <v>-14.6</v>
      </c>
      <c r="P191" t="s">
        <v>100</v>
      </c>
      <c r="Q191">
        <v>0</v>
      </c>
      <c r="R191" t="s">
        <v>145</v>
      </c>
      <c r="S191">
        <v>0</v>
      </c>
    </row>
    <row r="192" spans="1:19">
      <c r="A192" t="s">
        <v>30</v>
      </c>
      <c r="B192" t="s">
        <v>2453</v>
      </c>
      <c r="C192">
        <f>"1290485672351"</f>
        <v>0</v>
      </c>
      <c r="D192">
        <v>0</v>
      </c>
      <c r="E192">
        <v>1</v>
      </c>
      <c r="F192">
        <v>0</v>
      </c>
      <c r="G192">
        <v>0</v>
      </c>
      <c r="H192">
        <v>1</v>
      </c>
      <c r="I192">
        <v>0</v>
      </c>
      <c r="J192">
        <v>31</v>
      </c>
      <c r="K192">
        <v>109.948</v>
      </c>
      <c r="L192" s="2">
        <v>4</v>
      </c>
      <c r="M192">
        <v>0</v>
      </c>
      <c r="N192" s="2">
        <v>0</v>
      </c>
      <c r="O192">
        <v>-37.2</v>
      </c>
      <c r="P192" t="s">
        <v>100</v>
      </c>
      <c r="Q192">
        <v>0</v>
      </c>
      <c r="R192" t="s">
        <v>145</v>
      </c>
      <c r="S192">
        <v>0</v>
      </c>
    </row>
    <row r="193" spans="1:19">
      <c r="A193" t="s">
        <v>30</v>
      </c>
      <c r="B193" t="s">
        <v>1707</v>
      </c>
      <c r="C193">
        <f>"101309"</f>
        <v>0</v>
      </c>
      <c r="D193">
        <v>9</v>
      </c>
      <c r="E193">
        <v>7</v>
      </c>
      <c r="F193">
        <v>2</v>
      </c>
      <c r="G193">
        <v>0</v>
      </c>
      <c r="H193">
        <v>18</v>
      </c>
      <c r="I193">
        <v>4.5</v>
      </c>
      <c r="J193">
        <v>175</v>
      </c>
      <c r="K193">
        <v>980.954</v>
      </c>
      <c r="L193" s="2">
        <v>6</v>
      </c>
      <c r="M193">
        <v>0</v>
      </c>
      <c r="N193" s="2">
        <v>0</v>
      </c>
      <c r="O193">
        <v>-205.5</v>
      </c>
      <c r="P193" t="s">
        <v>100</v>
      </c>
      <c r="Q193">
        <v>0</v>
      </c>
      <c r="R193" t="s">
        <v>145</v>
      </c>
      <c r="S193">
        <v>0</v>
      </c>
    </row>
  </sheetData>
  <autoFilter ref="A2:S193"/>
  <hyperlinks>
    <hyperlink ref="A1" location="'ÍNDICE'!A1" display="⬅ Volver al índice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S10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27</v>
      </c>
      <c r="B3" t="s">
        <v>45</v>
      </c>
      <c r="C3">
        <f>"V100970"</f>
        <v>0</v>
      </c>
      <c r="D3">
        <v>31</v>
      </c>
      <c r="E3">
        <v>64</v>
      </c>
      <c r="F3">
        <v>43</v>
      </c>
      <c r="G3">
        <v>48</v>
      </c>
      <c r="H3">
        <v>186</v>
      </c>
      <c r="I3">
        <v>45.5</v>
      </c>
      <c r="J3">
        <v>1</v>
      </c>
      <c r="K3">
        <v>1.67</v>
      </c>
      <c r="L3" s="2">
        <v>2</v>
      </c>
      <c r="M3">
        <v>68</v>
      </c>
      <c r="N3" s="2">
        <v>136</v>
      </c>
      <c r="O3">
        <v>143.3</v>
      </c>
      <c r="P3" t="s">
        <v>95</v>
      </c>
      <c r="Q3">
        <v>11.279</v>
      </c>
      <c r="R3" t="s">
        <v>141</v>
      </c>
      <c r="S3">
        <v>1</v>
      </c>
    </row>
    <row r="4" spans="1:19">
      <c r="A4" t="s">
        <v>27</v>
      </c>
      <c r="B4" t="s">
        <v>53</v>
      </c>
      <c r="C4">
        <f>"V100971"</f>
        <v>0</v>
      </c>
      <c r="D4">
        <v>31</v>
      </c>
      <c r="E4">
        <v>50</v>
      </c>
      <c r="F4">
        <v>30</v>
      </c>
      <c r="G4">
        <v>38</v>
      </c>
      <c r="H4">
        <v>149</v>
      </c>
      <c r="I4">
        <v>34.5</v>
      </c>
      <c r="J4">
        <v>24</v>
      </c>
      <c r="K4">
        <v>30.227</v>
      </c>
      <c r="L4" s="2">
        <v>1</v>
      </c>
      <c r="M4">
        <v>30</v>
      </c>
      <c r="N4" s="2">
        <v>30</v>
      </c>
      <c r="O4">
        <v>84.7</v>
      </c>
      <c r="P4" t="s">
        <v>103</v>
      </c>
      <c r="Q4">
        <v>14.942</v>
      </c>
      <c r="R4" t="s">
        <v>148</v>
      </c>
      <c r="S4">
        <v>1</v>
      </c>
    </row>
    <row r="5" spans="1:19">
      <c r="A5" t="s">
        <v>27</v>
      </c>
      <c r="B5" t="s">
        <v>274</v>
      </c>
      <c r="C5">
        <f>"USA603"</f>
        <v>0</v>
      </c>
      <c r="D5">
        <v>35</v>
      </c>
      <c r="E5">
        <v>41</v>
      </c>
      <c r="F5">
        <v>2</v>
      </c>
      <c r="G5">
        <v>1</v>
      </c>
      <c r="H5">
        <v>79</v>
      </c>
      <c r="I5">
        <v>18.5</v>
      </c>
      <c r="J5">
        <v>0</v>
      </c>
      <c r="K5">
        <v>0</v>
      </c>
      <c r="L5" s="2">
        <v>0</v>
      </c>
      <c r="M5">
        <v>19</v>
      </c>
      <c r="N5" s="2">
        <v>0</v>
      </c>
      <c r="O5">
        <v>20.5</v>
      </c>
      <c r="P5" t="s">
        <v>10551</v>
      </c>
      <c r="Q5">
        <v>225</v>
      </c>
      <c r="R5" t="s">
        <v>10373</v>
      </c>
      <c r="S5">
        <v>0</v>
      </c>
    </row>
    <row r="6" spans="1:19">
      <c r="A6" t="s">
        <v>27</v>
      </c>
      <c r="B6" t="s">
        <v>359</v>
      </c>
      <c r="C6">
        <f>"USA666"</f>
        <v>0</v>
      </c>
      <c r="D6">
        <v>30</v>
      </c>
      <c r="E6">
        <v>27</v>
      </c>
      <c r="F6">
        <v>9</v>
      </c>
      <c r="G6">
        <v>0</v>
      </c>
      <c r="H6">
        <v>66</v>
      </c>
      <c r="I6">
        <v>18</v>
      </c>
      <c r="J6">
        <v>0</v>
      </c>
      <c r="K6">
        <v>0</v>
      </c>
      <c r="L6" s="2">
        <v>0</v>
      </c>
      <c r="M6">
        <v>18</v>
      </c>
      <c r="N6" s="2">
        <v>0</v>
      </c>
      <c r="O6">
        <v>18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27</v>
      </c>
      <c r="B7" t="s">
        <v>376</v>
      </c>
      <c r="C7">
        <f>"USA741"</f>
        <v>0</v>
      </c>
      <c r="D7">
        <v>18</v>
      </c>
      <c r="E7">
        <v>27</v>
      </c>
      <c r="F7">
        <v>12</v>
      </c>
      <c r="G7">
        <v>0</v>
      </c>
      <c r="H7">
        <v>57</v>
      </c>
      <c r="I7">
        <v>15</v>
      </c>
      <c r="J7">
        <v>0</v>
      </c>
      <c r="K7">
        <v>0</v>
      </c>
      <c r="L7" s="2">
        <v>0</v>
      </c>
      <c r="M7">
        <v>15</v>
      </c>
      <c r="N7" s="2">
        <v>0</v>
      </c>
      <c r="O7">
        <v>15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27</v>
      </c>
      <c r="B8" t="s">
        <v>1579</v>
      </c>
      <c r="C8">
        <f>"USD905"</f>
        <v>0</v>
      </c>
      <c r="D8">
        <v>18</v>
      </c>
      <c r="E8">
        <v>17</v>
      </c>
      <c r="F8">
        <v>5</v>
      </c>
      <c r="G8">
        <v>7</v>
      </c>
      <c r="H8">
        <v>47</v>
      </c>
      <c r="I8">
        <v>12</v>
      </c>
      <c r="J8">
        <v>12</v>
      </c>
      <c r="K8">
        <v>17.587</v>
      </c>
      <c r="L8" s="2">
        <v>1</v>
      </c>
      <c r="M8">
        <v>4</v>
      </c>
      <c r="N8" s="2">
        <v>4</v>
      </c>
      <c r="O8">
        <v>14.6</v>
      </c>
      <c r="P8" t="s">
        <v>10552</v>
      </c>
      <c r="Q8">
        <v>3.594</v>
      </c>
      <c r="R8" t="s">
        <v>10571</v>
      </c>
      <c r="S8">
        <v>1</v>
      </c>
    </row>
    <row r="9" spans="1:19">
      <c r="A9" t="s">
        <v>27</v>
      </c>
      <c r="B9" t="s">
        <v>266</v>
      </c>
      <c r="C9">
        <f>"USA721"</f>
        <v>0</v>
      </c>
      <c r="D9">
        <v>10</v>
      </c>
      <c r="E9">
        <v>9</v>
      </c>
      <c r="F9">
        <v>0</v>
      </c>
      <c r="G9">
        <v>2</v>
      </c>
      <c r="H9">
        <v>21</v>
      </c>
      <c r="I9">
        <v>5.5</v>
      </c>
      <c r="J9">
        <v>0</v>
      </c>
      <c r="K9">
        <v>0</v>
      </c>
      <c r="L9" s="2">
        <v>0</v>
      </c>
      <c r="M9">
        <v>6</v>
      </c>
      <c r="N9" s="2">
        <v>0</v>
      </c>
      <c r="O9">
        <v>12.5</v>
      </c>
      <c r="P9" t="s">
        <v>10553</v>
      </c>
      <c r="Q9">
        <v>486</v>
      </c>
      <c r="R9" t="s">
        <v>10572</v>
      </c>
      <c r="S9">
        <v>1</v>
      </c>
    </row>
    <row r="10" spans="1:19">
      <c r="A10" t="s">
        <v>27</v>
      </c>
      <c r="B10" t="s">
        <v>369</v>
      </c>
      <c r="C10">
        <f>"USA668"</f>
        <v>0</v>
      </c>
      <c r="D10">
        <v>12</v>
      </c>
      <c r="E10">
        <v>36</v>
      </c>
      <c r="F10">
        <v>12</v>
      </c>
      <c r="G10">
        <v>0</v>
      </c>
      <c r="H10">
        <v>60</v>
      </c>
      <c r="I10">
        <v>12</v>
      </c>
      <c r="J10">
        <v>0</v>
      </c>
      <c r="K10">
        <v>0</v>
      </c>
      <c r="L10" s="2">
        <v>0</v>
      </c>
      <c r="M10">
        <v>12</v>
      </c>
      <c r="N10" s="2">
        <v>0</v>
      </c>
      <c r="O10">
        <v>12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27</v>
      </c>
      <c r="B11" t="s">
        <v>387</v>
      </c>
      <c r="C11">
        <f>"USA743"</f>
        <v>0</v>
      </c>
      <c r="D11">
        <v>23</v>
      </c>
      <c r="E11">
        <v>28</v>
      </c>
      <c r="F11">
        <v>0</v>
      </c>
      <c r="G11">
        <v>0</v>
      </c>
      <c r="H11">
        <v>51</v>
      </c>
      <c r="I11">
        <v>11.5</v>
      </c>
      <c r="J11">
        <v>0</v>
      </c>
      <c r="K11">
        <v>0</v>
      </c>
      <c r="L11" s="2">
        <v>0</v>
      </c>
      <c r="M11">
        <v>12</v>
      </c>
      <c r="N11" s="2">
        <v>0</v>
      </c>
      <c r="O11">
        <v>11.5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27</v>
      </c>
      <c r="B12" t="s">
        <v>523</v>
      </c>
      <c r="C12">
        <f>"USD902"</f>
        <v>0</v>
      </c>
      <c r="D12">
        <v>10</v>
      </c>
      <c r="E12">
        <v>8</v>
      </c>
      <c r="F12">
        <v>4</v>
      </c>
      <c r="G12">
        <v>3</v>
      </c>
      <c r="H12">
        <v>25</v>
      </c>
      <c r="I12">
        <v>6</v>
      </c>
      <c r="J12">
        <v>1</v>
      </c>
      <c r="K12">
        <v>1.466</v>
      </c>
      <c r="L12" s="2">
        <v>1</v>
      </c>
      <c r="M12">
        <v>6</v>
      </c>
      <c r="N12" s="2">
        <v>6</v>
      </c>
      <c r="O12">
        <v>10.8</v>
      </c>
      <c r="P12" t="s">
        <v>10554</v>
      </c>
      <c r="Q12">
        <v>1.54</v>
      </c>
      <c r="R12" t="s">
        <v>10571</v>
      </c>
      <c r="S12">
        <v>0</v>
      </c>
    </row>
    <row r="13" spans="1:19">
      <c r="A13" t="s">
        <v>27</v>
      </c>
      <c r="B13" t="s">
        <v>416</v>
      </c>
      <c r="C13">
        <f>"USA661"</f>
        <v>0</v>
      </c>
      <c r="D13">
        <v>14</v>
      </c>
      <c r="E13">
        <v>21</v>
      </c>
      <c r="F13">
        <v>1</v>
      </c>
      <c r="G13">
        <v>0</v>
      </c>
      <c r="H13">
        <v>36</v>
      </c>
      <c r="I13">
        <v>7.5</v>
      </c>
      <c r="J13">
        <v>0</v>
      </c>
      <c r="K13">
        <v>0</v>
      </c>
      <c r="L13" s="2">
        <v>0</v>
      </c>
      <c r="M13">
        <v>8</v>
      </c>
      <c r="N13" s="2">
        <v>0</v>
      </c>
      <c r="O13">
        <v>7.5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27</v>
      </c>
      <c r="B14" t="s">
        <v>729</v>
      </c>
      <c r="C14">
        <f>"PR3002004"</f>
        <v>0</v>
      </c>
      <c r="D14">
        <v>0</v>
      </c>
      <c r="E14">
        <v>0</v>
      </c>
      <c r="F14">
        <v>0</v>
      </c>
      <c r="G14">
        <v>2</v>
      </c>
      <c r="H14">
        <v>2</v>
      </c>
      <c r="I14">
        <v>0</v>
      </c>
      <c r="J14">
        <v>0</v>
      </c>
      <c r="K14">
        <v>0</v>
      </c>
      <c r="L14" s="2">
        <v>0</v>
      </c>
      <c r="M14">
        <v>1</v>
      </c>
      <c r="N14" s="2">
        <v>0</v>
      </c>
      <c r="O14">
        <v>7</v>
      </c>
      <c r="P14" t="s">
        <v>10555</v>
      </c>
      <c r="Q14">
        <v>12.623</v>
      </c>
      <c r="R14" t="s">
        <v>10573</v>
      </c>
      <c r="S14">
        <v>1</v>
      </c>
    </row>
    <row r="15" spans="1:19">
      <c r="A15" t="s">
        <v>27</v>
      </c>
      <c r="B15" t="s">
        <v>268</v>
      </c>
      <c r="C15">
        <f>"USA723"</f>
        <v>0</v>
      </c>
      <c r="D15">
        <v>12</v>
      </c>
      <c r="E15">
        <v>0</v>
      </c>
      <c r="F15">
        <v>0</v>
      </c>
      <c r="G15">
        <v>3</v>
      </c>
      <c r="H15">
        <v>15</v>
      </c>
      <c r="I15">
        <v>1.5</v>
      </c>
      <c r="J15">
        <v>3</v>
      </c>
      <c r="K15">
        <v>4.286</v>
      </c>
      <c r="L15" s="2">
        <v>1</v>
      </c>
      <c r="M15">
        <v>0</v>
      </c>
      <c r="N15" s="2">
        <v>0</v>
      </c>
      <c r="O15">
        <v>6.9</v>
      </c>
      <c r="P15" t="s">
        <v>10556</v>
      </c>
      <c r="Q15">
        <v>731</v>
      </c>
      <c r="R15" t="s">
        <v>10574</v>
      </c>
      <c r="S15">
        <v>1</v>
      </c>
    </row>
    <row r="16" spans="1:19">
      <c r="A16" t="s">
        <v>27</v>
      </c>
      <c r="B16" t="s">
        <v>261</v>
      </c>
      <c r="C16">
        <f>"USA609"</f>
        <v>0</v>
      </c>
      <c r="D16">
        <v>2</v>
      </c>
      <c r="E16">
        <v>0</v>
      </c>
      <c r="F16">
        <v>1</v>
      </c>
      <c r="G16">
        <v>2</v>
      </c>
      <c r="H16">
        <v>5</v>
      </c>
      <c r="I16">
        <v>1.5</v>
      </c>
      <c r="J16">
        <v>2</v>
      </c>
      <c r="K16">
        <v>2.942</v>
      </c>
      <c r="L16" s="2">
        <v>1</v>
      </c>
      <c r="M16">
        <v>0</v>
      </c>
      <c r="N16" s="2">
        <v>0</v>
      </c>
      <c r="O16">
        <v>6.1</v>
      </c>
      <c r="P16" t="s">
        <v>10557</v>
      </c>
      <c r="Q16">
        <v>869</v>
      </c>
      <c r="R16" t="s">
        <v>10575</v>
      </c>
      <c r="S16">
        <v>1</v>
      </c>
    </row>
    <row r="17" spans="1:19">
      <c r="A17" t="s">
        <v>27</v>
      </c>
      <c r="B17" t="s">
        <v>322</v>
      </c>
      <c r="C17">
        <f>"USA552"</f>
        <v>0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5</v>
      </c>
      <c r="P17" t="s">
        <v>10558</v>
      </c>
      <c r="Q17">
        <v>361</v>
      </c>
      <c r="R17" t="s">
        <v>10576</v>
      </c>
      <c r="S17">
        <v>1</v>
      </c>
    </row>
    <row r="18" spans="1:19">
      <c r="A18" t="s">
        <v>27</v>
      </c>
      <c r="B18" t="s">
        <v>514</v>
      </c>
      <c r="C18">
        <f>"USA742"</f>
        <v>0</v>
      </c>
      <c r="D18">
        <v>6</v>
      </c>
      <c r="E18">
        <v>5</v>
      </c>
      <c r="F18">
        <v>4</v>
      </c>
      <c r="G18">
        <v>0</v>
      </c>
      <c r="H18">
        <v>15</v>
      </c>
      <c r="I18">
        <v>4.5</v>
      </c>
      <c r="J18">
        <v>0</v>
      </c>
      <c r="K18">
        <v>0</v>
      </c>
      <c r="L18" s="2">
        <v>0</v>
      </c>
      <c r="M18">
        <v>4</v>
      </c>
      <c r="N18" s="2">
        <v>0</v>
      </c>
      <c r="O18">
        <v>4.5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27</v>
      </c>
      <c r="B19" t="s">
        <v>512</v>
      </c>
      <c r="C19">
        <f>"USA653"</f>
        <v>0</v>
      </c>
      <c r="D19">
        <v>4</v>
      </c>
      <c r="E19">
        <v>5</v>
      </c>
      <c r="F19">
        <v>6</v>
      </c>
      <c r="G19">
        <v>0</v>
      </c>
      <c r="H19">
        <v>15</v>
      </c>
      <c r="I19">
        <v>4.5</v>
      </c>
      <c r="J19">
        <v>0</v>
      </c>
      <c r="K19">
        <v>0</v>
      </c>
      <c r="L19" s="2">
        <v>0</v>
      </c>
      <c r="M19">
        <v>4</v>
      </c>
      <c r="N19" s="2">
        <v>0</v>
      </c>
      <c r="O19">
        <v>4.5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27</v>
      </c>
      <c r="B20" t="s">
        <v>515</v>
      </c>
      <c r="C20">
        <f>"USD901"</f>
        <v>0</v>
      </c>
      <c r="D20">
        <v>7</v>
      </c>
      <c r="E20">
        <v>3</v>
      </c>
      <c r="F20">
        <v>5</v>
      </c>
      <c r="G20">
        <v>0</v>
      </c>
      <c r="H20">
        <v>15</v>
      </c>
      <c r="I20">
        <v>4</v>
      </c>
      <c r="J20">
        <v>0</v>
      </c>
      <c r="K20">
        <v>0</v>
      </c>
      <c r="L20" s="2">
        <v>0</v>
      </c>
      <c r="M20">
        <v>4</v>
      </c>
      <c r="N20" s="2">
        <v>0</v>
      </c>
      <c r="O20">
        <v>4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27</v>
      </c>
      <c r="B21" t="s">
        <v>528</v>
      </c>
      <c r="C21">
        <f>"USA652"</f>
        <v>0</v>
      </c>
      <c r="D21">
        <v>6</v>
      </c>
      <c r="E21">
        <v>7</v>
      </c>
      <c r="F21">
        <v>1</v>
      </c>
      <c r="G21">
        <v>0</v>
      </c>
      <c r="H21">
        <v>14</v>
      </c>
      <c r="I21">
        <v>3.5</v>
      </c>
      <c r="J21">
        <v>0</v>
      </c>
      <c r="K21">
        <v>0</v>
      </c>
      <c r="L21" s="2">
        <v>0</v>
      </c>
      <c r="M21">
        <v>4</v>
      </c>
      <c r="N21" s="2">
        <v>0</v>
      </c>
      <c r="O21">
        <v>3.5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27</v>
      </c>
      <c r="B22" t="s">
        <v>1575</v>
      </c>
      <c r="C22">
        <f>"USA601"</f>
        <v>0</v>
      </c>
      <c r="D22">
        <v>18</v>
      </c>
      <c r="E22">
        <v>10</v>
      </c>
      <c r="F22">
        <v>12</v>
      </c>
      <c r="G22">
        <v>8</v>
      </c>
      <c r="H22">
        <v>48</v>
      </c>
      <c r="I22">
        <v>11</v>
      </c>
      <c r="J22">
        <v>20</v>
      </c>
      <c r="K22">
        <v>25.584</v>
      </c>
      <c r="L22" s="2">
        <v>1</v>
      </c>
      <c r="M22">
        <v>0</v>
      </c>
      <c r="N22" s="2">
        <v>0</v>
      </c>
      <c r="O22">
        <v>3</v>
      </c>
      <c r="P22" t="s">
        <v>10559</v>
      </c>
      <c r="Q22">
        <v>5.122</v>
      </c>
      <c r="R22" t="s">
        <v>10577</v>
      </c>
      <c r="S22">
        <v>0</v>
      </c>
    </row>
    <row r="23" spans="1:19">
      <c r="A23" t="s">
        <v>27</v>
      </c>
      <c r="B23" t="s">
        <v>538</v>
      </c>
      <c r="C23">
        <f>"USA681"</f>
        <v>0</v>
      </c>
      <c r="D23">
        <v>7</v>
      </c>
      <c r="E23">
        <v>6</v>
      </c>
      <c r="F23">
        <v>0</v>
      </c>
      <c r="G23">
        <v>0</v>
      </c>
      <c r="H23">
        <v>13</v>
      </c>
      <c r="I23">
        <v>3</v>
      </c>
      <c r="J23">
        <v>0</v>
      </c>
      <c r="K23">
        <v>0</v>
      </c>
      <c r="L23" s="2">
        <v>0</v>
      </c>
      <c r="M23">
        <v>3</v>
      </c>
      <c r="N23" s="2">
        <v>0</v>
      </c>
      <c r="O23">
        <v>3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27</v>
      </c>
      <c r="B24" t="s">
        <v>544</v>
      </c>
      <c r="C24">
        <f>"LKD650"</f>
        <v>0</v>
      </c>
      <c r="D24">
        <v>5</v>
      </c>
      <c r="E24">
        <v>8</v>
      </c>
      <c r="F24">
        <v>0</v>
      </c>
      <c r="G24">
        <v>0</v>
      </c>
      <c r="H24">
        <v>13</v>
      </c>
      <c r="I24">
        <v>2.5</v>
      </c>
      <c r="J24">
        <v>0</v>
      </c>
      <c r="K24">
        <v>0</v>
      </c>
      <c r="L24" s="2">
        <v>0</v>
      </c>
      <c r="M24">
        <v>2</v>
      </c>
      <c r="N24" s="2">
        <v>0</v>
      </c>
      <c r="O24">
        <v>2.5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27</v>
      </c>
      <c r="B25" t="s">
        <v>598</v>
      </c>
      <c r="C25">
        <f>"USA606"</f>
        <v>0</v>
      </c>
      <c r="D25">
        <v>6</v>
      </c>
      <c r="E25">
        <v>4</v>
      </c>
      <c r="F25">
        <v>0</v>
      </c>
      <c r="G25">
        <v>0</v>
      </c>
      <c r="H25">
        <v>10</v>
      </c>
      <c r="I25">
        <v>2</v>
      </c>
      <c r="J25">
        <v>0</v>
      </c>
      <c r="K25">
        <v>0</v>
      </c>
      <c r="L25" s="2">
        <v>0</v>
      </c>
      <c r="M25">
        <v>2</v>
      </c>
      <c r="N25" s="2">
        <v>0</v>
      </c>
      <c r="O25">
        <v>2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27</v>
      </c>
      <c r="B26" t="s">
        <v>565</v>
      </c>
      <c r="C26">
        <f>"ALQU07"</f>
        <v>0</v>
      </c>
      <c r="D26">
        <v>9</v>
      </c>
      <c r="E26">
        <v>3</v>
      </c>
      <c r="F26">
        <v>0</v>
      </c>
      <c r="G26">
        <v>0</v>
      </c>
      <c r="H26">
        <v>12</v>
      </c>
      <c r="I26">
        <v>1.5</v>
      </c>
      <c r="J26">
        <v>0</v>
      </c>
      <c r="K26">
        <v>0</v>
      </c>
      <c r="L26" s="2">
        <v>0</v>
      </c>
      <c r="M26">
        <v>2</v>
      </c>
      <c r="N26" s="2">
        <v>0</v>
      </c>
      <c r="O26">
        <v>1.5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27</v>
      </c>
      <c r="B27" t="s">
        <v>760</v>
      </c>
      <c r="C27">
        <f>"PR3034101"</f>
        <v>0</v>
      </c>
      <c r="D27">
        <v>1</v>
      </c>
      <c r="E27">
        <v>2</v>
      </c>
      <c r="F27">
        <v>2</v>
      </c>
      <c r="G27">
        <v>0</v>
      </c>
      <c r="H27">
        <v>5</v>
      </c>
      <c r="I27">
        <v>1.5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1.5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27</v>
      </c>
      <c r="B28" t="s">
        <v>513</v>
      </c>
      <c r="C28">
        <f>"ALQU20"</f>
        <v>0</v>
      </c>
      <c r="D28">
        <v>3</v>
      </c>
      <c r="E28">
        <v>12</v>
      </c>
      <c r="F28">
        <v>0</v>
      </c>
      <c r="G28">
        <v>0</v>
      </c>
      <c r="H28">
        <v>15</v>
      </c>
      <c r="I28">
        <v>1.5</v>
      </c>
      <c r="J28">
        <v>0</v>
      </c>
      <c r="K28">
        <v>0</v>
      </c>
      <c r="L28" s="2">
        <v>0</v>
      </c>
      <c r="M28">
        <v>2</v>
      </c>
      <c r="N28" s="2">
        <v>0</v>
      </c>
      <c r="O28">
        <v>1.5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27</v>
      </c>
      <c r="B29" t="s">
        <v>1551</v>
      </c>
      <c r="C29">
        <f>"USD742"</f>
        <v>0</v>
      </c>
      <c r="D29">
        <v>4</v>
      </c>
      <c r="E29">
        <v>7</v>
      </c>
      <c r="F29">
        <v>1</v>
      </c>
      <c r="G29">
        <v>0</v>
      </c>
      <c r="H29">
        <v>12</v>
      </c>
      <c r="I29">
        <v>2.5</v>
      </c>
      <c r="J29">
        <v>1</v>
      </c>
      <c r="K29">
        <v>4.146</v>
      </c>
      <c r="L29" s="2">
        <v>4</v>
      </c>
      <c r="M29">
        <v>2</v>
      </c>
      <c r="N29" s="2">
        <v>8</v>
      </c>
      <c r="O29">
        <v>1.3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27</v>
      </c>
      <c r="B30" t="s">
        <v>811</v>
      </c>
      <c r="C30">
        <f>"PR3034121"</f>
        <v>0</v>
      </c>
      <c r="D30">
        <v>1</v>
      </c>
      <c r="E30">
        <v>1</v>
      </c>
      <c r="F30">
        <v>2</v>
      </c>
      <c r="G30">
        <v>0</v>
      </c>
      <c r="H30">
        <v>4</v>
      </c>
      <c r="I30">
        <v>1</v>
      </c>
      <c r="J30">
        <v>0</v>
      </c>
      <c r="K30">
        <v>0</v>
      </c>
      <c r="L30" s="2">
        <v>0</v>
      </c>
      <c r="M30">
        <v>1</v>
      </c>
      <c r="N30" s="2">
        <v>0</v>
      </c>
      <c r="O30">
        <v>1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27</v>
      </c>
      <c r="B31" t="s">
        <v>719</v>
      </c>
      <c r="C31">
        <f>"USD723"</f>
        <v>0</v>
      </c>
      <c r="D31">
        <v>2</v>
      </c>
      <c r="E31">
        <v>4</v>
      </c>
      <c r="F31">
        <v>0</v>
      </c>
      <c r="G31">
        <v>0</v>
      </c>
      <c r="H31">
        <v>6</v>
      </c>
      <c r="I31">
        <v>1</v>
      </c>
      <c r="J31">
        <v>0</v>
      </c>
      <c r="K31">
        <v>0</v>
      </c>
      <c r="L31" s="2">
        <v>0</v>
      </c>
      <c r="M31">
        <v>1</v>
      </c>
      <c r="N31" s="2">
        <v>0</v>
      </c>
      <c r="O31">
        <v>1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27</v>
      </c>
      <c r="B32" t="s">
        <v>886</v>
      </c>
      <c r="C32">
        <f>"PR3034081"</f>
        <v>0</v>
      </c>
      <c r="D32">
        <v>1</v>
      </c>
      <c r="E32">
        <v>1</v>
      </c>
      <c r="F32">
        <v>1</v>
      </c>
      <c r="G32">
        <v>0</v>
      </c>
      <c r="H32">
        <v>3</v>
      </c>
      <c r="I32">
        <v>1</v>
      </c>
      <c r="J32">
        <v>0</v>
      </c>
      <c r="K32">
        <v>0</v>
      </c>
      <c r="L32" s="2">
        <v>0</v>
      </c>
      <c r="M32">
        <v>1</v>
      </c>
      <c r="N32" s="2">
        <v>0</v>
      </c>
      <c r="O32">
        <v>1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27</v>
      </c>
      <c r="B33" t="s">
        <v>590</v>
      </c>
      <c r="C33">
        <f>"PRGS3016004"</f>
        <v>0</v>
      </c>
      <c r="D33">
        <v>8</v>
      </c>
      <c r="E33">
        <v>2</v>
      </c>
      <c r="F33">
        <v>0</v>
      </c>
      <c r="G33">
        <v>0</v>
      </c>
      <c r="H33">
        <v>10</v>
      </c>
      <c r="I33">
        <v>1</v>
      </c>
      <c r="J33">
        <v>0</v>
      </c>
      <c r="K33">
        <v>0</v>
      </c>
      <c r="L33" s="2">
        <v>0</v>
      </c>
      <c r="M33">
        <v>1</v>
      </c>
      <c r="N33" s="2">
        <v>0</v>
      </c>
      <c r="O33">
        <v>1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27</v>
      </c>
      <c r="B34" t="s">
        <v>810</v>
      </c>
      <c r="C34">
        <f>"PR3034061"</f>
        <v>0</v>
      </c>
      <c r="D34">
        <v>1</v>
      </c>
      <c r="E34">
        <v>2</v>
      </c>
      <c r="F34">
        <v>1</v>
      </c>
      <c r="G34">
        <v>0</v>
      </c>
      <c r="H34">
        <v>4</v>
      </c>
      <c r="I34">
        <v>1</v>
      </c>
      <c r="J34">
        <v>0</v>
      </c>
      <c r="K34">
        <v>0</v>
      </c>
      <c r="L34" s="2">
        <v>0</v>
      </c>
      <c r="M34">
        <v>1</v>
      </c>
      <c r="N34" s="2">
        <v>0</v>
      </c>
      <c r="O34">
        <v>1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27</v>
      </c>
      <c r="B35" t="s">
        <v>575</v>
      </c>
      <c r="C35">
        <f>"ALUC15"</f>
        <v>0</v>
      </c>
      <c r="D35">
        <v>10</v>
      </c>
      <c r="E35">
        <v>1</v>
      </c>
      <c r="F35">
        <v>0</v>
      </c>
      <c r="G35">
        <v>0</v>
      </c>
      <c r="H35">
        <v>11</v>
      </c>
      <c r="I35">
        <v>0.5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0.5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27</v>
      </c>
      <c r="B36" t="s">
        <v>1019</v>
      </c>
      <c r="C36">
        <f>"PR3014042"</f>
        <v>0</v>
      </c>
      <c r="D36">
        <v>0</v>
      </c>
      <c r="E36">
        <v>1</v>
      </c>
      <c r="F36">
        <v>1</v>
      </c>
      <c r="G36">
        <v>0</v>
      </c>
      <c r="H36">
        <v>2</v>
      </c>
      <c r="I36">
        <v>0.5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0.5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27</v>
      </c>
      <c r="B37" t="s">
        <v>1115</v>
      </c>
      <c r="C37">
        <f>"PR3026121"</f>
        <v>0</v>
      </c>
      <c r="D37">
        <v>1</v>
      </c>
      <c r="E37">
        <v>1</v>
      </c>
      <c r="F37">
        <v>0</v>
      </c>
      <c r="G37">
        <v>0</v>
      </c>
      <c r="H37">
        <v>2</v>
      </c>
      <c r="I37">
        <v>0.5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0.5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27</v>
      </c>
      <c r="B38" t="s">
        <v>802</v>
      </c>
      <c r="C38">
        <f>"USA682"</f>
        <v>0</v>
      </c>
      <c r="D38">
        <v>1</v>
      </c>
      <c r="E38">
        <v>3</v>
      </c>
      <c r="F38">
        <v>0</v>
      </c>
      <c r="G38">
        <v>0</v>
      </c>
      <c r="H38">
        <v>4</v>
      </c>
      <c r="I38">
        <v>0.5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0.5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27</v>
      </c>
      <c r="B39" t="s">
        <v>702</v>
      </c>
      <c r="C39">
        <f>"ALCP15"</f>
        <v>0</v>
      </c>
      <c r="D39">
        <v>5</v>
      </c>
      <c r="E39">
        <v>1</v>
      </c>
      <c r="F39">
        <v>0</v>
      </c>
      <c r="G39">
        <v>0</v>
      </c>
      <c r="H39">
        <v>6</v>
      </c>
      <c r="I39">
        <v>0.5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0.5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27</v>
      </c>
      <c r="B40" t="s">
        <v>540</v>
      </c>
      <c r="C40">
        <f>"USA651"</f>
        <v>0</v>
      </c>
      <c r="D40">
        <v>13</v>
      </c>
      <c r="E40">
        <v>0</v>
      </c>
      <c r="F40">
        <v>0</v>
      </c>
      <c r="G40">
        <v>0</v>
      </c>
      <c r="H40">
        <v>13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27</v>
      </c>
      <c r="B41" t="s">
        <v>1194</v>
      </c>
      <c r="C41">
        <f>"PR3027021"</f>
        <v>0</v>
      </c>
      <c r="D41">
        <v>1</v>
      </c>
      <c r="E41">
        <v>0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27</v>
      </c>
      <c r="B42" t="s">
        <v>1116</v>
      </c>
      <c r="C42">
        <f>"PR3026161"</f>
        <v>0</v>
      </c>
      <c r="D42">
        <v>2</v>
      </c>
      <c r="E42">
        <v>0</v>
      </c>
      <c r="F42">
        <v>0</v>
      </c>
      <c r="G42">
        <v>0</v>
      </c>
      <c r="H42">
        <v>2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27</v>
      </c>
      <c r="B43" t="s">
        <v>1117</v>
      </c>
      <c r="C43">
        <f>"PR3026321"</f>
        <v>0</v>
      </c>
      <c r="D43">
        <v>2</v>
      </c>
      <c r="E43">
        <v>0</v>
      </c>
      <c r="F43">
        <v>0</v>
      </c>
      <c r="G43">
        <v>0</v>
      </c>
      <c r="H43">
        <v>2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27</v>
      </c>
      <c r="B44" t="s">
        <v>5095</v>
      </c>
      <c r="C44">
        <f>"ZP0695"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27</v>
      </c>
      <c r="B45" t="s">
        <v>2964</v>
      </c>
      <c r="C45">
        <f>"ALQU15"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27</v>
      </c>
      <c r="B46" t="s">
        <v>1054</v>
      </c>
      <c r="C46">
        <f>"PR3002024"</f>
        <v>0</v>
      </c>
      <c r="D46">
        <v>0</v>
      </c>
      <c r="E46">
        <v>0</v>
      </c>
      <c r="F46">
        <v>2</v>
      </c>
      <c r="G46">
        <v>0</v>
      </c>
      <c r="H46">
        <v>2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27</v>
      </c>
      <c r="B47" t="s">
        <v>1055</v>
      </c>
      <c r="C47">
        <f>"PR3003004"</f>
        <v>0</v>
      </c>
      <c r="D47">
        <v>2</v>
      </c>
      <c r="E47">
        <v>0</v>
      </c>
      <c r="F47">
        <v>0</v>
      </c>
      <c r="G47">
        <v>0</v>
      </c>
      <c r="H47">
        <v>2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27</v>
      </c>
      <c r="B48" t="s">
        <v>934</v>
      </c>
      <c r="C48">
        <f>"PRG3024008"</f>
        <v>0</v>
      </c>
      <c r="D48">
        <v>3</v>
      </c>
      <c r="E48">
        <v>0</v>
      </c>
      <c r="F48">
        <v>0</v>
      </c>
      <c r="G48">
        <v>0</v>
      </c>
      <c r="H48">
        <v>3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27</v>
      </c>
      <c r="B49" t="s">
        <v>1506</v>
      </c>
      <c r="C49">
        <f>"PRG3033022"</f>
        <v>0</v>
      </c>
      <c r="D49">
        <v>0</v>
      </c>
      <c r="E49">
        <v>0</v>
      </c>
      <c r="F49">
        <v>1</v>
      </c>
      <c r="G49">
        <v>0</v>
      </c>
      <c r="H49">
        <v>1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27</v>
      </c>
      <c r="B50" t="s">
        <v>1056</v>
      </c>
      <c r="C50">
        <f>"PR3014242"</f>
        <v>0</v>
      </c>
      <c r="D50">
        <v>2</v>
      </c>
      <c r="E50">
        <v>0</v>
      </c>
      <c r="F50">
        <v>0</v>
      </c>
      <c r="G50">
        <v>0</v>
      </c>
      <c r="H50">
        <v>2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27</v>
      </c>
      <c r="B51" t="s">
        <v>1507</v>
      </c>
      <c r="C51">
        <f>"PRG3033042"</f>
        <v>0</v>
      </c>
      <c r="D51">
        <v>0</v>
      </c>
      <c r="E51">
        <v>0</v>
      </c>
      <c r="F51">
        <v>1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27</v>
      </c>
      <c r="B52" t="s">
        <v>463</v>
      </c>
      <c r="C52">
        <f>"USD623"</f>
        <v>0</v>
      </c>
      <c r="D52">
        <v>0</v>
      </c>
      <c r="E52">
        <v>22</v>
      </c>
      <c r="F52">
        <v>0</v>
      </c>
      <c r="G52">
        <v>0</v>
      </c>
      <c r="H52">
        <v>22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27</v>
      </c>
      <c r="B53" t="s">
        <v>1092</v>
      </c>
      <c r="C53">
        <f>"PR3027041"</f>
        <v>0</v>
      </c>
      <c r="D53">
        <v>0</v>
      </c>
      <c r="E53">
        <v>0</v>
      </c>
      <c r="F53">
        <v>2</v>
      </c>
      <c r="G53">
        <v>0</v>
      </c>
      <c r="H53">
        <v>2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27</v>
      </c>
      <c r="B54" t="s">
        <v>1100</v>
      </c>
      <c r="C54">
        <f>"PR3027002"</f>
        <v>0</v>
      </c>
      <c r="D54">
        <v>2</v>
      </c>
      <c r="E54">
        <v>0</v>
      </c>
      <c r="F54">
        <v>0</v>
      </c>
      <c r="G54">
        <v>0</v>
      </c>
      <c r="H54">
        <v>2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27</v>
      </c>
      <c r="B55" t="s">
        <v>1204</v>
      </c>
      <c r="C55">
        <f>"PR3014243"</f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27</v>
      </c>
      <c r="B56" t="s">
        <v>4381</v>
      </c>
      <c r="C56">
        <f>"ALUE07"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27</v>
      </c>
      <c r="B57" t="s">
        <v>4382</v>
      </c>
      <c r="C57">
        <f>"ALUB15"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27</v>
      </c>
      <c r="B58" t="s">
        <v>2965</v>
      </c>
      <c r="C58">
        <f>"ALQV07"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27</v>
      </c>
      <c r="B59" t="s">
        <v>1462</v>
      </c>
      <c r="C59">
        <f>"USA501"</f>
        <v>0</v>
      </c>
      <c r="D59">
        <v>0</v>
      </c>
      <c r="E59">
        <v>1</v>
      </c>
      <c r="F59">
        <v>0</v>
      </c>
      <c r="G59">
        <v>0</v>
      </c>
      <c r="H59">
        <v>1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27</v>
      </c>
      <c r="B60" t="s">
        <v>4144</v>
      </c>
      <c r="C60">
        <f>"ALCP07"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27</v>
      </c>
      <c r="B61" t="s">
        <v>797</v>
      </c>
      <c r="C61">
        <f>"PR3034141"</f>
        <v>0</v>
      </c>
      <c r="D61">
        <v>4</v>
      </c>
      <c r="E61">
        <v>0</v>
      </c>
      <c r="F61">
        <v>0</v>
      </c>
      <c r="G61">
        <v>0</v>
      </c>
      <c r="H61">
        <v>4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27</v>
      </c>
      <c r="B62" t="s">
        <v>1730</v>
      </c>
      <c r="C62">
        <f>"USA621"</f>
        <v>0</v>
      </c>
      <c r="D62">
        <v>3</v>
      </c>
      <c r="E62">
        <v>3</v>
      </c>
      <c r="F62">
        <v>4</v>
      </c>
      <c r="G62">
        <v>3</v>
      </c>
      <c r="H62">
        <v>13</v>
      </c>
      <c r="I62">
        <v>3</v>
      </c>
      <c r="J62">
        <v>8</v>
      </c>
      <c r="K62">
        <v>56.192</v>
      </c>
      <c r="L62" s="2">
        <v>7</v>
      </c>
      <c r="M62">
        <v>0</v>
      </c>
      <c r="N62" s="2">
        <v>0</v>
      </c>
      <c r="O62">
        <v>-0.5999999999999996</v>
      </c>
      <c r="P62" t="s">
        <v>10560</v>
      </c>
      <c r="Q62">
        <v>6.804</v>
      </c>
      <c r="R62" t="s">
        <v>10578</v>
      </c>
      <c r="S62">
        <v>0</v>
      </c>
    </row>
    <row r="63" spans="1:19">
      <c r="A63" t="s">
        <v>27</v>
      </c>
      <c r="B63" t="s">
        <v>2687</v>
      </c>
      <c r="C63">
        <f>"ALDF07"</f>
        <v>0</v>
      </c>
      <c r="D63">
        <v>0</v>
      </c>
      <c r="E63">
        <v>0</v>
      </c>
      <c r="F63">
        <v>1</v>
      </c>
      <c r="G63">
        <v>0</v>
      </c>
      <c r="H63">
        <v>1</v>
      </c>
      <c r="I63">
        <v>0</v>
      </c>
      <c r="J63">
        <v>1</v>
      </c>
      <c r="K63">
        <v>6.977</v>
      </c>
      <c r="L63" s="2">
        <v>7</v>
      </c>
      <c r="M63">
        <v>0</v>
      </c>
      <c r="N63" s="2">
        <v>0</v>
      </c>
      <c r="O63">
        <v>-1.2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27</v>
      </c>
      <c r="B64" t="s">
        <v>1559</v>
      </c>
      <c r="C64">
        <f>"USD615"</f>
        <v>0</v>
      </c>
      <c r="D64">
        <v>0</v>
      </c>
      <c r="E64">
        <v>16</v>
      </c>
      <c r="F64">
        <v>1</v>
      </c>
      <c r="G64">
        <v>0</v>
      </c>
      <c r="H64">
        <v>17</v>
      </c>
      <c r="I64">
        <v>0.5</v>
      </c>
      <c r="J64">
        <v>2</v>
      </c>
      <c r="K64">
        <v>2.558</v>
      </c>
      <c r="L64" s="2">
        <v>1</v>
      </c>
      <c r="M64">
        <v>0</v>
      </c>
      <c r="N64" s="2">
        <v>0</v>
      </c>
      <c r="O64">
        <v>-1.9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27</v>
      </c>
      <c r="B65" t="s">
        <v>1771</v>
      </c>
      <c r="C65">
        <f>"USA667"</f>
        <v>0</v>
      </c>
      <c r="D65">
        <v>3</v>
      </c>
      <c r="E65">
        <v>1</v>
      </c>
      <c r="F65">
        <v>3</v>
      </c>
      <c r="G65">
        <v>4</v>
      </c>
      <c r="H65">
        <v>11</v>
      </c>
      <c r="I65">
        <v>3</v>
      </c>
      <c r="J65">
        <v>14</v>
      </c>
      <c r="K65">
        <v>20.595</v>
      </c>
      <c r="L65" s="2">
        <v>1</v>
      </c>
      <c r="M65">
        <v>0</v>
      </c>
      <c r="N65" s="2">
        <v>0</v>
      </c>
      <c r="O65">
        <v>-2.800000000000001</v>
      </c>
      <c r="P65" t="s">
        <v>10561</v>
      </c>
      <c r="Q65">
        <v>1.68</v>
      </c>
      <c r="R65" t="s">
        <v>10579</v>
      </c>
      <c r="S65">
        <v>1</v>
      </c>
    </row>
    <row r="66" spans="1:19">
      <c r="A66" t="s">
        <v>27</v>
      </c>
      <c r="B66" t="s">
        <v>2201</v>
      </c>
      <c r="C66">
        <f>"ALUV15"</f>
        <v>0</v>
      </c>
      <c r="D66">
        <v>0</v>
      </c>
      <c r="E66">
        <v>0</v>
      </c>
      <c r="F66">
        <v>2</v>
      </c>
      <c r="G66">
        <v>0</v>
      </c>
      <c r="H66">
        <v>2</v>
      </c>
      <c r="I66">
        <v>0</v>
      </c>
      <c r="J66">
        <v>3</v>
      </c>
      <c r="K66">
        <v>38.256</v>
      </c>
      <c r="L66" s="2">
        <v>13</v>
      </c>
      <c r="M66">
        <v>0</v>
      </c>
      <c r="N66" s="2">
        <v>0</v>
      </c>
      <c r="O66">
        <v>-3.6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27</v>
      </c>
      <c r="B67" t="s">
        <v>7912</v>
      </c>
      <c r="C67">
        <f>"USA670"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3</v>
      </c>
      <c r="K67">
        <v>3.838</v>
      </c>
      <c r="L67" s="2">
        <v>1</v>
      </c>
      <c r="M67">
        <v>0</v>
      </c>
      <c r="N67" s="2">
        <v>0</v>
      </c>
      <c r="O67">
        <v>-3.6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27</v>
      </c>
      <c r="B68" t="s">
        <v>1630</v>
      </c>
      <c r="C68">
        <f>"USA903"</f>
        <v>0</v>
      </c>
      <c r="D68">
        <v>13</v>
      </c>
      <c r="E68">
        <v>8</v>
      </c>
      <c r="F68">
        <v>4</v>
      </c>
      <c r="G68">
        <v>5</v>
      </c>
      <c r="H68">
        <v>30</v>
      </c>
      <c r="I68">
        <v>6.5</v>
      </c>
      <c r="J68">
        <v>20</v>
      </c>
      <c r="K68">
        <v>29.312</v>
      </c>
      <c r="L68" s="2">
        <v>1</v>
      </c>
      <c r="M68">
        <v>0</v>
      </c>
      <c r="N68" s="2">
        <v>0</v>
      </c>
      <c r="O68">
        <v>-4.5</v>
      </c>
      <c r="P68" t="s">
        <v>10562</v>
      </c>
      <c r="Q68">
        <v>2.558</v>
      </c>
      <c r="R68" t="s">
        <v>10580</v>
      </c>
      <c r="S68">
        <v>1</v>
      </c>
    </row>
    <row r="69" spans="1:19">
      <c r="A69" t="s">
        <v>27</v>
      </c>
      <c r="B69" t="s">
        <v>2161</v>
      </c>
      <c r="C69">
        <f>"USA605"</f>
        <v>0</v>
      </c>
      <c r="D69">
        <v>2</v>
      </c>
      <c r="E69">
        <v>0</v>
      </c>
      <c r="F69">
        <v>0</v>
      </c>
      <c r="G69">
        <v>0</v>
      </c>
      <c r="H69">
        <v>2</v>
      </c>
      <c r="I69">
        <v>0</v>
      </c>
      <c r="J69">
        <v>4</v>
      </c>
      <c r="K69">
        <v>5.117</v>
      </c>
      <c r="L69" s="2">
        <v>1</v>
      </c>
      <c r="M69">
        <v>0</v>
      </c>
      <c r="N69" s="2">
        <v>0</v>
      </c>
      <c r="O69">
        <v>-4.8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27</v>
      </c>
      <c r="B70" t="s">
        <v>2533</v>
      </c>
      <c r="C70">
        <f>"ALUB07"</f>
        <v>0</v>
      </c>
      <c r="D70">
        <v>0</v>
      </c>
      <c r="E70">
        <v>1</v>
      </c>
      <c r="F70">
        <v>0</v>
      </c>
      <c r="G70">
        <v>0</v>
      </c>
      <c r="H70">
        <v>1</v>
      </c>
      <c r="I70">
        <v>0</v>
      </c>
      <c r="J70">
        <v>4</v>
      </c>
      <c r="K70">
        <v>26.966</v>
      </c>
      <c r="L70" s="2">
        <v>7</v>
      </c>
      <c r="M70">
        <v>0</v>
      </c>
      <c r="N70" s="2">
        <v>0</v>
      </c>
      <c r="O70">
        <v>-4.8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27</v>
      </c>
      <c r="B71" t="s">
        <v>2446</v>
      </c>
      <c r="C71">
        <f>"ALSC07"</f>
        <v>0</v>
      </c>
      <c r="D71">
        <v>0</v>
      </c>
      <c r="E71">
        <v>0</v>
      </c>
      <c r="F71">
        <v>1</v>
      </c>
      <c r="G71">
        <v>0</v>
      </c>
      <c r="H71">
        <v>1</v>
      </c>
      <c r="I71">
        <v>0</v>
      </c>
      <c r="J71">
        <v>4</v>
      </c>
      <c r="K71">
        <v>28.742</v>
      </c>
      <c r="L71" s="2">
        <v>7</v>
      </c>
      <c r="M71">
        <v>0</v>
      </c>
      <c r="N71" s="2">
        <v>0</v>
      </c>
      <c r="O71">
        <v>-4.8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27</v>
      </c>
      <c r="B72" t="s">
        <v>2534</v>
      </c>
      <c r="C72">
        <f>"ALUV7"</f>
        <v>0</v>
      </c>
      <c r="D72">
        <v>0</v>
      </c>
      <c r="E72">
        <v>1</v>
      </c>
      <c r="F72">
        <v>0</v>
      </c>
      <c r="G72">
        <v>0</v>
      </c>
      <c r="H72">
        <v>1</v>
      </c>
      <c r="I72">
        <v>0</v>
      </c>
      <c r="J72">
        <v>4</v>
      </c>
      <c r="K72">
        <v>26.966</v>
      </c>
      <c r="L72" s="2">
        <v>7</v>
      </c>
      <c r="M72">
        <v>0</v>
      </c>
      <c r="N72" s="2">
        <v>0</v>
      </c>
      <c r="O72">
        <v>-4.8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27</v>
      </c>
      <c r="B73" t="s">
        <v>1987</v>
      </c>
      <c r="C73">
        <f>"ALUC07"</f>
        <v>0</v>
      </c>
      <c r="D73">
        <v>1</v>
      </c>
      <c r="E73">
        <v>2</v>
      </c>
      <c r="F73">
        <v>1</v>
      </c>
      <c r="G73">
        <v>0</v>
      </c>
      <c r="H73">
        <v>4</v>
      </c>
      <c r="I73">
        <v>1</v>
      </c>
      <c r="J73">
        <v>5</v>
      </c>
      <c r="K73">
        <v>32.048</v>
      </c>
      <c r="L73" s="2">
        <v>6</v>
      </c>
      <c r="M73">
        <v>0</v>
      </c>
      <c r="N73" s="2">
        <v>0</v>
      </c>
      <c r="O73">
        <v>-5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27</v>
      </c>
      <c r="B74" t="s">
        <v>2016</v>
      </c>
      <c r="C74">
        <f>"USD721"</f>
        <v>0</v>
      </c>
      <c r="D74">
        <v>2</v>
      </c>
      <c r="E74">
        <v>2</v>
      </c>
      <c r="F74">
        <v>0</v>
      </c>
      <c r="G74">
        <v>0</v>
      </c>
      <c r="H74">
        <v>4</v>
      </c>
      <c r="I74">
        <v>1</v>
      </c>
      <c r="J74">
        <v>5</v>
      </c>
      <c r="K74">
        <v>18.136</v>
      </c>
      <c r="L74" s="2">
        <v>4</v>
      </c>
      <c r="M74">
        <v>0</v>
      </c>
      <c r="N74" s="2">
        <v>0</v>
      </c>
      <c r="O74">
        <v>-5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27</v>
      </c>
      <c r="B75" t="s">
        <v>2055</v>
      </c>
      <c r="C75">
        <f>"USA704"</f>
        <v>0</v>
      </c>
      <c r="D75">
        <v>0</v>
      </c>
      <c r="E75">
        <v>1</v>
      </c>
      <c r="F75">
        <v>2</v>
      </c>
      <c r="G75">
        <v>0</v>
      </c>
      <c r="H75">
        <v>3</v>
      </c>
      <c r="I75">
        <v>0.5</v>
      </c>
      <c r="J75">
        <v>5</v>
      </c>
      <c r="K75">
        <v>7.454</v>
      </c>
      <c r="L75" s="2">
        <v>1</v>
      </c>
      <c r="M75">
        <v>0</v>
      </c>
      <c r="N75" s="2">
        <v>0</v>
      </c>
      <c r="O75">
        <v>-5.5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27</v>
      </c>
      <c r="B76" t="s">
        <v>1836</v>
      </c>
      <c r="C76">
        <f>"USD622"</f>
        <v>0</v>
      </c>
      <c r="D76">
        <v>0</v>
      </c>
      <c r="E76">
        <v>8</v>
      </c>
      <c r="F76">
        <v>0</v>
      </c>
      <c r="G76">
        <v>0</v>
      </c>
      <c r="H76">
        <v>8</v>
      </c>
      <c r="I76">
        <v>0</v>
      </c>
      <c r="J76">
        <v>5</v>
      </c>
      <c r="K76">
        <v>15.106</v>
      </c>
      <c r="L76" s="2">
        <v>3</v>
      </c>
      <c r="M76">
        <v>0</v>
      </c>
      <c r="N76" s="2">
        <v>0</v>
      </c>
      <c r="O76">
        <v>-6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27</v>
      </c>
      <c r="B77" t="s">
        <v>2530</v>
      </c>
      <c r="C77">
        <f>"USA701"</f>
        <v>0</v>
      </c>
      <c r="D77">
        <v>0</v>
      </c>
      <c r="E77">
        <v>0</v>
      </c>
      <c r="F77">
        <v>1</v>
      </c>
      <c r="G77">
        <v>0</v>
      </c>
      <c r="H77">
        <v>1</v>
      </c>
      <c r="I77">
        <v>0</v>
      </c>
      <c r="J77">
        <v>5</v>
      </c>
      <c r="K77">
        <v>7.406</v>
      </c>
      <c r="L77" s="2">
        <v>1</v>
      </c>
      <c r="M77">
        <v>0</v>
      </c>
      <c r="N77" s="2">
        <v>0</v>
      </c>
      <c r="O77">
        <v>-6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27</v>
      </c>
      <c r="B78" t="s">
        <v>4143</v>
      </c>
      <c r="C78">
        <f>"ALCR04"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</v>
      </c>
      <c r="K78">
        <v>43.468</v>
      </c>
      <c r="L78" s="2">
        <v>9</v>
      </c>
      <c r="M78">
        <v>0</v>
      </c>
      <c r="N78" s="2">
        <v>0</v>
      </c>
      <c r="O78">
        <v>-6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27</v>
      </c>
      <c r="B79" t="s">
        <v>7898</v>
      </c>
      <c r="C79">
        <f>"USD741"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6</v>
      </c>
      <c r="K79">
        <v>23.042</v>
      </c>
      <c r="L79" s="2">
        <v>4</v>
      </c>
      <c r="M79">
        <v>0</v>
      </c>
      <c r="N79" s="2">
        <v>0</v>
      </c>
      <c r="O79">
        <v>-7.199999999999999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27</v>
      </c>
      <c r="B80" t="s">
        <v>2035</v>
      </c>
      <c r="C80">
        <f>"USA904"</f>
        <v>0</v>
      </c>
      <c r="D80">
        <v>3</v>
      </c>
      <c r="E80">
        <v>1</v>
      </c>
      <c r="F80">
        <v>0</v>
      </c>
      <c r="G80">
        <v>0</v>
      </c>
      <c r="H80">
        <v>4</v>
      </c>
      <c r="I80">
        <v>0.5</v>
      </c>
      <c r="J80">
        <v>7</v>
      </c>
      <c r="K80">
        <v>10.262</v>
      </c>
      <c r="L80" s="2">
        <v>1</v>
      </c>
      <c r="M80">
        <v>0</v>
      </c>
      <c r="N80" s="2">
        <v>0</v>
      </c>
      <c r="O80">
        <v>-7.9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27</v>
      </c>
      <c r="B81" t="s">
        <v>2074</v>
      </c>
      <c r="C81">
        <f>"usa612"</f>
        <v>0</v>
      </c>
      <c r="D81">
        <v>0</v>
      </c>
      <c r="E81">
        <v>1</v>
      </c>
      <c r="F81">
        <v>2</v>
      </c>
      <c r="G81">
        <v>0</v>
      </c>
      <c r="H81">
        <v>3</v>
      </c>
      <c r="I81">
        <v>0.5</v>
      </c>
      <c r="J81">
        <v>7</v>
      </c>
      <c r="K81">
        <v>21.188</v>
      </c>
      <c r="L81" s="2">
        <v>3</v>
      </c>
      <c r="M81">
        <v>0</v>
      </c>
      <c r="N81" s="2">
        <v>0</v>
      </c>
      <c r="O81">
        <v>-7.9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27</v>
      </c>
      <c r="B82" t="s">
        <v>2020</v>
      </c>
      <c r="C82">
        <f>"USD602"</f>
        <v>0</v>
      </c>
      <c r="D82">
        <v>0</v>
      </c>
      <c r="E82">
        <v>1</v>
      </c>
      <c r="F82">
        <v>3</v>
      </c>
      <c r="G82">
        <v>0</v>
      </c>
      <c r="H82">
        <v>4</v>
      </c>
      <c r="I82">
        <v>0.5</v>
      </c>
      <c r="J82">
        <v>7</v>
      </c>
      <c r="K82">
        <v>22.952</v>
      </c>
      <c r="L82" s="2">
        <v>3</v>
      </c>
      <c r="M82">
        <v>0</v>
      </c>
      <c r="N82" s="2">
        <v>0</v>
      </c>
      <c r="O82">
        <v>-7.9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27</v>
      </c>
      <c r="B83" t="s">
        <v>1975</v>
      </c>
      <c r="C83">
        <f>"USD605"</f>
        <v>0</v>
      </c>
      <c r="D83">
        <v>1</v>
      </c>
      <c r="E83">
        <v>0</v>
      </c>
      <c r="F83">
        <v>3</v>
      </c>
      <c r="G83">
        <v>0</v>
      </c>
      <c r="H83">
        <v>4</v>
      </c>
      <c r="I83">
        <v>0.5</v>
      </c>
      <c r="J83">
        <v>7</v>
      </c>
      <c r="K83">
        <v>23.701</v>
      </c>
      <c r="L83" s="2">
        <v>3</v>
      </c>
      <c r="M83">
        <v>0</v>
      </c>
      <c r="N83" s="2">
        <v>0</v>
      </c>
      <c r="O83">
        <v>-7.9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27</v>
      </c>
      <c r="B84" t="s">
        <v>2313</v>
      </c>
      <c r="C84">
        <f>"USD614"</f>
        <v>0</v>
      </c>
      <c r="D84">
        <v>0</v>
      </c>
      <c r="E84">
        <v>1</v>
      </c>
      <c r="F84">
        <v>1</v>
      </c>
      <c r="G84">
        <v>0</v>
      </c>
      <c r="H84">
        <v>2</v>
      </c>
      <c r="I84">
        <v>0.5</v>
      </c>
      <c r="J84">
        <v>8</v>
      </c>
      <c r="K84">
        <v>11.577</v>
      </c>
      <c r="L84" s="2">
        <v>1</v>
      </c>
      <c r="M84">
        <v>0</v>
      </c>
      <c r="N84" s="2">
        <v>0</v>
      </c>
      <c r="O84">
        <v>-9.1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27</v>
      </c>
      <c r="B85" t="s">
        <v>1978</v>
      </c>
      <c r="C85">
        <f>"USA611"</f>
        <v>0</v>
      </c>
      <c r="D85">
        <v>1</v>
      </c>
      <c r="E85">
        <v>0</v>
      </c>
      <c r="F85">
        <v>3</v>
      </c>
      <c r="G85">
        <v>0</v>
      </c>
      <c r="H85">
        <v>4</v>
      </c>
      <c r="I85">
        <v>0.5</v>
      </c>
      <c r="J85">
        <v>9</v>
      </c>
      <c r="K85">
        <v>31.598</v>
      </c>
      <c r="L85" s="2">
        <v>4</v>
      </c>
      <c r="M85">
        <v>0</v>
      </c>
      <c r="N85" s="2">
        <v>0</v>
      </c>
      <c r="O85">
        <v>-10.3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27</v>
      </c>
      <c r="B86" t="s">
        <v>2664</v>
      </c>
      <c r="C86">
        <f>"USD613"</f>
        <v>0</v>
      </c>
      <c r="D86">
        <v>0</v>
      </c>
      <c r="E86">
        <v>0</v>
      </c>
      <c r="F86">
        <v>1</v>
      </c>
      <c r="G86">
        <v>0</v>
      </c>
      <c r="H86">
        <v>1</v>
      </c>
      <c r="I86">
        <v>0</v>
      </c>
      <c r="J86">
        <v>9</v>
      </c>
      <c r="K86">
        <v>13.24</v>
      </c>
      <c r="L86" s="2">
        <v>1</v>
      </c>
      <c r="M86">
        <v>0</v>
      </c>
      <c r="N86" s="2">
        <v>0</v>
      </c>
      <c r="O86">
        <v>-10.8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27</v>
      </c>
      <c r="B87" t="s">
        <v>2018</v>
      </c>
      <c r="C87">
        <f>"USD743"</f>
        <v>0</v>
      </c>
      <c r="D87">
        <v>2</v>
      </c>
      <c r="E87">
        <v>1</v>
      </c>
      <c r="F87">
        <v>1</v>
      </c>
      <c r="G87">
        <v>0</v>
      </c>
      <c r="H87">
        <v>4</v>
      </c>
      <c r="I87">
        <v>1</v>
      </c>
      <c r="J87">
        <v>10</v>
      </c>
      <c r="K87">
        <v>41.458</v>
      </c>
      <c r="L87" s="2">
        <v>4</v>
      </c>
      <c r="M87">
        <v>0</v>
      </c>
      <c r="N87" s="2">
        <v>0</v>
      </c>
      <c r="O87">
        <v>-11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27</v>
      </c>
      <c r="B88" t="s">
        <v>7035</v>
      </c>
      <c r="C88">
        <f>"USD604"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10</v>
      </c>
      <c r="K88">
        <v>34.31</v>
      </c>
      <c r="L88" s="2">
        <v>3</v>
      </c>
      <c r="M88">
        <v>0</v>
      </c>
      <c r="N88" s="2">
        <v>0</v>
      </c>
      <c r="O88">
        <v>-12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27</v>
      </c>
      <c r="B89" t="s">
        <v>545</v>
      </c>
      <c r="C89">
        <f>"USA663"</f>
        <v>0</v>
      </c>
      <c r="D89">
        <v>0</v>
      </c>
      <c r="E89">
        <v>1</v>
      </c>
      <c r="F89">
        <v>1</v>
      </c>
      <c r="G89">
        <v>1</v>
      </c>
      <c r="H89">
        <v>3</v>
      </c>
      <c r="I89">
        <v>1</v>
      </c>
      <c r="J89">
        <v>13</v>
      </c>
      <c r="K89">
        <v>19.172</v>
      </c>
      <c r="L89" s="2">
        <v>1</v>
      </c>
      <c r="M89">
        <v>0</v>
      </c>
      <c r="N89" s="2">
        <v>0</v>
      </c>
      <c r="O89">
        <v>-12.6</v>
      </c>
      <c r="P89" t="s">
        <v>10563</v>
      </c>
      <c r="Q89">
        <v>321</v>
      </c>
      <c r="R89" t="s">
        <v>10581</v>
      </c>
      <c r="S89">
        <v>0</v>
      </c>
    </row>
    <row r="90" spans="1:19">
      <c r="A90" t="s">
        <v>27</v>
      </c>
      <c r="B90" t="s">
        <v>1727</v>
      </c>
      <c r="C90">
        <f>"USA665"</f>
        <v>0</v>
      </c>
      <c r="D90">
        <v>3</v>
      </c>
      <c r="E90">
        <v>6</v>
      </c>
      <c r="F90">
        <v>2</v>
      </c>
      <c r="G90">
        <v>4</v>
      </c>
      <c r="H90">
        <v>15</v>
      </c>
      <c r="I90">
        <v>3.5</v>
      </c>
      <c r="J90">
        <v>24</v>
      </c>
      <c r="K90">
        <v>30.701</v>
      </c>
      <c r="L90" s="2">
        <v>1</v>
      </c>
      <c r="M90">
        <v>0</v>
      </c>
      <c r="N90" s="2">
        <v>0</v>
      </c>
      <c r="O90">
        <v>-14.3</v>
      </c>
      <c r="P90" t="s">
        <v>10564</v>
      </c>
      <c r="Q90">
        <v>1.814</v>
      </c>
      <c r="R90" t="s">
        <v>10582</v>
      </c>
      <c r="S90">
        <v>1</v>
      </c>
    </row>
    <row r="91" spans="1:19">
      <c r="A91" t="s">
        <v>27</v>
      </c>
      <c r="B91" t="s">
        <v>367</v>
      </c>
      <c r="C91">
        <f>"USD612"</f>
        <v>0</v>
      </c>
      <c r="D91">
        <v>1</v>
      </c>
      <c r="E91">
        <v>1</v>
      </c>
      <c r="F91">
        <v>0</v>
      </c>
      <c r="G91">
        <v>1</v>
      </c>
      <c r="H91">
        <v>3</v>
      </c>
      <c r="I91">
        <v>1</v>
      </c>
      <c r="J91">
        <v>17</v>
      </c>
      <c r="K91">
        <v>21.747</v>
      </c>
      <c r="L91" s="2">
        <v>1</v>
      </c>
      <c r="M91">
        <v>0</v>
      </c>
      <c r="N91" s="2">
        <v>0</v>
      </c>
      <c r="O91">
        <v>-14.4</v>
      </c>
      <c r="P91" t="s">
        <v>10565</v>
      </c>
      <c r="Q91">
        <v>515</v>
      </c>
      <c r="R91" t="s">
        <v>10583</v>
      </c>
      <c r="S91">
        <v>1</v>
      </c>
    </row>
    <row r="92" spans="1:19">
      <c r="A92" t="s">
        <v>27</v>
      </c>
      <c r="B92" t="s">
        <v>2111</v>
      </c>
      <c r="C92">
        <f>"USD603"</f>
        <v>0</v>
      </c>
      <c r="D92">
        <v>0</v>
      </c>
      <c r="E92">
        <v>0</v>
      </c>
      <c r="F92">
        <v>3</v>
      </c>
      <c r="G92">
        <v>0</v>
      </c>
      <c r="H92">
        <v>3</v>
      </c>
      <c r="I92">
        <v>0</v>
      </c>
      <c r="J92">
        <v>13</v>
      </c>
      <c r="K92">
        <v>40.911</v>
      </c>
      <c r="L92" s="2">
        <v>3</v>
      </c>
      <c r="M92">
        <v>0</v>
      </c>
      <c r="N92" s="2">
        <v>0</v>
      </c>
      <c r="O92">
        <v>-15.6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27</v>
      </c>
      <c r="B93" t="s">
        <v>7913</v>
      </c>
      <c r="C93">
        <f>"USA662"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13</v>
      </c>
      <c r="K93">
        <v>19.124</v>
      </c>
      <c r="L93" s="2">
        <v>1</v>
      </c>
      <c r="M93">
        <v>0</v>
      </c>
      <c r="N93" s="2">
        <v>0</v>
      </c>
      <c r="O93">
        <v>-15.6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27</v>
      </c>
      <c r="B94" t="s">
        <v>10224</v>
      </c>
      <c r="C94">
        <f>"USA712"</f>
        <v>0</v>
      </c>
      <c r="D94">
        <v>7</v>
      </c>
      <c r="E94">
        <v>1</v>
      </c>
      <c r="F94">
        <v>2</v>
      </c>
      <c r="G94">
        <v>1</v>
      </c>
      <c r="H94">
        <v>11</v>
      </c>
      <c r="I94">
        <v>1.5</v>
      </c>
      <c r="J94">
        <v>16</v>
      </c>
      <c r="K94">
        <v>23.699</v>
      </c>
      <c r="L94" s="2">
        <v>1</v>
      </c>
      <c r="M94">
        <v>0</v>
      </c>
      <c r="N94" s="2">
        <v>0</v>
      </c>
      <c r="O94">
        <v>-15.7</v>
      </c>
      <c r="P94" t="s">
        <v>10566</v>
      </c>
      <c r="Q94">
        <v>-409</v>
      </c>
      <c r="R94" t="s">
        <v>10584</v>
      </c>
      <c r="S94">
        <v>0</v>
      </c>
    </row>
    <row r="95" spans="1:19">
      <c r="A95" t="s">
        <v>27</v>
      </c>
      <c r="B95" t="s">
        <v>380</v>
      </c>
      <c r="C95">
        <f>"USA669"</f>
        <v>0</v>
      </c>
      <c r="D95">
        <v>2</v>
      </c>
      <c r="E95">
        <v>4</v>
      </c>
      <c r="F95">
        <v>4</v>
      </c>
      <c r="G95">
        <v>1</v>
      </c>
      <c r="H95">
        <v>11</v>
      </c>
      <c r="I95">
        <v>3</v>
      </c>
      <c r="J95">
        <v>19</v>
      </c>
      <c r="K95">
        <v>27.951</v>
      </c>
      <c r="L95" s="2">
        <v>1</v>
      </c>
      <c r="M95">
        <v>0</v>
      </c>
      <c r="N95" s="2">
        <v>0</v>
      </c>
      <c r="O95">
        <v>-17.8</v>
      </c>
      <c r="P95" t="s">
        <v>10318</v>
      </c>
      <c r="Q95">
        <v>453</v>
      </c>
      <c r="R95" t="s">
        <v>10585</v>
      </c>
      <c r="S95">
        <v>0</v>
      </c>
    </row>
    <row r="96" spans="1:19">
      <c r="A96" t="s">
        <v>27</v>
      </c>
      <c r="B96" t="s">
        <v>2017</v>
      </c>
      <c r="C96">
        <f>"USA602"</f>
        <v>0</v>
      </c>
      <c r="D96">
        <v>3</v>
      </c>
      <c r="E96">
        <v>0</v>
      </c>
      <c r="F96">
        <v>1</v>
      </c>
      <c r="G96">
        <v>0</v>
      </c>
      <c r="H96">
        <v>4</v>
      </c>
      <c r="I96">
        <v>0.5</v>
      </c>
      <c r="J96">
        <v>16</v>
      </c>
      <c r="K96">
        <v>23.537</v>
      </c>
      <c r="L96" s="2">
        <v>1</v>
      </c>
      <c r="M96">
        <v>0</v>
      </c>
      <c r="N96" s="2">
        <v>0</v>
      </c>
      <c r="O96">
        <v>-18.7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27</v>
      </c>
      <c r="B97" t="s">
        <v>2312</v>
      </c>
      <c r="C97">
        <f>"USA608"</f>
        <v>0</v>
      </c>
      <c r="D97">
        <v>1</v>
      </c>
      <c r="E97">
        <v>0</v>
      </c>
      <c r="F97">
        <v>1</v>
      </c>
      <c r="G97">
        <v>0</v>
      </c>
      <c r="H97">
        <v>2</v>
      </c>
      <c r="I97">
        <v>0.5</v>
      </c>
      <c r="J97">
        <v>17</v>
      </c>
      <c r="K97">
        <v>25.008</v>
      </c>
      <c r="L97" s="2">
        <v>1</v>
      </c>
      <c r="M97">
        <v>0</v>
      </c>
      <c r="N97" s="2">
        <v>0</v>
      </c>
      <c r="O97">
        <v>-19.9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27</v>
      </c>
      <c r="B98" t="s">
        <v>7036</v>
      </c>
      <c r="C98">
        <f>"USD601"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17</v>
      </c>
      <c r="K98">
        <v>56.276</v>
      </c>
      <c r="L98" s="2">
        <v>3</v>
      </c>
      <c r="M98">
        <v>0</v>
      </c>
      <c r="N98" s="2">
        <v>0</v>
      </c>
      <c r="O98">
        <v>-20.4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27</v>
      </c>
      <c r="B99" t="s">
        <v>2595</v>
      </c>
      <c r="C99">
        <f>"USA711"</f>
        <v>0</v>
      </c>
      <c r="D99">
        <v>0</v>
      </c>
      <c r="E99">
        <v>0</v>
      </c>
      <c r="F99">
        <v>1</v>
      </c>
      <c r="G99">
        <v>0</v>
      </c>
      <c r="H99">
        <v>1</v>
      </c>
      <c r="I99">
        <v>0</v>
      </c>
      <c r="J99">
        <v>18</v>
      </c>
      <c r="K99">
        <v>26.951</v>
      </c>
      <c r="L99" s="2">
        <v>1</v>
      </c>
      <c r="M99">
        <v>0</v>
      </c>
      <c r="N99" s="2">
        <v>0</v>
      </c>
      <c r="O99">
        <v>-21.6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27</v>
      </c>
      <c r="B100" t="s">
        <v>332</v>
      </c>
      <c r="C100">
        <f>"USA901"</f>
        <v>0</v>
      </c>
      <c r="D100">
        <v>14</v>
      </c>
      <c r="E100">
        <v>6</v>
      </c>
      <c r="F100">
        <v>5</v>
      </c>
      <c r="G100">
        <v>1</v>
      </c>
      <c r="H100">
        <v>26</v>
      </c>
      <c r="I100">
        <v>5.5</v>
      </c>
      <c r="J100">
        <v>25</v>
      </c>
      <c r="K100">
        <v>36.64</v>
      </c>
      <c r="L100" s="2">
        <v>1</v>
      </c>
      <c r="M100">
        <v>0</v>
      </c>
      <c r="N100" s="2">
        <v>0</v>
      </c>
      <c r="O100">
        <v>-22.5</v>
      </c>
      <c r="P100" t="s">
        <v>10567</v>
      </c>
      <c r="Q100">
        <v>511</v>
      </c>
      <c r="R100" t="s">
        <v>10580</v>
      </c>
      <c r="S100">
        <v>0</v>
      </c>
    </row>
    <row r="101" spans="1:19">
      <c r="A101" t="s">
        <v>27</v>
      </c>
      <c r="B101" t="s">
        <v>280</v>
      </c>
      <c r="C101">
        <f>"USA607"</f>
        <v>0</v>
      </c>
      <c r="D101">
        <v>1</v>
      </c>
      <c r="E101">
        <v>0</v>
      </c>
      <c r="F101">
        <v>1</v>
      </c>
      <c r="G101">
        <v>1</v>
      </c>
      <c r="H101">
        <v>3</v>
      </c>
      <c r="I101">
        <v>1</v>
      </c>
      <c r="J101">
        <v>29</v>
      </c>
      <c r="K101">
        <v>42.661</v>
      </c>
      <c r="L101" s="2">
        <v>1</v>
      </c>
      <c r="M101">
        <v>0</v>
      </c>
      <c r="N101" s="2">
        <v>0</v>
      </c>
      <c r="O101">
        <v>-31.8</v>
      </c>
      <c r="P101" t="s">
        <v>10568</v>
      </c>
      <c r="Q101">
        <v>790</v>
      </c>
      <c r="R101" t="s">
        <v>10586</v>
      </c>
      <c r="S101">
        <v>0</v>
      </c>
    </row>
    <row r="102" spans="1:19">
      <c r="A102" t="s">
        <v>27</v>
      </c>
      <c r="B102" t="s">
        <v>1862</v>
      </c>
      <c r="C102">
        <f>"USD611"</f>
        <v>0</v>
      </c>
      <c r="D102">
        <v>3</v>
      </c>
      <c r="E102">
        <v>4</v>
      </c>
      <c r="F102">
        <v>0</v>
      </c>
      <c r="G102">
        <v>0</v>
      </c>
      <c r="H102">
        <v>7</v>
      </c>
      <c r="I102">
        <v>1.5</v>
      </c>
      <c r="J102">
        <v>29</v>
      </c>
      <c r="K102">
        <v>37.097</v>
      </c>
      <c r="L102" s="2">
        <v>1</v>
      </c>
      <c r="M102">
        <v>0</v>
      </c>
      <c r="N102" s="2">
        <v>0</v>
      </c>
      <c r="O102">
        <v>-33.3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27</v>
      </c>
      <c r="B103" t="s">
        <v>1805</v>
      </c>
      <c r="C103">
        <f>"USA604"</f>
        <v>0</v>
      </c>
      <c r="D103">
        <v>1</v>
      </c>
      <c r="E103">
        <v>0</v>
      </c>
      <c r="F103">
        <v>2</v>
      </c>
      <c r="G103">
        <v>5</v>
      </c>
      <c r="H103">
        <v>8</v>
      </c>
      <c r="I103">
        <v>1.5</v>
      </c>
      <c r="J103">
        <v>48</v>
      </c>
      <c r="K103">
        <v>61.785</v>
      </c>
      <c r="L103" s="2">
        <v>1</v>
      </c>
      <c r="M103">
        <v>0</v>
      </c>
      <c r="N103" s="2">
        <v>0</v>
      </c>
      <c r="O103">
        <v>-43.09999999999999</v>
      </c>
      <c r="P103" t="s">
        <v>10569</v>
      </c>
      <c r="Q103">
        <v>5.592</v>
      </c>
      <c r="R103" t="s">
        <v>10364</v>
      </c>
      <c r="S103">
        <v>1</v>
      </c>
    </row>
    <row r="104" spans="1:19">
      <c r="A104" t="s">
        <v>27</v>
      </c>
      <c r="B104" t="s">
        <v>418</v>
      </c>
      <c r="C104">
        <f>"USA664"</f>
        <v>0</v>
      </c>
      <c r="D104">
        <v>1</v>
      </c>
      <c r="E104">
        <v>2</v>
      </c>
      <c r="F104">
        <v>6</v>
      </c>
      <c r="G104">
        <v>4</v>
      </c>
      <c r="H104">
        <v>13</v>
      </c>
      <c r="I104">
        <v>3</v>
      </c>
      <c r="J104">
        <v>49</v>
      </c>
      <c r="K104">
        <v>77.42</v>
      </c>
      <c r="L104" s="2">
        <v>2</v>
      </c>
      <c r="M104">
        <v>0</v>
      </c>
      <c r="N104" s="2">
        <v>0</v>
      </c>
      <c r="O104">
        <v>-47.8</v>
      </c>
      <c r="P104" t="s">
        <v>10570</v>
      </c>
      <c r="Q104">
        <v>370</v>
      </c>
      <c r="R104" t="s">
        <v>10587</v>
      </c>
      <c r="S104">
        <v>0</v>
      </c>
    </row>
  </sheetData>
  <autoFilter ref="A2:S104"/>
  <hyperlinks>
    <hyperlink ref="A1" location="'ÍNDICE'!A1" display="⬅ Volver al índice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S15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24</v>
      </c>
      <c r="B3" t="s">
        <v>42</v>
      </c>
      <c r="C3">
        <f>"1007257"</f>
        <v>0</v>
      </c>
      <c r="D3">
        <v>201</v>
      </c>
      <c r="E3">
        <v>83</v>
      </c>
      <c r="F3">
        <v>336</v>
      </c>
      <c r="G3">
        <v>158</v>
      </c>
      <c r="H3">
        <v>778</v>
      </c>
      <c r="I3">
        <v>179.5</v>
      </c>
      <c r="J3">
        <v>151</v>
      </c>
      <c r="K3">
        <v>103.051</v>
      </c>
      <c r="L3" s="2">
        <v>1</v>
      </c>
      <c r="M3">
        <v>108</v>
      </c>
      <c r="N3" s="2">
        <v>108</v>
      </c>
      <c r="O3">
        <v>314.3</v>
      </c>
      <c r="P3" t="s">
        <v>92</v>
      </c>
      <c r="Q3">
        <v>7.527</v>
      </c>
      <c r="R3" t="s">
        <v>138</v>
      </c>
      <c r="S3">
        <v>0</v>
      </c>
    </row>
    <row r="4" spans="1:19">
      <c r="A4" t="s">
        <v>24</v>
      </c>
      <c r="B4" t="s">
        <v>59</v>
      </c>
      <c r="C4">
        <f>"1010233"</f>
        <v>0</v>
      </c>
      <c r="D4">
        <v>152</v>
      </c>
      <c r="E4">
        <v>107</v>
      </c>
      <c r="F4">
        <v>6</v>
      </c>
      <c r="G4">
        <v>0</v>
      </c>
      <c r="H4">
        <v>265</v>
      </c>
      <c r="I4">
        <v>56.5</v>
      </c>
      <c r="J4">
        <v>0</v>
      </c>
      <c r="K4">
        <v>0</v>
      </c>
      <c r="L4" s="2">
        <v>0</v>
      </c>
      <c r="M4">
        <v>56</v>
      </c>
      <c r="N4" s="2">
        <v>0</v>
      </c>
      <c r="O4">
        <v>56.5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24</v>
      </c>
      <c r="B5" t="s">
        <v>65</v>
      </c>
      <c r="C5">
        <f>"1165501"</f>
        <v>0</v>
      </c>
      <c r="D5">
        <v>11</v>
      </c>
      <c r="E5">
        <v>15</v>
      </c>
      <c r="F5">
        <v>4</v>
      </c>
      <c r="G5">
        <v>15</v>
      </c>
      <c r="H5">
        <v>45</v>
      </c>
      <c r="I5">
        <v>13</v>
      </c>
      <c r="J5">
        <v>0</v>
      </c>
      <c r="K5">
        <v>0</v>
      </c>
      <c r="L5" s="2">
        <v>0</v>
      </c>
      <c r="M5">
        <v>20</v>
      </c>
      <c r="N5" s="2">
        <v>0</v>
      </c>
      <c r="O5">
        <v>46</v>
      </c>
      <c r="P5" t="s">
        <v>113</v>
      </c>
      <c r="Q5">
        <v>28.125</v>
      </c>
      <c r="R5" t="s">
        <v>158</v>
      </c>
      <c r="S5">
        <v>1</v>
      </c>
    </row>
    <row r="6" spans="1:19">
      <c r="A6" t="s">
        <v>24</v>
      </c>
      <c r="B6" t="s">
        <v>71</v>
      </c>
      <c r="C6">
        <f>"CAN01"</f>
        <v>0</v>
      </c>
      <c r="D6">
        <v>6</v>
      </c>
      <c r="E6">
        <v>48</v>
      </c>
      <c r="F6">
        <v>21</v>
      </c>
      <c r="G6">
        <v>30</v>
      </c>
      <c r="H6">
        <v>105</v>
      </c>
      <c r="I6">
        <v>25.5</v>
      </c>
      <c r="J6">
        <v>43</v>
      </c>
      <c r="K6">
        <v>24.489</v>
      </c>
      <c r="L6" s="2">
        <v>1</v>
      </c>
      <c r="M6">
        <v>0</v>
      </c>
      <c r="N6" s="2">
        <v>0</v>
      </c>
      <c r="O6">
        <v>36.9</v>
      </c>
      <c r="P6" t="s">
        <v>118</v>
      </c>
      <c r="Q6">
        <v>17.426</v>
      </c>
      <c r="R6" t="s">
        <v>163</v>
      </c>
      <c r="S6">
        <v>1</v>
      </c>
    </row>
    <row r="7" spans="1:19">
      <c r="A7" t="s">
        <v>24</v>
      </c>
      <c r="B7" t="s">
        <v>553</v>
      </c>
      <c r="C7">
        <f>"1021056"</f>
        <v>0</v>
      </c>
      <c r="D7">
        <v>5</v>
      </c>
      <c r="E7">
        <v>7</v>
      </c>
      <c r="F7">
        <v>5</v>
      </c>
      <c r="G7">
        <v>6</v>
      </c>
      <c r="H7">
        <v>23</v>
      </c>
      <c r="I7">
        <v>5.5</v>
      </c>
      <c r="J7">
        <v>1</v>
      </c>
      <c r="K7">
        <v>2.305</v>
      </c>
      <c r="L7" s="2">
        <v>2</v>
      </c>
      <c r="M7">
        <v>8</v>
      </c>
      <c r="N7" s="2">
        <v>16</v>
      </c>
      <c r="O7">
        <v>19.3</v>
      </c>
      <c r="P7" t="s">
        <v>10589</v>
      </c>
      <c r="Q7">
        <v>4.824</v>
      </c>
      <c r="R7" t="s">
        <v>10629</v>
      </c>
      <c r="S7">
        <v>1</v>
      </c>
    </row>
    <row r="8" spans="1:19">
      <c r="A8" t="s">
        <v>24</v>
      </c>
      <c r="B8" t="s">
        <v>535</v>
      </c>
      <c r="C8">
        <f>"1110191"</f>
        <v>0</v>
      </c>
      <c r="D8">
        <v>3</v>
      </c>
      <c r="E8">
        <v>2</v>
      </c>
      <c r="F8">
        <v>1</v>
      </c>
      <c r="G8">
        <v>6</v>
      </c>
      <c r="H8">
        <v>12</v>
      </c>
      <c r="I8">
        <v>2.5</v>
      </c>
      <c r="J8">
        <v>0</v>
      </c>
      <c r="K8">
        <v>0</v>
      </c>
      <c r="L8" s="2">
        <v>0</v>
      </c>
      <c r="M8">
        <v>6</v>
      </c>
      <c r="N8" s="2">
        <v>0</v>
      </c>
      <c r="O8">
        <v>17.5</v>
      </c>
      <c r="P8" t="s">
        <v>10590</v>
      </c>
      <c r="Q8">
        <v>4.067</v>
      </c>
      <c r="R8" t="s">
        <v>10630</v>
      </c>
      <c r="S8">
        <v>1</v>
      </c>
    </row>
    <row r="9" spans="1:19">
      <c r="A9" t="s">
        <v>24</v>
      </c>
      <c r="B9" t="s">
        <v>385</v>
      </c>
      <c r="C9">
        <f>"1110651"</f>
        <v>0</v>
      </c>
      <c r="D9">
        <v>0</v>
      </c>
      <c r="E9">
        <v>23</v>
      </c>
      <c r="F9">
        <v>27</v>
      </c>
      <c r="G9">
        <v>1</v>
      </c>
      <c r="H9">
        <v>51</v>
      </c>
      <c r="I9">
        <v>12</v>
      </c>
      <c r="J9">
        <v>0</v>
      </c>
      <c r="K9">
        <v>0</v>
      </c>
      <c r="L9" s="2">
        <v>0</v>
      </c>
      <c r="M9">
        <v>12</v>
      </c>
      <c r="N9" s="2">
        <v>0</v>
      </c>
      <c r="O9">
        <v>14</v>
      </c>
      <c r="P9" t="s">
        <v>10242</v>
      </c>
      <c r="Q9">
        <v>2.01</v>
      </c>
      <c r="R9" t="s">
        <v>10631</v>
      </c>
      <c r="S9">
        <v>0</v>
      </c>
    </row>
    <row r="10" spans="1:19">
      <c r="A10" t="s">
        <v>24</v>
      </c>
      <c r="B10" t="s">
        <v>465</v>
      </c>
      <c r="C10">
        <f>"1020973"</f>
        <v>0</v>
      </c>
      <c r="D10">
        <v>6</v>
      </c>
      <c r="E10">
        <v>5</v>
      </c>
      <c r="F10">
        <v>6</v>
      </c>
      <c r="G10">
        <v>4</v>
      </c>
      <c r="H10">
        <v>21</v>
      </c>
      <c r="I10">
        <v>5.5</v>
      </c>
      <c r="J10">
        <v>0</v>
      </c>
      <c r="K10">
        <v>0</v>
      </c>
      <c r="L10" s="2">
        <v>0</v>
      </c>
      <c r="M10">
        <v>8</v>
      </c>
      <c r="N10" s="2">
        <v>0</v>
      </c>
      <c r="O10">
        <v>13.5</v>
      </c>
      <c r="P10" t="s">
        <v>10591</v>
      </c>
      <c r="Q10">
        <v>2.611</v>
      </c>
      <c r="R10" t="s">
        <v>10632</v>
      </c>
      <c r="S10">
        <v>0</v>
      </c>
    </row>
    <row r="11" spans="1:19">
      <c r="A11" t="s">
        <v>24</v>
      </c>
      <c r="B11" t="s">
        <v>458</v>
      </c>
      <c r="C11">
        <f>"1132001"</f>
        <v>0</v>
      </c>
      <c r="D11">
        <v>0</v>
      </c>
      <c r="E11">
        <v>2</v>
      </c>
      <c r="F11">
        <v>13</v>
      </c>
      <c r="G11">
        <v>5</v>
      </c>
      <c r="H11">
        <v>20</v>
      </c>
      <c r="I11">
        <v>3.5</v>
      </c>
      <c r="J11">
        <v>0</v>
      </c>
      <c r="K11">
        <v>0</v>
      </c>
      <c r="L11" s="2">
        <v>0</v>
      </c>
      <c r="M11">
        <v>6</v>
      </c>
      <c r="N11" s="2">
        <v>0</v>
      </c>
      <c r="O11">
        <v>13.5</v>
      </c>
      <c r="P11" t="s">
        <v>10592</v>
      </c>
      <c r="Q11">
        <v>8.99</v>
      </c>
      <c r="R11" t="s">
        <v>10543</v>
      </c>
      <c r="S11">
        <v>0</v>
      </c>
    </row>
    <row r="12" spans="1:19">
      <c r="A12" t="s">
        <v>24</v>
      </c>
      <c r="B12" t="s">
        <v>433</v>
      </c>
      <c r="C12">
        <f>"1112431"</f>
        <v>0</v>
      </c>
      <c r="D12">
        <v>6</v>
      </c>
      <c r="E12">
        <v>7</v>
      </c>
      <c r="F12">
        <v>12</v>
      </c>
      <c r="G12">
        <v>3</v>
      </c>
      <c r="H12">
        <v>28</v>
      </c>
      <c r="I12">
        <v>6.5</v>
      </c>
      <c r="J12">
        <v>0</v>
      </c>
      <c r="K12">
        <v>0</v>
      </c>
      <c r="L12" s="2">
        <v>0</v>
      </c>
      <c r="M12">
        <v>8</v>
      </c>
      <c r="N12" s="2">
        <v>0</v>
      </c>
      <c r="O12">
        <v>12.5</v>
      </c>
      <c r="P12" t="s">
        <v>10593</v>
      </c>
      <c r="Q12">
        <v>5.661</v>
      </c>
      <c r="R12" t="s">
        <v>10633</v>
      </c>
      <c r="S12">
        <v>0</v>
      </c>
    </row>
    <row r="13" spans="1:19">
      <c r="A13" t="s">
        <v>24</v>
      </c>
      <c r="B13" t="s">
        <v>571</v>
      </c>
      <c r="C13">
        <f>"1021072"</f>
        <v>0</v>
      </c>
      <c r="D13">
        <v>4</v>
      </c>
      <c r="E13">
        <v>1</v>
      </c>
      <c r="F13">
        <v>2</v>
      </c>
      <c r="G13">
        <v>3</v>
      </c>
      <c r="H13">
        <v>10</v>
      </c>
      <c r="I13">
        <v>2.5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11.5</v>
      </c>
      <c r="P13" t="s">
        <v>10594</v>
      </c>
      <c r="Q13">
        <v>4.09</v>
      </c>
      <c r="R13" t="s">
        <v>10634</v>
      </c>
      <c r="S13">
        <v>1</v>
      </c>
    </row>
    <row r="14" spans="1:19">
      <c r="A14" t="s">
        <v>24</v>
      </c>
      <c r="B14" t="s">
        <v>615</v>
      </c>
      <c r="C14">
        <f>"1150601"</f>
        <v>0</v>
      </c>
      <c r="D14">
        <v>0</v>
      </c>
      <c r="E14">
        <v>2</v>
      </c>
      <c r="F14">
        <v>1</v>
      </c>
      <c r="G14">
        <v>3</v>
      </c>
      <c r="H14">
        <v>6</v>
      </c>
      <c r="I14">
        <v>1.5</v>
      </c>
      <c r="J14">
        <v>0</v>
      </c>
      <c r="K14">
        <v>0</v>
      </c>
      <c r="L14" s="2">
        <v>0</v>
      </c>
      <c r="M14">
        <v>3</v>
      </c>
      <c r="N14" s="2">
        <v>0</v>
      </c>
      <c r="O14">
        <v>10.5</v>
      </c>
      <c r="P14" t="s">
        <v>10595</v>
      </c>
      <c r="Q14">
        <v>9.381</v>
      </c>
      <c r="R14" t="s">
        <v>10635</v>
      </c>
      <c r="S14">
        <v>1</v>
      </c>
    </row>
    <row r="15" spans="1:19">
      <c r="A15" t="s">
        <v>24</v>
      </c>
      <c r="B15" t="s">
        <v>534</v>
      </c>
      <c r="C15">
        <f>"1100801"</f>
        <v>0</v>
      </c>
      <c r="D15">
        <v>4</v>
      </c>
      <c r="E15">
        <v>6</v>
      </c>
      <c r="F15">
        <v>0</v>
      </c>
      <c r="G15">
        <v>2</v>
      </c>
      <c r="H15">
        <v>12</v>
      </c>
      <c r="I15">
        <v>3</v>
      </c>
      <c r="J15">
        <v>0</v>
      </c>
      <c r="K15">
        <v>0</v>
      </c>
      <c r="L15" s="2">
        <v>0</v>
      </c>
      <c r="M15">
        <v>4</v>
      </c>
      <c r="N15" s="2">
        <v>0</v>
      </c>
      <c r="O15">
        <v>10</v>
      </c>
      <c r="P15" t="s">
        <v>10596</v>
      </c>
      <c r="Q15">
        <v>4.589</v>
      </c>
      <c r="R15" t="s">
        <v>10636</v>
      </c>
      <c r="S15">
        <v>1</v>
      </c>
    </row>
    <row r="16" spans="1:19">
      <c r="A16" t="s">
        <v>24</v>
      </c>
      <c r="B16" t="s">
        <v>1145</v>
      </c>
      <c r="C16">
        <f>"1138001"</f>
        <v>0</v>
      </c>
      <c r="D16">
        <v>16</v>
      </c>
      <c r="E16">
        <v>18</v>
      </c>
      <c r="F16">
        <v>11</v>
      </c>
      <c r="G16">
        <v>12</v>
      </c>
      <c r="H16">
        <v>57</v>
      </c>
      <c r="I16">
        <v>14</v>
      </c>
      <c r="J16">
        <v>26</v>
      </c>
      <c r="K16">
        <v>204.135</v>
      </c>
      <c r="L16" s="2">
        <v>8</v>
      </c>
      <c r="M16">
        <v>0</v>
      </c>
      <c r="N16" s="2">
        <v>0</v>
      </c>
      <c r="O16">
        <v>9.800000000000001</v>
      </c>
      <c r="P16" t="s">
        <v>10597</v>
      </c>
      <c r="Q16">
        <v>56.943</v>
      </c>
      <c r="R16" t="s">
        <v>10637</v>
      </c>
      <c r="S16">
        <v>1</v>
      </c>
    </row>
    <row r="17" spans="1:19">
      <c r="A17" t="s">
        <v>24</v>
      </c>
      <c r="B17" t="s">
        <v>487</v>
      </c>
      <c r="C17">
        <f>"DPI100"</f>
        <v>0</v>
      </c>
      <c r="D17">
        <v>0</v>
      </c>
      <c r="E17">
        <v>6</v>
      </c>
      <c r="F17">
        <v>9</v>
      </c>
      <c r="G17">
        <v>2</v>
      </c>
      <c r="H17">
        <v>17</v>
      </c>
      <c r="I17">
        <v>4</v>
      </c>
      <c r="J17">
        <v>0</v>
      </c>
      <c r="K17">
        <v>0</v>
      </c>
      <c r="L17" s="2">
        <v>0</v>
      </c>
      <c r="M17">
        <v>5</v>
      </c>
      <c r="N17" s="2">
        <v>0</v>
      </c>
      <c r="O17">
        <v>8</v>
      </c>
      <c r="P17" t="s">
        <v>10598</v>
      </c>
      <c r="Q17">
        <v>8.007</v>
      </c>
      <c r="R17" t="s">
        <v>10638</v>
      </c>
      <c r="S17">
        <v>0</v>
      </c>
    </row>
    <row r="18" spans="1:19">
      <c r="A18" t="s">
        <v>24</v>
      </c>
      <c r="B18" t="s">
        <v>601</v>
      </c>
      <c r="C18">
        <f>"VETDRG0087"</f>
        <v>0</v>
      </c>
      <c r="D18">
        <v>1</v>
      </c>
      <c r="E18">
        <v>4</v>
      </c>
      <c r="F18">
        <v>2</v>
      </c>
      <c r="G18">
        <v>2</v>
      </c>
      <c r="H18">
        <v>9</v>
      </c>
      <c r="I18">
        <v>2</v>
      </c>
      <c r="J18">
        <v>0</v>
      </c>
      <c r="K18">
        <v>0</v>
      </c>
      <c r="L18" s="2">
        <v>0</v>
      </c>
      <c r="M18">
        <v>3</v>
      </c>
      <c r="N18" s="2">
        <v>0</v>
      </c>
      <c r="O18">
        <v>6</v>
      </c>
      <c r="P18" t="s">
        <v>10599</v>
      </c>
      <c r="Q18">
        <v>1.672</v>
      </c>
      <c r="R18" t="s">
        <v>10639</v>
      </c>
      <c r="S18">
        <v>0</v>
      </c>
    </row>
    <row r="19" spans="1:19">
      <c r="A19" t="s">
        <v>24</v>
      </c>
      <c r="B19" t="s">
        <v>10226</v>
      </c>
      <c r="C19">
        <f>"1113231"</f>
        <v>0</v>
      </c>
      <c r="D19">
        <v>0</v>
      </c>
      <c r="E19">
        <v>0</v>
      </c>
      <c r="F19">
        <v>0</v>
      </c>
      <c r="G19">
        <v>2</v>
      </c>
      <c r="H19">
        <v>2</v>
      </c>
      <c r="I19">
        <v>0</v>
      </c>
      <c r="J19">
        <v>1</v>
      </c>
      <c r="K19">
        <v>4.408</v>
      </c>
      <c r="L19" s="2">
        <v>4</v>
      </c>
      <c r="M19">
        <v>0</v>
      </c>
      <c r="N19" s="2">
        <v>0</v>
      </c>
      <c r="O19">
        <v>5.8</v>
      </c>
      <c r="P19" t="s">
        <v>10600</v>
      </c>
      <c r="Q19">
        <v>-429</v>
      </c>
      <c r="R19" t="s">
        <v>10640</v>
      </c>
      <c r="S19">
        <v>1</v>
      </c>
    </row>
    <row r="20" spans="1:19">
      <c r="A20" t="s">
        <v>24</v>
      </c>
      <c r="B20" t="s">
        <v>334</v>
      </c>
      <c r="C20">
        <f>"1216151"</f>
        <v>0</v>
      </c>
      <c r="D20">
        <v>6</v>
      </c>
      <c r="E20">
        <v>1</v>
      </c>
      <c r="F20">
        <v>8</v>
      </c>
      <c r="G20">
        <v>1</v>
      </c>
      <c r="H20">
        <v>16</v>
      </c>
      <c r="I20">
        <v>3.5</v>
      </c>
      <c r="J20">
        <v>0</v>
      </c>
      <c r="K20">
        <v>0</v>
      </c>
      <c r="L20" s="2">
        <v>0</v>
      </c>
      <c r="M20">
        <v>4</v>
      </c>
      <c r="N20" s="2">
        <v>0</v>
      </c>
      <c r="O20">
        <v>5.5</v>
      </c>
      <c r="P20" t="s">
        <v>10601</v>
      </c>
      <c r="Q20">
        <v>256</v>
      </c>
      <c r="R20" t="s">
        <v>10641</v>
      </c>
      <c r="S20">
        <v>0</v>
      </c>
    </row>
    <row r="21" spans="1:19">
      <c r="A21" t="s">
        <v>24</v>
      </c>
      <c r="B21" t="s">
        <v>448</v>
      </c>
      <c r="C21">
        <f>"DPI09011"</f>
        <v>0</v>
      </c>
      <c r="D21">
        <v>0</v>
      </c>
      <c r="E21">
        <v>1</v>
      </c>
      <c r="F21">
        <v>21</v>
      </c>
      <c r="G21">
        <v>2</v>
      </c>
      <c r="H21">
        <v>24</v>
      </c>
      <c r="I21">
        <v>1.5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5.5</v>
      </c>
      <c r="P21" t="s">
        <v>10602</v>
      </c>
      <c r="Q21">
        <v>2.01</v>
      </c>
      <c r="R21" t="s">
        <v>10642</v>
      </c>
      <c r="S21">
        <v>0</v>
      </c>
    </row>
    <row r="22" spans="1:19">
      <c r="A22" t="s">
        <v>24</v>
      </c>
      <c r="B22" t="s">
        <v>955</v>
      </c>
      <c r="C22">
        <f>"DPI130"</f>
        <v>0</v>
      </c>
      <c r="D22">
        <v>0</v>
      </c>
      <c r="E22">
        <v>1</v>
      </c>
      <c r="F22">
        <v>0</v>
      </c>
      <c r="G22">
        <v>1</v>
      </c>
      <c r="H22">
        <v>2</v>
      </c>
      <c r="I22">
        <v>0.5</v>
      </c>
      <c r="J22">
        <v>0</v>
      </c>
      <c r="K22">
        <v>0</v>
      </c>
      <c r="L22" s="2">
        <v>0</v>
      </c>
      <c r="M22">
        <v>1</v>
      </c>
      <c r="N22" s="2">
        <v>0</v>
      </c>
      <c r="O22">
        <v>5.5</v>
      </c>
      <c r="P22" t="s">
        <v>10603</v>
      </c>
      <c r="Q22">
        <v>2.153</v>
      </c>
      <c r="R22" t="s">
        <v>10643</v>
      </c>
      <c r="S22">
        <v>1</v>
      </c>
    </row>
    <row r="23" spans="1:19">
      <c r="A23" t="s">
        <v>24</v>
      </c>
      <c r="B23" t="s">
        <v>1957</v>
      </c>
      <c r="C23">
        <f>"1526001"</f>
        <v>0</v>
      </c>
      <c r="D23">
        <v>1</v>
      </c>
      <c r="E23">
        <v>1</v>
      </c>
      <c r="F23">
        <v>0</v>
      </c>
      <c r="G23">
        <v>1</v>
      </c>
      <c r="H23">
        <v>3</v>
      </c>
      <c r="I23">
        <v>1</v>
      </c>
      <c r="J23">
        <v>1</v>
      </c>
      <c r="K23">
        <v>4.941</v>
      </c>
      <c r="L23" s="2">
        <v>5</v>
      </c>
      <c r="M23">
        <v>0</v>
      </c>
      <c r="N23" s="2">
        <v>0</v>
      </c>
      <c r="O23">
        <v>4.8</v>
      </c>
      <c r="P23" t="s">
        <v>10604</v>
      </c>
      <c r="Q23">
        <v>4.219</v>
      </c>
      <c r="R23" t="s">
        <v>10644</v>
      </c>
      <c r="S23">
        <v>1</v>
      </c>
    </row>
    <row r="24" spans="1:19">
      <c r="A24" t="s">
        <v>24</v>
      </c>
      <c r="B24" t="s">
        <v>1563</v>
      </c>
      <c r="C24">
        <f>"1135801"</f>
        <v>0</v>
      </c>
      <c r="D24">
        <v>5</v>
      </c>
      <c r="E24">
        <v>1</v>
      </c>
      <c r="F24">
        <v>2</v>
      </c>
      <c r="G24">
        <v>2</v>
      </c>
      <c r="H24">
        <v>10</v>
      </c>
      <c r="I24">
        <v>2</v>
      </c>
      <c r="J24">
        <v>1</v>
      </c>
      <c r="K24">
        <v>5.79</v>
      </c>
      <c r="L24" s="2">
        <v>6</v>
      </c>
      <c r="M24">
        <v>2</v>
      </c>
      <c r="N24" s="2">
        <v>12</v>
      </c>
      <c r="O24">
        <v>4.8</v>
      </c>
      <c r="P24" t="s">
        <v>10605</v>
      </c>
      <c r="Q24">
        <v>6.572</v>
      </c>
      <c r="R24" t="s">
        <v>10645</v>
      </c>
      <c r="S24">
        <v>0</v>
      </c>
    </row>
    <row r="25" spans="1:19">
      <c r="A25" t="s">
        <v>24</v>
      </c>
      <c r="B25" t="s">
        <v>10222</v>
      </c>
      <c r="C25">
        <f>"IP60"</f>
        <v>0</v>
      </c>
      <c r="D25">
        <v>5</v>
      </c>
      <c r="E25">
        <v>0</v>
      </c>
      <c r="F25">
        <v>4</v>
      </c>
      <c r="G25">
        <v>1</v>
      </c>
      <c r="H25">
        <v>10</v>
      </c>
      <c r="I25">
        <v>2.5</v>
      </c>
      <c r="J25">
        <v>0</v>
      </c>
      <c r="K25">
        <v>0</v>
      </c>
      <c r="L25" s="2">
        <v>0</v>
      </c>
      <c r="M25">
        <v>3</v>
      </c>
      <c r="N25" s="2">
        <v>0</v>
      </c>
      <c r="O25">
        <v>4.5</v>
      </c>
      <c r="P25" t="s">
        <v>10606</v>
      </c>
      <c r="Q25">
        <v>-593</v>
      </c>
      <c r="R25" t="s">
        <v>10646</v>
      </c>
      <c r="S25">
        <v>0</v>
      </c>
    </row>
    <row r="26" spans="1:19">
      <c r="A26" t="s">
        <v>24</v>
      </c>
      <c r="B26" t="s">
        <v>479</v>
      </c>
      <c r="C26">
        <f>"1129001"</f>
        <v>0</v>
      </c>
      <c r="D26">
        <v>11</v>
      </c>
      <c r="E26">
        <v>2</v>
      </c>
      <c r="F26">
        <v>7</v>
      </c>
      <c r="G26">
        <v>0</v>
      </c>
      <c r="H26">
        <v>20</v>
      </c>
      <c r="I26">
        <v>4.5</v>
      </c>
      <c r="J26">
        <v>0</v>
      </c>
      <c r="K26">
        <v>0</v>
      </c>
      <c r="L26" s="2">
        <v>0</v>
      </c>
      <c r="M26">
        <v>4</v>
      </c>
      <c r="N26" s="2">
        <v>0</v>
      </c>
      <c r="O26">
        <v>4.5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24</v>
      </c>
      <c r="B27" t="s">
        <v>726</v>
      </c>
      <c r="C27">
        <f>"1110991"</f>
        <v>0</v>
      </c>
      <c r="D27">
        <v>8</v>
      </c>
      <c r="E27">
        <v>0</v>
      </c>
      <c r="F27">
        <v>4</v>
      </c>
      <c r="G27">
        <v>1</v>
      </c>
      <c r="H27">
        <v>13</v>
      </c>
      <c r="I27">
        <v>2.5</v>
      </c>
      <c r="J27">
        <v>0</v>
      </c>
      <c r="K27">
        <v>0</v>
      </c>
      <c r="L27" s="2">
        <v>0</v>
      </c>
      <c r="M27">
        <v>3</v>
      </c>
      <c r="N27" s="2">
        <v>0</v>
      </c>
      <c r="O27">
        <v>4.5</v>
      </c>
      <c r="P27" t="s">
        <v>10607</v>
      </c>
      <c r="Q27">
        <v>-30</v>
      </c>
      <c r="R27" t="s">
        <v>10647</v>
      </c>
      <c r="S27">
        <v>0</v>
      </c>
    </row>
    <row r="28" spans="1:19">
      <c r="A28" t="s">
        <v>24</v>
      </c>
      <c r="B28" t="s">
        <v>1801</v>
      </c>
      <c r="C28">
        <f>"DPI300"</f>
        <v>0</v>
      </c>
      <c r="D28">
        <v>0</v>
      </c>
      <c r="E28">
        <v>1</v>
      </c>
      <c r="F28">
        <v>0</v>
      </c>
      <c r="G28">
        <v>4</v>
      </c>
      <c r="H28">
        <v>5</v>
      </c>
      <c r="I28">
        <v>0.5</v>
      </c>
      <c r="J28">
        <v>6</v>
      </c>
      <c r="K28">
        <v>56.145</v>
      </c>
      <c r="L28" s="2">
        <v>9</v>
      </c>
      <c r="M28">
        <v>0</v>
      </c>
      <c r="N28" s="2">
        <v>0</v>
      </c>
      <c r="O28">
        <v>4.300000000000001</v>
      </c>
      <c r="P28" t="s">
        <v>10608</v>
      </c>
      <c r="Q28">
        <v>19.444</v>
      </c>
      <c r="R28" t="s">
        <v>10648</v>
      </c>
      <c r="S28">
        <v>1</v>
      </c>
    </row>
    <row r="29" spans="1:19">
      <c r="A29" t="s">
        <v>24</v>
      </c>
      <c r="B29" t="s">
        <v>1949</v>
      </c>
      <c r="C29">
        <f>"1012674"</f>
        <v>0</v>
      </c>
      <c r="D29">
        <v>3</v>
      </c>
      <c r="E29">
        <v>0</v>
      </c>
      <c r="F29">
        <v>0</v>
      </c>
      <c r="G29">
        <v>1</v>
      </c>
      <c r="H29">
        <v>4</v>
      </c>
      <c r="I29">
        <v>0.5</v>
      </c>
      <c r="J29">
        <v>1</v>
      </c>
      <c r="K29">
        <v>3.414</v>
      </c>
      <c r="L29" s="2">
        <v>3</v>
      </c>
      <c r="M29">
        <v>0</v>
      </c>
      <c r="N29" s="2">
        <v>0</v>
      </c>
      <c r="O29">
        <v>4.3</v>
      </c>
      <c r="P29" t="s">
        <v>10609</v>
      </c>
      <c r="Q29">
        <v>1.872</v>
      </c>
      <c r="R29" t="s">
        <v>10649</v>
      </c>
      <c r="S29">
        <v>1</v>
      </c>
    </row>
    <row r="30" spans="1:19">
      <c r="A30" t="s">
        <v>24</v>
      </c>
      <c r="B30" t="s">
        <v>313</v>
      </c>
      <c r="C30">
        <f>"1112411"</f>
        <v>0</v>
      </c>
      <c r="D30">
        <v>13</v>
      </c>
      <c r="E30">
        <v>15</v>
      </c>
      <c r="F30">
        <v>8</v>
      </c>
      <c r="G30">
        <v>1</v>
      </c>
      <c r="H30">
        <v>37</v>
      </c>
      <c r="I30">
        <v>10.5</v>
      </c>
      <c r="J30">
        <v>7</v>
      </c>
      <c r="K30">
        <v>46.634</v>
      </c>
      <c r="L30" s="2">
        <v>7</v>
      </c>
      <c r="M30">
        <v>4</v>
      </c>
      <c r="N30" s="2">
        <v>28</v>
      </c>
      <c r="O30">
        <v>4.1</v>
      </c>
      <c r="P30" t="s">
        <v>10610</v>
      </c>
      <c r="Q30">
        <v>472</v>
      </c>
      <c r="R30" t="s">
        <v>10650</v>
      </c>
      <c r="S30">
        <v>0</v>
      </c>
    </row>
    <row r="31" spans="1:19">
      <c r="A31" t="s">
        <v>24</v>
      </c>
      <c r="B31" t="s">
        <v>501</v>
      </c>
      <c r="C31">
        <f>"1124001"</f>
        <v>0</v>
      </c>
      <c r="D31">
        <v>1</v>
      </c>
      <c r="E31">
        <v>7</v>
      </c>
      <c r="F31">
        <v>9</v>
      </c>
      <c r="G31">
        <v>0</v>
      </c>
      <c r="H31">
        <v>17</v>
      </c>
      <c r="I31">
        <v>4</v>
      </c>
      <c r="J31">
        <v>0</v>
      </c>
      <c r="K31">
        <v>0</v>
      </c>
      <c r="L31" s="2">
        <v>0</v>
      </c>
      <c r="M31">
        <v>4</v>
      </c>
      <c r="N31" s="2">
        <v>0</v>
      </c>
      <c r="O31">
        <v>4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24</v>
      </c>
      <c r="B32" t="s">
        <v>1540</v>
      </c>
      <c r="C32">
        <f>"1015479"</f>
        <v>0</v>
      </c>
      <c r="D32">
        <v>7</v>
      </c>
      <c r="E32">
        <v>2</v>
      </c>
      <c r="F32">
        <v>4</v>
      </c>
      <c r="G32">
        <v>1</v>
      </c>
      <c r="H32">
        <v>14</v>
      </c>
      <c r="I32">
        <v>3</v>
      </c>
      <c r="J32">
        <v>1</v>
      </c>
      <c r="K32">
        <v>4.049</v>
      </c>
      <c r="L32" s="2">
        <v>4</v>
      </c>
      <c r="M32">
        <v>2</v>
      </c>
      <c r="N32" s="2">
        <v>8</v>
      </c>
      <c r="O32">
        <v>3.8</v>
      </c>
      <c r="P32" t="s">
        <v>10447</v>
      </c>
      <c r="Q32">
        <v>1.825</v>
      </c>
      <c r="R32" t="s">
        <v>10651</v>
      </c>
      <c r="S32">
        <v>0</v>
      </c>
    </row>
    <row r="33" spans="1:19">
      <c r="A33" t="s">
        <v>24</v>
      </c>
      <c r="B33" t="s">
        <v>589</v>
      </c>
      <c r="C33">
        <f>"DPI048"</f>
        <v>0</v>
      </c>
      <c r="D33">
        <v>3</v>
      </c>
      <c r="E33">
        <v>3</v>
      </c>
      <c r="F33">
        <v>4</v>
      </c>
      <c r="G33">
        <v>0</v>
      </c>
      <c r="H33">
        <v>10</v>
      </c>
      <c r="I33">
        <v>3</v>
      </c>
      <c r="J33">
        <v>0</v>
      </c>
      <c r="K33">
        <v>0</v>
      </c>
      <c r="L33" s="2">
        <v>0</v>
      </c>
      <c r="M33">
        <v>3</v>
      </c>
      <c r="N33" s="2">
        <v>0</v>
      </c>
      <c r="O33">
        <v>3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24</v>
      </c>
      <c r="B34" t="s">
        <v>1875</v>
      </c>
      <c r="C34">
        <f>"1110922"</f>
        <v>0</v>
      </c>
      <c r="D34">
        <v>2</v>
      </c>
      <c r="E34">
        <v>2</v>
      </c>
      <c r="F34">
        <v>0</v>
      </c>
      <c r="G34">
        <v>2</v>
      </c>
      <c r="H34">
        <v>6</v>
      </c>
      <c r="I34">
        <v>2</v>
      </c>
      <c r="J34">
        <v>5</v>
      </c>
      <c r="K34">
        <v>16.601</v>
      </c>
      <c r="L34" s="2">
        <v>3</v>
      </c>
      <c r="M34">
        <v>0</v>
      </c>
      <c r="N34" s="2">
        <v>0</v>
      </c>
      <c r="O34">
        <v>3</v>
      </c>
      <c r="P34" t="s">
        <v>10611</v>
      </c>
      <c r="Q34">
        <v>1.596</v>
      </c>
      <c r="R34" t="s">
        <v>10652</v>
      </c>
      <c r="S34">
        <v>1</v>
      </c>
    </row>
    <row r="35" spans="1:19">
      <c r="A35" t="s">
        <v>24</v>
      </c>
      <c r="B35" t="s">
        <v>1772</v>
      </c>
      <c r="C35">
        <f>"DPI002"</f>
        <v>0</v>
      </c>
      <c r="D35">
        <v>1</v>
      </c>
      <c r="E35">
        <v>2</v>
      </c>
      <c r="F35">
        <v>5</v>
      </c>
      <c r="G35">
        <v>3</v>
      </c>
      <c r="H35">
        <v>11</v>
      </c>
      <c r="I35">
        <v>2.5</v>
      </c>
      <c r="J35">
        <v>5</v>
      </c>
      <c r="K35">
        <v>30.715</v>
      </c>
      <c r="L35" s="2">
        <v>6</v>
      </c>
      <c r="M35">
        <v>0</v>
      </c>
      <c r="N35" s="2">
        <v>0</v>
      </c>
      <c r="O35">
        <v>2.5</v>
      </c>
      <c r="P35" t="s">
        <v>10612</v>
      </c>
      <c r="Q35">
        <v>1.461</v>
      </c>
      <c r="R35" t="s">
        <v>10653</v>
      </c>
      <c r="S35">
        <v>0</v>
      </c>
    </row>
    <row r="36" spans="1:19">
      <c r="A36" t="s">
        <v>24</v>
      </c>
      <c r="B36" t="s">
        <v>236</v>
      </c>
      <c r="C36">
        <f>"DPI101"</f>
        <v>0</v>
      </c>
      <c r="D36">
        <v>5</v>
      </c>
      <c r="E36">
        <v>2</v>
      </c>
      <c r="F36">
        <v>1</v>
      </c>
      <c r="G36">
        <v>1</v>
      </c>
      <c r="H36">
        <v>9</v>
      </c>
      <c r="I36">
        <v>1.5</v>
      </c>
      <c r="J36">
        <v>1</v>
      </c>
      <c r="K36">
        <v>7.443</v>
      </c>
      <c r="L36" s="2">
        <v>7</v>
      </c>
      <c r="M36">
        <v>1</v>
      </c>
      <c r="N36" s="2">
        <v>7</v>
      </c>
      <c r="O36">
        <v>2.3</v>
      </c>
      <c r="P36" t="s">
        <v>10242</v>
      </c>
      <c r="Q36">
        <v>952</v>
      </c>
      <c r="R36" t="s">
        <v>10654</v>
      </c>
      <c r="S36">
        <v>0</v>
      </c>
    </row>
    <row r="37" spans="1:19">
      <c r="A37" t="s">
        <v>24</v>
      </c>
      <c r="B37" t="s">
        <v>673</v>
      </c>
      <c r="C37">
        <f>"1158501"</f>
        <v>0</v>
      </c>
      <c r="D37">
        <v>3</v>
      </c>
      <c r="E37">
        <v>1</v>
      </c>
      <c r="F37">
        <v>3</v>
      </c>
      <c r="G37">
        <v>0</v>
      </c>
      <c r="H37">
        <v>7</v>
      </c>
      <c r="I37">
        <v>2</v>
      </c>
      <c r="J37">
        <v>0</v>
      </c>
      <c r="K37">
        <v>0</v>
      </c>
      <c r="L37" s="2">
        <v>0</v>
      </c>
      <c r="M37">
        <v>2</v>
      </c>
      <c r="N37" s="2">
        <v>0</v>
      </c>
      <c r="O37">
        <v>2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24</v>
      </c>
      <c r="B38" t="s">
        <v>473</v>
      </c>
      <c r="C38">
        <f>"DPI126"</f>
        <v>0</v>
      </c>
      <c r="D38">
        <v>4</v>
      </c>
      <c r="E38">
        <v>0</v>
      </c>
      <c r="F38">
        <v>17</v>
      </c>
      <c r="G38">
        <v>0</v>
      </c>
      <c r="H38">
        <v>21</v>
      </c>
      <c r="I38">
        <v>2</v>
      </c>
      <c r="J38">
        <v>0</v>
      </c>
      <c r="K38">
        <v>0</v>
      </c>
      <c r="L38" s="2">
        <v>0</v>
      </c>
      <c r="M38">
        <v>2</v>
      </c>
      <c r="N38" s="2">
        <v>0</v>
      </c>
      <c r="O38">
        <v>2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24</v>
      </c>
      <c r="B39" t="s">
        <v>663</v>
      </c>
      <c r="C39">
        <f>"1112751"</f>
        <v>0</v>
      </c>
      <c r="D39">
        <v>4</v>
      </c>
      <c r="E39">
        <v>1</v>
      </c>
      <c r="F39">
        <v>2</v>
      </c>
      <c r="G39">
        <v>0</v>
      </c>
      <c r="H39">
        <v>7</v>
      </c>
      <c r="I39">
        <v>1.5</v>
      </c>
      <c r="J39">
        <v>0</v>
      </c>
      <c r="K39">
        <v>0</v>
      </c>
      <c r="L39" s="2">
        <v>0</v>
      </c>
      <c r="M39">
        <v>2</v>
      </c>
      <c r="N39" s="2">
        <v>0</v>
      </c>
      <c r="O39">
        <v>1.5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24</v>
      </c>
      <c r="B40" t="s">
        <v>692</v>
      </c>
      <c r="C40">
        <f>"DPI003"</f>
        <v>0</v>
      </c>
      <c r="D40">
        <v>1</v>
      </c>
      <c r="E40">
        <v>3</v>
      </c>
      <c r="F40">
        <v>2</v>
      </c>
      <c r="G40">
        <v>0</v>
      </c>
      <c r="H40">
        <v>6</v>
      </c>
      <c r="I40">
        <v>1.5</v>
      </c>
      <c r="J40">
        <v>0</v>
      </c>
      <c r="K40">
        <v>0</v>
      </c>
      <c r="L40" s="2">
        <v>0</v>
      </c>
      <c r="M40">
        <v>2</v>
      </c>
      <c r="N40" s="2">
        <v>0</v>
      </c>
      <c r="O40">
        <v>1.5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24</v>
      </c>
      <c r="B41" t="s">
        <v>1581</v>
      </c>
      <c r="C41">
        <f>"1110931"</f>
        <v>0</v>
      </c>
      <c r="D41">
        <v>2</v>
      </c>
      <c r="E41">
        <v>3</v>
      </c>
      <c r="F41">
        <v>4</v>
      </c>
      <c r="G41">
        <v>0</v>
      </c>
      <c r="H41">
        <v>9</v>
      </c>
      <c r="I41">
        <v>2.5</v>
      </c>
      <c r="J41">
        <v>1</v>
      </c>
      <c r="K41">
        <v>6.685</v>
      </c>
      <c r="L41" s="2">
        <v>7</v>
      </c>
      <c r="M41">
        <v>2</v>
      </c>
      <c r="N41" s="2">
        <v>14</v>
      </c>
      <c r="O41">
        <v>1.3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24</v>
      </c>
      <c r="B42" t="s">
        <v>685</v>
      </c>
      <c r="C42">
        <f>"DPI006"</f>
        <v>0</v>
      </c>
      <c r="D42">
        <v>4</v>
      </c>
      <c r="E42">
        <v>2</v>
      </c>
      <c r="F42">
        <v>0</v>
      </c>
      <c r="G42">
        <v>0</v>
      </c>
      <c r="H42">
        <v>6</v>
      </c>
      <c r="I42">
        <v>1</v>
      </c>
      <c r="J42">
        <v>0</v>
      </c>
      <c r="K42">
        <v>0</v>
      </c>
      <c r="L42" s="2">
        <v>0</v>
      </c>
      <c r="M42">
        <v>1</v>
      </c>
      <c r="N42" s="2">
        <v>0</v>
      </c>
      <c r="O42">
        <v>1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24</v>
      </c>
      <c r="B43" t="s">
        <v>814</v>
      </c>
      <c r="C43">
        <f>"1320061"</f>
        <v>0</v>
      </c>
      <c r="D43">
        <v>1</v>
      </c>
      <c r="E43">
        <v>1</v>
      </c>
      <c r="F43">
        <v>2</v>
      </c>
      <c r="G43">
        <v>0</v>
      </c>
      <c r="H43">
        <v>4</v>
      </c>
      <c r="I43">
        <v>1</v>
      </c>
      <c r="J43">
        <v>0</v>
      </c>
      <c r="K43">
        <v>0</v>
      </c>
      <c r="L43" s="2">
        <v>0</v>
      </c>
      <c r="M43">
        <v>1</v>
      </c>
      <c r="N43" s="2">
        <v>0</v>
      </c>
      <c r="O43">
        <v>1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24</v>
      </c>
      <c r="B44" t="s">
        <v>893</v>
      </c>
      <c r="C44">
        <f>"1320081"</f>
        <v>0</v>
      </c>
      <c r="D44">
        <v>0</v>
      </c>
      <c r="E44">
        <v>1</v>
      </c>
      <c r="F44">
        <v>2</v>
      </c>
      <c r="G44">
        <v>0</v>
      </c>
      <c r="H44">
        <v>3</v>
      </c>
      <c r="I44">
        <v>0.5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0.5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24</v>
      </c>
      <c r="B45" t="s">
        <v>700</v>
      </c>
      <c r="C45">
        <f>"DPI087"</f>
        <v>0</v>
      </c>
      <c r="D45">
        <v>5</v>
      </c>
      <c r="E45">
        <v>0</v>
      </c>
      <c r="F45">
        <v>1</v>
      </c>
      <c r="G45">
        <v>0</v>
      </c>
      <c r="H45">
        <v>6</v>
      </c>
      <c r="I45">
        <v>0.5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0.5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24</v>
      </c>
      <c r="B46" t="s">
        <v>1127</v>
      </c>
      <c r="C46">
        <f>"1120002"</f>
        <v>0</v>
      </c>
      <c r="D46">
        <v>0</v>
      </c>
      <c r="E46">
        <v>1</v>
      </c>
      <c r="F46">
        <v>1</v>
      </c>
      <c r="G46">
        <v>0</v>
      </c>
      <c r="H46">
        <v>2</v>
      </c>
      <c r="I46">
        <v>0.5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0.5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24</v>
      </c>
      <c r="B47" t="s">
        <v>820</v>
      </c>
      <c r="C47">
        <f>"1110952"</f>
        <v>0</v>
      </c>
      <c r="D47">
        <v>1</v>
      </c>
      <c r="E47">
        <v>0</v>
      </c>
      <c r="F47">
        <v>3</v>
      </c>
      <c r="G47">
        <v>0</v>
      </c>
      <c r="H47">
        <v>4</v>
      </c>
      <c r="I47">
        <v>0.5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0.5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24</v>
      </c>
      <c r="B48" t="s">
        <v>2041</v>
      </c>
      <c r="C48">
        <f>"1015853"</f>
        <v>0</v>
      </c>
      <c r="D48">
        <v>0</v>
      </c>
      <c r="E48">
        <v>0</v>
      </c>
      <c r="F48">
        <v>1</v>
      </c>
      <c r="G48">
        <v>1</v>
      </c>
      <c r="H48">
        <v>2</v>
      </c>
      <c r="I48">
        <v>0.5</v>
      </c>
      <c r="J48">
        <v>2</v>
      </c>
      <c r="K48">
        <v>16.25</v>
      </c>
      <c r="L48" s="2">
        <v>8</v>
      </c>
      <c r="M48">
        <v>0</v>
      </c>
      <c r="N48" s="2">
        <v>0</v>
      </c>
      <c r="O48">
        <v>0.1000000000000001</v>
      </c>
      <c r="P48" t="s">
        <v>10613</v>
      </c>
      <c r="Q48">
        <v>5.816</v>
      </c>
      <c r="R48" t="s">
        <v>10655</v>
      </c>
      <c r="S48">
        <v>0</v>
      </c>
    </row>
    <row r="49" spans="1:19">
      <c r="A49" t="s">
        <v>24</v>
      </c>
      <c r="B49" t="s">
        <v>2968</v>
      </c>
      <c r="C49">
        <f>"1136501"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24</v>
      </c>
      <c r="B50" t="s">
        <v>720</v>
      </c>
      <c r="C50">
        <f>"DPI235"</f>
        <v>0</v>
      </c>
      <c r="D50">
        <v>0</v>
      </c>
      <c r="E50">
        <v>0</v>
      </c>
      <c r="F50">
        <v>6</v>
      </c>
      <c r="G50">
        <v>0</v>
      </c>
      <c r="H50">
        <v>6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24</v>
      </c>
      <c r="B51" t="s">
        <v>913</v>
      </c>
      <c r="C51">
        <f>"1008898"</f>
        <v>0</v>
      </c>
      <c r="D51">
        <v>0</v>
      </c>
      <c r="E51">
        <v>0</v>
      </c>
      <c r="F51">
        <v>3</v>
      </c>
      <c r="G51">
        <v>0</v>
      </c>
      <c r="H51">
        <v>3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24</v>
      </c>
      <c r="B52" t="s">
        <v>3891</v>
      </c>
      <c r="C52">
        <f>"1320721"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24</v>
      </c>
      <c r="B53" t="s">
        <v>3771</v>
      </c>
      <c r="C53">
        <f>"1012673"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24</v>
      </c>
      <c r="B54" t="s">
        <v>9177</v>
      </c>
      <c r="C54">
        <f>"DPI058"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24</v>
      </c>
      <c r="B55" t="s">
        <v>5030</v>
      </c>
      <c r="C55">
        <f>"vetgbr0002"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24</v>
      </c>
      <c r="B56" t="s">
        <v>6389</v>
      </c>
      <c r="C56">
        <f>"1018501"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24</v>
      </c>
      <c r="B57" t="s">
        <v>6388</v>
      </c>
      <c r="C57">
        <f>"1113453"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24</v>
      </c>
      <c r="B58" t="s">
        <v>1393</v>
      </c>
      <c r="C58">
        <f>"1158201"</f>
        <v>0</v>
      </c>
      <c r="D58">
        <v>0</v>
      </c>
      <c r="E58">
        <v>0</v>
      </c>
      <c r="F58">
        <v>1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24</v>
      </c>
      <c r="B59" t="s">
        <v>4090</v>
      </c>
      <c r="C59">
        <f>"DPI081"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24</v>
      </c>
      <c r="B60" t="s">
        <v>1083</v>
      </c>
      <c r="C60">
        <f>"1125001"</f>
        <v>0</v>
      </c>
      <c r="D60">
        <v>2</v>
      </c>
      <c r="E60">
        <v>0</v>
      </c>
      <c r="F60">
        <v>0</v>
      </c>
      <c r="G60">
        <v>0</v>
      </c>
      <c r="H60">
        <v>2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24</v>
      </c>
      <c r="B61" t="s">
        <v>6897</v>
      </c>
      <c r="C61">
        <f>"1609941389664"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24</v>
      </c>
      <c r="B62" t="s">
        <v>9419</v>
      </c>
      <c r="C62">
        <f>"1392501"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24</v>
      </c>
      <c r="B63" t="s">
        <v>3772</v>
      </c>
      <c r="C63">
        <f>"1012671"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24</v>
      </c>
      <c r="B64" t="s">
        <v>9598</v>
      </c>
      <c r="C64">
        <f>"DPI037"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24</v>
      </c>
      <c r="B65" t="s">
        <v>9541</v>
      </c>
      <c r="C65">
        <f>"1018379"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24</v>
      </c>
      <c r="B66" t="s">
        <v>3551</v>
      </c>
      <c r="C66">
        <f>"1112322"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24</v>
      </c>
      <c r="B67" t="s">
        <v>9812</v>
      </c>
      <c r="C67">
        <f>"DPI147"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24</v>
      </c>
      <c r="B68" t="s">
        <v>4474</v>
      </c>
      <c r="C68">
        <f>"41051"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24</v>
      </c>
      <c r="B69" t="s">
        <v>6245</v>
      </c>
      <c r="C69">
        <f>"1589920600085"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24</v>
      </c>
      <c r="B70" t="s">
        <v>1234</v>
      </c>
      <c r="C70">
        <f>"1113021"</f>
        <v>0</v>
      </c>
      <c r="D70">
        <v>1</v>
      </c>
      <c r="E70">
        <v>0</v>
      </c>
      <c r="F70">
        <v>0</v>
      </c>
      <c r="G70">
        <v>0</v>
      </c>
      <c r="H70">
        <v>1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24</v>
      </c>
      <c r="B71" t="s">
        <v>1696</v>
      </c>
      <c r="C71">
        <f>"1158301"</f>
        <v>0</v>
      </c>
      <c r="D71">
        <v>3</v>
      </c>
      <c r="E71">
        <v>0</v>
      </c>
      <c r="F71">
        <v>2</v>
      </c>
      <c r="G71">
        <v>0</v>
      </c>
      <c r="H71">
        <v>5</v>
      </c>
      <c r="I71">
        <v>1</v>
      </c>
      <c r="J71">
        <v>1</v>
      </c>
      <c r="K71">
        <v>4.639</v>
      </c>
      <c r="L71" s="2">
        <v>5</v>
      </c>
      <c r="M71">
        <v>0</v>
      </c>
      <c r="N71" s="2">
        <v>0</v>
      </c>
      <c r="O71">
        <v>-0.2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24</v>
      </c>
      <c r="B72" t="s">
        <v>1907</v>
      </c>
      <c r="C72">
        <f>"1112212"</f>
        <v>0</v>
      </c>
      <c r="D72">
        <v>3</v>
      </c>
      <c r="E72">
        <v>0</v>
      </c>
      <c r="F72">
        <v>1</v>
      </c>
      <c r="G72">
        <v>1</v>
      </c>
      <c r="H72">
        <v>5</v>
      </c>
      <c r="I72">
        <v>1</v>
      </c>
      <c r="J72">
        <v>3</v>
      </c>
      <c r="K72">
        <v>13.64</v>
      </c>
      <c r="L72" s="2">
        <v>5</v>
      </c>
      <c r="M72">
        <v>0</v>
      </c>
      <c r="N72" s="2">
        <v>0</v>
      </c>
      <c r="O72">
        <v>-0.5999999999999996</v>
      </c>
      <c r="P72" t="s">
        <v>10614</v>
      </c>
      <c r="Q72">
        <v>2.168</v>
      </c>
      <c r="R72" t="s">
        <v>10656</v>
      </c>
      <c r="S72">
        <v>0</v>
      </c>
    </row>
    <row r="73" spans="1:19">
      <c r="A73" t="s">
        <v>24</v>
      </c>
      <c r="B73" t="s">
        <v>1911</v>
      </c>
      <c r="C73">
        <f>"5000022"</f>
        <v>0</v>
      </c>
      <c r="D73">
        <v>1</v>
      </c>
      <c r="E73">
        <v>0</v>
      </c>
      <c r="F73">
        <v>3</v>
      </c>
      <c r="G73">
        <v>1</v>
      </c>
      <c r="H73">
        <v>5</v>
      </c>
      <c r="I73">
        <v>1</v>
      </c>
      <c r="J73">
        <v>3</v>
      </c>
      <c r="K73">
        <v>16.446</v>
      </c>
      <c r="L73" s="2">
        <v>5</v>
      </c>
      <c r="M73">
        <v>0</v>
      </c>
      <c r="N73" s="2">
        <v>0</v>
      </c>
      <c r="O73">
        <v>-0.5999999999999996</v>
      </c>
      <c r="P73" t="s">
        <v>10614</v>
      </c>
      <c r="Q73">
        <v>1.232</v>
      </c>
      <c r="R73" t="s">
        <v>10657</v>
      </c>
      <c r="S73">
        <v>0</v>
      </c>
    </row>
    <row r="74" spans="1:19">
      <c r="A74" t="s">
        <v>24</v>
      </c>
      <c r="B74" t="s">
        <v>2268</v>
      </c>
      <c r="C74">
        <f>"1570001"</f>
        <v>0</v>
      </c>
      <c r="D74">
        <v>1</v>
      </c>
      <c r="E74">
        <v>1</v>
      </c>
      <c r="F74">
        <v>0</v>
      </c>
      <c r="G74">
        <v>0</v>
      </c>
      <c r="H74">
        <v>2</v>
      </c>
      <c r="I74">
        <v>0.5</v>
      </c>
      <c r="J74">
        <v>1</v>
      </c>
      <c r="K74">
        <v>3.974</v>
      </c>
      <c r="L74" s="2">
        <v>4</v>
      </c>
      <c r="M74">
        <v>0</v>
      </c>
      <c r="N74" s="2">
        <v>0</v>
      </c>
      <c r="O74">
        <v>-0.7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24</v>
      </c>
      <c r="B75" t="s">
        <v>1643</v>
      </c>
      <c r="C75">
        <f>"1319951"</f>
        <v>0</v>
      </c>
      <c r="D75">
        <v>0</v>
      </c>
      <c r="E75">
        <v>5</v>
      </c>
      <c r="F75">
        <v>1</v>
      </c>
      <c r="G75">
        <v>0</v>
      </c>
      <c r="H75">
        <v>6</v>
      </c>
      <c r="I75">
        <v>0.5</v>
      </c>
      <c r="J75">
        <v>1</v>
      </c>
      <c r="K75">
        <v>8.419</v>
      </c>
      <c r="L75" s="2">
        <v>8</v>
      </c>
      <c r="M75">
        <v>0</v>
      </c>
      <c r="N75" s="2">
        <v>0</v>
      </c>
      <c r="O75">
        <v>-0.7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24</v>
      </c>
      <c r="B76" t="s">
        <v>2339</v>
      </c>
      <c r="C76">
        <f>"1158701"</f>
        <v>0</v>
      </c>
      <c r="D76">
        <v>0</v>
      </c>
      <c r="E76">
        <v>1</v>
      </c>
      <c r="F76">
        <v>1</v>
      </c>
      <c r="G76">
        <v>0</v>
      </c>
      <c r="H76">
        <v>2</v>
      </c>
      <c r="I76">
        <v>0.5</v>
      </c>
      <c r="J76">
        <v>1</v>
      </c>
      <c r="K76">
        <v>4.102</v>
      </c>
      <c r="L76" s="2">
        <v>4</v>
      </c>
      <c r="M76">
        <v>0</v>
      </c>
      <c r="N76" s="2">
        <v>0</v>
      </c>
      <c r="O76">
        <v>-0.7</v>
      </c>
      <c r="P76" t="s">
        <v>10615</v>
      </c>
      <c r="Q76">
        <v>-2.612</v>
      </c>
      <c r="R76" t="s">
        <v>10658</v>
      </c>
      <c r="S76">
        <v>0</v>
      </c>
    </row>
    <row r="77" spans="1:19">
      <c r="A77" t="s">
        <v>24</v>
      </c>
      <c r="B77" t="s">
        <v>1782</v>
      </c>
      <c r="C77">
        <f>"1015851"</f>
        <v>0</v>
      </c>
      <c r="D77">
        <v>4</v>
      </c>
      <c r="E77">
        <v>5</v>
      </c>
      <c r="F77">
        <v>0</v>
      </c>
      <c r="G77">
        <v>1</v>
      </c>
      <c r="H77">
        <v>10</v>
      </c>
      <c r="I77">
        <v>2.5</v>
      </c>
      <c r="J77">
        <v>7</v>
      </c>
      <c r="K77">
        <v>62.444</v>
      </c>
      <c r="L77" s="2">
        <v>9</v>
      </c>
      <c r="M77">
        <v>0</v>
      </c>
      <c r="N77" s="2">
        <v>0</v>
      </c>
      <c r="O77">
        <v>-0.9000000000000004</v>
      </c>
      <c r="P77" t="s">
        <v>10345</v>
      </c>
      <c r="Q77">
        <v>2.772</v>
      </c>
      <c r="R77" t="s">
        <v>10659</v>
      </c>
      <c r="S77">
        <v>1</v>
      </c>
    </row>
    <row r="78" spans="1:19">
      <c r="A78" t="s">
        <v>24</v>
      </c>
      <c r="B78" t="s">
        <v>1818</v>
      </c>
      <c r="C78">
        <f>"1140151"</f>
        <v>0</v>
      </c>
      <c r="D78">
        <v>4</v>
      </c>
      <c r="E78">
        <v>1</v>
      </c>
      <c r="F78">
        <v>4</v>
      </c>
      <c r="G78">
        <v>0</v>
      </c>
      <c r="H78">
        <v>9</v>
      </c>
      <c r="I78">
        <v>2.5</v>
      </c>
      <c r="J78">
        <v>3</v>
      </c>
      <c r="K78">
        <v>27.697</v>
      </c>
      <c r="L78" s="2">
        <v>9</v>
      </c>
      <c r="M78">
        <v>0</v>
      </c>
      <c r="N78" s="2">
        <v>0</v>
      </c>
      <c r="O78">
        <v>-1.1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24</v>
      </c>
      <c r="B79" t="s">
        <v>2148</v>
      </c>
      <c r="C79">
        <f>"1110932"</f>
        <v>0</v>
      </c>
      <c r="D79">
        <v>0</v>
      </c>
      <c r="E79">
        <v>0</v>
      </c>
      <c r="F79">
        <v>1</v>
      </c>
      <c r="G79">
        <v>1</v>
      </c>
      <c r="H79">
        <v>2</v>
      </c>
      <c r="I79">
        <v>0.5</v>
      </c>
      <c r="J79">
        <v>3</v>
      </c>
      <c r="K79">
        <v>21.617</v>
      </c>
      <c r="L79" s="2">
        <v>7</v>
      </c>
      <c r="M79">
        <v>0</v>
      </c>
      <c r="N79" s="2">
        <v>0</v>
      </c>
      <c r="O79">
        <v>-1.1</v>
      </c>
      <c r="P79" t="s">
        <v>10616</v>
      </c>
      <c r="Q79">
        <v>2.104</v>
      </c>
      <c r="R79" t="s">
        <v>10660</v>
      </c>
      <c r="S79">
        <v>0</v>
      </c>
    </row>
    <row r="80" spans="1:19">
      <c r="A80" t="s">
        <v>24</v>
      </c>
      <c r="B80" t="s">
        <v>6373</v>
      </c>
      <c r="C80">
        <f>"1571001"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</v>
      </c>
      <c r="K80">
        <v>3.931</v>
      </c>
      <c r="L80" s="2">
        <v>4</v>
      </c>
      <c r="M80">
        <v>0</v>
      </c>
      <c r="N80" s="2">
        <v>0</v>
      </c>
      <c r="O80">
        <v>-1.2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24</v>
      </c>
      <c r="B81" t="s">
        <v>2253</v>
      </c>
      <c r="C81">
        <f>"1019753"</f>
        <v>0</v>
      </c>
      <c r="D81">
        <v>0</v>
      </c>
      <c r="E81">
        <v>0</v>
      </c>
      <c r="F81">
        <v>2</v>
      </c>
      <c r="G81">
        <v>0</v>
      </c>
      <c r="H81">
        <v>2</v>
      </c>
      <c r="I81">
        <v>0</v>
      </c>
      <c r="J81">
        <v>1</v>
      </c>
      <c r="K81">
        <v>1.497</v>
      </c>
      <c r="L81" s="2">
        <v>1</v>
      </c>
      <c r="M81">
        <v>0</v>
      </c>
      <c r="N81" s="2">
        <v>0</v>
      </c>
      <c r="O81">
        <v>-1.2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24</v>
      </c>
      <c r="B82" t="s">
        <v>9642</v>
      </c>
      <c r="C82">
        <f>"DPI237"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</v>
      </c>
      <c r="K82">
        <v>9.781000000000001</v>
      </c>
      <c r="L82" s="2">
        <v>10</v>
      </c>
      <c r="M82">
        <v>0</v>
      </c>
      <c r="N82" s="2">
        <v>0</v>
      </c>
      <c r="O82">
        <v>-1.2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24</v>
      </c>
      <c r="B83" t="s">
        <v>9771</v>
      </c>
      <c r="C83">
        <f>"1320501"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</v>
      </c>
      <c r="K83">
        <v>7.249</v>
      </c>
      <c r="L83" s="2">
        <v>7</v>
      </c>
      <c r="M83">
        <v>0</v>
      </c>
      <c r="N83" s="2">
        <v>0</v>
      </c>
      <c r="O83">
        <v>-1.2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24</v>
      </c>
      <c r="B84" t="s">
        <v>1902</v>
      </c>
      <c r="C84">
        <f>"1112332"</f>
        <v>0</v>
      </c>
      <c r="D84">
        <v>4</v>
      </c>
      <c r="E84">
        <v>2</v>
      </c>
      <c r="F84">
        <v>0</v>
      </c>
      <c r="G84">
        <v>0</v>
      </c>
      <c r="H84">
        <v>6</v>
      </c>
      <c r="I84">
        <v>1</v>
      </c>
      <c r="J84">
        <v>2</v>
      </c>
      <c r="K84">
        <v>8.728</v>
      </c>
      <c r="L84" s="2">
        <v>4</v>
      </c>
      <c r="M84">
        <v>0</v>
      </c>
      <c r="N84" s="2">
        <v>0</v>
      </c>
      <c r="O84">
        <v>-1.4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24</v>
      </c>
      <c r="B85" t="s">
        <v>1787</v>
      </c>
      <c r="C85">
        <f>"DPI027"</f>
        <v>0</v>
      </c>
      <c r="D85">
        <v>3</v>
      </c>
      <c r="E85">
        <v>1</v>
      </c>
      <c r="F85">
        <v>6</v>
      </c>
      <c r="G85">
        <v>0</v>
      </c>
      <c r="H85">
        <v>10</v>
      </c>
      <c r="I85">
        <v>2</v>
      </c>
      <c r="J85">
        <v>3</v>
      </c>
      <c r="K85">
        <v>10.735</v>
      </c>
      <c r="L85" s="2">
        <v>4</v>
      </c>
      <c r="M85">
        <v>0</v>
      </c>
      <c r="N85" s="2">
        <v>0</v>
      </c>
      <c r="O85">
        <v>-1.6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24</v>
      </c>
      <c r="B86" t="s">
        <v>2102</v>
      </c>
      <c r="C86">
        <f>"1015477"</f>
        <v>0</v>
      </c>
      <c r="D86">
        <v>2</v>
      </c>
      <c r="E86">
        <v>0</v>
      </c>
      <c r="F86">
        <v>1</v>
      </c>
      <c r="G86">
        <v>0</v>
      </c>
      <c r="H86">
        <v>3</v>
      </c>
      <c r="I86">
        <v>0.5</v>
      </c>
      <c r="J86">
        <v>2</v>
      </c>
      <c r="K86">
        <v>7.646</v>
      </c>
      <c r="L86" s="2">
        <v>4</v>
      </c>
      <c r="M86">
        <v>0</v>
      </c>
      <c r="N86" s="2">
        <v>0</v>
      </c>
      <c r="O86">
        <v>-1.9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24</v>
      </c>
      <c r="B87" t="s">
        <v>2170</v>
      </c>
      <c r="C87">
        <f>"FP4060"</f>
        <v>0</v>
      </c>
      <c r="D87">
        <v>1</v>
      </c>
      <c r="E87">
        <v>1</v>
      </c>
      <c r="F87">
        <v>0</v>
      </c>
      <c r="G87">
        <v>0</v>
      </c>
      <c r="H87">
        <v>2</v>
      </c>
      <c r="I87">
        <v>0.5</v>
      </c>
      <c r="J87">
        <v>2</v>
      </c>
      <c r="K87">
        <v>10.671</v>
      </c>
      <c r="L87" s="2">
        <v>5</v>
      </c>
      <c r="M87">
        <v>0</v>
      </c>
      <c r="N87" s="2">
        <v>0</v>
      </c>
      <c r="O87">
        <v>-1.9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24</v>
      </c>
      <c r="B88" t="s">
        <v>2329</v>
      </c>
      <c r="C88">
        <f>"1526501"</f>
        <v>0</v>
      </c>
      <c r="D88">
        <v>0</v>
      </c>
      <c r="E88">
        <v>1</v>
      </c>
      <c r="F88">
        <v>1</v>
      </c>
      <c r="G88">
        <v>0</v>
      </c>
      <c r="H88">
        <v>2</v>
      </c>
      <c r="I88">
        <v>0.5</v>
      </c>
      <c r="J88">
        <v>2</v>
      </c>
      <c r="K88">
        <v>13.194</v>
      </c>
      <c r="L88" s="2">
        <v>7</v>
      </c>
      <c r="M88">
        <v>0</v>
      </c>
      <c r="N88" s="2">
        <v>0</v>
      </c>
      <c r="O88">
        <v>-1.9</v>
      </c>
      <c r="P88" t="s">
        <v>10617</v>
      </c>
      <c r="Q88">
        <v>-1.798</v>
      </c>
      <c r="R88" t="s">
        <v>10543</v>
      </c>
      <c r="S88">
        <v>0</v>
      </c>
    </row>
    <row r="89" spans="1:19">
      <c r="A89" t="s">
        <v>24</v>
      </c>
      <c r="B89" t="s">
        <v>2005</v>
      </c>
      <c r="C89">
        <f>"1111601"</f>
        <v>0</v>
      </c>
      <c r="D89">
        <v>1</v>
      </c>
      <c r="E89">
        <v>3</v>
      </c>
      <c r="F89">
        <v>0</v>
      </c>
      <c r="G89">
        <v>0</v>
      </c>
      <c r="H89">
        <v>4</v>
      </c>
      <c r="I89">
        <v>0.5</v>
      </c>
      <c r="J89">
        <v>2</v>
      </c>
      <c r="K89">
        <v>8.525</v>
      </c>
      <c r="L89" s="2">
        <v>4</v>
      </c>
      <c r="M89">
        <v>0</v>
      </c>
      <c r="N89" s="2">
        <v>0</v>
      </c>
      <c r="O89">
        <v>-1.9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24</v>
      </c>
      <c r="B90" t="s">
        <v>1966</v>
      </c>
      <c r="C90">
        <f>"1112302"</f>
        <v>0</v>
      </c>
      <c r="D90">
        <v>3</v>
      </c>
      <c r="E90">
        <v>0</v>
      </c>
      <c r="F90">
        <v>1</v>
      </c>
      <c r="G90">
        <v>0</v>
      </c>
      <c r="H90">
        <v>4</v>
      </c>
      <c r="I90">
        <v>0.5</v>
      </c>
      <c r="J90">
        <v>2</v>
      </c>
      <c r="K90">
        <v>9.576000000000001</v>
      </c>
      <c r="L90" s="2">
        <v>5</v>
      </c>
      <c r="M90">
        <v>0</v>
      </c>
      <c r="N90" s="2">
        <v>0</v>
      </c>
      <c r="O90">
        <v>-1.9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24</v>
      </c>
      <c r="B91" t="s">
        <v>1822</v>
      </c>
      <c r="C91">
        <f>"1015850"</f>
        <v>0</v>
      </c>
      <c r="D91">
        <v>4</v>
      </c>
      <c r="E91">
        <v>4</v>
      </c>
      <c r="F91">
        <v>0</v>
      </c>
      <c r="G91">
        <v>1</v>
      </c>
      <c r="H91">
        <v>9</v>
      </c>
      <c r="I91">
        <v>2.5</v>
      </c>
      <c r="J91">
        <v>8</v>
      </c>
      <c r="K91">
        <v>57.264</v>
      </c>
      <c r="L91" s="2">
        <v>7</v>
      </c>
      <c r="M91">
        <v>0</v>
      </c>
      <c r="N91" s="2">
        <v>0</v>
      </c>
      <c r="O91">
        <v>-2.1</v>
      </c>
      <c r="P91" t="s">
        <v>10607</v>
      </c>
      <c r="Q91">
        <v>-1.251</v>
      </c>
      <c r="R91" t="s">
        <v>10661</v>
      </c>
      <c r="S91">
        <v>1</v>
      </c>
    </row>
    <row r="92" spans="1:19">
      <c r="A92" t="s">
        <v>24</v>
      </c>
      <c r="B92" t="s">
        <v>2141</v>
      </c>
      <c r="C92">
        <f>"1113042"</f>
        <v>0</v>
      </c>
      <c r="D92">
        <v>0</v>
      </c>
      <c r="E92">
        <v>0</v>
      </c>
      <c r="F92">
        <v>1</v>
      </c>
      <c r="G92">
        <v>1</v>
      </c>
      <c r="H92">
        <v>2</v>
      </c>
      <c r="I92">
        <v>0.5</v>
      </c>
      <c r="J92">
        <v>4</v>
      </c>
      <c r="K92">
        <v>24.458</v>
      </c>
      <c r="L92" s="2">
        <v>6</v>
      </c>
      <c r="M92">
        <v>0</v>
      </c>
      <c r="N92" s="2">
        <v>0</v>
      </c>
      <c r="O92">
        <v>-2.3</v>
      </c>
      <c r="P92" t="s">
        <v>10618</v>
      </c>
      <c r="Q92">
        <v>3.791</v>
      </c>
      <c r="R92" t="s">
        <v>10662</v>
      </c>
      <c r="S92">
        <v>0</v>
      </c>
    </row>
    <row r="93" spans="1:19">
      <c r="A93" t="s">
        <v>24</v>
      </c>
      <c r="B93" t="s">
        <v>2581</v>
      </c>
      <c r="C93">
        <f>"1520201"</f>
        <v>0</v>
      </c>
      <c r="D93">
        <v>0</v>
      </c>
      <c r="E93">
        <v>1</v>
      </c>
      <c r="F93">
        <v>0</v>
      </c>
      <c r="G93">
        <v>0</v>
      </c>
      <c r="H93">
        <v>1</v>
      </c>
      <c r="I93">
        <v>0</v>
      </c>
      <c r="J93">
        <v>2</v>
      </c>
      <c r="K93">
        <v>2.718</v>
      </c>
      <c r="L93" s="2">
        <v>1</v>
      </c>
      <c r="M93">
        <v>0</v>
      </c>
      <c r="N93" s="2">
        <v>0</v>
      </c>
      <c r="O93">
        <v>-2.4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24</v>
      </c>
      <c r="B94" t="s">
        <v>2507</v>
      </c>
      <c r="C94">
        <f>"1150501"</f>
        <v>0</v>
      </c>
      <c r="D94">
        <v>1</v>
      </c>
      <c r="E94">
        <v>0</v>
      </c>
      <c r="F94">
        <v>0</v>
      </c>
      <c r="G94">
        <v>0</v>
      </c>
      <c r="H94">
        <v>1</v>
      </c>
      <c r="I94">
        <v>0</v>
      </c>
      <c r="J94">
        <v>2</v>
      </c>
      <c r="K94">
        <v>14.124</v>
      </c>
      <c r="L94" s="2">
        <v>7</v>
      </c>
      <c r="M94">
        <v>0</v>
      </c>
      <c r="N94" s="2">
        <v>0</v>
      </c>
      <c r="O94">
        <v>-2.4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24</v>
      </c>
      <c r="B95" t="s">
        <v>3716</v>
      </c>
      <c r="C95">
        <f>"DPI077"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15.987</v>
      </c>
      <c r="L95" s="2">
        <v>8</v>
      </c>
      <c r="M95">
        <v>0</v>
      </c>
      <c r="N95" s="2">
        <v>0</v>
      </c>
      <c r="O95">
        <v>-2.4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24</v>
      </c>
      <c r="B96" t="s">
        <v>2708</v>
      </c>
      <c r="C96">
        <f>"1110941"</f>
        <v>0</v>
      </c>
      <c r="D96">
        <v>0</v>
      </c>
      <c r="E96">
        <v>1</v>
      </c>
      <c r="F96">
        <v>0</v>
      </c>
      <c r="G96">
        <v>0</v>
      </c>
      <c r="H96">
        <v>1</v>
      </c>
      <c r="I96">
        <v>0</v>
      </c>
      <c r="J96">
        <v>2</v>
      </c>
      <c r="K96">
        <v>9.273999999999999</v>
      </c>
      <c r="L96" s="2">
        <v>5</v>
      </c>
      <c r="M96">
        <v>0</v>
      </c>
      <c r="N96" s="2">
        <v>0</v>
      </c>
      <c r="O96">
        <v>-2.4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24</v>
      </c>
      <c r="B97" t="s">
        <v>1985</v>
      </c>
      <c r="C97">
        <f>"1111201"</f>
        <v>0</v>
      </c>
      <c r="D97">
        <v>0</v>
      </c>
      <c r="E97">
        <v>4</v>
      </c>
      <c r="F97">
        <v>0</v>
      </c>
      <c r="G97">
        <v>0</v>
      </c>
      <c r="H97">
        <v>4</v>
      </c>
      <c r="I97">
        <v>0</v>
      </c>
      <c r="J97">
        <v>2</v>
      </c>
      <c r="K97">
        <v>12.14</v>
      </c>
      <c r="L97" s="2">
        <v>6</v>
      </c>
      <c r="M97">
        <v>0</v>
      </c>
      <c r="N97" s="2">
        <v>0</v>
      </c>
      <c r="O97">
        <v>-2.4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24</v>
      </c>
      <c r="B98" t="s">
        <v>5688</v>
      </c>
      <c r="C98">
        <f>"DPI099"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7.16</v>
      </c>
      <c r="L98" s="2">
        <v>4</v>
      </c>
      <c r="M98">
        <v>0</v>
      </c>
      <c r="N98" s="2">
        <v>0</v>
      </c>
      <c r="O98">
        <v>-2.4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24</v>
      </c>
      <c r="B99" t="s">
        <v>6372</v>
      </c>
      <c r="C99">
        <f>"1158401"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2</v>
      </c>
      <c r="K99">
        <v>11.87</v>
      </c>
      <c r="L99" s="2">
        <v>6</v>
      </c>
      <c r="M99">
        <v>0</v>
      </c>
      <c r="N99" s="2">
        <v>0</v>
      </c>
      <c r="O99">
        <v>-2.4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24</v>
      </c>
      <c r="B100" t="s">
        <v>2104</v>
      </c>
      <c r="C100">
        <f>"1018500"</f>
        <v>0</v>
      </c>
      <c r="D100">
        <v>3</v>
      </c>
      <c r="E100">
        <v>0</v>
      </c>
      <c r="F100">
        <v>0</v>
      </c>
      <c r="G100">
        <v>0</v>
      </c>
      <c r="H100">
        <v>3</v>
      </c>
      <c r="I100">
        <v>0</v>
      </c>
      <c r="J100">
        <v>2</v>
      </c>
      <c r="K100">
        <v>4.065</v>
      </c>
      <c r="L100" s="2">
        <v>2</v>
      </c>
      <c r="M100">
        <v>0</v>
      </c>
      <c r="N100" s="2">
        <v>0</v>
      </c>
      <c r="O100">
        <v>-2.4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24</v>
      </c>
      <c r="B101" t="s">
        <v>2202</v>
      </c>
      <c r="C101">
        <f>"1113001"</f>
        <v>0</v>
      </c>
      <c r="D101">
        <v>0</v>
      </c>
      <c r="E101">
        <v>2</v>
      </c>
      <c r="F101">
        <v>0</v>
      </c>
      <c r="G101">
        <v>0</v>
      </c>
      <c r="H101">
        <v>2</v>
      </c>
      <c r="I101">
        <v>0</v>
      </c>
      <c r="J101">
        <v>2</v>
      </c>
      <c r="K101">
        <v>5.987</v>
      </c>
      <c r="L101" s="2">
        <v>3</v>
      </c>
      <c r="M101">
        <v>0</v>
      </c>
      <c r="N101" s="2">
        <v>0</v>
      </c>
      <c r="O101">
        <v>-2.4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24</v>
      </c>
      <c r="B102" t="s">
        <v>2371</v>
      </c>
      <c r="C102">
        <f>"1158601"</f>
        <v>0</v>
      </c>
      <c r="D102">
        <v>0</v>
      </c>
      <c r="E102">
        <v>0</v>
      </c>
      <c r="F102">
        <v>1</v>
      </c>
      <c r="G102">
        <v>0</v>
      </c>
      <c r="H102">
        <v>1</v>
      </c>
      <c r="I102">
        <v>0</v>
      </c>
      <c r="J102">
        <v>2</v>
      </c>
      <c r="K102">
        <v>11.526</v>
      </c>
      <c r="L102" s="2">
        <v>6</v>
      </c>
      <c r="M102">
        <v>0</v>
      </c>
      <c r="N102" s="2">
        <v>0</v>
      </c>
      <c r="O102">
        <v>-2.4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24</v>
      </c>
      <c r="B103" t="s">
        <v>7786</v>
      </c>
      <c r="C103">
        <f>"1110151"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2</v>
      </c>
      <c r="K103">
        <v>6.084</v>
      </c>
      <c r="L103" s="2">
        <v>3</v>
      </c>
      <c r="M103">
        <v>0</v>
      </c>
      <c r="N103" s="2">
        <v>0</v>
      </c>
      <c r="O103">
        <v>-2.4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24</v>
      </c>
      <c r="B104" t="s">
        <v>6559</v>
      </c>
      <c r="C104">
        <f>"1520101"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2</v>
      </c>
      <c r="K104">
        <v>2.502</v>
      </c>
      <c r="L104" s="2">
        <v>1</v>
      </c>
      <c r="M104">
        <v>0</v>
      </c>
      <c r="N104" s="2">
        <v>0</v>
      </c>
      <c r="O104">
        <v>-2.4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24</v>
      </c>
      <c r="B105" t="s">
        <v>6209</v>
      </c>
      <c r="C105">
        <f>"1320851"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2</v>
      </c>
      <c r="K105">
        <v>12.405</v>
      </c>
      <c r="L105" s="2">
        <v>6</v>
      </c>
      <c r="M105">
        <v>0</v>
      </c>
      <c r="N105" s="2">
        <v>0</v>
      </c>
      <c r="O105">
        <v>-2.4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24</v>
      </c>
      <c r="B106" t="s">
        <v>1916</v>
      </c>
      <c r="C106">
        <f>"1110171"</f>
        <v>0</v>
      </c>
      <c r="D106">
        <v>2</v>
      </c>
      <c r="E106">
        <v>3</v>
      </c>
      <c r="F106">
        <v>0</v>
      </c>
      <c r="G106">
        <v>0</v>
      </c>
      <c r="H106">
        <v>5</v>
      </c>
      <c r="I106">
        <v>1</v>
      </c>
      <c r="J106">
        <v>3</v>
      </c>
      <c r="K106">
        <v>7.562</v>
      </c>
      <c r="L106" s="2">
        <v>3</v>
      </c>
      <c r="M106">
        <v>0</v>
      </c>
      <c r="N106" s="2">
        <v>0</v>
      </c>
      <c r="O106">
        <v>-2.6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24</v>
      </c>
      <c r="B107" t="s">
        <v>1994</v>
      </c>
      <c r="C107">
        <f>"DPI097"</f>
        <v>0</v>
      </c>
      <c r="D107">
        <v>2</v>
      </c>
      <c r="E107">
        <v>1</v>
      </c>
      <c r="F107">
        <v>1</v>
      </c>
      <c r="G107">
        <v>0</v>
      </c>
      <c r="H107">
        <v>4</v>
      </c>
      <c r="I107">
        <v>1</v>
      </c>
      <c r="J107">
        <v>3</v>
      </c>
      <c r="K107">
        <v>13.012</v>
      </c>
      <c r="L107" s="2">
        <v>4</v>
      </c>
      <c r="M107">
        <v>0</v>
      </c>
      <c r="N107" s="2">
        <v>0</v>
      </c>
      <c r="O107">
        <v>-2.6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24</v>
      </c>
      <c r="B108" t="s">
        <v>1138</v>
      </c>
      <c r="C108">
        <f>"DPI025"</f>
        <v>0</v>
      </c>
      <c r="D108">
        <v>2</v>
      </c>
      <c r="E108">
        <v>3</v>
      </c>
      <c r="F108">
        <v>3</v>
      </c>
      <c r="G108">
        <v>1</v>
      </c>
      <c r="H108">
        <v>9</v>
      </c>
      <c r="I108">
        <v>2.5</v>
      </c>
      <c r="J108">
        <v>6</v>
      </c>
      <c r="K108">
        <v>43.824</v>
      </c>
      <c r="L108" s="2">
        <v>7</v>
      </c>
      <c r="M108">
        <v>0</v>
      </c>
      <c r="N108" s="2">
        <v>0</v>
      </c>
      <c r="O108">
        <v>-2.699999999999999</v>
      </c>
      <c r="P108" t="s">
        <v>10449</v>
      </c>
      <c r="Q108">
        <v>251</v>
      </c>
      <c r="R108" t="s">
        <v>10663</v>
      </c>
      <c r="S108">
        <v>0</v>
      </c>
    </row>
    <row r="109" spans="1:19">
      <c r="A109" t="s">
        <v>24</v>
      </c>
      <c r="B109" t="s">
        <v>1704</v>
      </c>
      <c r="C109">
        <f>"1125002"</f>
        <v>0</v>
      </c>
      <c r="D109">
        <v>9</v>
      </c>
      <c r="E109">
        <v>4</v>
      </c>
      <c r="F109">
        <v>5</v>
      </c>
      <c r="G109">
        <v>0</v>
      </c>
      <c r="H109">
        <v>18</v>
      </c>
      <c r="I109">
        <v>4.5</v>
      </c>
      <c r="J109">
        <v>6</v>
      </c>
      <c r="K109">
        <v>92.214</v>
      </c>
      <c r="L109" s="2">
        <v>15</v>
      </c>
      <c r="M109">
        <v>0</v>
      </c>
      <c r="N109" s="2">
        <v>0</v>
      </c>
      <c r="O109">
        <v>-2.699999999999999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24</v>
      </c>
      <c r="B110" t="s">
        <v>306</v>
      </c>
      <c r="C110">
        <f>"DC1110221"</f>
        <v>0</v>
      </c>
      <c r="D110">
        <v>0</v>
      </c>
      <c r="E110">
        <v>2</v>
      </c>
      <c r="F110">
        <v>0</v>
      </c>
      <c r="G110">
        <v>1</v>
      </c>
      <c r="H110">
        <v>3</v>
      </c>
      <c r="I110">
        <v>0.5</v>
      </c>
      <c r="J110">
        <v>7</v>
      </c>
      <c r="K110">
        <v>19.331</v>
      </c>
      <c r="L110" s="2">
        <v>3</v>
      </c>
      <c r="M110">
        <v>0</v>
      </c>
      <c r="N110" s="2">
        <v>0</v>
      </c>
      <c r="O110">
        <v>-2.9</v>
      </c>
      <c r="P110" t="s">
        <v>10619</v>
      </c>
      <c r="Q110">
        <v>696</v>
      </c>
      <c r="R110" t="s">
        <v>10664</v>
      </c>
      <c r="S110">
        <v>1</v>
      </c>
    </row>
    <row r="111" spans="1:19">
      <c r="A111" t="s">
        <v>24</v>
      </c>
      <c r="B111" t="s">
        <v>1910</v>
      </c>
      <c r="C111">
        <f>"1110001"</f>
        <v>0</v>
      </c>
      <c r="D111">
        <v>1</v>
      </c>
      <c r="E111">
        <v>2</v>
      </c>
      <c r="F111">
        <v>1</v>
      </c>
      <c r="G111">
        <v>1</v>
      </c>
      <c r="H111">
        <v>5</v>
      </c>
      <c r="I111">
        <v>1</v>
      </c>
      <c r="J111">
        <v>5</v>
      </c>
      <c r="K111">
        <v>47.568</v>
      </c>
      <c r="L111" s="2">
        <v>10</v>
      </c>
      <c r="M111">
        <v>0</v>
      </c>
      <c r="N111" s="2">
        <v>0</v>
      </c>
      <c r="O111">
        <v>-3</v>
      </c>
      <c r="P111" t="s">
        <v>10618</v>
      </c>
      <c r="Q111">
        <v>1.258</v>
      </c>
      <c r="R111" t="s">
        <v>10665</v>
      </c>
      <c r="S111">
        <v>0</v>
      </c>
    </row>
    <row r="112" spans="1:19">
      <c r="A112" t="s">
        <v>24</v>
      </c>
      <c r="B112" t="s">
        <v>1915</v>
      </c>
      <c r="C112">
        <f>"1113102"</f>
        <v>0</v>
      </c>
      <c r="D112">
        <v>0</v>
      </c>
      <c r="E112">
        <v>4</v>
      </c>
      <c r="F112">
        <v>1</v>
      </c>
      <c r="G112">
        <v>0</v>
      </c>
      <c r="H112">
        <v>5</v>
      </c>
      <c r="I112">
        <v>0.5</v>
      </c>
      <c r="J112">
        <v>3</v>
      </c>
      <c r="K112">
        <v>4.183</v>
      </c>
      <c r="L112" s="2">
        <v>1</v>
      </c>
      <c r="M112">
        <v>0</v>
      </c>
      <c r="N112" s="2">
        <v>0</v>
      </c>
      <c r="O112">
        <v>-3.1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24</v>
      </c>
      <c r="B113" t="s">
        <v>2105</v>
      </c>
      <c r="C113">
        <f>"SP200"</f>
        <v>0</v>
      </c>
      <c r="D113">
        <v>2</v>
      </c>
      <c r="E113">
        <v>1</v>
      </c>
      <c r="F113">
        <v>0</v>
      </c>
      <c r="G113">
        <v>0</v>
      </c>
      <c r="H113">
        <v>3</v>
      </c>
      <c r="I113">
        <v>0.5</v>
      </c>
      <c r="J113">
        <v>3</v>
      </c>
      <c r="K113">
        <v>13.662</v>
      </c>
      <c r="L113" s="2">
        <v>5</v>
      </c>
      <c r="M113">
        <v>0</v>
      </c>
      <c r="N113" s="2">
        <v>0</v>
      </c>
      <c r="O113">
        <v>-3.1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24</v>
      </c>
      <c r="B114" t="s">
        <v>1708</v>
      </c>
      <c r="C114">
        <f>"1140251"</f>
        <v>0</v>
      </c>
      <c r="D114">
        <v>11</v>
      </c>
      <c r="E114">
        <v>0</v>
      </c>
      <c r="F114">
        <v>3</v>
      </c>
      <c r="G114">
        <v>2</v>
      </c>
      <c r="H114">
        <v>16</v>
      </c>
      <c r="I114">
        <v>2.5</v>
      </c>
      <c r="J114">
        <v>8</v>
      </c>
      <c r="K114">
        <v>84.21599999999999</v>
      </c>
      <c r="L114" s="2">
        <v>11</v>
      </c>
      <c r="M114">
        <v>0</v>
      </c>
      <c r="N114" s="2">
        <v>0</v>
      </c>
      <c r="O114">
        <v>-3.1</v>
      </c>
      <c r="P114" t="s">
        <v>10620</v>
      </c>
      <c r="Q114">
        <v>7.905</v>
      </c>
      <c r="R114" t="s">
        <v>10666</v>
      </c>
      <c r="S114">
        <v>0</v>
      </c>
    </row>
    <row r="115" spans="1:19">
      <c r="A115" t="s">
        <v>24</v>
      </c>
      <c r="B115" t="s">
        <v>1824</v>
      </c>
      <c r="C115">
        <f>"1012186"</f>
        <v>0</v>
      </c>
      <c r="D115">
        <v>3</v>
      </c>
      <c r="E115">
        <v>1</v>
      </c>
      <c r="F115">
        <v>3</v>
      </c>
      <c r="G115">
        <v>1</v>
      </c>
      <c r="H115">
        <v>8</v>
      </c>
      <c r="I115">
        <v>2</v>
      </c>
      <c r="J115">
        <v>6</v>
      </c>
      <c r="K115">
        <v>35.24</v>
      </c>
      <c r="L115" s="2">
        <v>6</v>
      </c>
      <c r="M115">
        <v>0</v>
      </c>
      <c r="N115" s="2">
        <v>0</v>
      </c>
      <c r="O115">
        <v>-3.199999999999999</v>
      </c>
      <c r="P115" t="s">
        <v>10242</v>
      </c>
      <c r="Q115">
        <v>2.522</v>
      </c>
      <c r="R115" t="s">
        <v>10667</v>
      </c>
      <c r="S115">
        <v>0</v>
      </c>
    </row>
    <row r="116" spans="1:19">
      <c r="A116" t="s">
        <v>24</v>
      </c>
      <c r="B116" t="s">
        <v>6429</v>
      </c>
      <c r="C116">
        <f>"1570501"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3</v>
      </c>
      <c r="K116">
        <v>14.57</v>
      </c>
      <c r="L116" s="2">
        <v>5</v>
      </c>
      <c r="M116">
        <v>0</v>
      </c>
      <c r="N116" s="2">
        <v>0</v>
      </c>
      <c r="O116">
        <v>-3.6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24</v>
      </c>
      <c r="B117" t="s">
        <v>2096</v>
      </c>
      <c r="C117">
        <f>"1113801"</f>
        <v>0</v>
      </c>
      <c r="D117">
        <v>3</v>
      </c>
      <c r="E117">
        <v>0</v>
      </c>
      <c r="F117">
        <v>0</v>
      </c>
      <c r="G117">
        <v>0</v>
      </c>
      <c r="H117">
        <v>3</v>
      </c>
      <c r="I117">
        <v>0</v>
      </c>
      <c r="J117">
        <v>3</v>
      </c>
      <c r="K117">
        <v>4.905</v>
      </c>
      <c r="L117" s="2">
        <v>2</v>
      </c>
      <c r="M117">
        <v>0</v>
      </c>
      <c r="N117" s="2">
        <v>0</v>
      </c>
      <c r="O117">
        <v>-3.6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24</v>
      </c>
      <c r="B118" t="s">
        <v>4447</v>
      </c>
      <c r="C118">
        <f>"1141061"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3</v>
      </c>
      <c r="K118">
        <v>46.65</v>
      </c>
      <c r="L118" s="2">
        <v>16</v>
      </c>
      <c r="M118">
        <v>0</v>
      </c>
      <c r="N118" s="2">
        <v>0</v>
      </c>
      <c r="O118">
        <v>-3.6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24</v>
      </c>
      <c r="B119" t="s">
        <v>2612</v>
      </c>
      <c r="C119">
        <f>"1160001"</f>
        <v>0</v>
      </c>
      <c r="D119">
        <v>1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3</v>
      </c>
      <c r="K119">
        <v>15.474</v>
      </c>
      <c r="L119" s="2">
        <v>5</v>
      </c>
      <c r="M119">
        <v>0</v>
      </c>
      <c r="N119" s="2">
        <v>0</v>
      </c>
      <c r="O119">
        <v>-3.6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24</v>
      </c>
      <c r="B120" t="s">
        <v>1838</v>
      </c>
      <c r="C120">
        <f>"1021073"</f>
        <v>0</v>
      </c>
      <c r="D120">
        <v>6</v>
      </c>
      <c r="E120">
        <v>2</v>
      </c>
      <c r="F120">
        <v>0</v>
      </c>
      <c r="G120">
        <v>0</v>
      </c>
      <c r="H120">
        <v>8</v>
      </c>
      <c r="I120">
        <v>1</v>
      </c>
      <c r="J120">
        <v>4</v>
      </c>
      <c r="K120">
        <v>14.027</v>
      </c>
      <c r="L120" s="2">
        <v>4</v>
      </c>
      <c r="M120">
        <v>0</v>
      </c>
      <c r="N120" s="2">
        <v>0</v>
      </c>
      <c r="O120">
        <v>-3.8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24</v>
      </c>
      <c r="B121" t="s">
        <v>6165</v>
      </c>
      <c r="C121">
        <f>"1376001"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4</v>
      </c>
      <c r="K121">
        <v>33.192</v>
      </c>
      <c r="L121" s="2">
        <v>8</v>
      </c>
      <c r="M121">
        <v>0</v>
      </c>
      <c r="N121" s="2">
        <v>0</v>
      </c>
      <c r="O121">
        <v>-4.8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24</v>
      </c>
      <c r="B122" t="s">
        <v>4414</v>
      </c>
      <c r="C122">
        <f>"1112901"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4</v>
      </c>
      <c r="K122">
        <v>22.881</v>
      </c>
      <c r="L122" s="2">
        <v>6</v>
      </c>
      <c r="M122">
        <v>0</v>
      </c>
      <c r="N122" s="2">
        <v>0</v>
      </c>
      <c r="O122">
        <v>-4.8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24</v>
      </c>
      <c r="B123" t="s">
        <v>2236</v>
      </c>
      <c r="C123">
        <f>"1113701"</f>
        <v>0</v>
      </c>
      <c r="D123">
        <v>0</v>
      </c>
      <c r="E123">
        <v>1</v>
      </c>
      <c r="F123">
        <v>1</v>
      </c>
      <c r="G123">
        <v>0</v>
      </c>
      <c r="H123">
        <v>2</v>
      </c>
      <c r="I123">
        <v>0.5</v>
      </c>
      <c r="J123">
        <v>5</v>
      </c>
      <c r="K123">
        <v>8.266999999999999</v>
      </c>
      <c r="L123" s="2">
        <v>2</v>
      </c>
      <c r="M123">
        <v>0</v>
      </c>
      <c r="N123" s="2">
        <v>0</v>
      </c>
      <c r="O123">
        <v>-5.5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24</v>
      </c>
      <c r="B124" t="s">
        <v>8723</v>
      </c>
      <c r="C124">
        <f>"1111701"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5</v>
      </c>
      <c r="K124">
        <v>19.92</v>
      </c>
      <c r="L124" s="2">
        <v>4</v>
      </c>
      <c r="M124">
        <v>0</v>
      </c>
      <c r="N124" s="2">
        <v>0</v>
      </c>
      <c r="O124">
        <v>-6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24</v>
      </c>
      <c r="B125" t="s">
        <v>2474</v>
      </c>
      <c r="C125">
        <f>"1569001"</f>
        <v>0</v>
      </c>
      <c r="D125">
        <v>0</v>
      </c>
      <c r="E125">
        <v>1</v>
      </c>
      <c r="F125">
        <v>0</v>
      </c>
      <c r="G125">
        <v>0</v>
      </c>
      <c r="H125">
        <v>1</v>
      </c>
      <c r="I125">
        <v>0</v>
      </c>
      <c r="J125">
        <v>5</v>
      </c>
      <c r="K125">
        <v>26.08</v>
      </c>
      <c r="L125" s="2">
        <v>5</v>
      </c>
      <c r="M125">
        <v>0</v>
      </c>
      <c r="N125" s="2">
        <v>0</v>
      </c>
      <c r="O125">
        <v>-6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24</v>
      </c>
      <c r="B126" t="s">
        <v>2724</v>
      </c>
      <c r="C126">
        <f>"1113621"</f>
        <v>0</v>
      </c>
      <c r="D126">
        <v>0</v>
      </c>
      <c r="E126">
        <v>0</v>
      </c>
      <c r="F126">
        <v>1</v>
      </c>
      <c r="G126">
        <v>0</v>
      </c>
      <c r="H126">
        <v>1</v>
      </c>
      <c r="I126">
        <v>0</v>
      </c>
      <c r="J126">
        <v>5</v>
      </c>
      <c r="K126">
        <v>19.71</v>
      </c>
      <c r="L126" s="2">
        <v>4</v>
      </c>
      <c r="M126">
        <v>0</v>
      </c>
      <c r="N126" s="2">
        <v>0</v>
      </c>
      <c r="O126">
        <v>-6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24</v>
      </c>
      <c r="B127" t="s">
        <v>1750</v>
      </c>
      <c r="C127">
        <f>"DPI205"</f>
        <v>0</v>
      </c>
      <c r="D127">
        <v>3</v>
      </c>
      <c r="E127">
        <v>6</v>
      </c>
      <c r="F127">
        <v>4</v>
      </c>
      <c r="G127">
        <v>0</v>
      </c>
      <c r="H127">
        <v>13</v>
      </c>
      <c r="I127">
        <v>3.5</v>
      </c>
      <c r="J127">
        <v>9</v>
      </c>
      <c r="K127">
        <v>66.351</v>
      </c>
      <c r="L127" s="2">
        <v>7</v>
      </c>
      <c r="M127">
        <v>0</v>
      </c>
      <c r="N127" s="2">
        <v>0</v>
      </c>
      <c r="O127">
        <v>-7.299999999999999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24</v>
      </c>
      <c r="B128" t="s">
        <v>1999</v>
      </c>
      <c r="C128">
        <f>"1142001"</f>
        <v>0</v>
      </c>
      <c r="D128">
        <v>1</v>
      </c>
      <c r="E128">
        <v>2</v>
      </c>
      <c r="F128">
        <v>1</v>
      </c>
      <c r="G128">
        <v>0</v>
      </c>
      <c r="H128">
        <v>4</v>
      </c>
      <c r="I128">
        <v>1</v>
      </c>
      <c r="J128">
        <v>7</v>
      </c>
      <c r="K128">
        <v>37.877</v>
      </c>
      <c r="L128" s="2">
        <v>5</v>
      </c>
      <c r="M128">
        <v>0</v>
      </c>
      <c r="N128" s="2">
        <v>0</v>
      </c>
      <c r="O128">
        <v>-7.4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24</v>
      </c>
      <c r="B129" t="s">
        <v>2140</v>
      </c>
      <c r="C129">
        <f>"1110161"</f>
        <v>0</v>
      </c>
      <c r="D129">
        <v>2</v>
      </c>
      <c r="E129">
        <v>1</v>
      </c>
      <c r="F129">
        <v>0</v>
      </c>
      <c r="G129">
        <v>0</v>
      </c>
      <c r="H129">
        <v>3</v>
      </c>
      <c r="I129">
        <v>0.5</v>
      </c>
      <c r="J129">
        <v>7</v>
      </c>
      <c r="K129">
        <v>15.787</v>
      </c>
      <c r="L129" s="2">
        <v>2</v>
      </c>
      <c r="M129">
        <v>0</v>
      </c>
      <c r="N129" s="2">
        <v>0</v>
      </c>
      <c r="O129">
        <v>-7.9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24</v>
      </c>
      <c r="B130" t="s">
        <v>2090</v>
      </c>
      <c r="C130">
        <f>"1520001"</f>
        <v>0</v>
      </c>
      <c r="D130">
        <v>1</v>
      </c>
      <c r="E130">
        <v>2</v>
      </c>
      <c r="F130">
        <v>0</v>
      </c>
      <c r="G130">
        <v>0</v>
      </c>
      <c r="H130">
        <v>3</v>
      </c>
      <c r="I130">
        <v>0.5</v>
      </c>
      <c r="J130">
        <v>7</v>
      </c>
      <c r="K130">
        <v>11.645</v>
      </c>
      <c r="L130" s="2">
        <v>2</v>
      </c>
      <c r="M130">
        <v>0</v>
      </c>
      <c r="N130" s="2">
        <v>0</v>
      </c>
      <c r="O130">
        <v>-7.9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24</v>
      </c>
      <c r="B131" t="s">
        <v>1736</v>
      </c>
      <c r="C131">
        <f>"CC1110201"</f>
        <v>0</v>
      </c>
      <c r="D131">
        <v>11</v>
      </c>
      <c r="E131">
        <v>3</v>
      </c>
      <c r="F131">
        <v>0</v>
      </c>
      <c r="G131">
        <v>0</v>
      </c>
      <c r="H131">
        <v>14</v>
      </c>
      <c r="I131">
        <v>1.5</v>
      </c>
      <c r="J131">
        <v>8</v>
      </c>
      <c r="K131">
        <v>20.004</v>
      </c>
      <c r="L131" s="2">
        <v>3</v>
      </c>
      <c r="M131">
        <v>0</v>
      </c>
      <c r="N131" s="2">
        <v>0</v>
      </c>
      <c r="O131">
        <v>-8.1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24</v>
      </c>
      <c r="B132" t="s">
        <v>2726</v>
      </c>
      <c r="C132">
        <f>"1133001"</f>
        <v>0</v>
      </c>
      <c r="D132">
        <v>0</v>
      </c>
      <c r="E132">
        <v>0</v>
      </c>
      <c r="F132">
        <v>1</v>
      </c>
      <c r="G132">
        <v>0</v>
      </c>
      <c r="H132">
        <v>1</v>
      </c>
      <c r="I132">
        <v>0</v>
      </c>
      <c r="J132">
        <v>7</v>
      </c>
      <c r="K132">
        <v>34.024</v>
      </c>
      <c r="L132" s="2">
        <v>5</v>
      </c>
      <c r="M132">
        <v>0</v>
      </c>
      <c r="N132" s="2">
        <v>0</v>
      </c>
      <c r="O132">
        <v>-8.4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24</v>
      </c>
      <c r="B133" t="s">
        <v>1751</v>
      </c>
      <c r="C133">
        <f>"1112222"</f>
        <v>0</v>
      </c>
      <c r="D133">
        <v>12</v>
      </c>
      <c r="E133">
        <v>1</v>
      </c>
      <c r="F133">
        <v>0</v>
      </c>
      <c r="G133">
        <v>0</v>
      </c>
      <c r="H133">
        <v>13</v>
      </c>
      <c r="I133">
        <v>0.5</v>
      </c>
      <c r="J133">
        <v>9</v>
      </c>
      <c r="K133">
        <v>42.553</v>
      </c>
      <c r="L133" s="2">
        <v>5</v>
      </c>
      <c r="M133">
        <v>0</v>
      </c>
      <c r="N133" s="2">
        <v>0</v>
      </c>
      <c r="O133">
        <v>-10.3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24</v>
      </c>
      <c r="B134" t="s">
        <v>6414</v>
      </c>
      <c r="C134">
        <f>"1565001"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9</v>
      </c>
      <c r="K134">
        <v>31.07</v>
      </c>
      <c r="L134" s="2">
        <v>3</v>
      </c>
      <c r="M134">
        <v>0</v>
      </c>
      <c r="N134" s="2">
        <v>0</v>
      </c>
      <c r="O134">
        <v>-10.8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24</v>
      </c>
      <c r="B135" t="s">
        <v>7687</v>
      </c>
      <c r="C135">
        <f>"1110181"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9</v>
      </c>
      <c r="K135">
        <v>22.012</v>
      </c>
      <c r="L135" s="2">
        <v>2</v>
      </c>
      <c r="M135">
        <v>0</v>
      </c>
      <c r="N135" s="2">
        <v>0</v>
      </c>
      <c r="O135">
        <v>-10.8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24</v>
      </c>
      <c r="B136" t="s">
        <v>1531</v>
      </c>
      <c r="C136">
        <f>"7800006005091"</f>
        <v>0</v>
      </c>
      <c r="D136">
        <v>21</v>
      </c>
      <c r="E136">
        <v>28</v>
      </c>
      <c r="F136">
        <v>6</v>
      </c>
      <c r="G136">
        <v>11</v>
      </c>
      <c r="H136">
        <v>66</v>
      </c>
      <c r="I136">
        <v>16</v>
      </c>
      <c r="J136">
        <v>44</v>
      </c>
      <c r="K136">
        <v>111.606</v>
      </c>
      <c r="L136" s="2">
        <v>3</v>
      </c>
      <c r="M136">
        <v>0</v>
      </c>
      <c r="N136" s="2">
        <v>0</v>
      </c>
      <c r="O136">
        <v>-11.8</v>
      </c>
      <c r="P136" t="s">
        <v>10621</v>
      </c>
      <c r="Q136">
        <v>2.51</v>
      </c>
      <c r="R136" t="s">
        <v>10526</v>
      </c>
      <c r="S136">
        <v>1</v>
      </c>
    </row>
    <row r="137" spans="1:19">
      <c r="A137" t="s">
        <v>24</v>
      </c>
      <c r="B137" t="s">
        <v>1626</v>
      </c>
      <c r="C137">
        <f>"1111101"</f>
        <v>0</v>
      </c>
      <c r="D137">
        <v>7</v>
      </c>
      <c r="E137">
        <v>2</v>
      </c>
      <c r="F137">
        <v>3</v>
      </c>
      <c r="G137">
        <v>18</v>
      </c>
      <c r="H137">
        <v>30</v>
      </c>
      <c r="I137">
        <v>5</v>
      </c>
      <c r="J137">
        <v>47</v>
      </c>
      <c r="K137">
        <v>92.599</v>
      </c>
      <c r="L137" s="2">
        <v>2</v>
      </c>
      <c r="M137">
        <v>0</v>
      </c>
      <c r="N137" s="2">
        <v>0</v>
      </c>
      <c r="O137">
        <v>-12.4</v>
      </c>
      <c r="P137" t="s">
        <v>10622</v>
      </c>
      <c r="Q137">
        <v>7.483</v>
      </c>
      <c r="R137" t="s">
        <v>10668</v>
      </c>
      <c r="S137">
        <v>1</v>
      </c>
    </row>
    <row r="138" spans="1:19">
      <c r="A138" t="s">
        <v>24</v>
      </c>
      <c r="B138" t="s">
        <v>2169</v>
      </c>
      <c r="C138">
        <f>"1015852"</f>
        <v>0</v>
      </c>
      <c r="D138">
        <v>1</v>
      </c>
      <c r="E138">
        <v>1</v>
      </c>
      <c r="F138">
        <v>0</v>
      </c>
      <c r="G138">
        <v>0</v>
      </c>
      <c r="H138">
        <v>2</v>
      </c>
      <c r="I138">
        <v>0.5</v>
      </c>
      <c r="J138">
        <v>11</v>
      </c>
      <c r="K138">
        <v>47.53</v>
      </c>
      <c r="L138" s="2">
        <v>4</v>
      </c>
      <c r="M138">
        <v>0</v>
      </c>
      <c r="N138" s="2">
        <v>0</v>
      </c>
      <c r="O138">
        <v>-12.7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24</v>
      </c>
      <c r="B139" t="s">
        <v>2682</v>
      </c>
      <c r="C139">
        <f>"1112291"</f>
        <v>0</v>
      </c>
      <c r="D139">
        <v>1</v>
      </c>
      <c r="E139">
        <v>0</v>
      </c>
      <c r="F139">
        <v>0</v>
      </c>
      <c r="G139">
        <v>0</v>
      </c>
      <c r="H139">
        <v>1</v>
      </c>
      <c r="I139">
        <v>0</v>
      </c>
      <c r="J139">
        <v>11</v>
      </c>
      <c r="K139">
        <v>44.325</v>
      </c>
      <c r="L139" s="2">
        <v>4</v>
      </c>
      <c r="M139">
        <v>0</v>
      </c>
      <c r="N139" s="2">
        <v>0</v>
      </c>
      <c r="O139">
        <v>-13.2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24</v>
      </c>
      <c r="B140" t="s">
        <v>1823</v>
      </c>
      <c r="C140">
        <f>"DPI076"</f>
        <v>0</v>
      </c>
      <c r="D140">
        <v>6</v>
      </c>
      <c r="E140">
        <v>0</v>
      </c>
      <c r="F140">
        <v>0</v>
      </c>
      <c r="G140">
        <v>2</v>
      </c>
      <c r="H140">
        <v>8</v>
      </c>
      <c r="I140">
        <v>1</v>
      </c>
      <c r="J140">
        <v>18</v>
      </c>
      <c r="K140">
        <v>98.161</v>
      </c>
      <c r="L140" s="2">
        <v>5</v>
      </c>
      <c r="M140">
        <v>0</v>
      </c>
      <c r="N140" s="2">
        <v>0</v>
      </c>
      <c r="O140">
        <v>-13.6</v>
      </c>
      <c r="P140" t="s">
        <v>10623</v>
      </c>
      <c r="Q140">
        <v>2.585</v>
      </c>
      <c r="R140" t="s">
        <v>10669</v>
      </c>
      <c r="S140">
        <v>1</v>
      </c>
    </row>
    <row r="141" spans="1:19">
      <c r="A141" t="s">
        <v>24</v>
      </c>
      <c r="B141" t="s">
        <v>7697</v>
      </c>
      <c r="C141">
        <f>"1510001"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12</v>
      </c>
      <c r="K141">
        <v>60.092</v>
      </c>
      <c r="L141" s="2">
        <v>5</v>
      </c>
      <c r="M141">
        <v>0</v>
      </c>
      <c r="N141" s="2">
        <v>0</v>
      </c>
      <c r="O141">
        <v>-14.4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24</v>
      </c>
      <c r="B142" t="s">
        <v>352</v>
      </c>
      <c r="C142">
        <f>"1111072"</f>
        <v>0</v>
      </c>
      <c r="D142">
        <v>1</v>
      </c>
      <c r="E142">
        <v>15</v>
      </c>
      <c r="F142">
        <v>83</v>
      </c>
      <c r="G142">
        <v>38</v>
      </c>
      <c r="H142">
        <v>137</v>
      </c>
      <c r="I142">
        <v>26.5</v>
      </c>
      <c r="J142">
        <v>99</v>
      </c>
      <c r="K142">
        <v>49.223</v>
      </c>
      <c r="L142" s="2">
        <v>0</v>
      </c>
      <c r="M142">
        <v>0</v>
      </c>
      <c r="N142" s="2">
        <v>0</v>
      </c>
      <c r="O142">
        <v>-16.3</v>
      </c>
      <c r="P142" t="s">
        <v>10624</v>
      </c>
      <c r="Q142">
        <v>11.089</v>
      </c>
      <c r="R142" t="s">
        <v>10670</v>
      </c>
      <c r="S142">
        <v>0</v>
      </c>
    </row>
    <row r="143" spans="1:19">
      <c r="A143" t="s">
        <v>24</v>
      </c>
      <c r="B143" t="s">
        <v>1720</v>
      </c>
      <c r="C143">
        <f>"1010234"</f>
        <v>0</v>
      </c>
      <c r="D143">
        <v>4</v>
      </c>
      <c r="E143">
        <v>7</v>
      </c>
      <c r="F143">
        <v>2</v>
      </c>
      <c r="G143">
        <v>3</v>
      </c>
      <c r="H143">
        <v>16</v>
      </c>
      <c r="I143">
        <v>3.5</v>
      </c>
      <c r="J143">
        <v>25</v>
      </c>
      <c r="K143">
        <v>65.59999999999999</v>
      </c>
      <c r="L143" s="2">
        <v>3</v>
      </c>
      <c r="M143">
        <v>0</v>
      </c>
      <c r="N143" s="2">
        <v>0</v>
      </c>
      <c r="O143">
        <v>-17.5</v>
      </c>
      <c r="P143" t="s">
        <v>10625</v>
      </c>
      <c r="Q143">
        <v>1.431</v>
      </c>
      <c r="R143" t="s">
        <v>10671</v>
      </c>
      <c r="S143">
        <v>1</v>
      </c>
    </row>
    <row r="144" spans="1:19">
      <c r="A144" t="s">
        <v>24</v>
      </c>
      <c r="B144" t="s">
        <v>1973</v>
      </c>
      <c r="C144">
        <f>"DPI075"</f>
        <v>0</v>
      </c>
      <c r="D144">
        <v>2</v>
      </c>
      <c r="E144">
        <v>1</v>
      </c>
      <c r="F144">
        <v>1</v>
      </c>
      <c r="G144">
        <v>0</v>
      </c>
      <c r="H144">
        <v>4</v>
      </c>
      <c r="I144">
        <v>1</v>
      </c>
      <c r="J144">
        <v>16</v>
      </c>
      <c r="K144">
        <v>67.17100000000001</v>
      </c>
      <c r="L144" s="2">
        <v>4</v>
      </c>
      <c r="M144">
        <v>0</v>
      </c>
      <c r="N144" s="2">
        <v>0</v>
      </c>
      <c r="O144">
        <v>-18.2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24</v>
      </c>
      <c r="B145" t="s">
        <v>9448</v>
      </c>
      <c r="C145">
        <f>"60142"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18</v>
      </c>
      <c r="K145">
        <v>247.32</v>
      </c>
      <c r="L145" s="2">
        <v>14</v>
      </c>
      <c r="M145">
        <v>0</v>
      </c>
      <c r="N145" s="2">
        <v>0</v>
      </c>
      <c r="O145">
        <v>-21.6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24</v>
      </c>
      <c r="B146" t="s">
        <v>267</v>
      </c>
      <c r="C146">
        <f>"1112442"</f>
        <v>0</v>
      </c>
      <c r="D146">
        <v>11</v>
      </c>
      <c r="E146">
        <v>1</v>
      </c>
      <c r="F146">
        <v>25</v>
      </c>
      <c r="G146">
        <v>1</v>
      </c>
      <c r="H146">
        <v>38</v>
      </c>
      <c r="I146">
        <v>6</v>
      </c>
      <c r="J146">
        <v>25</v>
      </c>
      <c r="K146">
        <v>34.865</v>
      </c>
      <c r="L146" s="2">
        <v>1</v>
      </c>
      <c r="M146">
        <v>0</v>
      </c>
      <c r="N146" s="2">
        <v>0</v>
      </c>
      <c r="O146">
        <v>-22</v>
      </c>
      <c r="P146" t="s">
        <v>10626</v>
      </c>
      <c r="Q146">
        <v>697</v>
      </c>
      <c r="R146" t="s">
        <v>10672</v>
      </c>
      <c r="S146">
        <v>0</v>
      </c>
    </row>
    <row r="147" spans="1:19">
      <c r="A147" t="s">
        <v>24</v>
      </c>
      <c r="B147" t="s">
        <v>1797</v>
      </c>
      <c r="C147">
        <f>"6251756"</f>
        <v>0</v>
      </c>
      <c r="D147">
        <v>0</v>
      </c>
      <c r="E147">
        <v>0</v>
      </c>
      <c r="F147">
        <v>10</v>
      </c>
      <c r="G147">
        <v>0</v>
      </c>
      <c r="H147">
        <v>10</v>
      </c>
      <c r="I147">
        <v>0</v>
      </c>
      <c r="J147">
        <v>20</v>
      </c>
      <c r="K147">
        <v>211.626</v>
      </c>
      <c r="L147" s="2">
        <v>11</v>
      </c>
      <c r="M147">
        <v>0</v>
      </c>
      <c r="N147" s="2">
        <v>0</v>
      </c>
      <c r="O147">
        <v>-24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24</v>
      </c>
      <c r="B148" t="s">
        <v>2194</v>
      </c>
      <c r="C148">
        <f>"1010237"</f>
        <v>0</v>
      </c>
      <c r="D148">
        <v>1</v>
      </c>
      <c r="E148">
        <v>1</v>
      </c>
      <c r="F148">
        <v>0</v>
      </c>
      <c r="G148">
        <v>0</v>
      </c>
      <c r="H148">
        <v>2</v>
      </c>
      <c r="I148">
        <v>0.5</v>
      </c>
      <c r="J148">
        <v>30</v>
      </c>
      <c r="K148">
        <v>59.85</v>
      </c>
      <c r="L148" s="2">
        <v>2</v>
      </c>
      <c r="M148">
        <v>0</v>
      </c>
      <c r="N148" s="2">
        <v>0</v>
      </c>
      <c r="O148">
        <v>-35.5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24</v>
      </c>
      <c r="B149" t="s">
        <v>6193</v>
      </c>
      <c r="C149">
        <f>"1113581"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30</v>
      </c>
      <c r="K149">
        <v>13.497</v>
      </c>
      <c r="L149" s="2">
        <v>0</v>
      </c>
      <c r="M149">
        <v>0</v>
      </c>
      <c r="N149" s="2">
        <v>0</v>
      </c>
      <c r="O149">
        <v>-36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24</v>
      </c>
      <c r="B150" t="s">
        <v>337</v>
      </c>
      <c r="C150">
        <f>"1006177"</f>
        <v>0</v>
      </c>
      <c r="D150">
        <v>17</v>
      </c>
      <c r="E150">
        <v>18</v>
      </c>
      <c r="F150">
        <v>2</v>
      </c>
      <c r="G150">
        <v>2</v>
      </c>
      <c r="H150">
        <v>39</v>
      </c>
      <c r="I150">
        <v>9.5</v>
      </c>
      <c r="J150">
        <v>42</v>
      </c>
      <c r="K150">
        <v>34.86</v>
      </c>
      <c r="L150" s="2">
        <v>1</v>
      </c>
      <c r="M150">
        <v>0</v>
      </c>
      <c r="N150" s="2">
        <v>0</v>
      </c>
      <c r="O150">
        <v>-36.9</v>
      </c>
      <c r="P150" t="s">
        <v>10627</v>
      </c>
      <c r="Q150">
        <v>440</v>
      </c>
      <c r="R150" t="s">
        <v>10355</v>
      </c>
      <c r="S150">
        <v>0</v>
      </c>
    </row>
    <row r="151" spans="1:19">
      <c r="A151" t="s">
        <v>24</v>
      </c>
      <c r="B151" t="s">
        <v>9301</v>
      </c>
      <c r="C151">
        <f>"1010235"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31</v>
      </c>
      <c r="K151">
        <v>112.995</v>
      </c>
      <c r="L151" s="2">
        <v>4</v>
      </c>
      <c r="M151">
        <v>0</v>
      </c>
      <c r="N151" s="2">
        <v>0</v>
      </c>
      <c r="O151">
        <v>-37.2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24</v>
      </c>
      <c r="B152" t="s">
        <v>6194</v>
      </c>
      <c r="C152">
        <f>"1113561"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50</v>
      </c>
      <c r="K152">
        <v>18.683</v>
      </c>
      <c r="L152" s="2">
        <v>0</v>
      </c>
      <c r="M152">
        <v>0</v>
      </c>
      <c r="N152" s="2">
        <v>0</v>
      </c>
      <c r="O152">
        <v>-60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24</v>
      </c>
      <c r="B153" t="s">
        <v>2674</v>
      </c>
      <c r="C153">
        <f>"8016061"</f>
        <v>0</v>
      </c>
      <c r="D153">
        <v>1</v>
      </c>
      <c r="E153">
        <v>0</v>
      </c>
      <c r="F153">
        <v>0</v>
      </c>
      <c r="G153">
        <v>0</v>
      </c>
      <c r="H153">
        <v>1</v>
      </c>
      <c r="I153">
        <v>0</v>
      </c>
      <c r="J153">
        <v>59</v>
      </c>
      <c r="K153">
        <v>0</v>
      </c>
      <c r="L153" s="2">
        <v>0</v>
      </c>
      <c r="M153">
        <v>0</v>
      </c>
      <c r="N153" s="2">
        <v>0</v>
      </c>
      <c r="O153">
        <v>-70.8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24</v>
      </c>
      <c r="B154" t="s">
        <v>6195</v>
      </c>
      <c r="C154">
        <f>"1113521"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80</v>
      </c>
      <c r="K154">
        <v>30.082</v>
      </c>
      <c r="L154" s="2">
        <v>0</v>
      </c>
      <c r="M154">
        <v>0</v>
      </c>
      <c r="N154" s="2">
        <v>0</v>
      </c>
      <c r="O154">
        <v>-96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24</v>
      </c>
      <c r="B155" t="s">
        <v>5406</v>
      </c>
      <c r="C155">
        <f>"8016060"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113</v>
      </c>
      <c r="K155">
        <v>0</v>
      </c>
      <c r="L155" s="2">
        <v>0</v>
      </c>
      <c r="M155">
        <v>0</v>
      </c>
      <c r="N155" s="2">
        <v>0</v>
      </c>
      <c r="O155">
        <v>-135.6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24</v>
      </c>
      <c r="B156" t="s">
        <v>602</v>
      </c>
      <c r="C156">
        <f>"INV"</f>
        <v>0</v>
      </c>
      <c r="D156">
        <v>10</v>
      </c>
      <c r="E156">
        <v>7</v>
      </c>
      <c r="F156">
        <v>3</v>
      </c>
      <c r="G156">
        <v>1</v>
      </c>
      <c r="H156">
        <v>21</v>
      </c>
      <c r="I156">
        <v>5</v>
      </c>
      <c r="J156">
        <v>131</v>
      </c>
      <c r="K156">
        <v>106.808</v>
      </c>
      <c r="L156" s="2">
        <v>1</v>
      </c>
      <c r="M156">
        <v>0</v>
      </c>
      <c r="N156" s="2">
        <v>0</v>
      </c>
      <c r="O156">
        <v>-150.2</v>
      </c>
      <c r="P156" t="s">
        <v>10628</v>
      </c>
      <c r="Q156">
        <v>234</v>
      </c>
      <c r="R156" t="s">
        <v>10673</v>
      </c>
      <c r="S156">
        <v>0</v>
      </c>
    </row>
    <row r="157" spans="1:19">
      <c r="A157" t="s">
        <v>24</v>
      </c>
      <c r="B157" t="s">
        <v>1799</v>
      </c>
      <c r="C157">
        <f>"1113541"</f>
        <v>0</v>
      </c>
      <c r="D157">
        <v>0</v>
      </c>
      <c r="E157">
        <v>10</v>
      </c>
      <c r="F157">
        <v>0</v>
      </c>
      <c r="G157">
        <v>0</v>
      </c>
      <c r="H157">
        <v>10</v>
      </c>
      <c r="I157">
        <v>0</v>
      </c>
      <c r="J157">
        <v>290</v>
      </c>
      <c r="K157">
        <v>91.19499999999999</v>
      </c>
      <c r="L157" s="2">
        <v>0</v>
      </c>
      <c r="M157">
        <v>0</v>
      </c>
      <c r="N157" s="2">
        <v>0</v>
      </c>
      <c r="O157">
        <v>-348</v>
      </c>
      <c r="P157" t="s">
        <v>100</v>
      </c>
      <c r="Q157">
        <v>0</v>
      </c>
      <c r="R157" t="s">
        <v>145</v>
      </c>
      <c r="S157">
        <v>0</v>
      </c>
    </row>
  </sheetData>
  <autoFilter ref="A2:S157"/>
  <hyperlinks>
    <hyperlink ref="A1" location="'ÍNDICE'!A1" display="⬅ Volver al 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5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24</v>
      </c>
      <c r="B3" t="s">
        <v>42</v>
      </c>
      <c r="C3">
        <f>"1007257"</f>
        <v>0</v>
      </c>
      <c r="D3">
        <v>201</v>
      </c>
      <c r="E3">
        <v>83</v>
      </c>
      <c r="F3">
        <v>336</v>
      </c>
      <c r="G3">
        <v>158</v>
      </c>
      <c r="H3">
        <v>778</v>
      </c>
      <c r="I3">
        <v>179.5</v>
      </c>
      <c r="J3">
        <v>151</v>
      </c>
      <c r="K3">
        <v>103.051</v>
      </c>
      <c r="L3" s="2">
        <v>1</v>
      </c>
      <c r="M3">
        <v>108</v>
      </c>
      <c r="N3" s="2">
        <v>108</v>
      </c>
      <c r="O3">
        <v>314.3</v>
      </c>
      <c r="P3" t="s">
        <v>92</v>
      </c>
      <c r="Q3">
        <v>7.527</v>
      </c>
      <c r="R3" t="s">
        <v>138</v>
      </c>
      <c r="S3">
        <v>0</v>
      </c>
    </row>
    <row r="4" spans="1:19">
      <c r="A4" t="s">
        <v>25</v>
      </c>
      <c r="B4" t="s">
        <v>43</v>
      </c>
      <c r="C4">
        <f>"HENO1K"</f>
        <v>0</v>
      </c>
      <c r="D4">
        <v>190</v>
      </c>
      <c r="E4">
        <v>350</v>
      </c>
      <c r="F4">
        <v>300</v>
      </c>
      <c r="G4">
        <v>0</v>
      </c>
      <c r="H4">
        <v>840</v>
      </c>
      <c r="I4">
        <v>245</v>
      </c>
      <c r="J4">
        <v>0</v>
      </c>
      <c r="K4">
        <v>0</v>
      </c>
      <c r="L4" s="2">
        <v>0</v>
      </c>
      <c r="M4">
        <v>245</v>
      </c>
      <c r="N4" s="2">
        <v>0</v>
      </c>
      <c r="O4">
        <v>245</v>
      </c>
      <c r="P4" t="s">
        <v>93</v>
      </c>
      <c r="Q4">
        <v>-1.899</v>
      </c>
      <c r="R4" t="s">
        <v>139</v>
      </c>
      <c r="S4">
        <v>0</v>
      </c>
    </row>
    <row r="5" spans="1:19">
      <c r="A5" t="s">
        <v>26</v>
      </c>
      <c r="B5" t="s">
        <v>44</v>
      </c>
      <c r="C5">
        <f>"NG10KG"</f>
        <v>0</v>
      </c>
      <c r="D5">
        <v>194</v>
      </c>
      <c r="E5">
        <v>58</v>
      </c>
      <c r="F5">
        <v>115</v>
      </c>
      <c r="G5">
        <v>80</v>
      </c>
      <c r="H5">
        <v>447</v>
      </c>
      <c r="I5">
        <v>97.5</v>
      </c>
      <c r="J5">
        <v>24</v>
      </c>
      <c r="K5">
        <v>376.896</v>
      </c>
      <c r="L5" s="2">
        <v>16</v>
      </c>
      <c r="M5">
        <v>114</v>
      </c>
      <c r="N5" s="2">
        <v>1824</v>
      </c>
      <c r="O5">
        <v>228.7</v>
      </c>
      <c r="P5" t="s">
        <v>94</v>
      </c>
      <c r="Q5">
        <v>423.68</v>
      </c>
      <c r="R5" t="s">
        <v>140</v>
      </c>
      <c r="S5">
        <v>0</v>
      </c>
    </row>
    <row r="6" spans="1:19">
      <c r="A6" t="s">
        <v>27</v>
      </c>
      <c r="B6" t="s">
        <v>45</v>
      </c>
      <c r="C6">
        <f>"V100970"</f>
        <v>0</v>
      </c>
      <c r="D6">
        <v>31</v>
      </c>
      <c r="E6">
        <v>64</v>
      </c>
      <c r="F6">
        <v>43</v>
      </c>
      <c r="G6">
        <v>48</v>
      </c>
      <c r="H6">
        <v>186</v>
      </c>
      <c r="I6">
        <v>45.5</v>
      </c>
      <c r="J6">
        <v>1</v>
      </c>
      <c r="K6">
        <v>1.67</v>
      </c>
      <c r="L6" s="2">
        <v>2</v>
      </c>
      <c r="M6">
        <v>68</v>
      </c>
      <c r="N6" s="2">
        <v>136</v>
      </c>
      <c r="O6">
        <v>143.3</v>
      </c>
      <c r="P6" t="s">
        <v>95</v>
      </c>
      <c r="Q6">
        <v>11.279</v>
      </c>
      <c r="R6" t="s">
        <v>141</v>
      </c>
      <c r="S6">
        <v>1</v>
      </c>
    </row>
    <row r="7" spans="1:19">
      <c r="A7" t="s">
        <v>28</v>
      </c>
      <c r="B7" t="s">
        <v>46</v>
      </c>
      <c r="C7">
        <f>"EC20OR"</f>
        <v>0</v>
      </c>
      <c r="D7">
        <v>52</v>
      </c>
      <c r="E7">
        <v>25</v>
      </c>
      <c r="F7">
        <v>41</v>
      </c>
      <c r="G7">
        <v>41</v>
      </c>
      <c r="H7">
        <v>159</v>
      </c>
      <c r="I7">
        <v>41</v>
      </c>
      <c r="J7">
        <v>2</v>
      </c>
      <c r="K7">
        <v>15</v>
      </c>
      <c r="L7" s="2">
        <v>8</v>
      </c>
      <c r="M7">
        <v>60</v>
      </c>
      <c r="N7" s="2">
        <v>480</v>
      </c>
      <c r="O7">
        <v>120.6</v>
      </c>
      <c r="P7" t="s">
        <v>96</v>
      </c>
      <c r="Q7">
        <v>122.835</v>
      </c>
      <c r="R7" t="s">
        <v>142</v>
      </c>
      <c r="S7">
        <v>0</v>
      </c>
    </row>
    <row r="8" spans="1:19">
      <c r="A8" t="s">
        <v>28</v>
      </c>
      <c r="B8" t="s">
        <v>47</v>
      </c>
      <c r="C8">
        <f>"EC20BB"</f>
        <v>0</v>
      </c>
      <c r="D8">
        <v>60</v>
      </c>
      <c r="E8">
        <v>27</v>
      </c>
      <c r="F8">
        <v>21</v>
      </c>
      <c r="G8">
        <v>37</v>
      </c>
      <c r="H8">
        <v>145</v>
      </c>
      <c r="I8">
        <v>32</v>
      </c>
      <c r="J8">
        <v>0</v>
      </c>
      <c r="K8">
        <v>0</v>
      </c>
      <c r="L8" s="2">
        <v>0</v>
      </c>
      <c r="M8">
        <v>50</v>
      </c>
      <c r="N8" s="2">
        <v>0</v>
      </c>
      <c r="O8">
        <v>109</v>
      </c>
      <c r="P8" t="s">
        <v>97</v>
      </c>
      <c r="Q8">
        <v>110.85</v>
      </c>
      <c r="R8" t="s">
        <v>142</v>
      </c>
      <c r="S8">
        <v>1</v>
      </c>
    </row>
    <row r="9" spans="1:19">
      <c r="A9" t="s">
        <v>28</v>
      </c>
      <c r="B9" t="s">
        <v>48</v>
      </c>
      <c r="C9">
        <f>"ECAL24KG"</f>
        <v>0</v>
      </c>
      <c r="D9">
        <v>39</v>
      </c>
      <c r="E9">
        <v>26</v>
      </c>
      <c r="F9">
        <v>25</v>
      </c>
      <c r="G9">
        <v>35</v>
      </c>
      <c r="H9">
        <v>125</v>
      </c>
      <c r="I9">
        <v>30.5</v>
      </c>
      <c r="J9">
        <v>0</v>
      </c>
      <c r="K9">
        <v>0</v>
      </c>
      <c r="L9" s="2">
        <v>0</v>
      </c>
      <c r="M9">
        <v>48</v>
      </c>
      <c r="N9" s="2">
        <v>0</v>
      </c>
      <c r="O9">
        <v>103.5</v>
      </c>
      <c r="P9" t="s">
        <v>98</v>
      </c>
      <c r="Q9">
        <v>134.672</v>
      </c>
      <c r="R9" t="s">
        <v>143</v>
      </c>
      <c r="S9">
        <v>1</v>
      </c>
    </row>
    <row r="10" spans="1:19">
      <c r="A10" t="s">
        <v>26</v>
      </c>
      <c r="B10" t="s">
        <v>49</v>
      </c>
      <c r="C10">
        <f>"NA20KG"</f>
        <v>0</v>
      </c>
      <c r="D10">
        <v>296</v>
      </c>
      <c r="E10">
        <v>59</v>
      </c>
      <c r="F10">
        <v>167</v>
      </c>
      <c r="G10">
        <v>54</v>
      </c>
      <c r="H10">
        <v>576</v>
      </c>
      <c r="I10">
        <v>113</v>
      </c>
      <c r="J10">
        <v>105</v>
      </c>
      <c r="K10">
        <v>0</v>
      </c>
      <c r="L10" s="2">
        <v>0</v>
      </c>
      <c r="M10">
        <v>35</v>
      </c>
      <c r="N10" s="2">
        <v>0</v>
      </c>
      <c r="O10">
        <v>95</v>
      </c>
      <c r="P10" t="s">
        <v>99</v>
      </c>
      <c r="Q10">
        <v>360.125</v>
      </c>
      <c r="R10" t="s">
        <v>144</v>
      </c>
      <c r="S10">
        <v>0</v>
      </c>
    </row>
    <row r="11" spans="1:19">
      <c r="A11" t="s">
        <v>29</v>
      </c>
      <c r="B11" t="s">
        <v>50</v>
      </c>
      <c r="C11">
        <f>"PTM"</f>
        <v>0</v>
      </c>
      <c r="D11">
        <v>100</v>
      </c>
      <c r="E11">
        <v>130</v>
      </c>
      <c r="F11">
        <v>80</v>
      </c>
      <c r="G11">
        <v>0</v>
      </c>
      <c r="H11">
        <v>310</v>
      </c>
      <c r="I11">
        <v>90</v>
      </c>
      <c r="J11">
        <v>0</v>
      </c>
      <c r="K11">
        <v>0</v>
      </c>
      <c r="L11" s="2">
        <v>0</v>
      </c>
      <c r="M11">
        <v>90</v>
      </c>
      <c r="N11" s="2">
        <v>0</v>
      </c>
      <c r="O11">
        <v>90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28</v>
      </c>
      <c r="B12" t="s">
        <v>51</v>
      </c>
      <c r="C12">
        <f>"ECLA24KG"</f>
        <v>0</v>
      </c>
      <c r="D12">
        <v>43</v>
      </c>
      <c r="E12">
        <v>18</v>
      </c>
      <c r="F12">
        <v>31</v>
      </c>
      <c r="G12">
        <v>29</v>
      </c>
      <c r="H12">
        <v>121</v>
      </c>
      <c r="I12">
        <v>30</v>
      </c>
      <c r="J12">
        <v>0</v>
      </c>
      <c r="K12">
        <v>0</v>
      </c>
      <c r="L12" s="2">
        <v>0</v>
      </c>
      <c r="M12">
        <v>44</v>
      </c>
      <c r="N12" s="2">
        <v>0</v>
      </c>
      <c r="O12">
        <v>88</v>
      </c>
      <c r="P12" t="s">
        <v>101</v>
      </c>
      <c r="Q12">
        <v>111.649</v>
      </c>
      <c r="R12" t="s">
        <v>146</v>
      </c>
      <c r="S12">
        <v>0</v>
      </c>
    </row>
    <row r="13" spans="1:19">
      <c r="A13" t="s">
        <v>26</v>
      </c>
      <c r="B13" t="s">
        <v>52</v>
      </c>
      <c r="C13">
        <f>"NSRMG15"</f>
        <v>0</v>
      </c>
      <c r="D13">
        <v>41</v>
      </c>
      <c r="E13">
        <v>0</v>
      </c>
      <c r="F13">
        <v>18</v>
      </c>
      <c r="G13">
        <v>30</v>
      </c>
      <c r="H13">
        <v>89</v>
      </c>
      <c r="I13">
        <v>24</v>
      </c>
      <c r="J13">
        <v>0</v>
      </c>
      <c r="K13">
        <v>0</v>
      </c>
      <c r="L13" s="2">
        <v>0</v>
      </c>
      <c r="M13">
        <v>39</v>
      </c>
      <c r="N13" s="2">
        <v>0</v>
      </c>
      <c r="O13">
        <v>87</v>
      </c>
      <c r="P13" t="s">
        <v>102</v>
      </c>
      <c r="Q13">
        <v>122.017</v>
      </c>
      <c r="R13" t="s">
        <v>147</v>
      </c>
      <c r="S13">
        <v>1</v>
      </c>
    </row>
    <row r="14" spans="1:19">
      <c r="A14" t="s">
        <v>27</v>
      </c>
      <c r="B14" t="s">
        <v>53</v>
      </c>
      <c r="C14">
        <f>"V100971"</f>
        <v>0</v>
      </c>
      <c r="D14">
        <v>31</v>
      </c>
      <c r="E14">
        <v>50</v>
      </c>
      <c r="F14">
        <v>30</v>
      </c>
      <c r="G14">
        <v>38</v>
      </c>
      <c r="H14">
        <v>149</v>
      </c>
      <c r="I14">
        <v>34.5</v>
      </c>
      <c r="J14">
        <v>24</v>
      </c>
      <c r="K14">
        <v>30.227</v>
      </c>
      <c r="L14" s="2">
        <v>1</v>
      </c>
      <c r="M14">
        <v>30</v>
      </c>
      <c r="N14" s="2">
        <v>30</v>
      </c>
      <c r="O14">
        <v>84.7</v>
      </c>
      <c r="P14" t="s">
        <v>103</v>
      </c>
      <c r="Q14">
        <v>14.942</v>
      </c>
      <c r="R14" t="s">
        <v>148</v>
      </c>
      <c r="S14">
        <v>1</v>
      </c>
    </row>
    <row r="15" spans="1:19">
      <c r="A15" t="s">
        <v>30</v>
      </c>
      <c r="B15" t="s">
        <v>54</v>
      </c>
      <c r="C15">
        <f>"100146"</f>
        <v>0</v>
      </c>
      <c r="D15">
        <v>44</v>
      </c>
      <c r="E15">
        <v>14</v>
      </c>
      <c r="F15">
        <v>49</v>
      </c>
      <c r="G15">
        <v>21</v>
      </c>
      <c r="H15">
        <v>128</v>
      </c>
      <c r="I15">
        <v>32.5</v>
      </c>
      <c r="J15">
        <v>2</v>
      </c>
      <c r="K15">
        <v>91.294</v>
      </c>
      <c r="L15" s="2">
        <v>46</v>
      </c>
      <c r="M15">
        <v>41</v>
      </c>
      <c r="N15" s="2">
        <v>1886</v>
      </c>
      <c r="O15">
        <v>72.09999999999999</v>
      </c>
      <c r="P15" t="s">
        <v>104</v>
      </c>
      <c r="Q15">
        <v>188.288</v>
      </c>
      <c r="R15" t="s">
        <v>149</v>
      </c>
      <c r="S15">
        <v>0</v>
      </c>
    </row>
    <row r="16" spans="1:19">
      <c r="A16" t="s">
        <v>26</v>
      </c>
      <c r="B16" t="s">
        <v>55</v>
      </c>
      <c r="C16">
        <f>"NARP10KG"</f>
        <v>0</v>
      </c>
      <c r="D16">
        <v>61</v>
      </c>
      <c r="E16">
        <v>12</v>
      </c>
      <c r="F16">
        <v>42</v>
      </c>
      <c r="G16">
        <v>29</v>
      </c>
      <c r="H16">
        <v>144</v>
      </c>
      <c r="I16">
        <v>35.5</v>
      </c>
      <c r="J16">
        <v>21</v>
      </c>
      <c r="K16">
        <v>254.499</v>
      </c>
      <c r="L16" s="2">
        <v>12</v>
      </c>
      <c r="M16">
        <v>29</v>
      </c>
      <c r="N16" s="2">
        <v>348</v>
      </c>
      <c r="O16">
        <v>68.3</v>
      </c>
      <c r="P16" t="s">
        <v>105</v>
      </c>
      <c r="Q16">
        <v>86.959</v>
      </c>
      <c r="R16" t="s">
        <v>150</v>
      </c>
      <c r="S16">
        <v>0</v>
      </c>
    </row>
    <row r="17" spans="1:19">
      <c r="A17" t="s">
        <v>31</v>
      </c>
      <c r="B17" t="s">
        <v>56</v>
      </c>
      <c r="C17">
        <f>"183064"</f>
        <v>0</v>
      </c>
      <c r="D17">
        <v>27</v>
      </c>
      <c r="E17">
        <v>14</v>
      </c>
      <c r="F17">
        <v>41</v>
      </c>
      <c r="G17">
        <v>22</v>
      </c>
      <c r="H17">
        <v>104</v>
      </c>
      <c r="I17">
        <v>24.5</v>
      </c>
      <c r="J17">
        <v>3</v>
      </c>
      <c r="K17">
        <v>24.975</v>
      </c>
      <c r="L17" s="2">
        <v>8</v>
      </c>
      <c r="M17">
        <v>32</v>
      </c>
      <c r="N17" s="2">
        <v>256</v>
      </c>
      <c r="O17">
        <v>64.90000000000001</v>
      </c>
      <c r="P17" t="s">
        <v>106</v>
      </c>
      <c r="Q17">
        <v>39.114</v>
      </c>
      <c r="R17" t="s">
        <v>151</v>
      </c>
      <c r="S17">
        <v>0</v>
      </c>
    </row>
    <row r="18" spans="1:19">
      <c r="A18" t="s">
        <v>32</v>
      </c>
      <c r="B18" t="s">
        <v>57</v>
      </c>
      <c r="C18">
        <f>"AZM00301"</f>
        <v>0</v>
      </c>
      <c r="D18">
        <v>56</v>
      </c>
      <c r="E18">
        <v>42</v>
      </c>
      <c r="F18">
        <v>75</v>
      </c>
      <c r="G18">
        <v>26</v>
      </c>
      <c r="H18">
        <v>199</v>
      </c>
      <c r="I18">
        <v>49</v>
      </c>
      <c r="J18">
        <v>31</v>
      </c>
      <c r="K18">
        <v>47.178</v>
      </c>
      <c r="L18" s="2">
        <v>2</v>
      </c>
      <c r="M18">
        <v>31</v>
      </c>
      <c r="N18" s="2">
        <v>62</v>
      </c>
      <c r="O18">
        <v>63.8</v>
      </c>
      <c r="P18" t="s">
        <v>107</v>
      </c>
      <c r="Q18">
        <v>-2.565</v>
      </c>
      <c r="R18" t="s">
        <v>152</v>
      </c>
      <c r="S18">
        <v>0</v>
      </c>
    </row>
    <row r="19" spans="1:19">
      <c r="A19" t="s">
        <v>28</v>
      </c>
      <c r="B19" t="s">
        <v>58</v>
      </c>
      <c r="C19">
        <f>"EC20LA"</f>
        <v>0</v>
      </c>
      <c r="D19">
        <v>60</v>
      </c>
      <c r="E19">
        <v>46</v>
      </c>
      <c r="F19">
        <v>191</v>
      </c>
      <c r="G19">
        <v>30</v>
      </c>
      <c r="H19">
        <v>327</v>
      </c>
      <c r="I19">
        <v>53</v>
      </c>
      <c r="J19">
        <v>42</v>
      </c>
      <c r="K19">
        <v>315</v>
      </c>
      <c r="L19" s="2">
        <v>8</v>
      </c>
      <c r="M19">
        <v>26</v>
      </c>
      <c r="N19" s="2">
        <v>208</v>
      </c>
      <c r="O19">
        <v>62.6</v>
      </c>
      <c r="P19" t="s">
        <v>108</v>
      </c>
      <c r="Q19">
        <v>88.06399999999999</v>
      </c>
      <c r="R19" t="s">
        <v>153</v>
      </c>
      <c r="S19">
        <v>0</v>
      </c>
    </row>
    <row r="20" spans="1:19">
      <c r="A20" t="s">
        <v>24</v>
      </c>
      <c r="B20" t="s">
        <v>59</v>
      </c>
      <c r="C20">
        <f>"1010233"</f>
        <v>0</v>
      </c>
      <c r="D20">
        <v>152</v>
      </c>
      <c r="E20">
        <v>107</v>
      </c>
      <c r="F20">
        <v>6</v>
      </c>
      <c r="G20">
        <v>0</v>
      </c>
      <c r="H20">
        <v>265</v>
      </c>
      <c r="I20">
        <v>56.5</v>
      </c>
      <c r="J20">
        <v>0</v>
      </c>
      <c r="K20">
        <v>0</v>
      </c>
      <c r="L20" s="2">
        <v>0</v>
      </c>
      <c r="M20">
        <v>56</v>
      </c>
      <c r="N20" s="2">
        <v>0</v>
      </c>
      <c r="O20">
        <v>56.5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33</v>
      </c>
      <c r="B21" t="s">
        <v>60</v>
      </c>
      <c r="C21">
        <f>"TOPK92230"</f>
        <v>0</v>
      </c>
      <c r="D21">
        <v>0</v>
      </c>
      <c r="E21">
        <v>0</v>
      </c>
      <c r="F21">
        <v>0</v>
      </c>
      <c r="G21">
        <v>30</v>
      </c>
      <c r="H21">
        <v>30</v>
      </c>
      <c r="I21">
        <v>0</v>
      </c>
      <c r="J21">
        <v>8</v>
      </c>
      <c r="K21">
        <v>12.249</v>
      </c>
      <c r="L21" s="2">
        <v>2</v>
      </c>
      <c r="M21">
        <v>7</v>
      </c>
      <c r="N21" s="2">
        <v>14</v>
      </c>
      <c r="O21">
        <v>53.4</v>
      </c>
      <c r="P21" t="s">
        <v>109</v>
      </c>
      <c r="Q21">
        <v>1.713</v>
      </c>
      <c r="R21" t="s">
        <v>154</v>
      </c>
      <c r="S21">
        <v>1</v>
      </c>
    </row>
    <row r="22" spans="1:19">
      <c r="A22" t="s">
        <v>34</v>
      </c>
      <c r="B22" t="s">
        <v>61</v>
      </c>
      <c r="C22">
        <f>"14000098"</f>
        <v>0</v>
      </c>
      <c r="D22">
        <v>42</v>
      </c>
      <c r="E22">
        <v>34</v>
      </c>
      <c r="F22">
        <v>19</v>
      </c>
      <c r="G22">
        <v>14</v>
      </c>
      <c r="H22">
        <v>109</v>
      </c>
      <c r="I22">
        <v>26.5</v>
      </c>
      <c r="J22">
        <v>1</v>
      </c>
      <c r="K22">
        <v>43.09</v>
      </c>
      <c r="L22" s="2">
        <v>43</v>
      </c>
      <c r="M22">
        <v>32</v>
      </c>
      <c r="N22" s="2">
        <v>1376</v>
      </c>
      <c r="O22">
        <v>53.3</v>
      </c>
      <c r="P22" t="s">
        <v>110</v>
      </c>
      <c r="Q22">
        <v>101.442</v>
      </c>
      <c r="R22" t="s">
        <v>155</v>
      </c>
      <c r="S22">
        <v>0</v>
      </c>
    </row>
    <row r="23" spans="1:19">
      <c r="A23" t="s">
        <v>30</v>
      </c>
      <c r="B23" t="s">
        <v>62</v>
      </c>
      <c r="C23">
        <f>"100588"</f>
        <v>0</v>
      </c>
      <c r="D23">
        <v>20</v>
      </c>
      <c r="E23">
        <v>7</v>
      </c>
      <c r="F23">
        <v>20</v>
      </c>
      <c r="G23">
        <v>21</v>
      </c>
      <c r="H23">
        <v>68</v>
      </c>
      <c r="I23">
        <v>20</v>
      </c>
      <c r="J23">
        <v>10</v>
      </c>
      <c r="K23">
        <v>28.412</v>
      </c>
      <c r="L23" s="2">
        <v>3</v>
      </c>
      <c r="M23">
        <v>20</v>
      </c>
      <c r="N23" s="2">
        <v>60</v>
      </c>
      <c r="O23">
        <v>53</v>
      </c>
      <c r="P23" t="s">
        <v>111</v>
      </c>
      <c r="Q23">
        <v>7.722</v>
      </c>
      <c r="R23" t="s">
        <v>156</v>
      </c>
      <c r="S23">
        <v>1</v>
      </c>
    </row>
    <row r="24" spans="1:19">
      <c r="A24" t="s">
        <v>33</v>
      </c>
      <c r="B24" t="s">
        <v>63</v>
      </c>
      <c r="C24">
        <f>"TOPK92227"</f>
        <v>0</v>
      </c>
      <c r="D24">
        <v>0</v>
      </c>
      <c r="E24">
        <v>0</v>
      </c>
      <c r="F24">
        <v>0</v>
      </c>
      <c r="G24">
        <v>30</v>
      </c>
      <c r="H24">
        <v>30</v>
      </c>
      <c r="I24">
        <v>0</v>
      </c>
      <c r="J24">
        <v>10</v>
      </c>
      <c r="K24">
        <v>15.311</v>
      </c>
      <c r="L24" s="2">
        <v>2</v>
      </c>
      <c r="M24">
        <v>5</v>
      </c>
      <c r="N24" s="2">
        <v>10</v>
      </c>
      <c r="O24">
        <v>51</v>
      </c>
      <c r="P24" t="s">
        <v>109</v>
      </c>
      <c r="Q24">
        <v>1.716</v>
      </c>
      <c r="R24" t="s">
        <v>154</v>
      </c>
      <c r="S24">
        <v>1</v>
      </c>
    </row>
    <row r="25" spans="1:19">
      <c r="A25" t="s">
        <v>30</v>
      </c>
      <c r="B25" t="s">
        <v>64</v>
      </c>
      <c r="C25">
        <f>"100587"</f>
        <v>0</v>
      </c>
      <c r="D25">
        <v>10</v>
      </c>
      <c r="E25">
        <v>0</v>
      </c>
      <c r="F25">
        <v>30</v>
      </c>
      <c r="G25">
        <v>18</v>
      </c>
      <c r="H25">
        <v>58</v>
      </c>
      <c r="I25">
        <v>14</v>
      </c>
      <c r="J25">
        <v>2</v>
      </c>
      <c r="K25">
        <v>5.682</v>
      </c>
      <c r="L25" s="2">
        <v>3</v>
      </c>
      <c r="M25">
        <v>21</v>
      </c>
      <c r="N25" s="2">
        <v>63</v>
      </c>
      <c r="O25">
        <v>47.6</v>
      </c>
      <c r="P25" t="s">
        <v>112</v>
      </c>
      <c r="Q25">
        <v>-1.378</v>
      </c>
      <c r="R25" t="s">
        <v>157</v>
      </c>
      <c r="S25">
        <v>0</v>
      </c>
    </row>
    <row r="26" spans="1:19">
      <c r="A26" t="s">
        <v>24</v>
      </c>
      <c r="B26" t="s">
        <v>65</v>
      </c>
      <c r="C26">
        <f>"1165501"</f>
        <v>0</v>
      </c>
      <c r="D26">
        <v>11</v>
      </c>
      <c r="E26">
        <v>15</v>
      </c>
      <c r="F26">
        <v>4</v>
      </c>
      <c r="G26">
        <v>15</v>
      </c>
      <c r="H26">
        <v>45</v>
      </c>
      <c r="I26">
        <v>13</v>
      </c>
      <c r="J26">
        <v>0</v>
      </c>
      <c r="K26">
        <v>0</v>
      </c>
      <c r="L26" s="2">
        <v>0</v>
      </c>
      <c r="M26">
        <v>20</v>
      </c>
      <c r="N26" s="2">
        <v>0</v>
      </c>
      <c r="O26">
        <v>46</v>
      </c>
      <c r="P26" t="s">
        <v>113</v>
      </c>
      <c r="Q26">
        <v>28.125</v>
      </c>
      <c r="R26" t="s">
        <v>158</v>
      </c>
      <c r="S26">
        <v>1</v>
      </c>
    </row>
    <row r="27" spans="1:19">
      <c r="A27" t="s">
        <v>26</v>
      </c>
      <c r="B27" t="s">
        <v>66</v>
      </c>
      <c r="C27">
        <f>"NC10KG"</f>
        <v>0</v>
      </c>
      <c r="D27">
        <v>71</v>
      </c>
      <c r="E27">
        <v>67</v>
      </c>
      <c r="F27">
        <v>89</v>
      </c>
      <c r="G27">
        <v>17</v>
      </c>
      <c r="H27">
        <v>244</v>
      </c>
      <c r="I27">
        <v>69</v>
      </c>
      <c r="J27">
        <v>49</v>
      </c>
      <c r="K27">
        <v>665.665</v>
      </c>
      <c r="L27" s="2">
        <v>14</v>
      </c>
      <c r="M27">
        <v>28</v>
      </c>
      <c r="N27" s="2">
        <v>392</v>
      </c>
      <c r="O27">
        <v>44.2</v>
      </c>
      <c r="P27" t="s">
        <v>114</v>
      </c>
      <c r="Q27">
        <v>47.062</v>
      </c>
      <c r="R27" t="s">
        <v>159</v>
      </c>
      <c r="S27">
        <v>0</v>
      </c>
    </row>
    <row r="28" spans="1:19">
      <c r="A28" t="s">
        <v>30</v>
      </c>
      <c r="B28" t="s">
        <v>67</v>
      </c>
      <c r="C28">
        <f>"100129"</f>
        <v>0</v>
      </c>
      <c r="D28">
        <v>10</v>
      </c>
      <c r="E28">
        <v>6</v>
      </c>
      <c r="F28">
        <v>18</v>
      </c>
      <c r="G28">
        <v>15</v>
      </c>
      <c r="H28">
        <v>49</v>
      </c>
      <c r="I28">
        <v>12.5</v>
      </c>
      <c r="J28">
        <v>0</v>
      </c>
      <c r="K28">
        <v>0</v>
      </c>
      <c r="L28" s="2">
        <v>0</v>
      </c>
      <c r="M28">
        <v>20</v>
      </c>
      <c r="N28" s="2">
        <v>0</v>
      </c>
      <c r="O28">
        <v>42.5</v>
      </c>
      <c r="P28" t="s">
        <v>115</v>
      </c>
      <c r="Q28">
        <v>74.89400000000001</v>
      </c>
      <c r="R28" t="s">
        <v>160</v>
      </c>
      <c r="S28">
        <v>0</v>
      </c>
    </row>
    <row r="29" spans="1:19">
      <c r="A29" t="s">
        <v>30</v>
      </c>
      <c r="B29" t="s">
        <v>68</v>
      </c>
      <c r="C29">
        <f>"101224"</f>
        <v>0</v>
      </c>
      <c r="D29">
        <v>19</v>
      </c>
      <c r="E29">
        <v>11</v>
      </c>
      <c r="F29">
        <v>48</v>
      </c>
      <c r="G29">
        <v>12</v>
      </c>
      <c r="H29">
        <v>90</v>
      </c>
      <c r="I29">
        <v>15.5</v>
      </c>
      <c r="J29">
        <v>0</v>
      </c>
      <c r="K29">
        <v>0</v>
      </c>
      <c r="L29" s="2">
        <v>0</v>
      </c>
      <c r="M29">
        <v>22</v>
      </c>
      <c r="N29" s="2">
        <v>0</v>
      </c>
      <c r="O29">
        <v>39.5</v>
      </c>
      <c r="P29" t="s">
        <v>116</v>
      </c>
      <c r="Q29">
        <v>109.253</v>
      </c>
      <c r="R29" t="s">
        <v>161</v>
      </c>
      <c r="S29">
        <v>0</v>
      </c>
    </row>
    <row r="30" spans="1:19">
      <c r="A30" t="s">
        <v>35</v>
      </c>
      <c r="B30" t="s">
        <v>69</v>
      </c>
      <c r="C30">
        <f>"HDDZ801UNID"</f>
        <v>0</v>
      </c>
      <c r="D30">
        <v>0</v>
      </c>
      <c r="E30">
        <v>76</v>
      </c>
      <c r="F30">
        <v>222</v>
      </c>
      <c r="G30">
        <v>0</v>
      </c>
      <c r="H30">
        <v>298</v>
      </c>
      <c r="I30">
        <v>38</v>
      </c>
      <c r="J30">
        <v>0</v>
      </c>
      <c r="K30">
        <v>0</v>
      </c>
      <c r="L30" s="2">
        <v>0</v>
      </c>
      <c r="M30">
        <v>38</v>
      </c>
      <c r="N30" s="2">
        <v>0</v>
      </c>
      <c r="O30">
        <v>38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34</v>
      </c>
      <c r="B31" t="s">
        <v>70</v>
      </c>
      <c r="C31">
        <f>"14000007"</f>
        <v>0</v>
      </c>
      <c r="D31">
        <v>33</v>
      </c>
      <c r="E31">
        <v>11</v>
      </c>
      <c r="F31">
        <v>14</v>
      </c>
      <c r="G31">
        <v>15</v>
      </c>
      <c r="H31">
        <v>73</v>
      </c>
      <c r="I31">
        <v>14.5</v>
      </c>
      <c r="J31">
        <v>8</v>
      </c>
      <c r="K31">
        <v>344.721</v>
      </c>
      <c r="L31" s="2">
        <v>43</v>
      </c>
      <c r="M31">
        <v>14</v>
      </c>
      <c r="N31" s="2">
        <v>602</v>
      </c>
      <c r="O31">
        <v>37.9</v>
      </c>
      <c r="P31" t="s">
        <v>117</v>
      </c>
      <c r="Q31">
        <v>108.688</v>
      </c>
      <c r="R31" t="s">
        <v>162</v>
      </c>
      <c r="S31">
        <v>1</v>
      </c>
    </row>
    <row r="32" spans="1:19">
      <c r="A32" t="s">
        <v>24</v>
      </c>
      <c r="B32" t="s">
        <v>71</v>
      </c>
      <c r="C32">
        <f>"CAN01"</f>
        <v>0</v>
      </c>
      <c r="D32">
        <v>6</v>
      </c>
      <c r="E32">
        <v>48</v>
      </c>
      <c r="F32">
        <v>21</v>
      </c>
      <c r="G32">
        <v>30</v>
      </c>
      <c r="H32">
        <v>105</v>
      </c>
      <c r="I32">
        <v>25.5</v>
      </c>
      <c r="J32">
        <v>43</v>
      </c>
      <c r="K32">
        <v>24.489</v>
      </c>
      <c r="L32" s="2">
        <v>1</v>
      </c>
      <c r="M32">
        <v>0</v>
      </c>
      <c r="N32" s="2">
        <v>0</v>
      </c>
      <c r="O32">
        <v>36.9</v>
      </c>
      <c r="P32" t="s">
        <v>118</v>
      </c>
      <c r="Q32">
        <v>17.426</v>
      </c>
      <c r="R32" t="s">
        <v>163</v>
      </c>
      <c r="S32">
        <v>1</v>
      </c>
    </row>
    <row r="33" spans="1:19">
      <c r="A33" t="s">
        <v>32</v>
      </c>
      <c r="B33" t="s">
        <v>72</v>
      </c>
      <c r="C33">
        <f>"1019489"</f>
        <v>0</v>
      </c>
      <c r="D33">
        <v>34</v>
      </c>
      <c r="E33">
        <v>23</v>
      </c>
      <c r="F33">
        <v>14</v>
      </c>
      <c r="G33">
        <v>9</v>
      </c>
      <c r="H33">
        <v>80</v>
      </c>
      <c r="I33">
        <v>18.5</v>
      </c>
      <c r="J33">
        <v>1</v>
      </c>
      <c r="K33">
        <v>17.841</v>
      </c>
      <c r="L33" s="2">
        <v>18</v>
      </c>
      <c r="M33">
        <v>22</v>
      </c>
      <c r="N33" s="2">
        <v>396</v>
      </c>
      <c r="O33">
        <v>35.3</v>
      </c>
      <c r="P33" t="s">
        <v>119</v>
      </c>
      <c r="Q33">
        <v>20.868</v>
      </c>
      <c r="R33" t="s">
        <v>164</v>
      </c>
      <c r="S33">
        <v>0</v>
      </c>
    </row>
    <row r="34" spans="1:19">
      <c r="A34" t="s">
        <v>36</v>
      </c>
      <c r="B34" t="s">
        <v>73</v>
      </c>
      <c r="C34">
        <f>"1022172"</f>
        <v>0</v>
      </c>
      <c r="D34">
        <v>67</v>
      </c>
      <c r="E34">
        <v>30</v>
      </c>
      <c r="F34">
        <v>35</v>
      </c>
      <c r="G34">
        <v>22</v>
      </c>
      <c r="H34">
        <v>154</v>
      </c>
      <c r="I34">
        <v>32.5</v>
      </c>
      <c r="J34">
        <v>35</v>
      </c>
      <c r="K34">
        <v>774.259</v>
      </c>
      <c r="L34" s="2">
        <v>22</v>
      </c>
      <c r="M34">
        <v>8</v>
      </c>
      <c r="N34" s="2">
        <v>176</v>
      </c>
      <c r="O34">
        <v>34.5</v>
      </c>
      <c r="P34" t="s">
        <v>120</v>
      </c>
      <c r="Q34">
        <v>152.703</v>
      </c>
      <c r="R34" t="s">
        <v>165</v>
      </c>
      <c r="S34">
        <v>0</v>
      </c>
    </row>
    <row r="35" spans="1:19">
      <c r="A35" t="s">
        <v>37</v>
      </c>
      <c r="B35" t="s">
        <v>74</v>
      </c>
      <c r="C35">
        <f>"585006"</f>
        <v>0</v>
      </c>
      <c r="D35">
        <v>0</v>
      </c>
      <c r="E35">
        <v>3</v>
      </c>
      <c r="F35">
        <v>14</v>
      </c>
      <c r="G35">
        <v>14</v>
      </c>
      <c r="H35">
        <v>31</v>
      </c>
      <c r="I35">
        <v>8.5</v>
      </c>
      <c r="J35">
        <v>2</v>
      </c>
      <c r="K35">
        <v>32.985</v>
      </c>
      <c r="L35" s="2">
        <v>16</v>
      </c>
      <c r="M35">
        <v>14</v>
      </c>
      <c r="N35" s="2">
        <v>224</v>
      </c>
      <c r="O35">
        <v>34.1</v>
      </c>
      <c r="P35" t="s">
        <v>121</v>
      </c>
      <c r="Q35">
        <v>51.342</v>
      </c>
      <c r="R35" t="s">
        <v>166</v>
      </c>
      <c r="S35">
        <v>0</v>
      </c>
    </row>
    <row r="36" spans="1:19">
      <c r="A36" t="s">
        <v>35</v>
      </c>
      <c r="B36" t="s">
        <v>75</v>
      </c>
      <c r="C36">
        <f>"HC014"</f>
        <v>0</v>
      </c>
      <c r="D36">
        <v>11</v>
      </c>
      <c r="E36">
        <v>7</v>
      </c>
      <c r="F36">
        <v>5</v>
      </c>
      <c r="G36">
        <v>11</v>
      </c>
      <c r="H36">
        <v>34</v>
      </c>
      <c r="I36">
        <v>9</v>
      </c>
      <c r="J36">
        <v>0</v>
      </c>
      <c r="K36">
        <v>0</v>
      </c>
      <c r="L36" s="2">
        <v>0</v>
      </c>
      <c r="M36">
        <v>14</v>
      </c>
      <c r="N36" s="2">
        <v>0</v>
      </c>
      <c r="O36">
        <v>34</v>
      </c>
      <c r="P36" t="s">
        <v>122</v>
      </c>
      <c r="Q36">
        <v>4.04</v>
      </c>
      <c r="R36" t="s">
        <v>167</v>
      </c>
      <c r="S36">
        <v>1</v>
      </c>
    </row>
    <row r="37" spans="1:19">
      <c r="A37" t="s">
        <v>38</v>
      </c>
      <c r="B37" t="s">
        <v>76</v>
      </c>
      <c r="C37">
        <f>"1003937"</f>
        <v>0</v>
      </c>
      <c r="D37">
        <v>31</v>
      </c>
      <c r="E37">
        <v>16</v>
      </c>
      <c r="F37">
        <v>0</v>
      </c>
      <c r="G37">
        <v>10</v>
      </c>
      <c r="H37">
        <v>57</v>
      </c>
      <c r="I37">
        <v>13</v>
      </c>
      <c r="J37">
        <v>3</v>
      </c>
      <c r="K37">
        <v>5.543</v>
      </c>
      <c r="L37" s="2">
        <v>2</v>
      </c>
      <c r="M37">
        <v>15</v>
      </c>
      <c r="N37" s="2">
        <v>30</v>
      </c>
      <c r="O37">
        <v>32.4</v>
      </c>
      <c r="P37" t="s">
        <v>123</v>
      </c>
      <c r="Q37">
        <v>-72</v>
      </c>
      <c r="R37" t="s">
        <v>168</v>
      </c>
      <c r="S37">
        <v>1</v>
      </c>
    </row>
    <row r="38" spans="1:19">
      <c r="A38" t="s">
        <v>30</v>
      </c>
      <c r="B38" t="s">
        <v>77</v>
      </c>
      <c r="C38">
        <f>"101339"</f>
        <v>0</v>
      </c>
      <c r="D38">
        <v>3</v>
      </c>
      <c r="E38">
        <v>17</v>
      </c>
      <c r="F38">
        <v>14</v>
      </c>
      <c r="G38">
        <v>10</v>
      </c>
      <c r="H38">
        <v>44</v>
      </c>
      <c r="I38">
        <v>12</v>
      </c>
      <c r="J38">
        <v>0</v>
      </c>
      <c r="K38">
        <v>0</v>
      </c>
      <c r="L38" s="2">
        <v>0</v>
      </c>
      <c r="M38">
        <v>17</v>
      </c>
      <c r="N38" s="2">
        <v>0</v>
      </c>
      <c r="O38">
        <v>32</v>
      </c>
      <c r="P38" t="s">
        <v>124</v>
      </c>
      <c r="Q38">
        <v>112.8</v>
      </c>
      <c r="R38" t="s">
        <v>169</v>
      </c>
      <c r="S38">
        <v>0</v>
      </c>
    </row>
    <row r="39" spans="1:19">
      <c r="A39" t="s">
        <v>33</v>
      </c>
      <c r="B39" t="s">
        <v>78</v>
      </c>
      <c r="C39">
        <f>"DHDH"</f>
        <v>0</v>
      </c>
      <c r="D39">
        <v>22</v>
      </c>
      <c r="E39">
        <v>42</v>
      </c>
      <c r="F39">
        <v>45</v>
      </c>
      <c r="G39">
        <v>0</v>
      </c>
      <c r="H39">
        <v>109</v>
      </c>
      <c r="I39">
        <v>32</v>
      </c>
      <c r="J39">
        <v>0</v>
      </c>
      <c r="K39">
        <v>0</v>
      </c>
      <c r="L39" s="2">
        <v>0</v>
      </c>
      <c r="M39">
        <v>32</v>
      </c>
      <c r="N39" s="2">
        <v>0</v>
      </c>
      <c r="O39">
        <v>32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30</v>
      </c>
      <c r="B40" t="s">
        <v>79</v>
      </c>
      <c r="C40">
        <f>"100571"</f>
        <v>0</v>
      </c>
      <c r="D40">
        <v>0</v>
      </c>
      <c r="E40">
        <v>4</v>
      </c>
      <c r="F40">
        <v>6</v>
      </c>
      <c r="G40">
        <v>12</v>
      </c>
      <c r="H40">
        <v>22</v>
      </c>
      <c r="I40">
        <v>5</v>
      </c>
      <c r="J40">
        <v>0</v>
      </c>
      <c r="K40">
        <v>0</v>
      </c>
      <c r="L40" s="2">
        <v>0</v>
      </c>
      <c r="M40">
        <v>11</v>
      </c>
      <c r="N40" s="2">
        <v>0</v>
      </c>
      <c r="O40">
        <v>32</v>
      </c>
      <c r="P40" t="s">
        <v>125</v>
      </c>
      <c r="Q40">
        <v>-7.926</v>
      </c>
      <c r="R40" t="s">
        <v>170</v>
      </c>
      <c r="S40">
        <v>1</v>
      </c>
    </row>
    <row r="41" spans="1:19">
      <c r="A41" t="s">
        <v>30</v>
      </c>
      <c r="B41" t="s">
        <v>80</v>
      </c>
      <c r="C41">
        <f>"100138"</f>
        <v>0</v>
      </c>
      <c r="D41">
        <v>13</v>
      </c>
      <c r="E41">
        <v>4</v>
      </c>
      <c r="F41">
        <v>36</v>
      </c>
      <c r="G41">
        <v>12</v>
      </c>
      <c r="H41">
        <v>65</v>
      </c>
      <c r="I41">
        <v>12.5</v>
      </c>
      <c r="J41">
        <v>4</v>
      </c>
      <c r="K41">
        <v>170.271</v>
      </c>
      <c r="L41" s="2">
        <v>43</v>
      </c>
      <c r="M41">
        <v>14</v>
      </c>
      <c r="N41" s="2">
        <v>602</v>
      </c>
      <c r="O41">
        <v>31.7</v>
      </c>
      <c r="P41" t="s">
        <v>126</v>
      </c>
      <c r="Q41">
        <v>93.221</v>
      </c>
      <c r="R41" t="s">
        <v>171</v>
      </c>
      <c r="S41">
        <v>0</v>
      </c>
    </row>
    <row r="42" spans="1:19">
      <c r="A42" t="s">
        <v>30</v>
      </c>
      <c r="B42" t="s">
        <v>81</v>
      </c>
      <c r="C42">
        <f>"100597"</f>
        <v>0</v>
      </c>
      <c r="D42">
        <v>8</v>
      </c>
      <c r="E42">
        <v>6</v>
      </c>
      <c r="F42">
        <v>8</v>
      </c>
      <c r="G42">
        <v>10</v>
      </c>
      <c r="H42">
        <v>32</v>
      </c>
      <c r="I42">
        <v>8</v>
      </c>
      <c r="J42">
        <v>0</v>
      </c>
      <c r="K42">
        <v>0</v>
      </c>
      <c r="L42" s="2">
        <v>0</v>
      </c>
      <c r="M42">
        <v>13</v>
      </c>
      <c r="N42" s="2">
        <v>0</v>
      </c>
      <c r="O42">
        <v>31</v>
      </c>
      <c r="P42" t="s">
        <v>127</v>
      </c>
      <c r="Q42">
        <v>-1.957</v>
      </c>
      <c r="R42" t="s">
        <v>172</v>
      </c>
      <c r="S42">
        <v>1</v>
      </c>
    </row>
    <row r="43" spans="1:19">
      <c r="A43" t="s">
        <v>26</v>
      </c>
      <c r="B43" t="s">
        <v>82</v>
      </c>
      <c r="C43">
        <f>"NSRP9KG"</f>
        <v>0</v>
      </c>
      <c r="D43">
        <v>36</v>
      </c>
      <c r="E43">
        <v>1</v>
      </c>
      <c r="F43">
        <v>35</v>
      </c>
      <c r="G43">
        <v>5</v>
      </c>
      <c r="H43">
        <v>77</v>
      </c>
      <c r="I43">
        <v>20</v>
      </c>
      <c r="J43">
        <v>0</v>
      </c>
      <c r="K43">
        <v>0</v>
      </c>
      <c r="L43" s="2">
        <v>0</v>
      </c>
      <c r="M43">
        <v>22</v>
      </c>
      <c r="N43" s="2">
        <v>0</v>
      </c>
      <c r="O43">
        <v>30</v>
      </c>
      <c r="P43" t="s">
        <v>128</v>
      </c>
      <c r="Q43">
        <v>10.913</v>
      </c>
      <c r="R43" t="s">
        <v>173</v>
      </c>
      <c r="S43">
        <v>0</v>
      </c>
    </row>
    <row r="44" spans="1:19">
      <c r="A44" t="s">
        <v>35</v>
      </c>
      <c r="B44" t="s">
        <v>83</v>
      </c>
      <c r="C44">
        <f>"KF8057"</f>
        <v>0</v>
      </c>
      <c r="D44">
        <v>0</v>
      </c>
      <c r="E44">
        <v>5</v>
      </c>
      <c r="F44">
        <v>27</v>
      </c>
      <c r="G44">
        <v>20</v>
      </c>
      <c r="H44">
        <v>52</v>
      </c>
      <c r="I44">
        <v>12.5</v>
      </c>
      <c r="J44">
        <v>19</v>
      </c>
      <c r="K44">
        <v>392.35</v>
      </c>
      <c r="L44" s="2">
        <v>21</v>
      </c>
      <c r="M44">
        <v>4</v>
      </c>
      <c r="N44" s="2">
        <v>84</v>
      </c>
      <c r="O44">
        <v>29.7</v>
      </c>
      <c r="P44" t="s">
        <v>129</v>
      </c>
      <c r="Q44">
        <v>124.642</v>
      </c>
      <c r="R44" t="s">
        <v>174</v>
      </c>
      <c r="S44">
        <v>0</v>
      </c>
    </row>
    <row r="45" spans="1:19">
      <c r="A45" t="s">
        <v>36</v>
      </c>
      <c r="B45" t="s">
        <v>84</v>
      </c>
      <c r="C45">
        <f>"1003775"</f>
        <v>0</v>
      </c>
      <c r="D45">
        <v>0</v>
      </c>
      <c r="E45">
        <v>0</v>
      </c>
      <c r="F45">
        <v>2</v>
      </c>
      <c r="G45">
        <v>16</v>
      </c>
      <c r="H45">
        <v>18</v>
      </c>
      <c r="I45">
        <v>1</v>
      </c>
      <c r="J45">
        <v>6</v>
      </c>
      <c r="K45">
        <v>25.764</v>
      </c>
      <c r="L45" s="2">
        <v>4</v>
      </c>
      <c r="M45">
        <v>3</v>
      </c>
      <c r="N45" s="2">
        <v>12</v>
      </c>
      <c r="O45">
        <v>28.8</v>
      </c>
      <c r="P45" t="s">
        <v>130</v>
      </c>
      <c r="Q45">
        <v>16.309</v>
      </c>
      <c r="R45" t="s">
        <v>175</v>
      </c>
      <c r="S45">
        <v>1</v>
      </c>
    </row>
    <row r="46" spans="1:19">
      <c r="A46" t="s">
        <v>38</v>
      </c>
      <c r="B46" t="s">
        <v>85</v>
      </c>
      <c r="C46">
        <f>"1003693"</f>
        <v>0</v>
      </c>
      <c r="D46">
        <v>18</v>
      </c>
      <c r="E46">
        <v>11</v>
      </c>
      <c r="F46">
        <v>0</v>
      </c>
      <c r="G46">
        <v>8</v>
      </c>
      <c r="H46">
        <v>37</v>
      </c>
      <c r="I46">
        <v>9.5</v>
      </c>
      <c r="J46">
        <v>0</v>
      </c>
      <c r="K46">
        <v>0</v>
      </c>
      <c r="L46" s="2">
        <v>0</v>
      </c>
      <c r="M46">
        <v>14</v>
      </c>
      <c r="N46" s="2">
        <v>0</v>
      </c>
      <c r="O46">
        <v>28.5</v>
      </c>
      <c r="P46" t="s">
        <v>131</v>
      </c>
      <c r="Q46">
        <v>-562</v>
      </c>
      <c r="R46" t="s">
        <v>176</v>
      </c>
      <c r="S46">
        <v>1</v>
      </c>
    </row>
    <row r="47" spans="1:19">
      <c r="A47" t="s">
        <v>39</v>
      </c>
      <c r="B47" t="s">
        <v>86</v>
      </c>
      <c r="C47">
        <f>"VALIM01017"</f>
        <v>0</v>
      </c>
      <c r="D47">
        <v>2</v>
      </c>
      <c r="E47">
        <v>14</v>
      </c>
      <c r="F47">
        <v>6</v>
      </c>
      <c r="G47">
        <v>9</v>
      </c>
      <c r="H47">
        <v>31</v>
      </c>
      <c r="I47">
        <v>7.5</v>
      </c>
      <c r="J47">
        <v>0</v>
      </c>
      <c r="K47">
        <v>0</v>
      </c>
      <c r="L47" s="2">
        <v>0</v>
      </c>
      <c r="M47">
        <v>12</v>
      </c>
      <c r="N47" s="2">
        <v>0</v>
      </c>
      <c r="O47">
        <v>28.5</v>
      </c>
      <c r="P47" t="s">
        <v>132</v>
      </c>
      <c r="Q47">
        <v>21.249</v>
      </c>
      <c r="R47" t="s">
        <v>177</v>
      </c>
      <c r="S47">
        <v>1</v>
      </c>
    </row>
    <row r="48" spans="1:19">
      <c r="A48" t="s">
        <v>31</v>
      </c>
      <c r="B48" t="s">
        <v>87</v>
      </c>
      <c r="C48">
        <f>"RCM052"</f>
        <v>0</v>
      </c>
      <c r="D48">
        <v>9</v>
      </c>
      <c r="E48">
        <v>3</v>
      </c>
      <c r="F48">
        <v>9</v>
      </c>
      <c r="G48">
        <v>9</v>
      </c>
      <c r="H48">
        <v>30</v>
      </c>
      <c r="I48">
        <v>9</v>
      </c>
      <c r="J48">
        <v>0</v>
      </c>
      <c r="K48">
        <v>0</v>
      </c>
      <c r="L48" s="2">
        <v>0</v>
      </c>
      <c r="M48">
        <v>14</v>
      </c>
      <c r="N48" s="2">
        <v>0</v>
      </c>
      <c r="O48">
        <v>27</v>
      </c>
      <c r="P48" t="s">
        <v>133</v>
      </c>
      <c r="Q48">
        <v>12.844</v>
      </c>
      <c r="R48" t="s">
        <v>178</v>
      </c>
      <c r="S48">
        <v>0</v>
      </c>
    </row>
    <row r="49" spans="1:19">
      <c r="A49" t="s">
        <v>40</v>
      </c>
      <c r="B49" t="s">
        <v>88</v>
      </c>
      <c r="C49">
        <f>"V101144"</f>
        <v>0</v>
      </c>
      <c r="D49">
        <v>19</v>
      </c>
      <c r="E49">
        <v>18</v>
      </c>
      <c r="F49">
        <v>0</v>
      </c>
      <c r="G49">
        <v>6</v>
      </c>
      <c r="H49">
        <v>43</v>
      </c>
      <c r="I49">
        <v>12</v>
      </c>
      <c r="J49">
        <v>0</v>
      </c>
      <c r="K49">
        <v>0</v>
      </c>
      <c r="L49" s="2">
        <v>0</v>
      </c>
      <c r="M49">
        <v>15</v>
      </c>
      <c r="N49" s="2">
        <v>0</v>
      </c>
      <c r="O49">
        <v>27</v>
      </c>
      <c r="P49" t="s">
        <v>134</v>
      </c>
      <c r="Q49">
        <v>659</v>
      </c>
      <c r="R49" t="s">
        <v>179</v>
      </c>
      <c r="S49">
        <v>1</v>
      </c>
    </row>
    <row r="50" spans="1:19">
      <c r="A50" t="s">
        <v>34</v>
      </c>
      <c r="B50" t="s">
        <v>89</v>
      </c>
      <c r="C50">
        <f>"14000004"</f>
        <v>0</v>
      </c>
      <c r="D50">
        <v>22</v>
      </c>
      <c r="E50">
        <v>27</v>
      </c>
      <c r="F50">
        <v>7</v>
      </c>
      <c r="G50">
        <v>8</v>
      </c>
      <c r="H50">
        <v>64</v>
      </c>
      <c r="I50">
        <v>15</v>
      </c>
      <c r="J50">
        <v>6</v>
      </c>
      <c r="K50">
        <v>257.988</v>
      </c>
      <c r="L50" s="2">
        <v>43</v>
      </c>
      <c r="M50">
        <v>13</v>
      </c>
      <c r="N50" s="2">
        <v>559</v>
      </c>
      <c r="O50">
        <v>26.8</v>
      </c>
      <c r="P50" t="s">
        <v>135</v>
      </c>
      <c r="Q50">
        <v>58.704</v>
      </c>
      <c r="R50" t="s">
        <v>180</v>
      </c>
      <c r="S50">
        <v>1</v>
      </c>
    </row>
    <row r="51" spans="1:19">
      <c r="A51" t="s">
        <v>35</v>
      </c>
      <c r="B51" t="s">
        <v>90</v>
      </c>
      <c r="C51">
        <f>"CAT001AZ"</f>
        <v>0</v>
      </c>
      <c r="D51">
        <v>4</v>
      </c>
      <c r="E51">
        <v>9</v>
      </c>
      <c r="F51">
        <v>4</v>
      </c>
      <c r="G51">
        <v>11</v>
      </c>
      <c r="H51">
        <v>28</v>
      </c>
      <c r="I51">
        <v>6.5</v>
      </c>
      <c r="J51">
        <v>4</v>
      </c>
      <c r="K51">
        <v>72.52</v>
      </c>
      <c r="L51" s="2">
        <v>18</v>
      </c>
      <c r="M51">
        <v>8</v>
      </c>
      <c r="N51" s="2">
        <v>144</v>
      </c>
      <c r="O51">
        <v>26.7</v>
      </c>
      <c r="P51" t="s">
        <v>136</v>
      </c>
      <c r="Q51">
        <v>59.301</v>
      </c>
      <c r="R51" t="s">
        <v>181</v>
      </c>
      <c r="S51">
        <v>1</v>
      </c>
    </row>
    <row r="52" spans="1:19">
      <c r="A52" t="s">
        <v>41</v>
      </c>
      <c r="B52" t="s">
        <v>91</v>
      </c>
      <c r="C52">
        <f>"INSUANTI01"</f>
        <v>0</v>
      </c>
      <c r="D52">
        <v>56</v>
      </c>
      <c r="E52">
        <v>15</v>
      </c>
      <c r="F52">
        <v>34</v>
      </c>
      <c r="G52">
        <v>24</v>
      </c>
      <c r="H52">
        <v>129</v>
      </c>
      <c r="I52">
        <v>29</v>
      </c>
      <c r="J52">
        <v>42</v>
      </c>
      <c r="K52">
        <v>129.465</v>
      </c>
      <c r="L52" s="2">
        <v>3</v>
      </c>
      <c r="M52">
        <v>0</v>
      </c>
      <c r="N52" s="2">
        <v>0</v>
      </c>
      <c r="O52">
        <v>26.6</v>
      </c>
      <c r="P52" t="s">
        <v>137</v>
      </c>
      <c r="Q52">
        <v>19.933</v>
      </c>
      <c r="R52" t="s">
        <v>182</v>
      </c>
      <c r="S52">
        <v>0</v>
      </c>
    </row>
  </sheetData>
  <autoFilter ref="A2:S52"/>
  <hyperlinks>
    <hyperlink ref="A1" location="'ÍNDICE'!A1" display="⬅ Volver al índice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S24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32</v>
      </c>
      <c r="B3" t="s">
        <v>57</v>
      </c>
      <c r="C3">
        <f>"AZM00301"</f>
        <v>0</v>
      </c>
      <c r="D3">
        <v>56</v>
      </c>
      <c r="E3">
        <v>42</v>
      </c>
      <c r="F3">
        <v>75</v>
      </c>
      <c r="G3">
        <v>26</v>
      </c>
      <c r="H3">
        <v>199</v>
      </c>
      <c r="I3">
        <v>49</v>
      </c>
      <c r="J3">
        <v>31</v>
      </c>
      <c r="K3">
        <v>47.178</v>
      </c>
      <c r="L3" s="2">
        <v>2</v>
      </c>
      <c r="M3">
        <v>31</v>
      </c>
      <c r="N3" s="2">
        <v>62</v>
      </c>
      <c r="O3">
        <v>63.8</v>
      </c>
      <c r="P3" t="s">
        <v>107</v>
      </c>
      <c r="Q3">
        <v>-2.565</v>
      </c>
      <c r="R3" t="s">
        <v>152</v>
      </c>
      <c r="S3">
        <v>0</v>
      </c>
    </row>
    <row r="4" spans="1:19">
      <c r="A4" t="s">
        <v>32</v>
      </c>
      <c r="B4" t="s">
        <v>72</v>
      </c>
      <c r="C4">
        <f>"1019489"</f>
        <v>0</v>
      </c>
      <c r="D4">
        <v>34</v>
      </c>
      <c r="E4">
        <v>23</v>
      </c>
      <c r="F4">
        <v>14</v>
      </c>
      <c r="G4">
        <v>9</v>
      </c>
      <c r="H4">
        <v>80</v>
      </c>
      <c r="I4">
        <v>18.5</v>
      </c>
      <c r="J4">
        <v>1</v>
      </c>
      <c r="K4">
        <v>17.841</v>
      </c>
      <c r="L4" s="2">
        <v>18</v>
      </c>
      <c r="M4">
        <v>22</v>
      </c>
      <c r="N4" s="2">
        <v>396</v>
      </c>
      <c r="O4">
        <v>35.3</v>
      </c>
      <c r="P4" t="s">
        <v>119</v>
      </c>
      <c r="Q4">
        <v>20.868</v>
      </c>
      <c r="R4" t="s">
        <v>164</v>
      </c>
      <c r="S4">
        <v>0</v>
      </c>
    </row>
    <row r="5" spans="1:19">
      <c r="A5" t="s">
        <v>32</v>
      </c>
      <c r="B5" t="s">
        <v>440</v>
      </c>
      <c r="C5">
        <f>"1003821"</f>
        <v>0</v>
      </c>
      <c r="D5">
        <v>0</v>
      </c>
      <c r="E5">
        <v>0</v>
      </c>
      <c r="F5">
        <v>0</v>
      </c>
      <c r="G5">
        <v>9</v>
      </c>
      <c r="H5">
        <v>9</v>
      </c>
      <c r="I5">
        <v>0</v>
      </c>
      <c r="J5">
        <v>0</v>
      </c>
      <c r="K5">
        <v>0</v>
      </c>
      <c r="L5" s="2">
        <v>0</v>
      </c>
      <c r="M5">
        <v>4</v>
      </c>
      <c r="N5" s="2">
        <v>0</v>
      </c>
      <c r="O5">
        <v>21</v>
      </c>
      <c r="P5" t="s">
        <v>10675</v>
      </c>
      <c r="Q5">
        <v>68.93000000000001</v>
      </c>
      <c r="R5" t="s">
        <v>10702</v>
      </c>
      <c r="S5">
        <v>1</v>
      </c>
    </row>
    <row r="6" spans="1:19">
      <c r="A6" t="s">
        <v>32</v>
      </c>
      <c r="B6" t="s">
        <v>489</v>
      </c>
      <c r="C6">
        <f>"1019486"</f>
        <v>0</v>
      </c>
      <c r="D6">
        <v>6</v>
      </c>
      <c r="E6">
        <v>6</v>
      </c>
      <c r="F6">
        <v>0</v>
      </c>
      <c r="G6">
        <v>4</v>
      </c>
      <c r="H6">
        <v>16</v>
      </c>
      <c r="I6">
        <v>5</v>
      </c>
      <c r="J6">
        <v>0</v>
      </c>
      <c r="K6">
        <v>0</v>
      </c>
      <c r="L6" s="2">
        <v>0</v>
      </c>
      <c r="M6">
        <v>7</v>
      </c>
      <c r="N6" s="2">
        <v>0</v>
      </c>
      <c r="O6">
        <v>16</v>
      </c>
      <c r="P6" t="s">
        <v>10676</v>
      </c>
      <c r="Q6">
        <v>9.478</v>
      </c>
      <c r="R6" t="s">
        <v>10268</v>
      </c>
      <c r="S6">
        <v>1</v>
      </c>
    </row>
    <row r="7" spans="1:19">
      <c r="A7" t="s">
        <v>32</v>
      </c>
      <c r="B7" t="s">
        <v>647</v>
      </c>
      <c r="C7">
        <f>"1009445"</f>
        <v>0</v>
      </c>
      <c r="D7">
        <v>3</v>
      </c>
      <c r="E7">
        <v>0</v>
      </c>
      <c r="F7">
        <v>0</v>
      </c>
      <c r="G7">
        <v>5</v>
      </c>
      <c r="H7">
        <v>8</v>
      </c>
      <c r="I7">
        <v>1.5</v>
      </c>
      <c r="J7">
        <v>0</v>
      </c>
      <c r="K7">
        <v>0</v>
      </c>
      <c r="L7" s="2">
        <v>0</v>
      </c>
      <c r="M7">
        <v>4</v>
      </c>
      <c r="N7" s="2">
        <v>0</v>
      </c>
      <c r="O7">
        <v>14.5</v>
      </c>
      <c r="P7" t="s">
        <v>128</v>
      </c>
      <c r="Q7">
        <v>-2.177</v>
      </c>
      <c r="R7" t="s">
        <v>10703</v>
      </c>
      <c r="S7">
        <v>1</v>
      </c>
    </row>
    <row r="8" spans="1:19">
      <c r="A8" t="s">
        <v>32</v>
      </c>
      <c r="B8" t="s">
        <v>410</v>
      </c>
      <c r="C8">
        <f>"1019488"</f>
        <v>0</v>
      </c>
      <c r="D8">
        <v>27</v>
      </c>
      <c r="E8">
        <v>31</v>
      </c>
      <c r="F8">
        <v>10</v>
      </c>
      <c r="G8">
        <v>2</v>
      </c>
      <c r="H8">
        <v>70</v>
      </c>
      <c r="I8">
        <v>18.5</v>
      </c>
      <c r="J8">
        <v>8</v>
      </c>
      <c r="K8">
        <v>101.048</v>
      </c>
      <c r="L8" s="2">
        <v>13</v>
      </c>
      <c r="M8">
        <v>12</v>
      </c>
      <c r="N8" s="2">
        <v>156</v>
      </c>
      <c r="O8">
        <v>12.9</v>
      </c>
      <c r="P8" t="s">
        <v>10677</v>
      </c>
      <c r="Q8">
        <v>4.132</v>
      </c>
      <c r="R8" t="s">
        <v>10704</v>
      </c>
      <c r="S8">
        <v>0</v>
      </c>
    </row>
    <row r="9" spans="1:19">
      <c r="A9" t="s">
        <v>32</v>
      </c>
      <c r="B9" t="s">
        <v>353</v>
      </c>
      <c r="C9">
        <f>"AZM00302"</f>
        <v>0</v>
      </c>
      <c r="D9">
        <v>14</v>
      </c>
      <c r="E9">
        <v>3</v>
      </c>
      <c r="F9">
        <v>51</v>
      </c>
      <c r="G9">
        <v>0</v>
      </c>
      <c r="H9">
        <v>68</v>
      </c>
      <c r="I9">
        <v>8.5</v>
      </c>
      <c r="J9">
        <v>0</v>
      </c>
      <c r="K9">
        <v>0</v>
      </c>
      <c r="L9" s="2">
        <v>0</v>
      </c>
      <c r="M9">
        <v>8</v>
      </c>
      <c r="N9" s="2">
        <v>0</v>
      </c>
      <c r="O9">
        <v>8.5</v>
      </c>
      <c r="P9" t="s">
        <v>10678</v>
      </c>
      <c r="Q9">
        <v>6.451</v>
      </c>
      <c r="R9" t="s">
        <v>10705</v>
      </c>
      <c r="S9">
        <v>0</v>
      </c>
    </row>
    <row r="10" spans="1:19">
      <c r="A10" t="s">
        <v>32</v>
      </c>
      <c r="B10" t="s">
        <v>288</v>
      </c>
      <c r="C10">
        <f>"1511892856706"</f>
        <v>0</v>
      </c>
      <c r="D10">
        <v>2</v>
      </c>
      <c r="E10">
        <v>0</v>
      </c>
      <c r="F10">
        <v>0</v>
      </c>
      <c r="G10">
        <v>3</v>
      </c>
      <c r="H10">
        <v>5</v>
      </c>
      <c r="I10">
        <v>1</v>
      </c>
      <c r="J10">
        <v>2</v>
      </c>
      <c r="K10">
        <v>12.922</v>
      </c>
      <c r="L10" s="2">
        <v>6</v>
      </c>
      <c r="M10">
        <v>0</v>
      </c>
      <c r="N10" s="2">
        <v>0</v>
      </c>
      <c r="O10">
        <v>7.6</v>
      </c>
      <c r="P10" t="s">
        <v>10679</v>
      </c>
      <c r="Q10">
        <v>760</v>
      </c>
      <c r="R10" t="s">
        <v>10706</v>
      </c>
      <c r="S10">
        <v>1</v>
      </c>
    </row>
    <row r="11" spans="1:19">
      <c r="A11" t="s">
        <v>32</v>
      </c>
      <c r="B11" t="s">
        <v>292</v>
      </c>
      <c r="C11">
        <f>"5000442"</f>
        <v>0</v>
      </c>
      <c r="D11">
        <v>0</v>
      </c>
      <c r="E11">
        <v>2</v>
      </c>
      <c r="F11">
        <v>0</v>
      </c>
      <c r="G11">
        <v>3</v>
      </c>
      <c r="H11">
        <v>5</v>
      </c>
      <c r="I11">
        <v>1</v>
      </c>
      <c r="J11">
        <v>3</v>
      </c>
      <c r="K11">
        <v>15.929</v>
      </c>
      <c r="L11" s="2">
        <v>5</v>
      </c>
      <c r="M11">
        <v>0</v>
      </c>
      <c r="N11" s="2">
        <v>0</v>
      </c>
      <c r="O11">
        <v>6.4</v>
      </c>
      <c r="P11" t="s">
        <v>10680</v>
      </c>
      <c r="Q11">
        <v>6.772</v>
      </c>
      <c r="R11" t="s">
        <v>10707</v>
      </c>
      <c r="S11">
        <v>1</v>
      </c>
    </row>
    <row r="12" spans="1:19">
      <c r="A12" t="s">
        <v>32</v>
      </c>
      <c r="B12" t="s">
        <v>292</v>
      </c>
      <c r="C12">
        <f>"1022551"</f>
        <v>0</v>
      </c>
      <c r="D12">
        <v>0</v>
      </c>
      <c r="E12">
        <v>0</v>
      </c>
      <c r="F12">
        <v>1</v>
      </c>
      <c r="G12">
        <v>3</v>
      </c>
      <c r="H12">
        <v>4</v>
      </c>
      <c r="I12">
        <v>0.5</v>
      </c>
      <c r="J12">
        <v>3</v>
      </c>
      <c r="K12">
        <v>28.206</v>
      </c>
      <c r="L12" s="2">
        <v>9</v>
      </c>
      <c r="M12">
        <v>0</v>
      </c>
      <c r="N12" s="2">
        <v>0</v>
      </c>
      <c r="O12">
        <v>5.9</v>
      </c>
      <c r="P12" t="s">
        <v>10444</v>
      </c>
      <c r="Q12">
        <v>2.022</v>
      </c>
      <c r="R12" t="s">
        <v>10708</v>
      </c>
      <c r="S12">
        <v>1</v>
      </c>
    </row>
    <row r="13" spans="1:19">
      <c r="A13" t="s">
        <v>32</v>
      </c>
      <c r="B13" t="s">
        <v>953</v>
      </c>
      <c r="C13">
        <f>"5009863"</f>
        <v>0</v>
      </c>
      <c r="D13">
        <v>1</v>
      </c>
      <c r="E13">
        <v>0</v>
      </c>
      <c r="F13">
        <v>0</v>
      </c>
      <c r="G13">
        <v>1</v>
      </c>
      <c r="H13">
        <v>2</v>
      </c>
      <c r="I13">
        <v>0.5</v>
      </c>
      <c r="J13">
        <v>0</v>
      </c>
      <c r="K13">
        <v>0</v>
      </c>
      <c r="L13" s="2">
        <v>0</v>
      </c>
      <c r="M13">
        <v>1</v>
      </c>
      <c r="N13" s="2">
        <v>0</v>
      </c>
      <c r="O13">
        <v>5.5</v>
      </c>
      <c r="P13" t="s">
        <v>10681</v>
      </c>
      <c r="Q13">
        <v>2.484</v>
      </c>
      <c r="R13" t="s">
        <v>10709</v>
      </c>
      <c r="S13">
        <v>1</v>
      </c>
    </row>
    <row r="14" spans="1:19">
      <c r="A14" t="s">
        <v>32</v>
      </c>
      <c r="B14" t="s">
        <v>1514</v>
      </c>
      <c r="C14">
        <f>"33445566"</f>
        <v>0</v>
      </c>
      <c r="D14">
        <v>0</v>
      </c>
      <c r="E14">
        <v>0</v>
      </c>
      <c r="F14">
        <v>0</v>
      </c>
      <c r="G14">
        <v>1</v>
      </c>
      <c r="H14">
        <v>1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5</v>
      </c>
      <c r="P14" t="s">
        <v>10682</v>
      </c>
      <c r="Q14">
        <v>-2.663</v>
      </c>
      <c r="R14" t="s">
        <v>10710</v>
      </c>
      <c r="S14">
        <v>1</v>
      </c>
    </row>
    <row r="15" spans="1:19">
      <c r="A15" t="s">
        <v>32</v>
      </c>
      <c r="B15" t="s">
        <v>1133</v>
      </c>
      <c r="C15">
        <f>"1020939"</f>
        <v>0</v>
      </c>
      <c r="D15">
        <v>0</v>
      </c>
      <c r="E15">
        <v>0</v>
      </c>
      <c r="F15">
        <v>0</v>
      </c>
      <c r="G15">
        <v>1</v>
      </c>
      <c r="H15">
        <v>1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5</v>
      </c>
      <c r="P15" t="s">
        <v>10346</v>
      </c>
      <c r="Q15">
        <v>1.943</v>
      </c>
      <c r="R15" t="s">
        <v>10711</v>
      </c>
      <c r="S15">
        <v>1</v>
      </c>
    </row>
    <row r="16" spans="1:19">
      <c r="A16" t="s">
        <v>32</v>
      </c>
      <c r="B16" t="s">
        <v>1144</v>
      </c>
      <c r="C16">
        <f>"5009488"</f>
        <v>0</v>
      </c>
      <c r="D16">
        <v>0</v>
      </c>
      <c r="E16">
        <v>0</v>
      </c>
      <c r="F16">
        <v>0</v>
      </c>
      <c r="G16">
        <v>1</v>
      </c>
      <c r="H16">
        <v>1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5</v>
      </c>
      <c r="P16" t="s">
        <v>10683</v>
      </c>
      <c r="Q16">
        <v>1.005</v>
      </c>
      <c r="R16" t="s">
        <v>10266</v>
      </c>
      <c r="S16">
        <v>1</v>
      </c>
    </row>
    <row r="17" spans="1:19">
      <c r="A17" t="s">
        <v>32</v>
      </c>
      <c r="B17" t="s">
        <v>457</v>
      </c>
      <c r="C17">
        <f>"5008724"</f>
        <v>0</v>
      </c>
      <c r="D17">
        <v>33</v>
      </c>
      <c r="E17">
        <v>3</v>
      </c>
      <c r="F17">
        <v>0</v>
      </c>
      <c r="G17">
        <v>1</v>
      </c>
      <c r="H17">
        <v>37</v>
      </c>
      <c r="I17">
        <v>2</v>
      </c>
      <c r="J17">
        <v>2</v>
      </c>
      <c r="K17">
        <v>5.13</v>
      </c>
      <c r="L17" s="2">
        <v>3</v>
      </c>
      <c r="M17">
        <v>0</v>
      </c>
      <c r="N17" s="2">
        <v>0</v>
      </c>
      <c r="O17">
        <v>4.6</v>
      </c>
      <c r="P17" t="s">
        <v>10329</v>
      </c>
      <c r="Q17">
        <v>2.469</v>
      </c>
      <c r="R17" t="s">
        <v>10712</v>
      </c>
      <c r="S17">
        <v>1</v>
      </c>
    </row>
    <row r="18" spans="1:19">
      <c r="A18" t="s">
        <v>32</v>
      </c>
      <c r="B18" t="s">
        <v>478</v>
      </c>
      <c r="C18">
        <f>"5008726"</f>
        <v>0</v>
      </c>
      <c r="D18">
        <v>7</v>
      </c>
      <c r="E18">
        <v>11</v>
      </c>
      <c r="F18">
        <v>2</v>
      </c>
      <c r="G18">
        <v>0</v>
      </c>
      <c r="H18">
        <v>20</v>
      </c>
      <c r="I18">
        <v>4.5</v>
      </c>
      <c r="J18">
        <v>0</v>
      </c>
      <c r="K18">
        <v>0</v>
      </c>
      <c r="L18" s="2">
        <v>0</v>
      </c>
      <c r="M18">
        <v>4</v>
      </c>
      <c r="N18" s="2">
        <v>0</v>
      </c>
      <c r="O18">
        <v>4.5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32</v>
      </c>
      <c r="B19" t="s">
        <v>1510</v>
      </c>
      <c r="C19">
        <f>"HCH055"</f>
        <v>0</v>
      </c>
      <c r="D19">
        <v>25</v>
      </c>
      <c r="E19">
        <v>9</v>
      </c>
      <c r="F19">
        <v>11</v>
      </c>
      <c r="G19">
        <v>2</v>
      </c>
      <c r="H19">
        <v>47</v>
      </c>
      <c r="I19">
        <v>10</v>
      </c>
      <c r="J19">
        <v>8</v>
      </c>
      <c r="K19">
        <v>135.92</v>
      </c>
      <c r="L19" s="2">
        <v>17</v>
      </c>
      <c r="M19">
        <v>3</v>
      </c>
      <c r="N19" s="2">
        <v>51</v>
      </c>
      <c r="O19">
        <v>4.4</v>
      </c>
      <c r="P19" t="s">
        <v>10684</v>
      </c>
      <c r="Q19">
        <v>6.34</v>
      </c>
      <c r="R19" t="s">
        <v>10713</v>
      </c>
      <c r="S19">
        <v>0</v>
      </c>
    </row>
    <row r="20" spans="1:19">
      <c r="A20" t="s">
        <v>32</v>
      </c>
      <c r="B20" t="s">
        <v>1654</v>
      </c>
      <c r="C20">
        <f>"5006750"</f>
        <v>0</v>
      </c>
      <c r="D20">
        <v>2</v>
      </c>
      <c r="E20">
        <v>3</v>
      </c>
      <c r="F20">
        <v>3</v>
      </c>
      <c r="G20">
        <v>2</v>
      </c>
      <c r="H20">
        <v>10</v>
      </c>
      <c r="I20">
        <v>2.5</v>
      </c>
      <c r="J20">
        <v>2</v>
      </c>
      <c r="K20">
        <v>26.1</v>
      </c>
      <c r="L20" s="2">
        <v>13</v>
      </c>
      <c r="M20">
        <v>2</v>
      </c>
      <c r="N20" s="2">
        <v>26</v>
      </c>
      <c r="O20">
        <v>4.1</v>
      </c>
      <c r="P20" t="s">
        <v>10685</v>
      </c>
      <c r="Q20">
        <v>4.135</v>
      </c>
      <c r="R20" t="s">
        <v>10714</v>
      </c>
      <c r="S20">
        <v>0</v>
      </c>
    </row>
    <row r="21" spans="1:19">
      <c r="A21" t="s">
        <v>32</v>
      </c>
      <c r="B21" t="s">
        <v>2321</v>
      </c>
      <c r="C21">
        <f>"1022236"</f>
        <v>0</v>
      </c>
      <c r="D21">
        <v>0</v>
      </c>
      <c r="E21">
        <v>0</v>
      </c>
      <c r="F21">
        <v>0</v>
      </c>
      <c r="G21">
        <v>1</v>
      </c>
      <c r="H21">
        <v>1</v>
      </c>
      <c r="I21">
        <v>0</v>
      </c>
      <c r="J21">
        <v>1</v>
      </c>
      <c r="K21">
        <v>12.215</v>
      </c>
      <c r="L21" s="2">
        <v>12</v>
      </c>
      <c r="M21">
        <v>0</v>
      </c>
      <c r="N21" s="2">
        <v>0</v>
      </c>
      <c r="O21">
        <v>3.8</v>
      </c>
      <c r="P21" t="s">
        <v>10686</v>
      </c>
      <c r="Q21">
        <v>3.667</v>
      </c>
      <c r="R21" t="s">
        <v>10715</v>
      </c>
      <c r="S21">
        <v>1</v>
      </c>
    </row>
    <row r="22" spans="1:19">
      <c r="A22" t="s">
        <v>32</v>
      </c>
      <c r="B22" t="s">
        <v>2330</v>
      </c>
      <c r="C22">
        <f>"5009495"</f>
        <v>0</v>
      </c>
      <c r="D22">
        <v>0</v>
      </c>
      <c r="E22">
        <v>0</v>
      </c>
      <c r="F22">
        <v>0</v>
      </c>
      <c r="G22">
        <v>1</v>
      </c>
      <c r="H22">
        <v>1</v>
      </c>
      <c r="I22">
        <v>0</v>
      </c>
      <c r="J22">
        <v>1</v>
      </c>
      <c r="K22">
        <v>6.05</v>
      </c>
      <c r="L22" s="2">
        <v>6</v>
      </c>
      <c r="M22">
        <v>0</v>
      </c>
      <c r="N22" s="2">
        <v>0</v>
      </c>
      <c r="O22">
        <v>3.8</v>
      </c>
      <c r="P22" t="s">
        <v>10687</v>
      </c>
      <c r="Q22">
        <v>2.093</v>
      </c>
      <c r="R22" t="s">
        <v>10716</v>
      </c>
      <c r="S22">
        <v>1</v>
      </c>
    </row>
    <row r="23" spans="1:19">
      <c r="A23" t="s">
        <v>32</v>
      </c>
      <c r="B23" t="s">
        <v>2323</v>
      </c>
      <c r="C23">
        <f>"500775"</f>
        <v>0</v>
      </c>
      <c r="D23">
        <v>0</v>
      </c>
      <c r="E23">
        <v>0</v>
      </c>
      <c r="F23">
        <v>0</v>
      </c>
      <c r="G23">
        <v>1</v>
      </c>
      <c r="H23">
        <v>1</v>
      </c>
      <c r="I23">
        <v>0</v>
      </c>
      <c r="J23">
        <v>1</v>
      </c>
      <c r="K23">
        <v>9.220000000000001</v>
      </c>
      <c r="L23" s="2">
        <v>9</v>
      </c>
      <c r="M23">
        <v>0</v>
      </c>
      <c r="N23" s="2">
        <v>0</v>
      </c>
      <c r="O23">
        <v>3.8</v>
      </c>
      <c r="P23" t="s">
        <v>10688</v>
      </c>
      <c r="Q23">
        <v>3.125</v>
      </c>
      <c r="R23" t="s">
        <v>10717</v>
      </c>
      <c r="S23">
        <v>1</v>
      </c>
    </row>
    <row r="24" spans="1:19">
      <c r="A24" t="s">
        <v>32</v>
      </c>
      <c r="B24" t="s">
        <v>2322</v>
      </c>
      <c r="C24">
        <f>"1009449"</f>
        <v>0</v>
      </c>
      <c r="D24">
        <v>0</v>
      </c>
      <c r="E24">
        <v>0</v>
      </c>
      <c r="F24">
        <v>0</v>
      </c>
      <c r="G24">
        <v>1</v>
      </c>
      <c r="H24">
        <v>1</v>
      </c>
      <c r="I24">
        <v>0</v>
      </c>
      <c r="J24">
        <v>1</v>
      </c>
      <c r="K24">
        <v>13.32</v>
      </c>
      <c r="L24" s="2">
        <v>13</v>
      </c>
      <c r="M24">
        <v>0</v>
      </c>
      <c r="N24" s="2">
        <v>0</v>
      </c>
      <c r="O24">
        <v>3.8</v>
      </c>
      <c r="P24" t="s">
        <v>10689</v>
      </c>
      <c r="Q24">
        <v>3.403</v>
      </c>
      <c r="R24" t="s">
        <v>10718</v>
      </c>
      <c r="S24">
        <v>1</v>
      </c>
    </row>
    <row r="25" spans="1:19">
      <c r="A25" t="s">
        <v>32</v>
      </c>
      <c r="B25" t="s">
        <v>1956</v>
      </c>
      <c r="C25">
        <f>"5007617"</f>
        <v>0</v>
      </c>
      <c r="D25">
        <v>1</v>
      </c>
      <c r="E25">
        <v>1</v>
      </c>
      <c r="F25">
        <v>0</v>
      </c>
      <c r="G25">
        <v>1</v>
      </c>
      <c r="H25">
        <v>3</v>
      </c>
      <c r="I25">
        <v>1</v>
      </c>
      <c r="J25">
        <v>2</v>
      </c>
      <c r="K25">
        <v>22.52</v>
      </c>
      <c r="L25" s="2">
        <v>11</v>
      </c>
      <c r="M25">
        <v>0</v>
      </c>
      <c r="N25" s="2">
        <v>0</v>
      </c>
      <c r="O25">
        <v>3.6</v>
      </c>
      <c r="P25" t="s">
        <v>10690</v>
      </c>
      <c r="Q25">
        <v>4.362</v>
      </c>
      <c r="R25" t="s">
        <v>10719</v>
      </c>
      <c r="S25">
        <v>1</v>
      </c>
    </row>
    <row r="26" spans="1:19">
      <c r="A26" t="s">
        <v>32</v>
      </c>
      <c r="B26" t="s">
        <v>526</v>
      </c>
      <c r="C26">
        <f>"5005050"</f>
        <v>0</v>
      </c>
      <c r="D26">
        <v>7</v>
      </c>
      <c r="E26">
        <v>0</v>
      </c>
      <c r="F26">
        <v>7</v>
      </c>
      <c r="G26">
        <v>0</v>
      </c>
      <c r="H26">
        <v>14</v>
      </c>
      <c r="I26">
        <v>3.5</v>
      </c>
      <c r="J26">
        <v>0</v>
      </c>
      <c r="K26">
        <v>0</v>
      </c>
      <c r="L26" s="2">
        <v>0</v>
      </c>
      <c r="M26">
        <v>4</v>
      </c>
      <c r="N26" s="2">
        <v>0</v>
      </c>
      <c r="O26">
        <v>3.5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32</v>
      </c>
      <c r="B27" t="s">
        <v>676</v>
      </c>
      <c r="C27">
        <f>"1020938"</f>
        <v>0</v>
      </c>
      <c r="D27">
        <v>2</v>
      </c>
      <c r="E27">
        <v>2</v>
      </c>
      <c r="F27">
        <v>1</v>
      </c>
      <c r="G27">
        <v>1</v>
      </c>
      <c r="H27">
        <v>6</v>
      </c>
      <c r="I27">
        <v>1.5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3.5</v>
      </c>
      <c r="P27" t="s">
        <v>10618</v>
      </c>
      <c r="Q27">
        <v>3.447</v>
      </c>
      <c r="R27" t="s">
        <v>10720</v>
      </c>
      <c r="S27">
        <v>0</v>
      </c>
    </row>
    <row r="28" spans="1:19">
      <c r="A28" t="s">
        <v>32</v>
      </c>
      <c r="B28" t="s">
        <v>679</v>
      </c>
      <c r="C28">
        <f>"1014066"</f>
        <v>0</v>
      </c>
      <c r="D28">
        <v>2</v>
      </c>
      <c r="E28">
        <v>1</v>
      </c>
      <c r="F28">
        <v>2</v>
      </c>
      <c r="G28">
        <v>1</v>
      </c>
      <c r="H28">
        <v>6</v>
      </c>
      <c r="I28">
        <v>1.5</v>
      </c>
      <c r="J28">
        <v>0</v>
      </c>
      <c r="K28">
        <v>0</v>
      </c>
      <c r="L28" s="2">
        <v>0</v>
      </c>
      <c r="M28">
        <v>2</v>
      </c>
      <c r="N28" s="2">
        <v>0</v>
      </c>
      <c r="O28">
        <v>3.5</v>
      </c>
      <c r="P28" t="s">
        <v>10691</v>
      </c>
      <c r="Q28">
        <v>2.66</v>
      </c>
      <c r="R28" t="s">
        <v>10721</v>
      </c>
      <c r="S28">
        <v>0</v>
      </c>
    </row>
    <row r="29" spans="1:19">
      <c r="A29" t="s">
        <v>32</v>
      </c>
      <c r="B29" t="s">
        <v>500</v>
      </c>
      <c r="C29">
        <f>"5008725"</f>
        <v>0</v>
      </c>
      <c r="D29">
        <v>4</v>
      </c>
      <c r="E29">
        <v>11</v>
      </c>
      <c r="F29">
        <v>2</v>
      </c>
      <c r="G29">
        <v>0</v>
      </c>
      <c r="H29">
        <v>17</v>
      </c>
      <c r="I29">
        <v>3</v>
      </c>
      <c r="J29">
        <v>0</v>
      </c>
      <c r="K29">
        <v>0</v>
      </c>
      <c r="L29" s="2">
        <v>0</v>
      </c>
      <c r="M29">
        <v>3</v>
      </c>
      <c r="N29" s="2">
        <v>0</v>
      </c>
      <c r="O29">
        <v>3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32</v>
      </c>
      <c r="B30" t="s">
        <v>952</v>
      </c>
      <c r="C30">
        <f>"5006748"</f>
        <v>0</v>
      </c>
      <c r="D30">
        <v>0</v>
      </c>
      <c r="E30">
        <v>0</v>
      </c>
      <c r="F30">
        <v>1</v>
      </c>
      <c r="G30">
        <v>1</v>
      </c>
      <c r="H30">
        <v>2</v>
      </c>
      <c r="I30">
        <v>0.5</v>
      </c>
      <c r="J30">
        <v>0</v>
      </c>
      <c r="K30">
        <v>0</v>
      </c>
      <c r="L30" s="2">
        <v>0</v>
      </c>
      <c r="M30">
        <v>1</v>
      </c>
      <c r="N30" s="2">
        <v>0</v>
      </c>
      <c r="O30">
        <v>2.5</v>
      </c>
      <c r="P30" t="s">
        <v>10692</v>
      </c>
      <c r="Q30">
        <v>2.578</v>
      </c>
      <c r="R30" t="s">
        <v>10264</v>
      </c>
      <c r="S30">
        <v>0</v>
      </c>
    </row>
    <row r="31" spans="1:19">
      <c r="A31" t="s">
        <v>32</v>
      </c>
      <c r="B31" t="s">
        <v>1593</v>
      </c>
      <c r="C31">
        <f>"1019487"</f>
        <v>0</v>
      </c>
      <c r="D31">
        <v>21</v>
      </c>
      <c r="E31">
        <v>9</v>
      </c>
      <c r="F31">
        <v>6</v>
      </c>
      <c r="G31">
        <v>4</v>
      </c>
      <c r="H31">
        <v>40</v>
      </c>
      <c r="I31">
        <v>7.5</v>
      </c>
      <c r="J31">
        <v>11</v>
      </c>
      <c r="K31">
        <v>147.09</v>
      </c>
      <c r="L31" s="2">
        <v>13</v>
      </c>
      <c r="M31">
        <v>0</v>
      </c>
      <c r="N31" s="2">
        <v>0</v>
      </c>
      <c r="O31">
        <v>2.300000000000001</v>
      </c>
      <c r="P31" t="s">
        <v>10693</v>
      </c>
      <c r="Q31">
        <v>11.693</v>
      </c>
      <c r="R31" t="s">
        <v>10722</v>
      </c>
      <c r="S31">
        <v>0</v>
      </c>
    </row>
    <row r="32" spans="1:19">
      <c r="A32" t="s">
        <v>32</v>
      </c>
      <c r="B32" t="s">
        <v>292</v>
      </c>
      <c r="C32">
        <f>"1022556"</f>
        <v>0</v>
      </c>
      <c r="D32">
        <v>1</v>
      </c>
      <c r="E32">
        <v>1</v>
      </c>
      <c r="F32">
        <v>5</v>
      </c>
      <c r="G32">
        <v>1</v>
      </c>
      <c r="H32">
        <v>8</v>
      </c>
      <c r="I32">
        <v>1</v>
      </c>
      <c r="J32">
        <v>1</v>
      </c>
      <c r="K32">
        <v>22.233</v>
      </c>
      <c r="L32" s="2">
        <v>22</v>
      </c>
      <c r="M32">
        <v>0</v>
      </c>
      <c r="N32" s="2">
        <v>0</v>
      </c>
      <c r="O32">
        <v>1.8</v>
      </c>
      <c r="P32" t="s">
        <v>10694</v>
      </c>
      <c r="Q32">
        <v>2.893</v>
      </c>
      <c r="R32" t="s">
        <v>10420</v>
      </c>
      <c r="S32">
        <v>0</v>
      </c>
    </row>
    <row r="33" spans="1:19">
      <c r="A33" t="s">
        <v>32</v>
      </c>
      <c r="B33" t="s">
        <v>292</v>
      </c>
      <c r="C33">
        <f>"PFI075"</f>
        <v>0</v>
      </c>
      <c r="D33">
        <v>0</v>
      </c>
      <c r="E33">
        <v>0</v>
      </c>
      <c r="F33">
        <v>0</v>
      </c>
      <c r="G33">
        <v>1</v>
      </c>
      <c r="H33">
        <v>1</v>
      </c>
      <c r="I33">
        <v>0</v>
      </c>
      <c r="J33">
        <v>3</v>
      </c>
      <c r="K33">
        <v>10.704</v>
      </c>
      <c r="L33" s="2">
        <v>4</v>
      </c>
      <c r="M33">
        <v>0</v>
      </c>
      <c r="N33" s="2">
        <v>0</v>
      </c>
      <c r="O33">
        <v>1.4</v>
      </c>
      <c r="P33" t="s">
        <v>10695</v>
      </c>
      <c r="Q33">
        <v>765</v>
      </c>
      <c r="R33" t="s">
        <v>10723</v>
      </c>
      <c r="S33">
        <v>1</v>
      </c>
    </row>
    <row r="34" spans="1:19">
      <c r="A34" t="s">
        <v>32</v>
      </c>
      <c r="B34" t="s">
        <v>1773</v>
      </c>
      <c r="C34">
        <f>"5006754"</f>
        <v>0</v>
      </c>
      <c r="D34">
        <v>0</v>
      </c>
      <c r="E34">
        <v>0</v>
      </c>
      <c r="F34">
        <v>6</v>
      </c>
      <c r="G34">
        <v>2</v>
      </c>
      <c r="H34">
        <v>8</v>
      </c>
      <c r="I34">
        <v>1</v>
      </c>
      <c r="J34">
        <v>3</v>
      </c>
      <c r="K34">
        <v>60.116</v>
      </c>
      <c r="L34" s="2">
        <v>20</v>
      </c>
      <c r="M34">
        <v>0</v>
      </c>
      <c r="N34" s="2">
        <v>0</v>
      </c>
      <c r="O34">
        <v>1.4</v>
      </c>
      <c r="P34" t="s">
        <v>10696</v>
      </c>
      <c r="Q34">
        <v>12.52</v>
      </c>
      <c r="R34" t="s">
        <v>10724</v>
      </c>
      <c r="S34">
        <v>0</v>
      </c>
    </row>
    <row r="35" spans="1:19">
      <c r="A35" t="s">
        <v>32</v>
      </c>
      <c r="B35" t="s">
        <v>401</v>
      </c>
      <c r="C35">
        <f>"5006747"</f>
        <v>0</v>
      </c>
      <c r="D35">
        <v>0</v>
      </c>
      <c r="E35">
        <v>2</v>
      </c>
      <c r="F35">
        <v>2</v>
      </c>
      <c r="G35">
        <v>1</v>
      </c>
      <c r="H35">
        <v>5</v>
      </c>
      <c r="I35">
        <v>1.5</v>
      </c>
      <c r="J35">
        <v>2</v>
      </c>
      <c r="K35">
        <v>9.537000000000001</v>
      </c>
      <c r="L35" s="2">
        <v>5</v>
      </c>
      <c r="M35">
        <v>0</v>
      </c>
      <c r="N35" s="2">
        <v>0</v>
      </c>
      <c r="O35">
        <v>1.1</v>
      </c>
      <c r="P35" t="s">
        <v>10697</v>
      </c>
      <c r="Q35">
        <v>434</v>
      </c>
      <c r="R35" t="s">
        <v>10725</v>
      </c>
      <c r="S35">
        <v>0</v>
      </c>
    </row>
    <row r="36" spans="1:19">
      <c r="A36" t="s">
        <v>32</v>
      </c>
      <c r="B36" t="s">
        <v>656</v>
      </c>
      <c r="C36">
        <f>"1017779"</f>
        <v>0</v>
      </c>
      <c r="D36">
        <v>5</v>
      </c>
      <c r="E36">
        <v>2</v>
      </c>
      <c r="F36">
        <v>0</v>
      </c>
      <c r="G36">
        <v>0</v>
      </c>
      <c r="H36">
        <v>7</v>
      </c>
      <c r="I36">
        <v>1</v>
      </c>
      <c r="J36">
        <v>0</v>
      </c>
      <c r="K36">
        <v>0</v>
      </c>
      <c r="L36" s="2">
        <v>0</v>
      </c>
      <c r="M36">
        <v>1</v>
      </c>
      <c r="N36" s="2">
        <v>0</v>
      </c>
      <c r="O36">
        <v>1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32</v>
      </c>
      <c r="B37" t="s">
        <v>1099</v>
      </c>
      <c r="C37">
        <f>"6510013165"</f>
        <v>0</v>
      </c>
      <c r="D37">
        <v>0</v>
      </c>
      <c r="E37">
        <v>1</v>
      </c>
      <c r="F37">
        <v>1</v>
      </c>
      <c r="G37">
        <v>0</v>
      </c>
      <c r="H37">
        <v>2</v>
      </c>
      <c r="I37">
        <v>0.5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0.5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32</v>
      </c>
      <c r="B38" t="s">
        <v>833</v>
      </c>
      <c r="C38">
        <f>"5005396"</f>
        <v>0</v>
      </c>
      <c r="D38">
        <v>3</v>
      </c>
      <c r="E38">
        <v>1</v>
      </c>
      <c r="F38">
        <v>0</v>
      </c>
      <c r="G38">
        <v>0</v>
      </c>
      <c r="H38">
        <v>4</v>
      </c>
      <c r="I38">
        <v>0.5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0.5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32</v>
      </c>
      <c r="B39" t="s">
        <v>1106</v>
      </c>
      <c r="C39">
        <f>"CHEMIULTR5"</f>
        <v>0</v>
      </c>
      <c r="D39">
        <v>1</v>
      </c>
      <c r="E39">
        <v>0</v>
      </c>
      <c r="F39">
        <v>1</v>
      </c>
      <c r="G39">
        <v>0</v>
      </c>
      <c r="H39">
        <v>2</v>
      </c>
      <c r="I39">
        <v>0.5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0.5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32</v>
      </c>
      <c r="B40" t="s">
        <v>1124</v>
      </c>
      <c r="C40">
        <f>"VETZTS0045"</f>
        <v>0</v>
      </c>
      <c r="D40">
        <v>1</v>
      </c>
      <c r="E40">
        <v>0</v>
      </c>
      <c r="F40">
        <v>1</v>
      </c>
      <c r="G40">
        <v>0</v>
      </c>
      <c r="H40">
        <v>2</v>
      </c>
      <c r="I40">
        <v>0.5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0.5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32</v>
      </c>
      <c r="B41" t="s">
        <v>786</v>
      </c>
      <c r="C41">
        <f>"5000890"</f>
        <v>0</v>
      </c>
      <c r="D41">
        <v>1</v>
      </c>
      <c r="E41">
        <v>0</v>
      </c>
      <c r="F41">
        <v>3</v>
      </c>
      <c r="G41">
        <v>0</v>
      </c>
      <c r="H41">
        <v>4</v>
      </c>
      <c r="I41">
        <v>0.5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0.5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32</v>
      </c>
      <c r="B42" t="s">
        <v>693</v>
      </c>
      <c r="C42">
        <f>"1009443"</f>
        <v>0</v>
      </c>
      <c r="D42">
        <v>1</v>
      </c>
      <c r="E42">
        <v>0</v>
      </c>
      <c r="F42">
        <v>5</v>
      </c>
      <c r="G42">
        <v>0</v>
      </c>
      <c r="H42">
        <v>6</v>
      </c>
      <c r="I42">
        <v>0.5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0.5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32</v>
      </c>
      <c r="B43" t="s">
        <v>1644</v>
      </c>
      <c r="C43">
        <f>"1009446"</f>
        <v>0</v>
      </c>
      <c r="D43">
        <v>3</v>
      </c>
      <c r="E43">
        <v>1</v>
      </c>
      <c r="F43">
        <v>2</v>
      </c>
      <c r="G43">
        <v>0</v>
      </c>
      <c r="H43">
        <v>6</v>
      </c>
      <c r="I43">
        <v>1.5</v>
      </c>
      <c r="J43">
        <v>1</v>
      </c>
      <c r="K43">
        <v>8.352</v>
      </c>
      <c r="L43" s="2">
        <v>8</v>
      </c>
      <c r="M43">
        <v>0</v>
      </c>
      <c r="N43" s="2">
        <v>0</v>
      </c>
      <c r="O43">
        <v>0.3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32</v>
      </c>
      <c r="B44" t="s">
        <v>5573</v>
      </c>
      <c r="C44">
        <f>"5000197"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32</v>
      </c>
      <c r="B45" t="s">
        <v>8345</v>
      </c>
      <c r="C45">
        <f>"1008134"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32</v>
      </c>
      <c r="B46" t="s">
        <v>8347</v>
      </c>
      <c r="C46">
        <f>"1000142"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32</v>
      </c>
      <c r="B47" t="s">
        <v>1265</v>
      </c>
      <c r="C47">
        <f>"5000200"</f>
        <v>0</v>
      </c>
      <c r="D47">
        <v>1</v>
      </c>
      <c r="E47">
        <v>0</v>
      </c>
      <c r="F47">
        <v>0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32</v>
      </c>
      <c r="B48" t="s">
        <v>1471</v>
      </c>
      <c r="C48">
        <f>"1021009"</f>
        <v>0</v>
      </c>
      <c r="D48">
        <v>1</v>
      </c>
      <c r="E48">
        <v>0</v>
      </c>
      <c r="F48">
        <v>0</v>
      </c>
      <c r="G48">
        <v>0</v>
      </c>
      <c r="H48">
        <v>1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32</v>
      </c>
      <c r="B49" t="s">
        <v>7474</v>
      </c>
      <c r="C49">
        <f>"6510013166"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32</v>
      </c>
      <c r="B50" t="s">
        <v>1233</v>
      </c>
      <c r="C50">
        <f>"5000203"</f>
        <v>0</v>
      </c>
      <c r="D50">
        <v>0</v>
      </c>
      <c r="E50">
        <v>1</v>
      </c>
      <c r="F50">
        <v>0</v>
      </c>
      <c r="G50">
        <v>0</v>
      </c>
      <c r="H50">
        <v>1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32</v>
      </c>
      <c r="B51" t="s">
        <v>3193</v>
      </c>
      <c r="C51">
        <f>"5000261"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32</v>
      </c>
      <c r="B52" t="s">
        <v>5868</v>
      </c>
      <c r="C52">
        <f>"1014060"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32</v>
      </c>
      <c r="B53" t="s">
        <v>8654</v>
      </c>
      <c r="C53">
        <f>"1589228777972"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32</v>
      </c>
      <c r="B54" t="s">
        <v>9760</v>
      </c>
      <c r="C54">
        <f>"5001328"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32</v>
      </c>
      <c r="B55" t="s">
        <v>8575</v>
      </c>
      <c r="C55">
        <f>"PCE49"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32</v>
      </c>
      <c r="B56" t="s">
        <v>8542</v>
      </c>
      <c r="C56">
        <f>"1012470"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32</v>
      </c>
      <c r="B57" t="s">
        <v>8801</v>
      </c>
      <c r="C57">
        <f>"1016734"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32</v>
      </c>
      <c r="B58" t="s">
        <v>1222</v>
      </c>
      <c r="C58">
        <f>"1003664"</f>
        <v>0</v>
      </c>
      <c r="D58">
        <v>1</v>
      </c>
      <c r="E58">
        <v>0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32</v>
      </c>
      <c r="B59" t="s">
        <v>8864</v>
      </c>
      <c r="C59">
        <f>"1008204"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32</v>
      </c>
      <c r="B60" t="s">
        <v>936</v>
      </c>
      <c r="C60">
        <f>"HEM60"</f>
        <v>0</v>
      </c>
      <c r="D60">
        <v>0</v>
      </c>
      <c r="E60">
        <v>0</v>
      </c>
      <c r="F60">
        <v>3</v>
      </c>
      <c r="G60">
        <v>0</v>
      </c>
      <c r="H60">
        <v>3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32</v>
      </c>
      <c r="B61" t="s">
        <v>1503</v>
      </c>
      <c r="C61">
        <f>"1003637"</f>
        <v>0</v>
      </c>
      <c r="D61">
        <v>1</v>
      </c>
      <c r="E61">
        <v>0</v>
      </c>
      <c r="F61">
        <v>0</v>
      </c>
      <c r="G61">
        <v>0</v>
      </c>
      <c r="H61">
        <v>1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32</v>
      </c>
      <c r="B62" t="s">
        <v>1484</v>
      </c>
      <c r="C62">
        <f>"13201012"</f>
        <v>0</v>
      </c>
      <c r="D62">
        <v>0</v>
      </c>
      <c r="E62">
        <v>0</v>
      </c>
      <c r="F62">
        <v>1</v>
      </c>
      <c r="G62">
        <v>0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32</v>
      </c>
      <c r="B63" t="s">
        <v>9707</v>
      </c>
      <c r="C63">
        <f>"74840601277"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32</v>
      </c>
      <c r="B64" t="s">
        <v>9706</v>
      </c>
      <c r="C64">
        <f>"748406012783"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32</v>
      </c>
      <c r="B65" t="s">
        <v>732</v>
      </c>
      <c r="C65">
        <f>"13201005"</f>
        <v>0</v>
      </c>
      <c r="D65">
        <v>0</v>
      </c>
      <c r="E65">
        <v>0</v>
      </c>
      <c r="F65">
        <v>5</v>
      </c>
      <c r="G65">
        <v>0</v>
      </c>
      <c r="H65">
        <v>5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32</v>
      </c>
      <c r="B66" t="s">
        <v>9536</v>
      </c>
      <c r="C66">
        <f>"EHL007"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32</v>
      </c>
      <c r="B67" t="s">
        <v>1336</v>
      </c>
      <c r="C67">
        <f>"5000332"</f>
        <v>0</v>
      </c>
      <c r="D67">
        <v>0</v>
      </c>
      <c r="E67">
        <v>1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32</v>
      </c>
      <c r="B68" t="s">
        <v>6911</v>
      </c>
      <c r="C68">
        <f>"PCE02"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32</v>
      </c>
      <c r="B69" t="s">
        <v>9704</v>
      </c>
      <c r="C69">
        <f>"AGR096"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32</v>
      </c>
      <c r="B70" t="s">
        <v>9705</v>
      </c>
      <c r="C70">
        <f>"748406030633"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32</v>
      </c>
      <c r="B71" t="s">
        <v>9633</v>
      </c>
      <c r="C71">
        <f>"CHE093"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32</v>
      </c>
      <c r="B72" t="s">
        <v>9526</v>
      </c>
      <c r="C72">
        <f>"VETDKS0049"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32</v>
      </c>
      <c r="B73" t="s">
        <v>9663</v>
      </c>
      <c r="C73">
        <f>"APPCR"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32</v>
      </c>
      <c r="B74" t="s">
        <v>9999</v>
      </c>
      <c r="C74">
        <f>"PCE15"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32</v>
      </c>
      <c r="B75" t="s">
        <v>10000</v>
      </c>
      <c r="C75">
        <f>"5002394"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32</v>
      </c>
      <c r="B76" t="s">
        <v>10001</v>
      </c>
      <c r="C76">
        <f>"1583855393116"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32</v>
      </c>
      <c r="B77" t="s">
        <v>10031</v>
      </c>
      <c r="C77">
        <f>"Z015003951"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32</v>
      </c>
      <c r="B78" t="s">
        <v>9467</v>
      </c>
      <c r="C78">
        <f>"CHE069"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32</v>
      </c>
      <c r="B79" t="s">
        <v>9473</v>
      </c>
      <c r="C79">
        <f>"AZM00242"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32</v>
      </c>
      <c r="B80" t="s">
        <v>1066</v>
      </c>
      <c r="C80">
        <f>"1003662"</f>
        <v>0</v>
      </c>
      <c r="D80">
        <v>2</v>
      </c>
      <c r="E80">
        <v>0</v>
      </c>
      <c r="F80">
        <v>0</v>
      </c>
      <c r="G80">
        <v>0</v>
      </c>
      <c r="H80">
        <v>2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32</v>
      </c>
      <c r="B81" t="s">
        <v>1330</v>
      </c>
      <c r="C81">
        <f>"3411112251230"</f>
        <v>0</v>
      </c>
      <c r="D81">
        <v>1</v>
      </c>
      <c r="E81">
        <v>0</v>
      </c>
      <c r="F81">
        <v>0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32</v>
      </c>
      <c r="B82" t="s">
        <v>9629</v>
      </c>
      <c r="C82">
        <f>"5000051"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32</v>
      </c>
      <c r="B83" t="s">
        <v>1331</v>
      </c>
      <c r="C83">
        <f>"1020936"</f>
        <v>0</v>
      </c>
      <c r="D83">
        <v>1</v>
      </c>
      <c r="E83">
        <v>0</v>
      </c>
      <c r="F83">
        <v>0</v>
      </c>
      <c r="G83">
        <v>0</v>
      </c>
      <c r="H83">
        <v>1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32</v>
      </c>
      <c r="B84" t="s">
        <v>1337</v>
      </c>
      <c r="C84">
        <f>"1020937"</f>
        <v>0</v>
      </c>
      <c r="D84">
        <v>0</v>
      </c>
      <c r="E84">
        <v>0</v>
      </c>
      <c r="F84">
        <v>1</v>
      </c>
      <c r="G84">
        <v>0</v>
      </c>
      <c r="H84">
        <v>1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32</v>
      </c>
      <c r="B85" t="s">
        <v>1348</v>
      </c>
      <c r="C85">
        <f>"HEM30"</f>
        <v>0</v>
      </c>
      <c r="D85">
        <v>0</v>
      </c>
      <c r="E85">
        <v>0</v>
      </c>
      <c r="F85">
        <v>1</v>
      </c>
      <c r="G85">
        <v>0</v>
      </c>
      <c r="H85">
        <v>1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32</v>
      </c>
      <c r="B86" t="s">
        <v>10151</v>
      </c>
      <c r="C86">
        <f>"13201009"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32</v>
      </c>
      <c r="B87" t="s">
        <v>816</v>
      </c>
      <c r="C87">
        <f>"1007152"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32</v>
      </c>
      <c r="B88" t="s">
        <v>816</v>
      </c>
      <c r="C88">
        <f>"1018645"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32</v>
      </c>
      <c r="B89" t="s">
        <v>4118</v>
      </c>
      <c r="C89">
        <f>"1021925"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32</v>
      </c>
      <c r="B90" t="s">
        <v>816</v>
      </c>
      <c r="C90">
        <f>"1022326"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32</v>
      </c>
      <c r="B91" t="s">
        <v>816</v>
      </c>
      <c r="C91">
        <f>"1020658"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32</v>
      </c>
      <c r="B92" t="s">
        <v>4287</v>
      </c>
      <c r="C92">
        <f>"Z015010022"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32</v>
      </c>
      <c r="B93" t="s">
        <v>8899</v>
      </c>
      <c r="C93">
        <f>"400244"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32</v>
      </c>
      <c r="B94" t="s">
        <v>816</v>
      </c>
      <c r="C94">
        <f>"1020660"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32</v>
      </c>
      <c r="B95" t="s">
        <v>816</v>
      </c>
      <c r="C95">
        <f>"1020659"</f>
        <v>0</v>
      </c>
      <c r="D95">
        <v>4</v>
      </c>
      <c r="E95">
        <v>0</v>
      </c>
      <c r="F95">
        <v>0</v>
      </c>
      <c r="G95">
        <v>0</v>
      </c>
      <c r="H95">
        <v>4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32</v>
      </c>
      <c r="B96" t="s">
        <v>5574</v>
      </c>
      <c r="C96">
        <f>"5000204"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32</v>
      </c>
      <c r="B97" t="s">
        <v>3192</v>
      </c>
      <c r="C97">
        <f>"5000202"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32</v>
      </c>
      <c r="B98" t="s">
        <v>5572</v>
      </c>
      <c r="C98">
        <f>"5000262"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32</v>
      </c>
      <c r="B99" t="s">
        <v>5571</v>
      </c>
      <c r="C99">
        <f>"5000198"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32</v>
      </c>
      <c r="B100" t="s">
        <v>1232</v>
      </c>
      <c r="C100">
        <f>"5000264"</f>
        <v>0</v>
      </c>
      <c r="D100">
        <v>0</v>
      </c>
      <c r="E100">
        <v>0</v>
      </c>
      <c r="F100">
        <v>1</v>
      </c>
      <c r="G100">
        <v>0</v>
      </c>
      <c r="H100">
        <v>1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32</v>
      </c>
      <c r="B101" t="s">
        <v>3125</v>
      </c>
      <c r="C101">
        <f>"5000199"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32</v>
      </c>
      <c r="B102" t="s">
        <v>7787</v>
      </c>
      <c r="C102">
        <f>"Z015003954"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32</v>
      </c>
      <c r="B103" t="s">
        <v>7954</v>
      </c>
      <c r="C103">
        <f>"1021008"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32</v>
      </c>
      <c r="B104" t="s">
        <v>7788</v>
      </c>
      <c r="C104">
        <f>"Z015004005"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32</v>
      </c>
      <c r="B105" t="s">
        <v>9650</v>
      </c>
      <c r="C105">
        <f>"RCM061"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32</v>
      </c>
      <c r="B106" t="s">
        <v>8449</v>
      </c>
      <c r="C106">
        <f>"1019487v"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32</v>
      </c>
      <c r="B107" t="s">
        <v>6939</v>
      </c>
      <c r="C107">
        <f>"CHE013"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32</v>
      </c>
      <c r="B108" t="s">
        <v>9571</v>
      </c>
      <c r="C108">
        <f>"1589923366853"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32</v>
      </c>
      <c r="B109" t="s">
        <v>9540</v>
      </c>
      <c r="C109">
        <f>"5007614"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32</v>
      </c>
      <c r="B110" t="s">
        <v>6895</v>
      </c>
      <c r="C110">
        <f>"PCE03"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32</v>
      </c>
      <c r="B111" t="s">
        <v>6894</v>
      </c>
      <c r="C111">
        <f>"5002996"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32</v>
      </c>
      <c r="B112" t="s">
        <v>1276</v>
      </c>
      <c r="C112">
        <f>"5000201"</f>
        <v>0</v>
      </c>
      <c r="D112">
        <v>0</v>
      </c>
      <c r="E112">
        <v>1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32</v>
      </c>
      <c r="B113" t="s">
        <v>5875</v>
      </c>
      <c r="C113">
        <f>"5000267"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32</v>
      </c>
      <c r="B114" t="s">
        <v>1287</v>
      </c>
      <c r="C114">
        <f>"VETZTS0046"</f>
        <v>0</v>
      </c>
      <c r="D114">
        <v>0</v>
      </c>
      <c r="E114">
        <v>0</v>
      </c>
      <c r="F114">
        <v>1</v>
      </c>
      <c r="G114">
        <v>0</v>
      </c>
      <c r="H114">
        <v>1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32</v>
      </c>
      <c r="B115" t="s">
        <v>3438</v>
      </c>
      <c r="C115">
        <f>"VETZTS0047"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32</v>
      </c>
      <c r="B116" t="s">
        <v>7625</v>
      </c>
      <c r="C116">
        <f>"10221"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32</v>
      </c>
      <c r="B117" t="s">
        <v>1128</v>
      </c>
      <c r="C117">
        <f>"1020560"</f>
        <v>0</v>
      </c>
      <c r="D117">
        <v>2</v>
      </c>
      <c r="E117">
        <v>0</v>
      </c>
      <c r="F117">
        <v>0</v>
      </c>
      <c r="G117">
        <v>0</v>
      </c>
      <c r="H117">
        <v>2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32</v>
      </c>
      <c r="B118" t="s">
        <v>1377</v>
      </c>
      <c r="C118">
        <f>"1022116"</f>
        <v>0</v>
      </c>
      <c r="D118">
        <v>0</v>
      </c>
      <c r="E118">
        <v>1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32</v>
      </c>
      <c r="B119" t="s">
        <v>5033</v>
      </c>
      <c r="C119">
        <f>"1021959"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32</v>
      </c>
      <c r="B120" t="s">
        <v>5034</v>
      </c>
      <c r="C120">
        <f>"1021962"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32</v>
      </c>
      <c r="B121" t="s">
        <v>1378</v>
      </c>
      <c r="C121">
        <f>"1022118"</f>
        <v>0</v>
      </c>
      <c r="D121">
        <v>1</v>
      </c>
      <c r="E121">
        <v>0</v>
      </c>
      <c r="F121">
        <v>0</v>
      </c>
      <c r="G121">
        <v>0</v>
      </c>
      <c r="H121">
        <v>1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32</v>
      </c>
      <c r="B122" t="s">
        <v>5052</v>
      </c>
      <c r="C122">
        <f>"1021961"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32</v>
      </c>
      <c r="B123" t="s">
        <v>4624</v>
      </c>
      <c r="C123">
        <f>"1016266"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32</v>
      </c>
      <c r="B124" t="s">
        <v>4671</v>
      </c>
      <c r="C124">
        <f>"1012934"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32</v>
      </c>
      <c r="B125" t="s">
        <v>5315</v>
      </c>
      <c r="C125">
        <f>"5009765"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32</v>
      </c>
      <c r="B126" t="s">
        <v>5035</v>
      </c>
      <c r="C126">
        <f>"1022121"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32</v>
      </c>
      <c r="B127" t="s">
        <v>1175</v>
      </c>
      <c r="C127">
        <f>"z011020560"</f>
        <v>0</v>
      </c>
      <c r="D127">
        <v>1</v>
      </c>
      <c r="E127">
        <v>0</v>
      </c>
      <c r="F127">
        <v>0</v>
      </c>
      <c r="G127">
        <v>0</v>
      </c>
      <c r="H127">
        <v>1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32</v>
      </c>
      <c r="B128" t="s">
        <v>4623</v>
      </c>
      <c r="C128">
        <f>"ANS24"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32</v>
      </c>
      <c r="B129" t="s">
        <v>4690</v>
      </c>
      <c r="C129">
        <f>"5001529"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32</v>
      </c>
      <c r="B130" t="s">
        <v>5995</v>
      </c>
      <c r="C130">
        <f>"5003952"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32</v>
      </c>
      <c r="B131" t="s">
        <v>5970</v>
      </c>
      <c r="C131">
        <f>"50039522"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32</v>
      </c>
      <c r="B132" t="s">
        <v>5971</v>
      </c>
      <c r="C132">
        <f>"5003953"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32</v>
      </c>
      <c r="B133" t="s">
        <v>4694</v>
      </c>
      <c r="C133">
        <f>"5005973"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32</v>
      </c>
      <c r="B134" t="s">
        <v>4693</v>
      </c>
      <c r="C134">
        <f>"5005971"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32</v>
      </c>
      <c r="B135" t="s">
        <v>4696</v>
      </c>
      <c r="C135">
        <f>"5005972"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32</v>
      </c>
      <c r="B136" t="s">
        <v>4695</v>
      </c>
      <c r="C136">
        <f>"5005970"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32</v>
      </c>
      <c r="B137" t="s">
        <v>4692</v>
      </c>
      <c r="C137">
        <f>"1006557"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32</v>
      </c>
      <c r="B138" t="s">
        <v>4691</v>
      </c>
      <c r="C138">
        <f>"1006556"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32</v>
      </c>
      <c r="B139" t="s">
        <v>1176</v>
      </c>
      <c r="C139">
        <f>"1020719"</f>
        <v>0</v>
      </c>
      <c r="D139">
        <v>0</v>
      </c>
      <c r="E139">
        <v>0</v>
      </c>
      <c r="F139">
        <v>1</v>
      </c>
      <c r="G139">
        <v>0</v>
      </c>
      <c r="H139">
        <v>1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32</v>
      </c>
      <c r="B140" t="s">
        <v>5316</v>
      </c>
      <c r="C140">
        <f>"Z011021945"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32</v>
      </c>
      <c r="B141" t="s">
        <v>4689</v>
      </c>
      <c r="C141">
        <f>"1012935"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32</v>
      </c>
      <c r="B142" t="s">
        <v>4688</v>
      </c>
      <c r="C142">
        <f>"1012927"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32</v>
      </c>
      <c r="B143" t="s">
        <v>4625</v>
      </c>
      <c r="C143">
        <f>"5002842"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32</v>
      </c>
      <c r="B144" t="s">
        <v>4626</v>
      </c>
      <c r="C144">
        <f>"5000365"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32</v>
      </c>
      <c r="B145" t="s">
        <v>4119</v>
      </c>
      <c r="C145">
        <f>"1016286"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32</v>
      </c>
      <c r="B146" t="s">
        <v>2989</v>
      </c>
      <c r="C146">
        <f>"5000889"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32</v>
      </c>
      <c r="B147" t="s">
        <v>4267</v>
      </c>
      <c r="C147">
        <f>"NUP02"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32</v>
      </c>
      <c r="B148" t="s">
        <v>4268</v>
      </c>
      <c r="C148">
        <f>"NUP01"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32</v>
      </c>
      <c r="B149" t="s">
        <v>6214</v>
      </c>
      <c r="C149">
        <f>"ANS25"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32</v>
      </c>
      <c r="B150" t="s">
        <v>6283</v>
      </c>
      <c r="C150">
        <f>"PCE22"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32</v>
      </c>
      <c r="B151" t="s">
        <v>6282</v>
      </c>
      <c r="C151">
        <f>"PCE19"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32</v>
      </c>
      <c r="B152" t="s">
        <v>6278</v>
      </c>
      <c r="C152">
        <f>"PCE18"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32</v>
      </c>
      <c r="B153" t="s">
        <v>6298</v>
      </c>
      <c r="C153">
        <f>"1010270"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32</v>
      </c>
      <c r="B154" t="s">
        <v>816</v>
      </c>
      <c r="C154">
        <f>"1020661"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32</v>
      </c>
      <c r="B155" t="s">
        <v>1123</v>
      </c>
      <c r="C155">
        <f>"CHEMIULTR4"</f>
        <v>0</v>
      </c>
      <c r="D155">
        <v>2</v>
      </c>
      <c r="E155">
        <v>0</v>
      </c>
      <c r="F155">
        <v>0</v>
      </c>
      <c r="G155">
        <v>0</v>
      </c>
      <c r="H155">
        <v>2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32</v>
      </c>
      <c r="B156" t="s">
        <v>5803</v>
      </c>
      <c r="C156">
        <f>"HCH052"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32</v>
      </c>
      <c r="B157" t="s">
        <v>4116</v>
      </c>
      <c r="C157">
        <f>"5000009"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32</v>
      </c>
      <c r="B158" t="s">
        <v>5891</v>
      </c>
      <c r="C158">
        <f>"PCE10"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32</v>
      </c>
      <c r="B159" t="s">
        <v>1402</v>
      </c>
      <c r="C159">
        <f>"10021521"</f>
        <v>0</v>
      </c>
      <c r="D159">
        <v>0</v>
      </c>
      <c r="E159">
        <v>1</v>
      </c>
      <c r="F159">
        <v>0</v>
      </c>
      <c r="G159">
        <v>0</v>
      </c>
      <c r="H159">
        <v>1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32</v>
      </c>
      <c r="B160" t="s">
        <v>5656</v>
      </c>
      <c r="C160">
        <f>"1009442"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100</v>
      </c>
      <c r="Q160">
        <v>0</v>
      </c>
      <c r="R160" t="s">
        <v>145</v>
      </c>
      <c r="S160">
        <v>0</v>
      </c>
    </row>
    <row r="161" spans="1:19">
      <c r="A161" t="s">
        <v>32</v>
      </c>
      <c r="B161" t="s">
        <v>5652</v>
      </c>
      <c r="C161">
        <f>"PFI029"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32</v>
      </c>
      <c r="B162" t="s">
        <v>5513</v>
      </c>
      <c r="C162">
        <f>"5001859"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32</v>
      </c>
      <c r="B163" t="s">
        <v>5664</v>
      </c>
      <c r="C163">
        <f>"PCE38"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32</v>
      </c>
      <c r="B164" t="s">
        <v>5719</v>
      </c>
      <c r="C164">
        <f>"CHE041"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32</v>
      </c>
      <c r="B165" t="s">
        <v>4698</v>
      </c>
      <c r="C165">
        <f>"5000297"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32</v>
      </c>
      <c r="B166" t="s">
        <v>4697</v>
      </c>
      <c r="C166">
        <f>"5000331"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100</v>
      </c>
      <c r="Q166">
        <v>0</v>
      </c>
      <c r="R166" t="s">
        <v>145</v>
      </c>
      <c r="S166">
        <v>0</v>
      </c>
    </row>
    <row r="167" spans="1:19">
      <c r="A167" t="s">
        <v>32</v>
      </c>
      <c r="B167" t="s">
        <v>1478</v>
      </c>
      <c r="C167">
        <f>"RCM028"</f>
        <v>0</v>
      </c>
      <c r="D167">
        <v>1</v>
      </c>
      <c r="E167">
        <v>0</v>
      </c>
      <c r="F167">
        <v>0</v>
      </c>
      <c r="G167">
        <v>0</v>
      </c>
      <c r="H167">
        <v>1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100</v>
      </c>
      <c r="Q167">
        <v>0</v>
      </c>
      <c r="R167" t="s">
        <v>145</v>
      </c>
      <c r="S167">
        <v>0</v>
      </c>
    </row>
    <row r="168" spans="1:19">
      <c r="A168" t="s">
        <v>32</v>
      </c>
      <c r="B168" t="s">
        <v>1477</v>
      </c>
      <c r="C168">
        <f>"270874"</f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32</v>
      </c>
      <c r="B169" t="s">
        <v>5977</v>
      </c>
      <c r="C169">
        <f>"6510002819"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100</v>
      </c>
      <c r="Q169">
        <v>0</v>
      </c>
      <c r="R169" t="s">
        <v>145</v>
      </c>
      <c r="S169">
        <v>0</v>
      </c>
    </row>
    <row r="170" spans="1:19">
      <c r="A170" t="s">
        <v>32</v>
      </c>
      <c r="B170" t="s">
        <v>6105</v>
      </c>
      <c r="C170">
        <f>"500995"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32</v>
      </c>
      <c r="B171" t="s">
        <v>4700</v>
      </c>
      <c r="C171">
        <f>"1014050"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32</v>
      </c>
      <c r="B172" t="s">
        <v>4699</v>
      </c>
      <c r="C172">
        <f>"1012943"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32</v>
      </c>
      <c r="B173" t="s">
        <v>1065</v>
      </c>
      <c r="C173">
        <f>"5006755"</f>
        <v>0</v>
      </c>
      <c r="D173">
        <v>0</v>
      </c>
      <c r="E173">
        <v>2</v>
      </c>
      <c r="F173">
        <v>0</v>
      </c>
      <c r="G173">
        <v>0</v>
      </c>
      <c r="H173">
        <v>2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32</v>
      </c>
      <c r="B174" t="s">
        <v>4112</v>
      </c>
      <c r="C174">
        <f>"1004924"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100</v>
      </c>
      <c r="Q174">
        <v>0</v>
      </c>
      <c r="R174" t="s">
        <v>145</v>
      </c>
      <c r="S174">
        <v>0</v>
      </c>
    </row>
    <row r="175" spans="1:19">
      <c r="A175" t="s">
        <v>32</v>
      </c>
      <c r="B175" t="s">
        <v>1284</v>
      </c>
      <c r="C175">
        <f>"NUP05"</f>
        <v>0</v>
      </c>
      <c r="D175">
        <v>0</v>
      </c>
      <c r="E175">
        <v>1</v>
      </c>
      <c r="F175">
        <v>0</v>
      </c>
      <c r="G175">
        <v>0</v>
      </c>
      <c r="H175">
        <v>1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100</v>
      </c>
      <c r="Q175">
        <v>0</v>
      </c>
      <c r="R175" t="s">
        <v>145</v>
      </c>
      <c r="S175">
        <v>0</v>
      </c>
    </row>
    <row r="176" spans="1:19">
      <c r="A176" t="s">
        <v>32</v>
      </c>
      <c r="B176" t="s">
        <v>4350</v>
      </c>
      <c r="C176">
        <f>"NUP03"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100</v>
      </c>
      <c r="Q176">
        <v>0</v>
      </c>
      <c r="R176" t="s">
        <v>145</v>
      </c>
      <c r="S176">
        <v>0</v>
      </c>
    </row>
    <row r="177" spans="1:19">
      <c r="A177" t="s">
        <v>32</v>
      </c>
      <c r="B177" t="s">
        <v>3978</v>
      </c>
      <c r="C177">
        <f>"1013763"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100</v>
      </c>
      <c r="Q177">
        <v>0</v>
      </c>
      <c r="R177" t="s">
        <v>145</v>
      </c>
      <c r="S177">
        <v>0</v>
      </c>
    </row>
    <row r="178" spans="1:19">
      <c r="A178" t="s">
        <v>32</v>
      </c>
      <c r="B178" t="s">
        <v>4270</v>
      </c>
      <c r="C178">
        <f>"5008680"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100</v>
      </c>
      <c r="Q178">
        <v>0</v>
      </c>
      <c r="R178" t="s">
        <v>145</v>
      </c>
      <c r="S178">
        <v>0</v>
      </c>
    </row>
    <row r="179" spans="1:19">
      <c r="A179" t="s">
        <v>32</v>
      </c>
      <c r="B179" t="s">
        <v>292</v>
      </c>
      <c r="C179">
        <f>"1022553"</f>
        <v>0</v>
      </c>
      <c r="D179">
        <v>5</v>
      </c>
      <c r="E179">
        <v>4</v>
      </c>
      <c r="F179">
        <v>2</v>
      </c>
      <c r="G179">
        <v>4</v>
      </c>
      <c r="H179">
        <v>15</v>
      </c>
      <c r="I179">
        <v>4</v>
      </c>
      <c r="J179">
        <v>13</v>
      </c>
      <c r="K179">
        <v>149.989</v>
      </c>
      <c r="L179" s="2">
        <v>12</v>
      </c>
      <c r="M179">
        <v>0</v>
      </c>
      <c r="N179" s="2">
        <v>0</v>
      </c>
      <c r="O179">
        <v>-0.5999999999999996</v>
      </c>
      <c r="P179" t="s">
        <v>10693</v>
      </c>
      <c r="Q179">
        <v>10.957</v>
      </c>
      <c r="R179" t="s">
        <v>10726</v>
      </c>
      <c r="S179">
        <v>1</v>
      </c>
    </row>
    <row r="180" spans="1:19">
      <c r="A180" t="s">
        <v>32</v>
      </c>
      <c r="B180" t="s">
        <v>2117</v>
      </c>
      <c r="C180">
        <f>"1019331"</f>
        <v>0</v>
      </c>
      <c r="D180">
        <v>1</v>
      </c>
      <c r="E180">
        <v>2</v>
      </c>
      <c r="F180">
        <v>0</v>
      </c>
      <c r="G180">
        <v>0</v>
      </c>
      <c r="H180">
        <v>3</v>
      </c>
      <c r="I180">
        <v>0.5</v>
      </c>
      <c r="J180">
        <v>1</v>
      </c>
      <c r="K180">
        <v>8.869999999999999</v>
      </c>
      <c r="L180" s="2">
        <v>9</v>
      </c>
      <c r="M180">
        <v>0</v>
      </c>
      <c r="N180" s="2">
        <v>0</v>
      </c>
      <c r="O180">
        <v>-0.7</v>
      </c>
      <c r="P180" t="s">
        <v>100</v>
      </c>
      <c r="Q180">
        <v>0</v>
      </c>
      <c r="R180" t="s">
        <v>145</v>
      </c>
      <c r="S180">
        <v>0</v>
      </c>
    </row>
    <row r="181" spans="1:19">
      <c r="A181" t="s">
        <v>32</v>
      </c>
      <c r="B181" t="s">
        <v>2048</v>
      </c>
      <c r="C181">
        <f>"RCM027"</f>
        <v>0</v>
      </c>
      <c r="D181">
        <v>0</v>
      </c>
      <c r="E181">
        <v>1</v>
      </c>
      <c r="F181">
        <v>3</v>
      </c>
      <c r="G181">
        <v>0</v>
      </c>
      <c r="H181">
        <v>4</v>
      </c>
      <c r="I181">
        <v>0.5</v>
      </c>
      <c r="J181">
        <v>1</v>
      </c>
      <c r="K181">
        <v>6.326</v>
      </c>
      <c r="L181" s="2">
        <v>6</v>
      </c>
      <c r="M181">
        <v>0</v>
      </c>
      <c r="N181" s="2">
        <v>0</v>
      </c>
      <c r="O181">
        <v>-0.7</v>
      </c>
      <c r="P181" t="s">
        <v>10505</v>
      </c>
      <c r="Q181">
        <v>-2.909</v>
      </c>
      <c r="R181" t="s">
        <v>10727</v>
      </c>
      <c r="S181">
        <v>0</v>
      </c>
    </row>
    <row r="182" spans="1:19">
      <c r="A182" t="s">
        <v>32</v>
      </c>
      <c r="B182" t="s">
        <v>2054</v>
      </c>
      <c r="C182">
        <f>"1006554"</f>
        <v>0</v>
      </c>
      <c r="D182">
        <v>2</v>
      </c>
      <c r="E182">
        <v>0</v>
      </c>
      <c r="F182">
        <v>1</v>
      </c>
      <c r="G182">
        <v>0</v>
      </c>
      <c r="H182">
        <v>3</v>
      </c>
      <c r="I182">
        <v>0.5</v>
      </c>
      <c r="J182">
        <v>1</v>
      </c>
      <c r="K182">
        <v>2.15</v>
      </c>
      <c r="L182" s="2">
        <v>2</v>
      </c>
      <c r="M182">
        <v>0</v>
      </c>
      <c r="N182" s="2">
        <v>0</v>
      </c>
      <c r="O182">
        <v>-0.7</v>
      </c>
      <c r="P182" t="s">
        <v>100</v>
      </c>
      <c r="Q182">
        <v>0</v>
      </c>
      <c r="R182" t="s">
        <v>145</v>
      </c>
      <c r="S182">
        <v>0</v>
      </c>
    </row>
    <row r="183" spans="1:19">
      <c r="A183" t="s">
        <v>32</v>
      </c>
      <c r="B183" t="s">
        <v>2323</v>
      </c>
      <c r="C183">
        <f>"5007874"</f>
        <v>0</v>
      </c>
      <c r="D183">
        <v>0</v>
      </c>
      <c r="E183">
        <v>0</v>
      </c>
      <c r="F183">
        <v>1</v>
      </c>
      <c r="G183">
        <v>0</v>
      </c>
      <c r="H183">
        <v>1</v>
      </c>
      <c r="I183">
        <v>0</v>
      </c>
      <c r="J183">
        <v>1</v>
      </c>
      <c r="K183">
        <v>9.865</v>
      </c>
      <c r="L183" s="2">
        <v>10</v>
      </c>
      <c r="M183">
        <v>0</v>
      </c>
      <c r="N183" s="2">
        <v>0</v>
      </c>
      <c r="O183">
        <v>-1.2</v>
      </c>
      <c r="P183" t="s">
        <v>100</v>
      </c>
      <c r="Q183">
        <v>0</v>
      </c>
      <c r="R183" t="s">
        <v>145</v>
      </c>
      <c r="S183">
        <v>0</v>
      </c>
    </row>
    <row r="184" spans="1:19">
      <c r="A184" t="s">
        <v>32</v>
      </c>
      <c r="B184" t="s">
        <v>5667</v>
      </c>
      <c r="C184">
        <f>"1009447"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1</v>
      </c>
      <c r="K184">
        <v>9.4</v>
      </c>
      <c r="L184" s="2">
        <v>9</v>
      </c>
      <c r="M184">
        <v>0</v>
      </c>
      <c r="N184" s="2">
        <v>0</v>
      </c>
      <c r="O184">
        <v>-1.2</v>
      </c>
      <c r="P184" t="s">
        <v>100</v>
      </c>
      <c r="Q184">
        <v>0</v>
      </c>
      <c r="R184" t="s">
        <v>145</v>
      </c>
      <c r="S184">
        <v>0</v>
      </c>
    </row>
    <row r="185" spans="1:19">
      <c r="A185" t="s">
        <v>32</v>
      </c>
      <c r="B185" t="s">
        <v>2991</v>
      </c>
      <c r="C185">
        <f>"5002204"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1</v>
      </c>
      <c r="K185">
        <v>6.54</v>
      </c>
      <c r="L185" s="2">
        <v>7</v>
      </c>
      <c r="M185">
        <v>0</v>
      </c>
      <c r="N185" s="2">
        <v>0</v>
      </c>
      <c r="O185">
        <v>-1.2</v>
      </c>
      <c r="P185" t="s">
        <v>100</v>
      </c>
      <c r="Q185">
        <v>0</v>
      </c>
      <c r="R185" t="s">
        <v>145</v>
      </c>
      <c r="S185">
        <v>0</v>
      </c>
    </row>
    <row r="186" spans="1:19">
      <c r="A186" t="s">
        <v>32</v>
      </c>
      <c r="B186" t="s">
        <v>4401</v>
      </c>
      <c r="C186">
        <f>"CHE033"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1</v>
      </c>
      <c r="K186">
        <v>14.92</v>
      </c>
      <c r="L186" s="2">
        <v>15</v>
      </c>
      <c r="M186">
        <v>0</v>
      </c>
      <c r="N186" s="2">
        <v>0</v>
      </c>
      <c r="O186">
        <v>-1.2</v>
      </c>
      <c r="P186" t="s">
        <v>100</v>
      </c>
      <c r="Q186">
        <v>0</v>
      </c>
      <c r="R186" t="s">
        <v>145</v>
      </c>
      <c r="S186">
        <v>0</v>
      </c>
    </row>
    <row r="187" spans="1:19">
      <c r="A187" t="s">
        <v>32</v>
      </c>
      <c r="B187" t="s">
        <v>5799</v>
      </c>
      <c r="C187">
        <f>"310020"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1</v>
      </c>
      <c r="K187">
        <v>8.593</v>
      </c>
      <c r="L187" s="2">
        <v>9</v>
      </c>
      <c r="M187">
        <v>0</v>
      </c>
      <c r="N187" s="2">
        <v>0</v>
      </c>
      <c r="O187">
        <v>-1.2</v>
      </c>
      <c r="P187" t="s">
        <v>100</v>
      </c>
      <c r="Q187">
        <v>0</v>
      </c>
      <c r="R187" t="s">
        <v>145</v>
      </c>
      <c r="S187">
        <v>0</v>
      </c>
    </row>
    <row r="188" spans="1:19">
      <c r="A188" t="s">
        <v>32</v>
      </c>
      <c r="B188" t="s">
        <v>9735</v>
      </c>
      <c r="C188">
        <f>"1018703"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1</v>
      </c>
      <c r="K188">
        <v>25.01</v>
      </c>
      <c r="L188" s="2">
        <v>25</v>
      </c>
      <c r="M188">
        <v>0</v>
      </c>
      <c r="N188" s="2">
        <v>0</v>
      </c>
      <c r="O188">
        <v>-1.2</v>
      </c>
      <c r="P188" t="s">
        <v>100</v>
      </c>
      <c r="Q188">
        <v>0</v>
      </c>
      <c r="R188" t="s">
        <v>145</v>
      </c>
      <c r="S188">
        <v>0</v>
      </c>
    </row>
    <row r="189" spans="1:19">
      <c r="A189" t="s">
        <v>32</v>
      </c>
      <c r="B189" t="s">
        <v>9528</v>
      </c>
      <c r="C189">
        <f>"500997"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1</v>
      </c>
      <c r="K189">
        <v>9.305</v>
      </c>
      <c r="L189" s="2">
        <v>9</v>
      </c>
      <c r="M189">
        <v>0</v>
      </c>
      <c r="N189" s="2">
        <v>0</v>
      </c>
      <c r="O189">
        <v>-1.2</v>
      </c>
      <c r="P189" t="s">
        <v>100</v>
      </c>
      <c r="Q189">
        <v>0</v>
      </c>
      <c r="R189" t="s">
        <v>145</v>
      </c>
      <c r="S189">
        <v>0</v>
      </c>
    </row>
    <row r="190" spans="1:19">
      <c r="A190" t="s">
        <v>32</v>
      </c>
      <c r="B190" t="s">
        <v>6925</v>
      </c>
      <c r="C190">
        <f>"PCE39"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1</v>
      </c>
      <c r="K190">
        <v>4.982</v>
      </c>
      <c r="L190" s="2">
        <v>5</v>
      </c>
      <c r="M190">
        <v>0</v>
      </c>
      <c r="N190" s="2">
        <v>0</v>
      </c>
      <c r="O190">
        <v>-1.2</v>
      </c>
      <c r="P190" t="s">
        <v>100</v>
      </c>
      <c r="Q190">
        <v>0</v>
      </c>
      <c r="R190" t="s">
        <v>145</v>
      </c>
      <c r="S190">
        <v>0</v>
      </c>
    </row>
    <row r="191" spans="1:19">
      <c r="A191" t="s">
        <v>32</v>
      </c>
      <c r="B191" t="s">
        <v>2515</v>
      </c>
      <c r="C191">
        <f>"5009491"</f>
        <v>0</v>
      </c>
      <c r="D191">
        <v>1</v>
      </c>
      <c r="E191">
        <v>0</v>
      </c>
      <c r="F191">
        <v>0</v>
      </c>
      <c r="G191">
        <v>0</v>
      </c>
      <c r="H191">
        <v>1</v>
      </c>
      <c r="I191">
        <v>0</v>
      </c>
      <c r="J191">
        <v>1</v>
      </c>
      <c r="K191">
        <v>5.025</v>
      </c>
      <c r="L191" s="2">
        <v>5</v>
      </c>
      <c r="M191">
        <v>0</v>
      </c>
      <c r="N191" s="2">
        <v>0</v>
      </c>
      <c r="O191">
        <v>-1.2</v>
      </c>
      <c r="P191" t="s">
        <v>100</v>
      </c>
      <c r="Q191">
        <v>0</v>
      </c>
      <c r="R191" t="s">
        <v>145</v>
      </c>
      <c r="S191">
        <v>0</v>
      </c>
    </row>
    <row r="192" spans="1:19">
      <c r="A192" t="s">
        <v>32</v>
      </c>
      <c r="B192" t="s">
        <v>8883</v>
      </c>
      <c r="C192">
        <f>"5009533"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1</v>
      </c>
      <c r="K192">
        <v>3.455</v>
      </c>
      <c r="L192" s="2">
        <v>3</v>
      </c>
      <c r="M192">
        <v>0</v>
      </c>
      <c r="N192" s="2">
        <v>0</v>
      </c>
      <c r="O192">
        <v>-1.2</v>
      </c>
      <c r="P192" t="s">
        <v>100</v>
      </c>
      <c r="Q192">
        <v>0</v>
      </c>
      <c r="R192" t="s">
        <v>145</v>
      </c>
      <c r="S192">
        <v>0</v>
      </c>
    </row>
    <row r="193" spans="1:19">
      <c r="A193" t="s">
        <v>32</v>
      </c>
      <c r="B193" t="s">
        <v>8570</v>
      </c>
      <c r="C193">
        <f>"1018880"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1</v>
      </c>
      <c r="K193">
        <v>40.82</v>
      </c>
      <c r="L193" s="2">
        <v>41</v>
      </c>
      <c r="M193">
        <v>0</v>
      </c>
      <c r="N193" s="2">
        <v>0</v>
      </c>
      <c r="O193">
        <v>-1.2</v>
      </c>
      <c r="P193" t="s">
        <v>100</v>
      </c>
      <c r="Q193">
        <v>0</v>
      </c>
      <c r="R193" t="s">
        <v>145</v>
      </c>
      <c r="S193">
        <v>0</v>
      </c>
    </row>
    <row r="194" spans="1:19">
      <c r="A194" t="s">
        <v>32</v>
      </c>
      <c r="B194" t="s">
        <v>2494</v>
      </c>
      <c r="C194">
        <f>"1012928"</f>
        <v>0</v>
      </c>
      <c r="D194">
        <v>0</v>
      </c>
      <c r="E194">
        <v>0</v>
      </c>
      <c r="F194">
        <v>1</v>
      </c>
      <c r="G194">
        <v>0</v>
      </c>
      <c r="H194">
        <v>1</v>
      </c>
      <c r="I194">
        <v>0</v>
      </c>
      <c r="J194">
        <v>1</v>
      </c>
      <c r="K194">
        <v>2.305</v>
      </c>
      <c r="L194" s="2">
        <v>2</v>
      </c>
      <c r="M194">
        <v>0</v>
      </c>
      <c r="N194" s="2">
        <v>0</v>
      </c>
      <c r="O194">
        <v>-1.2</v>
      </c>
      <c r="P194" t="s">
        <v>100</v>
      </c>
      <c r="Q194">
        <v>0</v>
      </c>
      <c r="R194" t="s">
        <v>145</v>
      </c>
      <c r="S194">
        <v>0</v>
      </c>
    </row>
    <row r="195" spans="1:19">
      <c r="A195" t="s">
        <v>32</v>
      </c>
      <c r="B195" t="s">
        <v>2681</v>
      </c>
      <c r="C195">
        <f>"1021963"</f>
        <v>0</v>
      </c>
      <c r="D195">
        <v>1</v>
      </c>
      <c r="E195">
        <v>0</v>
      </c>
      <c r="F195">
        <v>0</v>
      </c>
      <c r="G195">
        <v>0</v>
      </c>
      <c r="H195">
        <v>1</v>
      </c>
      <c r="I195">
        <v>0</v>
      </c>
      <c r="J195">
        <v>1</v>
      </c>
      <c r="K195">
        <v>5.33</v>
      </c>
      <c r="L195" s="2">
        <v>5</v>
      </c>
      <c r="M195">
        <v>0</v>
      </c>
      <c r="N195" s="2">
        <v>0</v>
      </c>
      <c r="O195">
        <v>-1.2</v>
      </c>
      <c r="P195" t="s">
        <v>100</v>
      </c>
      <c r="Q195">
        <v>0</v>
      </c>
      <c r="R195" t="s">
        <v>145</v>
      </c>
      <c r="S195">
        <v>0</v>
      </c>
    </row>
    <row r="196" spans="1:19">
      <c r="A196" t="s">
        <v>32</v>
      </c>
      <c r="B196" t="s">
        <v>4269</v>
      </c>
      <c r="C196">
        <f>"NUP04"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1</v>
      </c>
      <c r="K196">
        <v>14.845</v>
      </c>
      <c r="L196" s="2">
        <v>15</v>
      </c>
      <c r="M196">
        <v>0</v>
      </c>
      <c r="N196" s="2">
        <v>0</v>
      </c>
      <c r="O196">
        <v>-1.2</v>
      </c>
      <c r="P196" t="s">
        <v>100</v>
      </c>
      <c r="Q196">
        <v>0</v>
      </c>
      <c r="R196" t="s">
        <v>145</v>
      </c>
      <c r="S196">
        <v>0</v>
      </c>
    </row>
    <row r="197" spans="1:19">
      <c r="A197" t="s">
        <v>32</v>
      </c>
      <c r="B197" t="s">
        <v>6511</v>
      </c>
      <c r="C197">
        <f>"PCE01"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1</v>
      </c>
      <c r="K197">
        <v>15.07</v>
      </c>
      <c r="L197" s="2">
        <v>15</v>
      </c>
      <c r="M197">
        <v>0</v>
      </c>
      <c r="N197" s="2">
        <v>0</v>
      </c>
      <c r="O197">
        <v>-1.2</v>
      </c>
      <c r="P197" t="s">
        <v>100</v>
      </c>
      <c r="Q197">
        <v>0</v>
      </c>
      <c r="R197" t="s">
        <v>145</v>
      </c>
      <c r="S197">
        <v>0</v>
      </c>
    </row>
    <row r="198" spans="1:19">
      <c r="A198" t="s">
        <v>32</v>
      </c>
      <c r="B198" t="s">
        <v>1565</v>
      </c>
      <c r="C198">
        <f>"HCH054"</f>
        <v>0</v>
      </c>
      <c r="D198">
        <v>19</v>
      </c>
      <c r="E198">
        <v>0</v>
      </c>
      <c r="F198">
        <v>7</v>
      </c>
      <c r="G198">
        <v>0</v>
      </c>
      <c r="H198">
        <v>26</v>
      </c>
      <c r="I198">
        <v>3.5</v>
      </c>
      <c r="J198">
        <v>4</v>
      </c>
      <c r="K198">
        <v>74.544</v>
      </c>
      <c r="L198" s="2">
        <v>19</v>
      </c>
      <c r="M198">
        <v>0</v>
      </c>
      <c r="N198" s="2">
        <v>0</v>
      </c>
      <c r="O198">
        <v>-1.3</v>
      </c>
      <c r="P198" t="s">
        <v>100</v>
      </c>
      <c r="Q198">
        <v>0</v>
      </c>
      <c r="R198" t="s">
        <v>145</v>
      </c>
      <c r="S198">
        <v>0</v>
      </c>
    </row>
    <row r="199" spans="1:19">
      <c r="A199" t="s">
        <v>32</v>
      </c>
      <c r="B199" t="s">
        <v>1904</v>
      </c>
      <c r="C199">
        <f>"5006749"</f>
        <v>0</v>
      </c>
      <c r="D199">
        <v>0</v>
      </c>
      <c r="E199">
        <v>2</v>
      </c>
      <c r="F199">
        <v>4</v>
      </c>
      <c r="G199">
        <v>0</v>
      </c>
      <c r="H199">
        <v>6</v>
      </c>
      <c r="I199">
        <v>1</v>
      </c>
      <c r="J199">
        <v>2</v>
      </c>
      <c r="K199">
        <v>11.753</v>
      </c>
      <c r="L199" s="2">
        <v>6</v>
      </c>
      <c r="M199">
        <v>0</v>
      </c>
      <c r="N199" s="2">
        <v>0</v>
      </c>
      <c r="O199">
        <v>-1.4</v>
      </c>
      <c r="P199" t="s">
        <v>100</v>
      </c>
      <c r="Q199">
        <v>0</v>
      </c>
      <c r="R199" t="s">
        <v>145</v>
      </c>
      <c r="S199">
        <v>0</v>
      </c>
    </row>
    <row r="200" spans="1:19">
      <c r="A200" t="s">
        <v>32</v>
      </c>
      <c r="B200" t="s">
        <v>6244</v>
      </c>
      <c r="C200">
        <f>"1008748"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2</v>
      </c>
      <c r="K200">
        <v>10.4</v>
      </c>
      <c r="L200" s="2">
        <v>5</v>
      </c>
      <c r="M200">
        <v>0</v>
      </c>
      <c r="N200" s="2">
        <v>0</v>
      </c>
      <c r="O200">
        <v>-2.4</v>
      </c>
      <c r="P200" t="s">
        <v>100</v>
      </c>
      <c r="Q200">
        <v>0</v>
      </c>
      <c r="R200" t="s">
        <v>145</v>
      </c>
      <c r="S200">
        <v>0</v>
      </c>
    </row>
    <row r="201" spans="1:19">
      <c r="A201" t="s">
        <v>32</v>
      </c>
      <c r="B201" t="s">
        <v>9708</v>
      </c>
      <c r="C201">
        <f>"748406014572"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2</v>
      </c>
      <c r="K201">
        <v>12.216</v>
      </c>
      <c r="L201" s="2">
        <v>6</v>
      </c>
      <c r="M201">
        <v>0</v>
      </c>
      <c r="N201" s="2">
        <v>0</v>
      </c>
      <c r="O201">
        <v>-2.4</v>
      </c>
      <c r="P201" t="s">
        <v>100</v>
      </c>
      <c r="Q201">
        <v>0</v>
      </c>
      <c r="R201" t="s">
        <v>145</v>
      </c>
      <c r="S201">
        <v>0</v>
      </c>
    </row>
    <row r="202" spans="1:19">
      <c r="A202" t="s">
        <v>32</v>
      </c>
      <c r="B202" t="s">
        <v>3194</v>
      </c>
      <c r="C202">
        <f>"5001850"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2</v>
      </c>
      <c r="K202">
        <v>14.28</v>
      </c>
      <c r="L202" s="2">
        <v>7</v>
      </c>
      <c r="M202">
        <v>0</v>
      </c>
      <c r="N202" s="2">
        <v>0</v>
      </c>
      <c r="O202">
        <v>-2.4</v>
      </c>
      <c r="P202" t="s">
        <v>100</v>
      </c>
      <c r="Q202">
        <v>0</v>
      </c>
      <c r="R202" t="s">
        <v>145</v>
      </c>
      <c r="S202">
        <v>0</v>
      </c>
    </row>
    <row r="203" spans="1:19">
      <c r="A203" t="s">
        <v>32</v>
      </c>
      <c r="B203" t="s">
        <v>2707</v>
      </c>
      <c r="C203">
        <f>"5000268"</f>
        <v>0</v>
      </c>
      <c r="D203">
        <v>0</v>
      </c>
      <c r="E203">
        <v>0</v>
      </c>
      <c r="F203">
        <v>1</v>
      </c>
      <c r="G203">
        <v>0</v>
      </c>
      <c r="H203">
        <v>1</v>
      </c>
      <c r="I203">
        <v>0</v>
      </c>
      <c r="J203">
        <v>2</v>
      </c>
      <c r="K203">
        <v>19.54</v>
      </c>
      <c r="L203" s="2">
        <v>10</v>
      </c>
      <c r="M203">
        <v>0</v>
      </c>
      <c r="N203" s="2">
        <v>0</v>
      </c>
      <c r="O203">
        <v>-2.4</v>
      </c>
      <c r="P203" t="s">
        <v>100</v>
      </c>
      <c r="Q203">
        <v>0</v>
      </c>
      <c r="R203" t="s">
        <v>145</v>
      </c>
      <c r="S203">
        <v>0</v>
      </c>
    </row>
    <row r="204" spans="1:19">
      <c r="A204" t="s">
        <v>32</v>
      </c>
      <c r="B204" t="s">
        <v>9570</v>
      </c>
      <c r="C204">
        <f>"1589923447400"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2</v>
      </c>
      <c r="K204">
        <v>3.92</v>
      </c>
      <c r="L204" s="2">
        <v>2</v>
      </c>
      <c r="M204">
        <v>0</v>
      </c>
      <c r="N204" s="2">
        <v>0</v>
      </c>
      <c r="O204">
        <v>-2.4</v>
      </c>
      <c r="P204" t="s">
        <v>100</v>
      </c>
      <c r="Q204">
        <v>0</v>
      </c>
      <c r="R204" t="s">
        <v>145</v>
      </c>
      <c r="S204">
        <v>0</v>
      </c>
    </row>
    <row r="205" spans="1:19">
      <c r="A205" t="s">
        <v>32</v>
      </c>
      <c r="B205" t="s">
        <v>3646</v>
      </c>
      <c r="C205">
        <f>"ANS20"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2</v>
      </c>
      <c r="K205">
        <v>0</v>
      </c>
      <c r="L205" s="2">
        <v>0</v>
      </c>
      <c r="M205">
        <v>0</v>
      </c>
      <c r="N205" s="2">
        <v>0</v>
      </c>
      <c r="O205">
        <v>-2.4</v>
      </c>
      <c r="P205" t="s">
        <v>100</v>
      </c>
      <c r="Q205">
        <v>0</v>
      </c>
      <c r="R205" t="s">
        <v>145</v>
      </c>
      <c r="S205">
        <v>0</v>
      </c>
    </row>
    <row r="206" spans="1:19">
      <c r="A206" t="s">
        <v>32</v>
      </c>
      <c r="B206" t="s">
        <v>1943</v>
      </c>
      <c r="C206">
        <f>"5005049"</f>
        <v>0</v>
      </c>
      <c r="D206">
        <v>0</v>
      </c>
      <c r="E206">
        <v>2</v>
      </c>
      <c r="F206">
        <v>1</v>
      </c>
      <c r="G206">
        <v>1</v>
      </c>
      <c r="H206">
        <v>4</v>
      </c>
      <c r="I206">
        <v>1</v>
      </c>
      <c r="J206">
        <v>5</v>
      </c>
      <c r="K206">
        <v>36.015</v>
      </c>
      <c r="L206" s="2">
        <v>7</v>
      </c>
      <c r="M206">
        <v>0</v>
      </c>
      <c r="N206" s="2">
        <v>0</v>
      </c>
      <c r="O206">
        <v>-3</v>
      </c>
      <c r="P206" t="s">
        <v>10698</v>
      </c>
      <c r="Q206">
        <v>2.786</v>
      </c>
      <c r="R206" t="s">
        <v>10728</v>
      </c>
      <c r="S206">
        <v>0</v>
      </c>
    </row>
    <row r="207" spans="1:19">
      <c r="A207" t="s">
        <v>32</v>
      </c>
      <c r="B207" t="s">
        <v>292</v>
      </c>
      <c r="C207">
        <f>"5000438"</f>
        <v>0</v>
      </c>
      <c r="D207">
        <v>1</v>
      </c>
      <c r="E207">
        <v>2</v>
      </c>
      <c r="F207">
        <v>1</v>
      </c>
      <c r="G207">
        <v>1</v>
      </c>
      <c r="H207">
        <v>5</v>
      </c>
      <c r="I207">
        <v>1</v>
      </c>
      <c r="J207">
        <v>5</v>
      </c>
      <c r="K207">
        <v>39.532</v>
      </c>
      <c r="L207" s="2">
        <v>8</v>
      </c>
      <c r="M207">
        <v>0</v>
      </c>
      <c r="N207" s="2">
        <v>0</v>
      </c>
      <c r="O207">
        <v>-3</v>
      </c>
      <c r="P207" t="s">
        <v>10618</v>
      </c>
      <c r="Q207">
        <v>3.01</v>
      </c>
      <c r="R207" t="s">
        <v>10729</v>
      </c>
      <c r="S207">
        <v>0</v>
      </c>
    </row>
    <row r="208" spans="1:19">
      <c r="A208" t="s">
        <v>32</v>
      </c>
      <c r="B208" t="s">
        <v>2107</v>
      </c>
      <c r="C208">
        <f>"5009531"</f>
        <v>0</v>
      </c>
      <c r="D208">
        <v>1</v>
      </c>
      <c r="E208">
        <v>2</v>
      </c>
      <c r="F208">
        <v>0</v>
      </c>
      <c r="G208">
        <v>0</v>
      </c>
      <c r="H208">
        <v>3</v>
      </c>
      <c r="I208">
        <v>0.5</v>
      </c>
      <c r="J208">
        <v>3</v>
      </c>
      <c r="K208">
        <v>3.285</v>
      </c>
      <c r="L208" s="2">
        <v>1</v>
      </c>
      <c r="M208">
        <v>0</v>
      </c>
      <c r="N208" s="2">
        <v>0</v>
      </c>
      <c r="O208">
        <v>-3.1</v>
      </c>
      <c r="P208" t="s">
        <v>100</v>
      </c>
      <c r="Q208">
        <v>0</v>
      </c>
      <c r="R208" t="s">
        <v>145</v>
      </c>
      <c r="S208">
        <v>0</v>
      </c>
    </row>
    <row r="209" spans="1:19">
      <c r="A209" t="s">
        <v>32</v>
      </c>
      <c r="B209" t="s">
        <v>2540</v>
      </c>
      <c r="C209">
        <f>"1009444"</f>
        <v>0</v>
      </c>
      <c r="D209">
        <v>1</v>
      </c>
      <c r="E209">
        <v>0</v>
      </c>
      <c r="F209">
        <v>0</v>
      </c>
      <c r="G209">
        <v>0</v>
      </c>
      <c r="H209">
        <v>1</v>
      </c>
      <c r="I209">
        <v>0</v>
      </c>
      <c r="J209">
        <v>3</v>
      </c>
      <c r="K209">
        <v>31.296</v>
      </c>
      <c r="L209" s="2">
        <v>10</v>
      </c>
      <c r="M209">
        <v>0</v>
      </c>
      <c r="N209" s="2">
        <v>0</v>
      </c>
      <c r="O209">
        <v>-3.6</v>
      </c>
      <c r="P209" t="s">
        <v>100</v>
      </c>
      <c r="Q209">
        <v>0</v>
      </c>
      <c r="R209" t="s">
        <v>145</v>
      </c>
      <c r="S209">
        <v>0</v>
      </c>
    </row>
    <row r="210" spans="1:19">
      <c r="A210" t="s">
        <v>32</v>
      </c>
      <c r="B210" t="s">
        <v>2260</v>
      </c>
      <c r="C210">
        <f>"5006751"</f>
        <v>0</v>
      </c>
      <c r="D210">
        <v>0</v>
      </c>
      <c r="E210">
        <v>0</v>
      </c>
      <c r="F210">
        <v>2</v>
      </c>
      <c r="G210">
        <v>0</v>
      </c>
      <c r="H210">
        <v>2</v>
      </c>
      <c r="I210">
        <v>0</v>
      </c>
      <c r="J210">
        <v>3</v>
      </c>
      <c r="K210">
        <v>16.223</v>
      </c>
      <c r="L210" s="2">
        <v>5</v>
      </c>
      <c r="M210">
        <v>0</v>
      </c>
      <c r="N210" s="2">
        <v>0</v>
      </c>
      <c r="O210">
        <v>-3.6</v>
      </c>
      <c r="P210" t="s">
        <v>100</v>
      </c>
      <c r="Q210">
        <v>0</v>
      </c>
      <c r="R210" t="s">
        <v>145</v>
      </c>
      <c r="S210">
        <v>0</v>
      </c>
    </row>
    <row r="211" spans="1:19">
      <c r="A211" t="s">
        <v>32</v>
      </c>
      <c r="B211" t="s">
        <v>4801</v>
      </c>
      <c r="C211">
        <f>"5010038"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3</v>
      </c>
      <c r="K211">
        <v>9.345000000000001</v>
      </c>
      <c r="L211" s="2">
        <v>3</v>
      </c>
      <c r="M211">
        <v>0</v>
      </c>
      <c r="N211" s="2">
        <v>0</v>
      </c>
      <c r="O211">
        <v>-3.6</v>
      </c>
      <c r="P211" t="s">
        <v>100</v>
      </c>
      <c r="Q211">
        <v>0</v>
      </c>
      <c r="R211" t="s">
        <v>145</v>
      </c>
      <c r="S211">
        <v>0</v>
      </c>
    </row>
    <row r="212" spans="1:19">
      <c r="A212" t="s">
        <v>32</v>
      </c>
      <c r="B212" t="s">
        <v>8884</v>
      </c>
      <c r="C212">
        <f>"5009532"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3</v>
      </c>
      <c r="K212">
        <v>10.845</v>
      </c>
      <c r="L212" s="2">
        <v>4</v>
      </c>
      <c r="M212">
        <v>0</v>
      </c>
      <c r="N212" s="2">
        <v>0</v>
      </c>
      <c r="O212">
        <v>-3.6</v>
      </c>
      <c r="P212" t="s">
        <v>100</v>
      </c>
      <c r="Q212">
        <v>0</v>
      </c>
      <c r="R212" t="s">
        <v>145</v>
      </c>
      <c r="S212">
        <v>0</v>
      </c>
    </row>
    <row r="213" spans="1:19">
      <c r="A213" t="s">
        <v>32</v>
      </c>
      <c r="B213" t="s">
        <v>1735</v>
      </c>
      <c r="C213">
        <f>"10194901"</f>
        <v>0</v>
      </c>
      <c r="D213">
        <v>7</v>
      </c>
      <c r="E213">
        <v>4</v>
      </c>
      <c r="F213">
        <v>3</v>
      </c>
      <c r="G213">
        <v>0</v>
      </c>
      <c r="H213">
        <v>14</v>
      </c>
      <c r="I213">
        <v>3.5</v>
      </c>
      <c r="J213">
        <v>6</v>
      </c>
      <c r="K213">
        <v>108.54</v>
      </c>
      <c r="L213" s="2">
        <v>18</v>
      </c>
      <c r="M213">
        <v>0</v>
      </c>
      <c r="N213" s="2">
        <v>0</v>
      </c>
      <c r="O213">
        <v>-3.699999999999999</v>
      </c>
      <c r="P213" t="s">
        <v>100</v>
      </c>
      <c r="Q213">
        <v>0</v>
      </c>
      <c r="R213" t="s">
        <v>145</v>
      </c>
      <c r="S213">
        <v>0</v>
      </c>
    </row>
    <row r="214" spans="1:19">
      <c r="A214" t="s">
        <v>32</v>
      </c>
      <c r="B214" t="s">
        <v>292</v>
      </c>
      <c r="C214">
        <f>"1022555"</f>
        <v>0</v>
      </c>
      <c r="D214">
        <v>3</v>
      </c>
      <c r="E214">
        <v>2</v>
      </c>
      <c r="F214">
        <v>2</v>
      </c>
      <c r="G214">
        <v>0</v>
      </c>
      <c r="H214">
        <v>7</v>
      </c>
      <c r="I214">
        <v>2</v>
      </c>
      <c r="J214">
        <v>5</v>
      </c>
      <c r="K214">
        <v>89.24299999999999</v>
      </c>
      <c r="L214" s="2">
        <v>18</v>
      </c>
      <c r="M214">
        <v>0</v>
      </c>
      <c r="N214" s="2">
        <v>0</v>
      </c>
      <c r="O214">
        <v>-4</v>
      </c>
      <c r="P214" t="s">
        <v>100</v>
      </c>
      <c r="Q214">
        <v>0</v>
      </c>
      <c r="R214" t="s">
        <v>145</v>
      </c>
      <c r="S214">
        <v>0</v>
      </c>
    </row>
    <row r="215" spans="1:19">
      <c r="A215" t="s">
        <v>32</v>
      </c>
      <c r="B215" t="s">
        <v>1963</v>
      </c>
      <c r="C215">
        <f>"5009535"</f>
        <v>0</v>
      </c>
      <c r="D215">
        <v>0</v>
      </c>
      <c r="E215">
        <v>1</v>
      </c>
      <c r="F215">
        <v>3</v>
      </c>
      <c r="G215">
        <v>0</v>
      </c>
      <c r="H215">
        <v>4</v>
      </c>
      <c r="I215">
        <v>0.5</v>
      </c>
      <c r="J215">
        <v>4</v>
      </c>
      <c r="K215">
        <v>12.2</v>
      </c>
      <c r="L215" s="2">
        <v>3</v>
      </c>
      <c r="M215">
        <v>0</v>
      </c>
      <c r="N215" s="2">
        <v>0</v>
      </c>
      <c r="O215">
        <v>-4.3</v>
      </c>
      <c r="P215" t="s">
        <v>100</v>
      </c>
      <c r="Q215">
        <v>0</v>
      </c>
      <c r="R215" t="s">
        <v>145</v>
      </c>
      <c r="S215">
        <v>0</v>
      </c>
    </row>
    <row r="216" spans="1:19">
      <c r="A216" t="s">
        <v>32</v>
      </c>
      <c r="B216" t="s">
        <v>2229</v>
      </c>
      <c r="C216">
        <f>"5008190"</f>
        <v>0</v>
      </c>
      <c r="D216">
        <v>0</v>
      </c>
      <c r="E216">
        <v>1</v>
      </c>
      <c r="F216">
        <v>1</v>
      </c>
      <c r="G216">
        <v>0</v>
      </c>
      <c r="H216">
        <v>2</v>
      </c>
      <c r="I216">
        <v>0.5</v>
      </c>
      <c r="J216">
        <v>4</v>
      </c>
      <c r="K216">
        <v>40.672</v>
      </c>
      <c r="L216" s="2">
        <v>10</v>
      </c>
      <c r="M216">
        <v>0</v>
      </c>
      <c r="N216" s="2">
        <v>0</v>
      </c>
      <c r="O216">
        <v>-4.3</v>
      </c>
      <c r="P216" t="s">
        <v>100</v>
      </c>
      <c r="Q216">
        <v>0</v>
      </c>
      <c r="R216" t="s">
        <v>145</v>
      </c>
      <c r="S216">
        <v>0</v>
      </c>
    </row>
    <row r="217" spans="1:19">
      <c r="A217" t="s">
        <v>32</v>
      </c>
      <c r="B217" t="s">
        <v>292</v>
      </c>
      <c r="C217">
        <f>"PFI077"</f>
        <v>0</v>
      </c>
      <c r="D217">
        <v>1</v>
      </c>
      <c r="E217">
        <v>3</v>
      </c>
      <c r="F217">
        <v>1</v>
      </c>
      <c r="G217">
        <v>2</v>
      </c>
      <c r="H217">
        <v>7</v>
      </c>
      <c r="I217">
        <v>1.5</v>
      </c>
      <c r="J217">
        <v>11</v>
      </c>
      <c r="K217">
        <v>53.282</v>
      </c>
      <c r="L217" s="2">
        <v>5</v>
      </c>
      <c r="M217">
        <v>0</v>
      </c>
      <c r="N217" s="2">
        <v>0</v>
      </c>
      <c r="O217">
        <v>-4.699999999999999</v>
      </c>
      <c r="P217" t="s">
        <v>10699</v>
      </c>
      <c r="Q217">
        <v>2.9</v>
      </c>
      <c r="R217" t="s">
        <v>10730</v>
      </c>
      <c r="S217">
        <v>1</v>
      </c>
    </row>
    <row r="218" spans="1:19">
      <c r="A218" t="s">
        <v>32</v>
      </c>
      <c r="B218" t="s">
        <v>2430</v>
      </c>
      <c r="C218">
        <f>"5004844"</f>
        <v>0</v>
      </c>
      <c r="D218">
        <v>1</v>
      </c>
      <c r="E218">
        <v>0</v>
      </c>
      <c r="F218">
        <v>0</v>
      </c>
      <c r="G218">
        <v>0</v>
      </c>
      <c r="H218">
        <v>1</v>
      </c>
      <c r="I218">
        <v>0</v>
      </c>
      <c r="J218">
        <v>4</v>
      </c>
      <c r="K218">
        <v>19.8</v>
      </c>
      <c r="L218" s="2">
        <v>5</v>
      </c>
      <c r="M218">
        <v>0</v>
      </c>
      <c r="N218" s="2">
        <v>0</v>
      </c>
      <c r="O218">
        <v>-4.8</v>
      </c>
      <c r="P218" t="s">
        <v>100</v>
      </c>
      <c r="Q218">
        <v>0</v>
      </c>
      <c r="R218" t="s">
        <v>145</v>
      </c>
      <c r="S218">
        <v>0</v>
      </c>
    </row>
    <row r="219" spans="1:19">
      <c r="A219" t="s">
        <v>32</v>
      </c>
      <c r="B219" t="s">
        <v>5031</v>
      </c>
      <c r="C219">
        <f>"1022678"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4</v>
      </c>
      <c r="K219">
        <v>35.04</v>
      </c>
      <c r="L219" s="2">
        <v>9</v>
      </c>
      <c r="M219">
        <v>0</v>
      </c>
      <c r="N219" s="2">
        <v>0</v>
      </c>
      <c r="O219">
        <v>-4.8</v>
      </c>
      <c r="P219" t="s">
        <v>100</v>
      </c>
      <c r="Q219">
        <v>0</v>
      </c>
      <c r="R219" t="s">
        <v>145</v>
      </c>
      <c r="S219">
        <v>0</v>
      </c>
    </row>
    <row r="220" spans="1:19">
      <c r="A220" t="s">
        <v>32</v>
      </c>
      <c r="B220" t="s">
        <v>2486</v>
      </c>
      <c r="C220">
        <f>"1012942"</f>
        <v>0</v>
      </c>
      <c r="D220">
        <v>0</v>
      </c>
      <c r="E220">
        <v>0</v>
      </c>
      <c r="F220">
        <v>1</v>
      </c>
      <c r="G220">
        <v>0</v>
      </c>
      <c r="H220">
        <v>1</v>
      </c>
      <c r="I220">
        <v>0</v>
      </c>
      <c r="J220">
        <v>4</v>
      </c>
      <c r="K220">
        <v>6.9</v>
      </c>
      <c r="L220" s="2">
        <v>2</v>
      </c>
      <c r="M220">
        <v>0</v>
      </c>
      <c r="N220" s="2">
        <v>0</v>
      </c>
      <c r="O220">
        <v>-4.8</v>
      </c>
      <c r="P220" t="s">
        <v>100</v>
      </c>
      <c r="Q220">
        <v>0</v>
      </c>
      <c r="R220" t="s">
        <v>145</v>
      </c>
      <c r="S220">
        <v>0</v>
      </c>
    </row>
    <row r="221" spans="1:19">
      <c r="A221" t="s">
        <v>32</v>
      </c>
      <c r="B221" t="s">
        <v>3124</v>
      </c>
      <c r="C221">
        <f>"5000270"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4</v>
      </c>
      <c r="K221">
        <v>39.48</v>
      </c>
      <c r="L221" s="2">
        <v>10</v>
      </c>
      <c r="M221">
        <v>0</v>
      </c>
      <c r="N221" s="2">
        <v>0</v>
      </c>
      <c r="O221">
        <v>-4.8</v>
      </c>
      <c r="P221" t="s">
        <v>100</v>
      </c>
      <c r="Q221">
        <v>0</v>
      </c>
      <c r="R221" t="s">
        <v>145</v>
      </c>
      <c r="S221">
        <v>0</v>
      </c>
    </row>
    <row r="222" spans="1:19">
      <c r="A222" t="s">
        <v>32</v>
      </c>
      <c r="B222" t="s">
        <v>2269</v>
      </c>
      <c r="C222">
        <f>"5006753"</f>
        <v>0</v>
      </c>
      <c r="D222">
        <v>0</v>
      </c>
      <c r="E222">
        <v>1</v>
      </c>
      <c r="F222">
        <v>1</v>
      </c>
      <c r="G222">
        <v>0</v>
      </c>
      <c r="H222">
        <v>2</v>
      </c>
      <c r="I222">
        <v>0.5</v>
      </c>
      <c r="J222">
        <v>5</v>
      </c>
      <c r="K222">
        <v>40.283</v>
      </c>
      <c r="L222" s="2">
        <v>8</v>
      </c>
      <c r="M222">
        <v>0</v>
      </c>
      <c r="N222" s="2">
        <v>0</v>
      </c>
      <c r="O222">
        <v>-5.5</v>
      </c>
      <c r="P222" t="s">
        <v>100</v>
      </c>
      <c r="Q222">
        <v>0</v>
      </c>
      <c r="R222" t="s">
        <v>145</v>
      </c>
      <c r="S222">
        <v>0</v>
      </c>
    </row>
    <row r="223" spans="1:19">
      <c r="A223" t="s">
        <v>32</v>
      </c>
      <c r="B223" t="s">
        <v>2047</v>
      </c>
      <c r="C223">
        <f>"5006746"</f>
        <v>0</v>
      </c>
      <c r="D223">
        <v>0</v>
      </c>
      <c r="E223">
        <v>0</v>
      </c>
      <c r="F223">
        <v>1</v>
      </c>
      <c r="G223">
        <v>2</v>
      </c>
      <c r="H223">
        <v>3</v>
      </c>
      <c r="I223">
        <v>0.5</v>
      </c>
      <c r="J223">
        <v>11</v>
      </c>
      <c r="K223">
        <v>124.444</v>
      </c>
      <c r="L223" s="2">
        <v>11</v>
      </c>
      <c r="M223">
        <v>0</v>
      </c>
      <c r="N223" s="2">
        <v>0</v>
      </c>
      <c r="O223">
        <v>-5.699999999999999</v>
      </c>
      <c r="P223" t="s">
        <v>10700</v>
      </c>
      <c r="Q223">
        <v>1.172</v>
      </c>
      <c r="R223" t="s">
        <v>10731</v>
      </c>
      <c r="S223">
        <v>1</v>
      </c>
    </row>
    <row r="224" spans="1:19">
      <c r="A224" t="s">
        <v>32</v>
      </c>
      <c r="B224" t="s">
        <v>1597</v>
      </c>
      <c r="C224">
        <f>"HCH861"</f>
        <v>0</v>
      </c>
      <c r="D224">
        <v>26</v>
      </c>
      <c r="E224">
        <v>7</v>
      </c>
      <c r="F224">
        <v>7</v>
      </c>
      <c r="G224">
        <v>0</v>
      </c>
      <c r="H224">
        <v>40</v>
      </c>
      <c r="I224">
        <v>7</v>
      </c>
      <c r="J224">
        <v>11</v>
      </c>
      <c r="K224">
        <v>237.355</v>
      </c>
      <c r="L224" s="2">
        <v>22</v>
      </c>
      <c r="M224">
        <v>0</v>
      </c>
      <c r="N224" s="2">
        <v>0</v>
      </c>
      <c r="O224">
        <v>-6.199999999999999</v>
      </c>
      <c r="P224" t="s">
        <v>100</v>
      </c>
      <c r="Q224">
        <v>0</v>
      </c>
      <c r="R224" t="s">
        <v>145</v>
      </c>
      <c r="S224">
        <v>0</v>
      </c>
    </row>
    <row r="225" spans="1:19">
      <c r="A225" t="s">
        <v>32</v>
      </c>
      <c r="B225" t="s">
        <v>292</v>
      </c>
      <c r="C225">
        <f>"PFI076"</f>
        <v>0</v>
      </c>
      <c r="D225">
        <v>1</v>
      </c>
      <c r="E225">
        <v>1</v>
      </c>
      <c r="F225">
        <v>0</v>
      </c>
      <c r="G225">
        <v>0</v>
      </c>
      <c r="H225">
        <v>2</v>
      </c>
      <c r="I225">
        <v>0.5</v>
      </c>
      <c r="J225">
        <v>6</v>
      </c>
      <c r="K225">
        <v>25.114</v>
      </c>
      <c r="L225" s="2">
        <v>4</v>
      </c>
      <c r="M225">
        <v>0</v>
      </c>
      <c r="N225" s="2">
        <v>0</v>
      </c>
      <c r="O225">
        <v>-6.699999999999999</v>
      </c>
      <c r="P225" t="s">
        <v>100</v>
      </c>
      <c r="Q225">
        <v>0</v>
      </c>
      <c r="R225" t="s">
        <v>145</v>
      </c>
      <c r="S225">
        <v>0</v>
      </c>
    </row>
    <row r="226" spans="1:19">
      <c r="A226" t="s">
        <v>32</v>
      </c>
      <c r="B226" t="s">
        <v>2224</v>
      </c>
      <c r="C226">
        <f>"5003516"</f>
        <v>0</v>
      </c>
      <c r="D226">
        <v>1</v>
      </c>
      <c r="E226">
        <v>0</v>
      </c>
      <c r="F226">
        <v>1</v>
      </c>
      <c r="G226">
        <v>0</v>
      </c>
      <c r="H226">
        <v>2</v>
      </c>
      <c r="I226">
        <v>0.5</v>
      </c>
      <c r="J226">
        <v>6</v>
      </c>
      <c r="K226">
        <v>123.283</v>
      </c>
      <c r="L226" s="2">
        <v>21</v>
      </c>
      <c r="M226">
        <v>0</v>
      </c>
      <c r="N226" s="2">
        <v>0</v>
      </c>
      <c r="O226">
        <v>-6.699999999999999</v>
      </c>
      <c r="P226" t="s">
        <v>100</v>
      </c>
      <c r="Q226">
        <v>0</v>
      </c>
      <c r="R226" t="s">
        <v>145</v>
      </c>
      <c r="S226">
        <v>0</v>
      </c>
    </row>
    <row r="227" spans="1:19">
      <c r="A227" t="s">
        <v>32</v>
      </c>
      <c r="B227" t="s">
        <v>2230</v>
      </c>
      <c r="C227">
        <f>"10021520"</f>
        <v>0</v>
      </c>
      <c r="D227">
        <v>0</v>
      </c>
      <c r="E227">
        <v>1</v>
      </c>
      <c r="F227">
        <v>1</v>
      </c>
      <c r="G227">
        <v>0</v>
      </c>
      <c r="H227">
        <v>2</v>
      </c>
      <c r="I227">
        <v>0.5</v>
      </c>
      <c r="J227">
        <v>6</v>
      </c>
      <c r="K227">
        <v>37.34</v>
      </c>
      <c r="L227" s="2">
        <v>6</v>
      </c>
      <c r="M227">
        <v>0</v>
      </c>
      <c r="N227" s="2">
        <v>0</v>
      </c>
      <c r="O227">
        <v>-6.699999999999999</v>
      </c>
      <c r="P227" t="s">
        <v>100</v>
      </c>
      <c r="Q227">
        <v>0</v>
      </c>
      <c r="R227" t="s">
        <v>145</v>
      </c>
      <c r="S227">
        <v>0</v>
      </c>
    </row>
    <row r="228" spans="1:19">
      <c r="A228" t="s">
        <v>32</v>
      </c>
      <c r="B228" t="s">
        <v>8836</v>
      </c>
      <c r="C228">
        <f>"1021102"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6</v>
      </c>
      <c r="K228">
        <v>53.334</v>
      </c>
      <c r="L228" s="2">
        <v>9</v>
      </c>
      <c r="M228">
        <v>0</v>
      </c>
      <c r="N228" s="2">
        <v>0</v>
      </c>
      <c r="O228">
        <v>-7.199999999999999</v>
      </c>
      <c r="P228" t="s">
        <v>100</v>
      </c>
      <c r="Q228">
        <v>0</v>
      </c>
      <c r="R228" t="s">
        <v>145</v>
      </c>
      <c r="S228">
        <v>0</v>
      </c>
    </row>
    <row r="229" spans="1:19">
      <c r="A229" t="s">
        <v>32</v>
      </c>
      <c r="B229" t="s">
        <v>5032</v>
      </c>
      <c r="C229">
        <f>"1022679"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6</v>
      </c>
      <c r="K229">
        <v>58.47</v>
      </c>
      <c r="L229" s="2">
        <v>10</v>
      </c>
      <c r="M229">
        <v>0</v>
      </c>
      <c r="N229" s="2">
        <v>0</v>
      </c>
      <c r="O229">
        <v>-7.199999999999999</v>
      </c>
      <c r="P229" t="s">
        <v>100</v>
      </c>
      <c r="Q229">
        <v>0</v>
      </c>
      <c r="R229" t="s">
        <v>145</v>
      </c>
      <c r="S229">
        <v>0</v>
      </c>
    </row>
    <row r="230" spans="1:19">
      <c r="A230" t="s">
        <v>32</v>
      </c>
      <c r="B230" t="s">
        <v>2258</v>
      </c>
      <c r="C230">
        <f>"5009530"</f>
        <v>0</v>
      </c>
      <c r="D230">
        <v>0</v>
      </c>
      <c r="E230">
        <v>1</v>
      </c>
      <c r="F230">
        <v>1</v>
      </c>
      <c r="G230">
        <v>0</v>
      </c>
      <c r="H230">
        <v>2</v>
      </c>
      <c r="I230">
        <v>0.5</v>
      </c>
      <c r="J230">
        <v>7</v>
      </c>
      <c r="K230">
        <v>7.665</v>
      </c>
      <c r="L230" s="2">
        <v>1</v>
      </c>
      <c r="M230">
        <v>0</v>
      </c>
      <c r="N230" s="2">
        <v>0</v>
      </c>
      <c r="O230">
        <v>-7.9</v>
      </c>
      <c r="P230" t="s">
        <v>100</v>
      </c>
      <c r="Q230">
        <v>0</v>
      </c>
      <c r="R230" t="s">
        <v>145</v>
      </c>
      <c r="S230">
        <v>0</v>
      </c>
    </row>
    <row r="231" spans="1:19">
      <c r="A231" t="s">
        <v>32</v>
      </c>
      <c r="B231" t="s">
        <v>6602</v>
      </c>
      <c r="C231">
        <f>"5009529"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7</v>
      </c>
      <c r="K231">
        <v>7.665</v>
      </c>
      <c r="L231" s="2">
        <v>1</v>
      </c>
      <c r="M231">
        <v>0</v>
      </c>
      <c r="N231" s="2">
        <v>0</v>
      </c>
      <c r="O231">
        <v>-8.4</v>
      </c>
      <c r="P231" t="s">
        <v>100</v>
      </c>
      <c r="Q231">
        <v>0</v>
      </c>
      <c r="R231" t="s">
        <v>145</v>
      </c>
      <c r="S231">
        <v>0</v>
      </c>
    </row>
    <row r="232" spans="1:19">
      <c r="A232" t="s">
        <v>32</v>
      </c>
      <c r="B232" t="s">
        <v>8885</v>
      </c>
      <c r="C232">
        <f>"5009534"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7</v>
      </c>
      <c r="K232">
        <v>22.505</v>
      </c>
      <c r="L232" s="2">
        <v>3</v>
      </c>
      <c r="M232">
        <v>0</v>
      </c>
      <c r="N232" s="2">
        <v>0</v>
      </c>
      <c r="O232">
        <v>-8.4</v>
      </c>
      <c r="P232" t="s">
        <v>100</v>
      </c>
      <c r="Q232">
        <v>0</v>
      </c>
      <c r="R232" t="s">
        <v>145</v>
      </c>
      <c r="S232">
        <v>0</v>
      </c>
    </row>
    <row r="233" spans="1:19">
      <c r="A233" t="s">
        <v>32</v>
      </c>
      <c r="B233" t="s">
        <v>2049</v>
      </c>
      <c r="C233">
        <f>"5003519"</f>
        <v>0</v>
      </c>
      <c r="D233">
        <v>2</v>
      </c>
      <c r="E233">
        <v>0</v>
      </c>
      <c r="F233">
        <v>0</v>
      </c>
      <c r="G233">
        <v>1</v>
      </c>
      <c r="H233">
        <v>3</v>
      </c>
      <c r="I233">
        <v>0.5</v>
      </c>
      <c r="J233">
        <v>12</v>
      </c>
      <c r="K233">
        <v>185.517</v>
      </c>
      <c r="L233" s="2">
        <v>15</v>
      </c>
      <c r="M233">
        <v>0</v>
      </c>
      <c r="N233" s="2">
        <v>0</v>
      </c>
      <c r="O233">
        <v>-8.899999999999999</v>
      </c>
      <c r="P233" t="s">
        <v>10689</v>
      </c>
      <c r="Q233">
        <v>1.104</v>
      </c>
      <c r="R233" t="s">
        <v>10732</v>
      </c>
      <c r="S233">
        <v>1</v>
      </c>
    </row>
    <row r="234" spans="1:19">
      <c r="A234" t="s">
        <v>32</v>
      </c>
      <c r="B234" t="s">
        <v>292</v>
      </c>
      <c r="C234">
        <f>"1022552"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9</v>
      </c>
      <c r="K234">
        <v>96.473</v>
      </c>
      <c r="L234" s="2">
        <v>11</v>
      </c>
      <c r="M234">
        <v>0</v>
      </c>
      <c r="N234" s="2">
        <v>0</v>
      </c>
      <c r="O234">
        <v>-10.8</v>
      </c>
      <c r="P234" t="s">
        <v>100</v>
      </c>
      <c r="Q234">
        <v>0</v>
      </c>
      <c r="R234" t="s">
        <v>145</v>
      </c>
      <c r="S234">
        <v>0</v>
      </c>
    </row>
    <row r="235" spans="1:19">
      <c r="A235" t="s">
        <v>32</v>
      </c>
      <c r="B235" t="s">
        <v>2188</v>
      </c>
      <c r="C235">
        <f>"500836"</f>
        <v>0</v>
      </c>
      <c r="D235">
        <v>0</v>
      </c>
      <c r="E235">
        <v>1</v>
      </c>
      <c r="F235">
        <v>1</v>
      </c>
      <c r="G235">
        <v>0</v>
      </c>
      <c r="H235">
        <v>2</v>
      </c>
      <c r="I235">
        <v>0.5</v>
      </c>
      <c r="J235">
        <v>10</v>
      </c>
      <c r="K235">
        <v>70.09999999999999</v>
      </c>
      <c r="L235" s="2">
        <v>7</v>
      </c>
      <c r="M235">
        <v>0</v>
      </c>
      <c r="N235" s="2">
        <v>0</v>
      </c>
      <c r="O235">
        <v>-11.5</v>
      </c>
      <c r="P235" t="s">
        <v>100</v>
      </c>
      <c r="Q235">
        <v>0</v>
      </c>
      <c r="R235" t="s">
        <v>145</v>
      </c>
      <c r="S235">
        <v>0</v>
      </c>
    </row>
    <row r="236" spans="1:19">
      <c r="A236" t="s">
        <v>32</v>
      </c>
      <c r="B236" t="s">
        <v>1900</v>
      </c>
      <c r="C236">
        <f>"5006756"</f>
        <v>0</v>
      </c>
      <c r="D236">
        <v>1</v>
      </c>
      <c r="E236">
        <v>5</v>
      </c>
      <c r="F236">
        <v>0</v>
      </c>
      <c r="G236">
        <v>0</v>
      </c>
      <c r="H236">
        <v>6</v>
      </c>
      <c r="I236">
        <v>0.5</v>
      </c>
      <c r="J236">
        <v>10</v>
      </c>
      <c r="K236">
        <v>251.025</v>
      </c>
      <c r="L236" s="2">
        <v>25</v>
      </c>
      <c r="M236">
        <v>0</v>
      </c>
      <c r="N236" s="2">
        <v>0</v>
      </c>
      <c r="O236">
        <v>-11.5</v>
      </c>
      <c r="P236" t="s">
        <v>100</v>
      </c>
      <c r="Q236">
        <v>0</v>
      </c>
      <c r="R236" t="s">
        <v>145</v>
      </c>
      <c r="S236">
        <v>0</v>
      </c>
    </row>
    <row r="237" spans="1:19">
      <c r="A237" t="s">
        <v>32</v>
      </c>
      <c r="B237" t="s">
        <v>6225</v>
      </c>
      <c r="C237">
        <f>"5006745"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10</v>
      </c>
      <c r="K237">
        <v>39.241</v>
      </c>
      <c r="L237" s="2">
        <v>4</v>
      </c>
      <c r="M237">
        <v>0</v>
      </c>
      <c r="N237" s="2">
        <v>0</v>
      </c>
      <c r="O237">
        <v>-12</v>
      </c>
      <c r="P237" t="s">
        <v>100</v>
      </c>
      <c r="Q237">
        <v>0</v>
      </c>
      <c r="R237" t="s">
        <v>145</v>
      </c>
      <c r="S237">
        <v>0</v>
      </c>
    </row>
    <row r="238" spans="1:19">
      <c r="A238" t="s">
        <v>32</v>
      </c>
      <c r="B238" t="s">
        <v>1764</v>
      </c>
      <c r="C238">
        <f>"5000887"</f>
        <v>0</v>
      </c>
      <c r="D238">
        <v>0</v>
      </c>
      <c r="E238">
        <v>3</v>
      </c>
      <c r="F238">
        <v>9</v>
      </c>
      <c r="G238">
        <v>0</v>
      </c>
      <c r="H238">
        <v>12</v>
      </c>
      <c r="I238">
        <v>1.5</v>
      </c>
      <c r="J238">
        <v>12</v>
      </c>
      <c r="K238">
        <v>68.91200000000001</v>
      </c>
      <c r="L238" s="2">
        <v>6</v>
      </c>
      <c r="M238">
        <v>0</v>
      </c>
      <c r="N238" s="2">
        <v>0</v>
      </c>
      <c r="O238">
        <v>-12.9</v>
      </c>
      <c r="P238" t="s">
        <v>100</v>
      </c>
      <c r="Q238">
        <v>0</v>
      </c>
      <c r="R238" t="s">
        <v>145</v>
      </c>
      <c r="S238">
        <v>0</v>
      </c>
    </row>
    <row r="239" spans="1:19">
      <c r="A239" t="s">
        <v>32</v>
      </c>
      <c r="B239" t="s">
        <v>1971</v>
      </c>
      <c r="C239">
        <f>"5006752"</f>
        <v>0</v>
      </c>
      <c r="D239">
        <v>4</v>
      </c>
      <c r="E239">
        <v>0</v>
      </c>
      <c r="F239">
        <v>0</v>
      </c>
      <c r="G239">
        <v>0</v>
      </c>
      <c r="H239">
        <v>4</v>
      </c>
      <c r="I239">
        <v>0</v>
      </c>
      <c r="J239">
        <v>11</v>
      </c>
      <c r="K239">
        <v>143.969</v>
      </c>
      <c r="L239" s="2">
        <v>13</v>
      </c>
      <c r="M239">
        <v>0</v>
      </c>
      <c r="N239" s="2">
        <v>0</v>
      </c>
      <c r="O239">
        <v>-13.2</v>
      </c>
      <c r="P239" t="s">
        <v>100</v>
      </c>
      <c r="Q239">
        <v>0</v>
      </c>
      <c r="R239" t="s">
        <v>145</v>
      </c>
      <c r="S239">
        <v>0</v>
      </c>
    </row>
    <row r="240" spans="1:19">
      <c r="A240" t="s">
        <v>32</v>
      </c>
      <c r="B240" t="s">
        <v>1899</v>
      </c>
      <c r="C240">
        <f>"5000888"</f>
        <v>0</v>
      </c>
      <c r="D240">
        <v>1</v>
      </c>
      <c r="E240">
        <v>4</v>
      </c>
      <c r="F240">
        <v>1</v>
      </c>
      <c r="G240">
        <v>0</v>
      </c>
      <c r="H240">
        <v>6</v>
      </c>
      <c r="I240">
        <v>1</v>
      </c>
      <c r="J240">
        <v>13</v>
      </c>
      <c r="K240">
        <v>46.004</v>
      </c>
      <c r="L240" s="2">
        <v>4</v>
      </c>
      <c r="M240">
        <v>0</v>
      </c>
      <c r="N240" s="2">
        <v>0</v>
      </c>
      <c r="O240">
        <v>-14.6</v>
      </c>
      <c r="P240" t="s">
        <v>100</v>
      </c>
      <c r="Q240">
        <v>0</v>
      </c>
      <c r="R240" t="s">
        <v>145</v>
      </c>
      <c r="S240">
        <v>0</v>
      </c>
    </row>
    <row r="241" spans="1:19">
      <c r="A241" t="s">
        <v>32</v>
      </c>
      <c r="B241" t="s">
        <v>2587</v>
      </c>
      <c r="C241">
        <f>"5000437"</f>
        <v>0</v>
      </c>
      <c r="D241">
        <v>0</v>
      </c>
      <c r="E241">
        <v>0</v>
      </c>
      <c r="F241">
        <v>1</v>
      </c>
      <c r="G241">
        <v>0</v>
      </c>
      <c r="H241">
        <v>1</v>
      </c>
      <c r="I241">
        <v>0</v>
      </c>
      <c r="J241">
        <v>15</v>
      </c>
      <c r="K241">
        <v>134.307</v>
      </c>
      <c r="L241" s="2">
        <v>9</v>
      </c>
      <c r="M241">
        <v>0</v>
      </c>
      <c r="N241" s="2">
        <v>0</v>
      </c>
      <c r="O241">
        <v>-18</v>
      </c>
      <c r="P241" t="s">
        <v>100</v>
      </c>
      <c r="Q241">
        <v>0</v>
      </c>
      <c r="R241" t="s">
        <v>145</v>
      </c>
      <c r="S241">
        <v>0</v>
      </c>
    </row>
    <row r="242" spans="1:19">
      <c r="A242" t="s">
        <v>32</v>
      </c>
      <c r="B242" t="s">
        <v>2081</v>
      </c>
      <c r="C242">
        <f>"5008723"</f>
        <v>0</v>
      </c>
      <c r="D242">
        <v>0</v>
      </c>
      <c r="E242">
        <v>3</v>
      </c>
      <c r="F242">
        <v>0</v>
      </c>
      <c r="G242">
        <v>0</v>
      </c>
      <c r="H242">
        <v>3</v>
      </c>
      <c r="I242">
        <v>0</v>
      </c>
      <c r="J242">
        <v>19</v>
      </c>
      <c r="K242">
        <v>84.73999999999999</v>
      </c>
      <c r="L242" s="2">
        <v>4</v>
      </c>
      <c r="M242">
        <v>0</v>
      </c>
      <c r="N242" s="2">
        <v>0</v>
      </c>
      <c r="O242">
        <v>-22.8</v>
      </c>
      <c r="P242" t="s">
        <v>100</v>
      </c>
      <c r="Q242">
        <v>0</v>
      </c>
      <c r="R242" t="s">
        <v>145</v>
      </c>
      <c r="S242">
        <v>0</v>
      </c>
    </row>
    <row r="243" spans="1:19">
      <c r="A243" t="s">
        <v>32</v>
      </c>
      <c r="B243" t="s">
        <v>292</v>
      </c>
      <c r="C243">
        <f>"1022554"</f>
        <v>0</v>
      </c>
      <c r="D243">
        <v>9</v>
      </c>
      <c r="E243">
        <v>3</v>
      </c>
      <c r="F243">
        <v>2</v>
      </c>
      <c r="G243">
        <v>1</v>
      </c>
      <c r="H243">
        <v>15</v>
      </c>
      <c r="I243">
        <v>2.5</v>
      </c>
      <c r="J243">
        <v>26</v>
      </c>
      <c r="K243">
        <v>306.754</v>
      </c>
      <c r="L243" s="2">
        <v>12</v>
      </c>
      <c r="M243">
        <v>0</v>
      </c>
      <c r="N243" s="2">
        <v>0</v>
      </c>
      <c r="O243">
        <v>-26.7</v>
      </c>
      <c r="P243" t="s">
        <v>10346</v>
      </c>
      <c r="Q243">
        <v>4.16</v>
      </c>
      <c r="R243" t="s">
        <v>10733</v>
      </c>
      <c r="S243">
        <v>0</v>
      </c>
    </row>
    <row r="244" spans="1:19">
      <c r="A244" t="s">
        <v>32</v>
      </c>
      <c r="B244" t="s">
        <v>287</v>
      </c>
      <c r="C244">
        <f>"EHL045"</f>
        <v>0</v>
      </c>
      <c r="D244">
        <v>72</v>
      </c>
      <c r="E244">
        <v>77</v>
      </c>
      <c r="F244">
        <v>19</v>
      </c>
      <c r="G244">
        <v>25</v>
      </c>
      <c r="H244">
        <v>193</v>
      </c>
      <c r="I244">
        <v>48.5</v>
      </c>
      <c r="J244">
        <v>113</v>
      </c>
      <c r="K244">
        <v>129.769</v>
      </c>
      <c r="L244" s="2">
        <v>1</v>
      </c>
      <c r="M244">
        <v>0</v>
      </c>
      <c r="N244" s="2">
        <v>0</v>
      </c>
      <c r="O244">
        <v>-34.09999999999999</v>
      </c>
      <c r="P244" t="s">
        <v>10701</v>
      </c>
      <c r="Q244">
        <v>7.382</v>
      </c>
      <c r="R244" t="s">
        <v>10734</v>
      </c>
      <c r="S244">
        <v>1</v>
      </c>
    </row>
  </sheetData>
  <autoFilter ref="A2:S244"/>
  <hyperlinks>
    <hyperlink ref="A1" location="'ÍNDICE'!A1" display="⬅ Volver al índice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S2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28</v>
      </c>
      <c r="B3" t="s">
        <v>46</v>
      </c>
      <c r="C3">
        <f>"EC20OR"</f>
        <v>0</v>
      </c>
      <c r="D3">
        <v>52</v>
      </c>
      <c r="E3">
        <v>25</v>
      </c>
      <c r="F3">
        <v>41</v>
      </c>
      <c r="G3">
        <v>41</v>
      </c>
      <c r="H3">
        <v>159</v>
      </c>
      <c r="I3">
        <v>41</v>
      </c>
      <c r="J3">
        <v>2</v>
      </c>
      <c r="K3">
        <v>15</v>
      </c>
      <c r="L3" s="2">
        <v>8</v>
      </c>
      <c r="M3">
        <v>60</v>
      </c>
      <c r="N3" s="2">
        <v>480</v>
      </c>
      <c r="O3">
        <v>120.6</v>
      </c>
      <c r="P3" t="s">
        <v>96</v>
      </c>
      <c r="Q3">
        <v>122.835</v>
      </c>
      <c r="R3" t="s">
        <v>142</v>
      </c>
      <c r="S3">
        <v>0</v>
      </c>
    </row>
    <row r="4" spans="1:19">
      <c r="A4" t="s">
        <v>28</v>
      </c>
      <c r="B4" t="s">
        <v>47</v>
      </c>
      <c r="C4">
        <f>"EC20BB"</f>
        <v>0</v>
      </c>
      <c r="D4">
        <v>60</v>
      </c>
      <c r="E4">
        <v>27</v>
      </c>
      <c r="F4">
        <v>21</v>
      </c>
      <c r="G4">
        <v>37</v>
      </c>
      <c r="H4">
        <v>145</v>
      </c>
      <c r="I4">
        <v>32</v>
      </c>
      <c r="J4">
        <v>0</v>
      </c>
      <c r="K4">
        <v>0</v>
      </c>
      <c r="L4" s="2">
        <v>0</v>
      </c>
      <c r="M4">
        <v>50</v>
      </c>
      <c r="N4" s="2">
        <v>0</v>
      </c>
      <c r="O4">
        <v>109</v>
      </c>
      <c r="P4" t="s">
        <v>97</v>
      </c>
      <c r="Q4">
        <v>110.85</v>
      </c>
      <c r="R4" t="s">
        <v>142</v>
      </c>
      <c r="S4">
        <v>1</v>
      </c>
    </row>
    <row r="5" spans="1:19">
      <c r="A5" t="s">
        <v>28</v>
      </c>
      <c r="B5" t="s">
        <v>48</v>
      </c>
      <c r="C5">
        <f>"ECAL24KG"</f>
        <v>0</v>
      </c>
      <c r="D5">
        <v>39</v>
      </c>
      <c r="E5">
        <v>26</v>
      </c>
      <c r="F5">
        <v>25</v>
      </c>
      <c r="G5">
        <v>35</v>
      </c>
      <c r="H5">
        <v>125</v>
      </c>
      <c r="I5">
        <v>30.5</v>
      </c>
      <c r="J5">
        <v>0</v>
      </c>
      <c r="K5">
        <v>0</v>
      </c>
      <c r="L5" s="2">
        <v>0</v>
      </c>
      <c r="M5">
        <v>48</v>
      </c>
      <c r="N5" s="2">
        <v>0</v>
      </c>
      <c r="O5">
        <v>103.5</v>
      </c>
      <c r="P5" t="s">
        <v>98</v>
      </c>
      <c r="Q5">
        <v>134.672</v>
      </c>
      <c r="R5" t="s">
        <v>143</v>
      </c>
      <c r="S5">
        <v>1</v>
      </c>
    </row>
    <row r="6" spans="1:19">
      <c r="A6" t="s">
        <v>28</v>
      </c>
      <c r="B6" t="s">
        <v>51</v>
      </c>
      <c r="C6">
        <f>"ECLA24KG"</f>
        <v>0</v>
      </c>
      <c r="D6">
        <v>43</v>
      </c>
      <c r="E6">
        <v>18</v>
      </c>
      <c r="F6">
        <v>31</v>
      </c>
      <c r="G6">
        <v>29</v>
      </c>
      <c r="H6">
        <v>121</v>
      </c>
      <c r="I6">
        <v>30</v>
      </c>
      <c r="J6">
        <v>0</v>
      </c>
      <c r="K6">
        <v>0</v>
      </c>
      <c r="L6" s="2">
        <v>0</v>
      </c>
      <c r="M6">
        <v>44</v>
      </c>
      <c r="N6" s="2">
        <v>0</v>
      </c>
      <c r="O6">
        <v>88</v>
      </c>
      <c r="P6" t="s">
        <v>101</v>
      </c>
      <c r="Q6">
        <v>111.649</v>
      </c>
      <c r="R6" t="s">
        <v>146</v>
      </c>
      <c r="S6">
        <v>0</v>
      </c>
    </row>
    <row r="7" spans="1:19">
      <c r="A7" t="s">
        <v>28</v>
      </c>
      <c r="B7" t="s">
        <v>58</v>
      </c>
      <c r="C7">
        <f>"EC20LA"</f>
        <v>0</v>
      </c>
      <c r="D7">
        <v>60</v>
      </c>
      <c r="E7">
        <v>46</v>
      </c>
      <c r="F7">
        <v>191</v>
      </c>
      <c r="G7">
        <v>30</v>
      </c>
      <c r="H7">
        <v>327</v>
      </c>
      <c r="I7">
        <v>53</v>
      </c>
      <c r="J7">
        <v>42</v>
      </c>
      <c r="K7">
        <v>315</v>
      </c>
      <c r="L7" s="2">
        <v>8</v>
      </c>
      <c r="M7">
        <v>26</v>
      </c>
      <c r="N7" s="2">
        <v>208</v>
      </c>
      <c r="O7">
        <v>62.6</v>
      </c>
      <c r="P7" t="s">
        <v>108</v>
      </c>
      <c r="Q7">
        <v>88.06399999999999</v>
      </c>
      <c r="R7" t="s">
        <v>153</v>
      </c>
      <c r="S7">
        <v>0</v>
      </c>
    </row>
    <row r="8" spans="1:19">
      <c r="A8" t="s">
        <v>28</v>
      </c>
      <c r="B8" t="s">
        <v>341</v>
      </c>
      <c r="C8">
        <f>"ECLA2"</f>
        <v>0</v>
      </c>
      <c r="D8">
        <v>42</v>
      </c>
      <c r="E8">
        <v>25</v>
      </c>
      <c r="F8">
        <v>9</v>
      </c>
      <c r="G8">
        <v>0</v>
      </c>
      <c r="H8">
        <v>76</v>
      </c>
      <c r="I8">
        <v>17</v>
      </c>
      <c r="J8">
        <v>0</v>
      </c>
      <c r="K8">
        <v>0</v>
      </c>
      <c r="L8" s="2">
        <v>0</v>
      </c>
      <c r="M8">
        <v>17</v>
      </c>
      <c r="N8" s="2">
        <v>0</v>
      </c>
      <c r="O8">
        <v>17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28</v>
      </c>
      <c r="B9" t="s">
        <v>379</v>
      </c>
      <c r="C9">
        <f>"ECAL"</f>
        <v>0</v>
      </c>
      <c r="D9">
        <v>12</v>
      </c>
      <c r="E9">
        <v>25</v>
      </c>
      <c r="F9">
        <v>18</v>
      </c>
      <c r="G9">
        <v>0</v>
      </c>
      <c r="H9">
        <v>55</v>
      </c>
      <c r="I9">
        <v>15</v>
      </c>
      <c r="J9">
        <v>0</v>
      </c>
      <c r="K9">
        <v>0</v>
      </c>
      <c r="L9" s="2">
        <v>0</v>
      </c>
      <c r="M9">
        <v>15</v>
      </c>
      <c r="N9" s="2">
        <v>0</v>
      </c>
      <c r="O9">
        <v>15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28</v>
      </c>
      <c r="B10" t="s">
        <v>346</v>
      </c>
      <c r="C10">
        <f>"BTLE24KG"</f>
        <v>0</v>
      </c>
      <c r="D10">
        <v>50</v>
      </c>
      <c r="E10">
        <v>16</v>
      </c>
      <c r="F10">
        <v>8</v>
      </c>
      <c r="G10">
        <v>0</v>
      </c>
      <c r="H10">
        <v>74</v>
      </c>
      <c r="I10">
        <v>12</v>
      </c>
      <c r="J10">
        <v>0</v>
      </c>
      <c r="K10">
        <v>0</v>
      </c>
      <c r="L10" s="2">
        <v>0</v>
      </c>
      <c r="M10">
        <v>12</v>
      </c>
      <c r="N10" s="2">
        <v>0</v>
      </c>
      <c r="O10">
        <v>12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28</v>
      </c>
      <c r="B11" t="s">
        <v>403</v>
      </c>
      <c r="C11">
        <f>"EC20CO"</f>
        <v>0</v>
      </c>
      <c r="D11">
        <v>0</v>
      </c>
      <c r="E11">
        <v>27</v>
      </c>
      <c r="F11">
        <v>15</v>
      </c>
      <c r="G11">
        <v>0</v>
      </c>
      <c r="H11">
        <v>42</v>
      </c>
      <c r="I11">
        <v>7.5</v>
      </c>
      <c r="J11">
        <v>0</v>
      </c>
      <c r="K11">
        <v>0</v>
      </c>
      <c r="L11" s="2">
        <v>0</v>
      </c>
      <c r="M11">
        <v>8</v>
      </c>
      <c r="N11" s="2">
        <v>0</v>
      </c>
      <c r="O11">
        <v>7.5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28</v>
      </c>
      <c r="B12" t="s">
        <v>450</v>
      </c>
      <c r="C12">
        <f>"ECCO24KG"</f>
        <v>0</v>
      </c>
      <c r="D12">
        <v>4</v>
      </c>
      <c r="E12">
        <v>15</v>
      </c>
      <c r="F12">
        <v>5</v>
      </c>
      <c r="G12">
        <v>0</v>
      </c>
      <c r="H12">
        <v>24</v>
      </c>
      <c r="I12">
        <v>4.5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4.5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28</v>
      </c>
      <c r="B13" t="s">
        <v>379</v>
      </c>
      <c r="C13">
        <f>"ECLA"</f>
        <v>0</v>
      </c>
      <c r="D13">
        <v>6</v>
      </c>
      <c r="E13">
        <v>3</v>
      </c>
      <c r="F13">
        <v>27</v>
      </c>
      <c r="G13">
        <v>0</v>
      </c>
      <c r="H13">
        <v>36</v>
      </c>
      <c r="I13">
        <v>4.5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4.5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28</v>
      </c>
      <c r="B14" t="s">
        <v>781</v>
      </c>
      <c r="C14">
        <f>"ECCO"</f>
        <v>0</v>
      </c>
      <c r="D14">
        <v>3</v>
      </c>
      <c r="E14">
        <v>1</v>
      </c>
      <c r="F14">
        <v>0</v>
      </c>
      <c r="G14">
        <v>0</v>
      </c>
      <c r="H14">
        <v>4</v>
      </c>
      <c r="I14">
        <v>0.5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0.5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28</v>
      </c>
      <c r="B15" t="s">
        <v>9500</v>
      </c>
      <c r="C15">
        <f>"EC20LE"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28</v>
      </c>
      <c r="B16" t="s">
        <v>4324</v>
      </c>
      <c r="C16">
        <f>"LS20BB"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28</v>
      </c>
      <c r="B17" t="s">
        <v>9501</v>
      </c>
      <c r="C17">
        <f>"EC20JA"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28</v>
      </c>
      <c r="B18" t="s">
        <v>7888</v>
      </c>
      <c r="C18">
        <f>"CCLLA01"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28</v>
      </c>
      <c r="B19" t="s">
        <v>480</v>
      </c>
      <c r="C19">
        <f>"CT850L"</f>
        <v>0</v>
      </c>
      <c r="D19">
        <v>0</v>
      </c>
      <c r="E19">
        <v>0</v>
      </c>
      <c r="F19">
        <v>20</v>
      </c>
      <c r="G19">
        <v>0</v>
      </c>
      <c r="H19">
        <v>20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28</v>
      </c>
      <c r="B20" t="s">
        <v>9482</v>
      </c>
      <c r="C20">
        <f>"BTAL24KG"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28</v>
      </c>
      <c r="B21" t="s">
        <v>452</v>
      </c>
      <c r="C21">
        <f>"BTLA24KG"</f>
        <v>0</v>
      </c>
      <c r="D21">
        <v>0</v>
      </c>
      <c r="E21">
        <v>24</v>
      </c>
      <c r="F21">
        <v>0</v>
      </c>
      <c r="G21">
        <v>0</v>
      </c>
      <c r="H21">
        <v>24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28</v>
      </c>
      <c r="B22" t="s">
        <v>782</v>
      </c>
      <c r="C22">
        <f>"BTAL"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28</v>
      </c>
      <c r="B23" t="s">
        <v>782</v>
      </c>
      <c r="C23">
        <f>"BTLE"</f>
        <v>0</v>
      </c>
      <c r="D23">
        <v>4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28</v>
      </c>
      <c r="B24" t="s">
        <v>9499</v>
      </c>
      <c r="C24">
        <f>"EC20AL"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28</v>
      </c>
      <c r="B25" t="s">
        <v>782</v>
      </c>
      <c r="C25">
        <f>"BTLA"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28</v>
      </c>
      <c r="B26" t="s">
        <v>379</v>
      </c>
      <c r="C26">
        <f>"ECLE"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28</v>
      </c>
      <c r="B27" t="s">
        <v>9481</v>
      </c>
      <c r="C27">
        <f>"ECLE24KG"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</sheetData>
  <autoFilter ref="A2:S27"/>
  <hyperlinks>
    <hyperlink ref="A1" location="'ÍNDICE'!A1" display="⬅ Volver al índice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5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36</v>
      </c>
      <c r="B3" t="s">
        <v>73</v>
      </c>
      <c r="C3">
        <f>"1022172"</f>
        <v>0</v>
      </c>
      <c r="D3">
        <v>67</v>
      </c>
      <c r="E3">
        <v>30</v>
      </c>
      <c r="F3">
        <v>35</v>
      </c>
      <c r="G3">
        <v>22</v>
      </c>
      <c r="H3">
        <v>154</v>
      </c>
      <c r="I3">
        <v>32.5</v>
      </c>
      <c r="J3">
        <v>35</v>
      </c>
      <c r="K3">
        <v>774.259</v>
      </c>
      <c r="L3" s="2">
        <v>22</v>
      </c>
      <c r="M3">
        <v>8</v>
      </c>
      <c r="N3" s="2">
        <v>176</v>
      </c>
      <c r="O3">
        <v>34.5</v>
      </c>
      <c r="P3" t="s">
        <v>120</v>
      </c>
      <c r="Q3">
        <v>152.703</v>
      </c>
      <c r="R3" t="s">
        <v>165</v>
      </c>
      <c r="S3">
        <v>0</v>
      </c>
    </row>
    <row r="4" spans="1:19">
      <c r="A4" t="s">
        <v>36</v>
      </c>
      <c r="B4" t="s">
        <v>84</v>
      </c>
      <c r="C4">
        <f>"1003775"</f>
        <v>0</v>
      </c>
      <c r="D4">
        <v>0</v>
      </c>
      <c r="E4">
        <v>0</v>
      </c>
      <c r="F4">
        <v>2</v>
      </c>
      <c r="G4">
        <v>16</v>
      </c>
      <c r="H4">
        <v>18</v>
      </c>
      <c r="I4">
        <v>1</v>
      </c>
      <c r="J4">
        <v>6</v>
      </c>
      <c r="K4">
        <v>25.764</v>
      </c>
      <c r="L4" s="2">
        <v>4</v>
      </c>
      <c r="M4">
        <v>3</v>
      </c>
      <c r="N4" s="2">
        <v>12</v>
      </c>
      <c r="O4">
        <v>28.8</v>
      </c>
      <c r="P4" t="s">
        <v>130</v>
      </c>
      <c r="Q4">
        <v>16.309</v>
      </c>
      <c r="R4" t="s">
        <v>175</v>
      </c>
      <c r="S4">
        <v>1</v>
      </c>
    </row>
    <row r="5" spans="1:19">
      <c r="A5" t="s">
        <v>36</v>
      </c>
      <c r="B5" t="s">
        <v>723</v>
      </c>
      <c r="C5">
        <f>"90200647"</f>
        <v>0</v>
      </c>
      <c r="D5">
        <v>0</v>
      </c>
      <c r="E5">
        <v>1</v>
      </c>
      <c r="F5">
        <v>2</v>
      </c>
      <c r="G5">
        <v>4</v>
      </c>
      <c r="H5">
        <v>7</v>
      </c>
      <c r="I5">
        <v>1.5</v>
      </c>
      <c r="J5">
        <v>0</v>
      </c>
      <c r="K5">
        <v>0</v>
      </c>
      <c r="L5" s="2">
        <v>0</v>
      </c>
      <c r="M5">
        <v>4</v>
      </c>
      <c r="N5" s="2">
        <v>0</v>
      </c>
      <c r="O5">
        <v>12.5</v>
      </c>
      <c r="P5" t="s">
        <v>10737</v>
      </c>
      <c r="Q5">
        <v>-4.199</v>
      </c>
      <c r="R5" t="s">
        <v>10746</v>
      </c>
      <c r="S5">
        <v>1</v>
      </c>
    </row>
    <row r="6" spans="1:19">
      <c r="A6" t="s">
        <v>36</v>
      </c>
      <c r="B6" t="s">
        <v>1878</v>
      </c>
      <c r="C6">
        <f>"CA5454001CH"</f>
        <v>0</v>
      </c>
      <c r="D6">
        <v>3</v>
      </c>
      <c r="E6">
        <v>0</v>
      </c>
      <c r="F6">
        <v>0</v>
      </c>
      <c r="G6">
        <v>4</v>
      </c>
      <c r="H6">
        <v>7</v>
      </c>
      <c r="I6">
        <v>1.5</v>
      </c>
      <c r="J6">
        <v>2</v>
      </c>
      <c r="K6">
        <v>8.9</v>
      </c>
      <c r="L6" s="2">
        <v>4</v>
      </c>
      <c r="M6">
        <v>2</v>
      </c>
      <c r="N6" s="2">
        <v>8</v>
      </c>
      <c r="O6">
        <v>10.1</v>
      </c>
      <c r="P6" t="s">
        <v>10738</v>
      </c>
      <c r="Q6">
        <v>-2.664</v>
      </c>
      <c r="R6" t="s">
        <v>10747</v>
      </c>
      <c r="S6">
        <v>1</v>
      </c>
    </row>
    <row r="7" spans="1:19">
      <c r="A7" t="s">
        <v>36</v>
      </c>
      <c r="B7" t="s">
        <v>1809</v>
      </c>
      <c r="C7">
        <f>"1018253"</f>
        <v>0</v>
      </c>
      <c r="D7">
        <v>0</v>
      </c>
      <c r="E7">
        <v>0</v>
      </c>
      <c r="F7">
        <v>4</v>
      </c>
      <c r="G7">
        <v>4</v>
      </c>
      <c r="H7">
        <v>8</v>
      </c>
      <c r="I7">
        <v>2</v>
      </c>
      <c r="J7">
        <v>3</v>
      </c>
      <c r="K7">
        <v>23.499</v>
      </c>
      <c r="L7" s="2">
        <v>8</v>
      </c>
      <c r="M7">
        <v>1</v>
      </c>
      <c r="N7" s="2">
        <v>8</v>
      </c>
      <c r="O7">
        <v>6.4</v>
      </c>
      <c r="P7" t="s">
        <v>10739</v>
      </c>
      <c r="Q7">
        <v>4.463</v>
      </c>
      <c r="R7" t="s">
        <v>10748</v>
      </c>
      <c r="S7">
        <v>0</v>
      </c>
    </row>
    <row r="8" spans="1:19">
      <c r="A8" t="s">
        <v>36</v>
      </c>
      <c r="B8" t="s">
        <v>610</v>
      </c>
      <c r="C8">
        <f>"86987309"</f>
        <v>0</v>
      </c>
      <c r="D8">
        <v>5</v>
      </c>
      <c r="E8">
        <v>4</v>
      </c>
      <c r="F8">
        <v>0</v>
      </c>
      <c r="G8">
        <v>0</v>
      </c>
      <c r="H8">
        <v>9</v>
      </c>
      <c r="I8">
        <v>2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2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36</v>
      </c>
      <c r="B9" t="s">
        <v>977</v>
      </c>
      <c r="C9">
        <f>"1020911"</f>
        <v>0</v>
      </c>
      <c r="D9">
        <v>1</v>
      </c>
      <c r="E9">
        <v>1</v>
      </c>
      <c r="F9">
        <v>0</v>
      </c>
      <c r="G9">
        <v>0</v>
      </c>
      <c r="H9">
        <v>2</v>
      </c>
      <c r="I9">
        <v>0.5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0.5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36</v>
      </c>
      <c r="B10" t="s">
        <v>1872</v>
      </c>
      <c r="C10">
        <f>"87059472"</f>
        <v>0</v>
      </c>
      <c r="D10">
        <v>3</v>
      </c>
      <c r="E10">
        <v>2</v>
      </c>
      <c r="F10">
        <v>0</v>
      </c>
      <c r="G10">
        <v>1</v>
      </c>
      <c r="H10">
        <v>6</v>
      </c>
      <c r="I10">
        <v>1.5</v>
      </c>
      <c r="J10">
        <v>5</v>
      </c>
      <c r="K10">
        <v>46.235</v>
      </c>
      <c r="L10" s="2">
        <v>9</v>
      </c>
      <c r="M10">
        <v>0</v>
      </c>
      <c r="N10" s="2">
        <v>0</v>
      </c>
      <c r="O10">
        <v>0.5</v>
      </c>
      <c r="P10" t="s">
        <v>10740</v>
      </c>
      <c r="Q10">
        <v>2.065</v>
      </c>
      <c r="R10" t="s">
        <v>10749</v>
      </c>
      <c r="S10">
        <v>1</v>
      </c>
    </row>
    <row r="11" spans="1:19">
      <c r="A11" t="s">
        <v>36</v>
      </c>
      <c r="B11" t="s">
        <v>574</v>
      </c>
      <c r="C11">
        <f>"1003756"</f>
        <v>0</v>
      </c>
      <c r="D11">
        <v>10</v>
      </c>
      <c r="E11">
        <v>1</v>
      </c>
      <c r="F11">
        <v>0</v>
      </c>
      <c r="G11">
        <v>0</v>
      </c>
      <c r="H11">
        <v>11</v>
      </c>
      <c r="I11">
        <v>0.5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0.5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36</v>
      </c>
      <c r="B12" t="s">
        <v>9579</v>
      </c>
      <c r="C12">
        <f>"1011297"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36</v>
      </c>
      <c r="B13" t="s">
        <v>9597</v>
      </c>
      <c r="C13">
        <f>"1003758"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36</v>
      </c>
      <c r="B14" t="s">
        <v>9596</v>
      </c>
      <c r="C14">
        <f>"1000146"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36</v>
      </c>
      <c r="B15" t="s">
        <v>6741</v>
      </c>
      <c r="C15">
        <f>"1020912"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36</v>
      </c>
      <c r="B16" t="s">
        <v>2937</v>
      </c>
      <c r="C16">
        <f>"500036"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36</v>
      </c>
      <c r="B17" t="s">
        <v>4803</v>
      </c>
      <c r="C17">
        <f>"BAY019"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36</v>
      </c>
      <c r="B18" t="s">
        <v>4804</v>
      </c>
      <c r="C18">
        <f>"1003755"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36</v>
      </c>
      <c r="B19" t="s">
        <v>821</v>
      </c>
      <c r="C19">
        <f>"1020910"</f>
        <v>0</v>
      </c>
      <c r="D19">
        <v>0</v>
      </c>
      <c r="E19">
        <v>4</v>
      </c>
      <c r="F19">
        <v>0</v>
      </c>
      <c r="G19">
        <v>0</v>
      </c>
      <c r="H19">
        <v>4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36</v>
      </c>
      <c r="B20" t="s">
        <v>5343</v>
      </c>
      <c r="C20">
        <f>"86542315"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36</v>
      </c>
      <c r="B21" t="s">
        <v>5342</v>
      </c>
      <c r="C21">
        <f>"86542293"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36</v>
      </c>
      <c r="B22" t="s">
        <v>6211</v>
      </c>
      <c r="C22">
        <f>"1022174"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36</v>
      </c>
      <c r="B23" t="s">
        <v>783</v>
      </c>
      <c r="C23">
        <f>"500600303"</f>
        <v>0</v>
      </c>
      <c r="D23">
        <v>4</v>
      </c>
      <c r="E23">
        <v>0</v>
      </c>
      <c r="F23">
        <v>0</v>
      </c>
      <c r="G23">
        <v>0</v>
      </c>
      <c r="H23">
        <v>4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36</v>
      </c>
      <c r="B24" t="s">
        <v>3914</v>
      </c>
      <c r="C24">
        <f>"1213031"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36</v>
      </c>
      <c r="B25" t="s">
        <v>8999</v>
      </c>
      <c r="C25">
        <f>"500600300"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36</v>
      </c>
      <c r="B26" t="s">
        <v>7285</v>
      </c>
      <c r="C26">
        <f>"CA5451001CH"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36</v>
      </c>
      <c r="B27" t="s">
        <v>557</v>
      </c>
      <c r="C27">
        <f>"1011296"</f>
        <v>0</v>
      </c>
      <c r="D27">
        <v>0</v>
      </c>
      <c r="E27">
        <v>12</v>
      </c>
      <c r="F27">
        <v>0</v>
      </c>
      <c r="G27">
        <v>0</v>
      </c>
      <c r="H27">
        <v>12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36</v>
      </c>
      <c r="B28" t="s">
        <v>736</v>
      </c>
      <c r="C28">
        <f>"500600301"</f>
        <v>0</v>
      </c>
      <c r="D28">
        <v>5</v>
      </c>
      <c r="E28">
        <v>0</v>
      </c>
      <c r="F28">
        <v>0</v>
      </c>
      <c r="G28">
        <v>0</v>
      </c>
      <c r="H28">
        <v>5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36</v>
      </c>
      <c r="B29" t="s">
        <v>1035</v>
      </c>
      <c r="C29">
        <f>"1008127"</f>
        <v>0</v>
      </c>
      <c r="D29">
        <v>0</v>
      </c>
      <c r="E29">
        <v>0</v>
      </c>
      <c r="F29">
        <v>2</v>
      </c>
      <c r="G29">
        <v>0</v>
      </c>
      <c r="H29">
        <v>2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36</v>
      </c>
      <c r="B30" t="s">
        <v>5344</v>
      </c>
      <c r="C30">
        <f>"86542331"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36</v>
      </c>
      <c r="B31" t="s">
        <v>1523</v>
      </c>
      <c r="C31">
        <f>"1018252"</f>
        <v>0</v>
      </c>
      <c r="D31">
        <v>20</v>
      </c>
      <c r="E31">
        <v>31</v>
      </c>
      <c r="F31">
        <v>1</v>
      </c>
      <c r="G31">
        <v>0</v>
      </c>
      <c r="H31">
        <v>52</v>
      </c>
      <c r="I31">
        <v>10.5</v>
      </c>
      <c r="J31">
        <v>10</v>
      </c>
      <c r="K31">
        <v>60.47</v>
      </c>
      <c r="L31" s="2">
        <v>6</v>
      </c>
      <c r="M31">
        <v>0</v>
      </c>
      <c r="N31" s="2">
        <v>0</v>
      </c>
      <c r="O31">
        <v>-1.5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36</v>
      </c>
      <c r="B32" t="s">
        <v>5443</v>
      </c>
      <c r="C32">
        <f>"85045393"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17.04</v>
      </c>
      <c r="L32" s="2">
        <v>9</v>
      </c>
      <c r="M32">
        <v>0</v>
      </c>
      <c r="N32" s="2">
        <v>0</v>
      </c>
      <c r="O32">
        <v>-2.4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36</v>
      </c>
      <c r="B33" t="s">
        <v>1821</v>
      </c>
      <c r="C33">
        <f>"CA5456003CH"</f>
        <v>0</v>
      </c>
      <c r="D33">
        <v>3</v>
      </c>
      <c r="E33">
        <v>1</v>
      </c>
      <c r="F33">
        <v>3</v>
      </c>
      <c r="G33">
        <v>1</v>
      </c>
      <c r="H33">
        <v>8</v>
      </c>
      <c r="I33">
        <v>2</v>
      </c>
      <c r="J33">
        <v>6</v>
      </c>
      <c r="K33">
        <v>66.72</v>
      </c>
      <c r="L33" s="2">
        <v>11</v>
      </c>
      <c r="M33">
        <v>0</v>
      </c>
      <c r="N33" s="2">
        <v>0</v>
      </c>
      <c r="O33">
        <v>-3.199999999999999</v>
      </c>
      <c r="P33" t="s">
        <v>10741</v>
      </c>
      <c r="Q33">
        <v>3.156</v>
      </c>
      <c r="R33" t="s">
        <v>10750</v>
      </c>
      <c r="S33">
        <v>0</v>
      </c>
    </row>
    <row r="34" spans="1:19">
      <c r="A34" t="s">
        <v>36</v>
      </c>
      <c r="B34" t="s">
        <v>5442</v>
      </c>
      <c r="C34">
        <f>"85045350"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46.419</v>
      </c>
      <c r="L34" s="2">
        <v>15</v>
      </c>
      <c r="M34">
        <v>0</v>
      </c>
      <c r="N34" s="2">
        <v>0</v>
      </c>
      <c r="O34">
        <v>-3.6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36</v>
      </c>
      <c r="B35" t="s">
        <v>2009</v>
      </c>
      <c r="C35">
        <f>"CA5458001CH"</f>
        <v>0</v>
      </c>
      <c r="D35">
        <v>1</v>
      </c>
      <c r="E35">
        <v>3</v>
      </c>
      <c r="F35">
        <v>0</v>
      </c>
      <c r="G35">
        <v>0</v>
      </c>
      <c r="H35">
        <v>4</v>
      </c>
      <c r="I35">
        <v>0.5</v>
      </c>
      <c r="J35">
        <v>5</v>
      </c>
      <c r="K35">
        <v>19.05</v>
      </c>
      <c r="L35" s="2">
        <v>4</v>
      </c>
      <c r="M35">
        <v>0</v>
      </c>
      <c r="N35" s="2">
        <v>0</v>
      </c>
      <c r="O35">
        <v>-5.5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36</v>
      </c>
      <c r="B36" t="s">
        <v>1793</v>
      </c>
      <c r="C36">
        <f>"CA5456001CH"</f>
        <v>0</v>
      </c>
      <c r="D36">
        <v>7</v>
      </c>
      <c r="E36">
        <v>3</v>
      </c>
      <c r="F36">
        <v>0</v>
      </c>
      <c r="G36">
        <v>0</v>
      </c>
      <c r="H36">
        <v>10</v>
      </c>
      <c r="I36">
        <v>1.5</v>
      </c>
      <c r="J36">
        <v>6</v>
      </c>
      <c r="K36">
        <v>25.38</v>
      </c>
      <c r="L36" s="2">
        <v>4</v>
      </c>
      <c r="M36">
        <v>0</v>
      </c>
      <c r="N36" s="2">
        <v>0</v>
      </c>
      <c r="O36">
        <v>-5.699999999999999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36</v>
      </c>
      <c r="B37" t="s">
        <v>1944</v>
      </c>
      <c r="C37">
        <f>"CA5451003CH"</f>
        <v>0</v>
      </c>
      <c r="D37">
        <v>0</v>
      </c>
      <c r="E37">
        <v>0</v>
      </c>
      <c r="F37">
        <v>3</v>
      </c>
      <c r="G37">
        <v>1</v>
      </c>
      <c r="H37">
        <v>4</v>
      </c>
      <c r="I37">
        <v>0.5</v>
      </c>
      <c r="J37">
        <v>8</v>
      </c>
      <c r="K37">
        <v>132.72</v>
      </c>
      <c r="L37" s="2">
        <v>17</v>
      </c>
      <c r="M37">
        <v>0</v>
      </c>
      <c r="N37" s="2">
        <v>0</v>
      </c>
      <c r="O37">
        <v>-7.1</v>
      </c>
      <c r="P37" t="s">
        <v>10742</v>
      </c>
      <c r="Q37">
        <v>2.654</v>
      </c>
      <c r="R37" t="s">
        <v>10751</v>
      </c>
      <c r="S37">
        <v>0</v>
      </c>
    </row>
    <row r="38" spans="1:19">
      <c r="A38" t="s">
        <v>36</v>
      </c>
      <c r="B38" t="s">
        <v>2008</v>
      </c>
      <c r="C38">
        <f>"87059596"</f>
        <v>0</v>
      </c>
      <c r="D38">
        <v>4</v>
      </c>
      <c r="E38">
        <v>0</v>
      </c>
      <c r="F38">
        <v>0</v>
      </c>
      <c r="G38">
        <v>0</v>
      </c>
      <c r="H38">
        <v>4</v>
      </c>
      <c r="I38">
        <v>0</v>
      </c>
      <c r="J38">
        <v>6</v>
      </c>
      <c r="K38">
        <v>42.762</v>
      </c>
      <c r="L38" s="2">
        <v>7</v>
      </c>
      <c r="M38">
        <v>0</v>
      </c>
      <c r="N38" s="2">
        <v>0</v>
      </c>
      <c r="O38">
        <v>-7.199999999999999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36</v>
      </c>
      <c r="B39" t="s">
        <v>1554</v>
      </c>
      <c r="C39">
        <f>"1021864"</f>
        <v>0</v>
      </c>
      <c r="D39">
        <v>25</v>
      </c>
      <c r="E39">
        <v>24</v>
      </c>
      <c r="F39">
        <v>9</v>
      </c>
      <c r="G39">
        <v>0</v>
      </c>
      <c r="H39">
        <v>58</v>
      </c>
      <c r="I39">
        <v>16.5</v>
      </c>
      <c r="J39">
        <v>20</v>
      </c>
      <c r="K39">
        <v>133.2</v>
      </c>
      <c r="L39" s="2">
        <v>7</v>
      </c>
      <c r="M39">
        <v>0</v>
      </c>
      <c r="N39" s="2">
        <v>0</v>
      </c>
      <c r="O39">
        <v>-7.5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36</v>
      </c>
      <c r="B40" t="s">
        <v>1671</v>
      </c>
      <c r="C40">
        <f>"5001172"</f>
        <v>0</v>
      </c>
      <c r="D40">
        <v>6</v>
      </c>
      <c r="E40">
        <v>12</v>
      </c>
      <c r="F40">
        <v>2</v>
      </c>
      <c r="G40">
        <v>2</v>
      </c>
      <c r="H40">
        <v>22</v>
      </c>
      <c r="I40">
        <v>4</v>
      </c>
      <c r="J40">
        <v>14</v>
      </c>
      <c r="K40">
        <v>106.596</v>
      </c>
      <c r="L40" s="2">
        <v>8</v>
      </c>
      <c r="M40">
        <v>0</v>
      </c>
      <c r="N40" s="2">
        <v>0</v>
      </c>
      <c r="O40">
        <v>-8.800000000000001</v>
      </c>
      <c r="P40" t="s">
        <v>10743</v>
      </c>
      <c r="Q40">
        <v>1.487</v>
      </c>
      <c r="R40" t="s">
        <v>10521</v>
      </c>
      <c r="S40">
        <v>0</v>
      </c>
    </row>
    <row r="41" spans="1:19">
      <c r="A41" t="s">
        <v>36</v>
      </c>
      <c r="B41" t="s">
        <v>2030</v>
      </c>
      <c r="C41">
        <f>"1018251"</f>
        <v>0</v>
      </c>
      <c r="D41">
        <v>0</v>
      </c>
      <c r="E41">
        <v>4</v>
      </c>
      <c r="F41">
        <v>0</v>
      </c>
      <c r="G41">
        <v>0</v>
      </c>
      <c r="H41">
        <v>4</v>
      </c>
      <c r="I41">
        <v>0</v>
      </c>
      <c r="J41">
        <v>8</v>
      </c>
      <c r="K41">
        <v>37.465</v>
      </c>
      <c r="L41" s="2">
        <v>5</v>
      </c>
      <c r="M41">
        <v>0</v>
      </c>
      <c r="N41" s="2">
        <v>0</v>
      </c>
      <c r="O41">
        <v>-9.6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36</v>
      </c>
      <c r="B42" t="s">
        <v>1891</v>
      </c>
      <c r="C42">
        <f>"CA5454003CH"</f>
        <v>0</v>
      </c>
      <c r="D42">
        <v>3</v>
      </c>
      <c r="E42">
        <v>1</v>
      </c>
      <c r="F42">
        <v>2</v>
      </c>
      <c r="G42">
        <v>0</v>
      </c>
      <c r="H42">
        <v>6</v>
      </c>
      <c r="I42">
        <v>1.5</v>
      </c>
      <c r="J42">
        <v>10</v>
      </c>
      <c r="K42">
        <v>120.276</v>
      </c>
      <c r="L42" s="2">
        <v>12</v>
      </c>
      <c r="M42">
        <v>0</v>
      </c>
      <c r="N42" s="2">
        <v>0</v>
      </c>
      <c r="O42">
        <v>-10.5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36</v>
      </c>
      <c r="B43" t="s">
        <v>2232</v>
      </c>
      <c r="C43">
        <f>"CA5458003CH"</f>
        <v>0</v>
      </c>
      <c r="D43">
        <v>1</v>
      </c>
      <c r="E43">
        <v>1</v>
      </c>
      <c r="F43">
        <v>0</v>
      </c>
      <c r="G43">
        <v>0</v>
      </c>
      <c r="H43">
        <v>2</v>
      </c>
      <c r="I43">
        <v>0.5</v>
      </c>
      <c r="J43">
        <v>10</v>
      </c>
      <c r="K43">
        <v>101.372</v>
      </c>
      <c r="L43" s="2">
        <v>10</v>
      </c>
      <c r="M43">
        <v>0</v>
      </c>
      <c r="N43" s="2">
        <v>0</v>
      </c>
      <c r="O43">
        <v>-11.5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36</v>
      </c>
      <c r="B44" t="s">
        <v>7415</v>
      </c>
      <c r="C44">
        <f>"500600302"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10</v>
      </c>
      <c r="K44">
        <v>0</v>
      </c>
      <c r="L44" s="2">
        <v>0</v>
      </c>
      <c r="M44">
        <v>0</v>
      </c>
      <c r="N44" s="2">
        <v>0</v>
      </c>
      <c r="O44">
        <v>-12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36</v>
      </c>
      <c r="B45" t="s">
        <v>1570</v>
      </c>
      <c r="C45">
        <f>"1019478"</f>
        <v>0</v>
      </c>
      <c r="D45">
        <v>10</v>
      </c>
      <c r="E45">
        <v>12</v>
      </c>
      <c r="F45">
        <v>29</v>
      </c>
      <c r="G45">
        <v>4</v>
      </c>
      <c r="H45">
        <v>55</v>
      </c>
      <c r="I45">
        <v>11</v>
      </c>
      <c r="J45">
        <v>26</v>
      </c>
      <c r="K45">
        <v>622.2670000000001</v>
      </c>
      <c r="L45" s="2">
        <v>24</v>
      </c>
      <c r="M45">
        <v>0</v>
      </c>
      <c r="N45" s="2">
        <v>0</v>
      </c>
      <c r="O45">
        <v>-12.2</v>
      </c>
      <c r="P45" t="s">
        <v>10744</v>
      </c>
      <c r="Q45">
        <v>-14.2</v>
      </c>
      <c r="R45" t="s">
        <v>10752</v>
      </c>
      <c r="S45">
        <v>0</v>
      </c>
    </row>
    <row r="46" spans="1:19">
      <c r="A46" t="s">
        <v>36</v>
      </c>
      <c r="B46" t="s">
        <v>2372</v>
      </c>
      <c r="C46">
        <f>"CA5452003CH"</f>
        <v>0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11</v>
      </c>
      <c r="K46">
        <v>93.70999999999999</v>
      </c>
      <c r="L46" s="2">
        <v>9</v>
      </c>
      <c r="M46">
        <v>0</v>
      </c>
      <c r="N46" s="2">
        <v>0</v>
      </c>
      <c r="O46">
        <v>-13.2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36</v>
      </c>
      <c r="B47" t="s">
        <v>1759</v>
      </c>
      <c r="C47">
        <f>"87059553"</f>
        <v>0</v>
      </c>
      <c r="D47">
        <v>11</v>
      </c>
      <c r="E47">
        <v>0</v>
      </c>
      <c r="F47">
        <v>1</v>
      </c>
      <c r="G47">
        <v>0</v>
      </c>
      <c r="H47">
        <v>12</v>
      </c>
      <c r="I47">
        <v>0.5</v>
      </c>
      <c r="J47">
        <v>12</v>
      </c>
      <c r="K47">
        <v>68.244</v>
      </c>
      <c r="L47" s="2">
        <v>6</v>
      </c>
      <c r="M47">
        <v>0</v>
      </c>
      <c r="N47" s="2">
        <v>0</v>
      </c>
      <c r="O47">
        <v>-13.9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36</v>
      </c>
      <c r="B48" t="s">
        <v>1863</v>
      </c>
      <c r="C48">
        <f>"CA5452001CH"</f>
        <v>0</v>
      </c>
      <c r="D48">
        <v>5</v>
      </c>
      <c r="E48">
        <v>1</v>
      </c>
      <c r="F48">
        <v>1</v>
      </c>
      <c r="G48">
        <v>0</v>
      </c>
      <c r="H48">
        <v>7</v>
      </c>
      <c r="I48">
        <v>1</v>
      </c>
      <c r="J48">
        <v>13</v>
      </c>
      <c r="K48">
        <v>39.81</v>
      </c>
      <c r="L48" s="2">
        <v>3</v>
      </c>
      <c r="M48">
        <v>0</v>
      </c>
      <c r="N48" s="2">
        <v>0</v>
      </c>
      <c r="O48">
        <v>-14.6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36</v>
      </c>
      <c r="B49" t="s">
        <v>256</v>
      </c>
      <c r="C49">
        <f>"87032353"</f>
        <v>0</v>
      </c>
      <c r="D49">
        <v>44</v>
      </c>
      <c r="E49">
        <v>45</v>
      </c>
      <c r="F49">
        <v>61</v>
      </c>
      <c r="G49">
        <v>32</v>
      </c>
      <c r="H49">
        <v>182</v>
      </c>
      <c r="I49">
        <v>44.5</v>
      </c>
      <c r="J49">
        <v>104</v>
      </c>
      <c r="K49">
        <v>0</v>
      </c>
      <c r="L49" s="2">
        <v>0</v>
      </c>
      <c r="M49">
        <v>0</v>
      </c>
      <c r="N49" s="2">
        <v>0</v>
      </c>
      <c r="O49">
        <v>-16.3</v>
      </c>
      <c r="P49" t="s">
        <v>10745</v>
      </c>
      <c r="Q49">
        <v>186.266</v>
      </c>
      <c r="R49" t="s">
        <v>10753</v>
      </c>
      <c r="S49">
        <v>0</v>
      </c>
    </row>
    <row r="50" spans="1:19">
      <c r="A50" t="s">
        <v>36</v>
      </c>
      <c r="B50" t="s">
        <v>1946</v>
      </c>
      <c r="C50">
        <f>"50000037"</f>
        <v>0</v>
      </c>
      <c r="D50">
        <v>2</v>
      </c>
      <c r="E50">
        <v>1</v>
      </c>
      <c r="F50">
        <v>0</v>
      </c>
      <c r="G50">
        <v>1</v>
      </c>
      <c r="H50">
        <v>4</v>
      </c>
      <c r="I50">
        <v>1</v>
      </c>
      <c r="J50">
        <v>20</v>
      </c>
      <c r="K50">
        <v>152.919</v>
      </c>
      <c r="L50" s="2">
        <v>8</v>
      </c>
      <c r="M50">
        <v>0</v>
      </c>
      <c r="N50" s="2">
        <v>0</v>
      </c>
      <c r="O50">
        <v>-18</v>
      </c>
      <c r="P50" t="s">
        <v>10698</v>
      </c>
      <c r="Q50">
        <v>2.4</v>
      </c>
      <c r="R50" t="s">
        <v>10754</v>
      </c>
      <c r="S50">
        <v>1</v>
      </c>
    </row>
    <row r="51" spans="1:19">
      <c r="A51" t="s">
        <v>36</v>
      </c>
      <c r="B51" t="s">
        <v>1637</v>
      </c>
      <c r="C51">
        <f>"5001171"</f>
        <v>0</v>
      </c>
      <c r="D51">
        <v>20</v>
      </c>
      <c r="E51">
        <v>10</v>
      </c>
      <c r="F51">
        <v>0</v>
      </c>
      <c r="G51">
        <v>0</v>
      </c>
      <c r="H51">
        <v>30</v>
      </c>
      <c r="I51">
        <v>5</v>
      </c>
      <c r="J51">
        <v>56</v>
      </c>
      <c r="K51">
        <v>631.008</v>
      </c>
      <c r="L51" s="2">
        <v>11</v>
      </c>
      <c r="M51">
        <v>0</v>
      </c>
      <c r="N51" s="2">
        <v>0</v>
      </c>
      <c r="O51">
        <v>-62.2</v>
      </c>
      <c r="P51" t="s">
        <v>100</v>
      </c>
      <c r="Q51">
        <v>0</v>
      </c>
      <c r="R51" t="s">
        <v>145</v>
      </c>
      <c r="S51">
        <v>0</v>
      </c>
    </row>
  </sheetData>
  <autoFilter ref="A2:S51"/>
  <hyperlinks>
    <hyperlink ref="A1" location="'ÍNDICE'!A1" display="⬅ Volver al índice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S15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218</v>
      </c>
      <c r="B3" t="s">
        <v>961</v>
      </c>
      <c r="C3">
        <f>"DRAGOTIB01"</f>
        <v>0</v>
      </c>
      <c r="D3">
        <v>0</v>
      </c>
      <c r="E3">
        <v>0</v>
      </c>
      <c r="F3">
        <v>1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2.5</v>
      </c>
      <c r="P3" t="s">
        <v>10756</v>
      </c>
      <c r="Q3">
        <v>1.478</v>
      </c>
      <c r="R3" t="s">
        <v>10757</v>
      </c>
      <c r="S3">
        <v>0</v>
      </c>
    </row>
    <row r="4" spans="1:19">
      <c r="A4" t="s">
        <v>218</v>
      </c>
      <c r="B4" t="s">
        <v>6015</v>
      </c>
      <c r="C4">
        <f>"1005263"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218</v>
      </c>
      <c r="B5" t="s">
        <v>5728</v>
      </c>
      <c r="C5">
        <f>"is021df"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218</v>
      </c>
      <c r="B6" t="s">
        <v>5729</v>
      </c>
      <c r="C6">
        <f>"1003919"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218</v>
      </c>
      <c r="B7" t="s">
        <v>5910</v>
      </c>
      <c r="C7">
        <f>"insnpr0023"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218</v>
      </c>
      <c r="B8" t="s">
        <v>5570</v>
      </c>
      <c r="C8">
        <f>"QSL001"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218</v>
      </c>
      <c r="B9" t="s">
        <v>5569</v>
      </c>
      <c r="C9">
        <f>"1013235"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218</v>
      </c>
      <c r="B10" t="s">
        <v>5835</v>
      </c>
      <c r="C10">
        <f>"insnpr0005"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218</v>
      </c>
      <c r="B11" t="s">
        <v>5704</v>
      </c>
      <c r="C11">
        <f>"insrtt0023"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218</v>
      </c>
      <c r="B12" t="s">
        <v>5703</v>
      </c>
      <c r="C12">
        <f>"1004595"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218</v>
      </c>
      <c r="B13" t="s">
        <v>5702</v>
      </c>
      <c r="C13">
        <f>"ALG001"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218</v>
      </c>
      <c r="B14" t="s">
        <v>3079</v>
      </c>
      <c r="C14">
        <f>"VETERSING7"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218</v>
      </c>
      <c r="B15" t="s">
        <v>3078</v>
      </c>
      <c r="C15">
        <f>"am021im"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218</v>
      </c>
      <c r="B16" t="s">
        <v>3077</v>
      </c>
      <c r="C16">
        <f>"am067im"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218</v>
      </c>
      <c r="B17" t="s">
        <v>2969</v>
      </c>
      <c r="C17">
        <f>"1016460"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218</v>
      </c>
      <c r="B18" t="s">
        <v>9908</v>
      </c>
      <c r="C18">
        <f>"DRAGARTR02"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218</v>
      </c>
      <c r="B19" t="s">
        <v>8585</v>
      </c>
      <c r="C19">
        <f>"humsdr0041"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218</v>
      </c>
      <c r="B20" t="s">
        <v>8371</v>
      </c>
      <c r="C20">
        <f>"is049vi"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218</v>
      </c>
      <c r="B21" t="s">
        <v>8370</v>
      </c>
      <c r="C21">
        <f>"is047vi"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218</v>
      </c>
      <c r="B22" t="s">
        <v>2952</v>
      </c>
      <c r="C22">
        <f>"humsdr0015"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218</v>
      </c>
      <c r="B23" t="s">
        <v>2945</v>
      </c>
      <c r="C23">
        <f>"is120ff"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218</v>
      </c>
      <c r="B24" t="s">
        <v>9553</v>
      </c>
      <c r="C24">
        <f>"inscls0012"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218</v>
      </c>
      <c r="B25" t="s">
        <v>7460</v>
      </c>
      <c r="C25">
        <f>"1005366"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218</v>
      </c>
      <c r="B26" t="s">
        <v>5568</v>
      </c>
      <c r="C26">
        <f>"is045dfa"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218</v>
      </c>
      <c r="B27" t="s">
        <v>7459</v>
      </c>
      <c r="C27">
        <f>"1005367"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218</v>
      </c>
      <c r="B28" t="s">
        <v>7458</v>
      </c>
      <c r="C28">
        <f>"BD015"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218</v>
      </c>
      <c r="B29" t="s">
        <v>7456</v>
      </c>
      <c r="C29">
        <f>"insnpr0039"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218</v>
      </c>
      <c r="B30" t="s">
        <v>7457</v>
      </c>
      <c r="C30">
        <f>"insnpr0038"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218</v>
      </c>
      <c r="B31" t="s">
        <v>7815</v>
      </c>
      <c r="C31">
        <f>"1019591"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218</v>
      </c>
      <c r="B32" t="s">
        <v>7475</v>
      </c>
      <c r="C32">
        <f>"1013362"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218</v>
      </c>
      <c r="B33" t="s">
        <v>7830</v>
      </c>
      <c r="C33">
        <f>"is099df"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218</v>
      </c>
      <c r="B34" t="s">
        <v>7455</v>
      </c>
      <c r="C34">
        <f>"insnpr0040"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218</v>
      </c>
      <c r="B35" t="s">
        <v>6889</v>
      </c>
      <c r="C35">
        <f>"CEN007"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218</v>
      </c>
      <c r="B36" t="s">
        <v>6888</v>
      </c>
      <c r="C36">
        <f>"1016459"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218</v>
      </c>
      <c r="B37" t="s">
        <v>6938</v>
      </c>
      <c r="C37">
        <f>"humsdr0072"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218</v>
      </c>
      <c r="B38" t="s">
        <v>7040</v>
      </c>
      <c r="C38">
        <f>"5001909"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218</v>
      </c>
      <c r="B39" t="s">
        <v>9527</v>
      </c>
      <c r="C39">
        <f>"1013756"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218</v>
      </c>
      <c r="B40" t="s">
        <v>9524</v>
      </c>
      <c r="C40">
        <f>"humsdr0042"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218</v>
      </c>
      <c r="B41" t="s">
        <v>9632</v>
      </c>
      <c r="C41">
        <f>"1011884"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218</v>
      </c>
      <c r="B42" t="s">
        <v>7287</v>
      </c>
      <c r="C42">
        <f>"TESTDIAG03"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218</v>
      </c>
      <c r="B43" t="s">
        <v>9300</v>
      </c>
      <c r="C43">
        <f>"1020356"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218</v>
      </c>
      <c r="B44" t="s">
        <v>9474</v>
      </c>
      <c r="C44">
        <f>"TESTDIAG07"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218</v>
      </c>
      <c r="B45" t="s">
        <v>9982</v>
      </c>
      <c r="C45">
        <f>"1017362"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218</v>
      </c>
      <c r="B46" t="s">
        <v>9981</v>
      </c>
      <c r="C46">
        <f>"is103gs"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218</v>
      </c>
      <c r="B47" t="s">
        <v>9980</v>
      </c>
      <c r="C47">
        <f>"10041566"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218</v>
      </c>
      <c r="B48" t="s">
        <v>10179</v>
      </c>
      <c r="C48">
        <f>"1004120"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218</v>
      </c>
      <c r="B49" t="s">
        <v>10096</v>
      </c>
      <c r="C49">
        <f>"INSRTT0009"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218</v>
      </c>
      <c r="B50" t="s">
        <v>10144</v>
      </c>
      <c r="C50">
        <f>"INSNPR0030"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218</v>
      </c>
      <c r="B51" t="s">
        <v>10115</v>
      </c>
      <c r="C51">
        <f>"INSRTT0010"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218</v>
      </c>
      <c r="B52" t="s">
        <v>9975</v>
      </c>
      <c r="C52">
        <f>"is152gt"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218</v>
      </c>
      <c r="B53" t="s">
        <v>9808</v>
      </c>
      <c r="C53">
        <f>"BIO001"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218</v>
      </c>
      <c r="B54" t="s">
        <v>9807</v>
      </c>
      <c r="C54">
        <f>"1005468"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218</v>
      </c>
      <c r="B55" t="s">
        <v>9806</v>
      </c>
      <c r="C55">
        <f>"1007974"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218</v>
      </c>
      <c r="B56" t="s">
        <v>9805</v>
      </c>
      <c r="C56">
        <f>"1007975"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218</v>
      </c>
      <c r="B57" t="s">
        <v>9804</v>
      </c>
      <c r="C57">
        <f>"1015304"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218</v>
      </c>
      <c r="B58" t="s">
        <v>9337</v>
      </c>
      <c r="C58">
        <f>"1009820"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218</v>
      </c>
      <c r="B59" t="s">
        <v>9803</v>
      </c>
      <c r="C59">
        <f>"5000329"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218</v>
      </c>
      <c r="B60" t="s">
        <v>9811</v>
      </c>
      <c r="C60">
        <f>"1215301"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218</v>
      </c>
      <c r="B61" t="s">
        <v>9765</v>
      </c>
      <c r="C61">
        <f>"1018603"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218</v>
      </c>
      <c r="B62" t="s">
        <v>9813</v>
      </c>
      <c r="C62">
        <f>"1003636"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218</v>
      </c>
      <c r="B63" t="s">
        <v>9855</v>
      </c>
      <c r="C63">
        <f>"BRA011"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218</v>
      </c>
      <c r="B64" t="s">
        <v>8571</v>
      </c>
      <c r="C64">
        <f>"1215581"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218</v>
      </c>
      <c r="B65" t="s">
        <v>8711</v>
      </c>
      <c r="C65">
        <f>"1011710"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218</v>
      </c>
      <c r="B66" t="s">
        <v>9856</v>
      </c>
      <c r="C66">
        <f>"1580835385933"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218</v>
      </c>
      <c r="B67" t="s">
        <v>9143</v>
      </c>
      <c r="C67">
        <f>"ZZ1000028"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218</v>
      </c>
      <c r="B68" t="s">
        <v>8391</v>
      </c>
      <c r="C68">
        <f>"1004948"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218</v>
      </c>
      <c r="B69" t="s">
        <v>8390</v>
      </c>
      <c r="C69">
        <f>"1013424"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218</v>
      </c>
      <c r="B70" t="s">
        <v>8389</v>
      </c>
      <c r="C70">
        <f>"BD020"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218</v>
      </c>
      <c r="B71" t="s">
        <v>8774</v>
      </c>
      <c r="C71">
        <f>"inscls0016"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218</v>
      </c>
      <c r="B72" t="s">
        <v>9178</v>
      </c>
      <c r="C72">
        <f>"ZZ1000566"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218</v>
      </c>
      <c r="B73" t="s">
        <v>8997</v>
      </c>
      <c r="C73">
        <f>"1363001"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218</v>
      </c>
      <c r="B74" t="s">
        <v>8709</v>
      </c>
      <c r="C74">
        <f>"vetdks0039"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218</v>
      </c>
      <c r="B75" t="s">
        <v>4402</v>
      </c>
      <c r="C75">
        <f>"1015921"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218</v>
      </c>
      <c r="B76" t="s">
        <v>3862</v>
      </c>
      <c r="C76">
        <f>"inscls0006"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218</v>
      </c>
      <c r="B77" t="s">
        <v>3890</v>
      </c>
      <c r="C77">
        <f>"1004371"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218</v>
      </c>
      <c r="B78" t="s">
        <v>3800</v>
      </c>
      <c r="C78">
        <f>"INSZHJ0005"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218</v>
      </c>
      <c r="B79" t="s">
        <v>3973</v>
      </c>
      <c r="C79">
        <f>"5006352"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218</v>
      </c>
      <c r="B80" t="s">
        <v>3979</v>
      </c>
      <c r="C80">
        <f>"1004265"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218</v>
      </c>
      <c r="B81" t="s">
        <v>4341</v>
      </c>
      <c r="C81">
        <f>"5005587"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218</v>
      </c>
      <c r="B82" t="s">
        <v>4271</v>
      </c>
      <c r="C82">
        <f>"1011022"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218</v>
      </c>
      <c r="B83" t="s">
        <v>4022</v>
      </c>
      <c r="C83">
        <f>"1013728"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218</v>
      </c>
      <c r="B84" t="s">
        <v>4099</v>
      </c>
      <c r="C84">
        <f>"INSPRM0006"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218</v>
      </c>
      <c r="B85" t="s">
        <v>4098</v>
      </c>
      <c r="C85">
        <f>"BAR04"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218</v>
      </c>
      <c r="B86" t="s">
        <v>4117</v>
      </c>
      <c r="C86">
        <f>"987parunid"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218</v>
      </c>
      <c r="B87" t="s">
        <v>3011</v>
      </c>
      <c r="C87">
        <f>"VQL014"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218</v>
      </c>
      <c r="B88" t="s">
        <v>3018</v>
      </c>
      <c r="C88">
        <f>"1013766"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218</v>
      </c>
      <c r="B89" t="s">
        <v>3507</v>
      </c>
      <c r="C89">
        <f>"inscls0028"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218</v>
      </c>
      <c r="B90" t="s">
        <v>3491</v>
      </c>
      <c r="C90">
        <f>"inscls0011"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218</v>
      </c>
      <c r="B91" t="s">
        <v>6286</v>
      </c>
      <c r="C91">
        <f>"1019754"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218</v>
      </c>
      <c r="B92" t="s">
        <v>3490</v>
      </c>
      <c r="C92">
        <f>"inscls0010"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218</v>
      </c>
      <c r="B93" t="s">
        <v>3489</v>
      </c>
      <c r="C93">
        <f>"inscls0047"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218</v>
      </c>
      <c r="B94" t="s">
        <v>3413</v>
      </c>
      <c r="C94">
        <f>"inscls0035"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218</v>
      </c>
      <c r="B95" t="s">
        <v>3412</v>
      </c>
      <c r="C95">
        <f>"inscls0008"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218</v>
      </c>
      <c r="B96" t="s">
        <v>3411</v>
      </c>
      <c r="C96">
        <f>"inscls0007"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218</v>
      </c>
      <c r="B97" t="s">
        <v>3410</v>
      </c>
      <c r="C97">
        <f>"inscls0029"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218</v>
      </c>
      <c r="B98" t="s">
        <v>5810</v>
      </c>
      <c r="C98">
        <f>"inscls0070"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218</v>
      </c>
      <c r="B99" t="s">
        <v>5720</v>
      </c>
      <c r="C99">
        <f>"is277df"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218</v>
      </c>
      <c r="B100" t="s">
        <v>5932</v>
      </c>
      <c r="C100">
        <f>"INSUPROP01"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218</v>
      </c>
      <c r="B101" t="s">
        <v>5931</v>
      </c>
      <c r="C101">
        <f>"1019706"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218</v>
      </c>
      <c r="B102" t="s">
        <v>5832</v>
      </c>
      <c r="C102">
        <f>"5004997"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218</v>
      </c>
      <c r="B103" t="s">
        <v>5831</v>
      </c>
      <c r="C103">
        <f>"1011810"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218</v>
      </c>
      <c r="B104" t="s">
        <v>5929</v>
      </c>
      <c r="C104">
        <f>"1015779"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218</v>
      </c>
      <c r="B105" t="s">
        <v>5928</v>
      </c>
      <c r="C105">
        <f>"1017784"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218</v>
      </c>
      <c r="B106" t="s">
        <v>5896</v>
      </c>
      <c r="C106">
        <f>"1009595"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218</v>
      </c>
      <c r="B107" t="s">
        <v>5846</v>
      </c>
      <c r="C107">
        <f>"1007811"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218</v>
      </c>
      <c r="B108" t="s">
        <v>5456</v>
      </c>
      <c r="C108">
        <f>"1012374"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218</v>
      </c>
      <c r="B109" t="s">
        <v>5657</v>
      </c>
      <c r="C109">
        <f>"insdks0005"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218</v>
      </c>
      <c r="B110" t="s">
        <v>5650</v>
      </c>
      <c r="C110">
        <f>"humsdr0028"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218</v>
      </c>
      <c r="B111" t="s">
        <v>5638</v>
      </c>
      <c r="C111">
        <f>"inscls0038"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218</v>
      </c>
      <c r="B112" t="s">
        <v>5694</v>
      </c>
      <c r="C112">
        <f>"insdnl0003"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218</v>
      </c>
      <c r="B113" t="s">
        <v>5635</v>
      </c>
      <c r="C113">
        <f>"BRA032"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218</v>
      </c>
      <c r="B114" t="s">
        <v>5634</v>
      </c>
      <c r="C114">
        <f>"BRA023"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218</v>
      </c>
      <c r="B115" t="s">
        <v>5633</v>
      </c>
      <c r="C115">
        <f>"BRA015"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218</v>
      </c>
      <c r="B116" t="s">
        <v>5611</v>
      </c>
      <c r="C116">
        <f>"insnpr0010"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218</v>
      </c>
      <c r="B117" t="s">
        <v>5610</v>
      </c>
      <c r="C117">
        <f>"insnpr0007"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218</v>
      </c>
      <c r="B118" t="s">
        <v>6288</v>
      </c>
      <c r="C118">
        <f>"5002238"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218</v>
      </c>
      <c r="B119" t="s">
        <v>6287</v>
      </c>
      <c r="C119">
        <f>"5002237"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218</v>
      </c>
      <c r="B120" t="s">
        <v>6249</v>
      </c>
      <c r="C120">
        <f>"5002236"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218</v>
      </c>
      <c r="B121" t="s">
        <v>6302</v>
      </c>
      <c r="C121">
        <f>"inscls0030"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218</v>
      </c>
      <c r="B122" t="s">
        <v>6212</v>
      </c>
      <c r="C122">
        <f>"inscls0048"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218</v>
      </c>
      <c r="B123" t="s">
        <v>4781</v>
      </c>
      <c r="C123">
        <f>"1005092"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218</v>
      </c>
      <c r="B124" t="s">
        <v>6058</v>
      </c>
      <c r="C124">
        <f>"500996"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218</v>
      </c>
      <c r="B125" t="s">
        <v>5981</v>
      </c>
      <c r="C125">
        <f>"1006354"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218</v>
      </c>
      <c r="B126" t="s">
        <v>5980</v>
      </c>
      <c r="C126">
        <f>"5003316"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218</v>
      </c>
      <c r="B127" t="s">
        <v>5979</v>
      </c>
      <c r="C127">
        <f>"insatm0002"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218</v>
      </c>
      <c r="B128" t="s">
        <v>5974</v>
      </c>
      <c r="C128">
        <f>"1003740"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218</v>
      </c>
      <c r="B129" t="s">
        <v>6146</v>
      </c>
      <c r="C129">
        <f>"1009429"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218</v>
      </c>
      <c r="B130" t="s">
        <v>6143</v>
      </c>
      <c r="C130">
        <f>"BRA018"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218</v>
      </c>
      <c r="B131" t="s">
        <v>6143</v>
      </c>
      <c r="C131">
        <f>"BRA0181"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218</v>
      </c>
      <c r="B132" t="s">
        <v>6082</v>
      </c>
      <c r="C132">
        <f>"BRA026"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218</v>
      </c>
      <c r="B133" t="s">
        <v>6086</v>
      </c>
      <c r="C133">
        <f>"1016741"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218</v>
      </c>
      <c r="B134" t="s">
        <v>6116</v>
      </c>
      <c r="C134">
        <f>"1016730"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218</v>
      </c>
      <c r="B135" t="s">
        <v>6114</v>
      </c>
      <c r="C135">
        <f>"agr047"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218</v>
      </c>
      <c r="B136" t="s">
        <v>6124</v>
      </c>
      <c r="C136">
        <f>"it755tl"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218</v>
      </c>
      <c r="B137" t="s">
        <v>6123</v>
      </c>
      <c r="C137">
        <f>"inscls0014"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218</v>
      </c>
      <c r="B138" t="s">
        <v>6122</v>
      </c>
      <c r="C138">
        <f>"inscls0026"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218</v>
      </c>
      <c r="B139" t="s">
        <v>5309</v>
      </c>
      <c r="C139">
        <f>"EHL067"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218</v>
      </c>
      <c r="B140" t="s">
        <v>4622</v>
      </c>
      <c r="C140">
        <f>"inscgm0004"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218</v>
      </c>
      <c r="B141" t="s">
        <v>4621</v>
      </c>
      <c r="C141">
        <f>"inscgm0003"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218</v>
      </c>
      <c r="B142" t="s">
        <v>4620</v>
      </c>
      <c r="C142">
        <f>"inscgm0011"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218</v>
      </c>
      <c r="B143" t="s">
        <v>4618</v>
      </c>
      <c r="C143">
        <f>"1016282"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218</v>
      </c>
      <c r="B144" t="s">
        <v>5313</v>
      </c>
      <c r="C144">
        <f>"HCH037"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218</v>
      </c>
      <c r="B145" t="s">
        <v>5312</v>
      </c>
      <c r="C145">
        <f>"HCH0261"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218</v>
      </c>
      <c r="B146" t="s">
        <v>5310</v>
      </c>
      <c r="C146">
        <f>"1017491"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218</v>
      </c>
      <c r="B147" t="s">
        <v>5304</v>
      </c>
      <c r="C147">
        <f>"1009596"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218</v>
      </c>
      <c r="B148" t="s">
        <v>5308</v>
      </c>
      <c r="C148">
        <f>"HCH0251"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218</v>
      </c>
      <c r="B149" t="s">
        <v>5307</v>
      </c>
      <c r="C149">
        <f>"PFI037"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218</v>
      </c>
      <c r="B150" t="s">
        <v>5306</v>
      </c>
      <c r="C150">
        <f>"PFI046"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218</v>
      </c>
      <c r="B151" t="s">
        <v>5302</v>
      </c>
      <c r="C151">
        <f>"5004378"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218</v>
      </c>
      <c r="B152" t="s">
        <v>5303</v>
      </c>
      <c r="C152">
        <f>"5004250"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218</v>
      </c>
      <c r="B153" t="s">
        <v>5178</v>
      </c>
      <c r="C153">
        <f>"1012843"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218</v>
      </c>
      <c r="B154" t="s">
        <v>8722</v>
      </c>
      <c r="C154">
        <f>"1021198"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4</v>
      </c>
      <c r="K154">
        <v>40.32</v>
      </c>
      <c r="L154" s="2">
        <v>10</v>
      </c>
      <c r="M154">
        <v>0</v>
      </c>
      <c r="N154" s="2">
        <v>0</v>
      </c>
      <c r="O154">
        <v>-4.8</v>
      </c>
      <c r="P154" t="s">
        <v>100</v>
      </c>
      <c r="Q154">
        <v>0</v>
      </c>
      <c r="R154" t="s">
        <v>145</v>
      </c>
      <c r="S154">
        <v>0</v>
      </c>
    </row>
  </sheetData>
  <autoFilter ref="A2:S154"/>
  <hyperlinks>
    <hyperlink ref="A1" location="'ÍNDICE'!A1" display="⬅ Volver al índice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S1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198</v>
      </c>
      <c r="B3" t="s">
        <v>1873</v>
      </c>
      <c r="C3">
        <f>"5006931"</f>
        <v>0</v>
      </c>
      <c r="D3">
        <v>0</v>
      </c>
      <c r="E3">
        <v>2</v>
      </c>
      <c r="F3">
        <v>0</v>
      </c>
      <c r="G3">
        <v>4</v>
      </c>
      <c r="H3">
        <v>6</v>
      </c>
      <c r="I3">
        <v>1</v>
      </c>
      <c r="J3">
        <v>2</v>
      </c>
      <c r="K3">
        <v>2.5</v>
      </c>
      <c r="L3" s="2">
        <v>1</v>
      </c>
      <c r="M3">
        <v>1</v>
      </c>
      <c r="N3" s="2">
        <v>1</v>
      </c>
      <c r="O3">
        <v>9.6</v>
      </c>
      <c r="P3" t="s">
        <v>10570</v>
      </c>
      <c r="Q3">
        <v>1.689</v>
      </c>
      <c r="R3" t="s">
        <v>10759</v>
      </c>
      <c r="S3">
        <v>1</v>
      </c>
    </row>
    <row r="4" spans="1:19">
      <c r="A4" t="s">
        <v>198</v>
      </c>
      <c r="B4" t="s">
        <v>312</v>
      </c>
      <c r="C4">
        <f>"5006441"</f>
        <v>0</v>
      </c>
      <c r="D4">
        <v>0</v>
      </c>
      <c r="E4">
        <v>0</v>
      </c>
      <c r="F4">
        <v>0</v>
      </c>
      <c r="G4">
        <v>1</v>
      </c>
      <c r="H4">
        <v>1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5</v>
      </c>
      <c r="P4" t="s">
        <v>10317</v>
      </c>
      <c r="Q4">
        <v>408</v>
      </c>
      <c r="R4" t="s">
        <v>10760</v>
      </c>
      <c r="S4">
        <v>1</v>
      </c>
    </row>
    <row r="5" spans="1:19">
      <c r="A5" t="s">
        <v>198</v>
      </c>
      <c r="B5" t="s">
        <v>9491</v>
      </c>
      <c r="C5">
        <f>"5000806"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198</v>
      </c>
      <c r="B6" t="s">
        <v>9342</v>
      </c>
      <c r="C6">
        <f>"5000808"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198</v>
      </c>
      <c r="B7" t="s">
        <v>9341</v>
      </c>
      <c r="C7">
        <f>"5000805"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198</v>
      </c>
      <c r="B8" t="s">
        <v>9340</v>
      </c>
      <c r="C8">
        <f>"5005331"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198</v>
      </c>
      <c r="B9" t="s">
        <v>1329</v>
      </c>
      <c r="C9">
        <f>"5000807"</f>
        <v>0</v>
      </c>
      <c r="D9">
        <v>0</v>
      </c>
      <c r="E9">
        <v>1</v>
      </c>
      <c r="F9">
        <v>0</v>
      </c>
      <c r="G9">
        <v>0</v>
      </c>
      <c r="H9">
        <v>1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198</v>
      </c>
      <c r="B10" t="s">
        <v>9339</v>
      </c>
      <c r="C10">
        <f>"5006933"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198</v>
      </c>
      <c r="B11" t="s">
        <v>9338</v>
      </c>
      <c r="C11">
        <f>"5006932"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17</v>
      </c>
      <c r="K11">
        <v>20.485</v>
      </c>
      <c r="L11" s="2">
        <v>1</v>
      </c>
      <c r="M11">
        <v>0</v>
      </c>
      <c r="N11" s="2">
        <v>0</v>
      </c>
      <c r="O11">
        <v>-20.4</v>
      </c>
      <c r="P11" t="s">
        <v>100</v>
      </c>
      <c r="Q11">
        <v>0</v>
      </c>
      <c r="R11" t="s">
        <v>145</v>
      </c>
      <c r="S11">
        <v>0</v>
      </c>
    </row>
  </sheetData>
  <autoFilter ref="A2:S11"/>
  <hyperlinks>
    <hyperlink ref="A1" location="'ÍNDICE'!A1" display="⬅ Volver al índice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S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199</v>
      </c>
      <c r="B3" t="s">
        <v>521</v>
      </c>
      <c r="C3">
        <f>"140035"</f>
        <v>0</v>
      </c>
      <c r="D3">
        <v>13</v>
      </c>
      <c r="E3">
        <v>7</v>
      </c>
      <c r="F3">
        <v>10</v>
      </c>
      <c r="G3">
        <v>1</v>
      </c>
      <c r="H3">
        <v>31</v>
      </c>
      <c r="I3">
        <v>8.5</v>
      </c>
      <c r="J3">
        <v>14</v>
      </c>
      <c r="K3">
        <v>29.938</v>
      </c>
      <c r="L3" s="2">
        <v>2</v>
      </c>
      <c r="M3">
        <v>0</v>
      </c>
      <c r="N3" s="2">
        <v>0</v>
      </c>
      <c r="O3">
        <v>-6.300000000000001</v>
      </c>
      <c r="P3" t="s">
        <v>10762</v>
      </c>
      <c r="Q3">
        <v>216</v>
      </c>
      <c r="R3" t="s">
        <v>10764</v>
      </c>
      <c r="S3">
        <v>0</v>
      </c>
    </row>
    <row r="4" spans="1:19">
      <c r="A4" t="s">
        <v>199</v>
      </c>
      <c r="B4" t="s">
        <v>333</v>
      </c>
      <c r="C4">
        <f>"140028"</f>
        <v>0</v>
      </c>
      <c r="D4">
        <v>18</v>
      </c>
      <c r="E4">
        <v>6</v>
      </c>
      <c r="F4">
        <v>11</v>
      </c>
      <c r="G4">
        <v>2</v>
      </c>
      <c r="H4">
        <v>37</v>
      </c>
      <c r="I4">
        <v>8.5</v>
      </c>
      <c r="J4">
        <v>25</v>
      </c>
      <c r="K4">
        <v>53.46</v>
      </c>
      <c r="L4" s="2">
        <v>2</v>
      </c>
      <c r="M4">
        <v>0</v>
      </c>
      <c r="N4" s="2">
        <v>0</v>
      </c>
      <c r="O4">
        <v>-17.5</v>
      </c>
      <c r="P4" t="s">
        <v>10763</v>
      </c>
      <c r="Q4">
        <v>456</v>
      </c>
      <c r="R4" t="s">
        <v>10765</v>
      </c>
      <c r="S4">
        <v>0</v>
      </c>
    </row>
  </sheetData>
  <autoFilter ref="A2:S4"/>
  <hyperlinks>
    <hyperlink ref="A1" location="'ÍNDICE'!A1" display="⬅ Volver al índice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S6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37</v>
      </c>
      <c r="B3" t="s">
        <v>74</v>
      </c>
      <c r="C3">
        <f>"585006"</f>
        <v>0</v>
      </c>
      <c r="D3">
        <v>0</v>
      </c>
      <c r="E3">
        <v>3</v>
      </c>
      <c r="F3">
        <v>14</v>
      </c>
      <c r="G3">
        <v>14</v>
      </c>
      <c r="H3">
        <v>31</v>
      </c>
      <c r="I3">
        <v>8.5</v>
      </c>
      <c r="J3">
        <v>2</v>
      </c>
      <c r="K3">
        <v>32.985</v>
      </c>
      <c r="L3" s="2">
        <v>16</v>
      </c>
      <c r="M3">
        <v>14</v>
      </c>
      <c r="N3" s="2">
        <v>224</v>
      </c>
      <c r="O3">
        <v>34.1</v>
      </c>
      <c r="P3" t="s">
        <v>121</v>
      </c>
      <c r="Q3">
        <v>51.342</v>
      </c>
      <c r="R3" t="s">
        <v>166</v>
      </c>
      <c r="S3">
        <v>0</v>
      </c>
    </row>
    <row r="4" spans="1:19">
      <c r="A4" t="s">
        <v>37</v>
      </c>
      <c r="B4" t="s">
        <v>370</v>
      </c>
      <c r="C4">
        <f>"575500"</f>
        <v>0</v>
      </c>
      <c r="D4">
        <v>29</v>
      </c>
      <c r="E4">
        <v>30</v>
      </c>
      <c r="F4">
        <v>0</v>
      </c>
      <c r="G4">
        <v>0</v>
      </c>
      <c r="H4">
        <v>59</v>
      </c>
      <c r="I4">
        <v>14.5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14.5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37</v>
      </c>
      <c r="B5" t="s">
        <v>1826</v>
      </c>
      <c r="C5">
        <f>"576010"</f>
        <v>0</v>
      </c>
      <c r="D5">
        <v>3</v>
      </c>
      <c r="E5">
        <v>1</v>
      </c>
      <c r="F5">
        <v>0</v>
      </c>
      <c r="G5">
        <v>4</v>
      </c>
      <c r="H5">
        <v>8</v>
      </c>
      <c r="I5">
        <v>2</v>
      </c>
      <c r="J5">
        <v>2</v>
      </c>
      <c r="K5">
        <v>1.982</v>
      </c>
      <c r="L5" s="2">
        <v>1</v>
      </c>
      <c r="M5">
        <v>2</v>
      </c>
      <c r="N5" s="2">
        <v>2</v>
      </c>
      <c r="O5">
        <v>10.6</v>
      </c>
      <c r="P5" t="s">
        <v>10767</v>
      </c>
      <c r="Q5">
        <v>1.38</v>
      </c>
      <c r="R5" t="s">
        <v>10776</v>
      </c>
      <c r="S5">
        <v>1</v>
      </c>
    </row>
    <row r="6" spans="1:19">
      <c r="A6" t="s">
        <v>37</v>
      </c>
      <c r="B6" t="s">
        <v>417</v>
      </c>
      <c r="C6">
        <f>"585003"</f>
        <v>0</v>
      </c>
      <c r="D6">
        <v>17</v>
      </c>
      <c r="E6">
        <v>9</v>
      </c>
      <c r="F6">
        <v>8</v>
      </c>
      <c r="G6">
        <v>1</v>
      </c>
      <c r="H6">
        <v>35</v>
      </c>
      <c r="I6">
        <v>8.5</v>
      </c>
      <c r="J6">
        <v>0</v>
      </c>
      <c r="K6">
        <v>0</v>
      </c>
      <c r="L6" s="2">
        <v>0</v>
      </c>
      <c r="M6">
        <v>9</v>
      </c>
      <c r="N6" s="2">
        <v>0</v>
      </c>
      <c r="O6">
        <v>10.5</v>
      </c>
      <c r="P6" t="s">
        <v>10768</v>
      </c>
      <c r="Q6">
        <v>2.336</v>
      </c>
      <c r="R6" t="s">
        <v>10777</v>
      </c>
      <c r="S6">
        <v>0</v>
      </c>
    </row>
    <row r="7" spans="1:19">
      <c r="A7" t="s">
        <v>37</v>
      </c>
      <c r="B7" t="s">
        <v>426</v>
      </c>
      <c r="C7">
        <f>"576000"</f>
        <v>0</v>
      </c>
      <c r="D7">
        <v>11</v>
      </c>
      <c r="E7">
        <v>9</v>
      </c>
      <c r="F7">
        <v>13</v>
      </c>
      <c r="G7">
        <v>0</v>
      </c>
      <c r="H7">
        <v>33</v>
      </c>
      <c r="I7">
        <v>10</v>
      </c>
      <c r="J7">
        <v>0</v>
      </c>
      <c r="K7">
        <v>0</v>
      </c>
      <c r="L7" s="2">
        <v>0</v>
      </c>
      <c r="M7">
        <v>10</v>
      </c>
      <c r="N7" s="2">
        <v>0</v>
      </c>
      <c r="O7">
        <v>10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37</v>
      </c>
      <c r="B8" t="s">
        <v>1685</v>
      </c>
      <c r="C8">
        <f>"60175"</f>
        <v>0</v>
      </c>
      <c r="D8">
        <v>8</v>
      </c>
      <c r="E8">
        <v>0</v>
      </c>
      <c r="F8">
        <v>1</v>
      </c>
      <c r="G8">
        <v>4</v>
      </c>
      <c r="H8">
        <v>13</v>
      </c>
      <c r="I8">
        <v>2.5</v>
      </c>
      <c r="J8">
        <v>3</v>
      </c>
      <c r="K8">
        <v>14.352</v>
      </c>
      <c r="L8" s="2">
        <v>5</v>
      </c>
      <c r="M8">
        <v>2</v>
      </c>
      <c r="N8" s="2">
        <v>10</v>
      </c>
      <c r="O8">
        <v>9.9</v>
      </c>
      <c r="P8" t="s">
        <v>10437</v>
      </c>
      <c r="Q8">
        <v>4.359</v>
      </c>
      <c r="R8" t="s">
        <v>10778</v>
      </c>
      <c r="S8">
        <v>1</v>
      </c>
    </row>
    <row r="9" spans="1:19">
      <c r="A9" t="s">
        <v>37</v>
      </c>
      <c r="B9" t="s">
        <v>242</v>
      </c>
      <c r="C9">
        <f>"576020"</f>
        <v>0</v>
      </c>
      <c r="D9">
        <v>1</v>
      </c>
      <c r="E9">
        <v>1</v>
      </c>
      <c r="F9">
        <v>1</v>
      </c>
      <c r="G9">
        <v>2</v>
      </c>
      <c r="H9">
        <v>5</v>
      </c>
      <c r="I9">
        <v>1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8</v>
      </c>
      <c r="P9" t="s">
        <v>10769</v>
      </c>
      <c r="Q9">
        <v>744</v>
      </c>
      <c r="R9" t="s">
        <v>10779</v>
      </c>
      <c r="S9">
        <v>1</v>
      </c>
    </row>
    <row r="10" spans="1:19">
      <c r="A10" t="s">
        <v>37</v>
      </c>
      <c r="B10" t="s">
        <v>1627</v>
      </c>
      <c r="C10">
        <f>"585002"</f>
        <v>0</v>
      </c>
      <c r="D10">
        <v>6</v>
      </c>
      <c r="E10">
        <v>6</v>
      </c>
      <c r="F10">
        <v>10</v>
      </c>
      <c r="G10">
        <v>5</v>
      </c>
      <c r="H10">
        <v>27</v>
      </c>
      <c r="I10">
        <v>6</v>
      </c>
      <c r="J10">
        <v>7</v>
      </c>
      <c r="K10">
        <v>91.846</v>
      </c>
      <c r="L10" s="2">
        <v>13</v>
      </c>
      <c r="M10">
        <v>2</v>
      </c>
      <c r="N10" s="2">
        <v>26</v>
      </c>
      <c r="O10">
        <v>7.6</v>
      </c>
      <c r="P10" t="s">
        <v>10770</v>
      </c>
      <c r="Q10">
        <v>18.01</v>
      </c>
      <c r="R10" t="s">
        <v>10780</v>
      </c>
      <c r="S10">
        <v>0</v>
      </c>
    </row>
    <row r="11" spans="1:19">
      <c r="A11" t="s">
        <v>37</v>
      </c>
      <c r="B11" t="s">
        <v>377</v>
      </c>
      <c r="C11">
        <f>"574560"</f>
        <v>0</v>
      </c>
      <c r="D11">
        <v>0</v>
      </c>
      <c r="E11">
        <v>44</v>
      </c>
      <c r="F11">
        <v>13</v>
      </c>
      <c r="G11">
        <v>0</v>
      </c>
      <c r="H11">
        <v>57</v>
      </c>
      <c r="I11">
        <v>6.5</v>
      </c>
      <c r="J11">
        <v>0</v>
      </c>
      <c r="K11">
        <v>0</v>
      </c>
      <c r="L11" s="2">
        <v>0</v>
      </c>
      <c r="M11">
        <v>6</v>
      </c>
      <c r="N11" s="2">
        <v>0</v>
      </c>
      <c r="O11">
        <v>6.5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37</v>
      </c>
      <c r="B12" t="s">
        <v>464</v>
      </c>
      <c r="C12">
        <f>"585005"</f>
        <v>0</v>
      </c>
      <c r="D12">
        <v>7</v>
      </c>
      <c r="E12">
        <v>5</v>
      </c>
      <c r="F12">
        <v>10</v>
      </c>
      <c r="G12">
        <v>0</v>
      </c>
      <c r="H12">
        <v>22</v>
      </c>
      <c r="I12">
        <v>6</v>
      </c>
      <c r="J12">
        <v>0</v>
      </c>
      <c r="K12">
        <v>0</v>
      </c>
      <c r="L12" s="2">
        <v>0</v>
      </c>
      <c r="M12">
        <v>6</v>
      </c>
      <c r="N12" s="2">
        <v>0</v>
      </c>
      <c r="O12">
        <v>6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37</v>
      </c>
      <c r="B13" t="s">
        <v>364</v>
      </c>
      <c r="C13">
        <f>"573815"</f>
        <v>0</v>
      </c>
      <c r="D13">
        <v>1</v>
      </c>
      <c r="E13">
        <v>0</v>
      </c>
      <c r="F13">
        <v>2</v>
      </c>
      <c r="G13">
        <v>2</v>
      </c>
      <c r="H13">
        <v>5</v>
      </c>
      <c r="I13">
        <v>1.5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5.5</v>
      </c>
      <c r="P13" t="s">
        <v>10771</v>
      </c>
      <c r="Q13">
        <v>234</v>
      </c>
      <c r="R13" t="s">
        <v>10276</v>
      </c>
      <c r="S13">
        <v>0</v>
      </c>
    </row>
    <row r="14" spans="1:19">
      <c r="A14" t="s">
        <v>37</v>
      </c>
      <c r="B14" t="s">
        <v>584</v>
      </c>
      <c r="C14">
        <f>"560340"</f>
        <v>0</v>
      </c>
      <c r="D14">
        <v>4</v>
      </c>
      <c r="E14">
        <v>0</v>
      </c>
      <c r="F14">
        <v>5</v>
      </c>
      <c r="G14">
        <v>1</v>
      </c>
      <c r="H14">
        <v>10</v>
      </c>
      <c r="I14">
        <v>2.5</v>
      </c>
      <c r="J14">
        <v>0</v>
      </c>
      <c r="K14">
        <v>0</v>
      </c>
      <c r="L14" s="2">
        <v>0</v>
      </c>
      <c r="M14">
        <v>3</v>
      </c>
      <c r="N14" s="2">
        <v>0</v>
      </c>
      <c r="O14">
        <v>4.5</v>
      </c>
      <c r="P14" t="s">
        <v>10687</v>
      </c>
      <c r="Q14">
        <v>1.143</v>
      </c>
      <c r="R14" t="s">
        <v>10781</v>
      </c>
      <c r="S14">
        <v>0</v>
      </c>
    </row>
    <row r="15" spans="1:19">
      <c r="A15" t="s">
        <v>37</v>
      </c>
      <c r="B15" t="s">
        <v>1939</v>
      </c>
      <c r="C15">
        <f>"60120"</f>
        <v>0</v>
      </c>
      <c r="D15">
        <v>0</v>
      </c>
      <c r="E15">
        <v>0</v>
      </c>
      <c r="F15">
        <v>2</v>
      </c>
      <c r="G15">
        <v>2</v>
      </c>
      <c r="H15">
        <v>4</v>
      </c>
      <c r="I15">
        <v>1</v>
      </c>
      <c r="J15">
        <v>1</v>
      </c>
      <c r="K15">
        <v>6.82</v>
      </c>
      <c r="L15" s="2">
        <v>7</v>
      </c>
      <c r="M15">
        <v>1</v>
      </c>
      <c r="N15" s="2">
        <v>7</v>
      </c>
      <c r="O15">
        <v>3.8</v>
      </c>
      <c r="P15" t="s">
        <v>10596</v>
      </c>
      <c r="Q15">
        <v>3.15</v>
      </c>
      <c r="R15" t="s">
        <v>10782</v>
      </c>
      <c r="S15">
        <v>0</v>
      </c>
    </row>
    <row r="16" spans="1:19">
      <c r="A16" t="s">
        <v>37</v>
      </c>
      <c r="B16" t="s">
        <v>509</v>
      </c>
      <c r="C16">
        <f>"577000"</f>
        <v>0</v>
      </c>
      <c r="D16">
        <v>0</v>
      </c>
      <c r="E16">
        <v>9</v>
      </c>
      <c r="F16">
        <v>7</v>
      </c>
      <c r="G16">
        <v>0</v>
      </c>
      <c r="H16">
        <v>16</v>
      </c>
      <c r="I16">
        <v>3.5</v>
      </c>
      <c r="J16">
        <v>0</v>
      </c>
      <c r="K16">
        <v>0</v>
      </c>
      <c r="L16" s="2">
        <v>0</v>
      </c>
      <c r="M16">
        <v>4</v>
      </c>
      <c r="N16" s="2">
        <v>0</v>
      </c>
      <c r="O16">
        <v>3.5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37</v>
      </c>
      <c r="B17" t="s">
        <v>648</v>
      </c>
      <c r="C17">
        <f>"576055"</f>
        <v>0</v>
      </c>
      <c r="D17">
        <v>2</v>
      </c>
      <c r="E17">
        <v>0</v>
      </c>
      <c r="F17">
        <v>4</v>
      </c>
      <c r="G17">
        <v>1</v>
      </c>
      <c r="H17">
        <v>7</v>
      </c>
      <c r="I17">
        <v>1.5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3.5</v>
      </c>
      <c r="P17" t="s">
        <v>10614</v>
      </c>
      <c r="Q17">
        <v>1.637</v>
      </c>
      <c r="R17" t="s">
        <v>10783</v>
      </c>
      <c r="S17">
        <v>0</v>
      </c>
    </row>
    <row r="18" spans="1:19">
      <c r="A18" t="s">
        <v>37</v>
      </c>
      <c r="B18" t="s">
        <v>564</v>
      </c>
      <c r="C18">
        <f>"10972"</f>
        <v>0</v>
      </c>
      <c r="D18">
        <v>5</v>
      </c>
      <c r="E18">
        <v>4</v>
      </c>
      <c r="F18">
        <v>3</v>
      </c>
      <c r="G18">
        <v>0</v>
      </c>
      <c r="H18">
        <v>12</v>
      </c>
      <c r="I18">
        <v>3.5</v>
      </c>
      <c r="J18">
        <v>0</v>
      </c>
      <c r="K18">
        <v>0</v>
      </c>
      <c r="L18" s="2">
        <v>0</v>
      </c>
      <c r="M18">
        <v>4</v>
      </c>
      <c r="N18" s="2">
        <v>0</v>
      </c>
      <c r="O18">
        <v>3.5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37</v>
      </c>
      <c r="B19" t="s">
        <v>1578</v>
      </c>
      <c r="C19">
        <f>"576035"</f>
        <v>0</v>
      </c>
      <c r="D19">
        <v>3</v>
      </c>
      <c r="E19">
        <v>4</v>
      </c>
      <c r="F19">
        <v>1</v>
      </c>
      <c r="G19">
        <v>1</v>
      </c>
      <c r="H19">
        <v>9</v>
      </c>
      <c r="I19">
        <v>2</v>
      </c>
      <c r="J19">
        <v>1</v>
      </c>
      <c r="K19">
        <v>4.93</v>
      </c>
      <c r="L19" s="2">
        <v>5</v>
      </c>
      <c r="M19">
        <v>2</v>
      </c>
      <c r="N19" s="2">
        <v>10</v>
      </c>
      <c r="O19">
        <v>2.8</v>
      </c>
      <c r="P19" t="s">
        <v>10772</v>
      </c>
      <c r="Q19">
        <v>1.7</v>
      </c>
      <c r="R19" t="s">
        <v>10784</v>
      </c>
      <c r="S19">
        <v>0</v>
      </c>
    </row>
    <row r="20" spans="1:19">
      <c r="A20" t="s">
        <v>37</v>
      </c>
      <c r="B20" t="s">
        <v>1622</v>
      </c>
      <c r="C20">
        <f>"585001"</f>
        <v>0</v>
      </c>
      <c r="D20">
        <v>6</v>
      </c>
      <c r="E20">
        <v>4</v>
      </c>
      <c r="F20">
        <v>8</v>
      </c>
      <c r="G20">
        <v>6</v>
      </c>
      <c r="H20">
        <v>24</v>
      </c>
      <c r="I20">
        <v>6</v>
      </c>
      <c r="J20">
        <v>13</v>
      </c>
      <c r="K20">
        <v>308.88</v>
      </c>
      <c r="L20" s="2">
        <v>24</v>
      </c>
      <c r="M20">
        <v>0</v>
      </c>
      <c r="N20" s="2">
        <v>0</v>
      </c>
      <c r="O20">
        <v>2.4</v>
      </c>
      <c r="P20" t="s">
        <v>10773</v>
      </c>
      <c r="Q20">
        <v>33.858</v>
      </c>
      <c r="R20" t="s">
        <v>10726</v>
      </c>
      <c r="S20">
        <v>0</v>
      </c>
    </row>
    <row r="21" spans="1:19">
      <c r="A21" t="s">
        <v>37</v>
      </c>
      <c r="B21" t="s">
        <v>443</v>
      </c>
      <c r="C21">
        <f>"574500"</f>
        <v>0</v>
      </c>
      <c r="D21">
        <v>3</v>
      </c>
      <c r="E21">
        <v>22</v>
      </c>
      <c r="F21">
        <v>1</v>
      </c>
      <c r="G21">
        <v>0</v>
      </c>
      <c r="H21">
        <v>26</v>
      </c>
      <c r="I21">
        <v>2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2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37</v>
      </c>
      <c r="B22" t="s">
        <v>632</v>
      </c>
      <c r="C22">
        <f>"576040"</f>
        <v>0</v>
      </c>
      <c r="D22">
        <v>2</v>
      </c>
      <c r="E22">
        <v>4</v>
      </c>
      <c r="F22">
        <v>2</v>
      </c>
      <c r="G22">
        <v>0</v>
      </c>
      <c r="H22">
        <v>8</v>
      </c>
      <c r="I22">
        <v>2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2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37</v>
      </c>
      <c r="B23" t="s">
        <v>689</v>
      </c>
      <c r="C23">
        <f>"576007"</f>
        <v>0</v>
      </c>
      <c r="D23">
        <v>2</v>
      </c>
      <c r="E23">
        <v>1</v>
      </c>
      <c r="F23">
        <v>3</v>
      </c>
      <c r="G23">
        <v>0</v>
      </c>
      <c r="H23">
        <v>6</v>
      </c>
      <c r="I23">
        <v>1.5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1.5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37</v>
      </c>
      <c r="B24" t="s">
        <v>672</v>
      </c>
      <c r="C24">
        <f>"573910"</f>
        <v>0</v>
      </c>
      <c r="D24">
        <v>3</v>
      </c>
      <c r="E24">
        <v>0</v>
      </c>
      <c r="F24">
        <v>4</v>
      </c>
      <c r="G24">
        <v>0</v>
      </c>
      <c r="H24">
        <v>7</v>
      </c>
      <c r="I24">
        <v>1.5</v>
      </c>
      <c r="J24">
        <v>0</v>
      </c>
      <c r="K24">
        <v>0</v>
      </c>
      <c r="L24" s="2">
        <v>0</v>
      </c>
      <c r="M24">
        <v>2</v>
      </c>
      <c r="N24" s="2">
        <v>0</v>
      </c>
      <c r="O24">
        <v>1.5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37</v>
      </c>
      <c r="B25" t="s">
        <v>752</v>
      </c>
      <c r="C25">
        <f>"560490"</f>
        <v>0</v>
      </c>
      <c r="D25">
        <v>0</v>
      </c>
      <c r="E25">
        <v>2</v>
      </c>
      <c r="F25">
        <v>3</v>
      </c>
      <c r="G25">
        <v>0</v>
      </c>
      <c r="H25">
        <v>5</v>
      </c>
      <c r="I25">
        <v>1</v>
      </c>
      <c r="J25">
        <v>0</v>
      </c>
      <c r="K25">
        <v>0</v>
      </c>
      <c r="L25" s="2">
        <v>0</v>
      </c>
      <c r="M25">
        <v>1</v>
      </c>
      <c r="N25" s="2">
        <v>0</v>
      </c>
      <c r="O25">
        <v>1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37</v>
      </c>
      <c r="B26" t="s">
        <v>661</v>
      </c>
      <c r="C26">
        <f>"576045"</f>
        <v>0</v>
      </c>
      <c r="D26">
        <v>5</v>
      </c>
      <c r="E26">
        <v>0</v>
      </c>
      <c r="F26">
        <v>2</v>
      </c>
      <c r="G26">
        <v>0</v>
      </c>
      <c r="H26">
        <v>7</v>
      </c>
      <c r="I26">
        <v>1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1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37</v>
      </c>
      <c r="B27" t="s">
        <v>1611</v>
      </c>
      <c r="C27">
        <f>"573900"</f>
        <v>0</v>
      </c>
      <c r="D27">
        <v>2</v>
      </c>
      <c r="E27">
        <v>2</v>
      </c>
      <c r="F27">
        <v>3</v>
      </c>
      <c r="G27">
        <v>0</v>
      </c>
      <c r="H27">
        <v>7</v>
      </c>
      <c r="I27">
        <v>2</v>
      </c>
      <c r="J27">
        <v>1</v>
      </c>
      <c r="K27">
        <v>1.133</v>
      </c>
      <c r="L27" s="2">
        <v>1</v>
      </c>
      <c r="M27">
        <v>1</v>
      </c>
      <c r="N27" s="2">
        <v>1</v>
      </c>
      <c r="O27">
        <v>0.8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37</v>
      </c>
      <c r="B28" t="s">
        <v>1606</v>
      </c>
      <c r="C28">
        <f>"585004"</f>
        <v>0</v>
      </c>
      <c r="D28">
        <v>9</v>
      </c>
      <c r="E28">
        <v>2</v>
      </c>
      <c r="F28">
        <v>10</v>
      </c>
      <c r="G28">
        <v>0</v>
      </c>
      <c r="H28">
        <v>21</v>
      </c>
      <c r="I28">
        <v>5.5</v>
      </c>
      <c r="J28">
        <v>4</v>
      </c>
      <c r="K28">
        <v>107.807</v>
      </c>
      <c r="L28" s="2">
        <v>27</v>
      </c>
      <c r="M28">
        <v>2</v>
      </c>
      <c r="N28" s="2">
        <v>54</v>
      </c>
      <c r="O28">
        <v>0.7000000000000002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37</v>
      </c>
      <c r="B29" t="s">
        <v>918</v>
      </c>
      <c r="C29">
        <f>"576050"</f>
        <v>0</v>
      </c>
      <c r="D29">
        <v>0</v>
      </c>
      <c r="E29">
        <v>1</v>
      </c>
      <c r="F29">
        <v>2</v>
      </c>
      <c r="G29">
        <v>0</v>
      </c>
      <c r="H29">
        <v>3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37</v>
      </c>
      <c r="B30" t="s">
        <v>985</v>
      </c>
      <c r="C30">
        <f>"560460"</f>
        <v>0</v>
      </c>
      <c r="D30">
        <v>1</v>
      </c>
      <c r="E30">
        <v>1</v>
      </c>
      <c r="F30">
        <v>0</v>
      </c>
      <c r="G30">
        <v>0</v>
      </c>
      <c r="H30">
        <v>2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37</v>
      </c>
      <c r="B31" t="s">
        <v>459</v>
      </c>
      <c r="C31">
        <f>"577100"</f>
        <v>0</v>
      </c>
      <c r="D31">
        <v>0</v>
      </c>
      <c r="E31">
        <v>21</v>
      </c>
      <c r="F31">
        <v>1</v>
      </c>
      <c r="G31">
        <v>0</v>
      </c>
      <c r="H31">
        <v>22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37</v>
      </c>
      <c r="B32" t="s">
        <v>460</v>
      </c>
      <c r="C32">
        <f>"577400"</f>
        <v>0</v>
      </c>
      <c r="D32">
        <v>0</v>
      </c>
      <c r="E32">
        <v>21</v>
      </c>
      <c r="F32">
        <v>1</v>
      </c>
      <c r="G32">
        <v>0</v>
      </c>
      <c r="H32">
        <v>22</v>
      </c>
      <c r="I32">
        <v>0.5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0.5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37</v>
      </c>
      <c r="B33" t="s">
        <v>483</v>
      </c>
      <c r="C33">
        <f>"576065"</f>
        <v>0</v>
      </c>
      <c r="D33">
        <v>18</v>
      </c>
      <c r="E33">
        <v>1</v>
      </c>
      <c r="F33">
        <v>0</v>
      </c>
      <c r="G33">
        <v>0</v>
      </c>
      <c r="H33">
        <v>19</v>
      </c>
      <c r="I33">
        <v>0.5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0.5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37</v>
      </c>
      <c r="B34" t="s">
        <v>745</v>
      </c>
      <c r="C34">
        <f>"560480"</f>
        <v>0</v>
      </c>
      <c r="D34">
        <v>0</v>
      </c>
      <c r="E34">
        <v>0</v>
      </c>
      <c r="F34">
        <v>5</v>
      </c>
      <c r="G34">
        <v>0</v>
      </c>
      <c r="H34">
        <v>5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37</v>
      </c>
      <c r="B35" t="s">
        <v>4385</v>
      </c>
      <c r="C35">
        <f>"560300"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37</v>
      </c>
      <c r="B36" t="s">
        <v>4384</v>
      </c>
      <c r="C36">
        <f>"560320"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37</v>
      </c>
      <c r="B37" t="s">
        <v>1333</v>
      </c>
      <c r="C37">
        <f>"5005522"</f>
        <v>0</v>
      </c>
      <c r="D37">
        <v>1</v>
      </c>
      <c r="E37">
        <v>0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37</v>
      </c>
      <c r="B38" t="s">
        <v>1357</v>
      </c>
      <c r="C38">
        <f>"5005523"</f>
        <v>0</v>
      </c>
      <c r="D38">
        <v>1</v>
      </c>
      <c r="E38">
        <v>0</v>
      </c>
      <c r="F38">
        <v>0</v>
      </c>
      <c r="G38">
        <v>0</v>
      </c>
      <c r="H38">
        <v>1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37</v>
      </c>
      <c r="B39" t="s">
        <v>472</v>
      </c>
      <c r="C39">
        <f>"577200"</f>
        <v>0</v>
      </c>
      <c r="D39">
        <v>0</v>
      </c>
      <c r="E39">
        <v>21</v>
      </c>
      <c r="F39">
        <v>0</v>
      </c>
      <c r="G39">
        <v>0</v>
      </c>
      <c r="H39">
        <v>21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37</v>
      </c>
      <c r="B40" t="s">
        <v>470</v>
      </c>
      <c r="C40">
        <f>"577300"</f>
        <v>0</v>
      </c>
      <c r="D40">
        <v>0</v>
      </c>
      <c r="E40">
        <v>21</v>
      </c>
      <c r="F40">
        <v>0</v>
      </c>
      <c r="G40">
        <v>0</v>
      </c>
      <c r="H40">
        <v>21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37</v>
      </c>
      <c r="B41" t="s">
        <v>451</v>
      </c>
      <c r="C41">
        <f>"574000"</f>
        <v>0</v>
      </c>
      <c r="D41">
        <v>0</v>
      </c>
      <c r="E41">
        <v>24</v>
      </c>
      <c r="F41">
        <v>0</v>
      </c>
      <c r="G41">
        <v>0</v>
      </c>
      <c r="H41">
        <v>24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37</v>
      </c>
      <c r="B42" t="s">
        <v>9440</v>
      </c>
      <c r="C42">
        <f>"5005041"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37</v>
      </c>
      <c r="B43" t="s">
        <v>391</v>
      </c>
      <c r="C43">
        <f>"574520"</f>
        <v>0</v>
      </c>
      <c r="D43">
        <v>0</v>
      </c>
      <c r="E43">
        <v>48</v>
      </c>
      <c r="F43">
        <v>0</v>
      </c>
      <c r="G43">
        <v>0</v>
      </c>
      <c r="H43">
        <v>48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37</v>
      </c>
      <c r="B44" t="s">
        <v>461</v>
      </c>
      <c r="C44">
        <f>"575000"</f>
        <v>0</v>
      </c>
      <c r="D44">
        <v>0</v>
      </c>
      <c r="E44">
        <v>22</v>
      </c>
      <c r="F44">
        <v>0</v>
      </c>
      <c r="G44">
        <v>0</v>
      </c>
      <c r="H44">
        <v>22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37</v>
      </c>
      <c r="B45" t="s">
        <v>9476</v>
      </c>
      <c r="C45">
        <f>"576085"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37</v>
      </c>
      <c r="B46" t="s">
        <v>4327</v>
      </c>
      <c r="C46">
        <f>"560450"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37</v>
      </c>
      <c r="B47" t="s">
        <v>4383</v>
      </c>
      <c r="C47">
        <f>"560470"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37</v>
      </c>
      <c r="B48" t="s">
        <v>9441</v>
      </c>
      <c r="C48">
        <f>"5005524"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37</v>
      </c>
      <c r="B49" t="s">
        <v>9444</v>
      </c>
      <c r="C49">
        <f>"517100"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37</v>
      </c>
      <c r="B50" t="s">
        <v>9445</v>
      </c>
      <c r="C50">
        <f>"573800"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37</v>
      </c>
      <c r="B51" t="s">
        <v>9458</v>
      </c>
      <c r="C51">
        <f>"5005521"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37</v>
      </c>
      <c r="B52" t="s">
        <v>9442</v>
      </c>
      <c r="C52">
        <f>"5005044"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37</v>
      </c>
      <c r="B53" t="s">
        <v>2131</v>
      </c>
      <c r="C53">
        <f>"560479"</f>
        <v>0</v>
      </c>
      <c r="D53">
        <v>2</v>
      </c>
      <c r="E53">
        <v>0</v>
      </c>
      <c r="F53">
        <v>1</v>
      </c>
      <c r="G53">
        <v>0</v>
      </c>
      <c r="H53">
        <v>3</v>
      </c>
      <c r="I53">
        <v>0.5</v>
      </c>
      <c r="J53">
        <v>1</v>
      </c>
      <c r="K53">
        <v>5.085</v>
      </c>
      <c r="L53" s="2">
        <v>5</v>
      </c>
      <c r="M53">
        <v>0</v>
      </c>
      <c r="N53" s="2">
        <v>0</v>
      </c>
      <c r="O53">
        <v>-0.7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37</v>
      </c>
      <c r="B54" t="s">
        <v>2690</v>
      </c>
      <c r="C54">
        <f>"560478"</f>
        <v>0</v>
      </c>
      <c r="D54">
        <v>0</v>
      </c>
      <c r="E54">
        <v>0</v>
      </c>
      <c r="F54">
        <v>1</v>
      </c>
      <c r="G54">
        <v>0</v>
      </c>
      <c r="H54">
        <v>1</v>
      </c>
      <c r="I54">
        <v>0</v>
      </c>
      <c r="J54">
        <v>1</v>
      </c>
      <c r="K54">
        <v>2.832</v>
      </c>
      <c r="L54" s="2">
        <v>3</v>
      </c>
      <c r="M54">
        <v>0</v>
      </c>
      <c r="N54" s="2">
        <v>0</v>
      </c>
      <c r="O54">
        <v>-1.2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37</v>
      </c>
      <c r="B55" t="s">
        <v>2456</v>
      </c>
      <c r="C55">
        <f>"55213222"</f>
        <v>0</v>
      </c>
      <c r="D55">
        <v>1</v>
      </c>
      <c r="E55">
        <v>0</v>
      </c>
      <c r="F55">
        <v>0</v>
      </c>
      <c r="G55">
        <v>0</v>
      </c>
      <c r="H55">
        <v>1</v>
      </c>
      <c r="I55">
        <v>0</v>
      </c>
      <c r="J55">
        <v>1</v>
      </c>
      <c r="K55">
        <v>0</v>
      </c>
      <c r="L55" s="2">
        <v>0</v>
      </c>
      <c r="M55">
        <v>0</v>
      </c>
      <c r="N55" s="2">
        <v>0</v>
      </c>
      <c r="O55">
        <v>-1.2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37</v>
      </c>
      <c r="B56" t="s">
        <v>2006</v>
      </c>
      <c r="C56">
        <f>"573805"</f>
        <v>0</v>
      </c>
      <c r="D56">
        <v>0</v>
      </c>
      <c r="E56">
        <v>4</v>
      </c>
      <c r="F56">
        <v>0</v>
      </c>
      <c r="G56">
        <v>0</v>
      </c>
      <c r="H56">
        <v>4</v>
      </c>
      <c r="I56">
        <v>0</v>
      </c>
      <c r="J56">
        <v>1</v>
      </c>
      <c r="K56">
        <v>1.736</v>
      </c>
      <c r="L56" s="2">
        <v>2</v>
      </c>
      <c r="M56">
        <v>0</v>
      </c>
      <c r="N56" s="2">
        <v>0</v>
      </c>
      <c r="O56">
        <v>-1.2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37</v>
      </c>
      <c r="B57" t="s">
        <v>1775</v>
      </c>
      <c r="C57">
        <f>"576080"</f>
        <v>0</v>
      </c>
      <c r="D57">
        <v>3</v>
      </c>
      <c r="E57">
        <v>3</v>
      </c>
      <c r="F57">
        <v>5</v>
      </c>
      <c r="G57">
        <v>0</v>
      </c>
      <c r="H57">
        <v>11</v>
      </c>
      <c r="I57">
        <v>3</v>
      </c>
      <c r="J57">
        <v>4</v>
      </c>
      <c r="K57">
        <v>3.792</v>
      </c>
      <c r="L57" s="2">
        <v>1</v>
      </c>
      <c r="M57">
        <v>0</v>
      </c>
      <c r="N57" s="2">
        <v>0</v>
      </c>
      <c r="O57">
        <v>-1.8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37</v>
      </c>
      <c r="B58" t="s">
        <v>2124</v>
      </c>
      <c r="C58">
        <f>"560440"</f>
        <v>0</v>
      </c>
      <c r="D58">
        <v>2</v>
      </c>
      <c r="E58">
        <v>0</v>
      </c>
      <c r="F58">
        <v>1</v>
      </c>
      <c r="G58">
        <v>0</v>
      </c>
      <c r="H58">
        <v>3</v>
      </c>
      <c r="I58">
        <v>0.5</v>
      </c>
      <c r="J58">
        <v>3</v>
      </c>
      <c r="K58">
        <v>5.075</v>
      </c>
      <c r="L58" s="2">
        <v>2</v>
      </c>
      <c r="M58">
        <v>0</v>
      </c>
      <c r="N58" s="2">
        <v>0</v>
      </c>
      <c r="O58">
        <v>-3.1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37</v>
      </c>
      <c r="B59" t="s">
        <v>2126</v>
      </c>
      <c r="C59">
        <f>"576030"</f>
        <v>0</v>
      </c>
      <c r="D59">
        <v>2</v>
      </c>
      <c r="E59">
        <v>1</v>
      </c>
      <c r="F59">
        <v>0</v>
      </c>
      <c r="G59">
        <v>0</v>
      </c>
      <c r="H59">
        <v>3</v>
      </c>
      <c r="I59">
        <v>0.5</v>
      </c>
      <c r="J59">
        <v>3</v>
      </c>
      <c r="K59">
        <v>3.111</v>
      </c>
      <c r="L59" s="2">
        <v>1</v>
      </c>
      <c r="M59">
        <v>0</v>
      </c>
      <c r="N59" s="2">
        <v>0</v>
      </c>
      <c r="O59">
        <v>-3.1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37</v>
      </c>
      <c r="B60" t="s">
        <v>4326</v>
      </c>
      <c r="C60">
        <f>"560488"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8.19</v>
      </c>
      <c r="L60" s="2">
        <v>3</v>
      </c>
      <c r="M60">
        <v>0</v>
      </c>
      <c r="N60" s="2">
        <v>0</v>
      </c>
      <c r="O60">
        <v>-3.6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37</v>
      </c>
      <c r="B61" t="s">
        <v>4325</v>
      </c>
      <c r="C61">
        <f>"560489"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8.225</v>
      </c>
      <c r="L61" s="2">
        <v>3</v>
      </c>
      <c r="M61">
        <v>0</v>
      </c>
      <c r="N61" s="2">
        <v>0</v>
      </c>
      <c r="O61">
        <v>-3.6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37</v>
      </c>
      <c r="B62" t="s">
        <v>9446</v>
      </c>
      <c r="C62">
        <f>"573810"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6</v>
      </c>
      <c r="K62">
        <v>7.015</v>
      </c>
      <c r="L62" s="2">
        <v>1</v>
      </c>
      <c r="M62">
        <v>0</v>
      </c>
      <c r="N62" s="2">
        <v>0</v>
      </c>
      <c r="O62">
        <v>-7.199999999999999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37</v>
      </c>
      <c r="B63" t="s">
        <v>1784</v>
      </c>
      <c r="C63">
        <f>"576070"</f>
        <v>0</v>
      </c>
      <c r="D63">
        <v>1</v>
      </c>
      <c r="E63">
        <v>3</v>
      </c>
      <c r="F63">
        <v>3</v>
      </c>
      <c r="G63">
        <v>3</v>
      </c>
      <c r="H63">
        <v>10</v>
      </c>
      <c r="I63">
        <v>3</v>
      </c>
      <c r="J63">
        <v>14</v>
      </c>
      <c r="K63">
        <v>13.272</v>
      </c>
      <c r="L63" s="2">
        <v>1</v>
      </c>
      <c r="M63">
        <v>0</v>
      </c>
      <c r="N63" s="2">
        <v>0</v>
      </c>
      <c r="O63">
        <v>-7.800000000000001</v>
      </c>
      <c r="P63" t="s">
        <v>10774</v>
      </c>
      <c r="Q63">
        <v>1.164</v>
      </c>
      <c r="R63" t="s">
        <v>10785</v>
      </c>
      <c r="S63">
        <v>0</v>
      </c>
    </row>
    <row r="64" spans="1:19">
      <c r="A64" t="s">
        <v>37</v>
      </c>
      <c r="B64" t="s">
        <v>9297</v>
      </c>
      <c r="C64">
        <f>"60080"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8</v>
      </c>
      <c r="K64">
        <v>50.08</v>
      </c>
      <c r="L64" s="2">
        <v>6</v>
      </c>
      <c r="M64">
        <v>0</v>
      </c>
      <c r="N64" s="2">
        <v>0</v>
      </c>
      <c r="O64">
        <v>-9.6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37</v>
      </c>
      <c r="B65" t="s">
        <v>1602</v>
      </c>
      <c r="C65">
        <f>"574540"</f>
        <v>0</v>
      </c>
      <c r="D65">
        <v>9</v>
      </c>
      <c r="E65">
        <v>19</v>
      </c>
      <c r="F65">
        <v>6</v>
      </c>
      <c r="G65">
        <v>4</v>
      </c>
      <c r="H65">
        <v>38</v>
      </c>
      <c r="I65">
        <v>7.5</v>
      </c>
      <c r="J65">
        <v>23</v>
      </c>
      <c r="K65">
        <v>17.576</v>
      </c>
      <c r="L65" s="2">
        <v>1</v>
      </c>
      <c r="M65">
        <v>0</v>
      </c>
      <c r="N65" s="2">
        <v>0</v>
      </c>
      <c r="O65">
        <v>-12.1</v>
      </c>
      <c r="P65" t="s">
        <v>10775</v>
      </c>
      <c r="Q65">
        <v>1.279</v>
      </c>
      <c r="R65" t="s">
        <v>10786</v>
      </c>
      <c r="S65">
        <v>0</v>
      </c>
    </row>
    <row r="66" spans="1:19">
      <c r="A66" t="s">
        <v>37</v>
      </c>
      <c r="B66" t="s">
        <v>1681</v>
      </c>
      <c r="C66">
        <f>"576075"</f>
        <v>0</v>
      </c>
      <c r="D66">
        <v>13</v>
      </c>
      <c r="E66">
        <v>2</v>
      </c>
      <c r="F66">
        <v>5</v>
      </c>
      <c r="G66">
        <v>0</v>
      </c>
      <c r="H66">
        <v>20</v>
      </c>
      <c r="I66">
        <v>3.5</v>
      </c>
      <c r="J66">
        <v>13</v>
      </c>
      <c r="K66">
        <v>12.324</v>
      </c>
      <c r="L66" s="2">
        <v>1</v>
      </c>
      <c r="M66">
        <v>0</v>
      </c>
      <c r="N66" s="2">
        <v>0</v>
      </c>
      <c r="O66">
        <v>-12.1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37</v>
      </c>
      <c r="B67" t="s">
        <v>9447</v>
      </c>
      <c r="C67">
        <f>"55213221"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11</v>
      </c>
      <c r="K67">
        <v>0</v>
      </c>
      <c r="L67" s="2">
        <v>0</v>
      </c>
      <c r="M67">
        <v>0</v>
      </c>
      <c r="N67" s="2">
        <v>0</v>
      </c>
      <c r="O67">
        <v>-13.2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37</v>
      </c>
      <c r="B68" t="s">
        <v>9475</v>
      </c>
      <c r="C68">
        <f>"576060"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56</v>
      </c>
      <c r="K68">
        <v>31.136</v>
      </c>
      <c r="L68" s="2">
        <v>1</v>
      </c>
      <c r="M68">
        <v>0</v>
      </c>
      <c r="N68" s="2">
        <v>0</v>
      </c>
      <c r="O68">
        <v>-67.2</v>
      </c>
      <c r="P68" t="s">
        <v>100</v>
      </c>
      <c r="Q68">
        <v>0</v>
      </c>
      <c r="R68" t="s">
        <v>145</v>
      </c>
      <c r="S68">
        <v>0</v>
      </c>
    </row>
  </sheetData>
  <autoFilter ref="A2:S68"/>
  <hyperlinks>
    <hyperlink ref="A1" location="'ÍNDICE'!A1" display="⬅ Volver al índice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S15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194</v>
      </c>
      <c r="B3" t="s">
        <v>497</v>
      </c>
      <c r="C3">
        <f>"200600200"</f>
        <v>0</v>
      </c>
      <c r="D3">
        <v>1</v>
      </c>
      <c r="E3">
        <v>2</v>
      </c>
      <c r="F3">
        <v>0</v>
      </c>
      <c r="G3">
        <v>4</v>
      </c>
      <c r="H3">
        <v>7</v>
      </c>
      <c r="I3">
        <v>1.5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12.5</v>
      </c>
      <c r="P3" t="s">
        <v>10788</v>
      </c>
      <c r="Q3">
        <v>44.003</v>
      </c>
      <c r="R3" t="s">
        <v>10794</v>
      </c>
      <c r="S3">
        <v>1</v>
      </c>
    </row>
    <row r="4" spans="1:19">
      <c r="A4" t="s">
        <v>194</v>
      </c>
      <c r="B4" t="s">
        <v>1731</v>
      </c>
      <c r="C4">
        <f>"1000200"</f>
        <v>0</v>
      </c>
      <c r="D4">
        <v>2</v>
      </c>
      <c r="E4">
        <v>7</v>
      </c>
      <c r="F4">
        <v>1</v>
      </c>
      <c r="G4">
        <v>2</v>
      </c>
      <c r="H4">
        <v>12</v>
      </c>
      <c r="I4">
        <v>2</v>
      </c>
      <c r="J4">
        <v>4</v>
      </c>
      <c r="K4">
        <v>48.586</v>
      </c>
      <c r="L4" s="2">
        <v>12</v>
      </c>
      <c r="M4">
        <v>0</v>
      </c>
      <c r="N4" s="2">
        <v>0</v>
      </c>
      <c r="O4">
        <v>4.2</v>
      </c>
      <c r="P4" t="s">
        <v>10789</v>
      </c>
      <c r="Q4">
        <v>9.304</v>
      </c>
      <c r="R4" t="s">
        <v>10795</v>
      </c>
      <c r="S4">
        <v>1</v>
      </c>
    </row>
    <row r="5" spans="1:19">
      <c r="A5" t="s">
        <v>194</v>
      </c>
      <c r="B5" t="s">
        <v>1876</v>
      </c>
      <c r="C5">
        <f>"100800015"</f>
        <v>0</v>
      </c>
      <c r="D5">
        <v>0</v>
      </c>
      <c r="E5">
        <v>4</v>
      </c>
      <c r="F5">
        <v>0</v>
      </c>
      <c r="G5">
        <v>1</v>
      </c>
      <c r="H5">
        <v>5</v>
      </c>
      <c r="I5">
        <v>0.5</v>
      </c>
      <c r="J5">
        <v>2</v>
      </c>
      <c r="K5">
        <v>69.428</v>
      </c>
      <c r="L5" s="2">
        <v>35</v>
      </c>
      <c r="M5">
        <v>0</v>
      </c>
      <c r="N5" s="2">
        <v>0</v>
      </c>
      <c r="O5">
        <v>3.1</v>
      </c>
      <c r="P5" t="s">
        <v>10790</v>
      </c>
      <c r="Q5">
        <v>5.614</v>
      </c>
      <c r="R5" t="s">
        <v>10796</v>
      </c>
      <c r="S5">
        <v>1</v>
      </c>
    </row>
    <row r="6" spans="1:19">
      <c r="A6" t="s">
        <v>194</v>
      </c>
      <c r="B6" t="s">
        <v>286</v>
      </c>
      <c r="C6">
        <f>"20070150"</f>
        <v>0</v>
      </c>
      <c r="D6">
        <v>1</v>
      </c>
      <c r="E6">
        <v>1</v>
      </c>
      <c r="F6">
        <v>1</v>
      </c>
      <c r="G6">
        <v>1</v>
      </c>
      <c r="H6">
        <v>4</v>
      </c>
      <c r="I6">
        <v>1</v>
      </c>
      <c r="J6">
        <v>0</v>
      </c>
      <c r="K6">
        <v>0</v>
      </c>
      <c r="L6" s="2">
        <v>0</v>
      </c>
      <c r="M6">
        <v>2</v>
      </c>
      <c r="N6" s="2">
        <v>0</v>
      </c>
      <c r="O6">
        <v>3</v>
      </c>
      <c r="P6" t="s">
        <v>10791</v>
      </c>
      <c r="Q6">
        <v>488</v>
      </c>
      <c r="R6" t="s">
        <v>10797</v>
      </c>
      <c r="S6">
        <v>0</v>
      </c>
    </row>
    <row r="7" spans="1:19">
      <c r="A7" t="s">
        <v>194</v>
      </c>
      <c r="B7" t="s">
        <v>1631</v>
      </c>
      <c r="C7">
        <f>"2260810"</f>
        <v>0</v>
      </c>
      <c r="D7">
        <v>0</v>
      </c>
      <c r="E7">
        <v>4</v>
      </c>
      <c r="F7">
        <v>6</v>
      </c>
      <c r="G7">
        <v>1</v>
      </c>
      <c r="H7">
        <v>11</v>
      </c>
      <c r="I7">
        <v>2.5</v>
      </c>
      <c r="J7">
        <v>2</v>
      </c>
      <c r="K7">
        <v>14.577</v>
      </c>
      <c r="L7" s="2">
        <v>7</v>
      </c>
      <c r="M7">
        <v>1</v>
      </c>
      <c r="N7" s="2">
        <v>7</v>
      </c>
      <c r="O7">
        <v>2.1</v>
      </c>
      <c r="P7" t="s">
        <v>10242</v>
      </c>
      <c r="Q7">
        <v>1.107</v>
      </c>
      <c r="R7" t="s">
        <v>10798</v>
      </c>
      <c r="S7">
        <v>0</v>
      </c>
    </row>
    <row r="8" spans="1:19">
      <c r="A8" t="s">
        <v>194</v>
      </c>
      <c r="B8" t="s">
        <v>1808</v>
      </c>
      <c r="C8">
        <f>"200200140"</f>
        <v>0</v>
      </c>
      <c r="D8">
        <v>1</v>
      </c>
      <c r="E8">
        <v>4</v>
      </c>
      <c r="F8">
        <v>2</v>
      </c>
      <c r="G8">
        <v>1</v>
      </c>
      <c r="H8">
        <v>8</v>
      </c>
      <c r="I8">
        <v>1.5</v>
      </c>
      <c r="J8">
        <v>2</v>
      </c>
      <c r="K8">
        <v>54.851</v>
      </c>
      <c r="L8" s="2">
        <v>27</v>
      </c>
      <c r="M8">
        <v>0</v>
      </c>
      <c r="N8" s="2">
        <v>0</v>
      </c>
      <c r="O8">
        <v>1.1</v>
      </c>
      <c r="P8" t="s">
        <v>10792</v>
      </c>
      <c r="Q8">
        <v>4.498</v>
      </c>
      <c r="R8" t="s">
        <v>10799</v>
      </c>
      <c r="S8">
        <v>0</v>
      </c>
    </row>
    <row r="9" spans="1:19">
      <c r="A9" t="s">
        <v>194</v>
      </c>
      <c r="B9" t="s">
        <v>839</v>
      </c>
      <c r="C9">
        <f>"20060750"</f>
        <v>0</v>
      </c>
      <c r="D9">
        <v>2</v>
      </c>
      <c r="E9">
        <v>2</v>
      </c>
      <c r="F9">
        <v>0</v>
      </c>
      <c r="G9">
        <v>0</v>
      </c>
      <c r="H9">
        <v>4</v>
      </c>
      <c r="I9">
        <v>1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1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194</v>
      </c>
      <c r="B10" t="s">
        <v>885</v>
      </c>
      <c r="C10">
        <f>"600200"</f>
        <v>0</v>
      </c>
      <c r="D10">
        <v>1</v>
      </c>
      <c r="E10">
        <v>1</v>
      </c>
      <c r="F10">
        <v>1</v>
      </c>
      <c r="G10">
        <v>0</v>
      </c>
      <c r="H10">
        <v>3</v>
      </c>
      <c r="I10">
        <v>1</v>
      </c>
      <c r="J10">
        <v>0</v>
      </c>
      <c r="K10">
        <v>0</v>
      </c>
      <c r="L10" s="2">
        <v>0</v>
      </c>
      <c r="M10">
        <v>1</v>
      </c>
      <c r="N10" s="2">
        <v>0</v>
      </c>
      <c r="O10">
        <v>1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194</v>
      </c>
      <c r="B11" t="s">
        <v>1664</v>
      </c>
      <c r="C11">
        <f>"500101"</f>
        <v>0</v>
      </c>
      <c r="D11">
        <v>3</v>
      </c>
      <c r="E11">
        <v>4</v>
      </c>
      <c r="F11">
        <v>3</v>
      </c>
      <c r="G11">
        <v>0</v>
      </c>
      <c r="H11">
        <v>10</v>
      </c>
      <c r="I11">
        <v>3</v>
      </c>
      <c r="J11">
        <v>2</v>
      </c>
      <c r="K11">
        <v>14.577</v>
      </c>
      <c r="L11" s="2">
        <v>7</v>
      </c>
      <c r="M11">
        <v>1</v>
      </c>
      <c r="N11" s="2">
        <v>7</v>
      </c>
      <c r="O11">
        <v>0.6000000000000001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194</v>
      </c>
      <c r="B12" t="s">
        <v>834</v>
      </c>
      <c r="C12">
        <f>"100130015"</f>
        <v>0</v>
      </c>
      <c r="D12">
        <v>3</v>
      </c>
      <c r="E12">
        <v>0</v>
      </c>
      <c r="F12">
        <v>1</v>
      </c>
      <c r="G12">
        <v>0</v>
      </c>
      <c r="H12">
        <v>4</v>
      </c>
      <c r="I12">
        <v>0.5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0.5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194</v>
      </c>
      <c r="B13" t="s">
        <v>1146</v>
      </c>
      <c r="C13">
        <f>"4034004"</f>
        <v>0</v>
      </c>
      <c r="D13">
        <v>1</v>
      </c>
      <c r="E13">
        <v>0</v>
      </c>
      <c r="F13">
        <v>1</v>
      </c>
      <c r="G13">
        <v>0</v>
      </c>
      <c r="H13">
        <v>2</v>
      </c>
      <c r="I13">
        <v>0.5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0.5</v>
      </c>
      <c r="P13" t="s">
        <v>10793</v>
      </c>
      <c r="Q13">
        <v>-3.708</v>
      </c>
      <c r="R13" t="s">
        <v>10457</v>
      </c>
      <c r="S13">
        <v>0</v>
      </c>
    </row>
    <row r="14" spans="1:19">
      <c r="A14" t="s">
        <v>194</v>
      </c>
      <c r="B14" t="s">
        <v>1701</v>
      </c>
      <c r="C14">
        <f>"200800101"</f>
        <v>0</v>
      </c>
      <c r="D14">
        <v>5</v>
      </c>
      <c r="E14">
        <v>3</v>
      </c>
      <c r="F14">
        <v>5</v>
      </c>
      <c r="G14">
        <v>0</v>
      </c>
      <c r="H14">
        <v>13</v>
      </c>
      <c r="I14">
        <v>4</v>
      </c>
      <c r="J14">
        <v>3</v>
      </c>
      <c r="K14">
        <v>75.402</v>
      </c>
      <c r="L14" s="2">
        <v>25</v>
      </c>
      <c r="M14">
        <v>1</v>
      </c>
      <c r="N14" s="2">
        <v>25</v>
      </c>
      <c r="O14">
        <v>0.4000000000000004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194</v>
      </c>
      <c r="B15" t="s">
        <v>4148</v>
      </c>
      <c r="C15">
        <f>"102100100"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194</v>
      </c>
      <c r="B16" t="s">
        <v>3633</v>
      </c>
      <c r="C16">
        <f>"1400020"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194</v>
      </c>
      <c r="B17" t="s">
        <v>4146</v>
      </c>
      <c r="C17">
        <f>"2110050"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194</v>
      </c>
      <c r="B18" t="s">
        <v>3631</v>
      </c>
      <c r="C18">
        <f>"1100040"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194</v>
      </c>
      <c r="B19" t="s">
        <v>4147</v>
      </c>
      <c r="C19">
        <f>"100200"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194</v>
      </c>
      <c r="B20" t="s">
        <v>2882</v>
      </c>
      <c r="C20">
        <f>"2210200"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194</v>
      </c>
      <c r="B21" t="s">
        <v>2872</v>
      </c>
      <c r="C21">
        <f>"1202100"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194</v>
      </c>
      <c r="B22" t="s">
        <v>2848</v>
      </c>
      <c r="C22">
        <f>"200050"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194</v>
      </c>
      <c r="B23" t="s">
        <v>2858</v>
      </c>
      <c r="C23">
        <f>"102200100"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194</v>
      </c>
      <c r="B24" t="s">
        <v>3025</v>
      </c>
      <c r="C24">
        <f>"200200"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194</v>
      </c>
      <c r="B25" t="s">
        <v>2973</v>
      </c>
      <c r="C25">
        <f>"300050"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194</v>
      </c>
      <c r="B26" t="s">
        <v>2971</v>
      </c>
      <c r="C26">
        <f>"102300100"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194</v>
      </c>
      <c r="B27" t="s">
        <v>4150</v>
      </c>
      <c r="C27">
        <f>"300200"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194</v>
      </c>
      <c r="B28" t="s">
        <v>4149</v>
      </c>
      <c r="C28">
        <f>"100050"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194</v>
      </c>
      <c r="B29" t="s">
        <v>2817</v>
      </c>
      <c r="C29">
        <f>"102200010"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194</v>
      </c>
      <c r="B30" t="s">
        <v>6150</v>
      </c>
      <c r="C30">
        <f>"10664"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194</v>
      </c>
      <c r="B31" t="s">
        <v>6152</v>
      </c>
      <c r="C31">
        <f>"10666"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194</v>
      </c>
      <c r="B32" t="s">
        <v>3568</v>
      </c>
      <c r="C32">
        <f>"2260510"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194</v>
      </c>
      <c r="B33" t="s">
        <v>4335</v>
      </c>
      <c r="C33">
        <f>"2260520"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194</v>
      </c>
      <c r="B34" t="s">
        <v>3554</v>
      </c>
      <c r="C34">
        <f>"500100"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194</v>
      </c>
      <c r="B35" t="s">
        <v>3553</v>
      </c>
      <c r="C35">
        <f>"200100"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194</v>
      </c>
      <c r="B36" t="s">
        <v>3555</v>
      </c>
      <c r="C36">
        <f>"062101100100"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194</v>
      </c>
      <c r="B37" t="s">
        <v>3556</v>
      </c>
      <c r="C37">
        <f>"101700050"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194</v>
      </c>
      <c r="B38" t="s">
        <v>3632</v>
      </c>
      <c r="C38">
        <f>"1400040"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194</v>
      </c>
      <c r="B39" t="s">
        <v>3557</v>
      </c>
      <c r="C39">
        <f>"2260710"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194</v>
      </c>
      <c r="B40" t="s">
        <v>3676</v>
      </c>
      <c r="C40">
        <f>"1500040"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194</v>
      </c>
      <c r="B41" t="s">
        <v>7448</v>
      </c>
      <c r="C41">
        <f>"2300100"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194</v>
      </c>
      <c r="B42" t="s">
        <v>9832</v>
      </c>
      <c r="C42">
        <f>"201100014"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194</v>
      </c>
      <c r="B43" t="s">
        <v>8368</v>
      </c>
      <c r="C43">
        <f>"200600140"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194</v>
      </c>
      <c r="B44" t="s">
        <v>8348</v>
      </c>
      <c r="C44">
        <f>"201200140"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194</v>
      </c>
      <c r="B45" t="s">
        <v>3909</v>
      </c>
      <c r="C45">
        <f>"1201100"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194</v>
      </c>
      <c r="B46" t="s">
        <v>7478</v>
      </c>
      <c r="C46">
        <f>"1410620"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194</v>
      </c>
      <c r="B47" t="s">
        <v>7534</v>
      </c>
      <c r="C47">
        <f>"10658"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194</v>
      </c>
      <c r="B48" t="s">
        <v>7536</v>
      </c>
      <c r="C48">
        <f>"10656"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194</v>
      </c>
      <c r="B49" t="s">
        <v>7535</v>
      </c>
      <c r="C49">
        <f>"10657"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194</v>
      </c>
      <c r="B50" t="s">
        <v>8088</v>
      </c>
      <c r="C50">
        <f>"10603"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194</v>
      </c>
      <c r="B51" t="s">
        <v>7443</v>
      </c>
      <c r="C51">
        <f>"10653"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194</v>
      </c>
      <c r="B52" t="s">
        <v>7439</v>
      </c>
      <c r="C52">
        <f>"10661"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194</v>
      </c>
      <c r="B53" t="s">
        <v>7441</v>
      </c>
      <c r="C53">
        <f>"10660"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194</v>
      </c>
      <c r="B54" t="s">
        <v>8079</v>
      </c>
      <c r="C54">
        <f>"10627"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194</v>
      </c>
      <c r="B55" t="s">
        <v>8346</v>
      </c>
      <c r="C55">
        <f>"1110005"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194</v>
      </c>
      <c r="B56" t="s">
        <v>7449</v>
      </c>
      <c r="C56">
        <f>"300010010KG"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194</v>
      </c>
      <c r="B57" t="s">
        <v>7442</v>
      </c>
      <c r="C57">
        <f>"10654"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194</v>
      </c>
      <c r="B58" t="s">
        <v>7543</v>
      </c>
      <c r="C58">
        <f>"1200110"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194</v>
      </c>
      <c r="B59" t="s">
        <v>7544</v>
      </c>
      <c r="C59">
        <f>"1000150"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194</v>
      </c>
      <c r="B60" t="s">
        <v>7545</v>
      </c>
      <c r="C60">
        <f>"2100100"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194</v>
      </c>
      <c r="B61" t="s">
        <v>3910</v>
      </c>
      <c r="C61">
        <f>"13100"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194</v>
      </c>
      <c r="B62" t="s">
        <v>8970</v>
      </c>
      <c r="C62">
        <f>"L101C"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194</v>
      </c>
      <c r="B63" t="s">
        <v>9414</v>
      </c>
      <c r="C63">
        <f>"400025"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194</v>
      </c>
      <c r="B64" t="s">
        <v>1362</v>
      </c>
      <c r="C64">
        <f>"800025"</f>
        <v>0</v>
      </c>
      <c r="D64">
        <v>0</v>
      </c>
      <c r="E64">
        <v>0</v>
      </c>
      <c r="F64">
        <v>1</v>
      </c>
      <c r="G64">
        <v>0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194</v>
      </c>
      <c r="B65" t="s">
        <v>10033</v>
      </c>
      <c r="C65">
        <f>"FBD0005"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194</v>
      </c>
      <c r="B66" t="s">
        <v>9028</v>
      </c>
      <c r="C66">
        <f>"210099"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194</v>
      </c>
      <c r="B67" t="s">
        <v>10032</v>
      </c>
      <c r="C67">
        <f>"FBD0018"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194</v>
      </c>
      <c r="B68" t="s">
        <v>9135</v>
      </c>
      <c r="C68">
        <f>"10645"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194</v>
      </c>
      <c r="B69" t="s">
        <v>9134</v>
      </c>
      <c r="C69">
        <f>"10647"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194</v>
      </c>
      <c r="B70" t="s">
        <v>8078</v>
      </c>
      <c r="C70">
        <f>"10600"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194</v>
      </c>
      <c r="B71" t="s">
        <v>8077</v>
      </c>
      <c r="C71">
        <f>"10625"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194</v>
      </c>
      <c r="B72" t="s">
        <v>7131</v>
      </c>
      <c r="C72">
        <f>"10641"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194</v>
      </c>
      <c r="B73" t="s">
        <v>7130</v>
      </c>
      <c r="C73">
        <f>"10642"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194</v>
      </c>
      <c r="B74" t="s">
        <v>7129</v>
      </c>
      <c r="C74">
        <f>"10643"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194</v>
      </c>
      <c r="B75" t="s">
        <v>7128</v>
      </c>
      <c r="C75">
        <f>"10644"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194</v>
      </c>
      <c r="B76" t="s">
        <v>9417</v>
      </c>
      <c r="C76">
        <f>"100101"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194</v>
      </c>
      <c r="B77" t="s">
        <v>9431</v>
      </c>
      <c r="C77">
        <f>"1110315"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194</v>
      </c>
      <c r="B78" t="s">
        <v>3795</v>
      </c>
      <c r="C78">
        <f>"AGR098"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194</v>
      </c>
      <c r="B79" t="s">
        <v>9133</v>
      </c>
      <c r="C79">
        <f>"10648"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194</v>
      </c>
      <c r="B80" t="s">
        <v>8971</v>
      </c>
      <c r="C80">
        <f>"1500101"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194</v>
      </c>
      <c r="B81" t="s">
        <v>1158</v>
      </c>
      <c r="C81">
        <f>"1400010"</f>
        <v>0</v>
      </c>
      <c r="D81">
        <v>0</v>
      </c>
      <c r="E81">
        <v>0</v>
      </c>
      <c r="F81">
        <v>1</v>
      </c>
      <c r="G81">
        <v>0</v>
      </c>
      <c r="H81">
        <v>1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194</v>
      </c>
      <c r="B82" t="s">
        <v>3796</v>
      </c>
      <c r="C82">
        <f>"AGR097"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194</v>
      </c>
      <c r="B83" t="s">
        <v>971</v>
      </c>
      <c r="C83">
        <f>"100800250"</f>
        <v>0</v>
      </c>
      <c r="D83">
        <v>0</v>
      </c>
      <c r="E83">
        <v>2</v>
      </c>
      <c r="F83">
        <v>0</v>
      </c>
      <c r="G83">
        <v>0</v>
      </c>
      <c r="H83">
        <v>2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194</v>
      </c>
      <c r="B84" t="s">
        <v>1174</v>
      </c>
      <c r="C84">
        <f>"600015"</f>
        <v>0</v>
      </c>
      <c r="D84">
        <v>0</v>
      </c>
      <c r="E84">
        <v>0</v>
      </c>
      <c r="F84">
        <v>1</v>
      </c>
      <c r="G84">
        <v>0</v>
      </c>
      <c r="H84">
        <v>1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194</v>
      </c>
      <c r="B85" t="s">
        <v>1053</v>
      </c>
      <c r="C85">
        <f>"934004"</f>
        <v>0</v>
      </c>
      <c r="D85">
        <v>2</v>
      </c>
      <c r="E85">
        <v>0</v>
      </c>
      <c r="F85">
        <v>0</v>
      </c>
      <c r="G85">
        <v>0</v>
      </c>
      <c r="H85">
        <v>2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194</v>
      </c>
      <c r="B86" t="s">
        <v>3757</v>
      </c>
      <c r="C86">
        <f>"AGR099"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194</v>
      </c>
      <c r="B87" t="s">
        <v>8080</v>
      </c>
      <c r="C87">
        <f>"10629"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194</v>
      </c>
      <c r="B88" t="s">
        <v>8081</v>
      </c>
      <c r="C88">
        <f>"10607"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194</v>
      </c>
      <c r="B89" t="s">
        <v>8082</v>
      </c>
      <c r="C89">
        <f>"10626"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194</v>
      </c>
      <c r="B90" t="s">
        <v>8243</v>
      </c>
      <c r="C90">
        <f>"10604"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194</v>
      </c>
      <c r="B91" t="s">
        <v>8244</v>
      </c>
      <c r="C91">
        <f>"10602"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194</v>
      </c>
      <c r="B92" t="s">
        <v>8245</v>
      </c>
      <c r="C92">
        <f>"10605"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194</v>
      </c>
      <c r="B93" t="s">
        <v>8246</v>
      </c>
      <c r="C93">
        <f>"10601"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194</v>
      </c>
      <c r="B94" t="s">
        <v>3639</v>
      </c>
      <c r="C94">
        <f>"100160015"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194</v>
      </c>
      <c r="B95" t="s">
        <v>2835</v>
      </c>
      <c r="C95">
        <f>"10623"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194</v>
      </c>
      <c r="B96" t="s">
        <v>6151</v>
      </c>
      <c r="C96">
        <f>"10665"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194</v>
      </c>
      <c r="B97" t="s">
        <v>6191</v>
      </c>
      <c r="C97">
        <f>"10632"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194</v>
      </c>
      <c r="B98" t="s">
        <v>6201</v>
      </c>
      <c r="C98">
        <f>"10630"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194</v>
      </c>
      <c r="B99" t="s">
        <v>6190</v>
      </c>
      <c r="C99">
        <f>"10633"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194</v>
      </c>
      <c r="B100" t="s">
        <v>2834</v>
      </c>
      <c r="C100">
        <f>"10617"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194</v>
      </c>
      <c r="B101" t="s">
        <v>2853</v>
      </c>
      <c r="C101">
        <f>"10619"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194</v>
      </c>
      <c r="B102" t="s">
        <v>2794</v>
      </c>
      <c r="C102">
        <f>"10613"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194</v>
      </c>
      <c r="B103" t="s">
        <v>2784</v>
      </c>
      <c r="C103">
        <f>"10611"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194</v>
      </c>
      <c r="B104" t="s">
        <v>2782</v>
      </c>
      <c r="C104">
        <f>"10612"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194</v>
      </c>
      <c r="B105" t="s">
        <v>1183</v>
      </c>
      <c r="C105">
        <f>"3055015"</f>
        <v>0</v>
      </c>
      <c r="D105">
        <v>0</v>
      </c>
      <c r="E105">
        <v>0</v>
      </c>
      <c r="F105">
        <v>1</v>
      </c>
      <c r="G105">
        <v>0</v>
      </c>
      <c r="H105">
        <v>1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194</v>
      </c>
      <c r="B106" t="s">
        <v>3900</v>
      </c>
      <c r="C106">
        <f>"2355015"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194</v>
      </c>
      <c r="B107" t="s">
        <v>3980</v>
      </c>
      <c r="C107">
        <f>"4145010"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194</v>
      </c>
      <c r="B108" t="s">
        <v>3939</v>
      </c>
      <c r="C108">
        <f>"5045010"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194</v>
      </c>
      <c r="B109" t="s">
        <v>3756</v>
      </c>
      <c r="C109">
        <f>"10668"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194</v>
      </c>
      <c r="B110" t="s">
        <v>4316</v>
      </c>
      <c r="C110">
        <f>"11200600200"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194</v>
      </c>
      <c r="B111" t="s">
        <v>1299</v>
      </c>
      <c r="C111">
        <f>"100100015"</f>
        <v>0</v>
      </c>
      <c r="D111">
        <v>0</v>
      </c>
      <c r="E111">
        <v>0</v>
      </c>
      <c r="F111">
        <v>1</v>
      </c>
      <c r="G111">
        <v>0</v>
      </c>
      <c r="H111">
        <v>1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194</v>
      </c>
      <c r="B112" t="s">
        <v>6202</v>
      </c>
      <c r="C112">
        <f>"10634"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194</v>
      </c>
      <c r="B113" t="s">
        <v>3212</v>
      </c>
      <c r="C113">
        <f>"7016061"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194</v>
      </c>
      <c r="B114" t="s">
        <v>2854</v>
      </c>
      <c r="C114">
        <f>"10614"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194</v>
      </c>
      <c r="B115" t="s">
        <v>2856</v>
      </c>
      <c r="C115">
        <f>"10620"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194</v>
      </c>
      <c r="B116" t="s">
        <v>2833</v>
      </c>
      <c r="C116">
        <f>"10624"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194</v>
      </c>
      <c r="B117" t="s">
        <v>3899</v>
      </c>
      <c r="C117">
        <f>"2055015"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194</v>
      </c>
      <c r="B118" t="s">
        <v>1172</v>
      </c>
      <c r="C118">
        <f>"4045010"</f>
        <v>0</v>
      </c>
      <c r="D118">
        <v>0</v>
      </c>
      <c r="E118">
        <v>1</v>
      </c>
      <c r="F118">
        <v>0</v>
      </c>
      <c r="G118">
        <v>0</v>
      </c>
      <c r="H118">
        <v>1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194</v>
      </c>
      <c r="B119" t="s">
        <v>2781</v>
      </c>
      <c r="C119">
        <f>"10616"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194</v>
      </c>
      <c r="B120" t="s">
        <v>2254</v>
      </c>
      <c r="C120">
        <f>"845010"</f>
        <v>0</v>
      </c>
      <c r="D120">
        <v>0</v>
      </c>
      <c r="E120">
        <v>1</v>
      </c>
      <c r="F120">
        <v>1</v>
      </c>
      <c r="G120">
        <v>0</v>
      </c>
      <c r="H120">
        <v>2</v>
      </c>
      <c r="I120">
        <v>0.5</v>
      </c>
      <c r="J120">
        <v>1</v>
      </c>
      <c r="K120">
        <v>37.356</v>
      </c>
      <c r="L120" s="2">
        <v>37</v>
      </c>
      <c r="M120">
        <v>0</v>
      </c>
      <c r="N120" s="2">
        <v>0</v>
      </c>
      <c r="O120">
        <v>-0.7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194</v>
      </c>
      <c r="B121" t="s">
        <v>2079</v>
      </c>
      <c r="C121">
        <f>"113212"</f>
        <v>0</v>
      </c>
      <c r="D121">
        <v>1</v>
      </c>
      <c r="E121">
        <v>0</v>
      </c>
      <c r="F121">
        <v>2</v>
      </c>
      <c r="G121">
        <v>0</v>
      </c>
      <c r="H121">
        <v>3</v>
      </c>
      <c r="I121">
        <v>0.5</v>
      </c>
      <c r="J121">
        <v>1</v>
      </c>
      <c r="K121">
        <v>18.908</v>
      </c>
      <c r="L121" s="2">
        <v>19</v>
      </c>
      <c r="M121">
        <v>0</v>
      </c>
      <c r="N121" s="2">
        <v>0</v>
      </c>
      <c r="O121">
        <v>-0.7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194</v>
      </c>
      <c r="B122" t="s">
        <v>2138</v>
      </c>
      <c r="C122">
        <f>"200700140"</f>
        <v>0</v>
      </c>
      <c r="D122">
        <v>2</v>
      </c>
      <c r="E122">
        <v>0</v>
      </c>
      <c r="F122">
        <v>1</v>
      </c>
      <c r="G122">
        <v>0</v>
      </c>
      <c r="H122">
        <v>3</v>
      </c>
      <c r="I122">
        <v>0.5</v>
      </c>
      <c r="J122">
        <v>1</v>
      </c>
      <c r="K122">
        <v>27.425</v>
      </c>
      <c r="L122" s="2">
        <v>27</v>
      </c>
      <c r="M122">
        <v>0</v>
      </c>
      <c r="N122" s="2">
        <v>0</v>
      </c>
      <c r="O122">
        <v>-0.7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194</v>
      </c>
      <c r="B123" t="s">
        <v>1734</v>
      </c>
      <c r="C123">
        <f>"300100"</f>
        <v>0</v>
      </c>
      <c r="D123">
        <v>4</v>
      </c>
      <c r="E123">
        <v>4</v>
      </c>
      <c r="F123">
        <v>6</v>
      </c>
      <c r="G123">
        <v>0</v>
      </c>
      <c r="H123">
        <v>14</v>
      </c>
      <c r="I123">
        <v>4</v>
      </c>
      <c r="J123">
        <v>4</v>
      </c>
      <c r="K123">
        <v>29.153</v>
      </c>
      <c r="L123" s="2">
        <v>7</v>
      </c>
      <c r="M123">
        <v>0</v>
      </c>
      <c r="N123" s="2">
        <v>0</v>
      </c>
      <c r="O123">
        <v>-0.7999999999999998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194</v>
      </c>
      <c r="B124" t="s">
        <v>1865</v>
      </c>
      <c r="C124">
        <f>"1400015"</f>
        <v>0</v>
      </c>
      <c r="D124">
        <v>0</v>
      </c>
      <c r="E124">
        <v>3</v>
      </c>
      <c r="F124">
        <v>4</v>
      </c>
      <c r="G124">
        <v>0</v>
      </c>
      <c r="H124">
        <v>7</v>
      </c>
      <c r="I124">
        <v>1.5</v>
      </c>
      <c r="J124">
        <v>2</v>
      </c>
      <c r="K124">
        <v>70.13</v>
      </c>
      <c r="L124" s="2">
        <v>35</v>
      </c>
      <c r="M124">
        <v>0</v>
      </c>
      <c r="N124" s="2">
        <v>0</v>
      </c>
      <c r="O124">
        <v>-0.8999999999999999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194</v>
      </c>
      <c r="B125" t="s">
        <v>2570</v>
      </c>
      <c r="C125">
        <f>"1110014"</f>
        <v>0</v>
      </c>
      <c r="D125">
        <v>0</v>
      </c>
      <c r="E125">
        <v>0</v>
      </c>
      <c r="F125">
        <v>1</v>
      </c>
      <c r="G125">
        <v>0</v>
      </c>
      <c r="H125">
        <v>1</v>
      </c>
      <c r="I125">
        <v>0</v>
      </c>
      <c r="J125">
        <v>1</v>
      </c>
      <c r="K125">
        <v>27.647</v>
      </c>
      <c r="L125" s="2">
        <v>28</v>
      </c>
      <c r="M125">
        <v>0</v>
      </c>
      <c r="N125" s="2">
        <v>0</v>
      </c>
      <c r="O125">
        <v>-1.2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194</v>
      </c>
      <c r="B126" t="s">
        <v>8969</v>
      </c>
      <c r="C126">
        <f>"L15C"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1</v>
      </c>
      <c r="K126">
        <v>23.95</v>
      </c>
      <c r="L126" s="2">
        <v>24</v>
      </c>
      <c r="M126">
        <v>0</v>
      </c>
      <c r="N126" s="2">
        <v>0</v>
      </c>
      <c r="O126">
        <v>-1.2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194</v>
      </c>
      <c r="B127" t="s">
        <v>7440</v>
      </c>
      <c r="C127">
        <f>"10655"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1</v>
      </c>
      <c r="K127">
        <v>1.91</v>
      </c>
      <c r="L127" s="2">
        <v>2</v>
      </c>
      <c r="M127">
        <v>0</v>
      </c>
      <c r="N127" s="2">
        <v>0</v>
      </c>
      <c r="O127">
        <v>-1.2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194</v>
      </c>
      <c r="B128" t="s">
        <v>3755</v>
      </c>
      <c r="C128">
        <f>"10667"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1</v>
      </c>
      <c r="K128">
        <v>3.782</v>
      </c>
      <c r="L128" s="2">
        <v>4</v>
      </c>
      <c r="M128">
        <v>0</v>
      </c>
      <c r="N128" s="2">
        <v>0</v>
      </c>
      <c r="O128">
        <v>-1.2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194</v>
      </c>
      <c r="B129" t="s">
        <v>2485</v>
      </c>
      <c r="C129">
        <f>"113151"</f>
        <v>0</v>
      </c>
      <c r="D129">
        <v>0</v>
      </c>
      <c r="E129">
        <v>0</v>
      </c>
      <c r="F129">
        <v>1</v>
      </c>
      <c r="G129">
        <v>0</v>
      </c>
      <c r="H129">
        <v>1</v>
      </c>
      <c r="I129">
        <v>0</v>
      </c>
      <c r="J129">
        <v>1</v>
      </c>
      <c r="K129">
        <v>15.042</v>
      </c>
      <c r="L129" s="2">
        <v>15</v>
      </c>
      <c r="M129">
        <v>0</v>
      </c>
      <c r="N129" s="2">
        <v>0</v>
      </c>
      <c r="O129">
        <v>-1.2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194</v>
      </c>
      <c r="B130" t="s">
        <v>1965</v>
      </c>
      <c r="C130">
        <f>"ATACP14KG"</f>
        <v>0</v>
      </c>
      <c r="D130">
        <v>1</v>
      </c>
      <c r="E130">
        <v>1</v>
      </c>
      <c r="F130">
        <v>2</v>
      </c>
      <c r="G130">
        <v>0</v>
      </c>
      <c r="H130">
        <v>4</v>
      </c>
      <c r="I130">
        <v>1</v>
      </c>
      <c r="J130">
        <v>2</v>
      </c>
      <c r="K130">
        <v>62.016</v>
      </c>
      <c r="L130" s="2">
        <v>31</v>
      </c>
      <c r="M130">
        <v>0</v>
      </c>
      <c r="N130" s="2">
        <v>0</v>
      </c>
      <c r="O130">
        <v>-1.4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194</v>
      </c>
      <c r="B131" t="s">
        <v>1964</v>
      </c>
      <c r="C131">
        <f>"910015"</f>
        <v>0</v>
      </c>
      <c r="D131">
        <v>2</v>
      </c>
      <c r="E131">
        <v>0</v>
      </c>
      <c r="F131">
        <v>2</v>
      </c>
      <c r="G131">
        <v>0</v>
      </c>
      <c r="H131">
        <v>4</v>
      </c>
      <c r="I131">
        <v>1</v>
      </c>
      <c r="J131">
        <v>2</v>
      </c>
      <c r="K131">
        <v>70.13</v>
      </c>
      <c r="L131" s="2">
        <v>35</v>
      </c>
      <c r="M131">
        <v>0</v>
      </c>
      <c r="N131" s="2">
        <v>0</v>
      </c>
      <c r="O131">
        <v>-1.4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194</v>
      </c>
      <c r="B132" t="s">
        <v>2208</v>
      </c>
      <c r="C132">
        <f>"20080750"</f>
        <v>0</v>
      </c>
      <c r="D132">
        <v>0</v>
      </c>
      <c r="E132">
        <v>1</v>
      </c>
      <c r="F132">
        <v>1</v>
      </c>
      <c r="G132">
        <v>0</v>
      </c>
      <c r="H132">
        <v>2</v>
      </c>
      <c r="I132">
        <v>0.5</v>
      </c>
      <c r="J132">
        <v>2</v>
      </c>
      <c r="K132">
        <v>51.795</v>
      </c>
      <c r="L132" s="2">
        <v>26</v>
      </c>
      <c r="M132">
        <v>0</v>
      </c>
      <c r="N132" s="2">
        <v>0</v>
      </c>
      <c r="O132">
        <v>-1.9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194</v>
      </c>
      <c r="B133" t="s">
        <v>2071</v>
      </c>
      <c r="C133">
        <f>"201100070"</f>
        <v>0</v>
      </c>
      <c r="D133">
        <v>0</v>
      </c>
      <c r="E133">
        <v>2</v>
      </c>
      <c r="F133">
        <v>1</v>
      </c>
      <c r="G133">
        <v>0</v>
      </c>
      <c r="H133">
        <v>3</v>
      </c>
      <c r="I133">
        <v>0.5</v>
      </c>
      <c r="J133">
        <v>2</v>
      </c>
      <c r="K133">
        <v>36.516</v>
      </c>
      <c r="L133" s="2">
        <v>18</v>
      </c>
      <c r="M133">
        <v>0</v>
      </c>
      <c r="N133" s="2">
        <v>0</v>
      </c>
      <c r="O133">
        <v>-1.9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194</v>
      </c>
      <c r="B134" t="s">
        <v>2053</v>
      </c>
      <c r="C134">
        <f>"1132911"</f>
        <v>0</v>
      </c>
      <c r="D134">
        <v>2</v>
      </c>
      <c r="E134">
        <v>0</v>
      </c>
      <c r="F134">
        <v>1</v>
      </c>
      <c r="G134">
        <v>0</v>
      </c>
      <c r="H134">
        <v>3</v>
      </c>
      <c r="I134">
        <v>0.5</v>
      </c>
      <c r="J134">
        <v>2</v>
      </c>
      <c r="K134">
        <v>47.9</v>
      </c>
      <c r="L134" s="2">
        <v>24</v>
      </c>
      <c r="M134">
        <v>0</v>
      </c>
      <c r="N134" s="2">
        <v>0</v>
      </c>
      <c r="O134">
        <v>-1.9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194</v>
      </c>
      <c r="B135" t="s">
        <v>1723</v>
      </c>
      <c r="C135">
        <f>"20070750"</f>
        <v>0</v>
      </c>
      <c r="D135">
        <v>4</v>
      </c>
      <c r="E135">
        <v>6</v>
      </c>
      <c r="F135">
        <v>6</v>
      </c>
      <c r="G135">
        <v>0</v>
      </c>
      <c r="H135">
        <v>16</v>
      </c>
      <c r="I135">
        <v>5</v>
      </c>
      <c r="J135">
        <v>6</v>
      </c>
      <c r="K135">
        <v>155.385</v>
      </c>
      <c r="L135" s="2">
        <v>26</v>
      </c>
      <c r="M135">
        <v>0</v>
      </c>
      <c r="N135" s="2">
        <v>0</v>
      </c>
      <c r="O135">
        <v>-2.199999999999999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194</v>
      </c>
      <c r="B136" t="s">
        <v>5637</v>
      </c>
      <c r="C136">
        <f>"700200"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2</v>
      </c>
      <c r="K136">
        <v>47.968</v>
      </c>
      <c r="L136" s="2">
        <v>24</v>
      </c>
      <c r="M136">
        <v>0</v>
      </c>
      <c r="N136" s="2">
        <v>0</v>
      </c>
      <c r="O136">
        <v>-2.4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194</v>
      </c>
      <c r="B137" t="s">
        <v>2222</v>
      </c>
      <c r="C137">
        <f>"20080150"</f>
        <v>0</v>
      </c>
      <c r="D137">
        <v>2</v>
      </c>
      <c r="E137">
        <v>0</v>
      </c>
      <c r="F137">
        <v>0</v>
      </c>
      <c r="G137">
        <v>0</v>
      </c>
      <c r="H137">
        <v>2</v>
      </c>
      <c r="I137">
        <v>0</v>
      </c>
      <c r="J137">
        <v>2</v>
      </c>
      <c r="K137">
        <v>14.974</v>
      </c>
      <c r="L137" s="2">
        <v>7</v>
      </c>
      <c r="M137">
        <v>0</v>
      </c>
      <c r="N137" s="2">
        <v>0</v>
      </c>
      <c r="O137">
        <v>-2.4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194</v>
      </c>
      <c r="B138" t="s">
        <v>5804</v>
      </c>
      <c r="C138">
        <f>"7016060"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2</v>
      </c>
      <c r="K138">
        <v>0</v>
      </c>
      <c r="L138" s="2">
        <v>0</v>
      </c>
      <c r="M138">
        <v>0</v>
      </c>
      <c r="N138" s="2">
        <v>0</v>
      </c>
      <c r="O138">
        <v>-2.4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194</v>
      </c>
      <c r="B139" t="s">
        <v>2119</v>
      </c>
      <c r="C139">
        <f>"555015"</f>
        <v>0</v>
      </c>
      <c r="D139">
        <v>0</v>
      </c>
      <c r="E139">
        <v>2</v>
      </c>
      <c r="F139">
        <v>1</v>
      </c>
      <c r="G139">
        <v>0</v>
      </c>
      <c r="H139">
        <v>3</v>
      </c>
      <c r="I139">
        <v>0.5</v>
      </c>
      <c r="J139">
        <v>3</v>
      </c>
      <c r="K139">
        <v>140.925</v>
      </c>
      <c r="L139" s="2">
        <v>47</v>
      </c>
      <c r="M139">
        <v>0</v>
      </c>
      <c r="N139" s="2">
        <v>0</v>
      </c>
      <c r="O139">
        <v>-3.1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194</v>
      </c>
      <c r="B140" t="s">
        <v>1995</v>
      </c>
      <c r="C140">
        <f>"123121"</f>
        <v>0</v>
      </c>
      <c r="D140">
        <v>1</v>
      </c>
      <c r="E140">
        <v>3</v>
      </c>
      <c r="F140">
        <v>0</v>
      </c>
      <c r="G140">
        <v>0</v>
      </c>
      <c r="H140">
        <v>4</v>
      </c>
      <c r="I140">
        <v>0.5</v>
      </c>
      <c r="J140">
        <v>3</v>
      </c>
      <c r="K140">
        <v>45.126</v>
      </c>
      <c r="L140" s="2">
        <v>15</v>
      </c>
      <c r="M140">
        <v>0</v>
      </c>
      <c r="N140" s="2">
        <v>0</v>
      </c>
      <c r="O140">
        <v>-3.1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194</v>
      </c>
      <c r="B141" t="s">
        <v>1898</v>
      </c>
      <c r="C141">
        <f>"400100"</f>
        <v>0</v>
      </c>
      <c r="D141">
        <v>1</v>
      </c>
      <c r="E141">
        <v>3</v>
      </c>
      <c r="F141">
        <v>2</v>
      </c>
      <c r="G141">
        <v>0</v>
      </c>
      <c r="H141">
        <v>6</v>
      </c>
      <c r="I141">
        <v>1.5</v>
      </c>
      <c r="J141">
        <v>4</v>
      </c>
      <c r="K141">
        <v>29.156</v>
      </c>
      <c r="L141" s="2">
        <v>7</v>
      </c>
      <c r="M141">
        <v>0</v>
      </c>
      <c r="N141" s="2">
        <v>0</v>
      </c>
      <c r="O141">
        <v>-3.3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194</v>
      </c>
      <c r="B142" t="s">
        <v>3638</v>
      </c>
      <c r="C142">
        <f>"100120101"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3</v>
      </c>
      <c r="K142">
        <v>101.874</v>
      </c>
      <c r="L142" s="2">
        <v>34</v>
      </c>
      <c r="M142">
        <v>0</v>
      </c>
      <c r="N142" s="2">
        <v>0</v>
      </c>
      <c r="O142">
        <v>-3.6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194</v>
      </c>
      <c r="B143" t="s">
        <v>3689</v>
      </c>
      <c r="C143">
        <f>"100110250"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3</v>
      </c>
      <c r="K143">
        <v>45.152</v>
      </c>
      <c r="L143" s="2">
        <v>15</v>
      </c>
      <c r="M143">
        <v>0</v>
      </c>
      <c r="N143" s="2">
        <v>0</v>
      </c>
      <c r="O143">
        <v>-3.6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194</v>
      </c>
      <c r="B144" t="s">
        <v>5759</v>
      </c>
      <c r="C144">
        <f>"7016062"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3</v>
      </c>
      <c r="K144">
        <v>0</v>
      </c>
      <c r="L144" s="2">
        <v>0</v>
      </c>
      <c r="M144">
        <v>0</v>
      </c>
      <c r="N144" s="2">
        <v>0</v>
      </c>
      <c r="O144">
        <v>-3.6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194</v>
      </c>
      <c r="B145" t="s">
        <v>262</v>
      </c>
      <c r="C145">
        <f>"2400100"</f>
        <v>0</v>
      </c>
      <c r="D145">
        <v>4</v>
      </c>
      <c r="E145">
        <v>0</v>
      </c>
      <c r="F145">
        <v>0</v>
      </c>
      <c r="G145">
        <v>1</v>
      </c>
      <c r="H145">
        <v>5</v>
      </c>
      <c r="I145">
        <v>0.5</v>
      </c>
      <c r="J145">
        <v>8</v>
      </c>
      <c r="K145">
        <v>61.95</v>
      </c>
      <c r="L145" s="2">
        <v>8</v>
      </c>
      <c r="M145">
        <v>0</v>
      </c>
      <c r="N145" s="2">
        <v>0</v>
      </c>
      <c r="O145">
        <v>-4.1</v>
      </c>
      <c r="P145" t="s">
        <v>10687</v>
      </c>
      <c r="Q145">
        <v>855</v>
      </c>
      <c r="R145" t="s">
        <v>10800</v>
      </c>
      <c r="S145">
        <v>1</v>
      </c>
    </row>
    <row r="146" spans="1:19">
      <c r="A146" t="s">
        <v>194</v>
      </c>
      <c r="B146" t="s">
        <v>2139</v>
      </c>
      <c r="C146">
        <f>"1220620"</f>
        <v>0</v>
      </c>
      <c r="D146">
        <v>0</v>
      </c>
      <c r="E146">
        <v>1</v>
      </c>
      <c r="F146">
        <v>2</v>
      </c>
      <c r="G146">
        <v>0</v>
      </c>
      <c r="H146">
        <v>3</v>
      </c>
      <c r="I146">
        <v>0.5</v>
      </c>
      <c r="J146">
        <v>4</v>
      </c>
      <c r="K146">
        <v>142.856</v>
      </c>
      <c r="L146" s="2">
        <v>36</v>
      </c>
      <c r="M146">
        <v>0</v>
      </c>
      <c r="N146" s="2">
        <v>0</v>
      </c>
      <c r="O146">
        <v>-4.3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194</v>
      </c>
      <c r="B147" t="s">
        <v>1811</v>
      </c>
      <c r="C147">
        <f>"2220100"</f>
        <v>0</v>
      </c>
      <c r="D147">
        <v>1</v>
      </c>
      <c r="E147">
        <v>0</v>
      </c>
      <c r="F147">
        <v>8</v>
      </c>
      <c r="G147">
        <v>0</v>
      </c>
      <c r="H147">
        <v>9</v>
      </c>
      <c r="I147">
        <v>0.5</v>
      </c>
      <c r="J147">
        <v>4</v>
      </c>
      <c r="K147">
        <v>29.153</v>
      </c>
      <c r="L147" s="2">
        <v>7</v>
      </c>
      <c r="M147">
        <v>0</v>
      </c>
      <c r="N147" s="2">
        <v>0</v>
      </c>
      <c r="O147">
        <v>-4.3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194</v>
      </c>
      <c r="B148" t="s">
        <v>2632</v>
      </c>
      <c r="C148">
        <f>"4134004"</f>
        <v>0</v>
      </c>
      <c r="D148">
        <v>1</v>
      </c>
      <c r="E148">
        <v>0</v>
      </c>
      <c r="F148">
        <v>0</v>
      </c>
      <c r="G148">
        <v>0</v>
      </c>
      <c r="H148">
        <v>1</v>
      </c>
      <c r="I148">
        <v>0</v>
      </c>
      <c r="J148">
        <v>5</v>
      </c>
      <c r="K148">
        <v>95.13200000000001</v>
      </c>
      <c r="L148" s="2">
        <v>19</v>
      </c>
      <c r="M148">
        <v>0</v>
      </c>
      <c r="N148" s="2">
        <v>0</v>
      </c>
      <c r="O148">
        <v>-6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194</v>
      </c>
      <c r="B149" t="s">
        <v>2523</v>
      </c>
      <c r="C149">
        <f>"210514"</f>
        <v>0</v>
      </c>
      <c r="D149">
        <v>0</v>
      </c>
      <c r="E149">
        <v>0</v>
      </c>
      <c r="F149">
        <v>1</v>
      </c>
      <c r="G149">
        <v>0</v>
      </c>
      <c r="H149">
        <v>1</v>
      </c>
      <c r="I149">
        <v>0</v>
      </c>
      <c r="J149">
        <v>5</v>
      </c>
      <c r="K149">
        <v>5</v>
      </c>
      <c r="L149" s="2">
        <v>1</v>
      </c>
      <c r="M149">
        <v>0</v>
      </c>
      <c r="N149" s="2">
        <v>0</v>
      </c>
      <c r="O149">
        <v>-6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194</v>
      </c>
      <c r="B150" t="s">
        <v>3211</v>
      </c>
      <c r="C150">
        <f>"7016063"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5</v>
      </c>
      <c r="K150">
        <v>0</v>
      </c>
      <c r="L150" s="2">
        <v>0</v>
      </c>
      <c r="M150">
        <v>0</v>
      </c>
      <c r="N150" s="2">
        <v>0</v>
      </c>
      <c r="O150">
        <v>-6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194</v>
      </c>
      <c r="B151" t="s">
        <v>2115</v>
      </c>
      <c r="C151">
        <f>"100130250"</f>
        <v>0</v>
      </c>
      <c r="D151">
        <v>3</v>
      </c>
      <c r="E151">
        <v>0</v>
      </c>
      <c r="F151">
        <v>0</v>
      </c>
      <c r="G151">
        <v>0</v>
      </c>
      <c r="H151">
        <v>3</v>
      </c>
      <c r="I151">
        <v>0</v>
      </c>
      <c r="J151">
        <v>5</v>
      </c>
      <c r="K151">
        <v>70.446</v>
      </c>
      <c r="L151" s="2">
        <v>14</v>
      </c>
      <c r="M151">
        <v>0</v>
      </c>
      <c r="N151" s="2">
        <v>0</v>
      </c>
      <c r="O151">
        <v>-6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194</v>
      </c>
      <c r="B152" t="s">
        <v>4608</v>
      </c>
      <c r="C152">
        <f>"113221"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5</v>
      </c>
      <c r="K152">
        <v>75.20999999999999</v>
      </c>
      <c r="L152" s="2">
        <v>15</v>
      </c>
      <c r="M152">
        <v>0</v>
      </c>
      <c r="N152" s="2">
        <v>0</v>
      </c>
      <c r="O152">
        <v>-6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194</v>
      </c>
      <c r="B153" t="s">
        <v>2114</v>
      </c>
      <c r="C153">
        <f>"100700015"</f>
        <v>0</v>
      </c>
      <c r="D153">
        <v>0</v>
      </c>
      <c r="E153">
        <v>3</v>
      </c>
      <c r="F153">
        <v>0</v>
      </c>
      <c r="G153">
        <v>0</v>
      </c>
      <c r="H153">
        <v>3</v>
      </c>
      <c r="I153">
        <v>0</v>
      </c>
      <c r="J153">
        <v>6</v>
      </c>
      <c r="K153">
        <v>221.406</v>
      </c>
      <c r="L153" s="2">
        <v>37</v>
      </c>
      <c r="M153">
        <v>0</v>
      </c>
      <c r="N153" s="2">
        <v>0</v>
      </c>
      <c r="O153">
        <v>-7.199999999999999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194</v>
      </c>
      <c r="B154" t="s">
        <v>3898</v>
      </c>
      <c r="C154">
        <f>"734004"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8</v>
      </c>
      <c r="K154">
        <v>154</v>
      </c>
      <c r="L154" s="2">
        <v>19</v>
      </c>
      <c r="M154">
        <v>0</v>
      </c>
      <c r="N154" s="2">
        <v>0</v>
      </c>
      <c r="O154">
        <v>-9.6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194</v>
      </c>
      <c r="B155" t="s">
        <v>3901</v>
      </c>
      <c r="C155">
        <f>"2755015"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8</v>
      </c>
      <c r="K155">
        <v>356.071</v>
      </c>
      <c r="L155" s="2">
        <v>45</v>
      </c>
      <c r="M155">
        <v>0</v>
      </c>
      <c r="N155" s="2">
        <v>0</v>
      </c>
      <c r="O155">
        <v>-9.6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194</v>
      </c>
      <c r="B156" t="s">
        <v>3996</v>
      </c>
      <c r="C156">
        <f>"834004"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10</v>
      </c>
      <c r="K156">
        <v>199.21</v>
      </c>
      <c r="L156" s="2">
        <v>20</v>
      </c>
      <c r="M156">
        <v>0</v>
      </c>
      <c r="N156" s="2">
        <v>0</v>
      </c>
      <c r="O156">
        <v>-12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194</v>
      </c>
      <c r="B157" t="s">
        <v>9416</v>
      </c>
      <c r="C157">
        <f>"20203020"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16</v>
      </c>
      <c r="K157">
        <v>0</v>
      </c>
      <c r="L157" s="2">
        <v>0</v>
      </c>
      <c r="M157">
        <v>0</v>
      </c>
      <c r="N157" s="2">
        <v>0</v>
      </c>
      <c r="O157">
        <v>-19.2</v>
      </c>
      <c r="P157" t="s">
        <v>100</v>
      </c>
      <c r="Q157">
        <v>0</v>
      </c>
      <c r="R157" t="s">
        <v>145</v>
      </c>
      <c r="S157">
        <v>0</v>
      </c>
    </row>
  </sheetData>
  <autoFilter ref="A2:S157"/>
  <hyperlinks>
    <hyperlink ref="A1" location="'ÍNDICE'!A1" display="⬅ Volver al índice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S2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197</v>
      </c>
      <c r="B3" t="s">
        <v>289</v>
      </c>
      <c r="C3">
        <f>"5000379"</f>
        <v>0</v>
      </c>
      <c r="D3">
        <v>5</v>
      </c>
      <c r="E3">
        <v>1</v>
      </c>
      <c r="F3">
        <v>0</v>
      </c>
      <c r="G3">
        <v>3</v>
      </c>
      <c r="H3">
        <v>9</v>
      </c>
      <c r="I3">
        <v>2</v>
      </c>
      <c r="J3">
        <v>2</v>
      </c>
      <c r="K3">
        <v>2.37</v>
      </c>
      <c r="L3" s="2">
        <v>1</v>
      </c>
      <c r="M3">
        <v>2</v>
      </c>
      <c r="N3" s="2">
        <v>2</v>
      </c>
      <c r="O3">
        <v>8.6</v>
      </c>
      <c r="P3" t="s">
        <v>10802</v>
      </c>
      <c r="Q3">
        <v>706</v>
      </c>
      <c r="R3" t="s">
        <v>10805</v>
      </c>
      <c r="S3">
        <v>1</v>
      </c>
    </row>
    <row r="4" spans="1:19">
      <c r="A4" t="s">
        <v>197</v>
      </c>
      <c r="B4" t="s">
        <v>1698</v>
      </c>
      <c r="C4">
        <f>"ANS34"</f>
        <v>0</v>
      </c>
      <c r="D4">
        <v>4</v>
      </c>
      <c r="E4">
        <v>1</v>
      </c>
      <c r="F4">
        <v>1</v>
      </c>
      <c r="G4">
        <v>2</v>
      </c>
      <c r="H4">
        <v>8</v>
      </c>
      <c r="I4">
        <v>1.5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8.5</v>
      </c>
      <c r="P4" t="s">
        <v>10803</v>
      </c>
      <c r="Q4">
        <v>-238</v>
      </c>
      <c r="R4" t="s">
        <v>10806</v>
      </c>
      <c r="S4">
        <v>1</v>
      </c>
    </row>
    <row r="5" spans="1:19">
      <c r="A5" t="s">
        <v>197</v>
      </c>
      <c r="B5" t="s">
        <v>2144</v>
      </c>
      <c r="C5">
        <f>"5000380"</f>
        <v>0</v>
      </c>
      <c r="D5">
        <v>0</v>
      </c>
      <c r="E5">
        <v>0</v>
      </c>
      <c r="F5">
        <v>0</v>
      </c>
      <c r="G5">
        <v>2</v>
      </c>
      <c r="H5">
        <v>2</v>
      </c>
      <c r="I5">
        <v>0</v>
      </c>
      <c r="J5">
        <v>5</v>
      </c>
      <c r="K5">
        <v>11.95</v>
      </c>
      <c r="L5" s="2">
        <v>2</v>
      </c>
      <c r="M5">
        <v>0</v>
      </c>
      <c r="N5" s="2">
        <v>0</v>
      </c>
      <c r="O5">
        <v>1</v>
      </c>
      <c r="P5" t="s">
        <v>10804</v>
      </c>
      <c r="Q5">
        <v>2.766</v>
      </c>
      <c r="R5" t="s">
        <v>10807</v>
      </c>
      <c r="S5">
        <v>1</v>
      </c>
    </row>
    <row r="6" spans="1:19">
      <c r="A6" t="s">
        <v>197</v>
      </c>
      <c r="B6" t="s">
        <v>10148</v>
      </c>
      <c r="C6">
        <f>"ANS28"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197</v>
      </c>
      <c r="B7" t="s">
        <v>10193</v>
      </c>
      <c r="C7">
        <f>"5000266"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197</v>
      </c>
      <c r="B8" t="s">
        <v>10195</v>
      </c>
      <c r="C8">
        <f>"5008806"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197</v>
      </c>
      <c r="B9" t="s">
        <v>10192</v>
      </c>
      <c r="C9">
        <f>"ANS37"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197</v>
      </c>
      <c r="B10" t="s">
        <v>10207</v>
      </c>
      <c r="C10">
        <f>"ANS33"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197</v>
      </c>
      <c r="B11" t="s">
        <v>1008</v>
      </c>
      <c r="C11">
        <f>"1019652"</f>
        <v>0</v>
      </c>
      <c r="D11">
        <v>2</v>
      </c>
      <c r="E11">
        <v>0</v>
      </c>
      <c r="F11">
        <v>0</v>
      </c>
      <c r="G11">
        <v>0</v>
      </c>
      <c r="H11">
        <v>2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197</v>
      </c>
      <c r="B12" t="s">
        <v>10150</v>
      </c>
      <c r="C12">
        <f>"5000265"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197</v>
      </c>
      <c r="B13" t="s">
        <v>10149</v>
      </c>
      <c r="C13">
        <f>"5000263"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197</v>
      </c>
      <c r="B14" t="s">
        <v>10183</v>
      </c>
      <c r="C14">
        <f>"ANS40"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197</v>
      </c>
      <c r="B15" t="s">
        <v>10186</v>
      </c>
      <c r="C15">
        <f>"5006439"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197</v>
      </c>
      <c r="B16" t="s">
        <v>10185</v>
      </c>
      <c r="C16">
        <f>"ANS42"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197</v>
      </c>
      <c r="B17" t="s">
        <v>10184</v>
      </c>
      <c r="C17">
        <f>"ANS41"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197</v>
      </c>
      <c r="B18" t="s">
        <v>10181</v>
      </c>
      <c r="C18">
        <f>"5006440"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197</v>
      </c>
      <c r="B19" t="s">
        <v>10182</v>
      </c>
      <c r="C19">
        <f>"ANS39"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197</v>
      </c>
      <c r="B20" t="s">
        <v>10180</v>
      </c>
      <c r="C20">
        <f>"5000371"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197</v>
      </c>
      <c r="B21" t="s">
        <v>10194</v>
      </c>
      <c r="C21">
        <f>"5008805"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15</v>
      </c>
      <c r="K21">
        <v>23.307</v>
      </c>
      <c r="L21" s="2">
        <v>2</v>
      </c>
      <c r="M21">
        <v>0</v>
      </c>
      <c r="N21" s="2">
        <v>0</v>
      </c>
      <c r="O21">
        <v>-18</v>
      </c>
      <c r="P21" t="s">
        <v>100</v>
      </c>
      <c r="Q21">
        <v>0</v>
      </c>
      <c r="R21" t="s">
        <v>145</v>
      </c>
      <c r="S21">
        <v>0</v>
      </c>
    </row>
  </sheetData>
  <autoFilter ref="A2:S21"/>
  <hyperlinks>
    <hyperlink ref="A1" location="'ÍNDICE'!A1" display="⬅ Volver al índice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S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3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229</v>
      </c>
      <c r="B3" t="s">
        <v>4394</v>
      </c>
      <c r="C3">
        <f>"70102C"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229</v>
      </c>
      <c r="B4" t="s">
        <v>4377</v>
      </c>
      <c r="C4">
        <f>"70101"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229</v>
      </c>
      <c r="B5" t="s">
        <v>8873</v>
      </c>
      <c r="C5">
        <f>"2640"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229</v>
      </c>
      <c r="B6" t="s">
        <v>8840</v>
      </c>
      <c r="C6">
        <f>"2635"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229</v>
      </c>
      <c r="B7" t="s">
        <v>5023</v>
      </c>
      <c r="C7">
        <f>"2828V"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229</v>
      </c>
      <c r="B8" t="s">
        <v>5067</v>
      </c>
      <c r="C8">
        <f>"2759V"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</sheetData>
  <autoFilter ref="A2:S8"/>
  <hyperlinks>
    <hyperlink ref="A1" location="'ÍNDICE'!A1" display="⬅ Volver al índice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030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33.7109375" customWidth="1"/>
    <col min="2" max="2" width="42.7109375" customWidth="1"/>
    <col min="3" max="3" width="33.7109375" customWidth="1"/>
    <col min="4" max="4" width="12.7109375" customWidth="1"/>
    <col min="5" max="5" width="14.7109375" customWidth="1"/>
    <col min="6" max="6" width="14.7109375" style="2" customWidth="1"/>
    <col min="7" max="7" width="17.7109375" customWidth="1"/>
    <col min="8" max="8" width="20.7109375" customWidth="1"/>
    <col min="9" max="9" width="42.7109375" customWidth="1"/>
    <col min="10" max="10" width="17.7109375" customWidth="1"/>
    <col min="11" max="11" width="21.7109375" customWidth="1"/>
    <col min="12" max="12" width="14.7109375" style="2" customWidth="1"/>
    <col min="13" max="13" width="7.7109375" customWidth="1"/>
    <col min="14" max="14" width="5.7109375" customWidth="1"/>
  </cols>
  <sheetData>
    <row r="1" spans="1:14">
      <c r="A1" s="1" t="s">
        <v>183</v>
      </c>
    </row>
    <row r="2" spans="1:14">
      <c r="A2" s="3" t="s">
        <v>5</v>
      </c>
      <c r="B2" s="3" t="s">
        <v>6</v>
      </c>
      <c r="C2" s="3" t="s">
        <v>7</v>
      </c>
      <c r="D2" s="3" t="s">
        <v>12</v>
      </c>
      <c r="E2" s="3" t="s">
        <v>14</v>
      </c>
      <c r="F2" s="3" t="s">
        <v>16</v>
      </c>
      <c r="G2" s="3" t="s">
        <v>184</v>
      </c>
      <c r="H2" s="3" t="s">
        <v>185</v>
      </c>
      <c r="I2" s="3" t="s">
        <v>186</v>
      </c>
      <c r="J2" s="3" t="s">
        <v>187</v>
      </c>
      <c r="K2" s="3" t="s">
        <v>188</v>
      </c>
      <c r="L2" s="3" t="s">
        <v>189</v>
      </c>
      <c r="M2" s="3" t="s">
        <v>190</v>
      </c>
      <c r="N2" s="3" t="s">
        <v>191</v>
      </c>
    </row>
    <row r="3" spans="1:14">
      <c r="A3" t="s">
        <v>25</v>
      </c>
      <c r="B3" t="s">
        <v>43</v>
      </c>
      <c r="C3">
        <f>"HENO1K"</f>
        <v>0</v>
      </c>
      <c r="D3">
        <v>840</v>
      </c>
      <c r="E3">
        <v>0</v>
      </c>
      <c r="F3" s="2">
        <v>0</v>
      </c>
      <c r="G3">
        <v>0</v>
      </c>
      <c r="H3">
        <v>3</v>
      </c>
      <c r="I3">
        <v>0.8237755324035586</v>
      </c>
      <c r="J3">
        <v>210</v>
      </c>
      <c r="K3">
        <v>210</v>
      </c>
      <c r="L3" s="2">
        <v>0</v>
      </c>
      <c r="M3">
        <v>0.04</v>
      </c>
      <c r="N3" t="s">
        <v>10235</v>
      </c>
    </row>
    <row r="4" spans="1:14">
      <c r="A4" t="s">
        <v>24</v>
      </c>
      <c r="B4" t="s">
        <v>42</v>
      </c>
      <c r="C4">
        <f>"1007257"</f>
        <v>0</v>
      </c>
      <c r="D4">
        <v>778</v>
      </c>
      <c r="E4">
        <v>151</v>
      </c>
      <c r="F4" s="2">
        <v>1</v>
      </c>
      <c r="G4">
        <v>0.78</v>
      </c>
      <c r="H4">
        <v>4</v>
      </c>
      <c r="I4">
        <v>0.7423453090393535</v>
      </c>
      <c r="J4">
        <v>194</v>
      </c>
      <c r="K4">
        <v>43</v>
      </c>
      <c r="L4" s="2">
        <v>43</v>
      </c>
      <c r="M4">
        <v>0.08</v>
      </c>
      <c r="N4" t="s">
        <v>10235</v>
      </c>
    </row>
    <row r="5" spans="1:14">
      <c r="A5" t="s">
        <v>26</v>
      </c>
      <c r="B5" t="s">
        <v>49</v>
      </c>
      <c r="C5">
        <f>"NA20KG"</f>
        <v>0</v>
      </c>
      <c r="D5">
        <v>576</v>
      </c>
      <c r="E5">
        <v>105</v>
      </c>
      <c r="F5" s="2">
        <v>0</v>
      </c>
      <c r="G5">
        <v>0.73</v>
      </c>
      <c r="H5">
        <v>4</v>
      </c>
      <c r="I5">
        <v>0.6629995230709438</v>
      </c>
      <c r="J5">
        <v>144</v>
      </c>
      <c r="K5">
        <v>39</v>
      </c>
      <c r="L5" s="2">
        <v>0</v>
      </c>
      <c r="M5">
        <v>0.12</v>
      </c>
      <c r="N5" t="s">
        <v>10235</v>
      </c>
    </row>
    <row r="6" spans="1:14">
      <c r="A6" t="s">
        <v>26</v>
      </c>
      <c r="B6" t="s">
        <v>44</v>
      </c>
      <c r="C6">
        <f>"NG10KG"</f>
        <v>0</v>
      </c>
      <c r="D6">
        <v>447</v>
      </c>
      <c r="E6">
        <v>24</v>
      </c>
      <c r="F6" s="2">
        <v>16</v>
      </c>
      <c r="G6">
        <v>0.21</v>
      </c>
      <c r="H6">
        <v>4</v>
      </c>
      <c r="I6">
        <v>0.6078567898411922</v>
      </c>
      <c r="J6">
        <v>112</v>
      </c>
      <c r="K6">
        <v>88</v>
      </c>
      <c r="L6" s="2">
        <v>1408</v>
      </c>
      <c r="M6">
        <v>0.15</v>
      </c>
      <c r="N6" t="s">
        <v>10235</v>
      </c>
    </row>
    <row r="7" spans="1:14">
      <c r="A7" t="s">
        <v>28</v>
      </c>
      <c r="B7" t="s">
        <v>58</v>
      </c>
      <c r="C7">
        <f>"EC20LA"</f>
        <v>0</v>
      </c>
      <c r="D7">
        <v>327</v>
      </c>
      <c r="E7">
        <v>42</v>
      </c>
      <c r="F7" s="2">
        <v>8</v>
      </c>
      <c r="G7">
        <v>0.51</v>
      </c>
      <c r="H7">
        <v>4</v>
      </c>
      <c r="I7">
        <v>0.4476259515011313</v>
      </c>
      <c r="J7">
        <v>82</v>
      </c>
      <c r="K7">
        <v>40</v>
      </c>
      <c r="L7" s="2">
        <v>320</v>
      </c>
      <c r="M7">
        <v>0.17</v>
      </c>
      <c r="N7" t="s">
        <v>10235</v>
      </c>
    </row>
    <row r="8" spans="1:14">
      <c r="A8" t="s">
        <v>29</v>
      </c>
      <c r="B8" t="s">
        <v>50</v>
      </c>
      <c r="C8">
        <f>"PTM"</f>
        <v>0</v>
      </c>
      <c r="D8">
        <v>310</v>
      </c>
      <c r="E8">
        <v>0</v>
      </c>
      <c r="F8" s="2">
        <v>0</v>
      </c>
      <c r="G8">
        <v>0</v>
      </c>
      <c r="H8">
        <v>3</v>
      </c>
      <c r="I8">
        <v>0.4455411474431282</v>
      </c>
      <c r="J8">
        <v>78</v>
      </c>
      <c r="K8">
        <v>78</v>
      </c>
      <c r="L8" s="2">
        <v>0</v>
      </c>
      <c r="M8">
        <v>0.2</v>
      </c>
      <c r="N8" t="s">
        <v>10235</v>
      </c>
    </row>
    <row r="9" spans="1:14">
      <c r="A9" t="s">
        <v>35</v>
      </c>
      <c r="B9" t="s">
        <v>69</v>
      </c>
      <c r="C9">
        <f>"HDDZ801UNID"</f>
        <v>0</v>
      </c>
      <c r="D9">
        <v>298</v>
      </c>
      <c r="E9">
        <v>0</v>
      </c>
      <c r="F9" s="2">
        <v>0</v>
      </c>
      <c r="G9">
        <v>0</v>
      </c>
      <c r="H9">
        <v>2</v>
      </c>
      <c r="I9">
        <v>0.4369697188717099</v>
      </c>
      <c r="J9">
        <v>74</v>
      </c>
      <c r="K9">
        <v>74</v>
      </c>
      <c r="L9" s="2">
        <v>0</v>
      </c>
      <c r="M9">
        <v>0.22</v>
      </c>
      <c r="N9" t="s">
        <v>10235</v>
      </c>
    </row>
    <row r="10" spans="1:14">
      <c r="A10" t="s">
        <v>24</v>
      </c>
      <c r="B10" t="s">
        <v>59</v>
      </c>
      <c r="C10">
        <f>"1010233"</f>
        <v>0</v>
      </c>
      <c r="D10">
        <v>265</v>
      </c>
      <c r="E10">
        <v>0</v>
      </c>
      <c r="F10" s="2">
        <v>0</v>
      </c>
      <c r="G10">
        <v>0</v>
      </c>
      <c r="H10">
        <v>3</v>
      </c>
      <c r="I10">
        <v>0.4133982903003093</v>
      </c>
      <c r="J10">
        <v>66</v>
      </c>
      <c r="K10">
        <v>66</v>
      </c>
      <c r="L10" s="2">
        <v>0</v>
      </c>
      <c r="M10">
        <v>0.24</v>
      </c>
      <c r="N10" t="s">
        <v>10235</v>
      </c>
    </row>
    <row r="11" spans="1:14">
      <c r="A11" t="s">
        <v>38</v>
      </c>
      <c r="B11" t="s">
        <v>233</v>
      </c>
      <c r="C11">
        <f>"1003690"</f>
        <v>0</v>
      </c>
      <c r="D11">
        <v>25</v>
      </c>
      <c r="E11">
        <v>2</v>
      </c>
      <c r="F11" s="2">
        <v>2</v>
      </c>
      <c r="G11">
        <v>0.32</v>
      </c>
      <c r="H11">
        <v>2</v>
      </c>
      <c r="I11">
        <v>0.4018571428229441</v>
      </c>
      <c r="J11">
        <v>6</v>
      </c>
      <c r="K11">
        <v>4</v>
      </c>
      <c r="L11" s="2">
        <v>8</v>
      </c>
      <c r="M11">
        <v>0.26</v>
      </c>
      <c r="N11" t="s">
        <v>10235</v>
      </c>
    </row>
    <row r="12" spans="1:14">
      <c r="A12" t="s">
        <v>35</v>
      </c>
      <c r="B12" t="s">
        <v>234</v>
      </c>
      <c r="C12">
        <f>"9401t"</f>
        <v>0</v>
      </c>
      <c r="D12">
        <v>1</v>
      </c>
      <c r="E12">
        <v>0</v>
      </c>
      <c r="F12" s="2">
        <v>0</v>
      </c>
      <c r="G12">
        <v>0</v>
      </c>
      <c r="H12">
        <v>1</v>
      </c>
      <c r="I12">
        <v>0.3875804114247631</v>
      </c>
      <c r="J12">
        <v>0</v>
      </c>
      <c r="K12">
        <v>0</v>
      </c>
      <c r="L12" s="2">
        <v>0</v>
      </c>
      <c r="M12">
        <v>0.28</v>
      </c>
      <c r="N12" t="s">
        <v>10236</v>
      </c>
    </row>
    <row r="13" spans="1:14">
      <c r="A13" t="s">
        <v>25</v>
      </c>
      <c r="B13" t="s">
        <v>235</v>
      </c>
      <c r="C13">
        <f>"TR057"</f>
        <v>0</v>
      </c>
      <c r="D13">
        <v>3</v>
      </c>
      <c r="E13">
        <v>0</v>
      </c>
      <c r="F13" s="2">
        <v>0</v>
      </c>
      <c r="G13">
        <v>0</v>
      </c>
      <c r="H13">
        <v>3</v>
      </c>
      <c r="I13">
        <v>0.3874116197701694</v>
      </c>
      <c r="J13">
        <v>1</v>
      </c>
      <c r="K13">
        <v>1</v>
      </c>
      <c r="L13" s="2">
        <v>0</v>
      </c>
      <c r="M13">
        <v>0.3</v>
      </c>
      <c r="N13" t="s">
        <v>10236</v>
      </c>
    </row>
    <row r="14" spans="1:14">
      <c r="A14" t="s">
        <v>24</v>
      </c>
      <c r="B14" t="s">
        <v>236</v>
      </c>
      <c r="C14">
        <f>"DPI101"</f>
        <v>0</v>
      </c>
      <c r="D14">
        <v>9</v>
      </c>
      <c r="E14">
        <v>1</v>
      </c>
      <c r="F14" s="2">
        <v>7</v>
      </c>
      <c r="G14">
        <v>0.44</v>
      </c>
      <c r="H14">
        <v>4</v>
      </c>
      <c r="I14">
        <v>0.3772844424846779</v>
      </c>
      <c r="J14">
        <v>2</v>
      </c>
      <c r="K14">
        <v>1</v>
      </c>
      <c r="L14" s="2">
        <v>7</v>
      </c>
      <c r="M14">
        <v>0.32</v>
      </c>
      <c r="N14" t="s">
        <v>10235</v>
      </c>
    </row>
    <row r="15" spans="1:14">
      <c r="A15" t="s">
        <v>35</v>
      </c>
      <c r="B15" t="s">
        <v>237</v>
      </c>
      <c r="C15">
        <f>"CS013"</f>
        <v>0</v>
      </c>
      <c r="D15">
        <v>15</v>
      </c>
      <c r="E15">
        <v>1</v>
      </c>
      <c r="F15" s="2">
        <v>2</v>
      </c>
      <c r="G15">
        <v>0.27</v>
      </c>
      <c r="H15">
        <v>3</v>
      </c>
      <c r="I15">
        <v>0.3751953539668248</v>
      </c>
      <c r="J15">
        <v>4</v>
      </c>
      <c r="K15">
        <v>3</v>
      </c>
      <c r="L15" s="2">
        <v>6</v>
      </c>
      <c r="M15">
        <v>0.34</v>
      </c>
      <c r="N15" t="s">
        <v>10235</v>
      </c>
    </row>
    <row r="16" spans="1:14">
      <c r="A16" t="s">
        <v>40</v>
      </c>
      <c r="B16" t="s">
        <v>88</v>
      </c>
      <c r="C16">
        <f>"V101144"</f>
        <v>0</v>
      </c>
      <c r="D16">
        <v>43</v>
      </c>
      <c r="E16">
        <v>0</v>
      </c>
      <c r="F16" s="2">
        <v>0</v>
      </c>
      <c r="G16">
        <v>0</v>
      </c>
      <c r="H16">
        <v>3</v>
      </c>
      <c r="I16">
        <v>0.3717893363740407</v>
      </c>
      <c r="J16">
        <v>11</v>
      </c>
      <c r="K16">
        <v>11</v>
      </c>
      <c r="L16" s="2">
        <v>0</v>
      </c>
      <c r="M16">
        <v>0.36</v>
      </c>
      <c r="N16" t="s">
        <v>10235</v>
      </c>
    </row>
    <row r="17" spans="1:14">
      <c r="A17" t="s">
        <v>35</v>
      </c>
      <c r="B17" t="s">
        <v>238</v>
      </c>
      <c r="C17">
        <f>"PP009B"</f>
        <v>0</v>
      </c>
      <c r="D17">
        <v>12</v>
      </c>
      <c r="E17">
        <v>1</v>
      </c>
      <c r="F17" s="2">
        <v>2</v>
      </c>
      <c r="G17">
        <v>0.33</v>
      </c>
      <c r="H17">
        <v>3</v>
      </c>
      <c r="I17">
        <v>0.3702516178550246</v>
      </c>
      <c r="J17">
        <v>3</v>
      </c>
      <c r="K17">
        <v>2</v>
      </c>
      <c r="L17" s="2">
        <v>4</v>
      </c>
      <c r="M17">
        <v>0.38</v>
      </c>
      <c r="N17" t="s">
        <v>10235</v>
      </c>
    </row>
    <row r="18" spans="1:14">
      <c r="A18" t="s">
        <v>26</v>
      </c>
      <c r="B18" t="s">
        <v>66</v>
      </c>
      <c r="C18">
        <f>"NC10KG"</f>
        <v>0</v>
      </c>
      <c r="D18">
        <v>244</v>
      </c>
      <c r="E18">
        <v>49</v>
      </c>
      <c r="F18" s="2">
        <v>14</v>
      </c>
      <c r="G18">
        <v>0.8</v>
      </c>
      <c r="H18">
        <v>4</v>
      </c>
      <c r="I18">
        <v>0.3665871449609105</v>
      </c>
      <c r="J18">
        <v>61</v>
      </c>
      <c r="K18">
        <v>12</v>
      </c>
      <c r="L18" s="2">
        <v>168</v>
      </c>
      <c r="M18">
        <v>0.4</v>
      </c>
      <c r="N18" t="s">
        <v>10235</v>
      </c>
    </row>
    <row r="19" spans="1:14">
      <c r="A19" t="s">
        <v>35</v>
      </c>
      <c r="B19" t="s">
        <v>239</v>
      </c>
      <c r="C19">
        <f>"12336"</f>
        <v>0</v>
      </c>
      <c r="D19">
        <v>72</v>
      </c>
      <c r="E19">
        <v>32</v>
      </c>
      <c r="F19" s="2">
        <v>1</v>
      </c>
      <c r="G19">
        <v>1.78</v>
      </c>
      <c r="H19">
        <v>4</v>
      </c>
      <c r="I19">
        <v>0.3650441900896088</v>
      </c>
      <c r="J19">
        <v>18</v>
      </c>
      <c r="K19">
        <v>0</v>
      </c>
      <c r="L19" s="2">
        <v>0</v>
      </c>
      <c r="M19">
        <v>0.42</v>
      </c>
      <c r="N19" t="s">
        <v>10235</v>
      </c>
    </row>
    <row r="20" spans="1:14">
      <c r="A20" t="s">
        <v>35</v>
      </c>
      <c r="B20" t="s">
        <v>240</v>
      </c>
      <c r="C20">
        <f>"CK1021"</f>
        <v>0</v>
      </c>
      <c r="D20">
        <v>39</v>
      </c>
      <c r="E20">
        <v>15</v>
      </c>
      <c r="F20" s="2">
        <v>1</v>
      </c>
      <c r="G20">
        <v>1.54</v>
      </c>
      <c r="H20">
        <v>4</v>
      </c>
      <c r="I20">
        <v>0.3645457838305698</v>
      </c>
      <c r="J20">
        <v>10</v>
      </c>
      <c r="K20">
        <v>0</v>
      </c>
      <c r="L20" s="2">
        <v>0</v>
      </c>
      <c r="M20">
        <v>0.44</v>
      </c>
      <c r="N20" t="s">
        <v>10235</v>
      </c>
    </row>
    <row r="21" spans="1:14">
      <c r="A21" t="s">
        <v>35</v>
      </c>
      <c r="B21" t="s">
        <v>241</v>
      </c>
      <c r="C21">
        <f>"2513"</f>
        <v>0</v>
      </c>
      <c r="D21">
        <v>2</v>
      </c>
      <c r="E21">
        <v>0</v>
      </c>
      <c r="F21" s="2">
        <v>0</v>
      </c>
      <c r="G21">
        <v>0</v>
      </c>
      <c r="H21">
        <v>2</v>
      </c>
      <c r="I21">
        <v>0.3627368878084321</v>
      </c>
      <c r="J21">
        <v>0</v>
      </c>
      <c r="K21">
        <v>0</v>
      </c>
      <c r="L21" s="2">
        <v>0</v>
      </c>
      <c r="M21">
        <v>0.46</v>
      </c>
      <c r="N21" t="s">
        <v>10236</v>
      </c>
    </row>
    <row r="22" spans="1:14">
      <c r="A22" t="s">
        <v>37</v>
      </c>
      <c r="B22" t="s">
        <v>242</v>
      </c>
      <c r="C22">
        <f>"576020"</f>
        <v>0</v>
      </c>
      <c r="D22">
        <v>5</v>
      </c>
      <c r="E22">
        <v>0</v>
      </c>
      <c r="F22" s="2">
        <v>0</v>
      </c>
      <c r="G22">
        <v>0</v>
      </c>
      <c r="H22">
        <v>4</v>
      </c>
      <c r="I22">
        <v>0.3597326861277599</v>
      </c>
      <c r="J22">
        <v>1</v>
      </c>
      <c r="K22">
        <v>1</v>
      </c>
      <c r="L22" s="2">
        <v>0</v>
      </c>
      <c r="M22">
        <v>0.48</v>
      </c>
      <c r="N22" t="s">
        <v>10235</v>
      </c>
    </row>
    <row r="23" spans="1:14">
      <c r="A23" t="s">
        <v>27</v>
      </c>
      <c r="B23" t="s">
        <v>45</v>
      </c>
      <c r="C23">
        <f>"V100970"</f>
        <v>0</v>
      </c>
      <c r="D23">
        <v>186</v>
      </c>
      <c r="E23">
        <v>1</v>
      </c>
      <c r="F23" s="2">
        <v>2</v>
      </c>
      <c r="G23">
        <v>0.02</v>
      </c>
      <c r="H23">
        <v>4</v>
      </c>
      <c r="I23">
        <v>0.357896300968454</v>
      </c>
      <c r="J23">
        <v>46</v>
      </c>
      <c r="K23">
        <v>45</v>
      </c>
      <c r="L23" s="2">
        <v>90</v>
      </c>
      <c r="M23">
        <v>0.5</v>
      </c>
      <c r="N23" t="s">
        <v>10235</v>
      </c>
    </row>
    <row r="24" spans="1:14">
      <c r="A24" t="s">
        <v>28</v>
      </c>
      <c r="B24" t="s">
        <v>46</v>
      </c>
      <c r="C24">
        <f>"EC20OR"</f>
        <v>0</v>
      </c>
      <c r="D24">
        <v>159</v>
      </c>
      <c r="E24">
        <v>2</v>
      </c>
      <c r="F24" s="2">
        <v>8</v>
      </c>
      <c r="G24">
        <v>0.05</v>
      </c>
      <c r="H24">
        <v>4</v>
      </c>
      <c r="I24">
        <v>0.3569696251315656</v>
      </c>
      <c r="J24">
        <v>40</v>
      </c>
      <c r="K24">
        <v>38</v>
      </c>
      <c r="L24" s="2">
        <v>304</v>
      </c>
      <c r="M24">
        <v>0.52</v>
      </c>
      <c r="N24" t="s">
        <v>10235</v>
      </c>
    </row>
    <row r="25" spans="1:14">
      <c r="A25" t="s">
        <v>35</v>
      </c>
      <c r="B25" t="s">
        <v>243</v>
      </c>
      <c r="C25">
        <f>"BRI151"</f>
        <v>0</v>
      </c>
      <c r="D25">
        <v>7</v>
      </c>
      <c r="E25">
        <v>0</v>
      </c>
      <c r="F25" s="2">
        <v>0</v>
      </c>
      <c r="G25">
        <v>0</v>
      </c>
      <c r="H25">
        <v>3</v>
      </c>
      <c r="I25">
        <v>0.3565466530938573</v>
      </c>
      <c r="J25">
        <v>2</v>
      </c>
      <c r="K25">
        <v>2</v>
      </c>
      <c r="L25" s="2">
        <v>0</v>
      </c>
      <c r="M25">
        <v>0.54</v>
      </c>
      <c r="N25" t="s">
        <v>10235</v>
      </c>
    </row>
    <row r="26" spans="1:14">
      <c r="A26" t="s">
        <v>35</v>
      </c>
      <c r="B26" t="s">
        <v>244</v>
      </c>
      <c r="C26">
        <f>"69711"</f>
        <v>0</v>
      </c>
      <c r="D26">
        <v>19</v>
      </c>
      <c r="E26">
        <v>6</v>
      </c>
      <c r="F26" s="2">
        <v>1</v>
      </c>
      <c r="G26">
        <v>1.26</v>
      </c>
      <c r="H26">
        <v>4</v>
      </c>
      <c r="I26">
        <v>0.3562945523034901</v>
      </c>
      <c r="J26">
        <v>5</v>
      </c>
      <c r="K26">
        <v>0</v>
      </c>
      <c r="L26" s="2">
        <v>0</v>
      </c>
      <c r="M26">
        <v>0.5600000000000001</v>
      </c>
      <c r="N26" t="s">
        <v>10235</v>
      </c>
    </row>
    <row r="27" spans="1:14">
      <c r="A27" t="s">
        <v>192</v>
      </c>
      <c r="B27" t="s">
        <v>245</v>
      </c>
      <c r="C27">
        <f>"HD9014"</f>
        <v>0</v>
      </c>
      <c r="D27">
        <v>21</v>
      </c>
      <c r="E27">
        <v>5</v>
      </c>
      <c r="F27" s="2">
        <v>1</v>
      </c>
      <c r="G27">
        <v>0.95</v>
      </c>
      <c r="H27">
        <v>4</v>
      </c>
      <c r="I27">
        <v>0.3530046846299047</v>
      </c>
      <c r="J27">
        <v>5</v>
      </c>
      <c r="K27">
        <v>0</v>
      </c>
      <c r="L27" s="2">
        <v>0</v>
      </c>
      <c r="M27">
        <v>0.57</v>
      </c>
      <c r="N27" t="s">
        <v>10235</v>
      </c>
    </row>
    <row r="28" spans="1:14">
      <c r="A28" t="s">
        <v>193</v>
      </c>
      <c r="B28" t="s">
        <v>246</v>
      </c>
      <c r="C28">
        <f>"826020"</f>
        <v>0</v>
      </c>
      <c r="D28">
        <v>15</v>
      </c>
      <c r="E28">
        <v>21</v>
      </c>
      <c r="F28" s="2">
        <v>2</v>
      </c>
      <c r="G28">
        <v>5.6</v>
      </c>
      <c r="H28">
        <v>4</v>
      </c>
      <c r="I28">
        <v>0.3511301072151145</v>
      </c>
      <c r="J28">
        <v>4</v>
      </c>
      <c r="K28">
        <v>0</v>
      </c>
      <c r="L28" s="2">
        <v>0</v>
      </c>
      <c r="M28">
        <v>0.59</v>
      </c>
      <c r="N28" t="s">
        <v>10235</v>
      </c>
    </row>
    <row r="29" spans="1:14">
      <c r="A29" t="s">
        <v>28</v>
      </c>
      <c r="B29" t="s">
        <v>47</v>
      </c>
      <c r="C29">
        <f>"EC20BB"</f>
        <v>0</v>
      </c>
      <c r="D29">
        <v>145</v>
      </c>
      <c r="E29">
        <v>0</v>
      </c>
      <c r="F29" s="2">
        <v>0</v>
      </c>
      <c r="G29">
        <v>0</v>
      </c>
      <c r="H29">
        <v>4</v>
      </c>
      <c r="I29">
        <v>0.3473581932270893</v>
      </c>
      <c r="J29">
        <v>36</v>
      </c>
      <c r="K29">
        <v>36</v>
      </c>
      <c r="L29" s="2">
        <v>0</v>
      </c>
      <c r="M29">
        <v>0.61</v>
      </c>
      <c r="N29" t="s">
        <v>10235</v>
      </c>
    </row>
    <row r="30" spans="1:14">
      <c r="A30" t="s">
        <v>35</v>
      </c>
      <c r="B30" t="s">
        <v>247</v>
      </c>
      <c r="C30">
        <f>"BP2060ROJ"</f>
        <v>0</v>
      </c>
      <c r="D30">
        <v>4</v>
      </c>
      <c r="E30">
        <v>1</v>
      </c>
      <c r="F30" s="2">
        <v>3</v>
      </c>
      <c r="G30">
        <v>1</v>
      </c>
      <c r="H30">
        <v>2</v>
      </c>
      <c r="I30">
        <v>0.3471776296723806</v>
      </c>
      <c r="J30">
        <v>1</v>
      </c>
      <c r="K30">
        <v>0</v>
      </c>
      <c r="L30" s="2">
        <v>0</v>
      </c>
      <c r="M30">
        <v>0.63</v>
      </c>
      <c r="N30" t="s">
        <v>10236</v>
      </c>
    </row>
    <row r="31" spans="1:14">
      <c r="A31" t="s">
        <v>30</v>
      </c>
      <c r="B31" t="s">
        <v>54</v>
      </c>
      <c r="C31">
        <f>"100146"</f>
        <v>0</v>
      </c>
      <c r="D31">
        <v>128</v>
      </c>
      <c r="E31">
        <v>2</v>
      </c>
      <c r="F31" s="2">
        <v>46</v>
      </c>
      <c r="G31">
        <v>0.06</v>
      </c>
      <c r="H31">
        <v>4</v>
      </c>
      <c r="I31">
        <v>0.3458344030244844</v>
      </c>
      <c r="J31">
        <v>32</v>
      </c>
      <c r="K31">
        <v>30</v>
      </c>
      <c r="L31" s="2">
        <v>1380</v>
      </c>
      <c r="M31">
        <v>0.65</v>
      </c>
      <c r="N31" t="s">
        <v>10235</v>
      </c>
    </row>
    <row r="32" spans="1:14">
      <c r="A32" t="s">
        <v>35</v>
      </c>
      <c r="B32" t="s">
        <v>248</v>
      </c>
      <c r="C32">
        <f>"HDD016B"</f>
        <v>0</v>
      </c>
      <c r="D32">
        <v>1</v>
      </c>
      <c r="E32">
        <v>0</v>
      </c>
      <c r="F32" s="2">
        <v>0</v>
      </c>
      <c r="G32">
        <v>0</v>
      </c>
      <c r="H32">
        <v>1</v>
      </c>
      <c r="I32">
        <v>0.3453390321144397</v>
      </c>
      <c r="J32">
        <v>0</v>
      </c>
      <c r="K32">
        <v>0</v>
      </c>
      <c r="L32" s="2">
        <v>0</v>
      </c>
      <c r="M32">
        <v>0.67</v>
      </c>
      <c r="N32" t="s">
        <v>10236</v>
      </c>
    </row>
    <row r="33" spans="1:14">
      <c r="A33" t="s">
        <v>35</v>
      </c>
      <c r="B33" t="s">
        <v>249</v>
      </c>
      <c r="C33">
        <f>"D060M"</f>
        <v>0</v>
      </c>
      <c r="D33">
        <v>1</v>
      </c>
      <c r="E33">
        <v>3</v>
      </c>
      <c r="F33" s="2">
        <v>2</v>
      </c>
      <c r="G33">
        <v>12</v>
      </c>
      <c r="H33">
        <v>1</v>
      </c>
      <c r="I33">
        <v>0.3432599246593444</v>
      </c>
      <c r="J33">
        <v>0</v>
      </c>
      <c r="K33">
        <v>0</v>
      </c>
      <c r="L33" s="2">
        <v>0</v>
      </c>
      <c r="M33">
        <v>0.68</v>
      </c>
      <c r="N33" t="s">
        <v>10236</v>
      </c>
    </row>
    <row r="34" spans="1:14">
      <c r="A34" t="s">
        <v>35</v>
      </c>
      <c r="B34" t="s">
        <v>250</v>
      </c>
      <c r="C34">
        <f>"JN003"</f>
        <v>0</v>
      </c>
      <c r="D34">
        <v>24</v>
      </c>
      <c r="E34">
        <v>6</v>
      </c>
      <c r="F34" s="2">
        <v>1</v>
      </c>
      <c r="G34">
        <v>1</v>
      </c>
      <c r="H34">
        <v>4</v>
      </c>
      <c r="I34">
        <v>0.3431824108952069</v>
      </c>
      <c r="J34">
        <v>6</v>
      </c>
      <c r="K34">
        <v>0</v>
      </c>
      <c r="L34" s="2">
        <v>0</v>
      </c>
      <c r="M34">
        <v>0.7</v>
      </c>
      <c r="N34" t="s">
        <v>10235</v>
      </c>
    </row>
    <row r="35" spans="1:14">
      <c r="A35" t="s">
        <v>35</v>
      </c>
      <c r="B35" t="s">
        <v>251</v>
      </c>
      <c r="C35">
        <f>"VM002"</f>
        <v>0</v>
      </c>
      <c r="D35">
        <v>5</v>
      </c>
      <c r="E35">
        <v>0</v>
      </c>
      <c r="F35" s="2">
        <v>0</v>
      </c>
      <c r="G35">
        <v>0</v>
      </c>
      <c r="H35">
        <v>4</v>
      </c>
      <c r="I35">
        <v>0.3430491161480524</v>
      </c>
      <c r="J35">
        <v>1</v>
      </c>
      <c r="K35">
        <v>1</v>
      </c>
      <c r="L35" s="2">
        <v>0</v>
      </c>
      <c r="M35">
        <v>0.72</v>
      </c>
      <c r="N35" t="s">
        <v>10235</v>
      </c>
    </row>
    <row r="36" spans="1:14">
      <c r="A36" t="s">
        <v>35</v>
      </c>
      <c r="B36" t="s">
        <v>252</v>
      </c>
      <c r="C36">
        <f>"CK1003"</f>
        <v>0</v>
      </c>
      <c r="D36">
        <v>119</v>
      </c>
      <c r="E36">
        <v>48</v>
      </c>
      <c r="F36" s="2">
        <v>1</v>
      </c>
      <c r="G36">
        <v>1.61</v>
      </c>
      <c r="H36">
        <v>4</v>
      </c>
      <c r="I36">
        <v>0.3404006085190391</v>
      </c>
      <c r="J36">
        <v>30</v>
      </c>
      <c r="K36">
        <v>0</v>
      </c>
      <c r="L36" s="2">
        <v>0</v>
      </c>
      <c r="M36">
        <v>0.74</v>
      </c>
      <c r="N36" t="s">
        <v>10235</v>
      </c>
    </row>
    <row r="37" spans="1:14">
      <c r="A37" t="s">
        <v>35</v>
      </c>
      <c r="B37" t="s">
        <v>253</v>
      </c>
      <c r="C37">
        <f>"10820"</f>
        <v>0</v>
      </c>
      <c r="D37">
        <v>3</v>
      </c>
      <c r="E37">
        <v>0</v>
      </c>
      <c r="F37" s="2">
        <v>0</v>
      </c>
      <c r="G37">
        <v>0</v>
      </c>
      <c r="H37">
        <v>1</v>
      </c>
      <c r="I37">
        <v>0.3402006664233373</v>
      </c>
      <c r="J37">
        <v>1</v>
      </c>
      <c r="K37">
        <v>1</v>
      </c>
      <c r="L37" s="2">
        <v>0</v>
      </c>
      <c r="M37">
        <v>0.76</v>
      </c>
      <c r="N37" t="s">
        <v>10236</v>
      </c>
    </row>
    <row r="38" spans="1:14">
      <c r="A38" t="s">
        <v>29</v>
      </c>
      <c r="B38" t="s">
        <v>254</v>
      </c>
      <c r="C38">
        <f>"AA022"</f>
        <v>0</v>
      </c>
      <c r="D38">
        <v>22</v>
      </c>
      <c r="E38">
        <v>178</v>
      </c>
      <c r="F38" s="2">
        <v>0</v>
      </c>
      <c r="G38">
        <v>32.36</v>
      </c>
      <c r="H38">
        <v>1</v>
      </c>
      <c r="I38">
        <v>0.3398015068094373</v>
      </c>
      <c r="J38">
        <v>6</v>
      </c>
      <c r="K38">
        <v>0</v>
      </c>
      <c r="L38" s="2">
        <v>0</v>
      </c>
      <c r="M38">
        <v>0.77</v>
      </c>
      <c r="N38" t="s">
        <v>10236</v>
      </c>
    </row>
    <row r="39" spans="1:14">
      <c r="A39" t="s">
        <v>28</v>
      </c>
      <c r="B39" t="s">
        <v>48</v>
      </c>
      <c r="C39">
        <f>"ECAL24KG"</f>
        <v>0</v>
      </c>
      <c r="D39">
        <v>125</v>
      </c>
      <c r="E39">
        <v>0</v>
      </c>
      <c r="F39" s="2">
        <v>0</v>
      </c>
      <c r="G39">
        <v>0</v>
      </c>
      <c r="H39">
        <v>4</v>
      </c>
      <c r="I39">
        <v>0.3373005215377388</v>
      </c>
      <c r="J39">
        <v>31</v>
      </c>
      <c r="K39">
        <v>31</v>
      </c>
      <c r="L39" s="2">
        <v>0</v>
      </c>
      <c r="M39">
        <v>0.79</v>
      </c>
      <c r="N39" t="s">
        <v>10235</v>
      </c>
    </row>
    <row r="40" spans="1:14">
      <c r="A40" t="s">
        <v>39</v>
      </c>
      <c r="B40" t="s">
        <v>255</v>
      </c>
      <c r="C40">
        <f>"VALIM02045"</f>
        <v>0</v>
      </c>
      <c r="D40">
        <v>7</v>
      </c>
      <c r="E40">
        <v>3</v>
      </c>
      <c r="F40" s="2">
        <v>20</v>
      </c>
      <c r="G40">
        <v>1.71</v>
      </c>
      <c r="H40">
        <v>2</v>
      </c>
      <c r="I40">
        <v>0.337251521298</v>
      </c>
      <c r="J40">
        <v>2</v>
      </c>
      <c r="K40">
        <v>0</v>
      </c>
      <c r="L40" s="2">
        <v>0</v>
      </c>
      <c r="M40">
        <v>0.8100000000000001</v>
      </c>
      <c r="N40" t="s">
        <v>10235</v>
      </c>
    </row>
    <row r="41" spans="1:14">
      <c r="A41" t="s">
        <v>36</v>
      </c>
      <c r="B41" t="s">
        <v>256</v>
      </c>
      <c r="C41">
        <f>"87032353"</f>
        <v>0</v>
      </c>
      <c r="D41">
        <v>182</v>
      </c>
      <c r="E41">
        <v>104</v>
      </c>
      <c r="F41" s="2">
        <v>0</v>
      </c>
      <c r="G41">
        <v>2.29</v>
      </c>
      <c r="H41">
        <v>4</v>
      </c>
      <c r="I41">
        <v>0.3371719574033913</v>
      </c>
      <c r="J41">
        <v>46</v>
      </c>
      <c r="K41">
        <v>0</v>
      </c>
      <c r="L41" s="2">
        <v>0</v>
      </c>
      <c r="M41">
        <v>0.83</v>
      </c>
      <c r="N41" t="s">
        <v>10235</v>
      </c>
    </row>
    <row r="42" spans="1:14">
      <c r="A42" t="s">
        <v>35</v>
      </c>
      <c r="B42" t="s">
        <v>257</v>
      </c>
      <c r="C42">
        <f>"KX1091"</f>
        <v>0</v>
      </c>
      <c r="D42">
        <v>156</v>
      </c>
      <c r="E42">
        <v>0</v>
      </c>
      <c r="F42" s="2">
        <v>0</v>
      </c>
      <c r="G42">
        <v>0</v>
      </c>
      <c r="H42">
        <v>3</v>
      </c>
      <c r="I42">
        <v>0.3355411474432592</v>
      </c>
      <c r="J42">
        <v>39</v>
      </c>
      <c r="K42">
        <v>39</v>
      </c>
      <c r="L42" s="2">
        <v>0</v>
      </c>
      <c r="M42">
        <v>0.85</v>
      </c>
      <c r="N42" t="s">
        <v>10235</v>
      </c>
    </row>
    <row r="43" spans="1:14">
      <c r="A43" t="s">
        <v>32</v>
      </c>
      <c r="B43" t="s">
        <v>57</v>
      </c>
      <c r="C43">
        <f>"AZM00301"</f>
        <v>0</v>
      </c>
      <c r="D43">
        <v>199</v>
      </c>
      <c r="E43">
        <v>31</v>
      </c>
      <c r="F43" s="2">
        <v>2</v>
      </c>
      <c r="G43">
        <v>0.62</v>
      </c>
      <c r="H43">
        <v>4</v>
      </c>
      <c r="I43">
        <v>0.3346444058154902</v>
      </c>
      <c r="J43">
        <v>50</v>
      </c>
      <c r="K43">
        <v>19</v>
      </c>
      <c r="L43" s="2">
        <v>38</v>
      </c>
      <c r="M43">
        <v>0.86</v>
      </c>
      <c r="N43" t="s">
        <v>10235</v>
      </c>
    </row>
    <row r="44" spans="1:14">
      <c r="A44" t="s">
        <v>29</v>
      </c>
      <c r="B44" t="s">
        <v>258</v>
      </c>
      <c r="C44">
        <f>"60334"</f>
        <v>0</v>
      </c>
      <c r="D44">
        <v>1</v>
      </c>
      <c r="E44">
        <v>1</v>
      </c>
      <c r="F44" s="2">
        <v>4</v>
      </c>
      <c r="G44">
        <v>4</v>
      </c>
      <c r="H44">
        <v>1</v>
      </c>
      <c r="I44">
        <v>0.3343856853084362</v>
      </c>
      <c r="J44">
        <v>0</v>
      </c>
      <c r="K44">
        <v>0</v>
      </c>
      <c r="L44" s="2">
        <v>0</v>
      </c>
      <c r="M44">
        <v>0.88</v>
      </c>
      <c r="N44" t="s">
        <v>10236</v>
      </c>
    </row>
    <row r="45" spans="1:14">
      <c r="A45" t="s">
        <v>35</v>
      </c>
      <c r="B45" t="s">
        <v>259</v>
      </c>
      <c r="C45">
        <f>"CK1033"</f>
        <v>0</v>
      </c>
      <c r="D45">
        <v>21</v>
      </c>
      <c r="E45">
        <v>10</v>
      </c>
      <c r="F45" s="2">
        <v>1</v>
      </c>
      <c r="G45">
        <v>1.9</v>
      </c>
      <c r="H45">
        <v>4</v>
      </c>
      <c r="I45">
        <v>0.334295131845662</v>
      </c>
      <c r="J45">
        <v>5</v>
      </c>
      <c r="K45">
        <v>0</v>
      </c>
      <c r="L45" s="2">
        <v>0</v>
      </c>
      <c r="M45">
        <v>0.9</v>
      </c>
      <c r="N45" t="s">
        <v>10235</v>
      </c>
    </row>
    <row r="46" spans="1:14">
      <c r="A46" t="s">
        <v>25</v>
      </c>
      <c r="B46" t="s">
        <v>260</v>
      </c>
      <c r="C46">
        <f>"11AAZ"</f>
        <v>0</v>
      </c>
      <c r="D46">
        <v>2</v>
      </c>
      <c r="E46">
        <v>0</v>
      </c>
      <c r="F46" s="2">
        <v>0</v>
      </c>
      <c r="G46">
        <v>0</v>
      </c>
      <c r="H46">
        <v>2</v>
      </c>
      <c r="I46">
        <v>0.3320320196542895</v>
      </c>
      <c r="J46">
        <v>0</v>
      </c>
      <c r="K46">
        <v>0</v>
      </c>
      <c r="L46" s="2">
        <v>0</v>
      </c>
      <c r="M46">
        <v>0.92</v>
      </c>
      <c r="N46" t="s">
        <v>10236</v>
      </c>
    </row>
    <row r="47" spans="1:14">
      <c r="A47" t="s">
        <v>27</v>
      </c>
      <c r="B47" t="s">
        <v>261</v>
      </c>
      <c r="C47">
        <f>"USA609"</f>
        <v>0</v>
      </c>
      <c r="D47">
        <v>5</v>
      </c>
      <c r="E47">
        <v>2</v>
      </c>
      <c r="F47" s="2">
        <v>1</v>
      </c>
      <c r="G47">
        <v>1.6</v>
      </c>
      <c r="H47">
        <v>3</v>
      </c>
      <c r="I47">
        <v>0.3319182845550306</v>
      </c>
      <c r="J47">
        <v>1</v>
      </c>
      <c r="K47">
        <v>0</v>
      </c>
      <c r="L47" s="2">
        <v>0</v>
      </c>
      <c r="M47">
        <v>0.93</v>
      </c>
      <c r="N47" t="s">
        <v>10235</v>
      </c>
    </row>
    <row r="48" spans="1:14">
      <c r="A48" t="s">
        <v>28</v>
      </c>
      <c r="B48" t="s">
        <v>51</v>
      </c>
      <c r="C48">
        <f>"ECLA24KG"</f>
        <v>0</v>
      </c>
      <c r="D48">
        <v>121</v>
      </c>
      <c r="E48">
        <v>0</v>
      </c>
      <c r="F48" s="2">
        <v>0</v>
      </c>
      <c r="G48">
        <v>0</v>
      </c>
      <c r="H48">
        <v>4</v>
      </c>
      <c r="I48">
        <v>0.3303571464290801</v>
      </c>
      <c r="J48">
        <v>30</v>
      </c>
      <c r="K48">
        <v>30</v>
      </c>
      <c r="L48" s="2">
        <v>0</v>
      </c>
      <c r="M48">
        <v>0.95</v>
      </c>
      <c r="N48" t="s">
        <v>10235</v>
      </c>
    </row>
    <row r="49" spans="1:14">
      <c r="A49" t="s">
        <v>194</v>
      </c>
      <c r="B49" t="s">
        <v>262</v>
      </c>
      <c r="C49">
        <f>"2400100"</f>
        <v>0</v>
      </c>
      <c r="D49">
        <v>5</v>
      </c>
      <c r="E49">
        <v>8</v>
      </c>
      <c r="F49" s="2">
        <v>8</v>
      </c>
      <c r="G49">
        <v>6.4</v>
      </c>
      <c r="H49">
        <v>2</v>
      </c>
      <c r="I49">
        <v>0.3294334975367763</v>
      </c>
      <c r="J49">
        <v>1</v>
      </c>
      <c r="K49">
        <v>0</v>
      </c>
      <c r="L49" s="2">
        <v>0</v>
      </c>
      <c r="M49">
        <v>0.97</v>
      </c>
      <c r="N49" t="s">
        <v>10235</v>
      </c>
    </row>
    <row r="50" spans="1:14">
      <c r="A50" t="s">
        <v>35</v>
      </c>
      <c r="B50" t="s">
        <v>263</v>
      </c>
      <c r="C50">
        <f>"SDR232"</f>
        <v>0</v>
      </c>
      <c r="D50">
        <v>2</v>
      </c>
      <c r="E50">
        <v>0</v>
      </c>
      <c r="F50" s="2">
        <v>0</v>
      </c>
      <c r="G50">
        <v>0</v>
      </c>
      <c r="H50">
        <v>2</v>
      </c>
      <c r="I50">
        <v>0.329369747849017</v>
      </c>
      <c r="J50">
        <v>0</v>
      </c>
      <c r="K50">
        <v>0</v>
      </c>
      <c r="L50" s="2">
        <v>0</v>
      </c>
      <c r="M50">
        <v>0.99</v>
      </c>
      <c r="N50" t="s">
        <v>10236</v>
      </c>
    </row>
    <row r="51" spans="1:14">
      <c r="A51" t="s">
        <v>25</v>
      </c>
      <c r="B51" t="s">
        <v>264</v>
      </c>
      <c r="C51">
        <f>"53131"</f>
        <v>0</v>
      </c>
      <c r="D51">
        <v>12</v>
      </c>
      <c r="E51">
        <v>5</v>
      </c>
      <c r="F51" s="2">
        <v>3</v>
      </c>
      <c r="G51">
        <v>1.67</v>
      </c>
      <c r="H51">
        <v>3</v>
      </c>
      <c r="I51">
        <v>0.32768907563008</v>
      </c>
      <c r="J51">
        <v>3</v>
      </c>
      <c r="K51">
        <v>0</v>
      </c>
      <c r="L51" s="2">
        <v>0</v>
      </c>
      <c r="M51">
        <v>1</v>
      </c>
      <c r="N51" t="s">
        <v>10235</v>
      </c>
    </row>
    <row r="52" spans="1:14">
      <c r="A52" t="s">
        <v>35</v>
      </c>
      <c r="B52" t="s">
        <v>265</v>
      </c>
      <c r="C52">
        <f>"HDDZ811UNID"</f>
        <v>0</v>
      </c>
      <c r="D52">
        <v>143</v>
      </c>
      <c r="E52">
        <v>0</v>
      </c>
      <c r="F52" s="2">
        <v>0</v>
      </c>
      <c r="G52">
        <v>0</v>
      </c>
      <c r="H52">
        <v>2</v>
      </c>
      <c r="I52">
        <v>0.326255433157556</v>
      </c>
      <c r="J52">
        <v>36</v>
      </c>
      <c r="K52">
        <v>36</v>
      </c>
      <c r="L52" s="2">
        <v>0</v>
      </c>
      <c r="M52">
        <v>1.02</v>
      </c>
      <c r="N52" t="s">
        <v>10235</v>
      </c>
    </row>
    <row r="53" spans="1:14">
      <c r="A53" t="s">
        <v>27</v>
      </c>
      <c r="B53" t="s">
        <v>266</v>
      </c>
      <c r="C53">
        <f>"USA721"</f>
        <v>0</v>
      </c>
      <c r="D53">
        <v>21</v>
      </c>
      <c r="E53">
        <v>0</v>
      </c>
      <c r="F53" s="2">
        <v>0</v>
      </c>
      <c r="G53">
        <v>0</v>
      </c>
      <c r="H53">
        <v>3</v>
      </c>
      <c r="I53">
        <v>0.325370182505631</v>
      </c>
      <c r="J53">
        <v>5</v>
      </c>
      <c r="K53">
        <v>5</v>
      </c>
      <c r="L53" s="2">
        <v>0</v>
      </c>
      <c r="M53">
        <v>1.04</v>
      </c>
      <c r="N53" t="s">
        <v>10235</v>
      </c>
    </row>
    <row r="54" spans="1:14">
      <c r="A54" t="s">
        <v>24</v>
      </c>
      <c r="B54" t="s">
        <v>267</v>
      </c>
      <c r="C54">
        <f>"1112442"</f>
        <v>0</v>
      </c>
      <c r="D54">
        <v>38</v>
      </c>
      <c r="E54">
        <v>25</v>
      </c>
      <c r="F54" s="2">
        <v>1</v>
      </c>
      <c r="G54">
        <v>2.63</v>
      </c>
      <c r="H54">
        <v>4</v>
      </c>
      <c r="I54">
        <v>0.3249623297593066</v>
      </c>
      <c r="J54">
        <v>10</v>
      </c>
      <c r="K54">
        <v>0</v>
      </c>
      <c r="L54" s="2">
        <v>0</v>
      </c>
      <c r="M54">
        <v>1.06</v>
      </c>
      <c r="N54" t="s">
        <v>10235</v>
      </c>
    </row>
    <row r="55" spans="1:14">
      <c r="A55" t="s">
        <v>27</v>
      </c>
      <c r="B55" t="s">
        <v>268</v>
      </c>
      <c r="C55">
        <f>"USA723"</f>
        <v>0</v>
      </c>
      <c r="D55">
        <v>15</v>
      </c>
      <c r="E55">
        <v>3</v>
      </c>
      <c r="F55" s="2">
        <v>1</v>
      </c>
      <c r="G55">
        <v>0.8</v>
      </c>
      <c r="H55">
        <v>2</v>
      </c>
      <c r="I55">
        <v>0.3245682410793724</v>
      </c>
      <c r="J55">
        <v>4</v>
      </c>
      <c r="K55">
        <v>1</v>
      </c>
      <c r="L55" s="2">
        <v>1</v>
      </c>
      <c r="M55">
        <v>1.07</v>
      </c>
      <c r="N55" t="s">
        <v>10235</v>
      </c>
    </row>
    <row r="56" spans="1:14">
      <c r="A56" t="s">
        <v>35</v>
      </c>
      <c r="B56" t="s">
        <v>269</v>
      </c>
      <c r="C56">
        <f>"KL04"</f>
        <v>0</v>
      </c>
      <c r="D56">
        <v>4</v>
      </c>
      <c r="E56">
        <v>69</v>
      </c>
      <c r="F56" s="2">
        <v>3</v>
      </c>
      <c r="G56">
        <v>69</v>
      </c>
      <c r="H56">
        <v>2</v>
      </c>
      <c r="I56">
        <v>0.3244595769340555</v>
      </c>
      <c r="J56">
        <v>1</v>
      </c>
      <c r="K56">
        <v>0</v>
      </c>
      <c r="L56" s="2">
        <v>0</v>
      </c>
      <c r="M56">
        <v>1.09</v>
      </c>
      <c r="N56" t="s">
        <v>10236</v>
      </c>
    </row>
    <row r="57" spans="1:14">
      <c r="A57" t="s">
        <v>35</v>
      </c>
      <c r="B57" t="s">
        <v>270</v>
      </c>
      <c r="C57">
        <f>"HDD174CE"</f>
        <v>0</v>
      </c>
      <c r="D57">
        <v>6</v>
      </c>
      <c r="E57">
        <v>3</v>
      </c>
      <c r="F57" s="2">
        <v>0</v>
      </c>
      <c r="G57">
        <v>2</v>
      </c>
      <c r="H57">
        <v>3</v>
      </c>
      <c r="I57">
        <v>0.3228709069833164</v>
      </c>
      <c r="J57">
        <v>2</v>
      </c>
      <c r="K57">
        <v>0</v>
      </c>
      <c r="L57" s="2">
        <v>0</v>
      </c>
      <c r="M57">
        <v>1.11</v>
      </c>
      <c r="N57" t="s">
        <v>10235</v>
      </c>
    </row>
    <row r="58" spans="1:14">
      <c r="A58" t="s">
        <v>40</v>
      </c>
      <c r="B58" t="s">
        <v>271</v>
      </c>
      <c r="C58">
        <f>"V100557"</f>
        <v>0</v>
      </c>
      <c r="D58">
        <v>51</v>
      </c>
      <c r="E58">
        <v>0</v>
      </c>
      <c r="F58" s="2">
        <v>0</v>
      </c>
      <c r="G58">
        <v>0</v>
      </c>
      <c r="H58">
        <v>4</v>
      </c>
      <c r="I58">
        <v>0.3226608228997064</v>
      </c>
      <c r="J58">
        <v>13</v>
      </c>
      <c r="K58">
        <v>13</v>
      </c>
      <c r="L58" s="2">
        <v>0</v>
      </c>
      <c r="M58">
        <v>1.12</v>
      </c>
      <c r="N58" t="s">
        <v>10235</v>
      </c>
    </row>
    <row r="59" spans="1:14">
      <c r="A59" t="s">
        <v>35</v>
      </c>
      <c r="B59" t="s">
        <v>272</v>
      </c>
      <c r="C59">
        <f>"PR04"</f>
        <v>0</v>
      </c>
      <c r="D59">
        <v>3</v>
      </c>
      <c r="E59">
        <v>0</v>
      </c>
      <c r="F59" s="2">
        <v>0</v>
      </c>
      <c r="G59">
        <v>0</v>
      </c>
      <c r="H59">
        <v>3</v>
      </c>
      <c r="I59">
        <v>0.3217422485734481</v>
      </c>
      <c r="J59">
        <v>1</v>
      </c>
      <c r="K59">
        <v>1</v>
      </c>
      <c r="L59" s="2">
        <v>0</v>
      </c>
      <c r="M59">
        <v>1.14</v>
      </c>
      <c r="N59" t="s">
        <v>10236</v>
      </c>
    </row>
    <row r="60" spans="1:14">
      <c r="A60" t="s">
        <v>25</v>
      </c>
      <c r="B60" t="s">
        <v>273</v>
      </c>
      <c r="C60">
        <f>"ZVP1356"</f>
        <v>0</v>
      </c>
      <c r="D60">
        <v>2</v>
      </c>
      <c r="E60">
        <v>0</v>
      </c>
      <c r="F60" s="2">
        <v>0</v>
      </c>
      <c r="G60">
        <v>0</v>
      </c>
      <c r="H60">
        <v>2</v>
      </c>
      <c r="I60">
        <v>0.3215604172202177</v>
      </c>
      <c r="J60">
        <v>0</v>
      </c>
      <c r="K60">
        <v>0</v>
      </c>
      <c r="L60" s="2">
        <v>0</v>
      </c>
      <c r="M60">
        <v>1.16</v>
      </c>
      <c r="N60" t="s">
        <v>10236</v>
      </c>
    </row>
    <row r="61" spans="1:14">
      <c r="A61" t="s">
        <v>27</v>
      </c>
      <c r="B61" t="s">
        <v>274</v>
      </c>
      <c r="C61">
        <f>"USA603"</f>
        <v>0</v>
      </c>
      <c r="D61">
        <v>79</v>
      </c>
      <c r="E61">
        <v>0</v>
      </c>
      <c r="F61" s="2">
        <v>0</v>
      </c>
      <c r="G61">
        <v>0</v>
      </c>
      <c r="H61">
        <v>4</v>
      </c>
      <c r="I61">
        <v>0.3204752245224119</v>
      </c>
      <c r="J61">
        <v>20</v>
      </c>
      <c r="K61">
        <v>20</v>
      </c>
      <c r="L61" s="2">
        <v>0</v>
      </c>
      <c r="M61">
        <v>1.18</v>
      </c>
      <c r="N61" t="s">
        <v>10235</v>
      </c>
    </row>
    <row r="62" spans="1:14">
      <c r="A62" t="s">
        <v>40</v>
      </c>
      <c r="B62" t="s">
        <v>275</v>
      </c>
      <c r="C62">
        <f>"V100864"</f>
        <v>0</v>
      </c>
      <c r="D62">
        <v>39</v>
      </c>
      <c r="E62">
        <v>0</v>
      </c>
      <c r="F62" s="2">
        <v>0</v>
      </c>
      <c r="G62">
        <v>0</v>
      </c>
      <c r="H62">
        <v>4</v>
      </c>
      <c r="I62">
        <v>0.3201238770869057</v>
      </c>
      <c r="J62">
        <v>10</v>
      </c>
      <c r="K62">
        <v>10</v>
      </c>
      <c r="L62" s="2">
        <v>0</v>
      </c>
      <c r="M62">
        <v>1.19</v>
      </c>
      <c r="N62" t="s">
        <v>10235</v>
      </c>
    </row>
    <row r="63" spans="1:14">
      <c r="A63" t="s">
        <v>35</v>
      </c>
      <c r="B63" t="s">
        <v>276</v>
      </c>
      <c r="C63">
        <f>"KE3293H"</f>
        <v>0</v>
      </c>
      <c r="D63">
        <v>10</v>
      </c>
      <c r="E63">
        <v>0</v>
      </c>
      <c r="F63" s="2">
        <v>0</v>
      </c>
      <c r="G63">
        <v>0</v>
      </c>
      <c r="H63">
        <v>4</v>
      </c>
      <c r="I63">
        <v>0.3184004635835883</v>
      </c>
      <c r="J63">
        <v>2</v>
      </c>
      <c r="K63">
        <v>2</v>
      </c>
      <c r="L63" s="2">
        <v>0</v>
      </c>
      <c r="M63">
        <v>1.21</v>
      </c>
      <c r="N63" t="s">
        <v>10235</v>
      </c>
    </row>
    <row r="64" spans="1:14">
      <c r="A64" t="s">
        <v>34</v>
      </c>
      <c r="B64" t="s">
        <v>61</v>
      </c>
      <c r="C64">
        <f>"14000098"</f>
        <v>0</v>
      </c>
      <c r="D64">
        <v>109</v>
      </c>
      <c r="E64">
        <v>1</v>
      </c>
      <c r="F64" s="2">
        <v>43</v>
      </c>
      <c r="G64">
        <v>0.04</v>
      </c>
      <c r="H64">
        <v>4</v>
      </c>
      <c r="I64">
        <v>0.3181392682530811</v>
      </c>
      <c r="J64">
        <v>27</v>
      </c>
      <c r="K64">
        <v>26</v>
      </c>
      <c r="L64" s="2">
        <v>1118</v>
      </c>
      <c r="M64">
        <v>1.23</v>
      </c>
      <c r="N64" t="s">
        <v>10235</v>
      </c>
    </row>
    <row r="65" spans="1:14">
      <c r="A65" t="s">
        <v>30</v>
      </c>
      <c r="B65" t="s">
        <v>277</v>
      </c>
      <c r="C65">
        <f>"100699"</f>
        <v>0</v>
      </c>
      <c r="D65">
        <v>1</v>
      </c>
      <c r="E65">
        <v>5</v>
      </c>
      <c r="F65" s="2">
        <v>11</v>
      </c>
      <c r="G65">
        <v>20</v>
      </c>
      <c r="H65">
        <v>1</v>
      </c>
      <c r="I65">
        <v>0.3173471457546923</v>
      </c>
      <c r="J65">
        <v>0</v>
      </c>
      <c r="K65">
        <v>0</v>
      </c>
      <c r="L65" s="2">
        <v>0</v>
      </c>
      <c r="M65">
        <v>1.24</v>
      </c>
      <c r="N65" t="s">
        <v>10236</v>
      </c>
    </row>
    <row r="66" spans="1:14">
      <c r="A66" t="s">
        <v>25</v>
      </c>
      <c r="B66" t="s">
        <v>278</v>
      </c>
      <c r="C66">
        <f>"CH99409B"</f>
        <v>0</v>
      </c>
      <c r="D66">
        <v>2</v>
      </c>
      <c r="E66">
        <v>4</v>
      </c>
      <c r="F66" s="2">
        <v>5</v>
      </c>
      <c r="G66">
        <v>8</v>
      </c>
      <c r="H66">
        <v>2</v>
      </c>
      <c r="I66">
        <v>0.3168190379598499</v>
      </c>
      <c r="J66">
        <v>0</v>
      </c>
      <c r="K66">
        <v>0</v>
      </c>
      <c r="L66" s="2">
        <v>0</v>
      </c>
      <c r="M66">
        <v>1.26</v>
      </c>
      <c r="N66" t="s">
        <v>10236</v>
      </c>
    </row>
    <row r="67" spans="1:14">
      <c r="A67" t="s">
        <v>30</v>
      </c>
      <c r="B67" t="s">
        <v>279</v>
      </c>
      <c r="C67">
        <f>"100771"</f>
        <v>0</v>
      </c>
      <c r="D67">
        <v>1</v>
      </c>
      <c r="E67">
        <v>0</v>
      </c>
      <c r="F67" s="2">
        <v>0</v>
      </c>
      <c r="G67">
        <v>0</v>
      </c>
      <c r="H67">
        <v>1</v>
      </c>
      <c r="I67">
        <v>0.3167639814045151</v>
      </c>
      <c r="J67">
        <v>0</v>
      </c>
      <c r="K67">
        <v>0</v>
      </c>
      <c r="L67" s="2">
        <v>0</v>
      </c>
      <c r="M67">
        <v>1.28</v>
      </c>
      <c r="N67" t="s">
        <v>10236</v>
      </c>
    </row>
    <row r="68" spans="1:14">
      <c r="A68" t="s">
        <v>27</v>
      </c>
      <c r="B68" t="s">
        <v>280</v>
      </c>
      <c r="C68">
        <f>"USA607"</f>
        <v>0</v>
      </c>
      <c r="D68">
        <v>3</v>
      </c>
      <c r="E68">
        <v>29</v>
      </c>
      <c r="F68" s="2">
        <v>1</v>
      </c>
      <c r="G68">
        <v>38.67</v>
      </c>
      <c r="H68">
        <v>3</v>
      </c>
      <c r="I68">
        <v>0.3164684149520258</v>
      </c>
      <c r="J68">
        <v>1</v>
      </c>
      <c r="K68">
        <v>0</v>
      </c>
      <c r="L68" s="2">
        <v>0</v>
      </c>
      <c r="M68">
        <v>1.29</v>
      </c>
      <c r="N68" t="s">
        <v>10236</v>
      </c>
    </row>
    <row r="69" spans="1:14">
      <c r="A69" t="s">
        <v>195</v>
      </c>
      <c r="B69" t="s">
        <v>281</v>
      </c>
      <c r="C69">
        <f>"25702147"</f>
        <v>0</v>
      </c>
      <c r="D69">
        <v>2</v>
      </c>
      <c r="E69">
        <v>0</v>
      </c>
      <c r="F69" s="2">
        <v>0</v>
      </c>
      <c r="G69">
        <v>0</v>
      </c>
      <c r="H69">
        <v>2</v>
      </c>
      <c r="I69">
        <v>0.3158809040356364</v>
      </c>
      <c r="J69">
        <v>0</v>
      </c>
      <c r="K69">
        <v>0</v>
      </c>
      <c r="L69" s="2">
        <v>0</v>
      </c>
      <c r="M69">
        <v>1.31</v>
      </c>
      <c r="N69" t="s">
        <v>10236</v>
      </c>
    </row>
    <row r="70" spans="1:14">
      <c r="A70" t="s">
        <v>36</v>
      </c>
      <c r="B70" t="s">
        <v>73</v>
      </c>
      <c r="C70">
        <f>"1022172"</f>
        <v>0</v>
      </c>
      <c r="D70">
        <v>154</v>
      </c>
      <c r="E70">
        <v>35</v>
      </c>
      <c r="F70" s="2">
        <v>22</v>
      </c>
      <c r="G70">
        <v>0.91</v>
      </c>
      <c r="H70">
        <v>4</v>
      </c>
      <c r="I70">
        <v>0.3157604900376335</v>
      </c>
      <c r="J70">
        <v>38</v>
      </c>
      <c r="K70">
        <v>3</v>
      </c>
      <c r="L70" s="2">
        <v>66</v>
      </c>
      <c r="M70">
        <v>1.33</v>
      </c>
      <c r="N70" t="s">
        <v>10235</v>
      </c>
    </row>
    <row r="71" spans="1:14">
      <c r="A71" t="s">
        <v>196</v>
      </c>
      <c r="B71" t="s">
        <v>282</v>
      </c>
      <c r="C71">
        <f>"2190"</f>
        <v>0</v>
      </c>
      <c r="D71">
        <v>6</v>
      </c>
      <c r="E71">
        <v>0</v>
      </c>
      <c r="F71" s="2">
        <v>0</v>
      </c>
      <c r="G71">
        <v>0</v>
      </c>
      <c r="H71">
        <v>2</v>
      </c>
      <c r="I71">
        <v>0.3150108663653944</v>
      </c>
      <c r="J71">
        <v>2</v>
      </c>
      <c r="K71">
        <v>2</v>
      </c>
      <c r="L71" s="2">
        <v>0</v>
      </c>
      <c r="M71">
        <v>1.34</v>
      </c>
      <c r="N71" t="s">
        <v>10235</v>
      </c>
    </row>
    <row r="72" spans="1:14">
      <c r="A72" t="s">
        <v>35</v>
      </c>
      <c r="B72" t="s">
        <v>283</v>
      </c>
      <c r="C72">
        <f>"890112"</f>
        <v>0</v>
      </c>
      <c r="D72">
        <v>1</v>
      </c>
      <c r="E72">
        <v>0</v>
      </c>
      <c r="F72" s="2">
        <v>0</v>
      </c>
      <c r="G72">
        <v>0</v>
      </c>
      <c r="H72">
        <v>1</v>
      </c>
      <c r="I72">
        <v>0.3144566791732789</v>
      </c>
      <c r="J72">
        <v>0</v>
      </c>
      <c r="K72">
        <v>0</v>
      </c>
      <c r="L72" s="2">
        <v>0</v>
      </c>
      <c r="M72">
        <v>1.36</v>
      </c>
      <c r="N72" t="s">
        <v>10236</v>
      </c>
    </row>
    <row r="73" spans="1:14">
      <c r="A73" t="s">
        <v>35</v>
      </c>
      <c r="B73" t="s">
        <v>284</v>
      </c>
      <c r="C73">
        <f>"FS007"</f>
        <v>0</v>
      </c>
      <c r="D73">
        <v>2</v>
      </c>
      <c r="E73">
        <v>10</v>
      </c>
      <c r="F73" s="2">
        <v>1</v>
      </c>
      <c r="G73">
        <v>20</v>
      </c>
      <c r="H73">
        <v>2</v>
      </c>
      <c r="I73">
        <v>0.3141567661545774</v>
      </c>
      <c r="J73">
        <v>0</v>
      </c>
      <c r="K73">
        <v>0</v>
      </c>
      <c r="L73" s="2">
        <v>0</v>
      </c>
      <c r="M73">
        <v>1.38</v>
      </c>
      <c r="N73" t="s">
        <v>10236</v>
      </c>
    </row>
    <row r="74" spans="1:14">
      <c r="A74" t="s">
        <v>35</v>
      </c>
      <c r="B74" t="s">
        <v>285</v>
      </c>
      <c r="C74">
        <f>"FB6733XLV"</f>
        <v>0</v>
      </c>
      <c r="D74">
        <v>1</v>
      </c>
      <c r="E74">
        <v>5</v>
      </c>
      <c r="F74" s="2">
        <v>6</v>
      </c>
      <c r="G74">
        <v>20</v>
      </c>
      <c r="H74">
        <v>1</v>
      </c>
      <c r="I74">
        <v>0.313797450014329</v>
      </c>
      <c r="J74">
        <v>0</v>
      </c>
      <c r="K74">
        <v>0</v>
      </c>
      <c r="L74" s="2">
        <v>0</v>
      </c>
      <c r="M74">
        <v>1.39</v>
      </c>
      <c r="N74" t="s">
        <v>10236</v>
      </c>
    </row>
    <row r="75" spans="1:14">
      <c r="A75" t="s">
        <v>194</v>
      </c>
      <c r="B75" t="s">
        <v>286</v>
      </c>
      <c r="C75">
        <f>"20070150"</f>
        <v>0</v>
      </c>
      <c r="D75">
        <v>4</v>
      </c>
      <c r="E75">
        <v>0</v>
      </c>
      <c r="F75" s="2">
        <v>0</v>
      </c>
      <c r="G75">
        <v>0</v>
      </c>
      <c r="H75">
        <v>4</v>
      </c>
      <c r="I75">
        <v>0.3135822949368247</v>
      </c>
      <c r="J75">
        <v>1</v>
      </c>
      <c r="K75">
        <v>1</v>
      </c>
      <c r="L75" s="2">
        <v>0</v>
      </c>
      <c r="M75">
        <v>1.41</v>
      </c>
      <c r="N75" t="s">
        <v>10236</v>
      </c>
    </row>
    <row r="76" spans="1:14">
      <c r="A76" t="s">
        <v>32</v>
      </c>
      <c r="B76" t="s">
        <v>287</v>
      </c>
      <c r="C76">
        <f>"EHL045"</f>
        <v>0</v>
      </c>
      <c r="D76">
        <v>193</v>
      </c>
      <c r="E76">
        <v>113</v>
      </c>
      <c r="F76" s="2">
        <v>1</v>
      </c>
      <c r="G76">
        <v>2.34</v>
      </c>
      <c r="H76">
        <v>4</v>
      </c>
      <c r="I76">
        <v>0.3132799116195673</v>
      </c>
      <c r="J76">
        <v>48</v>
      </c>
      <c r="K76">
        <v>0</v>
      </c>
      <c r="L76" s="2">
        <v>0</v>
      </c>
      <c r="M76">
        <v>1.43</v>
      </c>
      <c r="N76" t="s">
        <v>10235</v>
      </c>
    </row>
    <row r="77" spans="1:14">
      <c r="A77" t="s">
        <v>26</v>
      </c>
      <c r="B77" t="s">
        <v>55</v>
      </c>
      <c r="C77">
        <f>"NARP10KG"</f>
        <v>0</v>
      </c>
      <c r="D77">
        <v>144</v>
      </c>
      <c r="E77">
        <v>21</v>
      </c>
      <c r="F77" s="2">
        <v>12</v>
      </c>
      <c r="G77">
        <v>0.58</v>
      </c>
      <c r="H77">
        <v>4</v>
      </c>
      <c r="I77">
        <v>0.3132369518286535</v>
      </c>
      <c r="J77">
        <v>36</v>
      </c>
      <c r="K77">
        <v>15</v>
      </c>
      <c r="L77" s="2">
        <v>180</v>
      </c>
      <c r="M77">
        <v>1.44</v>
      </c>
      <c r="N77" t="s">
        <v>10235</v>
      </c>
    </row>
    <row r="78" spans="1:14">
      <c r="A78" t="s">
        <v>32</v>
      </c>
      <c r="B78" t="s">
        <v>288</v>
      </c>
      <c r="C78">
        <f>"1511892856706"</f>
        <v>0</v>
      </c>
      <c r="D78">
        <v>5</v>
      </c>
      <c r="E78">
        <v>2</v>
      </c>
      <c r="F78" s="2">
        <v>6</v>
      </c>
      <c r="G78">
        <v>1.6</v>
      </c>
      <c r="H78">
        <v>2</v>
      </c>
      <c r="I78">
        <v>0.3125724427700506</v>
      </c>
      <c r="J78">
        <v>1</v>
      </c>
      <c r="K78">
        <v>0</v>
      </c>
      <c r="L78" s="2">
        <v>0</v>
      </c>
      <c r="M78">
        <v>1.46</v>
      </c>
      <c r="N78" t="s">
        <v>10235</v>
      </c>
    </row>
    <row r="79" spans="1:14">
      <c r="A79" t="s">
        <v>197</v>
      </c>
      <c r="B79" t="s">
        <v>289</v>
      </c>
      <c r="C79">
        <f>"5000379"</f>
        <v>0</v>
      </c>
      <c r="D79">
        <v>9</v>
      </c>
      <c r="E79">
        <v>2</v>
      </c>
      <c r="F79" s="2">
        <v>1</v>
      </c>
      <c r="G79">
        <v>0.89</v>
      </c>
      <c r="H79">
        <v>3</v>
      </c>
      <c r="I79">
        <v>0.311400962678209</v>
      </c>
      <c r="J79">
        <v>2</v>
      </c>
      <c r="K79">
        <v>0</v>
      </c>
      <c r="L79" s="2">
        <v>0</v>
      </c>
      <c r="M79">
        <v>1.48</v>
      </c>
      <c r="N79" t="s">
        <v>10235</v>
      </c>
    </row>
    <row r="80" spans="1:14">
      <c r="A80" t="s">
        <v>35</v>
      </c>
      <c r="B80" t="s">
        <v>290</v>
      </c>
      <c r="C80">
        <f>"606208"</f>
        <v>0</v>
      </c>
      <c r="D80">
        <v>13</v>
      </c>
      <c r="E80">
        <v>1</v>
      </c>
      <c r="F80" s="2">
        <v>2</v>
      </c>
      <c r="G80">
        <v>0.31</v>
      </c>
      <c r="H80">
        <v>4</v>
      </c>
      <c r="I80">
        <v>0.311370672902848</v>
      </c>
      <c r="J80">
        <v>3</v>
      </c>
      <c r="K80">
        <v>2</v>
      </c>
      <c r="L80" s="2">
        <v>4</v>
      </c>
      <c r="M80">
        <v>1.49</v>
      </c>
      <c r="N80" t="s">
        <v>10235</v>
      </c>
    </row>
    <row r="81" spans="1:14">
      <c r="A81" t="s">
        <v>35</v>
      </c>
      <c r="B81" t="s">
        <v>291</v>
      </c>
      <c r="C81">
        <f>"CTB14"</f>
        <v>0</v>
      </c>
      <c r="D81">
        <v>7</v>
      </c>
      <c r="E81">
        <v>0</v>
      </c>
      <c r="F81" s="2">
        <v>0</v>
      </c>
      <c r="G81">
        <v>0</v>
      </c>
      <c r="H81">
        <v>3</v>
      </c>
      <c r="I81">
        <v>0.3112880324042251</v>
      </c>
      <c r="J81">
        <v>2</v>
      </c>
      <c r="K81">
        <v>2</v>
      </c>
      <c r="L81" s="2">
        <v>0</v>
      </c>
      <c r="M81">
        <v>1.51</v>
      </c>
      <c r="N81" t="s">
        <v>10235</v>
      </c>
    </row>
    <row r="82" spans="1:14">
      <c r="A82" t="s">
        <v>32</v>
      </c>
      <c r="B82" t="s">
        <v>292</v>
      </c>
      <c r="C82">
        <f>"PFI075"</f>
        <v>0</v>
      </c>
      <c r="D82">
        <v>1</v>
      </c>
      <c r="E82">
        <v>3</v>
      </c>
      <c r="F82" s="2">
        <v>4</v>
      </c>
      <c r="G82">
        <v>12</v>
      </c>
      <c r="H82">
        <v>1</v>
      </c>
      <c r="I82">
        <v>0.310602723848002</v>
      </c>
      <c r="J82">
        <v>0</v>
      </c>
      <c r="K82">
        <v>0</v>
      </c>
      <c r="L82" s="2">
        <v>0</v>
      </c>
      <c r="M82">
        <v>1.53</v>
      </c>
      <c r="N82" t="s">
        <v>10236</v>
      </c>
    </row>
    <row r="83" spans="1:14">
      <c r="A83" t="s">
        <v>35</v>
      </c>
      <c r="B83" t="s">
        <v>293</v>
      </c>
      <c r="C83">
        <f>"ER010"</f>
        <v>0</v>
      </c>
      <c r="D83">
        <v>1</v>
      </c>
      <c r="E83">
        <v>1</v>
      </c>
      <c r="F83" s="2">
        <v>4</v>
      </c>
      <c r="G83">
        <v>4</v>
      </c>
      <c r="H83">
        <v>1</v>
      </c>
      <c r="I83">
        <v>0.310602723848002</v>
      </c>
      <c r="J83">
        <v>0</v>
      </c>
      <c r="K83">
        <v>0</v>
      </c>
      <c r="L83" s="2">
        <v>0</v>
      </c>
      <c r="M83">
        <v>1.54</v>
      </c>
      <c r="N83" t="s">
        <v>10236</v>
      </c>
    </row>
    <row r="84" spans="1:14">
      <c r="A84" t="s">
        <v>26</v>
      </c>
      <c r="B84" t="s">
        <v>52</v>
      </c>
      <c r="C84">
        <f>"NSRMG15"</f>
        <v>0</v>
      </c>
      <c r="D84">
        <v>89</v>
      </c>
      <c r="E84">
        <v>0</v>
      </c>
      <c r="F84" s="2">
        <v>0</v>
      </c>
      <c r="G84">
        <v>0</v>
      </c>
      <c r="H84">
        <v>3</v>
      </c>
      <c r="I84">
        <v>0.3093401658437688</v>
      </c>
      <c r="J84">
        <v>22</v>
      </c>
      <c r="K84">
        <v>22</v>
      </c>
      <c r="L84" s="2">
        <v>0</v>
      </c>
      <c r="M84">
        <v>1.56</v>
      </c>
      <c r="N84" t="s">
        <v>10235</v>
      </c>
    </row>
    <row r="85" spans="1:14">
      <c r="A85" t="s">
        <v>35</v>
      </c>
      <c r="B85" t="s">
        <v>294</v>
      </c>
      <c r="C85">
        <f>"CTB85ROS"</f>
        <v>0</v>
      </c>
      <c r="D85">
        <v>2</v>
      </c>
      <c r="E85">
        <v>0</v>
      </c>
      <c r="F85" s="2">
        <v>0</v>
      </c>
      <c r="G85">
        <v>0</v>
      </c>
      <c r="H85">
        <v>2</v>
      </c>
      <c r="I85">
        <v>0.3093139669159643</v>
      </c>
      <c r="J85">
        <v>0</v>
      </c>
      <c r="K85">
        <v>0</v>
      </c>
      <c r="L85" s="2">
        <v>0</v>
      </c>
      <c r="M85">
        <v>1.57</v>
      </c>
      <c r="N85" t="s">
        <v>10236</v>
      </c>
    </row>
    <row r="86" spans="1:14">
      <c r="A86" t="s">
        <v>35</v>
      </c>
      <c r="B86" t="s">
        <v>295</v>
      </c>
      <c r="C86">
        <f>"9001162A"</f>
        <v>0</v>
      </c>
      <c r="D86">
        <v>5</v>
      </c>
      <c r="E86">
        <v>0</v>
      </c>
      <c r="F86" s="2">
        <v>0</v>
      </c>
      <c r="G86">
        <v>0</v>
      </c>
      <c r="H86">
        <v>3</v>
      </c>
      <c r="I86">
        <v>0.3087945522535464</v>
      </c>
      <c r="J86">
        <v>1</v>
      </c>
      <c r="K86">
        <v>1</v>
      </c>
      <c r="L86" s="2">
        <v>0</v>
      </c>
      <c r="M86">
        <v>1.59</v>
      </c>
      <c r="N86" t="s">
        <v>10235</v>
      </c>
    </row>
    <row r="87" spans="1:14">
      <c r="A87" t="s">
        <v>35</v>
      </c>
      <c r="B87" t="s">
        <v>296</v>
      </c>
      <c r="C87">
        <f>"HDDZ73A"</f>
        <v>0</v>
      </c>
      <c r="D87">
        <v>80</v>
      </c>
      <c r="E87">
        <v>0</v>
      </c>
      <c r="F87" s="2">
        <v>0</v>
      </c>
      <c r="G87">
        <v>0</v>
      </c>
      <c r="H87">
        <v>1</v>
      </c>
      <c r="I87">
        <v>0.3087655751454252</v>
      </c>
      <c r="J87">
        <v>20</v>
      </c>
      <c r="K87">
        <v>20</v>
      </c>
      <c r="L87" s="2">
        <v>0</v>
      </c>
      <c r="M87">
        <v>1.61</v>
      </c>
      <c r="N87" t="s">
        <v>10236</v>
      </c>
    </row>
    <row r="88" spans="1:14">
      <c r="A88" t="s">
        <v>30</v>
      </c>
      <c r="B88" t="s">
        <v>68</v>
      </c>
      <c r="C88">
        <f>"101224"</f>
        <v>0</v>
      </c>
      <c r="D88">
        <v>90</v>
      </c>
      <c r="E88">
        <v>0</v>
      </c>
      <c r="F88" s="2">
        <v>0</v>
      </c>
      <c r="G88">
        <v>0</v>
      </c>
      <c r="H88">
        <v>4</v>
      </c>
      <c r="I88">
        <v>0.3077890357365538</v>
      </c>
      <c r="J88">
        <v>22</v>
      </c>
      <c r="K88">
        <v>22</v>
      </c>
      <c r="L88" s="2">
        <v>0</v>
      </c>
      <c r="M88">
        <v>1.62</v>
      </c>
      <c r="N88" t="s">
        <v>10235</v>
      </c>
    </row>
    <row r="89" spans="1:14">
      <c r="A89" t="s">
        <v>35</v>
      </c>
      <c r="B89" t="s">
        <v>297</v>
      </c>
      <c r="C89">
        <f>"FEP80RC"</f>
        <v>0</v>
      </c>
      <c r="D89">
        <v>1</v>
      </c>
      <c r="E89">
        <v>5</v>
      </c>
      <c r="F89" s="2">
        <v>14</v>
      </c>
      <c r="G89">
        <v>20</v>
      </c>
      <c r="H89">
        <v>1</v>
      </c>
      <c r="I89">
        <v>0.3075854824686932</v>
      </c>
      <c r="J89">
        <v>0</v>
      </c>
      <c r="K89">
        <v>0</v>
      </c>
      <c r="L89" s="2">
        <v>0</v>
      </c>
      <c r="M89">
        <v>1.64</v>
      </c>
      <c r="N89" t="s">
        <v>10236</v>
      </c>
    </row>
    <row r="90" spans="1:14">
      <c r="A90" t="s">
        <v>25</v>
      </c>
      <c r="B90" t="s">
        <v>298</v>
      </c>
      <c r="C90">
        <f>"D140FUC"</f>
        <v>0</v>
      </c>
      <c r="D90">
        <v>76</v>
      </c>
      <c r="E90">
        <v>70</v>
      </c>
      <c r="F90" s="2">
        <v>0</v>
      </c>
      <c r="G90">
        <v>3.68</v>
      </c>
      <c r="H90">
        <v>3</v>
      </c>
      <c r="I90">
        <v>0.3075565053605719</v>
      </c>
      <c r="J90">
        <v>19</v>
      </c>
      <c r="K90">
        <v>0</v>
      </c>
      <c r="L90" s="2">
        <v>0</v>
      </c>
      <c r="M90">
        <v>1.66</v>
      </c>
      <c r="N90" t="s">
        <v>10235</v>
      </c>
    </row>
    <row r="91" spans="1:14">
      <c r="A91" t="s">
        <v>35</v>
      </c>
      <c r="B91" t="s">
        <v>299</v>
      </c>
      <c r="C91">
        <f>"11520"</f>
        <v>0</v>
      </c>
      <c r="D91">
        <v>19</v>
      </c>
      <c r="E91">
        <v>12</v>
      </c>
      <c r="F91" s="2">
        <v>1</v>
      </c>
      <c r="G91">
        <v>2.53</v>
      </c>
      <c r="H91">
        <v>4</v>
      </c>
      <c r="I91">
        <v>0.3067762967254219</v>
      </c>
      <c r="J91">
        <v>5</v>
      </c>
      <c r="K91">
        <v>0</v>
      </c>
      <c r="L91" s="2">
        <v>0</v>
      </c>
      <c r="M91">
        <v>1.67</v>
      </c>
      <c r="N91" t="s">
        <v>10235</v>
      </c>
    </row>
    <row r="92" spans="1:14">
      <c r="A92" t="s">
        <v>35</v>
      </c>
      <c r="B92" t="s">
        <v>300</v>
      </c>
      <c r="C92">
        <f>"CK1022"</f>
        <v>0</v>
      </c>
      <c r="D92">
        <v>67</v>
      </c>
      <c r="E92">
        <v>16</v>
      </c>
      <c r="F92" s="2">
        <v>1</v>
      </c>
      <c r="G92">
        <v>0.96</v>
      </c>
      <c r="H92">
        <v>4</v>
      </c>
      <c r="I92">
        <v>0.3054965573441366</v>
      </c>
      <c r="J92">
        <v>17</v>
      </c>
      <c r="K92">
        <v>1</v>
      </c>
      <c r="L92" s="2">
        <v>1</v>
      </c>
      <c r="M92">
        <v>1.69</v>
      </c>
      <c r="N92" t="s">
        <v>10235</v>
      </c>
    </row>
    <row r="93" spans="1:14">
      <c r="A93" t="s">
        <v>25</v>
      </c>
      <c r="B93" t="s">
        <v>301</v>
      </c>
      <c r="C93">
        <f>"MS007"</f>
        <v>0</v>
      </c>
      <c r="D93">
        <v>2</v>
      </c>
      <c r="E93">
        <v>0</v>
      </c>
      <c r="F93" s="2">
        <v>0</v>
      </c>
      <c r="G93">
        <v>0</v>
      </c>
      <c r="H93">
        <v>2</v>
      </c>
      <c r="I93">
        <v>0.3043443928794556</v>
      </c>
      <c r="J93">
        <v>0</v>
      </c>
      <c r="K93">
        <v>0</v>
      </c>
      <c r="L93" s="2">
        <v>0</v>
      </c>
      <c r="M93">
        <v>1.7</v>
      </c>
      <c r="N93" t="s">
        <v>10236</v>
      </c>
    </row>
    <row r="94" spans="1:14">
      <c r="A94" t="s">
        <v>35</v>
      </c>
      <c r="B94" t="s">
        <v>302</v>
      </c>
      <c r="C94">
        <f>"W2005"</f>
        <v>0</v>
      </c>
      <c r="D94">
        <v>2</v>
      </c>
      <c r="E94">
        <v>1</v>
      </c>
      <c r="F94" s="2">
        <v>4</v>
      </c>
      <c r="G94">
        <v>2</v>
      </c>
      <c r="H94">
        <v>2</v>
      </c>
      <c r="I94">
        <v>0.302975224572433</v>
      </c>
      <c r="J94">
        <v>0</v>
      </c>
      <c r="K94">
        <v>0</v>
      </c>
      <c r="L94" s="2">
        <v>0</v>
      </c>
      <c r="M94">
        <v>1.72</v>
      </c>
      <c r="N94" t="s">
        <v>10236</v>
      </c>
    </row>
    <row r="95" spans="1:14">
      <c r="A95" t="s">
        <v>33</v>
      </c>
      <c r="B95" t="s">
        <v>78</v>
      </c>
      <c r="C95">
        <f>"DHDH"</f>
        <v>0</v>
      </c>
      <c r="D95">
        <v>109</v>
      </c>
      <c r="E95">
        <v>0</v>
      </c>
      <c r="F95" s="2">
        <v>0</v>
      </c>
      <c r="G95">
        <v>0</v>
      </c>
      <c r="H95">
        <v>3</v>
      </c>
      <c r="I95">
        <v>0.3019697188718706</v>
      </c>
      <c r="J95">
        <v>27</v>
      </c>
      <c r="K95">
        <v>27</v>
      </c>
      <c r="L95" s="2">
        <v>0</v>
      </c>
      <c r="M95">
        <v>1.74</v>
      </c>
      <c r="N95" t="s">
        <v>10235</v>
      </c>
    </row>
    <row r="96" spans="1:14">
      <c r="A96" t="s">
        <v>35</v>
      </c>
      <c r="B96" t="s">
        <v>303</v>
      </c>
      <c r="C96">
        <f>"BRI4"</f>
        <v>0</v>
      </c>
      <c r="D96">
        <v>6</v>
      </c>
      <c r="E96">
        <v>6</v>
      </c>
      <c r="F96" s="2">
        <v>1</v>
      </c>
      <c r="G96">
        <v>4</v>
      </c>
      <c r="H96">
        <v>3</v>
      </c>
      <c r="I96">
        <v>0.3013952477541183</v>
      </c>
      <c r="J96">
        <v>2</v>
      </c>
      <c r="K96">
        <v>0</v>
      </c>
      <c r="L96" s="2">
        <v>0</v>
      </c>
      <c r="M96">
        <v>1.75</v>
      </c>
      <c r="N96" t="s">
        <v>10235</v>
      </c>
    </row>
    <row r="97" spans="1:14">
      <c r="A97" t="s">
        <v>35</v>
      </c>
      <c r="B97" t="s">
        <v>304</v>
      </c>
      <c r="C97">
        <f>"HDD174V"</f>
        <v>0</v>
      </c>
      <c r="D97">
        <v>7</v>
      </c>
      <c r="E97">
        <v>0</v>
      </c>
      <c r="F97" s="2">
        <v>0</v>
      </c>
      <c r="G97">
        <v>0</v>
      </c>
      <c r="H97">
        <v>3</v>
      </c>
      <c r="I97">
        <v>0.3013488843312078</v>
      </c>
      <c r="J97">
        <v>2</v>
      </c>
      <c r="K97">
        <v>2</v>
      </c>
      <c r="L97" s="2">
        <v>0</v>
      </c>
      <c r="M97">
        <v>1.77</v>
      </c>
      <c r="N97" t="s">
        <v>10235</v>
      </c>
    </row>
    <row r="98" spans="1:14">
      <c r="A98" t="s">
        <v>27</v>
      </c>
      <c r="B98" t="s">
        <v>53</v>
      </c>
      <c r="C98">
        <f>"V100971"</f>
        <v>0</v>
      </c>
      <c r="D98">
        <v>149</v>
      </c>
      <c r="E98">
        <v>24</v>
      </c>
      <c r="F98" s="2">
        <v>1</v>
      </c>
      <c r="G98">
        <v>0.64</v>
      </c>
      <c r="H98">
        <v>4</v>
      </c>
      <c r="I98">
        <v>0.3009783600624342</v>
      </c>
      <c r="J98">
        <v>37</v>
      </c>
      <c r="K98">
        <v>13</v>
      </c>
      <c r="L98" s="2">
        <v>13</v>
      </c>
      <c r="M98">
        <v>1.78</v>
      </c>
      <c r="N98" t="s">
        <v>10235</v>
      </c>
    </row>
    <row r="99" spans="1:14">
      <c r="A99" t="s">
        <v>40</v>
      </c>
      <c r="B99" t="s">
        <v>305</v>
      </c>
      <c r="C99">
        <f>"V100852"</f>
        <v>0</v>
      </c>
      <c r="D99">
        <v>10</v>
      </c>
      <c r="E99">
        <v>5</v>
      </c>
      <c r="F99" s="2">
        <v>3</v>
      </c>
      <c r="G99">
        <v>2</v>
      </c>
      <c r="H99">
        <v>4</v>
      </c>
      <c r="I99">
        <v>0.30017024050984</v>
      </c>
      <c r="J99">
        <v>2</v>
      </c>
      <c r="K99">
        <v>0</v>
      </c>
      <c r="L99" s="2">
        <v>0</v>
      </c>
      <c r="M99">
        <v>1.8</v>
      </c>
      <c r="N99" t="s">
        <v>10235</v>
      </c>
    </row>
    <row r="100" spans="1:14">
      <c r="A100" t="s">
        <v>24</v>
      </c>
      <c r="B100" t="s">
        <v>306</v>
      </c>
      <c r="C100">
        <f>"DC1110221"</f>
        <v>0</v>
      </c>
      <c r="D100">
        <v>3</v>
      </c>
      <c r="E100">
        <v>7</v>
      </c>
      <c r="F100" s="2">
        <v>3</v>
      </c>
      <c r="G100">
        <v>9.33</v>
      </c>
      <c r="H100">
        <v>2</v>
      </c>
      <c r="I100">
        <v>0.2997848449723183</v>
      </c>
      <c r="J100">
        <v>1</v>
      </c>
      <c r="K100">
        <v>0</v>
      </c>
      <c r="L100" s="2">
        <v>0</v>
      </c>
      <c r="M100">
        <v>1.82</v>
      </c>
      <c r="N100" t="s">
        <v>10236</v>
      </c>
    </row>
    <row r="101" spans="1:14">
      <c r="A101" t="s">
        <v>31</v>
      </c>
      <c r="B101" t="s">
        <v>56</v>
      </c>
      <c r="C101">
        <f>"183064"</f>
        <v>0</v>
      </c>
      <c r="D101">
        <v>104</v>
      </c>
      <c r="E101">
        <v>3</v>
      </c>
      <c r="F101" s="2">
        <v>8</v>
      </c>
      <c r="G101">
        <v>0.12</v>
      </c>
      <c r="H101">
        <v>4</v>
      </c>
      <c r="I101">
        <v>0.2995711994964133</v>
      </c>
      <c r="J101">
        <v>26</v>
      </c>
      <c r="K101">
        <v>23</v>
      </c>
      <c r="L101" s="2">
        <v>184</v>
      </c>
      <c r="M101">
        <v>1.83</v>
      </c>
      <c r="N101" t="s">
        <v>10235</v>
      </c>
    </row>
    <row r="102" spans="1:14">
      <c r="A102" t="s">
        <v>35</v>
      </c>
      <c r="B102" t="s">
        <v>307</v>
      </c>
      <c r="C102">
        <f>"TC2047"</f>
        <v>0</v>
      </c>
      <c r="D102">
        <v>2</v>
      </c>
      <c r="E102">
        <v>2</v>
      </c>
      <c r="F102" s="2">
        <v>1</v>
      </c>
      <c r="G102">
        <v>4</v>
      </c>
      <c r="H102">
        <v>2</v>
      </c>
      <c r="I102">
        <v>0.2988930744710152</v>
      </c>
      <c r="J102">
        <v>0</v>
      </c>
      <c r="K102">
        <v>0</v>
      </c>
      <c r="L102" s="2">
        <v>0</v>
      </c>
      <c r="M102">
        <v>1.85</v>
      </c>
      <c r="N102" t="s">
        <v>10236</v>
      </c>
    </row>
    <row r="103" spans="1:14">
      <c r="A103" t="s">
        <v>25</v>
      </c>
      <c r="B103" t="s">
        <v>308</v>
      </c>
      <c r="C103">
        <f>"RY29SAM"</f>
        <v>0</v>
      </c>
      <c r="D103">
        <v>4</v>
      </c>
      <c r="E103">
        <v>0</v>
      </c>
      <c r="F103" s="2">
        <v>0</v>
      </c>
      <c r="G103">
        <v>0</v>
      </c>
      <c r="H103">
        <v>3</v>
      </c>
      <c r="I103">
        <v>0.2984960880402806</v>
      </c>
      <c r="J103">
        <v>1</v>
      </c>
      <c r="K103">
        <v>1</v>
      </c>
      <c r="L103" s="2">
        <v>0</v>
      </c>
      <c r="M103">
        <v>1.86</v>
      </c>
      <c r="N103" t="s">
        <v>10236</v>
      </c>
    </row>
    <row r="104" spans="1:14">
      <c r="A104" t="s">
        <v>33</v>
      </c>
      <c r="B104" t="s">
        <v>309</v>
      </c>
      <c r="C104">
        <f>"VVEGETAL"</f>
        <v>0</v>
      </c>
      <c r="D104">
        <v>104</v>
      </c>
      <c r="E104">
        <v>0</v>
      </c>
      <c r="F104" s="2">
        <v>0</v>
      </c>
      <c r="G104">
        <v>0</v>
      </c>
      <c r="H104">
        <v>2</v>
      </c>
      <c r="I104">
        <v>0.2983982903004462</v>
      </c>
      <c r="J104">
        <v>26</v>
      </c>
      <c r="K104">
        <v>26</v>
      </c>
      <c r="L104" s="2">
        <v>0</v>
      </c>
      <c r="M104">
        <v>1.88</v>
      </c>
      <c r="N104" t="s">
        <v>10235</v>
      </c>
    </row>
    <row r="105" spans="1:14">
      <c r="A105" t="s">
        <v>35</v>
      </c>
      <c r="B105" t="s">
        <v>310</v>
      </c>
      <c r="C105">
        <f>"XQ22MMO"</f>
        <v>0</v>
      </c>
      <c r="D105">
        <v>1</v>
      </c>
      <c r="E105">
        <v>1</v>
      </c>
      <c r="F105" s="2">
        <v>3</v>
      </c>
      <c r="G105">
        <v>4</v>
      </c>
      <c r="H105">
        <v>1</v>
      </c>
      <c r="I105">
        <v>0.297823819182694</v>
      </c>
      <c r="J105">
        <v>0</v>
      </c>
      <c r="K105">
        <v>0</v>
      </c>
      <c r="L105" s="2">
        <v>0</v>
      </c>
      <c r="M105">
        <v>1.9</v>
      </c>
      <c r="N105" t="s">
        <v>10236</v>
      </c>
    </row>
    <row r="106" spans="1:14">
      <c r="A106" t="s">
        <v>196</v>
      </c>
      <c r="B106" t="s">
        <v>311</v>
      </c>
      <c r="C106">
        <f>"2335"</f>
        <v>0</v>
      </c>
      <c r="D106">
        <v>5</v>
      </c>
      <c r="E106">
        <v>1</v>
      </c>
      <c r="F106" s="2">
        <v>3</v>
      </c>
      <c r="G106">
        <v>0.8</v>
      </c>
      <c r="H106">
        <v>3</v>
      </c>
      <c r="I106">
        <v>0.2977245725775075</v>
      </c>
      <c r="J106">
        <v>1</v>
      </c>
      <c r="K106">
        <v>0</v>
      </c>
      <c r="L106" s="2">
        <v>0</v>
      </c>
      <c r="M106">
        <v>1.91</v>
      </c>
      <c r="N106" t="s">
        <v>10235</v>
      </c>
    </row>
    <row r="107" spans="1:14">
      <c r="A107" t="s">
        <v>198</v>
      </c>
      <c r="B107" t="s">
        <v>312</v>
      </c>
      <c r="C107">
        <f>"5006441"</f>
        <v>0</v>
      </c>
      <c r="D107">
        <v>1</v>
      </c>
      <c r="E107">
        <v>0</v>
      </c>
      <c r="F107" s="2">
        <v>0</v>
      </c>
      <c r="G107">
        <v>0</v>
      </c>
      <c r="H107">
        <v>1</v>
      </c>
      <c r="I107">
        <v>0.2972406548325168</v>
      </c>
      <c r="J107">
        <v>0</v>
      </c>
      <c r="K107">
        <v>0</v>
      </c>
      <c r="L107" s="2">
        <v>0</v>
      </c>
      <c r="M107">
        <v>1.93</v>
      </c>
      <c r="N107" t="s">
        <v>10236</v>
      </c>
    </row>
    <row r="108" spans="1:14">
      <c r="A108" t="s">
        <v>24</v>
      </c>
      <c r="B108" t="s">
        <v>313</v>
      </c>
      <c r="C108">
        <f>"1112411"</f>
        <v>0</v>
      </c>
      <c r="D108">
        <v>37</v>
      </c>
      <c r="E108">
        <v>7</v>
      </c>
      <c r="F108" s="2">
        <v>7</v>
      </c>
      <c r="G108">
        <v>0.76</v>
      </c>
      <c r="H108">
        <v>4</v>
      </c>
      <c r="I108">
        <v>0.2964761291159346</v>
      </c>
      <c r="J108">
        <v>9</v>
      </c>
      <c r="K108">
        <v>2</v>
      </c>
      <c r="L108" s="2">
        <v>14</v>
      </c>
      <c r="M108">
        <v>1.94</v>
      </c>
      <c r="N108" t="s">
        <v>10235</v>
      </c>
    </row>
    <row r="109" spans="1:14">
      <c r="A109" t="s">
        <v>35</v>
      </c>
      <c r="B109" t="s">
        <v>314</v>
      </c>
      <c r="C109">
        <f>"KX1087"</f>
        <v>0</v>
      </c>
      <c r="D109">
        <v>101</v>
      </c>
      <c r="E109">
        <v>0</v>
      </c>
      <c r="F109" s="2">
        <v>0</v>
      </c>
      <c r="G109">
        <v>0</v>
      </c>
      <c r="H109">
        <v>2</v>
      </c>
      <c r="I109">
        <v>0.2962554331575917</v>
      </c>
      <c r="J109">
        <v>25</v>
      </c>
      <c r="K109">
        <v>25</v>
      </c>
      <c r="L109" s="2">
        <v>0</v>
      </c>
      <c r="M109">
        <v>1.96</v>
      </c>
      <c r="N109" t="s">
        <v>10235</v>
      </c>
    </row>
    <row r="110" spans="1:14">
      <c r="A110" t="s">
        <v>35</v>
      </c>
      <c r="B110" t="s">
        <v>315</v>
      </c>
      <c r="C110">
        <f>"ER026S"</f>
        <v>0</v>
      </c>
      <c r="D110">
        <v>2</v>
      </c>
      <c r="E110">
        <v>0</v>
      </c>
      <c r="F110" s="2">
        <v>0</v>
      </c>
      <c r="G110">
        <v>0</v>
      </c>
      <c r="H110">
        <v>2</v>
      </c>
      <c r="I110">
        <v>0.2958251231025837</v>
      </c>
      <c r="J110">
        <v>0</v>
      </c>
      <c r="K110">
        <v>0</v>
      </c>
      <c r="L110" s="2">
        <v>0</v>
      </c>
      <c r="M110">
        <v>1.97</v>
      </c>
      <c r="N110" t="s">
        <v>10236</v>
      </c>
    </row>
    <row r="111" spans="1:14">
      <c r="A111" t="s">
        <v>25</v>
      </c>
      <c r="B111" t="s">
        <v>316</v>
      </c>
      <c r="C111">
        <f>"RY29LA"</f>
        <v>0</v>
      </c>
      <c r="D111">
        <v>2</v>
      </c>
      <c r="E111">
        <v>5</v>
      </c>
      <c r="F111" s="2">
        <v>2</v>
      </c>
      <c r="G111">
        <v>10</v>
      </c>
      <c r="H111">
        <v>1</v>
      </c>
      <c r="I111">
        <v>0.29552086351767</v>
      </c>
      <c r="J111">
        <v>0</v>
      </c>
      <c r="K111">
        <v>0</v>
      </c>
      <c r="L111" s="2">
        <v>0</v>
      </c>
      <c r="M111">
        <v>1.99</v>
      </c>
      <c r="N111" t="s">
        <v>10236</v>
      </c>
    </row>
    <row r="112" spans="1:14">
      <c r="A112" t="s">
        <v>35</v>
      </c>
      <c r="B112" t="s">
        <v>317</v>
      </c>
      <c r="C112">
        <f>"CT136"</f>
        <v>0</v>
      </c>
      <c r="D112">
        <v>2</v>
      </c>
      <c r="E112">
        <v>12</v>
      </c>
      <c r="F112" s="2">
        <v>1</v>
      </c>
      <c r="G112">
        <v>24</v>
      </c>
      <c r="H112">
        <v>2</v>
      </c>
      <c r="I112">
        <v>0.2939235004345066</v>
      </c>
      <c r="J112">
        <v>0</v>
      </c>
      <c r="K112">
        <v>0</v>
      </c>
      <c r="L112" s="2">
        <v>0</v>
      </c>
      <c r="M112">
        <v>2.01</v>
      </c>
      <c r="N112" t="s">
        <v>10236</v>
      </c>
    </row>
    <row r="113" spans="1:14">
      <c r="A113" t="s">
        <v>25</v>
      </c>
      <c r="B113" t="s">
        <v>318</v>
      </c>
      <c r="C113">
        <f>"ZVP1156"</f>
        <v>0</v>
      </c>
      <c r="D113">
        <v>8</v>
      </c>
      <c r="E113">
        <v>0</v>
      </c>
      <c r="F113" s="2">
        <v>0</v>
      </c>
      <c r="G113">
        <v>0</v>
      </c>
      <c r="H113">
        <v>3</v>
      </c>
      <c r="I113">
        <v>0.2938988698426571</v>
      </c>
      <c r="J113">
        <v>2</v>
      </c>
      <c r="K113">
        <v>2</v>
      </c>
      <c r="L113" s="2">
        <v>0</v>
      </c>
      <c r="M113">
        <v>2.02</v>
      </c>
      <c r="N113" t="s">
        <v>10235</v>
      </c>
    </row>
    <row r="114" spans="1:14">
      <c r="A114" t="s">
        <v>35</v>
      </c>
      <c r="B114" t="s">
        <v>319</v>
      </c>
      <c r="C114">
        <f>"BA046MR"</f>
        <v>0</v>
      </c>
      <c r="D114">
        <v>3</v>
      </c>
      <c r="E114">
        <v>0</v>
      </c>
      <c r="F114" s="2">
        <v>0</v>
      </c>
      <c r="G114">
        <v>0</v>
      </c>
      <c r="H114">
        <v>2</v>
      </c>
      <c r="I114">
        <v>0.2931671978635235</v>
      </c>
      <c r="J114">
        <v>1</v>
      </c>
      <c r="K114">
        <v>1</v>
      </c>
      <c r="L114" s="2">
        <v>0</v>
      </c>
      <c r="M114">
        <v>2.04</v>
      </c>
      <c r="N114" t="s">
        <v>10236</v>
      </c>
    </row>
    <row r="115" spans="1:14">
      <c r="A115" t="s">
        <v>35</v>
      </c>
      <c r="B115" t="s">
        <v>320</v>
      </c>
      <c r="C115">
        <f>"BL816S"</f>
        <v>0</v>
      </c>
      <c r="D115">
        <v>5</v>
      </c>
      <c r="E115">
        <v>5</v>
      </c>
      <c r="F115" s="2">
        <v>1</v>
      </c>
      <c r="G115">
        <v>4</v>
      </c>
      <c r="H115">
        <v>3</v>
      </c>
      <c r="I115">
        <v>0.2909192987538344</v>
      </c>
      <c r="J115">
        <v>1</v>
      </c>
      <c r="K115">
        <v>0</v>
      </c>
      <c r="L115" s="2">
        <v>0</v>
      </c>
      <c r="M115">
        <v>2.05</v>
      </c>
      <c r="N115" t="s">
        <v>10235</v>
      </c>
    </row>
    <row r="116" spans="1:14">
      <c r="A116" t="s">
        <v>35</v>
      </c>
      <c r="B116" t="s">
        <v>321</v>
      </c>
      <c r="C116">
        <f>"WPS145"</f>
        <v>0</v>
      </c>
      <c r="D116">
        <v>91</v>
      </c>
      <c r="E116">
        <v>0</v>
      </c>
      <c r="F116" s="2">
        <v>0</v>
      </c>
      <c r="G116">
        <v>0</v>
      </c>
      <c r="H116">
        <v>1</v>
      </c>
      <c r="I116">
        <v>0.2891125760147431</v>
      </c>
      <c r="J116">
        <v>23</v>
      </c>
      <c r="K116">
        <v>23</v>
      </c>
      <c r="L116" s="2">
        <v>0</v>
      </c>
      <c r="M116">
        <v>2.07</v>
      </c>
      <c r="N116" t="s">
        <v>10236</v>
      </c>
    </row>
    <row r="117" spans="1:14">
      <c r="A117" t="s">
        <v>27</v>
      </c>
      <c r="B117" t="s">
        <v>322</v>
      </c>
      <c r="C117">
        <f>"USA552"</f>
        <v>0</v>
      </c>
      <c r="D117">
        <v>1</v>
      </c>
      <c r="E117">
        <v>0</v>
      </c>
      <c r="F117" s="2">
        <v>0</v>
      </c>
      <c r="G117">
        <v>0</v>
      </c>
      <c r="H117">
        <v>1</v>
      </c>
      <c r="I117">
        <v>0.2888988698426631</v>
      </c>
      <c r="J117">
        <v>0</v>
      </c>
      <c r="K117">
        <v>0</v>
      </c>
      <c r="L117" s="2">
        <v>0</v>
      </c>
      <c r="M117">
        <v>2.08</v>
      </c>
      <c r="N117" t="s">
        <v>10236</v>
      </c>
    </row>
    <row r="118" spans="1:14">
      <c r="A118" t="s">
        <v>33</v>
      </c>
      <c r="B118" t="s">
        <v>323</v>
      </c>
      <c r="C118">
        <f>"TOPK93215"</f>
        <v>0</v>
      </c>
      <c r="D118">
        <v>90</v>
      </c>
      <c r="E118">
        <v>0</v>
      </c>
      <c r="F118" s="2">
        <v>0</v>
      </c>
      <c r="G118">
        <v>0</v>
      </c>
      <c r="H118">
        <v>3</v>
      </c>
      <c r="I118">
        <v>0.2883982903004582</v>
      </c>
      <c r="J118">
        <v>22</v>
      </c>
      <c r="K118">
        <v>22</v>
      </c>
      <c r="L118" s="2">
        <v>0</v>
      </c>
      <c r="M118">
        <v>2.1</v>
      </c>
      <c r="N118" t="s">
        <v>10235</v>
      </c>
    </row>
    <row r="119" spans="1:14">
      <c r="A119" t="s">
        <v>35</v>
      </c>
      <c r="B119" t="s">
        <v>324</v>
      </c>
      <c r="C119">
        <f>"D069S"</f>
        <v>0</v>
      </c>
      <c r="D119">
        <v>1</v>
      </c>
      <c r="E119">
        <v>6</v>
      </c>
      <c r="F119" s="2">
        <v>3</v>
      </c>
      <c r="G119">
        <v>24</v>
      </c>
      <c r="H119">
        <v>1</v>
      </c>
      <c r="I119">
        <v>0.2882396406837131</v>
      </c>
      <c r="J119">
        <v>0</v>
      </c>
      <c r="K119">
        <v>0</v>
      </c>
      <c r="L119" s="2">
        <v>0</v>
      </c>
      <c r="M119">
        <v>2.11</v>
      </c>
      <c r="N119" t="s">
        <v>10236</v>
      </c>
    </row>
    <row r="120" spans="1:14">
      <c r="A120" t="s">
        <v>35</v>
      </c>
      <c r="B120" t="s">
        <v>325</v>
      </c>
      <c r="C120">
        <f>"ER036"</f>
        <v>0</v>
      </c>
      <c r="D120">
        <v>8</v>
      </c>
      <c r="E120">
        <v>2</v>
      </c>
      <c r="F120" s="2">
        <v>2</v>
      </c>
      <c r="G120">
        <v>1</v>
      </c>
      <c r="H120">
        <v>3</v>
      </c>
      <c r="I120">
        <v>0.287737612286144</v>
      </c>
      <c r="J120">
        <v>2</v>
      </c>
      <c r="K120">
        <v>0</v>
      </c>
      <c r="L120" s="2">
        <v>0</v>
      </c>
      <c r="M120">
        <v>2.13</v>
      </c>
      <c r="N120" t="s">
        <v>10235</v>
      </c>
    </row>
    <row r="121" spans="1:14">
      <c r="A121" t="s">
        <v>192</v>
      </c>
      <c r="B121" t="s">
        <v>326</v>
      </c>
      <c r="C121">
        <f>"MP003"</f>
        <v>0</v>
      </c>
      <c r="D121">
        <v>5</v>
      </c>
      <c r="E121">
        <v>1</v>
      </c>
      <c r="F121" s="2">
        <v>1</v>
      </c>
      <c r="G121">
        <v>0.8</v>
      </c>
      <c r="H121">
        <v>3</v>
      </c>
      <c r="I121">
        <v>0.2874304549304538</v>
      </c>
      <c r="J121">
        <v>1</v>
      </c>
      <c r="K121">
        <v>0</v>
      </c>
      <c r="L121" s="2">
        <v>0</v>
      </c>
      <c r="M121">
        <v>2.14</v>
      </c>
      <c r="N121" t="s">
        <v>10235</v>
      </c>
    </row>
    <row r="122" spans="1:14">
      <c r="A122" t="s">
        <v>25</v>
      </c>
      <c r="B122" t="s">
        <v>327</v>
      </c>
      <c r="C122">
        <f>"RY29LRO"</f>
        <v>0</v>
      </c>
      <c r="D122">
        <v>2</v>
      </c>
      <c r="E122">
        <v>1</v>
      </c>
      <c r="F122" s="2">
        <v>2</v>
      </c>
      <c r="G122">
        <v>2</v>
      </c>
      <c r="H122">
        <v>1</v>
      </c>
      <c r="I122">
        <v>0.2873565633148344</v>
      </c>
      <c r="J122">
        <v>0</v>
      </c>
      <c r="K122">
        <v>0</v>
      </c>
      <c r="L122" s="2">
        <v>0</v>
      </c>
      <c r="M122">
        <v>2.16</v>
      </c>
      <c r="N122" t="s">
        <v>10236</v>
      </c>
    </row>
    <row r="123" spans="1:14">
      <c r="A123" t="s">
        <v>35</v>
      </c>
      <c r="B123" t="s">
        <v>328</v>
      </c>
      <c r="C123">
        <f>"DC3102A"</f>
        <v>0</v>
      </c>
      <c r="D123">
        <v>4</v>
      </c>
      <c r="E123">
        <v>31</v>
      </c>
      <c r="F123" s="2">
        <v>3</v>
      </c>
      <c r="G123">
        <v>31</v>
      </c>
      <c r="H123">
        <v>3</v>
      </c>
      <c r="I123">
        <v>0.2870102868732226</v>
      </c>
      <c r="J123">
        <v>1</v>
      </c>
      <c r="K123">
        <v>0</v>
      </c>
      <c r="L123" s="2">
        <v>0</v>
      </c>
      <c r="M123">
        <v>2.17</v>
      </c>
      <c r="N123" t="s">
        <v>10236</v>
      </c>
    </row>
    <row r="124" spans="1:14">
      <c r="A124" t="s">
        <v>35</v>
      </c>
      <c r="B124" t="s">
        <v>329</v>
      </c>
      <c r="C124">
        <f>"11476"</f>
        <v>0</v>
      </c>
      <c r="D124">
        <v>8</v>
      </c>
      <c r="E124">
        <v>0</v>
      </c>
      <c r="F124" s="2">
        <v>0</v>
      </c>
      <c r="G124">
        <v>0</v>
      </c>
      <c r="H124">
        <v>3</v>
      </c>
      <c r="I124">
        <v>0.2850246304917488</v>
      </c>
      <c r="J124">
        <v>2</v>
      </c>
      <c r="K124">
        <v>2</v>
      </c>
      <c r="L124" s="2">
        <v>0</v>
      </c>
      <c r="M124">
        <v>2.19</v>
      </c>
      <c r="N124" t="s">
        <v>10235</v>
      </c>
    </row>
    <row r="125" spans="1:14">
      <c r="A125" t="s">
        <v>31</v>
      </c>
      <c r="B125" t="s">
        <v>330</v>
      </c>
      <c r="C125">
        <f>"1005845"</f>
        <v>0</v>
      </c>
      <c r="D125">
        <v>3</v>
      </c>
      <c r="E125">
        <v>0</v>
      </c>
      <c r="F125" s="2">
        <v>0</v>
      </c>
      <c r="G125">
        <v>0</v>
      </c>
      <c r="H125">
        <v>2</v>
      </c>
      <c r="I125">
        <v>0.284115473725597</v>
      </c>
      <c r="J125">
        <v>1</v>
      </c>
      <c r="K125">
        <v>1</v>
      </c>
      <c r="L125" s="2">
        <v>0</v>
      </c>
      <c r="M125">
        <v>2.2</v>
      </c>
      <c r="N125" t="s">
        <v>10236</v>
      </c>
    </row>
    <row r="126" spans="1:14">
      <c r="A126" t="s">
        <v>192</v>
      </c>
      <c r="B126" t="s">
        <v>331</v>
      </c>
      <c r="C126">
        <f>"FT04"</f>
        <v>0</v>
      </c>
      <c r="D126">
        <v>13</v>
      </c>
      <c r="E126">
        <v>10</v>
      </c>
      <c r="F126" s="2">
        <v>1</v>
      </c>
      <c r="G126">
        <v>3.08</v>
      </c>
      <c r="H126">
        <v>4</v>
      </c>
      <c r="I126">
        <v>0.2838546798028054</v>
      </c>
      <c r="J126">
        <v>3</v>
      </c>
      <c r="K126">
        <v>0</v>
      </c>
      <c r="L126" s="2">
        <v>0</v>
      </c>
      <c r="M126">
        <v>2.22</v>
      </c>
      <c r="N126" t="s">
        <v>10235</v>
      </c>
    </row>
    <row r="127" spans="1:14">
      <c r="A127" t="s">
        <v>27</v>
      </c>
      <c r="B127" t="s">
        <v>332</v>
      </c>
      <c r="C127">
        <f>"USA901"</f>
        <v>0</v>
      </c>
      <c r="D127">
        <v>26</v>
      </c>
      <c r="E127">
        <v>25</v>
      </c>
      <c r="F127" s="2">
        <v>1</v>
      </c>
      <c r="G127">
        <v>3.85</v>
      </c>
      <c r="H127">
        <v>4</v>
      </c>
      <c r="I127">
        <v>0.2833787308025095</v>
      </c>
      <c r="J127">
        <v>6</v>
      </c>
      <c r="K127">
        <v>0</v>
      </c>
      <c r="L127" s="2">
        <v>0</v>
      </c>
      <c r="M127">
        <v>2.23</v>
      </c>
      <c r="N127" t="s">
        <v>10235</v>
      </c>
    </row>
    <row r="128" spans="1:14">
      <c r="A128" t="s">
        <v>32</v>
      </c>
      <c r="B128" t="s">
        <v>72</v>
      </c>
      <c r="C128">
        <f>"1019489"</f>
        <v>0</v>
      </c>
      <c r="D128">
        <v>80</v>
      </c>
      <c r="E128">
        <v>1</v>
      </c>
      <c r="F128" s="2">
        <v>18</v>
      </c>
      <c r="G128">
        <v>0.05</v>
      </c>
      <c r="H128">
        <v>4</v>
      </c>
      <c r="I128">
        <v>0.2824591856956046</v>
      </c>
      <c r="J128">
        <v>20</v>
      </c>
      <c r="K128">
        <v>19</v>
      </c>
      <c r="L128" s="2">
        <v>342</v>
      </c>
      <c r="M128">
        <v>2.25</v>
      </c>
      <c r="N128" t="s">
        <v>10235</v>
      </c>
    </row>
    <row r="129" spans="1:14">
      <c r="A129" t="s">
        <v>199</v>
      </c>
      <c r="B129" t="s">
        <v>333</v>
      </c>
      <c r="C129">
        <f>"140028"</f>
        <v>0</v>
      </c>
      <c r="D129">
        <v>37</v>
      </c>
      <c r="E129">
        <v>25</v>
      </c>
      <c r="F129" s="2">
        <v>2</v>
      </c>
      <c r="G129">
        <v>2.7</v>
      </c>
      <c r="H129">
        <v>4</v>
      </c>
      <c r="I129">
        <v>0.2814742103736439</v>
      </c>
      <c r="J129">
        <v>9</v>
      </c>
      <c r="K129">
        <v>0</v>
      </c>
      <c r="L129" s="2">
        <v>0</v>
      </c>
      <c r="M129">
        <v>2.26</v>
      </c>
      <c r="N129" t="s">
        <v>10235</v>
      </c>
    </row>
    <row r="130" spans="1:14">
      <c r="A130" t="s">
        <v>26</v>
      </c>
      <c r="B130" t="s">
        <v>82</v>
      </c>
      <c r="C130">
        <f>"NSRP9KG"</f>
        <v>0</v>
      </c>
      <c r="D130">
        <v>77</v>
      </c>
      <c r="E130">
        <v>0</v>
      </c>
      <c r="F130" s="2">
        <v>0</v>
      </c>
      <c r="G130">
        <v>0</v>
      </c>
      <c r="H130">
        <v>4</v>
      </c>
      <c r="I130">
        <v>0.2810494674954842</v>
      </c>
      <c r="J130">
        <v>19</v>
      </c>
      <c r="K130">
        <v>19</v>
      </c>
      <c r="L130" s="2">
        <v>0</v>
      </c>
      <c r="M130">
        <v>2.28</v>
      </c>
      <c r="N130" t="s">
        <v>10235</v>
      </c>
    </row>
    <row r="131" spans="1:14">
      <c r="A131" t="s">
        <v>24</v>
      </c>
      <c r="B131" t="s">
        <v>334</v>
      </c>
      <c r="C131">
        <f>"1216151"</f>
        <v>0</v>
      </c>
      <c r="D131">
        <v>16</v>
      </c>
      <c r="E131">
        <v>0</v>
      </c>
      <c r="F131" s="2">
        <v>0</v>
      </c>
      <c r="G131">
        <v>0</v>
      </c>
      <c r="H131">
        <v>4</v>
      </c>
      <c r="I131">
        <v>0.2809772529200286</v>
      </c>
      <c r="J131">
        <v>4</v>
      </c>
      <c r="K131">
        <v>4</v>
      </c>
      <c r="L131" s="2">
        <v>0</v>
      </c>
      <c r="M131">
        <v>2.29</v>
      </c>
      <c r="N131" t="s">
        <v>10235</v>
      </c>
    </row>
    <row r="132" spans="1:14">
      <c r="A132" t="s">
        <v>196</v>
      </c>
      <c r="B132" t="s">
        <v>335</v>
      </c>
      <c r="C132">
        <f>"2143"</f>
        <v>0</v>
      </c>
      <c r="D132">
        <v>1</v>
      </c>
      <c r="E132">
        <v>0</v>
      </c>
      <c r="F132" s="2">
        <v>0</v>
      </c>
      <c r="G132">
        <v>0</v>
      </c>
      <c r="H132">
        <v>1</v>
      </c>
      <c r="I132">
        <v>0.2807345696398275</v>
      </c>
      <c r="J132">
        <v>0</v>
      </c>
      <c r="K132">
        <v>0</v>
      </c>
      <c r="L132" s="2">
        <v>0</v>
      </c>
      <c r="M132">
        <v>2.31</v>
      </c>
      <c r="N132" t="s">
        <v>10236</v>
      </c>
    </row>
    <row r="133" spans="1:14">
      <c r="A133" t="s">
        <v>30</v>
      </c>
      <c r="B133" t="s">
        <v>336</v>
      </c>
      <c r="C133">
        <f>"100976"</f>
        <v>0</v>
      </c>
      <c r="D133">
        <v>16</v>
      </c>
      <c r="E133">
        <v>4</v>
      </c>
      <c r="F133" s="2">
        <v>1</v>
      </c>
      <c r="G133">
        <v>1</v>
      </c>
      <c r="H133">
        <v>4</v>
      </c>
      <c r="I133">
        <v>0.2804955085480968</v>
      </c>
      <c r="J133">
        <v>4</v>
      </c>
      <c r="K133">
        <v>0</v>
      </c>
      <c r="L133" s="2">
        <v>0</v>
      </c>
      <c r="M133">
        <v>2.32</v>
      </c>
      <c r="N133" t="s">
        <v>10235</v>
      </c>
    </row>
    <row r="134" spans="1:14">
      <c r="A134" t="s">
        <v>24</v>
      </c>
      <c r="B134" t="s">
        <v>337</v>
      </c>
      <c r="C134">
        <f>"1006177"</f>
        <v>0</v>
      </c>
      <c r="D134">
        <v>39</v>
      </c>
      <c r="E134">
        <v>42</v>
      </c>
      <c r="F134" s="2">
        <v>1</v>
      </c>
      <c r="G134">
        <v>4.31</v>
      </c>
      <c r="H134">
        <v>4</v>
      </c>
      <c r="I134">
        <v>0.280063025209923</v>
      </c>
      <c r="J134">
        <v>10</v>
      </c>
      <c r="K134">
        <v>0</v>
      </c>
      <c r="L134" s="2">
        <v>0</v>
      </c>
      <c r="M134">
        <v>2.34</v>
      </c>
      <c r="N134" t="s">
        <v>10235</v>
      </c>
    </row>
    <row r="135" spans="1:14">
      <c r="A135" t="s">
        <v>35</v>
      </c>
      <c r="B135" t="s">
        <v>338</v>
      </c>
      <c r="C135">
        <f>"ER145"</f>
        <v>0</v>
      </c>
      <c r="D135">
        <v>4</v>
      </c>
      <c r="E135">
        <v>2</v>
      </c>
      <c r="F135" s="2">
        <v>3</v>
      </c>
      <c r="G135">
        <v>2</v>
      </c>
      <c r="H135">
        <v>3</v>
      </c>
      <c r="I135">
        <v>0.2792009562444233</v>
      </c>
      <c r="J135">
        <v>1</v>
      </c>
      <c r="K135">
        <v>0</v>
      </c>
      <c r="L135" s="2">
        <v>0</v>
      </c>
      <c r="M135">
        <v>2.35</v>
      </c>
      <c r="N135" t="s">
        <v>10236</v>
      </c>
    </row>
    <row r="136" spans="1:14">
      <c r="A136" t="s">
        <v>29</v>
      </c>
      <c r="B136" t="s">
        <v>339</v>
      </c>
      <c r="C136">
        <f>"20624"</f>
        <v>0</v>
      </c>
      <c r="D136">
        <v>2</v>
      </c>
      <c r="E136">
        <v>7</v>
      </c>
      <c r="F136" s="2">
        <v>6</v>
      </c>
      <c r="G136">
        <v>14</v>
      </c>
      <c r="H136">
        <v>2</v>
      </c>
      <c r="I136">
        <v>0.2788372935379625</v>
      </c>
      <c r="J136">
        <v>0</v>
      </c>
      <c r="K136">
        <v>0</v>
      </c>
      <c r="L136" s="2">
        <v>0</v>
      </c>
      <c r="M136">
        <v>2.37</v>
      </c>
      <c r="N136" t="s">
        <v>10236</v>
      </c>
    </row>
    <row r="137" spans="1:14">
      <c r="A137" t="s">
        <v>35</v>
      </c>
      <c r="B137" t="s">
        <v>340</v>
      </c>
      <c r="C137">
        <f>"MCW156"</f>
        <v>0</v>
      </c>
      <c r="D137">
        <v>3</v>
      </c>
      <c r="E137">
        <v>0</v>
      </c>
      <c r="F137" s="2">
        <v>0</v>
      </c>
      <c r="G137">
        <v>0</v>
      </c>
      <c r="H137">
        <v>3</v>
      </c>
      <c r="I137">
        <v>0.2786134453280338</v>
      </c>
      <c r="J137">
        <v>1</v>
      </c>
      <c r="K137">
        <v>1</v>
      </c>
      <c r="L137" s="2">
        <v>0</v>
      </c>
      <c r="M137">
        <v>2.38</v>
      </c>
      <c r="N137" t="s">
        <v>10236</v>
      </c>
    </row>
    <row r="138" spans="1:14">
      <c r="A138" t="s">
        <v>28</v>
      </c>
      <c r="B138" t="s">
        <v>341</v>
      </c>
      <c r="C138">
        <f>"ECLA2"</f>
        <v>0</v>
      </c>
      <c r="D138">
        <v>76</v>
      </c>
      <c r="E138">
        <v>0</v>
      </c>
      <c r="F138" s="2">
        <v>0</v>
      </c>
      <c r="G138">
        <v>0</v>
      </c>
      <c r="H138">
        <v>3</v>
      </c>
      <c r="I138">
        <v>0.2783982903004701</v>
      </c>
      <c r="J138">
        <v>19</v>
      </c>
      <c r="K138">
        <v>19</v>
      </c>
      <c r="L138" s="2">
        <v>0</v>
      </c>
      <c r="M138">
        <v>2.4</v>
      </c>
      <c r="N138" t="s">
        <v>10235</v>
      </c>
    </row>
    <row r="139" spans="1:14">
      <c r="A139" t="s">
        <v>35</v>
      </c>
      <c r="B139" t="s">
        <v>342</v>
      </c>
      <c r="C139">
        <f>"HC015"</f>
        <v>0</v>
      </c>
      <c r="D139">
        <v>1</v>
      </c>
      <c r="E139">
        <v>14</v>
      </c>
      <c r="F139" s="2">
        <v>1</v>
      </c>
      <c r="G139">
        <v>56</v>
      </c>
      <c r="H139">
        <v>1</v>
      </c>
      <c r="I139">
        <v>0.2783004926106958</v>
      </c>
      <c r="J139">
        <v>0</v>
      </c>
      <c r="K139">
        <v>0</v>
      </c>
      <c r="L139" s="2">
        <v>0</v>
      </c>
      <c r="M139">
        <v>2.41</v>
      </c>
      <c r="N139" t="s">
        <v>10236</v>
      </c>
    </row>
    <row r="140" spans="1:14">
      <c r="A140" t="s">
        <v>31</v>
      </c>
      <c r="B140" t="s">
        <v>343</v>
      </c>
      <c r="C140">
        <f>"5001419"</f>
        <v>0</v>
      </c>
      <c r="D140">
        <v>9</v>
      </c>
      <c r="E140">
        <v>5</v>
      </c>
      <c r="F140" s="2">
        <v>5</v>
      </c>
      <c r="G140">
        <v>2.22</v>
      </c>
      <c r="H140">
        <v>4</v>
      </c>
      <c r="I140">
        <v>0.2779802955663571</v>
      </c>
      <c r="J140">
        <v>2</v>
      </c>
      <c r="K140">
        <v>0</v>
      </c>
      <c r="L140" s="2">
        <v>0</v>
      </c>
      <c r="M140">
        <v>2.43</v>
      </c>
      <c r="N140" t="s">
        <v>10235</v>
      </c>
    </row>
    <row r="141" spans="1:14">
      <c r="A141" t="s">
        <v>25</v>
      </c>
      <c r="B141" t="s">
        <v>344</v>
      </c>
      <c r="C141">
        <f>"ZVP2510"</f>
        <v>0</v>
      </c>
      <c r="D141">
        <v>1</v>
      </c>
      <c r="E141">
        <v>4</v>
      </c>
      <c r="F141" s="2">
        <v>1</v>
      </c>
      <c r="G141">
        <v>16</v>
      </c>
      <c r="H141">
        <v>1</v>
      </c>
      <c r="I141">
        <v>0.2772355838885868</v>
      </c>
      <c r="J141">
        <v>0</v>
      </c>
      <c r="K141">
        <v>0</v>
      </c>
      <c r="L141" s="2">
        <v>0</v>
      </c>
      <c r="M141">
        <v>2.44</v>
      </c>
      <c r="N141" t="s">
        <v>10236</v>
      </c>
    </row>
    <row r="142" spans="1:14">
      <c r="A142" t="s">
        <v>35</v>
      </c>
      <c r="B142" t="s">
        <v>345</v>
      </c>
      <c r="C142">
        <f>"RJ824R"</f>
        <v>0</v>
      </c>
      <c r="D142">
        <v>1</v>
      </c>
      <c r="E142">
        <v>6</v>
      </c>
      <c r="F142" s="2">
        <v>3</v>
      </c>
      <c r="G142">
        <v>24</v>
      </c>
      <c r="H142">
        <v>1</v>
      </c>
      <c r="I142">
        <v>0.2770580991015687</v>
      </c>
      <c r="J142">
        <v>0</v>
      </c>
      <c r="K142">
        <v>0</v>
      </c>
      <c r="L142" s="2">
        <v>0</v>
      </c>
      <c r="M142">
        <v>2.46</v>
      </c>
      <c r="N142" t="s">
        <v>10236</v>
      </c>
    </row>
    <row r="143" spans="1:14">
      <c r="A143" t="s">
        <v>28</v>
      </c>
      <c r="B143" t="s">
        <v>346</v>
      </c>
      <c r="C143">
        <f>"BTLE24KG"</f>
        <v>0</v>
      </c>
      <c r="D143">
        <v>74</v>
      </c>
      <c r="E143">
        <v>0</v>
      </c>
      <c r="F143" s="2">
        <v>0</v>
      </c>
      <c r="G143">
        <v>0</v>
      </c>
      <c r="H143">
        <v>3</v>
      </c>
      <c r="I143">
        <v>0.2769697188719004</v>
      </c>
      <c r="J143">
        <v>18</v>
      </c>
      <c r="K143">
        <v>18</v>
      </c>
      <c r="L143" s="2">
        <v>0</v>
      </c>
      <c r="M143">
        <v>2.47</v>
      </c>
      <c r="N143" t="s">
        <v>10235</v>
      </c>
    </row>
    <row r="144" spans="1:14">
      <c r="A144" t="s">
        <v>38</v>
      </c>
      <c r="B144" t="s">
        <v>347</v>
      </c>
      <c r="C144">
        <f>"1003687"</f>
        <v>0</v>
      </c>
      <c r="D144">
        <v>74</v>
      </c>
      <c r="E144">
        <v>0</v>
      </c>
      <c r="F144" s="2">
        <v>0</v>
      </c>
      <c r="G144">
        <v>0</v>
      </c>
      <c r="H144">
        <v>3</v>
      </c>
      <c r="I144">
        <v>0.2769697188719004</v>
      </c>
      <c r="J144">
        <v>18</v>
      </c>
      <c r="K144">
        <v>18</v>
      </c>
      <c r="L144" s="2">
        <v>0</v>
      </c>
      <c r="M144">
        <v>2.48</v>
      </c>
      <c r="N144" t="s">
        <v>10235</v>
      </c>
    </row>
    <row r="145" spans="1:14">
      <c r="A145" t="s">
        <v>30</v>
      </c>
      <c r="B145" t="s">
        <v>77</v>
      </c>
      <c r="C145">
        <f>"101339"</f>
        <v>0</v>
      </c>
      <c r="D145">
        <v>44</v>
      </c>
      <c r="E145">
        <v>0</v>
      </c>
      <c r="F145" s="2">
        <v>0</v>
      </c>
      <c r="G145">
        <v>0</v>
      </c>
      <c r="H145">
        <v>4</v>
      </c>
      <c r="I145">
        <v>0.2755614314190035</v>
      </c>
      <c r="J145">
        <v>11</v>
      </c>
      <c r="K145">
        <v>11</v>
      </c>
      <c r="L145" s="2">
        <v>0</v>
      </c>
      <c r="M145">
        <v>2.5</v>
      </c>
      <c r="N145" t="s">
        <v>10235</v>
      </c>
    </row>
    <row r="146" spans="1:14">
      <c r="A146" t="s">
        <v>33</v>
      </c>
      <c r="B146" t="s">
        <v>348</v>
      </c>
      <c r="C146">
        <f>"TOPK92215"</f>
        <v>0</v>
      </c>
      <c r="D146">
        <v>72</v>
      </c>
      <c r="E146">
        <v>0</v>
      </c>
      <c r="F146" s="2">
        <v>0</v>
      </c>
      <c r="G146">
        <v>0</v>
      </c>
      <c r="H146">
        <v>2</v>
      </c>
      <c r="I146">
        <v>0.2755411474433306</v>
      </c>
      <c r="J146">
        <v>18</v>
      </c>
      <c r="K146">
        <v>18</v>
      </c>
      <c r="L146" s="2">
        <v>0</v>
      </c>
      <c r="M146">
        <v>2.51</v>
      </c>
      <c r="N146" t="s">
        <v>10235</v>
      </c>
    </row>
    <row r="147" spans="1:14">
      <c r="A147" t="s">
        <v>30</v>
      </c>
      <c r="B147" t="s">
        <v>80</v>
      </c>
      <c r="C147">
        <f>"100138"</f>
        <v>0</v>
      </c>
      <c r="D147">
        <v>65</v>
      </c>
      <c r="E147">
        <v>4</v>
      </c>
      <c r="F147" s="2">
        <v>43</v>
      </c>
      <c r="G147">
        <v>0.25</v>
      </c>
      <c r="H147">
        <v>4</v>
      </c>
      <c r="I147">
        <v>0.2747787644785724</v>
      </c>
      <c r="J147">
        <v>16</v>
      </c>
      <c r="K147">
        <v>12</v>
      </c>
      <c r="L147" s="2">
        <v>516</v>
      </c>
      <c r="M147">
        <v>2.53</v>
      </c>
      <c r="N147" t="s">
        <v>10235</v>
      </c>
    </row>
    <row r="148" spans="1:14">
      <c r="A148" t="s">
        <v>35</v>
      </c>
      <c r="B148" t="s">
        <v>349</v>
      </c>
      <c r="C148">
        <f>"9001161V"</f>
        <v>0</v>
      </c>
      <c r="D148">
        <v>2</v>
      </c>
      <c r="E148">
        <v>0</v>
      </c>
      <c r="F148" s="2">
        <v>0</v>
      </c>
      <c r="G148">
        <v>0</v>
      </c>
      <c r="H148">
        <v>2</v>
      </c>
      <c r="I148">
        <v>0.274704433447422</v>
      </c>
      <c r="J148">
        <v>0</v>
      </c>
      <c r="K148">
        <v>0</v>
      </c>
      <c r="L148" s="2">
        <v>0</v>
      </c>
      <c r="M148">
        <v>2.54</v>
      </c>
      <c r="N148" t="s">
        <v>10236</v>
      </c>
    </row>
    <row r="149" spans="1:14">
      <c r="A149" t="s">
        <v>35</v>
      </c>
      <c r="B149" t="s">
        <v>350</v>
      </c>
      <c r="C149">
        <f>"BRI12"</f>
        <v>0</v>
      </c>
      <c r="D149">
        <v>3</v>
      </c>
      <c r="E149">
        <v>13</v>
      </c>
      <c r="F149" s="2">
        <v>2</v>
      </c>
      <c r="G149">
        <v>17.33</v>
      </c>
      <c r="H149">
        <v>3</v>
      </c>
      <c r="I149">
        <v>0.2745820052157388</v>
      </c>
      <c r="J149">
        <v>1</v>
      </c>
      <c r="K149">
        <v>0</v>
      </c>
      <c r="L149" s="2">
        <v>0</v>
      </c>
      <c r="M149">
        <v>2.56</v>
      </c>
      <c r="N149" t="s">
        <v>10236</v>
      </c>
    </row>
    <row r="150" spans="1:14">
      <c r="A150" t="s">
        <v>25</v>
      </c>
      <c r="B150" t="s">
        <v>351</v>
      </c>
      <c r="C150">
        <f>"ZVP1107"</f>
        <v>0</v>
      </c>
      <c r="D150">
        <v>13</v>
      </c>
      <c r="E150">
        <v>0</v>
      </c>
      <c r="F150" s="2">
        <v>0</v>
      </c>
      <c r="G150">
        <v>0</v>
      </c>
      <c r="H150">
        <v>4</v>
      </c>
      <c r="I150">
        <v>0.2740423065276836</v>
      </c>
      <c r="J150">
        <v>3</v>
      </c>
      <c r="K150">
        <v>3</v>
      </c>
      <c r="L150" s="2">
        <v>0</v>
      </c>
      <c r="M150">
        <v>2.57</v>
      </c>
      <c r="N150" t="s">
        <v>10235</v>
      </c>
    </row>
    <row r="151" spans="1:14">
      <c r="A151" t="s">
        <v>24</v>
      </c>
      <c r="B151" t="s">
        <v>352</v>
      </c>
      <c r="C151">
        <f>"1111072"</f>
        <v>0</v>
      </c>
      <c r="D151">
        <v>137</v>
      </c>
      <c r="E151">
        <v>99</v>
      </c>
      <c r="F151" s="2">
        <v>0</v>
      </c>
      <c r="G151">
        <v>2.89</v>
      </c>
      <c r="H151">
        <v>4</v>
      </c>
      <c r="I151">
        <v>0.2739378477250912</v>
      </c>
      <c r="J151">
        <v>34</v>
      </c>
      <c r="K151">
        <v>0</v>
      </c>
      <c r="L151" s="2">
        <v>0</v>
      </c>
      <c r="M151">
        <v>2.59</v>
      </c>
      <c r="N151" t="s">
        <v>10235</v>
      </c>
    </row>
    <row r="152" spans="1:14">
      <c r="A152" t="s">
        <v>32</v>
      </c>
      <c r="B152" t="s">
        <v>353</v>
      </c>
      <c r="C152">
        <f>"AZM00302"</f>
        <v>0</v>
      </c>
      <c r="D152">
        <v>68</v>
      </c>
      <c r="E152">
        <v>0</v>
      </c>
      <c r="F152" s="2">
        <v>0</v>
      </c>
      <c r="G152">
        <v>0</v>
      </c>
      <c r="H152">
        <v>3</v>
      </c>
      <c r="I152">
        <v>0.2738289589472453</v>
      </c>
      <c r="J152">
        <v>17</v>
      </c>
      <c r="K152">
        <v>17</v>
      </c>
      <c r="L152" s="2">
        <v>0</v>
      </c>
      <c r="M152">
        <v>2.6</v>
      </c>
      <c r="N152" t="s">
        <v>10235</v>
      </c>
    </row>
    <row r="153" spans="1:14">
      <c r="A153" t="s">
        <v>34</v>
      </c>
      <c r="B153" t="s">
        <v>70</v>
      </c>
      <c r="C153">
        <f>"14000007"</f>
        <v>0</v>
      </c>
      <c r="D153">
        <v>73</v>
      </c>
      <c r="E153">
        <v>8</v>
      </c>
      <c r="F153" s="2">
        <v>43</v>
      </c>
      <c r="G153">
        <v>0.44</v>
      </c>
      <c r="H153">
        <v>4</v>
      </c>
      <c r="I153">
        <v>0.2736280914917856</v>
      </c>
      <c r="J153">
        <v>18</v>
      </c>
      <c r="K153">
        <v>10</v>
      </c>
      <c r="L153" s="2">
        <v>430</v>
      </c>
      <c r="M153">
        <v>2.62</v>
      </c>
      <c r="N153" t="s">
        <v>10235</v>
      </c>
    </row>
    <row r="154" spans="1:14">
      <c r="A154" t="s">
        <v>35</v>
      </c>
      <c r="B154" t="s">
        <v>354</v>
      </c>
      <c r="C154">
        <f>"PT015SFA"</f>
        <v>0</v>
      </c>
      <c r="D154">
        <v>3</v>
      </c>
      <c r="E154">
        <v>0</v>
      </c>
      <c r="F154" s="2">
        <v>0</v>
      </c>
      <c r="G154">
        <v>0</v>
      </c>
      <c r="H154">
        <v>3</v>
      </c>
      <c r="I154">
        <v>0.2725789625694162</v>
      </c>
      <c r="J154">
        <v>1</v>
      </c>
      <c r="K154">
        <v>1</v>
      </c>
      <c r="L154" s="2">
        <v>0</v>
      </c>
      <c r="M154">
        <v>2.63</v>
      </c>
      <c r="N154" t="s">
        <v>10236</v>
      </c>
    </row>
    <row r="155" spans="1:14">
      <c r="A155" t="s">
        <v>25</v>
      </c>
      <c r="B155" t="s">
        <v>355</v>
      </c>
      <c r="C155">
        <f>"ZVP1256"</f>
        <v>0</v>
      </c>
      <c r="D155">
        <v>3</v>
      </c>
      <c r="E155">
        <v>0</v>
      </c>
      <c r="F155" s="2">
        <v>0</v>
      </c>
      <c r="G155">
        <v>0</v>
      </c>
      <c r="H155">
        <v>2</v>
      </c>
      <c r="I155">
        <v>0.2725789625694162</v>
      </c>
      <c r="J155">
        <v>1</v>
      </c>
      <c r="K155">
        <v>1</v>
      </c>
      <c r="L155" s="2">
        <v>0</v>
      </c>
      <c r="M155">
        <v>2.64</v>
      </c>
      <c r="N155" t="s">
        <v>10236</v>
      </c>
    </row>
    <row r="156" spans="1:14">
      <c r="A156" t="s">
        <v>30</v>
      </c>
      <c r="B156" t="s">
        <v>67</v>
      </c>
      <c r="C156">
        <f>"100129"</f>
        <v>0</v>
      </c>
      <c r="D156">
        <v>49</v>
      </c>
      <c r="E156">
        <v>0</v>
      </c>
      <c r="F156" s="2">
        <v>0</v>
      </c>
      <c r="G156">
        <v>0</v>
      </c>
      <c r="H156">
        <v>4</v>
      </c>
      <c r="I156">
        <v>0.2724051216537173</v>
      </c>
      <c r="J156">
        <v>12</v>
      </c>
      <c r="K156">
        <v>12</v>
      </c>
      <c r="L156" s="2">
        <v>0</v>
      </c>
      <c r="M156">
        <v>2.66</v>
      </c>
      <c r="N156" t="s">
        <v>10235</v>
      </c>
    </row>
    <row r="157" spans="1:14">
      <c r="A157" t="s">
        <v>25</v>
      </c>
      <c r="B157" t="s">
        <v>356</v>
      </c>
      <c r="C157">
        <f>"RY29LAM"</f>
        <v>0</v>
      </c>
      <c r="D157">
        <v>2</v>
      </c>
      <c r="E157">
        <v>0</v>
      </c>
      <c r="F157" s="2">
        <v>0</v>
      </c>
      <c r="G157">
        <v>0</v>
      </c>
      <c r="H157">
        <v>2</v>
      </c>
      <c r="I157">
        <v>0.2718646768551313</v>
      </c>
      <c r="J157">
        <v>0</v>
      </c>
      <c r="K157">
        <v>0</v>
      </c>
      <c r="L157" s="2">
        <v>0</v>
      </c>
      <c r="M157">
        <v>2.67</v>
      </c>
      <c r="N157" t="s">
        <v>10236</v>
      </c>
    </row>
    <row r="158" spans="1:14">
      <c r="A158" t="s">
        <v>35</v>
      </c>
      <c r="B158" t="s">
        <v>357</v>
      </c>
      <c r="C158">
        <f>"ZX011ROS"</f>
        <v>0</v>
      </c>
      <c r="D158">
        <v>2</v>
      </c>
      <c r="E158">
        <v>5</v>
      </c>
      <c r="F158" s="2">
        <v>1</v>
      </c>
      <c r="G158">
        <v>10</v>
      </c>
      <c r="H158">
        <v>2</v>
      </c>
      <c r="I158">
        <v>0.2715604172702177</v>
      </c>
      <c r="J158">
        <v>0</v>
      </c>
      <c r="K158">
        <v>0</v>
      </c>
      <c r="L158" s="2">
        <v>0</v>
      </c>
      <c r="M158">
        <v>2.69</v>
      </c>
      <c r="N158" t="s">
        <v>10236</v>
      </c>
    </row>
    <row r="159" spans="1:14">
      <c r="A159" t="s">
        <v>34</v>
      </c>
      <c r="B159" t="s">
        <v>358</v>
      </c>
      <c r="C159">
        <f>"14000088"</f>
        <v>0</v>
      </c>
      <c r="D159">
        <v>85</v>
      </c>
      <c r="E159">
        <v>9</v>
      </c>
      <c r="F159" s="2">
        <v>37</v>
      </c>
      <c r="G159">
        <v>0.42</v>
      </c>
      <c r="H159">
        <v>4</v>
      </c>
      <c r="I159">
        <v>0.2713251883222146</v>
      </c>
      <c r="J159">
        <v>21</v>
      </c>
      <c r="K159">
        <v>12</v>
      </c>
      <c r="L159" s="2">
        <v>444</v>
      </c>
      <c r="M159">
        <v>2.7</v>
      </c>
      <c r="N159" t="s">
        <v>10235</v>
      </c>
    </row>
    <row r="160" spans="1:14">
      <c r="A160" t="s">
        <v>27</v>
      </c>
      <c r="B160" t="s">
        <v>359</v>
      </c>
      <c r="C160">
        <f>"USA666"</f>
        <v>0</v>
      </c>
      <c r="D160">
        <v>66</v>
      </c>
      <c r="E160">
        <v>0</v>
      </c>
      <c r="F160" s="2">
        <v>0</v>
      </c>
      <c r="G160">
        <v>0</v>
      </c>
      <c r="H160">
        <v>3</v>
      </c>
      <c r="I160">
        <v>0.2712554331576214</v>
      </c>
      <c r="J160">
        <v>16</v>
      </c>
      <c r="K160">
        <v>16</v>
      </c>
      <c r="L160" s="2">
        <v>0</v>
      </c>
      <c r="M160">
        <v>2.72</v>
      </c>
      <c r="N160" t="s">
        <v>10235</v>
      </c>
    </row>
    <row r="161" spans="1:14">
      <c r="A161" t="s">
        <v>35</v>
      </c>
      <c r="B161" t="s">
        <v>360</v>
      </c>
      <c r="C161">
        <f>"G22"</f>
        <v>0</v>
      </c>
      <c r="D161">
        <v>4</v>
      </c>
      <c r="E161">
        <v>8</v>
      </c>
      <c r="F161" s="2">
        <v>5</v>
      </c>
      <c r="G161">
        <v>8</v>
      </c>
      <c r="H161">
        <v>2</v>
      </c>
      <c r="I161">
        <v>0.2705042016805331</v>
      </c>
      <c r="J161">
        <v>1</v>
      </c>
      <c r="K161">
        <v>0</v>
      </c>
      <c r="L161" s="2">
        <v>0</v>
      </c>
      <c r="M161">
        <v>2.73</v>
      </c>
      <c r="N161" t="s">
        <v>10236</v>
      </c>
    </row>
    <row r="162" spans="1:14">
      <c r="A162" t="s">
        <v>25</v>
      </c>
      <c r="B162" t="s">
        <v>361</v>
      </c>
      <c r="C162">
        <f>"6765071"</f>
        <v>0</v>
      </c>
      <c r="D162">
        <v>3</v>
      </c>
      <c r="E162">
        <v>0</v>
      </c>
      <c r="F162" s="2">
        <v>0</v>
      </c>
      <c r="G162">
        <v>0</v>
      </c>
      <c r="H162">
        <v>3</v>
      </c>
      <c r="I162">
        <v>0.2700941755511619</v>
      </c>
      <c r="J162">
        <v>1</v>
      </c>
      <c r="K162">
        <v>1</v>
      </c>
      <c r="L162" s="2">
        <v>0</v>
      </c>
      <c r="M162">
        <v>2.75</v>
      </c>
      <c r="N162" t="s">
        <v>10236</v>
      </c>
    </row>
    <row r="163" spans="1:14">
      <c r="A163" t="s">
        <v>41</v>
      </c>
      <c r="B163" t="s">
        <v>91</v>
      </c>
      <c r="C163">
        <f>"INSUANTI01"</f>
        <v>0</v>
      </c>
      <c r="D163">
        <v>129</v>
      </c>
      <c r="E163">
        <v>42</v>
      </c>
      <c r="F163" s="2">
        <v>3</v>
      </c>
      <c r="G163">
        <v>1.3</v>
      </c>
      <c r="H163">
        <v>4</v>
      </c>
      <c r="I163">
        <v>0.269793237467201</v>
      </c>
      <c r="J163">
        <v>32</v>
      </c>
      <c r="K163">
        <v>0</v>
      </c>
      <c r="L163" s="2">
        <v>0</v>
      </c>
      <c r="M163">
        <v>2.76</v>
      </c>
      <c r="N163" t="s">
        <v>10235</v>
      </c>
    </row>
    <row r="164" spans="1:14">
      <c r="A164" t="s">
        <v>200</v>
      </c>
      <c r="B164" t="s">
        <v>362</v>
      </c>
      <c r="C164">
        <f>"ER024"</f>
        <v>0</v>
      </c>
      <c r="D164">
        <v>8</v>
      </c>
      <c r="E164">
        <v>0</v>
      </c>
      <c r="F164" s="2">
        <v>0</v>
      </c>
      <c r="G164">
        <v>0</v>
      </c>
      <c r="H164">
        <v>2</v>
      </c>
      <c r="I164">
        <v>0.2695834540211684</v>
      </c>
      <c r="J164">
        <v>2</v>
      </c>
      <c r="K164">
        <v>2</v>
      </c>
      <c r="L164" s="2">
        <v>0</v>
      </c>
      <c r="M164">
        <v>2.77</v>
      </c>
      <c r="N164" t="s">
        <v>10235</v>
      </c>
    </row>
    <row r="165" spans="1:14">
      <c r="A165" t="s">
        <v>29</v>
      </c>
      <c r="B165" t="s">
        <v>363</v>
      </c>
      <c r="C165">
        <f>"UF20P"</f>
        <v>0</v>
      </c>
      <c r="D165">
        <v>1</v>
      </c>
      <c r="E165">
        <v>0</v>
      </c>
      <c r="F165" s="2">
        <v>0</v>
      </c>
      <c r="G165">
        <v>0</v>
      </c>
      <c r="H165">
        <v>1</v>
      </c>
      <c r="I165">
        <v>0.269553028057683</v>
      </c>
      <c r="J165">
        <v>0</v>
      </c>
      <c r="K165">
        <v>0</v>
      </c>
      <c r="L165" s="2">
        <v>0</v>
      </c>
      <c r="M165">
        <v>2.79</v>
      </c>
      <c r="N165" t="s">
        <v>10236</v>
      </c>
    </row>
    <row r="166" spans="1:14">
      <c r="A166" t="s">
        <v>37</v>
      </c>
      <c r="B166" t="s">
        <v>364</v>
      </c>
      <c r="C166">
        <f>"573815"</f>
        <v>0</v>
      </c>
      <c r="D166">
        <v>5</v>
      </c>
      <c r="E166">
        <v>0</v>
      </c>
      <c r="F166" s="2">
        <v>0</v>
      </c>
      <c r="G166">
        <v>0</v>
      </c>
      <c r="H166">
        <v>3</v>
      </c>
      <c r="I166">
        <v>0.2692154447484955</v>
      </c>
      <c r="J166">
        <v>1</v>
      </c>
      <c r="K166">
        <v>1</v>
      </c>
      <c r="L166" s="2">
        <v>0</v>
      </c>
      <c r="M166">
        <v>2.8</v>
      </c>
      <c r="N166" t="s">
        <v>10235</v>
      </c>
    </row>
    <row r="167" spans="1:14">
      <c r="A167" t="s">
        <v>30</v>
      </c>
      <c r="B167" t="s">
        <v>365</v>
      </c>
      <c r="C167">
        <f>"101112"</f>
        <v>0</v>
      </c>
      <c r="D167">
        <v>15</v>
      </c>
      <c r="E167">
        <v>7</v>
      </c>
      <c r="F167" s="2">
        <v>4</v>
      </c>
      <c r="G167">
        <v>1.87</v>
      </c>
      <c r="H167">
        <v>4</v>
      </c>
      <c r="I167">
        <v>0.2689546508257039</v>
      </c>
      <c r="J167">
        <v>4</v>
      </c>
      <c r="K167">
        <v>0</v>
      </c>
      <c r="L167" s="2">
        <v>0</v>
      </c>
      <c r="M167">
        <v>2.82</v>
      </c>
      <c r="N167" t="s">
        <v>10235</v>
      </c>
    </row>
    <row r="168" spans="1:14">
      <c r="A168" t="s">
        <v>35</v>
      </c>
      <c r="B168" t="s">
        <v>366</v>
      </c>
      <c r="C168">
        <f>"CK1001"</f>
        <v>0</v>
      </c>
      <c r="D168">
        <v>18</v>
      </c>
      <c r="E168">
        <v>9</v>
      </c>
      <c r="F168" s="2">
        <v>1</v>
      </c>
      <c r="G168">
        <v>2</v>
      </c>
      <c r="H168">
        <v>4</v>
      </c>
      <c r="I168">
        <v>0.2682577513762678</v>
      </c>
      <c r="J168">
        <v>4</v>
      </c>
      <c r="K168">
        <v>0</v>
      </c>
      <c r="L168" s="2">
        <v>0</v>
      </c>
      <c r="M168">
        <v>2.83</v>
      </c>
      <c r="N168" t="s">
        <v>10235</v>
      </c>
    </row>
    <row r="169" spans="1:14">
      <c r="A169" t="s">
        <v>27</v>
      </c>
      <c r="B169" t="s">
        <v>367</v>
      </c>
      <c r="C169">
        <f>"USD612"</f>
        <v>0</v>
      </c>
      <c r="D169">
        <v>3</v>
      </c>
      <c r="E169">
        <v>17</v>
      </c>
      <c r="F169" s="2">
        <v>1</v>
      </c>
      <c r="G169">
        <v>22.67</v>
      </c>
      <c r="H169">
        <v>3</v>
      </c>
      <c r="I169">
        <v>0.2676600985220303</v>
      </c>
      <c r="J169">
        <v>1</v>
      </c>
      <c r="K169">
        <v>0</v>
      </c>
      <c r="L169" s="2">
        <v>0</v>
      </c>
      <c r="M169">
        <v>2.84</v>
      </c>
      <c r="N169" t="s">
        <v>10236</v>
      </c>
    </row>
    <row r="170" spans="1:14">
      <c r="A170" t="s">
        <v>201</v>
      </c>
      <c r="B170" t="s">
        <v>368</v>
      </c>
      <c r="C170">
        <f>"120101"</f>
        <v>0</v>
      </c>
      <c r="D170">
        <v>118</v>
      </c>
      <c r="E170">
        <v>44</v>
      </c>
      <c r="F170" s="2">
        <v>11</v>
      </c>
      <c r="G170">
        <v>1.49</v>
      </c>
      <c r="H170">
        <v>4</v>
      </c>
      <c r="I170">
        <v>0.2673818603301458</v>
      </c>
      <c r="J170">
        <v>30</v>
      </c>
      <c r="K170">
        <v>0</v>
      </c>
      <c r="L170" s="2">
        <v>0</v>
      </c>
      <c r="M170">
        <v>2.86</v>
      </c>
      <c r="N170" t="s">
        <v>10235</v>
      </c>
    </row>
    <row r="171" spans="1:14">
      <c r="A171" t="s">
        <v>27</v>
      </c>
      <c r="B171" t="s">
        <v>369</v>
      </c>
      <c r="C171">
        <f>"USA668"</f>
        <v>0</v>
      </c>
      <c r="D171">
        <v>60</v>
      </c>
      <c r="E171">
        <v>0</v>
      </c>
      <c r="F171" s="2">
        <v>0</v>
      </c>
      <c r="G171">
        <v>0</v>
      </c>
      <c r="H171">
        <v>3</v>
      </c>
      <c r="I171">
        <v>0.2669697188719122</v>
      </c>
      <c r="J171">
        <v>15</v>
      </c>
      <c r="K171">
        <v>15</v>
      </c>
      <c r="L171" s="2">
        <v>0</v>
      </c>
      <c r="M171">
        <v>2.87</v>
      </c>
      <c r="N171" t="s">
        <v>10235</v>
      </c>
    </row>
    <row r="172" spans="1:14">
      <c r="A172" t="s">
        <v>37</v>
      </c>
      <c r="B172" t="s">
        <v>370</v>
      </c>
      <c r="C172">
        <f>"575500"</f>
        <v>0</v>
      </c>
      <c r="D172">
        <v>59</v>
      </c>
      <c r="E172">
        <v>0</v>
      </c>
      <c r="F172" s="2">
        <v>0</v>
      </c>
      <c r="G172">
        <v>0</v>
      </c>
      <c r="H172">
        <v>2</v>
      </c>
      <c r="I172">
        <v>0.2662554331576274</v>
      </c>
      <c r="J172">
        <v>15</v>
      </c>
      <c r="K172">
        <v>15</v>
      </c>
      <c r="L172" s="2">
        <v>0</v>
      </c>
      <c r="M172">
        <v>2.89</v>
      </c>
      <c r="N172" t="s">
        <v>10235</v>
      </c>
    </row>
    <row r="173" spans="1:14">
      <c r="A173" t="s">
        <v>35</v>
      </c>
      <c r="B173" t="s">
        <v>371</v>
      </c>
      <c r="C173">
        <f>"NO46HUE"</f>
        <v>0</v>
      </c>
      <c r="D173">
        <v>7</v>
      </c>
      <c r="E173">
        <v>5</v>
      </c>
      <c r="F173" s="2">
        <v>1</v>
      </c>
      <c r="G173">
        <v>2.86</v>
      </c>
      <c r="H173">
        <v>3</v>
      </c>
      <c r="I173">
        <v>0.2655476673426611</v>
      </c>
      <c r="J173">
        <v>2</v>
      </c>
      <c r="K173">
        <v>0</v>
      </c>
      <c r="L173" s="2">
        <v>0</v>
      </c>
      <c r="M173">
        <v>2.9</v>
      </c>
      <c r="N173" t="s">
        <v>10235</v>
      </c>
    </row>
    <row r="174" spans="1:14">
      <c r="A174" t="s">
        <v>31</v>
      </c>
      <c r="B174" t="s">
        <v>372</v>
      </c>
      <c r="C174">
        <f>"5008555"</f>
        <v>0</v>
      </c>
      <c r="D174">
        <v>125</v>
      </c>
      <c r="E174">
        <v>116</v>
      </c>
      <c r="F174" s="2">
        <v>7</v>
      </c>
      <c r="G174">
        <v>3.71</v>
      </c>
      <c r="H174">
        <v>4</v>
      </c>
      <c r="I174">
        <v>0.2653610946100623</v>
      </c>
      <c r="J174">
        <v>31</v>
      </c>
      <c r="K174">
        <v>0</v>
      </c>
      <c r="L174" s="2">
        <v>0</v>
      </c>
      <c r="M174">
        <v>2.92</v>
      </c>
      <c r="N174" t="s">
        <v>10235</v>
      </c>
    </row>
    <row r="175" spans="1:14">
      <c r="A175" t="s">
        <v>29</v>
      </c>
      <c r="B175" t="s">
        <v>373</v>
      </c>
      <c r="C175">
        <f>"PMH50"</f>
        <v>0</v>
      </c>
      <c r="D175">
        <v>2</v>
      </c>
      <c r="E175">
        <v>3</v>
      </c>
      <c r="F175" s="2">
        <v>3</v>
      </c>
      <c r="G175">
        <v>6</v>
      </c>
      <c r="H175">
        <v>2</v>
      </c>
      <c r="I175">
        <v>0.2649934801505456</v>
      </c>
      <c r="J175">
        <v>0</v>
      </c>
      <c r="K175">
        <v>0</v>
      </c>
      <c r="L175" s="2">
        <v>0</v>
      </c>
      <c r="M175">
        <v>2.93</v>
      </c>
      <c r="N175" t="s">
        <v>10236</v>
      </c>
    </row>
    <row r="176" spans="1:14">
      <c r="A176" t="s">
        <v>30</v>
      </c>
      <c r="B176" t="s">
        <v>374</v>
      </c>
      <c r="C176">
        <f>"100135"</f>
        <v>0</v>
      </c>
      <c r="D176">
        <v>84</v>
      </c>
      <c r="E176">
        <v>13</v>
      </c>
      <c r="F176" s="2">
        <v>43</v>
      </c>
      <c r="G176">
        <v>0.62</v>
      </c>
      <c r="H176">
        <v>4</v>
      </c>
      <c r="I176">
        <v>0.2649494445862151</v>
      </c>
      <c r="J176">
        <v>21</v>
      </c>
      <c r="K176">
        <v>8</v>
      </c>
      <c r="L176" s="2">
        <v>344</v>
      </c>
      <c r="M176">
        <v>2.94</v>
      </c>
      <c r="N176" t="s">
        <v>10235</v>
      </c>
    </row>
    <row r="177" spans="1:14">
      <c r="A177" t="s">
        <v>26</v>
      </c>
      <c r="B177" t="s">
        <v>375</v>
      </c>
      <c r="C177">
        <f>"49273"</f>
        <v>0</v>
      </c>
      <c r="D177">
        <v>121</v>
      </c>
      <c r="E177">
        <v>37</v>
      </c>
      <c r="F177" s="2">
        <v>6</v>
      </c>
      <c r="G177">
        <v>1.22</v>
      </c>
      <c r="H177">
        <v>4</v>
      </c>
      <c r="I177">
        <v>0.2649211170673232</v>
      </c>
      <c r="J177">
        <v>30</v>
      </c>
      <c r="K177">
        <v>0</v>
      </c>
      <c r="L177" s="2">
        <v>0</v>
      </c>
      <c r="M177">
        <v>2.96</v>
      </c>
      <c r="N177" t="s">
        <v>10235</v>
      </c>
    </row>
    <row r="178" spans="1:14">
      <c r="A178" t="s">
        <v>27</v>
      </c>
      <c r="B178" t="s">
        <v>376</v>
      </c>
      <c r="C178">
        <f>"USA741"</f>
        <v>0</v>
      </c>
      <c r="D178">
        <v>57</v>
      </c>
      <c r="E178">
        <v>0</v>
      </c>
      <c r="F178" s="2">
        <v>0</v>
      </c>
      <c r="G178">
        <v>0</v>
      </c>
      <c r="H178">
        <v>3</v>
      </c>
      <c r="I178">
        <v>0.2648268617290577</v>
      </c>
      <c r="J178">
        <v>14</v>
      </c>
      <c r="K178">
        <v>14</v>
      </c>
      <c r="L178" s="2">
        <v>0</v>
      </c>
      <c r="M178">
        <v>2.97</v>
      </c>
      <c r="N178" t="s">
        <v>10235</v>
      </c>
    </row>
    <row r="179" spans="1:14">
      <c r="A179" t="s">
        <v>37</v>
      </c>
      <c r="B179" t="s">
        <v>377</v>
      </c>
      <c r="C179">
        <f>"574560"</f>
        <v>0</v>
      </c>
      <c r="D179">
        <v>57</v>
      </c>
      <c r="E179">
        <v>0</v>
      </c>
      <c r="F179" s="2">
        <v>0</v>
      </c>
      <c r="G179">
        <v>0</v>
      </c>
      <c r="H179">
        <v>2</v>
      </c>
      <c r="I179">
        <v>0.2648268617290577</v>
      </c>
      <c r="J179">
        <v>14</v>
      </c>
      <c r="K179">
        <v>14</v>
      </c>
      <c r="L179" s="2">
        <v>0</v>
      </c>
      <c r="M179">
        <v>2.99</v>
      </c>
      <c r="N179" t="s">
        <v>10235</v>
      </c>
    </row>
    <row r="180" spans="1:14">
      <c r="A180" t="s">
        <v>35</v>
      </c>
      <c r="B180" t="s">
        <v>378</v>
      </c>
      <c r="C180">
        <f>"SA015AZ"</f>
        <v>0</v>
      </c>
      <c r="D180">
        <v>1</v>
      </c>
      <c r="E180">
        <v>0</v>
      </c>
      <c r="F180" s="2">
        <v>0</v>
      </c>
      <c r="G180">
        <v>0</v>
      </c>
      <c r="H180">
        <v>1</v>
      </c>
      <c r="I180">
        <v>0.2644059692341562</v>
      </c>
      <c r="J180">
        <v>0</v>
      </c>
      <c r="K180">
        <v>0</v>
      </c>
      <c r="L180" s="2">
        <v>0</v>
      </c>
      <c r="M180">
        <v>3</v>
      </c>
      <c r="N180" t="s">
        <v>10236</v>
      </c>
    </row>
    <row r="181" spans="1:14">
      <c r="A181" t="s">
        <v>28</v>
      </c>
      <c r="B181" t="s">
        <v>379</v>
      </c>
      <c r="C181">
        <f>"ECAL"</f>
        <v>0</v>
      </c>
      <c r="D181">
        <v>55</v>
      </c>
      <c r="E181">
        <v>0</v>
      </c>
      <c r="F181" s="2">
        <v>0</v>
      </c>
      <c r="G181">
        <v>0</v>
      </c>
      <c r="H181">
        <v>3</v>
      </c>
      <c r="I181">
        <v>0.2633982903004879</v>
      </c>
      <c r="J181">
        <v>14</v>
      </c>
      <c r="K181">
        <v>14</v>
      </c>
      <c r="L181" s="2">
        <v>0</v>
      </c>
      <c r="M181">
        <v>3.01</v>
      </c>
      <c r="N181" t="s">
        <v>10235</v>
      </c>
    </row>
    <row r="182" spans="1:14">
      <c r="A182" t="s">
        <v>27</v>
      </c>
      <c r="B182" t="s">
        <v>380</v>
      </c>
      <c r="C182">
        <f>"USA669"</f>
        <v>0</v>
      </c>
      <c r="D182">
        <v>11</v>
      </c>
      <c r="E182">
        <v>19</v>
      </c>
      <c r="F182" s="2">
        <v>1</v>
      </c>
      <c r="G182">
        <v>6.91</v>
      </c>
      <c r="H182">
        <v>4</v>
      </c>
      <c r="I182">
        <v>0.2623703274411829</v>
      </c>
      <c r="J182">
        <v>3</v>
      </c>
      <c r="K182">
        <v>0</v>
      </c>
      <c r="L182" s="2">
        <v>0</v>
      </c>
      <c r="M182">
        <v>3.03</v>
      </c>
      <c r="N182" t="s">
        <v>10235</v>
      </c>
    </row>
    <row r="183" spans="1:14">
      <c r="A183" t="s">
        <v>35</v>
      </c>
      <c r="B183" t="s">
        <v>381</v>
      </c>
      <c r="C183">
        <f>"JWZ1025S"</f>
        <v>0</v>
      </c>
      <c r="D183">
        <v>37</v>
      </c>
      <c r="E183">
        <v>3</v>
      </c>
      <c r="F183" s="2">
        <v>1</v>
      </c>
      <c r="G183">
        <v>0.32</v>
      </c>
      <c r="H183">
        <v>2</v>
      </c>
      <c r="I183">
        <v>0.2618350732311761</v>
      </c>
      <c r="J183">
        <v>9</v>
      </c>
      <c r="K183">
        <v>6</v>
      </c>
      <c r="L183" s="2">
        <v>6</v>
      </c>
      <c r="M183">
        <v>3.04</v>
      </c>
      <c r="N183" t="s">
        <v>10235</v>
      </c>
    </row>
    <row r="184" spans="1:14">
      <c r="A184" t="s">
        <v>34</v>
      </c>
      <c r="B184" t="s">
        <v>89</v>
      </c>
      <c r="C184">
        <f>"14000004"</f>
        <v>0</v>
      </c>
      <c r="D184">
        <v>64</v>
      </c>
      <c r="E184">
        <v>6</v>
      </c>
      <c r="F184" s="2">
        <v>43</v>
      </c>
      <c r="G184">
        <v>0.38</v>
      </c>
      <c r="H184">
        <v>4</v>
      </c>
      <c r="I184">
        <v>0.2614959286849161</v>
      </c>
      <c r="J184">
        <v>16</v>
      </c>
      <c r="K184">
        <v>10</v>
      </c>
      <c r="L184" s="2">
        <v>430</v>
      </c>
      <c r="M184">
        <v>3.05</v>
      </c>
      <c r="N184" t="s">
        <v>10235</v>
      </c>
    </row>
    <row r="185" spans="1:14">
      <c r="A185" t="s">
        <v>35</v>
      </c>
      <c r="B185" t="s">
        <v>382</v>
      </c>
      <c r="C185">
        <f>"KE3207P"</f>
        <v>0</v>
      </c>
      <c r="D185">
        <v>2</v>
      </c>
      <c r="E185">
        <v>64</v>
      </c>
      <c r="F185" s="2">
        <v>3</v>
      </c>
      <c r="G185">
        <v>128</v>
      </c>
      <c r="H185">
        <v>1</v>
      </c>
      <c r="I185">
        <v>0.2614437844101823</v>
      </c>
      <c r="J185">
        <v>0</v>
      </c>
      <c r="K185">
        <v>0</v>
      </c>
      <c r="L185" s="2">
        <v>0</v>
      </c>
      <c r="M185">
        <v>3.07</v>
      </c>
      <c r="N185" t="s">
        <v>10236</v>
      </c>
    </row>
    <row r="186" spans="1:14">
      <c r="A186" t="s">
        <v>193</v>
      </c>
      <c r="B186" t="s">
        <v>383</v>
      </c>
      <c r="C186">
        <f>"2GA320MAS2"</f>
        <v>0</v>
      </c>
      <c r="D186">
        <v>52</v>
      </c>
      <c r="E186">
        <v>0</v>
      </c>
      <c r="F186" s="2">
        <v>0</v>
      </c>
      <c r="G186">
        <v>0</v>
      </c>
      <c r="H186">
        <v>3</v>
      </c>
      <c r="I186">
        <v>0.2612554331576333</v>
      </c>
      <c r="J186">
        <v>13</v>
      </c>
      <c r="K186">
        <v>13</v>
      </c>
      <c r="L186" s="2">
        <v>0</v>
      </c>
      <c r="M186">
        <v>3.08</v>
      </c>
      <c r="N186" t="s">
        <v>10235</v>
      </c>
    </row>
    <row r="187" spans="1:14">
      <c r="A187" t="s">
        <v>35</v>
      </c>
      <c r="B187" t="s">
        <v>384</v>
      </c>
      <c r="C187">
        <f>"JWZ1033L"</f>
        <v>0</v>
      </c>
      <c r="D187">
        <v>52</v>
      </c>
      <c r="E187">
        <v>0</v>
      </c>
      <c r="F187" s="2">
        <v>0</v>
      </c>
      <c r="G187">
        <v>0</v>
      </c>
      <c r="H187">
        <v>1</v>
      </c>
      <c r="I187">
        <v>0.2612554331576333</v>
      </c>
      <c r="J187">
        <v>13</v>
      </c>
      <c r="K187">
        <v>13</v>
      </c>
      <c r="L187" s="2">
        <v>0</v>
      </c>
      <c r="M187">
        <v>3.1</v>
      </c>
      <c r="N187" t="s">
        <v>10236</v>
      </c>
    </row>
    <row r="188" spans="1:14">
      <c r="A188" t="s">
        <v>24</v>
      </c>
      <c r="B188" t="s">
        <v>65</v>
      </c>
      <c r="C188">
        <f>"1165501"</f>
        <v>0</v>
      </c>
      <c r="D188">
        <v>45</v>
      </c>
      <c r="E188">
        <v>0</v>
      </c>
      <c r="F188" s="2">
        <v>0</v>
      </c>
      <c r="G188">
        <v>0</v>
      </c>
      <c r="H188">
        <v>4</v>
      </c>
      <c r="I188">
        <v>0.2612471927925252</v>
      </c>
      <c r="J188">
        <v>11</v>
      </c>
      <c r="K188">
        <v>11</v>
      </c>
      <c r="L188" s="2">
        <v>0</v>
      </c>
      <c r="M188">
        <v>3.11</v>
      </c>
      <c r="N188" t="s">
        <v>10235</v>
      </c>
    </row>
    <row r="189" spans="1:14">
      <c r="A189" t="s">
        <v>24</v>
      </c>
      <c r="B189" t="s">
        <v>385</v>
      </c>
      <c r="C189">
        <f>"1110651"</f>
        <v>0</v>
      </c>
      <c r="D189">
        <v>51</v>
      </c>
      <c r="E189">
        <v>0</v>
      </c>
      <c r="F189" s="2">
        <v>0</v>
      </c>
      <c r="G189">
        <v>0</v>
      </c>
      <c r="H189">
        <v>3</v>
      </c>
      <c r="I189">
        <v>0.260897891865255</v>
      </c>
      <c r="J189">
        <v>13</v>
      </c>
      <c r="K189">
        <v>13</v>
      </c>
      <c r="L189" s="2">
        <v>0</v>
      </c>
      <c r="M189">
        <v>3.12</v>
      </c>
      <c r="N189" t="s">
        <v>10235</v>
      </c>
    </row>
    <row r="190" spans="1:14">
      <c r="A190" t="s">
        <v>35</v>
      </c>
      <c r="B190" t="s">
        <v>386</v>
      </c>
      <c r="C190">
        <f>"KHSG0160"</f>
        <v>0</v>
      </c>
      <c r="D190">
        <v>1</v>
      </c>
      <c r="E190">
        <v>0</v>
      </c>
      <c r="F190" s="2">
        <v>0</v>
      </c>
      <c r="G190">
        <v>0</v>
      </c>
      <c r="H190">
        <v>1</v>
      </c>
      <c r="I190">
        <v>0.2608562734937929</v>
      </c>
      <c r="J190">
        <v>0</v>
      </c>
      <c r="K190">
        <v>0</v>
      </c>
      <c r="L190" s="2">
        <v>0</v>
      </c>
      <c r="M190">
        <v>3.14</v>
      </c>
      <c r="N190" t="s">
        <v>10236</v>
      </c>
    </row>
    <row r="191" spans="1:14">
      <c r="A191" t="s">
        <v>27</v>
      </c>
      <c r="B191" t="s">
        <v>387</v>
      </c>
      <c r="C191">
        <f>"USA743"</f>
        <v>0</v>
      </c>
      <c r="D191">
        <v>51</v>
      </c>
      <c r="E191">
        <v>0</v>
      </c>
      <c r="F191" s="2">
        <v>0</v>
      </c>
      <c r="G191">
        <v>0</v>
      </c>
      <c r="H191">
        <v>2</v>
      </c>
      <c r="I191">
        <v>0.2605411474433485</v>
      </c>
      <c r="J191">
        <v>13</v>
      </c>
      <c r="K191">
        <v>13</v>
      </c>
      <c r="L191" s="2">
        <v>0</v>
      </c>
      <c r="M191">
        <v>3.15</v>
      </c>
      <c r="N191" t="s">
        <v>10235</v>
      </c>
    </row>
    <row r="192" spans="1:14">
      <c r="A192" t="s">
        <v>40</v>
      </c>
      <c r="B192" t="s">
        <v>388</v>
      </c>
      <c r="C192">
        <f>"V101146"</f>
        <v>0</v>
      </c>
      <c r="D192">
        <v>50</v>
      </c>
      <c r="E192">
        <v>0</v>
      </c>
      <c r="F192" s="2">
        <v>0</v>
      </c>
      <c r="G192">
        <v>0</v>
      </c>
      <c r="H192">
        <v>3</v>
      </c>
      <c r="I192">
        <v>0.2598268617290636</v>
      </c>
      <c r="J192">
        <v>12</v>
      </c>
      <c r="K192">
        <v>12</v>
      </c>
      <c r="L192" s="2">
        <v>0</v>
      </c>
      <c r="M192">
        <v>3.17</v>
      </c>
      <c r="N192" t="s">
        <v>10235</v>
      </c>
    </row>
    <row r="193" spans="1:14">
      <c r="A193" t="s">
        <v>35</v>
      </c>
      <c r="B193" t="s">
        <v>389</v>
      </c>
      <c r="C193">
        <f>"HD25XS"</f>
        <v>0</v>
      </c>
      <c r="D193">
        <v>1</v>
      </c>
      <c r="E193">
        <v>8</v>
      </c>
      <c r="F193" s="2">
        <v>2</v>
      </c>
      <c r="G193">
        <v>32</v>
      </c>
      <c r="H193">
        <v>1</v>
      </c>
      <c r="I193">
        <v>0.2594871051867703</v>
      </c>
      <c r="J193">
        <v>0</v>
      </c>
      <c r="K193">
        <v>0</v>
      </c>
      <c r="L193" s="2">
        <v>0</v>
      </c>
      <c r="M193">
        <v>3.18</v>
      </c>
      <c r="N193" t="s">
        <v>10236</v>
      </c>
    </row>
    <row r="194" spans="1:14">
      <c r="A194" t="s">
        <v>30</v>
      </c>
      <c r="B194" t="s">
        <v>390</v>
      </c>
      <c r="C194">
        <f>"100413"</f>
        <v>0</v>
      </c>
      <c r="D194">
        <v>39</v>
      </c>
      <c r="E194">
        <v>0</v>
      </c>
      <c r="F194" s="2">
        <v>0</v>
      </c>
      <c r="G194">
        <v>0</v>
      </c>
      <c r="H194">
        <v>4</v>
      </c>
      <c r="I194">
        <v>0.2587310018333872</v>
      </c>
      <c r="J194">
        <v>10</v>
      </c>
      <c r="K194">
        <v>10</v>
      </c>
      <c r="L194" s="2">
        <v>0</v>
      </c>
      <c r="M194">
        <v>3.19</v>
      </c>
      <c r="N194" t="s">
        <v>10235</v>
      </c>
    </row>
    <row r="195" spans="1:14">
      <c r="A195" t="s">
        <v>30</v>
      </c>
      <c r="B195" t="s">
        <v>64</v>
      </c>
      <c r="C195">
        <f>"100587"</f>
        <v>0</v>
      </c>
      <c r="D195">
        <v>58</v>
      </c>
      <c r="E195">
        <v>2</v>
      </c>
      <c r="F195" s="2">
        <v>3</v>
      </c>
      <c r="G195">
        <v>0.14</v>
      </c>
      <c r="H195">
        <v>3</v>
      </c>
      <c r="I195">
        <v>0.2584000216895901</v>
      </c>
      <c r="J195">
        <v>14</v>
      </c>
      <c r="K195">
        <v>12</v>
      </c>
      <c r="L195" s="2">
        <v>36</v>
      </c>
      <c r="M195">
        <v>3.21</v>
      </c>
      <c r="N195" t="s">
        <v>10235</v>
      </c>
    </row>
    <row r="196" spans="1:14">
      <c r="A196" t="s">
        <v>37</v>
      </c>
      <c r="B196" t="s">
        <v>391</v>
      </c>
      <c r="C196">
        <f>"574520"</f>
        <v>0</v>
      </c>
      <c r="D196">
        <v>48</v>
      </c>
      <c r="E196">
        <v>0</v>
      </c>
      <c r="F196" s="2">
        <v>0</v>
      </c>
      <c r="G196">
        <v>0</v>
      </c>
      <c r="H196">
        <v>1</v>
      </c>
      <c r="I196">
        <v>0.2583982903004939</v>
      </c>
      <c r="J196">
        <v>12</v>
      </c>
      <c r="K196">
        <v>12</v>
      </c>
      <c r="L196" s="2">
        <v>0</v>
      </c>
      <c r="M196">
        <v>3.22</v>
      </c>
      <c r="N196" t="s">
        <v>10236</v>
      </c>
    </row>
    <row r="197" spans="1:14">
      <c r="A197" t="s">
        <v>35</v>
      </c>
      <c r="B197" t="s">
        <v>392</v>
      </c>
      <c r="C197">
        <f>"JWZ1012S"</f>
        <v>0</v>
      </c>
      <c r="D197">
        <v>47</v>
      </c>
      <c r="E197">
        <v>0</v>
      </c>
      <c r="F197" s="2">
        <v>0</v>
      </c>
      <c r="G197">
        <v>0</v>
      </c>
      <c r="H197">
        <v>1</v>
      </c>
      <c r="I197">
        <v>0.257684004586209</v>
      </c>
      <c r="J197">
        <v>12</v>
      </c>
      <c r="K197">
        <v>12</v>
      </c>
      <c r="L197" s="2">
        <v>0</v>
      </c>
      <c r="M197">
        <v>3.23</v>
      </c>
      <c r="N197" t="s">
        <v>10236</v>
      </c>
    </row>
    <row r="198" spans="1:14">
      <c r="A198" t="s">
        <v>35</v>
      </c>
      <c r="B198" t="s">
        <v>393</v>
      </c>
      <c r="C198">
        <f>"RTW02"</f>
        <v>0</v>
      </c>
      <c r="D198">
        <v>1</v>
      </c>
      <c r="E198">
        <v>0</v>
      </c>
      <c r="F198" s="2">
        <v>0</v>
      </c>
      <c r="G198">
        <v>0</v>
      </c>
      <c r="H198">
        <v>1</v>
      </c>
      <c r="I198">
        <v>0.2576615473274659</v>
      </c>
      <c r="J198">
        <v>0</v>
      </c>
      <c r="K198">
        <v>0</v>
      </c>
      <c r="L198" s="2">
        <v>0</v>
      </c>
      <c r="M198">
        <v>3.25</v>
      </c>
      <c r="N198" t="s">
        <v>10236</v>
      </c>
    </row>
    <row r="199" spans="1:14">
      <c r="A199" t="s">
        <v>202</v>
      </c>
      <c r="B199" t="s">
        <v>394</v>
      </c>
      <c r="C199">
        <f>"21001018"</f>
        <v>0</v>
      </c>
      <c r="D199">
        <v>46</v>
      </c>
      <c r="E199">
        <v>0</v>
      </c>
      <c r="F199" s="2">
        <v>0</v>
      </c>
      <c r="G199">
        <v>0</v>
      </c>
      <c r="H199">
        <v>3</v>
      </c>
      <c r="I199">
        <v>0.2569697188719242</v>
      </c>
      <c r="J199">
        <v>12</v>
      </c>
      <c r="K199">
        <v>12</v>
      </c>
      <c r="L199" s="2">
        <v>0</v>
      </c>
      <c r="M199">
        <v>3.26</v>
      </c>
      <c r="N199" t="s">
        <v>10235</v>
      </c>
    </row>
    <row r="200" spans="1:14">
      <c r="A200" t="s">
        <v>203</v>
      </c>
      <c r="B200" t="s">
        <v>395</v>
      </c>
      <c r="C200">
        <f>"756166"</f>
        <v>0</v>
      </c>
      <c r="D200">
        <v>6</v>
      </c>
      <c r="E200">
        <v>0</v>
      </c>
      <c r="F200" s="2">
        <v>0</v>
      </c>
      <c r="G200">
        <v>0</v>
      </c>
      <c r="H200">
        <v>2</v>
      </c>
      <c r="I200">
        <v>0.2566183714364179</v>
      </c>
      <c r="J200">
        <v>2</v>
      </c>
      <c r="K200">
        <v>2</v>
      </c>
      <c r="L200" s="2">
        <v>0</v>
      </c>
      <c r="M200">
        <v>3.27</v>
      </c>
      <c r="N200" t="s">
        <v>10235</v>
      </c>
    </row>
    <row r="201" spans="1:14">
      <c r="A201" t="s">
        <v>38</v>
      </c>
      <c r="B201" t="s">
        <v>396</v>
      </c>
      <c r="C201">
        <f>"1003689"</f>
        <v>0</v>
      </c>
      <c r="D201">
        <v>46</v>
      </c>
      <c r="E201">
        <v>0</v>
      </c>
      <c r="F201" s="2">
        <v>0</v>
      </c>
      <c r="G201">
        <v>0</v>
      </c>
      <c r="H201">
        <v>2</v>
      </c>
      <c r="I201">
        <v>0.2565989531518432</v>
      </c>
      <c r="J201">
        <v>12</v>
      </c>
      <c r="K201">
        <v>12</v>
      </c>
      <c r="L201" s="2">
        <v>0</v>
      </c>
      <c r="M201">
        <v>3.29</v>
      </c>
      <c r="N201" t="s">
        <v>10235</v>
      </c>
    </row>
    <row r="202" spans="1:14">
      <c r="A202" t="s">
        <v>40</v>
      </c>
      <c r="B202" t="s">
        <v>397</v>
      </c>
      <c r="C202">
        <f>"V101147"</f>
        <v>0</v>
      </c>
      <c r="D202">
        <v>37</v>
      </c>
      <c r="E202">
        <v>0</v>
      </c>
      <c r="F202" s="2">
        <v>0</v>
      </c>
      <c r="G202">
        <v>0</v>
      </c>
      <c r="H202">
        <v>3</v>
      </c>
      <c r="I202">
        <v>0.2562206606279417</v>
      </c>
      <c r="J202">
        <v>9</v>
      </c>
      <c r="K202">
        <v>9</v>
      </c>
      <c r="L202" s="2">
        <v>0</v>
      </c>
      <c r="M202">
        <v>3.3</v>
      </c>
      <c r="N202" t="s">
        <v>10235</v>
      </c>
    </row>
    <row r="203" spans="1:14">
      <c r="A203" t="s">
        <v>30</v>
      </c>
      <c r="B203" t="s">
        <v>398</v>
      </c>
      <c r="C203">
        <f>"100903"</f>
        <v>0</v>
      </c>
      <c r="D203">
        <v>35</v>
      </c>
      <c r="E203">
        <v>0</v>
      </c>
      <c r="F203" s="2">
        <v>0</v>
      </c>
      <c r="G203">
        <v>0</v>
      </c>
      <c r="H203">
        <v>3</v>
      </c>
      <c r="I203">
        <v>0.2553962474143818</v>
      </c>
      <c r="J203">
        <v>9</v>
      </c>
      <c r="K203">
        <v>9</v>
      </c>
      <c r="L203" s="2">
        <v>0</v>
      </c>
      <c r="M203">
        <v>3.32</v>
      </c>
      <c r="N203" t="s">
        <v>10235</v>
      </c>
    </row>
    <row r="204" spans="1:14">
      <c r="A204" t="s">
        <v>35</v>
      </c>
      <c r="B204" t="s">
        <v>399</v>
      </c>
      <c r="C204">
        <f>"CK1023"</f>
        <v>0</v>
      </c>
      <c r="D204">
        <v>56</v>
      </c>
      <c r="E204">
        <v>31</v>
      </c>
      <c r="F204" s="2">
        <v>1</v>
      </c>
      <c r="G204">
        <v>2.21</v>
      </c>
      <c r="H204">
        <v>4</v>
      </c>
      <c r="I204">
        <v>0.2547565922919327</v>
      </c>
      <c r="J204">
        <v>14</v>
      </c>
      <c r="K204">
        <v>0</v>
      </c>
      <c r="L204" s="2">
        <v>0</v>
      </c>
      <c r="M204">
        <v>3.33</v>
      </c>
      <c r="N204" t="s">
        <v>10235</v>
      </c>
    </row>
    <row r="205" spans="1:14">
      <c r="A205" t="s">
        <v>35</v>
      </c>
      <c r="B205" t="s">
        <v>400</v>
      </c>
      <c r="C205">
        <f>"RJ820"</f>
        <v>0</v>
      </c>
      <c r="D205">
        <v>11</v>
      </c>
      <c r="E205">
        <v>151</v>
      </c>
      <c r="F205" s="2">
        <v>1</v>
      </c>
      <c r="G205">
        <v>54.91</v>
      </c>
      <c r="H205">
        <v>3</v>
      </c>
      <c r="I205">
        <v>0.2547384815994018</v>
      </c>
      <c r="J205">
        <v>3</v>
      </c>
      <c r="K205">
        <v>0</v>
      </c>
      <c r="L205" s="2">
        <v>0</v>
      </c>
      <c r="M205">
        <v>3.34</v>
      </c>
      <c r="N205" t="s">
        <v>10235</v>
      </c>
    </row>
    <row r="206" spans="1:14">
      <c r="A206" t="s">
        <v>32</v>
      </c>
      <c r="B206" t="s">
        <v>401</v>
      </c>
      <c r="C206">
        <f>"5006747"</f>
        <v>0</v>
      </c>
      <c r="D206">
        <v>5</v>
      </c>
      <c r="E206">
        <v>2</v>
      </c>
      <c r="F206" s="2">
        <v>5</v>
      </c>
      <c r="G206">
        <v>1.6</v>
      </c>
      <c r="H206">
        <v>3</v>
      </c>
      <c r="I206">
        <v>0.2547124022021287</v>
      </c>
      <c r="J206">
        <v>1</v>
      </c>
      <c r="K206">
        <v>0</v>
      </c>
      <c r="L206" s="2">
        <v>0</v>
      </c>
      <c r="M206">
        <v>3.36</v>
      </c>
      <c r="N206" t="s">
        <v>10235</v>
      </c>
    </row>
    <row r="207" spans="1:14">
      <c r="A207" t="s">
        <v>38</v>
      </c>
      <c r="B207" t="s">
        <v>402</v>
      </c>
      <c r="C207">
        <f>"1003694"</f>
        <v>0</v>
      </c>
      <c r="D207">
        <v>42</v>
      </c>
      <c r="E207">
        <v>0</v>
      </c>
      <c r="F207" s="2">
        <v>0</v>
      </c>
      <c r="G207">
        <v>0</v>
      </c>
      <c r="H207">
        <v>2</v>
      </c>
      <c r="I207">
        <v>0.2541125760147847</v>
      </c>
      <c r="J207">
        <v>10</v>
      </c>
      <c r="K207">
        <v>10</v>
      </c>
      <c r="L207" s="2">
        <v>0</v>
      </c>
      <c r="M207">
        <v>3.37</v>
      </c>
      <c r="N207" t="s">
        <v>10235</v>
      </c>
    </row>
    <row r="208" spans="1:14">
      <c r="A208" t="s">
        <v>28</v>
      </c>
      <c r="B208" t="s">
        <v>403</v>
      </c>
      <c r="C208">
        <f>"EC20CO"</f>
        <v>0</v>
      </c>
      <c r="D208">
        <v>42</v>
      </c>
      <c r="E208">
        <v>0</v>
      </c>
      <c r="F208" s="2">
        <v>0</v>
      </c>
      <c r="G208">
        <v>0</v>
      </c>
      <c r="H208">
        <v>2</v>
      </c>
      <c r="I208">
        <v>0.2541125760147847</v>
      </c>
      <c r="J208">
        <v>10</v>
      </c>
      <c r="K208">
        <v>10</v>
      </c>
      <c r="L208" s="2">
        <v>0</v>
      </c>
      <c r="M208">
        <v>3.38</v>
      </c>
      <c r="N208" t="s">
        <v>10235</v>
      </c>
    </row>
    <row r="209" spans="1:14">
      <c r="A209" t="s">
        <v>34</v>
      </c>
      <c r="B209" t="s">
        <v>404</v>
      </c>
      <c r="C209">
        <f>"14000150"</f>
        <v>0</v>
      </c>
      <c r="D209">
        <v>33</v>
      </c>
      <c r="E209">
        <v>0</v>
      </c>
      <c r="F209" s="2">
        <v>0</v>
      </c>
      <c r="G209">
        <v>0</v>
      </c>
      <c r="H209">
        <v>3</v>
      </c>
      <c r="I209">
        <v>0.253556976188652</v>
      </c>
      <c r="J209">
        <v>8</v>
      </c>
      <c r="K209">
        <v>8</v>
      </c>
      <c r="L209" s="2">
        <v>0</v>
      </c>
      <c r="M209">
        <v>3.4</v>
      </c>
      <c r="N209" t="s">
        <v>10235</v>
      </c>
    </row>
    <row r="210" spans="1:14">
      <c r="A210" t="s">
        <v>35</v>
      </c>
      <c r="B210" t="s">
        <v>405</v>
      </c>
      <c r="C210">
        <f>"JWZ1017L"</f>
        <v>0</v>
      </c>
      <c r="D210">
        <v>41</v>
      </c>
      <c r="E210">
        <v>0</v>
      </c>
      <c r="F210" s="2">
        <v>0</v>
      </c>
      <c r="G210">
        <v>0</v>
      </c>
      <c r="H210">
        <v>1</v>
      </c>
      <c r="I210">
        <v>0.2533982903004998</v>
      </c>
      <c r="J210">
        <v>10</v>
      </c>
      <c r="K210">
        <v>10</v>
      </c>
      <c r="L210" s="2">
        <v>0</v>
      </c>
      <c r="M210">
        <v>3.41</v>
      </c>
      <c r="N210" t="s">
        <v>10236</v>
      </c>
    </row>
    <row r="211" spans="1:14">
      <c r="A211" t="s">
        <v>35</v>
      </c>
      <c r="B211" t="s">
        <v>406</v>
      </c>
      <c r="C211">
        <f>"JWZ1032XL"</f>
        <v>0</v>
      </c>
      <c r="D211">
        <v>46</v>
      </c>
      <c r="E211">
        <v>1</v>
      </c>
      <c r="F211" s="2">
        <v>1</v>
      </c>
      <c r="G211">
        <v>0.09</v>
      </c>
      <c r="H211">
        <v>1</v>
      </c>
      <c r="I211">
        <v>0.2528535104363742</v>
      </c>
      <c r="J211">
        <v>12</v>
      </c>
      <c r="K211">
        <v>11</v>
      </c>
      <c r="L211" s="2">
        <v>11</v>
      </c>
      <c r="M211">
        <v>3.42</v>
      </c>
      <c r="N211" t="s">
        <v>10236</v>
      </c>
    </row>
    <row r="212" spans="1:14">
      <c r="A212" t="s">
        <v>33</v>
      </c>
      <c r="B212" t="s">
        <v>407</v>
      </c>
      <c r="C212">
        <f>"TOP2006"</f>
        <v>0</v>
      </c>
      <c r="D212">
        <v>40</v>
      </c>
      <c r="E212">
        <v>0</v>
      </c>
      <c r="F212" s="2">
        <v>0</v>
      </c>
      <c r="G212">
        <v>0</v>
      </c>
      <c r="H212">
        <v>1</v>
      </c>
      <c r="I212">
        <v>0.252684004586215</v>
      </c>
      <c r="J212">
        <v>10</v>
      </c>
      <c r="K212">
        <v>10</v>
      </c>
      <c r="L212" s="2">
        <v>0</v>
      </c>
      <c r="M212">
        <v>3.44</v>
      </c>
      <c r="N212" t="s">
        <v>10236</v>
      </c>
    </row>
    <row r="213" spans="1:14">
      <c r="A213" t="s">
        <v>193</v>
      </c>
      <c r="B213" t="s">
        <v>408</v>
      </c>
      <c r="C213">
        <f>"2GA32312MAS2"</f>
        <v>0</v>
      </c>
      <c r="D213">
        <v>40</v>
      </c>
      <c r="E213">
        <v>0</v>
      </c>
      <c r="F213" s="2">
        <v>0</v>
      </c>
      <c r="G213">
        <v>0</v>
      </c>
      <c r="H213">
        <v>2</v>
      </c>
      <c r="I213">
        <v>0.252684004586215</v>
      </c>
      <c r="J213">
        <v>10</v>
      </c>
      <c r="K213">
        <v>10</v>
      </c>
      <c r="L213" s="2">
        <v>0</v>
      </c>
      <c r="M213">
        <v>3.45</v>
      </c>
      <c r="N213" t="s">
        <v>10235</v>
      </c>
    </row>
    <row r="214" spans="1:14">
      <c r="A214" t="s">
        <v>35</v>
      </c>
      <c r="B214" t="s">
        <v>409</v>
      </c>
      <c r="C214">
        <f>"MSPB01C"</f>
        <v>0</v>
      </c>
      <c r="D214">
        <v>5</v>
      </c>
      <c r="E214">
        <v>10</v>
      </c>
      <c r="F214" s="2">
        <v>4</v>
      </c>
      <c r="G214">
        <v>8</v>
      </c>
      <c r="H214">
        <v>4</v>
      </c>
      <c r="I214">
        <v>0.2522276151838743</v>
      </c>
      <c r="J214">
        <v>1</v>
      </c>
      <c r="K214">
        <v>0</v>
      </c>
      <c r="L214" s="2">
        <v>0</v>
      </c>
      <c r="M214">
        <v>3.46</v>
      </c>
      <c r="N214" t="s">
        <v>10235</v>
      </c>
    </row>
    <row r="215" spans="1:14">
      <c r="A215" t="s">
        <v>24</v>
      </c>
      <c r="B215" t="s">
        <v>71</v>
      </c>
      <c r="C215">
        <f>"CAN01"</f>
        <v>0</v>
      </c>
      <c r="D215">
        <v>105</v>
      </c>
      <c r="E215">
        <v>43</v>
      </c>
      <c r="F215" s="2">
        <v>1</v>
      </c>
      <c r="G215">
        <v>1.64</v>
      </c>
      <c r="H215">
        <v>4</v>
      </c>
      <c r="I215">
        <v>0.2522054259633097</v>
      </c>
      <c r="J215">
        <v>26</v>
      </c>
      <c r="K215">
        <v>0</v>
      </c>
      <c r="L215" s="2">
        <v>0</v>
      </c>
      <c r="M215">
        <v>3.48</v>
      </c>
      <c r="N215" t="s">
        <v>10235</v>
      </c>
    </row>
    <row r="216" spans="1:14">
      <c r="A216" t="s">
        <v>32</v>
      </c>
      <c r="B216" t="s">
        <v>410</v>
      </c>
      <c r="C216">
        <f>"1019488"</f>
        <v>0</v>
      </c>
      <c r="D216">
        <v>70</v>
      </c>
      <c r="E216">
        <v>8</v>
      </c>
      <c r="F216" s="2">
        <v>13</v>
      </c>
      <c r="G216">
        <v>0.46</v>
      </c>
      <c r="H216">
        <v>4</v>
      </c>
      <c r="I216">
        <v>0.2519888003204342</v>
      </c>
      <c r="J216">
        <v>18</v>
      </c>
      <c r="K216">
        <v>10</v>
      </c>
      <c r="L216" s="2">
        <v>130</v>
      </c>
      <c r="M216">
        <v>3.49</v>
      </c>
      <c r="N216" t="s">
        <v>10235</v>
      </c>
    </row>
    <row r="217" spans="1:14">
      <c r="A217" t="s">
        <v>35</v>
      </c>
      <c r="B217" t="s">
        <v>411</v>
      </c>
      <c r="C217">
        <f>"JWZ1032S"</f>
        <v>0</v>
      </c>
      <c r="D217">
        <v>38</v>
      </c>
      <c r="E217">
        <v>0</v>
      </c>
      <c r="F217" s="2">
        <v>0</v>
      </c>
      <c r="G217">
        <v>0</v>
      </c>
      <c r="H217">
        <v>3</v>
      </c>
      <c r="I217">
        <v>0.2512554331576453</v>
      </c>
      <c r="J217">
        <v>10</v>
      </c>
      <c r="K217">
        <v>10</v>
      </c>
      <c r="L217" s="2">
        <v>0</v>
      </c>
      <c r="M217">
        <v>3.5</v>
      </c>
      <c r="N217" t="s">
        <v>10235</v>
      </c>
    </row>
    <row r="218" spans="1:14">
      <c r="A218" t="s">
        <v>40</v>
      </c>
      <c r="B218" t="s">
        <v>412</v>
      </c>
      <c r="C218">
        <f>"V101148"</f>
        <v>0</v>
      </c>
      <c r="D218">
        <v>38</v>
      </c>
      <c r="E218">
        <v>0</v>
      </c>
      <c r="F218" s="2">
        <v>0</v>
      </c>
      <c r="G218">
        <v>0</v>
      </c>
      <c r="H218">
        <v>2</v>
      </c>
      <c r="I218">
        <v>0.2512554331576453</v>
      </c>
      <c r="J218">
        <v>10</v>
      </c>
      <c r="K218">
        <v>10</v>
      </c>
      <c r="L218" s="2">
        <v>0</v>
      </c>
      <c r="M218">
        <v>3.52</v>
      </c>
      <c r="N218" t="s">
        <v>10235</v>
      </c>
    </row>
    <row r="219" spans="1:14">
      <c r="A219" t="s">
        <v>193</v>
      </c>
      <c r="B219" t="s">
        <v>413</v>
      </c>
      <c r="C219">
        <f>"826082"</f>
        <v>0</v>
      </c>
      <c r="D219">
        <v>22</v>
      </c>
      <c r="E219">
        <v>32</v>
      </c>
      <c r="F219" s="2">
        <v>1</v>
      </c>
      <c r="G219">
        <v>5.82</v>
      </c>
      <c r="H219">
        <v>4</v>
      </c>
      <c r="I219">
        <v>0.2507041437263182</v>
      </c>
      <c r="J219">
        <v>6</v>
      </c>
      <c r="K219">
        <v>0</v>
      </c>
      <c r="L219" s="2">
        <v>0</v>
      </c>
      <c r="M219">
        <v>3.53</v>
      </c>
      <c r="N219" t="s">
        <v>10235</v>
      </c>
    </row>
    <row r="220" spans="1:14">
      <c r="A220" t="s">
        <v>35</v>
      </c>
      <c r="B220" t="s">
        <v>414</v>
      </c>
      <c r="C220">
        <f>"JWZ1012L"</f>
        <v>0</v>
      </c>
      <c r="D220">
        <v>53</v>
      </c>
      <c r="E220">
        <v>3</v>
      </c>
      <c r="F220" s="2">
        <v>1</v>
      </c>
      <c r="G220">
        <v>0.23</v>
      </c>
      <c r="H220">
        <v>2</v>
      </c>
      <c r="I220">
        <v>0.2506489641662578</v>
      </c>
      <c r="J220">
        <v>13</v>
      </c>
      <c r="K220">
        <v>10</v>
      </c>
      <c r="L220" s="2">
        <v>10</v>
      </c>
      <c r="M220">
        <v>3.54</v>
      </c>
      <c r="N220" t="s">
        <v>10235</v>
      </c>
    </row>
    <row r="221" spans="1:14">
      <c r="A221" t="s">
        <v>30</v>
      </c>
      <c r="B221" t="s">
        <v>415</v>
      </c>
      <c r="C221">
        <f>"100410"</f>
        <v>0</v>
      </c>
      <c r="D221">
        <v>23</v>
      </c>
      <c r="E221">
        <v>0</v>
      </c>
      <c r="F221" s="2">
        <v>0</v>
      </c>
      <c r="G221">
        <v>0</v>
      </c>
      <c r="H221">
        <v>3</v>
      </c>
      <c r="I221">
        <v>0.2503638654961057</v>
      </c>
      <c r="J221">
        <v>6</v>
      </c>
      <c r="K221">
        <v>6</v>
      </c>
      <c r="L221" s="2">
        <v>0</v>
      </c>
      <c r="M221">
        <v>3.56</v>
      </c>
      <c r="N221" t="s">
        <v>10235</v>
      </c>
    </row>
    <row r="222" spans="1:14">
      <c r="A222" t="s">
        <v>39</v>
      </c>
      <c r="B222" t="s">
        <v>86</v>
      </c>
      <c r="C222">
        <f>"VALIM01017"</f>
        <v>0</v>
      </c>
      <c r="D222">
        <v>31</v>
      </c>
      <c r="E222">
        <v>0</v>
      </c>
      <c r="F222" s="2">
        <v>0</v>
      </c>
      <c r="G222">
        <v>0</v>
      </c>
      <c r="H222">
        <v>4</v>
      </c>
      <c r="I222">
        <v>0.2500268073970002</v>
      </c>
      <c r="J222">
        <v>8</v>
      </c>
      <c r="K222">
        <v>8</v>
      </c>
      <c r="L222" s="2">
        <v>0</v>
      </c>
      <c r="M222">
        <v>3.57</v>
      </c>
      <c r="N222" t="s">
        <v>10235</v>
      </c>
    </row>
    <row r="223" spans="1:14">
      <c r="A223" t="s">
        <v>27</v>
      </c>
      <c r="B223" t="s">
        <v>416</v>
      </c>
      <c r="C223">
        <f>"USA661"</f>
        <v>0</v>
      </c>
      <c r="D223">
        <v>36</v>
      </c>
      <c r="E223">
        <v>0</v>
      </c>
      <c r="F223" s="2">
        <v>0</v>
      </c>
      <c r="G223">
        <v>0</v>
      </c>
      <c r="H223">
        <v>3</v>
      </c>
      <c r="I223">
        <v>0.2498268617290755</v>
      </c>
      <c r="J223">
        <v>9</v>
      </c>
      <c r="K223">
        <v>9</v>
      </c>
      <c r="L223" s="2">
        <v>0</v>
      </c>
      <c r="M223">
        <v>3.58</v>
      </c>
      <c r="N223" t="s">
        <v>10235</v>
      </c>
    </row>
    <row r="224" spans="1:14">
      <c r="A224" t="s">
        <v>28</v>
      </c>
      <c r="B224" t="s">
        <v>379</v>
      </c>
      <c r="C224">
        <f>"ECLA"</f>
        <v>0</v>
      </c>
      <c r="D224">
        <v>36</v>
      </c>
      <c r="E224">
        <v>0</v>
      </c>
      <c r="F224" s="2">
        <v>0</v>
      </c>
      <c r="G224">
        <v>0</v>
      </c>
      <c r="H224">
        <v>3</v>
      </c>
      <c r="I224">
        <v>0.2498268617290755</v>
      </c>
      <c r="J224">
        <v>9</v>
      </c>
      <c r="K224">
        <v>9</v>
      </c>
      <c r="L224" s="2">
        <v>0</v>
      </c>
      <c r="M224">
        <v>3.6</v>
      </c>
      <c r="N224" t="s">
        <v>10235</v>
      </c>
    </row>
    <row r="225" spans="1:14">
      <c r="A225" t="s">
        <v>37</v>
      </c>
      <c r="B225" t="s">
        <v>417</v>
      </c>
      <c r="C225">
        <f>"585003"</f>
        <v>0</v>
      </c>
      <c r="D225">
        <v>35</v>
      </c>
      <c r="E225">
        <v>0</v>
      </c>
      <c r="F225" s="2">
        <v>0</v>
      </c>
      <c r="G225">
        <v>0</v>
      </c>
      <c r="H225">
        <v>4</v>
      </c>
      <c r="I225">
        <v>0.2495271804772651</v>
      </c>
      <c r="J225">
        <v>9</v>
      </c>
      <c r="K225">
        <v>9</v>
      </c>
      <c r="L225" s="2">
        <v>0</v>
      </c>
      <c r="M225">
        <v>3.61</v>
      </c>
      <c r="N225" t="s">
        <v>10235</v>
      </c>
    </row>
    <row r="226" spans="1:14">
      <c r="A226" t="s">
        <v>35</v>
      </c>
      <c r="B226" t="s">
        <v>75</v>
      </c>
      <c r="C226">
        <f>"HC014"</f>
        <v>0</v>
      </c>
      <c r="D226">
        <v>34</v>
      </c>
      <c r="E226">
        <v>0</v>
      </c>
      <c r="F226" s="2">
        <v>0</v>
      </c>
      <c r="G226">
        <v>0</v>
      </c>
      <c r="H226">
        <v>4</v>
      </c>
      <c r="I226">
        <v>0.2491153288400592</v>
      </c>
      <c r="J226">
        <v>8</v>
      </c>
      <c r="K226">
        <v>8</v>
      </c>
      <c r="L226" s="2">
        <v>0</v>
      </c>
      <c r="M226">
        <v>3.62</v>
      </c>
      <c r="N226" t="s">
        <v>10235</v>
      </c>
    </row>
    <row r="227" spans="1:14">
      <c r="A227" t="s">
        <v>27</v>
      </c>
      <c r="B227" t="s">
        <v>418</v>
      </c>
      <c r="C227">
        <f>"USA664"</f>
        <v>0</v>
      </c>
      <c r="D227">
        <v>13</v>
      </c>
      <c r="E227">
        <v>49</v>
      </c>
      <c r="F227" s="2">
        <v>2</v>
      </c>
      <c r="G227">
        <v>15.08</v>
      </c>
      <c r="H227">
        <v>4</v>
      </c>
      <c r="I227">
        <v>0.2490676615472449</v>
      </c>
      <c r="J227">
        <v>3</v>
      </c>
      <c r="K227">
        <v>0</v>
      </c>
      <c r="L227" s="2">
        <v>0</v>
      </c>
      <c r="M227">
        <v>3.64</v>
      </c>
      <c r="N227" t="s">
        <v>10235</v>
      </c>
    </row>
    <row r="228" spans="1:14">
      <c r="A228" t="s">
        <v>25</v>
      </c>
      <c r="B228" t="s">
        <v>419</v>
      </c>
      <c r="C228">
        <f>"NR02024"</f>
        <v>0</v>
      </c>
      <c r="D228">
        <v>1</v>
      </c>
      <c r="E228">
        <v>20</v>
      </c>
      <c r="F228" s="2">
        <v>8</v>
      </c>
      <c r="G228">
        <v>80</v>
      </c>
      <c r="H228">
        <v>1</v>
      </c>
      <c r="I228">
        <v>0.2490155027526985</v>
      </c>
      <c r="J228">
        <v>0</v>
      </c>
      <c r="K228">
        <v>0</v>
      </c>
      <c r="L228" s="2">
        <v>0</v>
      </c>
      <c r="M228">
        <v>3.65</v>
      </c>
      <c r="N228" t="s">
        <v>10236</v>
      </c>
    </row>
    <row r="229" spans="1:14">
      <c r="A229" t="s">
        <v>193</v>
      </c>
      <c r="B229" t="s">
        <v>420</v>
      </c>
      <c r="C229">
        <f>"826105"</f>
        <v>0</v>
      </c>
      <c r="D229">
        <v>19</v>
      </c>
      <c r="E229">
        <v>34</v>
      </c>
      <c r="F229" s="2">
        <v>1</v>
      </c>
      <c r="G229">
        <v>7.16</v>
      </c>
      <c r="H229">
        <v>4</v>
      </c>
      <c r="I229">
        <v>0.2485612865834636</v>
      </c>
      <c r="J229">
        <v>5</v>
      </c>
      <c r="K229">
        <v>0</v>
      </c>
      <c r="L229" s="2">
        <v>0</v>
      </c>
      <c r="M229">
        <v>3.66</v>
      </c>
      <c r="N229" t="s">
        <v>10235</v>
      </c>
    </row>
    <row r="230" spans="1:14">
      <c r="A230" t="s">
        <v>34</v>
      </c>
      <c r="B230" t="s">
        <v>421</v>
      </c>
      <c r="C230">
        <f>"14000006"</f>
        <v>0</v>
      </c>
      <c r="D230">
        <v>32</v>
      </c>
      <c r="E230">
        <v>0</v>
      </c>
      <c r="F230" s="2">
        <v>0</v>
      </c>
      <c r="G230">
        <v>0</v>
      </c>
      <c r="H230">
        <v>4</v>
      </c>
      <c r="I230">
        <v>0.2483281874317731</v>
      </c>
      <c r="J230">
        <v>8</v>
      </c>
      <c r="K230">
        <v>8</v>
      </c>
      <c r="L230" s="2">
        <v>0</v>
      </c>
      <c r="M230">
        <v>3.67</v>
      </c>
      <c r="N230" t="s">
        <v>10235</v>
      </c>
    </row>
    <row r="231" spans="1:14">
      <c r="A231" t="s">
        <v>29</v>
      </c>
      <c r="B231" t="s">
        <v>422</v>
      </c>
      <c r="C231">
        <f>"PMN50"</f>
        <v>0</v>
      </c>
      <c r="D231">
        <v>1</v>
      </c>
      <c r="E231">
        <v>2</v>
      </c>
      <c r="F231" s="2">
        <v>3</v>
      </c>
      <c r="G231">
        <v>8</v>
      </c>
      <c r="H231">
        <v>1</v>
      </c>
      <c r="I231">
        <v>0.2481280788176077</v>
      </c>
      <c r="J231">
        <v>0</v>
      </c>
      <c r="K231">
        <v>0</v>
      </c>
      <c r="L231" s="2">
        <v>0</v>
      </c>
      <c r="M231">
        <v>3.69</v>
      </c>
      <c r="N231" t="s">
        <v>10236</v>
      </c>
    </row>
    <row r="232" spans="1:14">
      <c r="A232" t="s">
        <v>31</v>
      </c>
      <c r="B232" t="s">
        <v>87</v>
      </c>
      <c r="C232">
        <f>"RCM052"</f>
        <v>0</v>
      </c>
      <c r="D232">
        <v>30</v>
      </c>
      <c r="E232">
        <v>0</v>
      </c>
      <c r="F232" s="2">
        <v>0</v>
      </c>
      <c r="G232">
        <v>0</v>
      </c>
      <c r="H232">
        <v>4</v>
      </c>
      <c r="I232">
        <v>0.2478207620478277</v>
      </c>
      <c r="J232">
        <v>8</v>
      </c>
      <c r="K232">
        <v>8</v>
      </c>
      <c r="L232" s="2">
        <v>0</v>
      </c>
      <c r="M232">
        <v>3.7</v>
      </c>
      <c r="N232" t="s">
        <v>10235</v>
      </c>
    </row>
    <row r="233" spans="1:14">
      <c r="A233" t="s">
        <v>35</v>
      </c>
      <c r="B233" t="s">
        <v>423</v>
      </c>
      <c r="C233">
        <f>"JWZ1032L"</f>
        <v>0</v>
      </c>
      <c r="D233">
        <v>40</v>
      </c>
      <c r="E233">
        <v>1</v>
      </c>
      <c r="F233" s="2">
        <v>1</v>
      </c>
      <c r="G233">
        <v>0.1</v>
      </c>
      <c r="H233">
        <v>1</v>
      </c>
      <c r="I233">
        <v>0.247684004591215</v>
      </c>
      <c r="J233">
        <v>10</v>
      </c>
      <c r="K233">
        <v>9</v>
      </c>
      <c r="L233" s="2">
        <v>9</v>
      </c>
      <c r="M233">
        <v>3.71</v>
      </c>
      <c r="N233" t="s">
        <v>10236</v>
      </c>
    </row>
    <row r="234" spans="1:14">
      <c r="A234" t="s">
        <v>35</v>
      </c>
      <c r="B234" t="s">
        <v>424</v>
      </c>
      <c r="C234">
        <f>"JWZ1007L"</f>
        <v>0</v>
      </c>
      <c r="D234">
        <v>33</v>
      </c>
      <c r="E234">
        <v>0</v>
      </c>
      <c r="F234" s="2">
        <v>0</v>
      </c>
      <c r="G234">
        <v>0</v>
      </c>
      <c r="H234">
        <v>1</v>
      </c>
      <c r="I234">
        <v>0.2476840045862209</v>
      </c>
      <c r="J234">
        <v>8</v>
      </c>
      <c r="K234">
        <v>8</v>
      </c>
      <c r="L234" s="2">
        <v>0</v>
      </c>
      <c r="M234">
        <v>3.73</v>
      </c>
      <c r="N234" t="s">
        <v>10236</v>
      </c>
    </row>
    <row r="235" spans="1:14">
      <c r="A235" t="s">
        <v>35</v>
      </c>
      <c r="B235" t="s">
        <v>425</v>
      </c>
      <c r="C235">
        <f>"JWZ1025M"</f>
        <v>0</v>
      </c>
      <c r="D235">
        <v>33</v>
      </c>
      <c r="E235">
        <v>0</v>
      </c>
      <c r="F235" s="2">
        <v>0</v>
      </c>
      <c r="G235">
        <v>0</v>
      </c>
      <c r="H235">
        <v>1</v>
      </c>
      <c r="I235">
        <v>0.2476840045862209</v>
      </c>
      <c r="J235">
        <v>8</v>
      </c>
      <c r="K235">
        <v>8</v>
      </c>
      <c r="L235" s="2">
        <v>0</v>
      </c>
      <c r="M235">
        <v>3.74</v>
      </c>
      <c r="N235" t="s">
        <v>10236</v>
      </c>
    </row>
    <row r="236" spans="1:14">
      <c r="A236" t="s">
        <v>37</v>
      </c>
      <c r="B236" t="s">
        <v>426</v>
      </c>
      <c r="C236">
        <f>"576000"</f>
        <v>0</v>
      </c>
      <c r="D236">
        <v>33</v>
      </c>
      <c r="E236">
        <v>0</v>
      </c>
      <c r="F236" s="2">
        <v>0</v>
      </c>
      <c r="G236">
        <v>0</v>
      </c>
      <c r="H236">
        <v>3</v>
      </c>
      <c r="I236">
        <v>0.2476840045862209</v>
      </c>
      <c r="J236">
        <v>8</v>
      </c>
      <c r="K236">
        <v>8</v>
      </c>
      <c r="L236" s="2">
        <v>0</v>
      </c>
      <c r="M236">
        <v>3.75</v>
      </c>
      <c r="N236" t="s">
        <v>10235</v>
      </c>
    </row>
    <row r="237" spans="1:14">
      <c r="A237" t="s">
        <v>34</v>
      </c>
      <c r="B237" t="s">
        <v>427</v>
      </c>
      <c r="C237">
        <f>"14000149"</f>
        <v>0</v>
      </c>
      <c r="D237">
        <v>27</v>
      </c>
      <c r="E237">
        <v>0</v>
      </c>
      <c r="F237" s="2">
        <v>0</v>
      </c>
      <c r="G237">
        <v>0</v>
      </c>
      <c r="H237">
        <v>4</v>
      </c>
      <c r="I237">
        <v>0.2476098268116658</v>
      </c>
      <c r="J237">
        <v>7</v>
      </c>
      <c r="K237">
        <v>7</v>
      </c>
      <c r="L237" s="2">
        <v>0</v>
      </c>
      <c r="M237">
        <v>3.77</v>
      </c>
      <c r="N237" t="s">
        <v>10235</v>
      </c>
    </row>
    <row r="238" spans="1:14">
      <c r="A238" t="s">
        <v>35</v>
      </c>
      <c r="B238" t="s">
        <v>428</v>
      </c>
      <c r="C238">
        <f>"SDR251"</f>
        <v>0</v>
      </c>
      <c r="D238">
        <v>2</v>
      </c>
      <c r="E238">
        <v>1</v>
      </c>
      <c r="F238" s="2">
        <v>2</v>
      </c>
      <c r="G238">
        <v>2</v>
      </c>
      <c r="H238">
        <v>2</v>
      </c>
      <c r="I238">
        <v>0.2474224862357472</v>
      </c>
      <c r="J238">
        <v>0</v>
      </c>
      <c r="K238">
        <v>0</v>
      </c>
      <c r="L238" s="2">
        <v>0</v>
      </c>
      <c r="M238">
        <v>3.78</v>
      </c>
      <c r="N238" t="s">
        <v>10236</v>
      </c>
    </row>
    <row r="239" spans="1:14">
      <c r="A239" t="s">
        <v>33</v>
      </c>
      <c r="B239" t="s">
        <v>429</v>
      </c>
      <c r="C239">
        <f>"TOPK93200"</f>
        <v>0</v>
      </c>
      <c r="D239">
        <v>32</v>
      </c>
      <c r="E239">
        <v>0</v>
      </c>
      <c r="F239" s="2">
        <v>0</v>
      </c>
      <c r="G239">
        <v>0</v>
      </c>
      <c r="H239">
        <v>3</v>
      </c>
      <c r="I239">
        <v>0.2469697188719361</v>
      </c>
      <c r="J239">
        <v>8</v>
      </c>
      <c r="K239">
        <v>8</v>
      </c>
      <c r="L239" s="2">
        <v>0</v>
      </c>
      <c r="M239">
        <v>3.79</v>
      </c>
      <c r="N239" t="s">
        <v>10235</v>
      </c>
    </row>
    <row r="240" spans="1:14">
      <c r="A240" t="s">
        <v>30</v>
      </c>
      <c r="B240" t="s">
        <v>81</v>
      </c>
      <c r="C240">
        <f>"100597"</f>
        <v>0</v>
      </c>
      <c r="D240">
        <v>32</v>
      </c>
      <c r="E240">
        <v>0</v>
      </c>
      <c r="F240" s="2">
        <v>0</v>
      </c>
      <c r="G240">
        <v>0</v>
      </c>
      <c r="H240">
        <v>4</v>
      </c>
      <c r="I240">
        <v>0.2466223811437415</v>
      </c>
      <c r="J240">
        <v>8</v>
      </c>
      <c r="K240">
        <v>8</v>
      </c>
      <c r="L240" s="2">
        <v>0</v>
      </c>
      <c r="M240">
        <v>3.81</v>
      </c>
      <c r="N240" t="s">
        <v>10235</v>
      </c>
    </row>
    <row r="241" spans="1:14">
      <c r="A241" t="s">
        <v>193</v>
      </c>
      <c r="B241" t="s">
        <v>430</v>
      </c>
      <c r="C241">
        <f>"300735"</f>
        <v>0</v>
      </c>
      <c r="D241">
        <v>31</v>
      </c>
      <c r="E241">
        <v>0</v>
      </c>
      <c r="F241" s="2">
        <v>0</v>
      </c>
      <c r="G241">
        <v>0</v>
      </c>
      <c r="H241">
        <v>3</v>
      </c>
      <c r="I241">
        <v>0.2465197080055213</v>
      </c>
      <c r="J241">
        <v>8</v>
      </c>
      <c r="K241">
        <v>8</v>
      </c>
      <c r="L241" s="2">
        <v>0</v>
      </c>
      <c r="M241">
        <v>3.82</v>
      </c>
      <c r="N241" t="s">
        <v>10235</v>
      </c>
    </row>
    <row r="242" spans="1:14">
      <c r="A242" t="s">
        <v>204</v>
      </c>
      <c r="B242" t="s">
        <v>431</v>
      </c>
      <c r="C242">
        <f>"12341824"</f>
        <v>0</v>
      </c>
      <c r="D242">
        <v>31</v>
      </c>
      <c r="E242">
        <v>0</v>
      </c>
      <c r="F242" s="2">
        <v>0</v>
      </c>
      <c r="G242">
        <v>0</v>
      </c>
      <c r="H242">
        <v>2</v>
      </c>
      <c r="I242">
        <v>0.2462554331576512</v>
      </c>
      <c r="J242">
        <v>8</v>
      </c>
      <c r="K242">
        <v>8</v>
      </c>
      <c r="L242" s="2">
        <v>0</v>
      </c>
      <c r="M242">
        <v>3.83</v>
      </c>
      <c r="N242" t="s">
        <v>10235</v>
      </c>
    </row>
    <row r="243" spans="1:14">
      <c r="A243" t="s">
        <v>39</v>
      </c>
      <c r="B243" t="s">
        <v>432</v>
      </c>
      <c r="C243">
        <f>"VALIM01028"</f>
        <v>0</v>
      </c>
      <c r="D243">
        <v>20</v>
      </c>
      <c r="E243">
        <v>0</v>
      </c>
      <c r="F243" s="2">
        <v>0</v>
      </c>
      <c r="G243">
        <v>0</v>
      </c>
      <c r="H243">
        <v>3</v>
      </c>
      <c r="I243">
        <v>0.2451899231605548</v>
      </c>
      <c r="J243">
        <v>5</v>
      </c>
      <c r="K243">
        <v>5</v>
      </c>
      <c r="L243" s="2">
        <v>0</v>
      </c>
      <c r="M243">
        <v>3.85</v>
      </c>
      <c r="N243" t="s">
        <v>10235</v>
      </c>
    </row>
    <row r="244" spans="1:14">
      <c r="A244" t="s">
        <v>24</v>
      </c>
      <c r="B244" t="s">
        <v>433</v>
      </c>
      <c r="C244">
        <f>"1112431"</f>
        <v>0</v>
      </c>
      <c r="D244">
        <v>28</v>
      </c>
      <c r="E244">
        <v>0</v>
      </c>
      <c r="F244" s="2">
        <v>0</v>
      </c>
      <c r="G244">
        <v>0</v>
      </c>
      <c r="H244">
        <v>4</v>
      </c>
      <c r="I244">
        <v>0.2451173173941064</v>
      </c>
      <c r="J244">
        <v>7</v>
      </c>
      <c r="K244">
        <v>7</v>
      </c>
      <c r="L244" s="2">
        <v>0</v>
      </c>
      <c r="M244">
        <v>3.86</v>
      </c>
      <c r="N244" t="s">
        <v>10235</v>
      </c>
    </row>
    <row r="245" spans="1:14">
      <c r="A245" t="s">
        <v>35</v>
      </c>
      <c r="B245" t="s">
        <v>434</v>
      </c>
      <c r="C245">
        <f>"JWZ1032M"</f>
        <v>0</v>
      </c>
      <c r="D245">
        <v>29</v>
      </c>
      <c r="E245">
        <v>0</v>
      </c>
      <c r="F245" s="2">
        <v>0</v>
      </c>
      <c r="G245">
        <v>0</v>
      </c>
      <c r="H245">
        <v>2</v>
      </c>
      <c r="I245">
        <v>0.2448268617290815</v>
      </c>
      <c r="J245">
        <v>7</v>
      </c>
      <c r="K245">
        <v>7</v>
      </c>
      <c r="L245" s="2">
        <v>0</v>
      </c>
      <c r="M245">
        <v>3.87</v>
      </c>
      <c r="N245" t="s">
        <v>10235</v>
      </c>
    </row>
    <row r="246" spans="1:14">
      <c r="A246" t="s">
        <v>30</v>
      </c>
      <c r="B246" t="s">
        <v>62</v>
      </c>
      <c r="C246">
        <f>"100588"</f>
        <v>0</v>
      </c>
      <c r="D246">
        <v>68</v>
      </c>
      <c r="E246">
        <v>10</v>
      </c>
      <c r="F246" s="2">
        <v>3</v>
      </c>
      <c r="G246">
        <v>0.59</v>
      </c>
      <c r="H246">
        <v>4</v>
      </c>
      <c r="I246">
        <v>0.2446427774350748</v>
      </c>
      <c r="J246">
        <v>17</v>
      </c>
      <c r="K246">
        <v>7</v>
      </c>
      <c r="L246" s="2">
        <v>21</v>
      </c>
      <c r="M246">
        <v>3.88</v>
      </c>
      <c r="N246" t="s">
        <v>10235</v>
      </c>
    </row>
    <row r="247" spans="1:14">
      <c r="A247" t="s">
        <v>33</v>
      </c>
      <c r="B247" t="s">
        <v>435</v>
      </c>
      <c r="C247">
        <f>"TOPK93202"</f>
        <v>0</v>
      </c>
      <c r="D247">
        <v>28</v>
      </c>
      <c r="E247">
        <v>0</v>
      </c>
      <c r="F247" s="2">
        <v>0</v>
      </c>
      <c r="G247">
        <v>0</v>
      </c>
      <c r="H247">
        <v>1</v>
      </c>
      <c r="I247">
        <v>0.2441125760147966</v>
      </c>
      <c r="J247">
        <v>7</v>
      </c>
      <c r="K247">
        <v>7</v>
      </c>
      <c r="L247" s="2">
        <v>0</v>
      </c>
      <c r="M247">
        <v>3.9</v>
      </c>
      <c r="N247" t="s">
        <v>10236</v>
      </c>
    </row>
    <row r="248" spans="1:14">
      <c r="A248" t="s">
        <v>26</v>
      </c>
      <c r="B248" t="s">
        <v>436</v>
      </c>
      <c r="C248">
        <f>"NG3KG"</f>
        <v>0</v>
      </c>
      <c r="D248">
        <v>28</v>
      </c>
      <c r="E248">
        <v>0</v>
      </c>
      <c r="F248" s="2">
        <v>0</v>
      </c>
      <c r="G248">
        <v>0</v>
      </c>
      <c r="H248">
        <v>2</v>
      </c>
      <c r="I248">
        <v>0.2441125760147966</v>
      </c>
      <c r="J248">
        <v>7</v>
      </c>
      <c r="K248">
        <v>7</v>
      </c>
      <c r="L248" s="2">
        <v>0</v>
      </c>
      <c r="M248">
        <v>3.91</v>
      </c>
      <c r="N248" t="s">
        <v>10235</v>
      </c>
    </row>
    <row r="249" spans="1:14">
      <c r="A249" t="s">
        <v>39</v>
      </c>
      <c r="B249" t="s">
        <v>437</v>
      </c>
      <c r="C249">
        <f>"VALIM01019"</f>
        <v>0</v>
      </c>
      <c r="D249">
        <v>25</v>
      </c>
      <c r="E249">
        <v>0</v>
      </c>
      <c r="F249" s="2">
        <v>0</v>
      </c>
      <c r="G249">
        <v>0</v>
      </c>
      <c r="H249">
        <v>4</v>
      </c>
      <c r="I249">
        <v>0.2439834612654501</v>
      </c>
      <c r="J249">
        <v>6</v>
      </c>
      <c r="K249">
        <v>6</v>
      </c>
      <c r="L249" s="2">
        <v>0</v>
      </c>
      <c r="M249">
        <v>3.92</v>
      </c>
      <c r="N249" t="s">
        <v>10235</v>
      </c>
    </row>
    <row r="250" spans="1:14">
      <c r="A250" t="s">
        <v>35</v>
      </c>
      <c r="B250" t="s">
        <v>438</v>
      </c>
      <c r="C250">
        <f>"CT174"</f>
        <v>0</v>
      </c>
      <c r="D250">
        <v>1</v>
      </c>
      <c r="E250">
        <v>2</v>
      </c>
      <c r="F250" s="2">
        <v>1</v>
      </c>
      <c r="G250">
        <v>8</v>
      </c>
      <c r="H250">
        <v>1</v>
      </c>
      <c r="I250">
        <v>0.2435134743551354</v>
      </c>
      <c r="J250">
        <v>0</v>
      </c>
      <c r="K250">
        <v>0</v>
      </c>
      <c r="L250" s="2">
        <v>0</v>
      </c>
      <c r="M250">
        <v>3.94</v>
      </c>
      <c r="N250" t="s">
        <v>10236</v>
      </c>
    </row>
    <row r="251" spans="1:14">
      <c r="A251" t="s">
        <v>35</v>
      </c>
      <c r="B251" t="s">
        <v>439</v>
      </c>
      <c r="C251">
        <f>"10097"</f>
        <v>0</v>
      </c>
      <c r="D251">
        <v>27</v>
      </c>
      <c r="E251">
        <v>0</v>
      </c>
      <c r="F251" s="2">
        <v>0</v>
      </c>
      <c r="G251">
        <v>0</v>
      </c>
      <c r="H251">
        <v>2</v>
      </c>
      <c r="I251">
        <v>0.2433982903005117</v>
      </c>
      <c r="J251">
        <v>7</v>
      </c>
      <c r="K251">
        <v>7</v>
      </c>
      <c r="L251" s="2">
        <v>0</v>
      </c>
      <c r="M251">
        <v>3.95</v>
      </c>
      <c r="N251" t="s">
        <v>10235</v>
      </c>
    </row>
    <row r="252" spans="1:14">
      <c r="A252" t="s">
        <v>32</v>
      </c>
      <c r="B252" t="s">
        <v>440</v>
      </c>
      <c r="C252">
        <f>"1003821"</f>
        <v>0</v>
      </c>
      <c r="D252">
        <v>9</v>
      </c>
      <c r="E252">
        <v>0</v>
      </c>
      <c r="F252" s="2">
        <v>0</v>
      </c>
      <c r="G252">
        <v>0</v>
      </c>
      <c r="H252">
        <v>1</v>
      </c>
      <c r="I252">
        <v>0.2427751738125464</v>
      </c>
      <c r="J252">
        <v>2</v>
      </c>
      <c r="K252">
        <v>2</v>
      </c>
      <c r="L252" s="2">
        <v>0</v>
      </c>
      <c r="M252">
        <v>3.96</v>
      </c>
      <c r="N252" t="s">
        <v>10236</v>
      </c>
    </row>
    <row r="253" spans="1:14">
      <c r="A253" t="s">
        <v>38</v>
      </c>
      <c r="B253" t="s">
        <v>441</v>
      </c>
      <c r="C253">
        <f>"1003692"</f>
        <v>0</v>
      </c>
      <c r="D253">
        <v>26</v>
      </c>
      <c r="E253">
        <v>0</v>
      </c>
      <c r="F253" s="2">
        <v>0</v>
      </c>
      <c r="G253">
        <v>0</v>
      </c>
      <c r="H253">
        <v>2</v>
      </c>
      <c r="I253">
        <v>0.2426840045862269</v>
      </c>
      <c r="J253">
        <v>6</v>
      </c>
      <c r="K253">
        <v>6</v>
      </c>
      <c r="L253" s="2">
        <v>0</v>
      </c>
      <c r="M253">
        <v>3.97</v>
      </c>
      <c r="N253" t="s">
        <v>10235</v>
      </c>
    </row>
    <row r="254" spans="1:14">
      <c r="A254" t="s">
        <v>39</v>
      </c>
      <c r="B254" t="s">
        <v>442</v>
      </c>
      <c r="C254">
        <f>"VALIM09003"</f>
        <v>0</v>
      </c>
      <c r="D254">
        <v>26</v>
      </c>
      <c r="E254">
        <v>0</v>
      </c>
      <c r="F254" s="2">
        <v>0</v>
      </c>
      <c r="G254">
        <v>0</v>
      </c>
      <c r="H254">
        <v>3</v>
      </c>
      <c r="I254">
        <v>0.2426840045862269</v>
      </c>
      <c r="J254">
        <v>6</v>
      </c>
      <c r="K254">
        <v>6</v>
      </c>
      <c r="L254" s="2">
        <v>0</v>
      </c>
      <c r="M254">
        <v>3.99</v>
      </c>
      <c r="N254" t="s">
        <v>10235</v>
      </c>
    </row>
    <row r="255" spans="1:14">
      <c r="A255" t="s">
        <v>37</v>
      </c>
      <c r="B255" t="s">
        <v>443</v>
      </c>
      <c r="C255">
        <f>"574500"</f>
        <v>0</v>
      </c>
      <c r="D255">
        <v>26</v>
      </c>
      <c r="E255">
        <v>0</v>
      </c>
      <c r="F255" s="2">
        <v>0</v>
      </c>
      <c r="G255">
        <v>0</v>
      </c>
      <c r="H255">
        <v>3</v>
      </c>
      <c r="I255">
        <v>0.2426840045862269</v>
      </c>
      <c r="J255">
        <v>6</v>
      </c>
      <c r="K255">
        <v>6</v>
      </c>
      <c r="L255" s="2">
        <v>0</v>
      </c>
      <c r="M255">
        <v>4</v>
      </c>
      <c r="N255" t="s">
        <v>10235</v>
      </c>
    </row>
    <row r="256" spans="1:14">
      <c r="A256" t="s">
        <v>30</v>
      </c>
      <c r="B256" t="s">
        <v>444</v>
      </c>
      <c r="C256">
        <f>"100601"</f>
        <v>0</v>
      </c>
      <c r="D256">
        <v>23</v>
      </c>
      <c r="E256">
        <v>0</v>
      </c>
      <c r="F256" s="2">
        <v>0</v>
      </c>
      <c r="G256">
        <v>0</v>
      </c>
      <c r="H256">
        <v>3</v>
      </c>
      <c r="I256">
        <v>0.2424668573825194</v>
      </c>
      <c r="J256">
        <v>6</v>
      </c>
      <c r="K256">
        <v>6</v>
      </c>
      <c r="L256" s="2">
        <v>0</v>
      </c>
      <c r="M256">
        <v>4.01</v>
      </c>
      <c r="N256" t="s">
        <v>10235</v>
      </c>
    </row>
    <row r="257" spans="1:14">
      <c r="A257" t="s">
        <v>37</v>
      </c>
      <c r="B257" t="s">
        <v>74</v>
      </c>
      <c r="C257">
        <f>"585006"</f>
        <v>0</v>
      </c>
      <c r="D257">
        <v>31</v>
      </c>
      <c r="E257">
        <v>2</v>
      </c>
      <c r="F257" s="2">
        <v>16</v>
      </c>
      <c r="G257">
        <v>0.26</v>
      </c>
      <c r="H257">
        <v>3</v>
      </c>
      <c r="I257">
        <v>0.2424646312991895</v>
      </c>
      <c r="J257">
        <v>8</v>
      </c>
      <c r="K257">
        <v>6</v>
      </c>
      <c r="L257" s="2">
        <v>96</v>
      </c>
      <c r="M257">
        <v>4.03</v>
      </c>
      <c r="N257" t="s">
        <v>10235</v>
      </c>
    </row>
    <row r="258" spans="1:14">
      <c r="A258" t="s">
        <v>25</v>
      </c>
      <c r="B258" t="s">
        <v>445</v>
      </c>
      <c r="C258">
        <f>"HENO1KX3"</f>
        <v>0</v>
      </c>
      <c r="D258">
        <v>25</v>
      </c>
      <c r="E258">
        <v>0</v>
      </c>
      <c r="F258" s="2">
        <v>0</v>
      </c>
      <c r="G258">
        <v>0</v>
      </c>
      <c r="H258">
        <v>2</v>
      </c>
      <c r="I258">
        <v>0.241969718871942</v>
      </c>
      <c r="J258">
        <v>6</v>
      </c>
      <c r="K258">
        <v>6</v>
      </c>
      <c r="L258" s="2">
        <v>0</v>
      </c>
      <c r="M258">
        <v>4.04</v>
      </c>
      <c r="N258" t="s">
        <v>10235</v>
      </c>
    </row>
    <row r="259" spans="1:14">
      <c r="A259" t="s">
        <v>35</v>
      </c>
      <c r="B259" t="s">
        <v>446</v>
      </c>
      <c r="C259">
        <f>"JWZ1001L"</f>
        <v>0</v>
      </c>
      <c r="D259">
        <v>25</v>
      </c>
      <c r="E259">
        <v>0</v>
      </c>
      <c r="F259" s="2">
        <v>0</v>
      </c>
      <c r="G259">
        <v>0</v>
      </c>
      <c r="H259">
        <v>1</v>
      </c>
      <c r="I259">
        <v>0.241969718871942</v>
      </c>
      <c r="J259">
        <v>6</v>
      </c>
      <c r="K259">
        <v>6</v>
      </c>
      <c r="L259" s="2">
        <v>0</v>
      </c>
      <c r="M259">
        <v>4.05</v>
      </c>
      <c r="N259" t="s">
        <v>10236</v>
      </c>
    </row>
    <row r="260" spans="1:14">
      <c r="A260" t="s">
        <v>41</v>
      </c>
      <c r="B260" t="s">
        <v>447</v>
      </c>
      <c r="C260">
        <f>"PAHLRRP"</f>
        <v>0</v>
      </c>
      <c r="D260">
        <v>19</v>
      </c>
      <c r="E260">
        <v>0</v>
      </c>
      <c r="F260" s="2">
        <v>0</v>
      </c>
      <c r="G260">
        <v>0</v>
      </c>
      <c r="H260">
        <v>3</v>
      </c>
      <c r="I260">
        <v>0.2418009417059062</v>
      </c>
      <c r="J260">
        <v>5</v>
      </c>
      <c r="K260">
        <v>5</v>
      </c>
      <c r="L260" s="2">
        <v>0</v>
      </c>
      <c r="M260">
        <v>4.06</v>
      </c>
      <c r="N260" t="s">
        <v>10235</v>
      </c>
    </row>
    <row r="261" spans="1:14">
      <c r="A261" t="s">
        <v>24</v>
      </c>
      <c r="B261" t="s">
        <v>448</v>
      </c>
      <c r="C261">
        <f>"DPI09011"</f>
        <v>0</v>
      </c>
      <c r="D261">
        <v>24</v>
      </c>
      <c r="E261">
        <v>0</v>
      </c>
      <c r="F261" s="2">
        <v>0</v>
      </c>
      <c r="G261">
        <v>0</v>
      </c>
      <c r="H261">
        <v>3</v>
      </c>
      <c r="I261">
        <v>0.2416121775795637</v>
      </c>
      <c r="J261">
        <v>6</v>
      </c>
      <c r="K261">
        <v>6</v>
      </c>
      <c r="L261" s="2">
        <v>0</v>
      </c>
      <c r="M261">
        <v>4.08</v>
      </c>
      <c r="N261" t="s">
        <v>10235</v>
      </c>
    </row>
    <row r="262" spans="1:14">
      <c r="A262" t="s">
        <v>35</v>
      </c>
      <c r="B262" t="s">
        <v>449</v>
      </c>
      <c r="C262">
        <f>"TQ0111VE"</f>
        <v>0</v>
      </c>
      <c r="D262">
        <v>1</v>
      </c>
      <c r="E262">
        <v>1</v>
      </c>
      <c r="F262" s="2">
        <v>1</v>
      </c>
      <c r="G262">
        <v>4</v>
      </c>
      <c r="H262">
        <v>1</v>
      </c>
      <c r="I262">
        <v>0.2415611416979355</v>
      </c>
      <c r="J262">
        <v>0</v>
      </c>
      <c r="K262">
        <v>0</v>
      </c>
      <c r="L262" s="2">
        <v>0</v>
      </c>
      <c r="M262">
        <v>4.09</v>
      </c>
      <c r="N262" t="s">
        <v>10236</v>
      </c>
    </row>
    <row r="263" spans="1:14">
      <c r="A263" t="s">
        <v>38</v>
      </c>
      <c r="B263" t="s">
        <v>76</v>
      </c>
      <c r="C263">
        <f>"1003937"</f>
        <v>0</v>
      </c>
      <c r="D263">
        <v>57</v>
      </c>
      <c r="E263">
        <v>3</v>
      </c>
      <c r="F263" s="2">
        <v>2</v>
      </c>
      <c r="G263">
        <v>0.21</v>
      </c>
      <c r="H263">
        <v>3</v>
      </c>
      <c r="I263">
        <v>0.2415216412848024</v>
      </c>
      <c r="J263">
        <v>14</v>
      </c>
      <c r="K263">
        <v>11</v>
      </c>
      <c r="L263" s="2">
        <v>22</v>
      </c>
      <c r="M263">
        <v>4.1</v>
      </c>
      <c r="N263" t="s">
        <v>10235</v>
      </c>
    </row>
    <row r="264" spans="1:14">
      <c r="A264" t="s">
        <v>28</v>
      </c>
      <c r="B264" t="s">
        <v>450</v>
      </c>
      <c r="C264">
        <f>"ECCO24KG"</f>
        <v>0</v>
      </c>
      <c r="D264">
        <v>24</v>
      </c>
      <c r="E264">
        <v>0</v>
      </c>
      <c r="F264" s="2">
        <v>0</v>
      </c>
      <c r="G264">
        <v>0</v>
      </c>
      <c r="H264">
        <v>3</v>
      </c>
      <c r="I264">
        <v>0.2412554331576571</v>
      </c>
      <c r="J264">
        <v>6</v>
      </c>
      <c r="K264">
        <v>6</v>
      </c>
      <c r="L264" s="2">
        <v>0</v>
      </c>
      <c r="M264">
        <v>4.12</v>
      </c>
      <c r="N264" t="s">
        <v>10235</v>
      </c>
    </row>
    <row r="265" spans="1:14">
      <c r="A265" t="s">
        <v>37</v>
      </c>
      <c r="B265" t="s">
        <v>451</v>
      </c>
      <c r="C265">
        <f>"574000"</f>
        <v>0</v>
      </c>
      <c r="D265">
        <v>24</v>
      </c>
      <c r="E265">
        <v>0</v>
      </c>
      <c r="F265" s="2">
        <v>0</v>
      </c>
      <c r="G265">
        <v>0</v>
      </c>
      <c r="H265">
        <v>1</v>
      </c>
      <c r="I265">
        <v>0.2412554331576571</v>
      </c>
      <c r="J265">
        <v>6</v>
      </c>
      <c r="K265">
        <v>6</v>
      </c>
      <c r="L265" s="2">
        <v>0</v>
      </c>
      <c r="M265">
        <v>4.13</v>
      </c>
      <c r="N265" t="s">
        <v>10236</v>
      </c>
    </row>
    <row r="266" spans="1:14">
      <c r="A266" t="s">
        <v>28</v>
      </c>
      <c r="B266" t="s">
        <v>452</v>
      </c>
      <c r="C266">
        <f>"BTLA24KG"</f>
        <v>0</v>
      </c>
      <c r="D266">
        <v>24</v>
      </c>
      <c r="E266">
        <v>0</v>
      </c>
      <c r="F266" s="2">
        <v>0</v>
      </c>
      <c r="G266">
        <v>0</v>
      </c>
      <c r="H266">
        <v>1</v>
      </c>
      <c r="I266">
        <v>0.2412554331576571</v>
      </c>
      <c r="J266">
        <v>6</v>
      </c>
      <c r="K266">
        <v>6</v>
      </c>
      <c r="L266" s="2">
        <v>0</v>
      </c>
      <c r="M266">
        <v>4.14</v>
      </c>
      <c r="N266" t="s">
        <v>10236</v>
      </c>
    </row>
    <row r="267" spans="1:14">
      <c r="A267" t="s">
        <v>35</v>
      </c>
      <c r="B267" t="s">
        <v>453</v>
      </c>
      <c r="C267">
        <f>"D123"</f>
        <v>0</v>
      </c>
      <c r="D267">
        <v>6</v>
      </c>
      <c r="E267">
        <v>32</v>
      </c>
      <c r="F267" s="2">
        <v>1</v>
      </c>
      <c r="G267">
        <v>21.33</v>
      </c>
      <c r="H267">
        <v>4</v>
      </c>
      <c r="I267">
        <v>0.241050420167942</v>
      </c>
      <c r="J267">
        <v>2</v>
      </c>
      <c r="K267">
        <v>0</v>
      </c>
      <c r="L267" s="2">
        <v>0</v>
      </c>
      <c r="M267">
        <v>4.15</v>
      </c>
      <c r="N267" t="s">
        <v>10235</v>
      </c>
    </row>
    <row r="268" spans="1:14">
      <c r="A268" t="s">
        <v>35</v>
      </c>
      <c r="B268" t="s">
        <v>454</v>
      </c>
      <c r="C268">
        <f>"BO3042ZAZ"</f>
        <v>0</v>
      </c>
      <c r="D268">
        <v>1</v>
      </c>
      <c r="E268">
        <v>1</v>
      </c>
      <c r="F268" s="2">
        <v>711</v>
      </c>
      <c r="G268">
        <v>4</v>
      </c>
      <c r="H268">
        <v>1</v>
      </c>
      <c r="I268">
        <v>0.241028687336881</v>
      </c>
      <c r="J268">
        <v>0</v>
      </c>
      <c r="K268">
        <v>0</v>
      </c>
      <c r="L268" s="2">
        <v>0</v>
      </c>
      <c r="M268">
        <v>4.17</v>
      </c>
      <c r="N268" t="s">
        <v>10236</v>
      </c>
    </row>
    <row r="269" spans="1:14">
      <c r="A269" t="s">
        <v>40</v>
      </c>
      <c r="B269" t="s">
        <v>455</v>
      </c>
      <c r="C269">
        <f>"V101145"</f>
        <v>0</v>
      </c>
      <c r="D269">
        <v>23</v>
      </c>
      <c r="E269">
        <v>0</v>
      </c>
      <c r="F269" s="2">
        <v>0</v>
      </c>
      <c r="G269">
        <v>0</v>
      </c>
      <c r="H269">
        <v>2</v>
      </c>
      <c r="I269">
        <v>0.2405411474433723</v>
      </c>
      <c r="J269">
        <v>6</v>
      </c>
      <c r="K269">
        <v>6</v>
      </c>
      <c r="L269" s="2">
        <v>0</v>
      </c>
      <c r="M269">
        <v>4.18</v>
      </c>
      <c r="N269" t="s">
        <v>10235</v>
      </c>
    </row>
    <row r="270" spans="1:14">
      <c r="A270" t="s">
        <v>193</v>
      </c>
      <c r="B270" t="s">
        <v>456</v>
      </c>
      <c r="C270">
        <f>"801822"</f>
        <v>0</v>
      </c>
      <c r="D270">
        <v>23</v>
      </c>
      <c r="E270">
        <v>0</v>
      </c>
      <c r="F270" s="2">
        <v>0</v>
      </c>
      <c r="G270">
        <v>0</v>
      </c>
      <c r="H270">
        <v>2</v>
      </c>
      <c r="I270">
        <v>0.2405411474433723</v>
      </c>
      <c r="J270">
        <v>6</v>
      </c>
      <c r="K270">
        <v>6</v>
      </c>
      <c r="L270" s="2">
        <v>0</v>
      </c>
      <c r="M270">
        <v>4.19</v>
      </c>
      <c r="N270" t="s">
        <v>10235</v>
      </c>
    </row>
    <row r="271" spans="1:14">
      <c r="A271" t="s">
        <v>32</v>
      </c>
      <c r="B271" t="s">
        <v>457</v>
      </c>
      <c r="C271">
        <f>"5008724"</f>
        <v>0</v>
      </c>
      <c r="D271">
        <v>37</v>
      </c>
      <c r="E271">
        <v>2</v>
      </c>
      <c r="F271" s="2">
        <v>3</v>
      </c>
      <c r="G271">
        <v>0.22</v>
      </c>
      <c r="H271">
        <v>3</v>
      </c>
      <c r="I271">
        <v>0.2401685465825082</v>
      </c>
      <c r="J271">
        <v>9</v>
      </c>
      <c r="K271">
        <v>7</v>
      </c>
      <c r="L271" s="2">
        <v>21</v>
      </c>
      <c r="M271">
        <v>4.2</v>
      </c>
      <c r="N271" t="s">
        <v>10235</v>
      </c>
    </row>
    <row r="272" spans="1:14">
      <c r="A272" t="s">
        <v>24</v>
      </c>
      <c r="B272" t="s">
        <v>458</v>
      </c>
      <c r="C272">
        <f>"1132001"</f>
        <v>0</v>
      </c>
      <c r="D272">
        <v>20</v>
      </c>
      <c r="E272">
        <v>0</v>
      </c>
      <c r="F272" s="2">
        <v>0</v>
      </c>
      <c r="G272">
        <v>0</v>
      </c>
      <c r="H272">
        <v>3</v>
      </c>
      <c r="I272">
        <v>0.239993878535811</v>
      </c>
      <c r="J272">
        <v>5</v>
      </c>
      <c r="K272">
        <v>5</v>
      </c>
      <c r="L272" s="2">
        <v>0</v>
      </c>
      <c r="M272">
        <v>4.22</v>
      </c>
      <c r="N272" t="s">
        <v>10235</v>
      </c>
    </row>
    <row r="273" spans="1:14">
      <c r="A273" t="s">
        <v>37</v>
      </c>
      <c r="B273" t="s">
        <v>459</v>
      </c>
      <c r="C273">
        <f>"577100"</f>
        <v>0</v>
      </c>
      <c r="D273">
        <v>22</v>
      </c>
      <c r="E273">
        <v>0</v>
      </c>
      <c r="F273" s="2">
        <v>0</v>
      </c>
      <c r="G273">
        <v>0</v>
      </c>
      <c r="H273">
        <v>2</v>
      </c>
      <c r="I273">
        <v>0.2398268617290874</v>
      </c>
      <c r="J273">
        <v>6</v>
      </c>
      <c r="K273">
        <v>6</v>
      </c>
      <c r="L273" s="2">
        <v>0</v>
      </c>
      <c r="M273">
        <v>4.23</v>
      </c>
      <c r="N273" t="s">
        <v>10235</v>
      </c>
    </row>
    <row r="274" spans="1:14">
      <c r="A274" t="s">
        <v>37</v>
      </c>
      <c r="B274" t="s">
        <v>460</v>
      </c>
      <c r="C274">
        <f>"577400"</f>
        <v>0</v>
      </c>
      <c r="D274">
        <v>22</v>
      </c>
      <c r="E274">
        <v>0</v>
      </c>
      <c r="F274" s="2">
        <v>0</v>
      </c>
      <c r="G274">
        <v>0</v>
      </c>
      <c r="H274">
        <v>2</v>
      </c>
      <c r="I274">
        <v>0.2398268617290874</v>
      </c>
      <c r="J274">
        <v>6</v>
      </c>
      <c r="K274">
        <v>6</v>
      </c>
      <c r="L274" s="2">
        <v>0</v>
      </c>
      <c r="M274">
        <v>4.24</v>
      </c>
      <c r="N274" t="s">
        <v>10235</v>
      </c>
    </row>
    <row r="275" spans="1:14">
      <c r="A275" t="s">
        <v>37</v>
      </c>
      <c r="B275" t="s">
        <v>461</v>
      </c>
      <c r="C275">
        <f>"575000"</f>
        <v>0</v>
      </c>
      <c r="D275">
        <v>22</v>
      </c>
      <c r="E275">
        <v>0</v>
      </c>
      <c r="F275" s="2">
        <v>0</v>
      </c>
      <c r="G275">
        <v>0</v>
      </c>
      <c r="H275">
        <v>1</v>
      </c>
      <c r="I275">
        <v>0.2398268617290874</v>
      </c>
      <c r="J275">
        <v>6</v>
      </c>
      <c r="K275">
        <v>6</v>
      </c>
      <c r="L275" s="2">
        <v>0</v>
      </c>
      <c r="M275">
        <v>4.26</v>
      </c>
      <c r="N275" t="s">
        <v>10236</v>
      </c>
    </row>
    <row r="276" spans="1:14">
      <c r="A276" t="s">
        <v>202</v>
      </c>
      <c r="B276" t="s">
        <v>462</v>
      </c>
      <c r="C276">
        <f>"21001019"</f>
        <v>0</v>
      </c>
      <c r="D276">
        <v>22</v>
      </c>
      <c r="E276">
        <v>0</v>
      </c>
      <c r="F276" s="2">
        <v>0</v>
      </c>
      <c r="G276">
        <v>0</v>
      </c>
      <c r="H276">
        <v>2</v>
      </c>
      <c r="I276">
        <v>0.2398268617290874</v>
      </c>
      <c r="J276">
        <v>6</v>
      </c>
      <c r="K276">
        <v>6</v>
      </c>
      <c r="L276" s="2">
        <v>0</v>
      </c>
      <c r="M276">
        <v>4.27</v>
      </c>
      <c r="N276" t="s">
        <v>10235</v>
      </c>
    </row>
    <row r="277" spans="1:14">
      <c r="A277" t="s">
        <v>27</v>
      </c>
      <c r="B277" t="s">
        <v>463</v>
      </c>
      <c r="C277">
        <f>"USD623"</f>
        <v>0</v>
      </c>
      <c r="D277">
        <v>22</v>
      </c>
      <c r="E277">
        <v>0</v>
      </c>
      <c r="F277" s="2">
        <v>0</v>
      </c>
      <c r="G277">
        <v>0</v>
      </c>
      <c r="H277">
        <v>1</v>
      </c>
      <c r="I277">
        <v>0.2398268617290874</v>
      </c>
      <c r="J277">
        <v>6</v>
      </c>
      <c r="K277">
        <v>6</v>
      </c>
      <c r="L277" s="2">
        <v>0</v>
      </c>
      <c r="M277">
        <v>4.28</v>
      </c>
      <c r="N277" t="s">
        <v>10236</v>
      </c>
    </row>
    <row r="278" spans="1:14">
      <c r="A278" t="s">
        <v>37</v>
      </c>
      <c r="B278" t="s">
        <v>464</v>
      </c>
      <c r="C278">
        <f>"585005"</f>
        <v>0</v>
      </c>
      <c r="D278">
        <v>22</v>
      </c>
      <c r="E278">
        <v>0</v>
      </c>
      <c r="F278" s="2">
        <v>0</v>
      </c>
      <c r="G278">
        <v>0</v>
      </c>
      <c r="H278">
        <v>3</v>
      </c>
      <c r="I278">
        <v>0.2398268617290874</v>
      </c>
      <c r="J278">
        <v>6</v>
      </c>
      <c r="K278">
        <v>6</v>
      </c>
      <c r="L278" s="2">
        <v>0</v>
      </c>
      <c r="M278">
        <v>4.29</v>
      </c>
      <c r="N278" t="s">
        <v>10235</v>
      </c>
    </row>
    <row r="279" spans="1:14">
      <c r="A279" t="s">
        <v>24</v>
      </c>
      <c r="B279" t="s">
        <v>465</v>
      </c>
      <c r="C279">
        <f>"1020973"</f>
        <v>0</v>
      </c>
      <c r="D279">
        <v>21</v>
      </c>
      <c r="E279">
        <v>0</v>
      </c>
      <c r="F279" s="2">
        <v>0</v>
      </c>
      <c r="G279">
        <v>0</v>
      </c>
      <c r="H279">
        <v>4</v>
      </c>
      <c r="I279">
        <v>0.239575988793707</v>
      </c>
      <c r="J279">
        <v>5</v>
      </c>
      <c r="K279">
        <v>5</v>
      </c>
      <c r="L279" s="2">
        <v>0</v>
      </c>
      <c r="M279">
        <v>4.31</v>
      </c>
      <c r="N279" t="s">
        <v>10235</v>
      </c>
    </row>
    <row r="280" spans="1:14">
      <c r="A280" t="s">
        <v>192</v>
      </c>
      <c r="B280" t="s">
        <v>466</v>
      </c>
      <c r="C280">
        <f>"B103"</f>
        <v>0</v>
      </c>
      <c r="D280">
        <v>1</v>
      </c>
      <c r="E280">
        <v>0</v>
      </c>
      <c r="F280" s="2">
        <v>0</v>
      </c>
      <c r="G280">
        <v>0</v>
      </c>
      <c r="H280">
        <v>1</v>
      </c>
      <c r="I280">
        <v>0.2392031294775767</v>
      </c>
      <c r="J280">
        <v>0</v>
      </c>
      <c r="K280">
        <v>0</v>
      </c>
      <c r="L280" s="2">
        <v>0</v>
      </c>
      <c r="M280">
        <v>4.32</v>
      </c>
      <c r="N280" t="s">
        <v>10236</v>
      </c>
    </row>
    <row r="281" spans="1:14">
      <c r="A281" t="s">
        <v>30</v>
      </c>
      <c r="B281" t="s">
        <v>467</v>
      </c>
      <c r="C281">
        <f>"101260"</f>
        <v>0</v>
      </c>
      <c r="D281">
        <v>13</v>
      </c>
      <c r="E281">
        <v>0</v>
      </c>
      <c r="F281" s="2">
        <v>0</v>
      </c>
      <c r="G281">
        <v>0</v>
      </c>
      <c r="H281">
        <v>3</v>
      </c>
      <c r="I281">
        <v>0.239116850138249</v>
      </c>
      <c r="J281">
        <v>3</v>
      </c>
      <c r="K281">
        <v>3</v>
      </c>
      <c r="L281" s="2">
        <v>0</v>
      </c>
      <c r="M281">
        <v>4.33</v>
      </c>
      <c r="N281" t="s">
        <v>10235</v>
      </c>
    </row>
    <row r="282" spans="1:14">
      <c r="A282" t="s">
        <v>193</v>
      </c>
      <c r="B282" t="s">
        <v>468</v>
      </c>
      <c r="C282">
        <f>"004243"</f>
        <v>0</v>
      </c>
      <c r="D282">
        <v>21</v>
      </c>
      <c r="E282">
        <v>0</v>
      </c>
      <c r="F282" s="2">
        <v>0</v>
      </c>
      <c r="G282">
        <v>0</v>
      </c>
      <c r="H282">
        <v>2</v>
      </c>
      <c r="I282">
        <v>0.2391125760148026</v>
      </c>
      <c r="J282">
        <v>5</v>
      </c>
      <c r="K282">
        <v>5</v>
      </c>
      <c r="L282" s="2">
        <v>0</v>
      </c>
      <c r="M282">
        <v>4.34</v>
      </c>
      <c r="N282" t="s">
        <v>10235</v>
      </c>
    </row>
    <row r="283" spans="1:14">
      <c r="A283" t="s">
        <v>193</v>
      </c>
      <c r="B283" t="s">
        <v>469</v>
      </c>
      <c r="C283">
        <f>"671823"</f>
        <v>0</v>
      </c>
      <c r="D283">
        <v>21</v>
      </c>
      <c r="E283">
        <v>0</v>
      </c>
      <c r="F283" s="2">
        <v>0</v>
      </c>
      <c r="G283">
        <v>0</v>
      </c>
      <c r="H283">
        <v>3</v>
      </c>
      <c r="I283">
        <v>0.2391125760148026</v>
      </c>
      <c r="J283">
        <v>5</v>
      </c>
      <c r="K283">
        <v>5</v>
      </c>
      <c r="L283" s="2">
        <v>0</v>
      </c>
      <c r="M283">
        <v>4.36</v>
      </c>
      <c r="N283" t="s">
        <v>10235</v>
      </c>
    </row>
    <row r="284" spans="1:14">
      <c r="A284" t="s">
        <v>37</v>
      </c>
      <c r="B284" t="s">
        <v>470</v>
      </c>
      <c r="C284">
        <f>"577300"</f>
        <v>0</v>
      </c>
      <c r="D284">
        <v>21</v>
      </c>
      <c r="E284">
        <v>0</v>
      </c>
      <c r="F284" s="2">
        <v>0</v>
      </c>
      <c r="G284">
        <v>0</v>
      </c>
      <c r="H284">
        <v>1</v>
      </c>
      <c r="I284">
        <v>0.2391125760148026</v>
      </c>
      <c r="J284">
        <v>5</v>
      </c>
      <c r="K284">
        <v>5</v>
      </c>
      <c r="L284" s="2">
        <v>0</v>
      </c>
      <c r="M284">
        <v>4.37</v>
      </c>
      <c r="N284" t="s">
        <v>10236</v>
      </c>
    </row>
    <row r="285" spans="1:14">
      <c r="A285" t="s">
        <v>204</v>
      </c>
      <c r="B285" t="s">
        <v>471</v>
      </c>
      <c r="C285">
        <f>"12340775"</f>
        <v>0</v>
      </c>
      <c r="D285">
        <v>21</v>
      </c>
      <c r="E285">
        <v>0</v>
      </c>
      <c r="F285" s="2">
        <v>0</v>
      </c>
      <c r="G285">
        <v>0</v>
      </c>
      <c r="H285">
        <v>1</v>
      </c>
      <c r="I285">
        <v>0.2391125760148026</v>
      </c>
      <c r="J285">
        <v>5</v>
      </c>
      <c r="K285">
        <v>5</v>
      </c>
      <c r="L285" s="2">
        <v>0</v>
      </c>
      <c r="M285">
        <v>4.38</v>
      </c>
      <c r="N285" t="s">
        <v>10236</v>
      </c>
    </row>
    <row r="286" spans="1:14">
      <c r="A286" t="s">
        <v>37</v>
      </c>
      <c r="B286" t="s">
        <v>472</v>
      </c>
      <c r="C286">
        <f>"577200"</f>
        <v>0</v>
      </c>
      <c r="D286">
        <v>21</v>
      </c>
      <c r="E286">
        <v>0</v>
      </c>
      <c r="F286" s="2">
        <v>0</v>
      </c>
      <c r="G286">
        <v>0</v>
      </c>
      <c r="H286">
        <v>1</v>
      </c>
      <c r="I286">
        <v>0.2391125760148026</v>
      </c>
      <c r="J286">
        <v>5</v>
      </c>
      <c r="K286">
        <v>5</v>
      </c>
      <c r="L286" s="2">
        <v>0</v>
      </c>
      <c r="M286">
        <v>4.39</v>
      </c>
      <c r="N286" t="s">
        <v>10236</v>
      </c>
    </row>
    <row r="287" spans="1:14">
      <c r="A287" t="s">
        <v>24</v>
      </c>
      <c r="B287" t="s">
        <v>473</v>
      </c>
      <c r="C287">
        <f>"DPI126"</f>
        <v>0</v>
      </c>
      <c r="D287">
        <v>21</v>
      </c>
      <c r="E287">
        <v>0</v>
      </c>
      <c r="F287" s="2">
        <v>0</v>
      </c>
      <c r="G287">
        <v>0</v>
      </c>
      <c r="H287">
        <v>2</v>
      </c>
      <c r="I287">
        <v>0.2391125760148026</v>
      </c>
      <c r="J287">
        <v>5</v>
      </c>
      <c r="K287">
        <v>5</v>
      </c>
      <c r="L287" s="2">
        <v>0</v>
      </c>
      <c r="M287">
        <v>4.41</v>
      </c>
      <c r="N287" t="s">
        <v>10235</v>
      </c>
    </row>
    <row r="288" spans="1:14">
      <c r="A288" t="s">
        <v>31</v>
      </c>
      <c r="B288" t="s">
        <v>474</v>
      </c>
      <c r="C288">
        <f>"1013967"</f>
        <v>0</v>
      </c>
      <c r="D288">
        <v>18</v>
      </c>
      <c r="E288">
        <v>0</v>
      </c>
      <c r="F288" s="2">
        <v>0</v>
      </c>
      <c r="G288">
        <v>0</v>
      </c>
      <c r="H288">
        <v>3</v>
      </c>
      <c r="I288">
        <v>0.2389602107583567</v>
      </c>
      <c r="J288">
        <v>4</v>
      </c>
      <c r="K288">
        <v>4</v>
      </c>
      <c r="L288" s="2">
        <v>0</v>
      </c>
      <c r="M288">
        <v>4.42</v>
      </c>
      <c r="N288" t="s">
        <v>10235</v>
      </c>
    </row>
    <row r="289" spans="1:14">
      <c r="A289" t="s">
        <v>40</v>
      </c>
      <c r="B289" t="s">
        <v>475</v>
      </c>
      <c r="C289">
        <f>"V101151"</f>
        <v>0</v>
      </c>
      <c r="D289">
        <v>5</v>
      </c>
      <c r="E289">
        <v>0</v>
      </c>
      <c r="F289" s="2">
        <v>0</v>
      </c>
      <c r="G289">
        <v>0</v>
      </c>
      <c r="H289">
        <v>2</v>
      </c>
      <c r="I289">
        <v>0.2388655461683892</v>
      </c>
      <c r="J289">
        <v>1</v>
      </c>
      <c r="K289">
        <v>1</v>
      </c>
      <c r="L289" s="2">
        <v>0</v>
      </c>
      <c r="M289">
        <v>4.43</v>
      </c>
      <c r="N289" t="s">
        <v>10235</v>
      </c>
    </row>
    <row r="290" spans="1:14">
      <c r="A290" t="s">
        <v>35</v>
      </c>
      <c r="B290" t="s">
        <v>476</v>
      </c>
      <c r="C290">
        <f>"CK1026"</f>
        <v>0</v>
      </c>
      <c r="D290">
        <v>20</v>
      </c>
      <c r="E290">
        <v>0</v>
      </c>
      <c r="F290" s="2">
        <v>0</v>
      </c>
      <c r="G290">
        <v>0</v>
      </c>
      <c r="H290">
        <v>4</v>
      </c>
      <c r="I290">
        <v>0.2386205012538644</v>
      </c>
      <c r="J290">
        <v>5</v>
      </c>
      <c r="K290">
        <v>5</v>
      </c>
      <c r="L290" s="2">
        <v>0</v>
      </c>
      <c r="M290">
        <v>4.45</v>
      </c>
      <c r="N290" t="s">
        <v>10235</v>
      </c>
    </row>
    <row r="291" spans="1:14">
      <c r="A291" t="s">
        <v>30</v>
      </c>
      <c r="B291" t="s">
        <v>79</v>
      </c>
      <c r="C291">
        <f>"100571"</f>
        <v>0</v>
      </c>
      <c r="D291">
        <v>22</v>
      </c>
      <c r="E291">
        <v>0</v>
      </c>
      <c r="F291" s="2">
        <v>0</v>
      </c>
      <c r="G291">
        <v>0</v>
      </c>
      <c r="H291">
        <v>3</v>
      </c>
      <c r="I291">
        <v>0.2384201173071814</v>
      </c>
      <c r="J291">
        <v>6</v>
      </c>
      <c r="K291">
        <v>6</v>
      </c>
      <c r="L291" s="2">
        <v>0</v>
      </c>
      <c r="M291">
        <v>4.46</v>
      </c>
      <c r="N291" t="s">
        <v>10235</v>
      </c>
    </row>
    <row r="292" spans="1:14">
      <c r="A292" t="s">
        <v>40</v>
      </c>
      <c r="B292" t="s">
        <v>477</v>
      </c>
      <c r="C292">
        <f>"v100784"</f>
        <v>0</v>
      </c>
      <c r="D292">
        <v>20</v>
      </c>
      <c r="E292">
        <v>0</v>
      </c>
      <c r="F292" s="2">
        <v>0</v>
      </c>
      <c r="G292">
        <v>0</v>
      </c>
      <c r="H292">
        <v>2</v>
      </c>
      <c r="I292">
        <v>0.2383982903005177</v>
      </c>
      <c r="J292">
        <v>5</v>
      </c>
      <c r="K292">
        <v>5</v>
      </c>
      <c r="L292" s="2">
        <v>0</v>
      </c>
      <c r="M292">
        <v>4.47</v>
      </c>
      <c r="N292" t="s">
        <v>10235</v>
      </c>
    </row>
    <row r="293" spans="1:14">
      <c r="A293" t="s">
        <v>32</v>
      </c>
      <c r="B293" t="s">
        <v>478</v>
      </c>
      <c r="C293">
        <f>"5008726"</f>
        <v>0</v>
      </c>
      <c r="D293">
        <v>20</v>
      </c>
      <c r="E293">
        <v>0</v>
      </c>
      <c r="F293" s="2">
        <v>0</v>
      </c>
      <c r="G293">
        <v>0</v>
      </c>
      <c r="H293">
        <v>3</v>
      </c>
      <c r="I293">
        <v>0.2383982903005177</v>
      </c>
      <c r="J293">
        <v>5</v>
      </c>
      <c r="K293">
        <v>5</v>
      </c>
      <c r="L293" s="2">
        <v>0</v>
      </c>
      <c r="M293">
        <v>4.48</v>
      </c>
      <c r="N293" t="s">
        <v>10235</v>
      </c>
    </row>
    <row r="294" spans="1:14">
      <c r="A294" t="s">
        <v>24</v>
      </c>
      <c r="B294" t="s">
        <v>479</v>
      </c>
      <c r="C294">
        <f>"1129001"</f>
        <v>0</v>
      </c>
      <c r="D294">
        <v>20</v>
      </c>
      <c r="E294">
        <v>0</v>
      </c>
      <c r="F294" s="2">
        <v>0</v>
      </c>
      <c r="G294">
        <v>0</v>
      </c>
      <c r="H294">
        <v>3</v>
      </c>
      <c r="I294">
        <v>0.2383982903005177</v>
      </c>
      <c r="J294">
        <v>5</v>
      </c>
      <c r="K294">
        <v>5</v>
      </c>
      <c r="L294" s="2">
        <v>0</v>
      </c>
      <c r="M294">
        <v>4.5</v>
      </c>
      <c r="N294" t="s">
        <v>10235</v>
      </c>
    </row>
    <row r="295" spans="1:14">
      <c r="A295" t="s">
        <v>28</v>
      </c>
      <c r="B295" t="s">
        <v>480</v>
      </c>
      <c r="C295">
        <f>"CT850L"</f>
        <v>0</v>
      </c>
      <c r="D295">
        <v>20</v>
      </c>
      <c r="E295">
        <v>0</v>
      </c>
      <c r="F295" s="2">
        <v>0</v>
      </c>
      <c r="G295">
        <v>0</v>
      </c>
      <c r="H295">
        <v>1</v>
      </c>
      <c r="I295">
        <v>0.2383982903005177</v>
      </c>
      <c r="J295">
        <v>5</v>
      </c>
      <c r="K295">
        <v>5</v>
      </c>
      <c r="L295" s="2">
        <v>0</v>
      </c>
      <c r="M295">
        <v>4.51</v>
      </c>
      <c r="N295" t="s">
        <v>10236</v>
      </c>
    </row>
    <row r="296" spans="1:14">
      <c r="A296" t="s">
        <v>31</v>
      </c>
      <c r="B296" t="s">
        <v>481</v>
      </c>
      <c r="C296">
        <f>"5007609"</f>
        <v>0</v>
      </c>
      <c r="D296">
        <v>15</v>
      </c>
      <c r="E296">
        <v>0</v>
      </c>
      <c r="F296" s="2">
        <v>0</v>
      </c>
      <c r="G296">
        <v>0</v>
      </c>
      <c r="H296">
        <v>4</v>
      </c>
      <c r="I296">
        <v>0.2382276477331485</v>
      </c>
      <c r="J296">
        <v>4</v>
      </c>
      <c r="K296">
        <v>4</v>
      </c>
      <c r="L296" s="2">
        <v>0</v>
      </c>
      <c r="M296">
        <v>4.52</v>
      </c>
      <c r="N296" t="s">
        <v>10235</v>
      </c>
    </row>
    <row r="297" spans="1:14">
      <c r="A297" t="s">
        <v>205</v>
      </c>
      <c r="B297" t="s">
        <v>482</v>
      </c>
      <c r="C297">
        <f>"MCS0101W"</f>
        <v>0</v>
      </c>
      <c r="D297">
        <v>19</v>
      </c>
      <c r="E297">
        <v>0</v>
      </c>
      <c r="F297" s="2">
        <v>0</v>
      </c>
      <c r="G297">
        <v>0</v>
      </c>
      <c r="H297">
        <v>3</v>
      </c>
      <c r="I297">
        <v>0.2376840045862328</v>
      </c>
      <c r="J297">
        <v>5</v>
      </c>
      <c r="K297">
        <v>5</v>
      </c>
      <c r="L297" s="2">
        <v>0</v>
      </c>
      <c r="M297">
        <v>4.53</v>
      </c>
      <c r="N297" t="s">
        <v>10235</v>
      </c>
    </row>
    <row r="298" spans="1:14">
      <c r="A298" t="s">
        <v>37</v>
      </c>
      <c r="B298" t="s">
        <v>483</v>
      </c>
      <c r="C298">
        <f>"576065"</f>
        <v>0</v>
      </c>
      <c r="D298">
        <v>19</v>
      </c>
      <c r="E298">
        <v>0</v>
      </c>
      <c r="F298" s="2">
        <v>0</v>
      </c>
      <c r="G298">
        <v>0</v>
      </c>
      <c r="H298">
        <v>2</v>
      </c>
      <c r="I298">
        <v>0.2376840045862328</v>
      </c>
      <c r="J298">
        <v>5</v>
      </c>
      <c r="K298">
        <v>5</v>
      </c>
      <c r="L298" s="2">
        <v>0</v>
      </c>
      <c r="M298">
        <v>4.55</v>
      </c>
      <c r="N298" t="s">
        <v>10235</v>
      </c>
    </row>
    <row r="299" spans="1:14">
      <c r="A299" t="s">
        <v>202</v>
      </c>
      <c r="B299" t="s">
        <v>484</v>
      </c>
      <c r="C299">
        <f>"21001082"</f>
        <v>0</v>
      </c>
      <c r="D299">
        <v>19</v>
      </c>
      <c r="E299">
        <v>0</v>
      </c>
      <c r="F299" s="2">
        <v>0</v>
      </c>
      <c r="G299">
        <v>0</v>
      </c>
      <c r="H299">
        <v>3</v>
      </c>
      <c r="I299">
        <v>0.2376840045862328</v>
      </c>
      <c r="J299">
        <v>5</v>
      </c>
      <c r="K299">
        <v>5</v>
      </c>
      <c r="L299" s="2">
        <v>0</v>
      </c>
      <c r="M299">
        <v>4.56</v>
      </c>
      <c r="N299" t="s">
        <v>10235</v>
      </c>
    </row>
    <row r="300" spans="1:14">
      <c r="A300" t="s">
        <v>34</v>
      </c>
      <c r="B300" t="s">
        <v>485</v>
      </c>
      <c r="C300">
        <f>"14000169"</f>
        <v>0</v>
      </c>
      <c r="D300">
        <v>19</v>
      </c>
      <c r="E300">
        <v>0</v>
      </c>
      <c r="F300" s="2">
        <v>0</v>
      </c>
      <c r="G300">
        <v>0</v>
      </c>
      <c r="H300">
        <v>2</v>
      </c>
      <c r="I300">
        <v>0.2376840045862328</v>
      </c>
      <c r="J300">
        <v>5</v>
      </c>
      <c r="K300">
        <v>5</v>
      </c>
      <c r="L300" s="2">
        <v>0</v>
      </c>
      <c r="M300">
        <v>4.57</v>
      </c>
      <c r="N300" t="s">
        <v>10235</v>
      </c>
    </row>
    <row r="301" spans="1:14">
      <c r="A301" t="s">
        <v>35</v>
      </c>
      <c r="B301" t="s">
        <v>486</v>
      </c>
      <c r="C301">
        <f>"KX1021"</f>
        <v>0</v>
      </c>
      <c r="D301">
        <v>19</v>
      </c>
      <c r="E301">
        <v>0</v>
      </c>
      <c r="F301" s="2">
        <v>0</v>
      </c>
      <c r="G301">
        <v>0</v>
      </c>
      <c r="H301">
        <v>1</v>
      </c>
      <c r="I301">
        <v>0.2376840045862328</v>
      </c>
      <c r="J301">
        <v>5</v>
      </c>
      <c r="K301">
        <v>5</v>
      </c>
      <c r="L301" s="2">
        <v>0</v>
      </c>
      <c r="M301">
        <v>4.58</v>
      </c>
      <c r="N301" t="s">
        <v>10236</v>
      </c>
    </row>
    <row r="302" spans="1:14">
      <c r="A302" t="s">
        <v>24</v>
      </c>
      <c r="B302" t="s">
        <v>487</v>
      </c>
      <c r="C302">
        <f>"DPI100"</f>
        <v>0</v>
      </c>
      <c r="D302">
        <v>17</v>
      </c>
      <c r="E302">
        <v>0</v>
      </c>
      <c r="F302" s="2">
        <v>0</v>
      </c>
      <c r="G302">
        <v>0</v>
      </c>
      <c r="H302">
        <v>3</v>
      </c>
      <c r="I302">
        <v>0.2376765538473176</v>
      </c>
      <c r="J302">
        <v>4</v>
      </c>
      <c r="K302">
        <v>4</v>
      </c>
      <c r="L302" s="2">
        <v>0</v>
      </c>
      <c r="M302">
        <v>4.6</v>
      </c>
      <c r="N302" t="s">
        <v>10235</v>
      </c>
    </row>
    <row r="303" spans="1:14">
      <c r="A303" t="s">
        <v>35</v>
      </c>
      <c r="B303" t="s">
        <v>488</v>
      </c>
      <c r="C303">
        <f>"CK1004"</f>
        <v>0</v>
      </c>
      <c r="D303">
        <v>88</v>
      </c>
      <c r="E303">
        <v>31</v>
      </c>
      <c r="F303" s="2">
        <v>1</v>
      </c>
      <c r="G303">
        <v>1.41</v>
      </c>
      <c r="H303">
        <v>4</v>
      </c>
      <c r="I303">
        <v>0.2374574471166144</v>
      </c>
      <c r="J303">
        <v>22</v>
      </c>
      <c r="K303">
        <v>0</v>
      </c>
      <c r="L303" s="2">
        <v>0</v>
      </c>
      <c r="M303">
        <v>4.61</v>
      </c>
      <c r="N303" t="s">
        <v>10235</v>
      </c>
    </row>
    <row r="304" spans="1:14">
      <c r="A304" t="s">
        <v>32</v>
      </c>
      <c r="B304" t="s">
        <v>489</v>
      </c>
      <c r="C304">
        <f>"1019486"</f>
        <v>0</v>
      </c>
      <c r="D304">
        <v>16</v>
      </c>
      <c r="E304">
        <v>0</v>
      </c>
      <c r="F304" s="2">
        <v>0</v>
      </c>
      <c r="G304">
        <v>0</v>
      </c>
      <c r="H304">
        <v>3</v>
      </c>
      <c r="I304">
        <v>0.2372233482547364</v>
      </c>
      <c r="J304">
        <v>4</v>
      </c>
      <c r="K304">
        <v>4</v>
      </c>
      <c r="L304" s="2">
        <v>0</v>
      </c>
      <c r="M304">
        <v>4.62</v>
      </c>
      <c r="N304" t="s">
        <v>10235</v>
      </c>
    </row>
    <row r="305" spans="1:14">
      <c r="A305" t="s">
        <v>41</v>
      </c>
      <c r="B305" t="s">
        <v>490</v>
      </c>
      <c r="C305">
        <f>"PAHLRGL"</f>
        <v>0</v>
      </c>
      <c r="D305">
        <v>11</v>
      </c>
      <c r="E305">
        <v>0</v>
      </c>
      <c r="F305" s="2">
        <v>0</v>
      </c>
      <c r="G305">
        <v>0</v>
      </c>
      <c r="H305">
        <v>3</v>
      </c>
      <c r="I305">
        <v>0.2370012350991319</v>
      </c>
      <c r="J305">
        <v>3</v>
      </c>
      <c r="K305">
        <v>3</v>
      </c>
      <c r="L305" s="2">
        <v>0</v>
      </c>
      <c r="M305">
        <v>4.63</v>
      </c>
      <c r="N305" t="s">
        <v>10235</v>
      </c>
    </row>
    <row r="306" spans="1:14">
      <c r="A306" t="s">
        <v>35</v>
      </c>
      <c r="B306" t="s">
        <v>491</v>
      </c>
      <c r="C306">
        <f>"JWZ1016L"</f>
        <v>0</v>
      </c>
      <c r="D306">
        <v>28</v>
      </c>
      <c r="E306">
        <v>1</v>
      </c>
      <c r="F306" s="2">
        <v>1</v>
      </c>
      <c r="G306">
        <v>0.14</v>
      </c>
      <c r="H306">
        <v>1</v>
      </c>
      <c r="I306">
        <v>0.2369697188790823</v>
      </c>
      <c r="J306">
        <v>7</v>
      </c>
      <c r="K306">
        <v>6</v>
      </c>
      <c r="L306" s="2">
        <v>6</v>
      </c>
      <c r="M306">
        <v>4.65</v>
      </c>
      <c r="N306" t="s">
        <v>10236</v>
      </c>
    </row>
    <row r="307" spans="1:14">
      <c r="A307" t="s">
        <v>35</v>
      </c>
      <c r="B307" t="s">
        <v>492</v>
      </c>
      <c r="C307">
        <f>"JWZ1027M"</f>
        <v>0</v>
      </c>
      <c r="D307">
        <v>18</v>
      </c>
      <c r="E307">
        <v>0</v>
      </c>
      <c r="F307" s="2">
        <v>0</v>
      </c>
      <c r="G307">
        <v>0</v>
      </c>
      <c r="H307">
        <v>1</v>
      </c>
      <c r="I307">
        <v>0.236969718871948</v>
      </c>
      <c r="J307">
        <v>4</v>
      </c>
      <c r="K307">
        <v>4</v>
      </c>
      <c r="L307" s="2">
        <v>0</v>
      </c>
      <c r="M307">
        <v>4.66</v>
      </c>
      <c r="N307" t="s">
        <v>10236</v>
      </c>
    </row>
    <row r="308" spans="1:14">
      <c r="A308" t="s">
        <v>35</v>
      </c>
      <c r="B308" t="s">
        <v>493</v>
      </c>
      <c r="C308">
        <f>"JWZ1024L"</f>
        <v>0</v>
      </c>
      <c r="D308">
        <v>18</v>
      </c>
      <c r="E308">
        <v>0</v>
      </c>
      <c r="F308" s="2">
        <v>0</v>
      </c>
      <c r="G308">
        <v>0</v>
      </c>
      <c r="H308">
        <v>1</v>
      </c>
      <c r="I308">
        <v>0.236969718871948</v>
      </c>
      <c r="J308">
        <v>4</v>
      </c>
      <c r="K308">
        <v>4</v>
      </c>
      <c r="L308" s="2">
        <v>0</v>
      </c>
      <c r="M308">
        <v>4.67</v>
      </c>
      <c r="N308" t="s">
        <v>10236</v>
      </c>
    </row>
    <row r="309" spans="1:14">
      <c r="A309" t="s">
        <v>35</v>
      </c>
      <c r="B309" t="s">
        <v>494</v>
      </c>
      <c r="C309">
        <f>"JWZ1033M"</f>
        <v>0</v>
      </c>
      <c r="D309">
        <v>18</v>
      </c>
      <c r="E309">
        <v>0</v>
      </c>
      <c r="F309" s="2">
        <v>0</v>
      </c>
      <c r="G309">
        <v>0</v>
      </c>
      <c r="H309">
        <v>1</v>
      </c>
      <c r="I309">
        <v>0.236969718871948</v>
      </c>
      <c r="J309">
        <v>4</v>
      </c>
      <c r="K309">
        <v>4</v>
      </c>
      <c r="L309" s="2">
        <v>0</v>
      </c>
      <c r="M309">
        <v>4.68</v>
      </c>
      <c r="N309" t="s">
        <v>10236</v>
      </c>
    </row>
    <row r="310" spans="1:14">
      <c r="A310" t="s">
        <v>33</v>
      </c>
      <c r="B310" t="s">
        <v>495</v>
      </c>
      <c r="C310">
        <f>"TOPK93217"</f>
        <v>0</v>
      </c>
      <c r="D310">
        <v>18</v>
      </c>
      <c r="E310">
        <v>0</v>
      </c>
      <c r="F310" s="2">
        <v>0</v>
      </c>
      <c r="G310">
        <v>0</v>
      </c>
      <c r="H310">
        <v>3</v>
      </c>
      <c r="I310">
        <v>0.236969718871948</v>
      </c>
      <c r="J310">
        <v>4</v>
      </c>
      <c r="K310">
        <v>4</v>
      </c>
      <c r="L310" s="2">
        <v>0</v>
      </c>
      <c r="M310">
        <v>4.7</v>
      </c>
      <c r="N310" t="s">
        <v>10235</v>
      </c>
    </row>
    <row r="311" spans="1:14">
      <c r="A311" t="s">
        <v>35</v>
      </c>
      <c r="B311" t="s">
        <v>496</v>
      </c>
      <c r="C311">
        <f>"WPS275"</f>
        <v>0</v>
      </c>
      <c r="D311">
        <v>18</v>
      </c>
      <c r="E311">
        <v>0</v>
      </c>
      <c r="F311" s="2">
        <v>0</v>
      </c>
      <c r="G311">
        <v>0</v>
      </c>
      <c r="H311">
        <v>3</v>
      </c>
      <c r="I311">
        <v>0.236969718871948</v>
      </c>
      <c r="J311">
        <v>4</v>
      </c>
      <c r="K311">
        <v>4</v>
      </c>
      <c r="L311" s="2">
        <v>0</v>
      </c>
      <c r="M311">
        <v>4.71</v>
      </c>
      <c r="N311" t="s">
        <v>10235</v>
      </c>
    </row>
    <row r="312" spans="1:14">
      <c r="A312" t="s">
        <v>194</v>
      </c>
      <c r="B312" t="s">
        <v>497</v>
      </c>
      <c r="C312">
        <f>"200600200"</f>
        <v>0</v>
      </c>
      <c r="D312">
        <v>7</v>
      </c>
      <c r="E312">
        <v>0</v>
      </c>
      <c r="F312" s="2">
        <v>0</v>
      </c>
      <c r="G312">
        <v>0</v>
      </c>
      <c r="H312">
        <v>3</v>
      </c>
      <c r="I312">
        <v>0.2369224390979748</v>
      </c>
      <c r="J312">
        <v>2</v>
      </c>
      <c r="K312">
        <v>2</v>
      </c>
      <c r="L312" s="2">
        <v>0</v>
      </c>
      <c r="M312">
        <v>4.72</v>
      </c>
      <c r="N312" t="s">
        <v>10235</v>
      </c>
    </row>
    <row r="313" spans="1:14">
      <c r="A313" t="s">
        <v>206</v>
      </c>
      <c r="B313" t="s">
        <v>498</v>
      </c>
      <c r="C313">
        <f>"55104"</f>
        <v>0</v>
      </c>
      <c r="D313">
        <v>9</v>
      </c>
      <c r="E313">
        <v>0</v>
      </c>
      <c r="F313" s="2">
        <v>0</v>
      </c>
      <c r="G313">
        <v>0</v>
      </c>
      <c r="H313">
        <v>2</v>
      </c>
      <c r="I313">
        <v>0.23641145677401</v>
      </c>
      <c r="J313">
        <v>2</v>
      </c>
      <c r="K313">
        <v>2</v>
      </c>
      <c r="L313" s="2">
        <v>0</v>
      </c>
      <c r="M313">
        <v>4.73</v>
      </c>
      <c r="N313" t="s">
        <v>10235</v>
      </c>
    </row>
    <row r="314" spans="1:14">
      <c r="A314" t="s">
        <v>38</v>
      </c>
      <c r="B314" t="s">
        <v>499</v>
      </c>
      <c r="C314">
        <f>"1000774"</f>
        <v>0</v>
      </c>
      <c r="D314">
        <v>17</v>
      </c>
      <c r="E314">
        <v>0</v>
      </c>
      <c r="F314" s="2">
        <v>0</v>
      </c>
      <c r="G314">
        <v>0</v>
      </c>
      <c r="H314">
        <v>2</v>
      </c>
      <c r="I314">
        <v>0.2362554331576631</v>
      </c>
      <c r="J314">
        <v>4</v>
      </c>
      <c r="K314">
        <v>4</v>
      </c>
      <c r="L314" s="2">
        <v>0</v>
      </c>
      <c r="M314">
        <v>4.75</v>
      </c>
      <c r="N314" t="s">
        <v>10235</v>
      </c>
    </row>
    <row r="315" spans="1:14">
      <c r="A315" t="s">
        <v>32</v>
      </c>
      <c r="B315" t="s">
        <v>500</v>
      </c>
      <c r="C315">
        <f>"5008725"</f>
        <v>0</v>
      </c>
      <c r="D315">
        <v>17</v>
      </c>
      <c r="E315">
        <v>0</v>
      </c>
      <c r="F315" s="2">
        <v>0</v>
      </c>
      <c r="G315">
        <v>0</v>
      </c>
      <c r="H315">
        <v>3</v>
      </c>
      <c r="I315">
        <v>0.2362554331576631</v>
      </c>
      <c r="J315">
        <v>4</v>
      </c>
      <c r="K315">
        <v>4</v>
      </c>
      <c r="L315" s="2">
        <v>0</v>
      </c>
      <c r="M315">
        <v>4.76</v>
      </c>
      <c r="N315" t="s">
        <v>10235</v>
      </c>
    </row>
    <row r="316" spans="1:14">
      <c r="A316" t="s">
        <v>24</v>
      </c>
      <c r="B316" t="s">
        <v>501</v>
      </c>
      <c r="C316">
        <f>"1124001"</f>
        <v>0</v>
      </c>
      <c r="D316">
        <v>17</v>
      </c>
      <c r="E316">
        <v>0</v>
      </c>
      <c r="F316" s="2">
        <v>0</v>
      </c>
      <c r="G316">
        <v>0</v>
      </c>
      <c r="H316">
        <v>3</v>
      </c>
      <c r="I316">
        <v>0.2362554331576631</v>
      </c>
      <c r="J316">
        <v>4</v>
      </c>
      <c r="K316">
        <v>4</v>
      </c>
      <c r="L316" s="2">
        <v>0</v>
      </c>
      <c r="M316">
        <v>4.77</v>
      </c>
      <c r="N316" t="s">
        <v>10235</v>
      </c>
    </row>
    <row r="317" spans="1:14">
      <c r="A317" t="s">
        <v>31</v>
      </c>
      <c r="B317" t="s">
        <v>502</v>
      </c>
      <c r="C317">
        <f>"RCM059"</f>
        <v>0</v>
      </c>
      <c r="D317">
        <v>16</v>
      </c>
      <c r="E317">
        <v>0</v>
      </c>
      <c r="F317" s="2">
        <v>0</v>
      </c>
      <c r="G317">
        <v>0</v>
      </c>
      <c r="H317">
        <v>3</v>
      </c>
      <c r="I317">
        <v>0.2360333127577796</v>
      </c>
      <c r="J317">
        <v>4</v>
      </c>
      <c r="K317">
        <v>4</v>
      </c>
      <c r="L317" s="2">
        <v>0</v>
      </c>
      <c r="M317">
        <v>4.78</v>
      </c>
      <c r="N317" t="s">
        <v>10235</v>
      </c>
    </row>
    <row r="318" spans="1:14">
      <c r="A318" t="s">
        <v>30</v>
      </c>
      <c r="B318" t="s">
        <v>503</v>
      </c>
      <c r="C318">
        <f>"100953"</f>
        <v>0</v>
      </c>
      <c r="D318">
        <v>14</v>
      </c>
      <c r="E318">
        <v>0</v>
      </c>
      <c r="F318" s="2">
        <v>0</v>
      </c>
      <c r="G318">
        <v>0</v>
      </c>
      <c r="H318">
        <v>2</v>
      </c>
      <c r="I318">
        <v>0.2358970080634892</v>
      </c>
      <c r="J318">
        <v>4</v>
      </c>
      <c r="K318">
        <v>4</v>
      </c>
      <c r="L318" s="2">
        <v>0</v>
      </c>
      <c r="M318">
        <v>4.8</v>
      </c>
      <c r="N318" t="s">
        <v>10235</v>
      </c>
    </row>
    <row r="319" spans="1:14">
      <c r="A319" t="s">
        <v>35</v>
      </c>
      <c r="B319" t="s">
        <v>504</v>
      </c>
      <c r="C319">
        <f>"JWL1011MBN"</f>
        <v>0</v>
      </c>
      <c r="D319">
        <v>1</v>
      </c>
      <c r="E319">
        <v>0</v>
      </c>
      <c r="F319" s="2">
        <v>0</v>
      </c>
      <c r="G319">
        <v>0</v>
      </c>
      <c r="H319">
        <v>1</v>
      </c>
      <c r="I319">
        <v>0.2356534337372134</v>
      </c>
      <c r="J319">
        <v>0</v>
      </c>
      <c r="K319">
        <v>0</v>
      </c>
      <c r="L319" s="2">
        <v>0</v>
      </c>
      <c r="M319">
        <v>4.81</v>
      </c>
      <c r="N319" t="s">
        <v>10236</v>
      </c>
    </row>
    <row r="320" spans="1:14">
      <c r="A320" t="s">
        <v>30</v>
      </c>
      <c r="B320" t="s">
        <v>505</v>
      </c>
      <c r="C320">
        <f>"101257"</f>
        <v>0</v>
      </c>
      <c r="D320">
        <v>14</v>
      </c>
      <c r="E320">
        <v>0</v>
      </c>
      <c r="F320" s="2">
        <v>0</v>
      </c>
      <c r="G320">
        <v>0</v>
      </c>
      <c r="H320">
        <v>2</v>
      </c>
      <c r="I320">
        <v>0.235651546603043</v>
      </c>
      <c r="J320">
        <v>4</v>
      </c>
      <c r="K320">
        <v>4</v>
      </c>
      <c r="L320" s="2">
        <v>0</v>
      </c>
      <c r="M320">
        <v>4.82</v>
      </c>
      <c r="N320" t="s">
        <v>10235</v>
      </c>
    </row>
    <row r="321" spans="1:14">
      <c r="A321" t="s">
        <v>38</v>
      </c>
      <c r="B321" t="s">
        <v>506</v>
      </c>
      <c r="C321">
        <f>"BJS13"</f>
        <v>0</v>
      </c>
      <c r="D321">
        <v>12</v>
      </c>
      <c r="E321">
        <v>0</v>
      </c>
      <c r="F321" s="2">
        <v>0</v>
      </c>
      <c r="G321">
        <v>0</v>
      </c>
      <c r="H321">
        <v>4</v>
      </c>
      <c r="I321">
        <v>0.2355468342008418</v>
      </c>
      <c r="J321">
        <v>3</v>
      </c>
      <c r="K321">
        <v>3</v>
      </c>
      <c r="L321" s="2">
        <v>0</v>
      </c>
      <c r="M321">
        <v>4.83</v>
      </c>
      <c r="N321" t="s">
        <v>10235</v>
      </c>
    </row>
    <row r="322" spans="1:14">
      <c r="A322" t="s">
        <v>193</v>
      </c>
      <c r="B322" t="s">
        <v>507</v>
      </c>
      <c r="C322">
        <f>"2GA3233"</f>
        <v>0</v>
      </c>
      <c r="D322">
        <v>16</v>
      </c>
      <c r="E322">
        <v>0</v>
      </c>
      <c r="F322" s="2">
        <v>0</v>
      </c>
      <c r="G322">
        <v>0</v>
      </c>
      <c r="H322">
        <v>2</v>
      </c>
      <c r="I322">
        <v>0.2355411474433782</v>
      </c>
      <c r="J322">
        <v>4</v>
      </c>
      <c r="K322">
        <v>4</v>
      </c>
      <c r="L322" s="2">
        <v>0</v>
      </c>
      <c r="M322">
        <v>4.85</v>
      </c>
      <c r="N322" t="s">
        <v>10235</v>
      </c>
    </row>
    <row r="323" spans="1:14">
      <c r="A323" t="s">
        <v>35</v>
      </c>
      <c r="B323" t="s">
        <v>508</v>
      </c>
      <c r="C323">
        <f>"CLBXSX1"</f>
        <v>0</v>
      </c>
      <c r="D323">
        <v>16</v>
      </c>
      <c r="E323">
        <v>0</v>
      </c>
      <c r="F323" s="2">
        <v>0</v>
      </c>
      <c r="G323">
        <v>0</v>
      </c>
      <c r="H323">
        <v>1</v>
      </c>
      <c r="I323">
        <v>0.2355411474433782</v>
      </c>
      <c r="J323">
        <v>4</v>
      </c>
      <c r="K323">
        <v>4</v>
      </c>
      <c r="L323" s="2">
        <v>0</v>
      </c>
      <c r="M323">
        <v>4.86</v>
      </c>
      <c r="N323" t="s">
        <v>10236</v>
      </c>
    </row>
    <row r="324" spans="1:14">
      <c r="A324" t="s">
        <v>37</v>
      </c>
      <c r="B324" t="s">
        <v>509</v>
      </c>
      <c r="C324">
        <f>"577000"</f>
        <v>0</v>
      </c>
      <c r="D324">
        <v>16</v>
      </c>
      <c r="E324">
        <v>0</v>
      </c>
      <c r="F324" s="2">
        <v>0</v>
      </c>
      <c r="G324">
        <v>0</v>
      </c>
      <c r="H324">
        <v>2</v>
      </c>
      <c r="I324">
        <v>0.2355411474433782</v>
      </c>
      <c r="J324">
        <v>4</v>
      </c>
      <c r="K324">
        <v>4</v>
      </c>
      <c r="L324" s="2">
        <v>0</v>
      </c>
      <c r="M324">
        <v>4.87</v>
      </c>
      <c r="N324" t="s">
        <v>10235</v>
      </c>
    </row>
    <row r="325" spans="1:14">
      <c r="A325" t="s">
        <v>25</v>
      </c>
      <c r="B325" t="s">
        <v>510</v>
      </c>
      <c r="C325">
        <f>"ZVP1110"</f>
        <v>0</v>
      </c>
      <c r="D325">
        <v>8</v>
      </c>
      <c r="E325">
        <v>5</v>
      </c>
      <c r="F325" s="2">
        <v>2</v>
      </c>
      <c r="G325">
        <v>2.5</v>
      </c>
      <c r="H325">
        <v>4</v>
      </c>
      <c r="I325">
        <v>0.2353796001157852</v>
      </c>
      <c r="J325">
        <v>2</v>
      </c>
      <c r="K325">
        <v>0</v>
      </c>
      <c r="L325" s="2">
        <v>0</v>
      </c>
      <c r="M325">
        <v>4.88</v>
      </c>
      <c r="N325" t="s">
        <v>10235</v>
      </c>
    </row>
    <row r="326" spans="1:14">
      <c r="A326" t="s">
        <v>35</v>
      </c>
      <c r="B326" t="s">
        <v>511</v>
      </c>
      <c r="C326">
        <f>"CK1024"</f>
        <v>0</v>
      </c>
      <c r="D326">
        <v>66</v>
      </c>
      <c r="E326">
        <v>12</v>
      </c>
      <c r="F326" s="2">
        <v>1</v>
      </c>
      <c r="G326">
        <v>0.73</v>
      </c>
      <c r="H326">
        <v>4</v>
      </c>
      <c r="I326">
        <v>0.2350955493658456</v>
      </c>
      <c r="J326">
        <v>16</v>
      </c>
      <c r="K326">
        <v>4</v>
      </c>
      <c r="L326" s="2">
        <v>4</v>
      </c>
      <c r="M326">
        <v>4.9</v>
      </c>
      <c r="N326" t="s">
        <v>10235</v>
      </c>
    </row>
    <row r="327" spans="1:14">
      <c r="A327" t="s">
        <v>27</v>
      </c>
      <c r="B327" t="s">
        <v>512</v>
      </c>
      <c r="C327">
        <f>"USA653"</f>
        <v>0</v>
      </c>
      <c r="D327">
        <v>15</v>
      </c>
      <c r="E327">
        <v>0</v>
      </c>
      <c r="F327" s="2">
        <v>0</v>
      </c>
      <c r="G327">
        <v>0</v>
      </c>
      <c r="H327">
        <v>3</v>
      </c>
      <c r="I327">
        <v>0.2348268617290934</v>
      </c>
      <c r="J327">
        <v>4</v>
      </c>
      <c r="K327">
        <v>4</v>
      </c>
      <c r="L327" s="2">
        <v>0</v>
      </c>
      <c r="M327">
        <v>4.91</v>
      </c>
      <c r="N327" t="s">
        <v>10235</v>
      </c>
    </row>
    <row r="328" spans="1:14">
      <c r="A328" t="s">
        <v>27</v>
      </c>
      <c r="B328" t="s">
        <v>513</v>
      </c>
      <c r="C328">
        <f>"ALQU20"</f>
        <v>0</v>
      </c>
      <c r="D328">
        <v>15</v>
      </c>
      <c r="E328">
        <v>0</v>
      </c>
      <c r="F328" s="2">
        <v>0</v>
      </c>
      <c r="G328">
        <v>0</v>
      </c>
      <c r="H328">
        <v>2</v>
      </c>
      <c r="I328">
        <v>0.2348268617290934</v>
      </c>
      <c r="J328">
        <v>4</v>
      </c>
      <c r="K328">
        <v>4</v>
      </c>
      <c r="L328" s="2">
        <v>0</v>
      </c>
      <c r="M328">
        <v>4.92</v>
      </c>
      <c r="N328" t="s">
        <v>10235</v>
      </c>
    </row>
    <row r="329" spans="1:14">
      <c r="A329" t="s">
        <v>27</v>
      </c>
      <c r="B329" t="s">
        <v>514</v>
      </c>
      <c r="C329">
        <f>"USA742"</f>
        <v>0</v>
      </c>
      <c r="D329">
        <v>15</v>
      </c>
      <c r="E329">
        <v>0</v>
      </c>
      <c r="F329" s="2">
        <v>0</v>
      </c>
      <c r="G329">
        <v>0</v>
      </c>
      <c r="H329">
        <v>3</v>
      </c>
      <c r="I329">
        <v>0.2348268617290934</v>
      </c>
      <c r="J329">
        <v>4</v>
      </c>
      <c r="K329">
        <v>4</v>
      </c>
      <c r="L329" s="2">
        <v>0</v>
      </c>
      <c r="M329">
        <v>4.93</v>
      </c>
      <c r="N329" t="s">
        <v>10235</v>
      </c>
    </row>
    <row r="330" spans="1:14">
      <c r="A330" t="s">
        <v>27</v>
      </c>
      <c r="B330" t="s">
        <v>515</v>
      </c>
      <c r="C330">
        <f>"USD901"</f>
        <v>0</v>
      </c>
      <c r="D330">
        <v>15</v>
      </c>
      <c r="E330">
        <v>0</v>
      </c>
      <c r="F330" s="2">
        <v>0</v>
      </c>
      <c r="G330">
        <v>0</v>
      </c>
      <c r="H330">
        <v>3</v>
      </c>
      <c r="I330">
        <v>0.2348268617290934</v>
      </c>
      <c r="J330">
        <v>4</v>
      </c>
      <c r="K330">
        <v>4</v>
      </c>
      <c r="L330" s="2">
        <v>0</v>
      </c>
      <c r="M330">
        <v>4.95</v>
      </c>
      <c r="N330" t="s">
        <v>10235</v>
      </c>
    </row>
    <row r="331" spans="1:14">
      <c r="A331" t="s">
        <v>193</v>
      </c>
      <c r="B331" t="s">
        <v>516</v>
      </c>
      <c r="C331">
        <f>"826112"</f>
        <v>0</v>
      </c>
      <c r="D331">
        <v>15</v>
      </c>
      <c r="E331">
        <v>0</v>
      </c>
      <c r="F331" s="2">
        <v>0</v>
      </c>
      <c r="G331">
        <v>0</v>
      </c>
      <c r="H331">
        <v>3</v>
      </c>
      <c r="I331">
        <v>0.2348268617290934</v>
      </c>
      <c r="J331">
        <v>4</v>
      </c>
      <c r="K331">
        <v>4</v>
      </c>
      <c r="L331" s="2">
        <v>0</v>
      </c>
      <c r="M331">
        <v>4.96</v>
      </c>
      <c r="N331" t="s">
        <v>10235</v>
      </c>
    </row>
    <row r="332" spans="1:14">
      <c r="A332" t="s">
        <v>40</v>
      </c>
      <c r="B332" t="s">
        <v>517</v>
      </c>
      <c r="C332">
        <f>"V100975"</f>
        <v>0</v>
      </c>
      <c r="D332">
        <v>15</v>
      </c>
      <c r="E332">
        <v>0</v>
      </c>
      <c r="F332" s="2">
        <v>0</v>
      </c>
      <c r="G332">
        <v>0</v>
      </c>
      <c r="H332">
        <v>1</v>
      </c>
      <c r="I332">
        <v>0.2348268617290934</v>
      </c>
      <c r="J332">
        <v>4</v>
      </c>
      <c r="K332">
        <v>4</v>
      </c>
      <c r="L332" s="2">
        <v>0</v>
      </c>
      <c r="M332">
        <v>4.97</v>
      </c>
      <c r="N332" t="s">
        <v>10236</v>
      </c>
    </row>
    <row r="333" spans="1:14">
      <c r="A333" t="s">
        <v>35</v>
      </c>
      <c r="B333" t="s">
        <v>518</v>
      </c>
      <c r="C333">
        <f>"CK1008"</f>
        <v>0</v>
      </c>
      <c r="D333">
        <v>15</v>
      </c>
      <c r="E333">
        <v>0</v>
      </c>
      <c r="F333" s="2">
        <v>0</v>
      </c>
      <c r="G333">
        <v>0</v>
      </c>
      <c r="H333">
        <v>1</v>
      </c>
      <c r="I333">
        <v>0.2348268617290934</v>
      </c>
      <c r="J333">
        <v>4</v>
      </c>
      <c r="K333">
        <v>4</v>
      </c>
      <c r="L333" s="2">
        <v>0</v>
      </c>
      <c r="M333">
        <v>4.98</v>
      </c>
      <c r="N333" t="s">
        <v>10236</v>
      </c>
    </row>
    <row r="334" spans="1:14">
      <c r="A334" t="s">
        <v>204</v>
      </c>
      <c r="B334" t="s">
        <v>519</v>
      </c>
      <c r="C334">
        <f>"12340774"</f>
        <v>0</v>
      </c>
      <c r="D334">
        <v>15</v>
      </c>
      <c r="E334">
        <v>0</v>
      </c>
      <c r="F334" s="2">
        <v>0</v>
      </c>
      <c r="G334">
        <v>0</v>
      </c>
      <c r="H334">
        <v>1</v>
      </c>
      <c r="I334">
        <v>0.2348268617290934</v>
      </c>
      <c r="J334">
        <v>4</v>
      </c>
      <c r="K334">
        <v>4</v>
      </c>
      <c r="L334" s="2">
        <v>0</v>
      </c>
      <c r="M334">
        <v>5</v>
      </c>
      <c r="N334" t="s">
        <v>10236</v>
      </c>
    </row>
    <row r="335" spans="1:14">
      <c r="A335" t="s">
        <v>35</v>
      </c>
      <c r="B335" t="s">
        <v>520</v>
      </c>
      <c r="C335">
        <f>"PS7028"</f>
        <v>0</v>
      </c>
      <c r="D335">
        <v>13</v>
      </c>
      <c r="E335">
        <v>0</v>
      </c>
      <c r="F335" s="2">
        <v>0</v>
      </c>
      <c r="G335">
        <v>0</v>
      </c>
      <c r="H335">
        <v>4</v>
      </c>
      <c r="I335">
        <v>0.234603057034803</v>
      </c>
      <c r="J335">
        <v>3</v>
      </c>
      <c r="K335">
        <v>3</v>
      </c>
      <c r="L335" s="2">
        <v>0</v>
      </c>
      <c r="M335">
        <v>5.01</v>
      </c>
      <c r="N335" t="s">
        <v>10235</v>
      </c>
    </row>
    <row r="336" spans="1:14">
      <c r="A336" t="s">
        <v>199</v>
      </c>
      <c r="B336" t="s">
        <v>521</v>
      </c>
      <c r="C336">
        <f>"140035"</f>
        <v>0</v>
      </c>
      <c r="D336">
        <v>31</v>
      </c>
      <c r="E336">
        <v>14</v>
      </c>
      <c r="F336" s="2">
        <v>2</v>
      </c>
      <c r="G336">
        <v>1.81</v>
      </c>
      <c r="H336">
        <v>4</v>
      </c>
      <c r="I336">
        <v>0.234592147203575</v>
      </c>
      <c r="J336">
        <v>8</v>
      </c>
      <c r="K336">
        <v>0</v>
      </c>
      <c r="L336" s="2">
        <v>0</v>
      </c>
      <c r="M336">
        <v>5.02</v>
      </c>
      <c r="N336" t="s">
        <v>10235</v>
      </c>
    </row>
    <row r="337" spans="1:14">
      <c r="A337" t="s">
        <v>30</v>
      </c>
      <c r="B337" t="s">
        <v>522</v>
      </c>
      <c r="C337">
        <f>"100152"</f>
        <v>0</v>
      </c>
      <c r="D337">
        <v>13</v>
      </c>
      <c r="E337">
        <v>0</v>
      </c>
      <c r="F337" s="2">
        <v>0</v>
      </c>
      <c r="G337">
        <v>0</v>
      </c>
      <c r="H337">
        <v>3</v>
      </c>
      <c r="I337">
        <v>0.2344898217406854</v>
      </c>
      <c r="J337">
        <v>3</v>
      </c>
      <c r="K337">
        <v>3</v>
      </c>
      <c r="L337" s="2">
        <v>0</v>
      </c>
      <c r="M337">
        <v>5.03</v>
      </c>
      <c r="N337" t="s">
        <v>10235</v>
      </c>
    </row>
    <row r="338" spans="1:14">
      <c r="A338" t="s">
        <v>27</v>
      </c>
      <c r="B338" t="s">
        <v>523</v>
      </c>
      <c r="C338">
        <f>"USD902"</f>
        <v>0</v>
      </c>
      <c r="D338">
        <v>25</v>
      </c>
      <c r="E338">
        <v>1</v>
      </c>
      <c r="F338" s="2">
        <v>1</v>
      </c>
      <c r="G338">
        <v>0.16</v>
      </c>
      <c r="H338">
        <v>4</v>
      </c>
      <c r="I338">
        <v>0.23424304545195</v>
      </c>
      <c r="J338">
        <v>6</v>
      </c>
      <c r="K338">
        <v>5</v>
      </c>
      <c r="L338" s="2">
        <v>5</v>
      </c>
      <c r="M338">
        <v>5.05</v>
      </c>
      <c r="N338" t="s">
        <v>10235</v>
      </c>
    </row>
    <row r="339" spans="1:14">
      <c r="A339" t="s">
        <v>34</v>
      </c>
      <c r="B339" t="s">
        <v>524</v>
      </c>
      <c r="C339">
        <f>"14000091"</f>
        <v>0</v>
      </c>
      <c r="D339">
        <v>22</v>
      </c>
      <c r="E339">
        <v>0</v>
      </c>
      <c r="F339" s="2">
        <v>0</v>
      </c>
      <c r="G339">
        <v>0</v>
      </c>
      <c r="H339">
        <v>4</v>
      </c>
      <c r="I339">
        <v>0.2342005939806115</v>
      </c>
      <c r="J339">
        <v>6</v>
      </c>
      <c r="K339">
        <v>6</v>
      </c>
      <c r="L339" s="2">
        <v>0</v>
      </c>
      <c r="M339">
        <v>5.06</v>
      </c>
      <c r="N339" t="s">
        <v>10235</v>
      </c>
    </row>
    <row r="340" spans="1:14">
      <c r="A340" t="s">
        <v>192</v>
      </c>
      <c r="B340" t="s">
        <v>525</v>
      </c>
      <c r="C340">
        <f>"605ABL"</f>
        <v>0</v>
      </c>
      <c r="D340">
        <v>9</v>
      </c>
      <c r="E340">
        <v>0</v>
      </c>
      <c r="F340" s="2">
        <v>0</v>
      </c>
      <c r="G340">
        <v>0</v>
      </c>
      <c r="H340">
        <v>3</v>
      </c>
      <c r="I340">
        <v>0.2341410713784737</v>
      </c>
      <c r="J340">
        <v>2</v>
      </c>
      <c r="K340">
        <v>2</v>
      </c>
      <c r="L340" s="2">
        <v>0</v>
      </c>
      <c r="M340">
        <v>5.07</v>
      </c>
      <c r="N340" t="s">
        <v>10235</v>
      </c>
    </row>
    <row r="341" spans="1:14">
      <c r="A341" t="s">
        <v>32</v>
      </c>
      <c r="B341" t="s">
        <v>526</v>
      </c>
      <c r="C341">
        <f>"5005050"</f>
        <v>0</v>
      </c>
      <c r="D341">
        <v>14</v>
      </c>
      <c r="E341">
        <v>0</v>
      </c>
      <c r="F341" s="2">
        <v>0</v>
      </c>
      <c r="G341">
        <v>0</v>
      </c>
      <c r="H341">
        <v>2</v>
      </c>
      <c r="I341">
        <v>0.2341125760148085</v>
      </c>
      <c r="J341">
        <v>4</v>
      </c>
      <c r="K341">
        <v>4</v>
      </c>
      <c r="L341" s="2">
        <v>0</v>
      </c>
      <c r="M341">
        <v>5.08</v>
      </c>
      <c r="N341" t="s">
        <v>10235</v>
      </c>
    </row>
    <row r="342" spans="1:14">
      <c r="A342" t="s">
        <v>33</v>
      </c>
      <c r="B342" t="s">
        <v>527</v>
      </c>
      <c r="C342">
        <f>"VPAP"</f>
        <v>0</v>
      </c>
      <c r="D342">
        <v>14</v>
      </c>
      <c r="E342">
        <v>0</v>
      </c>
      <c r="F342" s="2">
        <v>0</v>
      </c>
      <c r="G342">
        <v>0</v>
      </c>
      <c r="H342">
        <v>1</v>
      </c>
      <c r="I342">
        <v>0.2341125760148085</v>
      </c>
      <c r="J342">
        <v>4</v>
      </c>
      <c r="K342">
        <v>4</v>
      </c>
      <c r="L342" s="2">
        <v>0</v>
      </c>
      <c r="M342">
        <v>5.1</v>
      </c>
      <c r="N342" t="s">
        <v>10236</v>
      </c>
    </row>
    <row r="343" spans="1:14">
      <c r="A343" t="s">
        <v>27</v>
      </c>
      <c r="B343" t="s">
        <v>528</v>
      </c>
      <c r="C343">
        <f>"USA652"</f>
        <v>0</v>
      </c>
      <c r="D343">
        <v>14</v>
      </c>
      <c r="E343">
        <v>0</v>
      </c>
      <c r="F343" s="2">
        <v>0</v>
      </c>
      <c r="G343">
        <v>0</v>
      </c>
      <c r="H343">
        <v>3</v>
      </c>
      <c r="I343">
        <v>0.2341125760148085</v>
      </c>
      <c r="J343">
        <v>4</v>
      </c>
      <c r="K343">
        <v>4</v>
      </c>
      <c r="L343" s="2">
        <v>0</v>
      </c>
      <c r="M343">
        <v>5.11</v>
      </c>
      <c r="N343" t="s">
        <v>10235</v>
      </c>
    </row>
    <row r="344" spans="1:14">
      <c r="A344" t="s">
        <v>35</v>
      </c>
      <c r="B344" t="s">
        <v>529</v>
      </c>
      <c r="C344">
        <f>"KX1076"</f>
        <v>0</v>
      </c>
      <c r="D344">
        <v>14</v>
      </c>
      <c r="E344">
        <v>0</v>
      </c>
      <c r="F344" s="2">
        <v>0</v>
      </c>
      <c r="G344">
        <v>0</v>
      </c>
      <c r="H344">
        <v>3</v>
      </c>
      <c r="I344">
        <v>0.2341125760148085</v>
      </c>
      <c r="J344">
        <v>4</v>
      </c>
      <c r="K344">
        <v>4</v>
      </c>
      <c r="L344" s="2">
        <v>0</v>
      </c>
      <c r="M344">
        <v>5.12</v>
      </c>
      <c r="N344" t="s">
        <v>10235</v>
      </c>
    </row>
    <row r="345" spans="1:14">
      <c r="A345" t="s">
        <v>40</v>
      </c>
      <c r="B345" t="s">
        <v>530</v>
      </c>
      <c r="C345">
        <f>"V100974"</f>
        <v>0</v>
      </c>
      <c r="D345">
        <v>14</v>
      </c>
      <c r="E345">
        <v>0</v>
      </c>
      <c r="F345" s="2">
        <v>0</v>
      </c>
      <c r="G345">
        <v>0</v>
      </c>
      <c r="H345">
        <v>2</v>
      </c>
      <c r="I345">
        <v>0.2341125760148085</v>
      </c>
      <c r="J345">
        <v>4</v>
      </c>
      <c r="K345">
        <v>4</v>
      </c>
      <c r="L345" s="2">
        <v>0</v>
      </c>
      <c r="M345">
        <v>5.13</v>
      </c>
      <c r="N345" t="s">
        <v>10235</v>
      </c>
    </row>
    <row r="346" spans="1:14">
      <c r="A346" t="s">
        <v>34</v>
      </c>
      <c r="B346" t="s">
        <v>531</v>
      </c>
      <c r="C346">
        <f>"14000022"</f>
        <v>0</v>
      </c>
      <c r="D346">
        <v>13</v>
      </c>
      <c r="E346">
        <v>0</v>
      </c>
      <c r="F346" s="2">
        <v>0</v>
      </c>
      <c r="G346">
        <v>0</v>
      </c>
      <c r="H346">
        <v>3</v>
      </c>
      <c r="I346">
        <v>0.2340173572376431</v>
      </c>
      <c r="J346">
        <v>3</v>
      </c>
      <c r="K346">
        <v>3</v>
      </c>
      <c r="L346" s="2">
        <v>0</v>
      </c>
      <c r="M346">
        <v>5.14</v>
      </c>
      <c r="N346" t="s">
        <v>10235</v>
      </c>
    </row>
    <row r="347" spans="1:14">
      <c r="A347" t="s">
        <v>35</v>
      </c>
      <c r="B347" t="s">
        <v>532</v>
      </c>
      <c r="C347">
        <f>"MSPB03G"</f>
        <v>0</v>
      </c>
      <c r="D347">
        <v>13</v>
      </c>
      <c r="E347">
        <v>0</v>
      </c>
      <c r="F347" s="2">
        <v>0</v>
      </c>
      <c r="G347">
        <v>0</v>
      </c>
      <c r="H347">
        <v>3</v>
      </c>
      <c r="I347">
        <v>0.2338530063248642</v>
      </c>
      <c r="J347">
        <v>3</v>
      </c>
      <c r="K347">
        <v>3</v>
      </c>
      <c r="L347" s="2">
        <v>0</v>
      </c>
      <c r="M347">
        <v>5.16</v>
      </c>
      <c r="N347" t="s">
        <v>10235</v>
      </c>
    </row>
    <row r="348" spans="1:14">
      <c r="A348" t="s">
        <v>31</v>
      </c>
      <c r="B348" t="s">
        <v>533</v>
      </c>
      <c r="C348">
        <f>"RCM056"</f>
        <v>0</v>
      </c>
      <c r="D348">
        <v>11</v>
      </c>
      <c r="E348">
        <v>0</v>
      </c>
      <c r="F348" s="2">
        <v>0</v>
      </c>
      <c r="G348">
        <v>0</v>
      </c>
      <c r="H348">
        <v>3</v>
      </c>
      <c r="I348">
        <v>0.2336496123810809</v>
      </c>
      <c r="J348">
        <v>3</v>
      </c>
      <c r="K348">
        <v>3</v>
      </c>
      <c r="L348" s="2">
        <v>0</v>
      </c>
      <c r="M348">
        <v>5.17</v>
      </c>
      <c r="N348" t="s">
        <v>10235</v>
      </c>
    </row>
    <row r="349" spans="1:14">
      <c r="A349" t="s">
        <v>24</v>
      </c>
      <c r="B349" t="s">
        <v>534</v>
      </c>
      <c r="C349">
        <f>"1100801"</f>
        <v>0</v>
      </c>
      <c r="D349">
        <v>12</v>
      </c>
      <c r="E349">
        <v>0</v>
      </c>
      <c r="F349" s="2">
        <v>0</v>
      </c>
      <c r="G349">
        <v>0</v>
      </c>
      <c r="H349">
        <v>3</v>
      </c>
      <c r="I349">
        <v>0.2334984822738652</v>
      </c>
      <c r="J349">
        <v>3</v>
      </c>
      <c r="K349">
        <v>3</v>
      </c>
      <c r="L349" s="2">
        <v>0</v>
      </c>
      <c r="M349">
        <v>5.18</v>
      </c>
      <c r="N349" t="s">
        <v>10235</v>
      </c>
    </row>
    <row r="350" spans="1:14">
      <c r="A350" t="s">
        <v>24</v>
      </c>
      <c r="B350" t="s">
        <v>535</v>
      </c>
      <c r="C350">
        <f>"1110191"</f>
        <v>0</v>
      </c>
      <c r="D350">
        <v>12</v>
      </c>
      <c r="E350">
        <v>0</v>
      </c>
      <c r="F350" s="2">
        <v>0</v>
      </c>
      <c r="G350">
        <v>0</v>
      </c>
      <c r="H350">
        <v>4</v>
      </c>
      <c r="I350">
        <v>0.2334058352150417</v>
      </c>
      <c r="J350">
        <v>3</v>
      </c>
      <c r="K350">
        <v>3</v>
      </c>
      <c r="L350" s="2">
        <v>0</v>
      </c>
      <c r="M350">
        <v>5.19</v>
      </c>
      <c r="N350" t="s">
        <v>10235</v>
      </c>
    </row>
    <row r="351" spans="1:14">
      <c r="A351" t="s">
        <v>35</v>
      </c>
      <c r="B351" t="s">
        <v>536</v>
      </c>
      <c r="C351">
        <f>"KX1003"</f>
        <v>0</v>
      </c>
      <c r="D351">
        <v>13</v>
      </c>
      <c r="E351">
        <v>0</v>
      </c>
      <c r="F351" s="2">
        <v>0</v>
      </c>
      <c r="G351">
        <v>0</v>
      </c>
      <c r="H351">
        <v>3</v>
      </c>
      <c r="I351">
        <v>0.2333982903005237</v>
      </c>
      <c r="J351">
        <v>3</v>
      </c>
      <c r="K351">
        <v>3</v>
      </c>
      <c r="L351" s="2">
        <v>0</v>
      </c>
      <c r="M351">
        <v>5.21</v>
      </c>
      <c r="N351" t="s">
        <v>10235</v>
      </c>
    </row>
    <row r="352" spans="1:14">
      <c r="A352" t="s">
        <v>35</v>
      </c>
      <c r="B352" t="s">
        <v>537</v>
      </c>
      <c r="C352">
        <f>"JWZ1010M"</f>
        <v>0</v>
      </c>
      <c r="D352">
        <v>13</v>
      </c>
      <c r="E352">
        <v>0</v>
      </c>
      <c r="F352" s="2">
        <v>0</v>
      </c>
      <c r="G352">
        <v>0</v>
      </c>
      <c r="H352">
        <v>1</v>
      </c>
      <c r="I352">
        <v>0.2333982903005237</v>
      </c>
      <c r="J352">
        <v>3</v>
      </c>
      <c r="K352">
        <v>3</v>
      </c>
      <c r="L352" s="2">
        <v>0</v>
      </c>
      <c r="M352">
        <v>5.22</v>
      </c>
      <c r="N352" t="s">
        <v>10236</v>
      </c>
    </row>
    <row r="353" spans="1:14">
      <c r="A353" t="s">
        <v>27</v>
      </c>
      <c r="B353" t="s">
        <v>538</v>
      </c>
      <c r="C353">
        <f>"USA681"</f>
        <v>0</v>
      </c>
      <c r="D353">
        <v>13</v>
      </c>
      <c r="E353">
        <v>0</v>
      </c>
      <c r="F353" s="2">
        <v>0</v>
      </c>
      <c r="G353">
        <v>0</v>
      </c>
      <c r="H353">
        <v>2</v>
      </c>
      <c r="I353">
        <v>0.2333982903005237</v>
      </c>
      <c r="J353">
        <v>3</v>
      </c>
      <c r="K353">
        <v>3</v>
      </c>
      <c r="L353" s="2">
        <v>0</v>
      </c>
      <c r="M353">
        <v>5.23</v>
      </c>
      <c r="N353" t="s">
        <v>10235</v>
      </c>
    </row>
    <row r="354" spans="1:14">
      <c r="A354" t="s">
        <v>193</v>
      </c>
      <c r="B354" t="s">
        <v>539</v>
      </c>
      <c r="C354">
        <f>"826013"</f>
        <v>0</v>
      </c>
      <c r="D354">
        <v>13</v>
      </c>
      <c r="E354">
        <v>0</v>
      </c>
      <c r="F354" s="2">
        <v>0</v>
      </c>
      <c r="G354">
        <v>0</v>
      </c>
      <c r="H354">
        <v>3</v>
      </c>
      <c r="I354">
        <v>0.2333982903005237</v>
      </c>
      <c r="J354">
        <v>3</v>
      </c>
      <c r="K354">
        <v>3</v>
      </c>
      <c r="L354" s="2">
        <v>0</v>
      </c>
      <c r="M354">
        <v>5.24</v>
      </c>
      <c r="N354" t="s">
        <v>10235</v>
      </c>
    </row>
    <row r="355" spans="1:14">
      <c r="A355" t="s">
        <v>27</v>
      </c>
      <c r="B355" t="s">
        <v>540</v>
      </c>
      <c r="C355">
        <f>"USA651"</f>
        <v>0</v>
      </c>
      <c r="D355">
        <v>13</v>
      </c>
      <c r="E355">
        <v>0</v>
      </c>
      <c r="F355" s="2">
        <v>0</v>
      </c>
      <c r="G355">
        <v>0</v>
      </c>
      <c r="H355">
        <v>1</v>
      </c>
      <c r="I355">
        <v>0.2333982903005237</v>
      </c>
      <c r="J355">
        <v>3</v>
      </c>
      <c r="K355">
        <v>3</v>
      </c>
      <c r="L355" s="2">
        <v>0</v>
      </c>
      <c r="M355">
        <v>5.26</v>
      </c>
      <c r="N355" t="s">
        <v>10236</v>
      </c>
    </row>
    <row r="356" spans="1:14">
      <c r="A356" t="s">
        <v>40</v>
      </c>
      <c r="B356" t="s">
        <v>541</v>
      </c>
      <c r="C356">
        <f>"V100797"</f>
        <v>0</v>
      </c>
      <c r="D356">
        <v>13</v>
      </c>
      <c r="E356">
        <v>0</v>
      </c>
      <c r="F356" s="2">
        <v>0</v>
      </c>
      <c r="G356">
        <v>0</v>
      </c>
      <c r="H356">
        <v>2</v>
      </c>
      <c r="I356">
        <v>0.2333982903005237</v>
      </c>
      <c r="J356">
        <v>3</v>
      </c>
      <c r="K356">
        <v>3</v>
      </c>
      <c r="L356" s="2">
        <v>0</v>
      </c>
      <c r="M356">
        <v>5.27</v>
      </c>
      <c r="N356" t="s">
        <v>10235</v>
      </c>
    </row>
    <row r="357" spans="1:14">
      <c r="A357" t="s">
        <v>202</v>
      </c>
      <c r="B357" t="s">
        <v>542</v>
      </c>
      <c r="C357">
        <f>"21001062"</f>
        <v>0</v>
      </c>
      <c r="D357">
        <v>13</v>
      </c>
      <c r="E357">
        <v>0</v>
      </c>
      <c r="F357" s="2">
        <v>0</v>
      </c>
      <c r="G357">
        <v>0</v>
      </c>
      <c r="H357">
        <v>3</v>
      </c>
      <c r="I357">
        <v>0.2333982903005237</v>
      </c>
      <c r="J357">
        <v>3</v>
      </c>
      <c r="K357">
        <v>3</v>
      </c>
      <c r="L357" s="2">
        <v>0</v>
      </c>
      <c r="M357">
        <v>5.28</v>
      </c>
      <c r="N357" t="s">
        <v>10235</v>
      </c>
    </row>
    <row r="358" spans="1:14">
      <c r="A358" t="s">
        <v>35</v>
      </c>
      <c r="B358" t="s">
        <v>543</v>
      </c>
      <c r="C358">
        <f>"JWZ1024M"</f>
        <v>0</v>
      </c>
      <c r="D358">
        <v>13</v>
      </c>
      <c r="E358">
        <v>0</v>
      </c>
      <c r="F358" s="2">
        <v>0</v>
      </c>
      <c r="G358">
        <v>0</v>
      </c>
      <c r="H358">
        <v>1</v>
      </c>
      <c r="I358">
        <v>0.2333982903005237</v>
      </c>
      <c r="J358">
        <v>3</v>
      </c>
      <c r="K358">
        <v>3</v>
      </c>
      <c r="L358" s="2">
        <v>0</v>
      </c>
      <c r="M358">
        <v>5.29</v>
      </c>
      <c r="N358" t="s">
        <v>10236</v>
      </c>
    </row>
    <row r="359" spans="1:14">
      <c r="A359" t="s">
        <v>27</v>
      </c>
      <c r="B359" t="s">
        <v>544</v>
      </c>
      <c r="C359">
        <f>"LKD650"</f>
        <v>0</v>
      </c>
      <c r="D359">
        <v>13</v>
      </c>
      <c r="E359">
        <v>0</v>
      </c>
      <c r="F359" s="2">
        <v>0</v>
      </c>
      <c r="G359">
        <v>0</v>
      </c>
      <c r="H359">
        <v>2</v>
      </c>
      <c r="I359">
        <v>0.2333982903005237</v>
      </c>
      <c r="J359">
        <v>3</v>
      </c>
      <c r="K359">
        <v>3</v>
      </c>
      <c r="L359" s="2">
        <v>0</v>
      </c>
      <c r="M359">
        <v>5.31</v>
      </c>
      <c r="N359" t="s">
        <v>10235</v>
      </c>
    </row>
    <row r="360" spans="1:14">
      <c r="A360" t="s">
        <v>35</v>
      </c>
      <c r="B360" t="s">
        <v>83</v>
      </c>
      <c r="C360">
        <f>"KF8057"</f>
        <v>0</v>
      </c>
      <c r="D360">
        <v>52</v>
      </c>
      <c r="E360">
        <v>19</v>
      </c>
      <c r="F360" s="2">
        <v>21</v>
      </c>
      <c r="G360">
        <v>1.46</v>
      </c>
      <c r="H360">
        <v>3</v>
      </c>
      <c r="I360">
        <v>0.2333774920311516</v>
      </c>
      <c r="J360">
        <v>13</v>
      </c>
      <c r="K360">
        <v>0</v>
      </c>
      <c r="L360" s="2">
        <v>0</v>
      </c>
      <c r="M360">
        <v>5.32</v>
      </c>
      <c r="N360" t="s">
        <v>10235</v>
      </c>
    </row>
    <row r="361" spans="1:14">
      <c r="A361" t="s">
        <v>27</v>
      </c>
      <c r="B361" t="s">
        <v>545</v>
      </c>
      <c r="C361">
        <f>"USA663"</f>
        <v>0</v>
      </c>
      <c r="D361">
        <v>3</v>
      </c>
      <c r="E361">
        <v>13</v>
      </c>
      <c r="F361" s="2">
        <v>1</v>
      </c>
      <c r="G361">
        <v>17.33</v>
      </c>
      <c r="H361">
        <v>3</v>
      </c>
      <c r="I361">
        <v>0.2332280498405062</v>
      </c>
      <c r="J361">
        <v>1</v>
      </c>
      <c r="K361">
        <v>0</v>
      </c>
      <c r="L361" s="2">
        <v>0</v>
      </c>
      <c r="M361">
        <v>5.33</v>
      </c>
      <c r="N361" t="s">
        <v>10236</v>
      </c>
    </row>
    <row r="362" spans="1:14">
      <c r="A362" t="s">
        <v>192</v>
      </c>
      <c r="B362" t="s">
        <v>546</v>
      </c>
      <c r="C362">
        <f>"A80"</f>
        <v>0</v>
      </c>
      <c r="D362">
        <v>5</v>
      </c>
      <c r="E362">
        <v>0</v>
      </c>
      <c r="F362" s="2">
        <v>0</v>
      </c>
      <c r="G362">
        <v>0</v>
      </c>
      <c r="H362">
        <v>4</v>
      </c>
      <c r="I362">
        <v>0.2332268544848221</v>
      </c>
      <c r="J362">
        <v>1</v>
      </c>
      <c r="K362">
        <v>1</v>
      </c>
      <c r="L362" s="2">
        <v>0</v>
      </c>
      <c r="M362">
        <v>5.34</v>
      </c>
      <c r="N362" t="s">
        <v>10235</v>
      </c>
    </row>
    <row r="363" spans="1:14">
      <c r="A363" t="s">
        <v>33</v>
      </c>
      <c r="B363" t="s">
        <v>547</v>
      </c>
      <c r="C363">
        <f>"TOPK92026"</f>
        <v>0</v>
      </c>
      <c r="D363">
        <v>85</v>
      </c>
      <c r="E363">
        <v>62</v>
      </c>
      <c r="F363" s="2">
        <v>4</v>
      </c>
      <c r="G363">
        <v>2.92</v>
      </c>
      <c r="H363">
        <v>4</v>
      </c>
      <c r="I363">
        <v>0.2330566285133147</v>
      </c>
      <c r="J363">
        <v>21</v>
      </c>
      <c r="K363">
        <v>0</v>
      </c>
      <c r="L363" s="2">
        <v>0</v>
      </c>
      <c r="M363">
        <v>5.35</v>
      </c>
      <c r="N363" t="s">
        <v>10235</v>
      </c>
    </row>
    <row r="364" spans="1:14">
      <c r="A364" t="s">
        <v>207</v>
      </c>
      <c r="B364" t="s">
        <v>548</v>
      </c>
      <c r="C364">
        <f>"KF6012"</f>
        <v>0</v>
      </c>
      <c r="D364">
        <v>8</v>
      </c>
      <c r="E364">
        <v>0</v>
      </c>
      <c r="F364" s="2">
        <v>0</v>
      </c>
      <c r="G364">
        <v>0</v>
      </c>
      <c r="H364">
        <v>3</v>
      </c>
      <c r="I364">
        <v>0.2330212329258523</v>
      </c>
      <c r="J364">
        <v>2</v>
      </c>
      <c r="K364">
        <v>2</v>
      </c>
      <c r="L364" s="2">
        <v>0</v>
      </c>
      <c r="M364">
        <v>5.37</v>
      </c>
      <c r="N364" t="s">
        <v>10235</v>
      </c>
    </row>
    <row r="365" spans="1:14">
      <c r="A365" t="s">
        <v>35</v>
      </c>
      <c r="B365" t="s">
        <v>549</v>
      </c>
      <c r="C365">
        <f>"MSPB04ROS"</f>
        <v>0</v>
      </c>
      <c r="D365">
        <v>12</v>
      </c>
      <c r="E365">
        <v>0</v>
      </c>
      <c r="F365" s="2">
        <v>0</v>
      </c>
      <c r="G365">
        <v>0</v>
      </c>
      <c r="H365">
        <v>4</v>
      </c>
      <c r="I365">
        <v>0.2329475694949608</v>
      </c>
      <c r="J365">
        <v>3</v>
      </c>
      <c r="K365">
        <v>3</v>
      </c>
      <c r="L365" s="2">
        <v>0</v>
      </c>
      <c r="M365">
        <v>5.38</v>
      </c>
      <c r="N365" t="s">
        <v>10235</v>
      </c>
    </row>
    <row r="366" spans="1:14">
      <c r="A366" t="s">
        <v>193</v>
      </c>
      <c r="B366" t="s">
        <v>550</v>
      </c>
      <c r="C366">
        <f>"300742"</f>
        <v>0</v>
      </c>
      <c r="D366">
        <v>24</v>
      </c>
      <c r="E366">
        <v>0</v>
      </c>
      <c r="F366" s="2">
        <v>0</v>
      </c>
      <c r="G366">
        <v>0</v>
      </c>
      <c r="H366">
        <v>2</v>
      </c>
      <c r="I366">
        <v>0.2329136481678034</v>
      </c>
      <c r="J366">
        <v>6</v>
      </c>
      <c r="K366">
        <v>6</v>
      </c>
      <c r="L366" s="2">
        <v>0</v>
      </c>
      <c r="M366">
        <v>5.39</v>
      </c>
      <c r="N366" t="s">
        <v>10235</v>
      </c>
    </row>
    <row r="367" spans="1:14">
      <c r="A367" t="s">
        <v>41</v>
      </c>
      <c r="B367" t="s">
        <v>551</v>
      </c>
      <c r="C367">
        <f>"PAVG53"</f>
        <v>0</v>
      </c>
      <c r="D367">
        <v>8</v>
      </c>
      <c r="E367">
        <v>0</v>
      </c>
      <c r="F367" s="2">
        <v>0</v>
      </c>
      <c r="G367">
        <v>0</v>
      </c>
      <c r="H367">
        <v>3</v>
      </c>
      <c r="I367">
        <v>0.2328758728852844</v>
      </c>
      <c r="J367">
        <v>2</v>
      </c>
      <c r="K367">
        <v>2</v>
      </c>
      <c r="L367" s="2">
        <v>0</v>
      </c>
      <c r="M367">
        <v>5.4</v>
      </c>
      <c r="N367" t="s">
        <v>10235</v>
      </c>
    </row>
    <row r="368" spans="1:14">
      <c r="A368" t="s">
        <v>206</v>
      </c>
      <c r="B368" t="s">
        <v>552</v>
      </c>
      <c r="C368">
        <f>"55105"</f>
        <v>0</v>
      </c>
      <c r="D368">
        <v>10</v>
      </c>
      <c r="E368">
        <v>0</v>
      </c>
      <c r="F368" s="2">
        <v>0</v>
      </c>
      <c r="G368">
        <v>0</v>
      </c>
      <c r="H368">
        <v>3</v>
      </c>
      <c r="I368">
        <v>0.2327447080055385</v>
      </c>
      <c r="J368">
        <v>2</v>
      </c>
      <c r="K368">
        <v>2</v>
      </c>
      <c r="L368" s="2">
        <v>0</v>
      </c>
      <c r="M368">
        <v>5.42</v>
      </c>
      <c r="N368" t="s">
        <v>10235</v>
      </c>
    </row>
    <row r="369" spans="1:14">
      <c r="A369" t="s">
        <v>24</v>
      </c>
      <c r="B369" t="s">
        <v>553</v>
      </c>
      <c r="C369">
        <f>"1021056"</f>
        <v>0</v>
      </c>
      <c r="D369">
        <v>23</v>
      </c>
      <c r="E369">
        <v>1</v>
      </c>
      <c r="F369" s="2">
        <v>2</v>
      </c>
      <c r="G369">
        <v>0.17</v>
      </c>
      <c r="H369">
        <v>4</v>
      </c>
      <c r="I369">
        <v>0.2327016818907305</v>
      </c>
      <c r="J369">
        <v>6</v>
      </c>
      <c r="K369">
        <v>5</v>
      </c>
      <c r="L369" s="2">
        <v>10</v>
      </c>
      <c r="M369">
        <v>5.43</v>
      </c>
      <c r="N369" t="s">
        <v>10235</v>
      </c>
    </row>
    <row r="370" spans="1:14">
      <c r="A370" t="s">
        <v>35</v>
      </c>
      <c r="B370" t="s">
        <v>554</v>
      </c>
      <c r="C370">
        <f>"100003"</f>
        <v>0</v>
      </c>
      <c r="D370">
        <v>12</v>
      </c>
      <c r="E370">
        <v>0</v>
      </c>
      <c r="F370" s="2">
        <v>0</v>
      </c>
      <c r="G370">
        <v>0</v>
      </c>
      <c r="H370">
        <v>1</v>
      </c>
      <c r="I370">
        <v>0.2326840045862388</v>
      </c>
      <c r="J370">
        <v>3</v>
      </c>
      <c r="K370">
        <v>3</v>
      </c>
      <c r="L370" s="2">
        <v>0</v>
      </c>
      <c r="M370">
        <v>5.44</v>
      </c>
      <c r="N370" t="s">
        <v>10236</v>
      </c>
    </row>
    <row r="371" spans="1:14">
      <c r="A371" t="s">
        <v>25</v>
      </c>
      <c r="B371" t="s">
        <v>555</v>
      </c>
      <c r="C371">
        <f>"3530"</f>
        <v>0</v>
      </c>
      <c r="D371">
        <v>12</v>
      </c>
      <c r="E371">
        <v>0</v>
      </c>
      <c r="F371" s="2">
        <v>0</v>
      </c>
      <c r="G371">
        <v>0</v>
      </c>
      <c r="H371">
        <v>3</v>
      </c>
      <c r="I371">
        <v>0.2326840045862388</v>
      </c>
      <c r="J371">
        <v>3</v>
      </c>
      <c r="K371">
        <v>3</v>
      </c>
      <c r="L371" s="2">
        <v>0</v>
      </c>
      <c r="M371">
        <v>5.45</v>
      </c>
      <c r="N371" t="s">
        <v>10235</v>
      </c>
    </row>
    <row r="372" spans="1:14">
      <c r="A372" t="s">
        <v>35</v>
      </c>
      <c r="B372" t="s">
        <v>556</v>
      </c>
      <c r="C372">
        <f>"JWZ1047M"</f>
        <v>0</v>
      </c>
      <c r="D372">
        <v>12</v>
      </c>
      <c r="E372">
        <v>0</v>
      </c>
      <c r="F372" s="2">
        <v>0</v>
      </c>
      <c r="G372">
        <v>0</v>
      </c>
      <c r="H372">
        <v>1</v>
      </c>
      <c r="I372">
        <v>0.2326840045862388</v>
      </c>
      <c r="J372">
        <v>3</v>
      </c>
      <c r="K372">
        <v>3</v>
      </c>
      <c r="L372" s="2">
        <v>0</v>
      </c>
      <c r="M372">
        <v>5.47</v>
      </c>
      <c r="N372" t="s">
        <v>10236</v>
      </c>
    </row>
    <row r="373" spans="1:14">
      <c r="A373" t="s">
        <v>36</v>
      </c>
      <c r="B373" t="s">
        <v>557</v>
      </c>
      <c r="C373">
        <f>"1011296"</f>
        <v>0</v>
      </c>
      <c r="D373">
        <v>12</v>
      </c>
      <c r="E373">
        <v>0</v>
      </c>
      <c r="F373" s="2">
        <v>0</v>
      </c>
      <c r="G373">
        <v>0</v>
      </c>
      <c r="H373">
        <v>1</v>
      </c>
      <c r="I373">
        <v>0.2326840045862388</v>
      </c>
      <c r="J373">
        <v>3</v>
      </c>
      <c r="K373">
        <v>3</v>
      </c>
      <c r="L373" s="2">
        <v>0</v>
      </c>
      <c r="M373">
        <v>5.48</v>
      </c>
      <c r="N373" t="s">
        <v>10236</v>
      </c>
    </row>
    <row r="374" spans="1:14">
      <c r="A374" t="s">
        <v>40</v>
      </c>
      <c r="B374" t="s">
        <v>558</v>
      </c>
      <c r="C374">
        <f>"V101150"</f>
        <v>0</v>
      </c>
      <c r="D374">
        <v>12</v>
      </c>
      <c r="E374">
        <v>0</v>
      </c>
      <c r="F374" s="2">
        <v>0</v>
      </c>
      <c r="G374">
        <v>0</v>
      </c>
      <c r="H374">
        <v>1</v>
      </c>
      <c r="I374">
        <v>0.2326840045862388</v>
      </c>
      <c r="J374">
        <v>3</v>
      </c>
      <c r="K374">
        <v>3</v>
      </c>
      <c r="L374" s="2">
        <v>0</v>
      </c>
      <c r="M374">
        <v>5.49</v>
      </c>
      <c r="N374" t="s">
        <v>10236</v>
      </c>
    </row>
    <row r="375" spans="1:14">
      <c r="A375" t="s">
        <v>38</v>
      </c>
      <c r="B375" t="s">
        <v>559</v>
      </c>
      <c r="C375">
        <f>"1003695"</f>
        <v>0</v>
      </c>
      <c r="D375">
        <v>12</v>
      </c>
      <c r="E375">
        <v>0</v>
      </c>
      <c r="F375" s="2">
        <v>0</v>
      </c>
      <c r="G375">
        <v>0</v>
      </c>
      <c r="H375">
        <v>2</v>
      </c>
      <c r="I375">
        <v>0.2326840045862388</v>
      </c>
      <c r="J375">
        <v>3</v>
      </c>
      <c r="K375">
        <v>3</v>
      </c>
      <c r="L375" s="2">
        <v>0</v>
      </c>
      <c r="M375">
        <v>5.5</v>
      </c>
      <c r="N375" t="s">
        <v>10235</v>
      </c>
    </row>
    <row r="376" spans="1:14">
      <c r="A376" t="s">
        <v>35</v>
      </c>
      <c r="B376" t="s">
        <v>560</v>
      </c>
      <c r="C376">
        <f>"100572"</f>
        <v>0</v>
      </c>
      <c r="D376">
        <v>12</v>
      </c>
      <c r="E376">
        <v>0</v>
      </c>
      <c r="F376" s="2">
        <v>0</v>
      </c>
      <c r="G376">
        <v>0</v>
      </c>
      <c r="H376">
        <v>2</v>
      </c>
      <c r="I376">
        <v>0.2326840045862388</v>
      </c>
      <c r="J376">
        <v>3</v>
      </c>
      <c r="K376">
        <v>3</v>
      </c>
      <c r="L376" s="2">
        <v>0</v>
      </c>
      <c r="M376">
        <v>5.51</v>
      </c>
      <c r="N376" t="s">
        <v>10235</v>
      </c>
    </row>
    <row r="377" spans="1:14">
      <c r="A377" t="s">
        <v>40</v>
      </c>
      <c r="B377" t="s">
        <v>561</v>
      </c>
      <c r="C377">
        <f>"V100840"</f>
        <v>0</v>
      </c>
      <c r="D377">
        <v>12</v>
      </c>
      <c r="E377">
        <v>0</v>
      </c>
      <c r="F377" s="2">
        <v>0</v>
      </c>
      <c r="G377">
        <v>0</v>
      </c>
      <c r="H377">
        <v>2</v>
      </c>
      <c r="I377">
        <v>0.2326840045862388</v>
      </c>
      <c r="J377">
        <v>3</v>
      </c>
      <c r="K377">
        <v>3</v>
      </c>
      <c r="L377" s="2">
        <v>0</v>
      </c>
      <c r="M377">
        <v>5.53</v>
      </c>
      <c r="N377" t="s">
        <v>10235</v>
      </c>
    </row>
    <row r="378" spans="1:14">
      <c r="A378" t="s">
        <v>40</v>
      </c>
      <c r="B378" t="s">
        <v>562</v>
      </c>
      <c r="C378">
        <f>"V100858"</f>
        <v>0</v>
      </c>
      <c r="D378">
        <v>12</v>
      </c>
      <c r="E378">
        <v>0</v>
      </c>
      <c r="F378" s="2">
        <v>0</v>
      </c>
      <c r="G378">
        <v>0</v>
      </c>
      <c r="H378">
        <v>3</v>
      </c>
      <c r="I378">
        <v>0.2326840045862388</v>
      </c>
      <c r="J378">
        <v>3</v>
      </c>
      <c r="K378">
        <v>3</v>
      </c>
      <c r="L378" s="2">
        <v>0</v>
      </c>
      <c r="M378">
        <v>5.54</v>
      </c>
      <c r="N378" t="s">
        <v>10235</v>
      </c>
    </row>
    <row r="379" spans="1:14">
      <c r="A379" t="s">
        <v>193</v>
      </c>
      <c r="B379" t="s">
        <v>563</v>
      </c>
      <c r="C379">
        <f>"565193A"</f>
        <v>0</v>
      </c>
      <c r="D379">
        <v>12</v>
      </c>
      <c r="E379">
        <v>0</v>
      </c>
      <c r="F379" s="2">
        <v>0</v>
      </c>
      <c r="G379">
        <v>0</v>
      </c>
      <c r="H379">
        <v>1</v>
      </c>
      <c r="I379">
        <v>0.2326840045862388</v>
      </c>
      <c r="J379">
        <v>3</v>
      </c>
      <c r="K379">
        <v>3</v>
      </c>
      <c r="L379" s="2">
        <v>0</v>
      </c>
      <c r="M379">
        <v>5.55</v>
      </c>
      <c r="N379" t="s">
        <v>10236</v>
      </c>
    </row>
    <row r="380" spans="1:14">
      <c r="A380" t="s">
        <v>37</v>
      </c>
      <c r="B380" t="s">
        <v>564</v>
      </c>
      <c r="C380">
        <f>"10972"</f>
        <v>0</v>
      </c>
      <c r="D380">
        <v>12</v>
      </c>
      <c r="E380">
        <v>0</v>
      </c>
      <c r="F380" s="2">
        <v>0</v>
      </c>
      <c r="G380">
        <v>0</v>
      </c>
      <c r="H380">
        <v>3</v>
      </c>
      <c r="I380">
        <v>0.2326840045862388</v>
      </c>
      <c r="J380">
        <v>3</v>
      </c>
      <c r="K380">
        <v>3</v>
      </c>
      <c r="L380" s="2">
        <v>0</v>
      </c>
      <c r="M380">
        <v>5.56</v>
      </c>
      <c r="N380" t="s">
        <v>10235</v>
      </c>
    </row>
    <row r="381" spans="1:14">
      <c r="A381" t="s">
        <v>27</v>
      </c>
      <c r="B381" t="s">
        <v>565</v>
      </c>
      <c r="C381">
        <f>"ALQU07"</f>
        <v>0</v>
      </c>
      <c r="D381">
        <v>12</v>
      </c>
      <c r="E381">
        <v>0</v>
      </c>
      <c r="F381" s="2">
        <v>0</v>
      </c>
      <c r="G381">
        <v>0</v>
      </c>
      <c r="H381">
        <v>2</v>
      </c>
      <c r="I381">
        <v>0.2326840045862388</v>
      </c>
      <c r="J381">
        <v>3</v>
      </c>
      <c r="K381">
        <v>3</v>
      </c>
      <c r="L381" s="2">
        <v>0</v>
      </c>
      <c r="M381">
        <v>5.58</v>
      </c>
      <c r="N381" t="s">
        <v>10235</v>
      </c>
    </row>
    <row r="382" spans="1:14">
      <c r="A382" t="s">
        <v>40</v>
      </c>
      <c r="B382" t="s">
        <v>566</v>
      </c>
      <c r="C382">
        <f>"v100972"</f>
        <v>0</v>
      </c>
      <c r="D382">
        <v>11</v>
      </c>
      <c r="E382">
        <v>0</v>
      </c>
      <c r="F382" s="2">
        <v>0</v>
      </c>
      <c r="G382">
        <v>0</v>
      </c>
      <c r="H382">
        <v>3</v>
      </c>
      <c r="I382">
        <v>0.2323878730301687</v>
      </c>
      <c r="J382">
        <v>3</v>
      </c>
      <c r="K382">
        <v>3</v>
      </c>
      <c r="L382" s="2">
        <v>0</v>
      </c>
      <c r="M382">
        <v>5.59</v>
      </c>
      <c r="N382" t="s">
        <v>10235</v>
      </c>
    </row>
    <row r="383" spans="1:14">
      <c r="A383" t="s">
        <v>206</v>
      </c>
      <c r="B383" t="s">
        <v>567</v>
      </c>
      <c r="C383">
        <f>"30963"</f>
        <v>0</v>
      </c>
      <c r="D383">
        <v>8</v>
      </c>
      <c r="E383">
        <v>0</v>
      </c>
      <c r="F383" s="2">
        <v>0</v>
      </c>
      <c r="G383">
        <v>0</v>
      </c>
      <c r="H383">
        <v>2</v>
      </c>
      <c r="I383">
        <v>0.2323114712625666</v>
      </c>
      <c r="J383">
        <v>2</v>
      </c>
      <c r="K383">
        <v>2</v>
      </c>
      <c r="L383" s="2">
        <v>0</v>
      </c>
      <c r="M383">
        <v>5.6</v>
      </c>
      <c r="N383" t="s">
        <v>10235</v>
      </c>
    </row>
    <row r="384" spans="1:14">
      <c r="A384" t="s">
        <v>35</v>
      </c>
      <c r="B384" t="s">
        <v>568</v>
      </c>
      <c r="C384">
        <f>"28401"</f>
        <v>0</v>
      </c>
      <c r="D384">
        <v>11</v>
      </c>
      <c r="E384">
        <v>0</v>
      </c>
      <c r="F384" s="2">
        <v>0</v>
      </c>
      <c r="G384">
        <v>0</v>
      </c>
      <c r="H384">
        <v>3</v>
      </c>
      <c r="I384">
        <v>0.2322093233344285</v>
      </c>
      <c r="J384">
        <v>3</v>
      </c>
      <c r="K384">
        <v>3</v>
      </c>
      <c r="L384" s="2">
        <v>0</v>
      </c>
      <c r="M384">
        <v>5.61</v>
      </c>
      <c r="N384" t="s">
        <v>10235</v>
      </c>
    </row>
    <row r="385" spans="1:14">
      <c r="A385" t="s">
        <v>41</v>
      </c>
      <c r="B385" t="s">
        <v>569</v>
      </c>
      <c r="C385">
        <f>"GELORAZN12"</f>
        <v>0</v>
      </c>
      <c r="D385">
        <v>5</v>
      </c>
      <c r="E385">
        <v>0</v>
      </c>
      <c r="F385" s="2">
        <v>0</v>
      </c>
      <c r="G385">
        <v>0</v>
      </c>
      <c r="H385">
        <v>1</v>
      </c>
      <c r="I385">
        <v>0.2320794153367496</v>
      </c>
      <c r="J385">
        <v>1</v>
      </c>
      <c r="K385">
        <v>1</v>
      </c>
      <c r="L385" s="2">
        <v>0</v>
      </c>
      <c r="M385">
        <v>5.63</v>
      </c>
      <c r="N385" t="s">
        <v>10236</v>
      </c>
    </row>
    <row r="386" spans="1:14">
      <c r="A386" t="s">
        <v>30</v>
      </c>
      <c r="B386" t="s">
        <v>570</v>
      </c>
      <c r="C386">
        <f>"101269"</f>
        <v>0</v>
      </c>
      <c r="D386">
        <v>4</v>
      </c>
      <c r="E386">
        <v>0</v>
      </c>
      <c r="F386" s="2">
        <v>0</v>
      </c>
      <c r="G386">
        <v>0</v>
      </c>
      <c r="H386">
        <v>2</v>
      </c>
      <c r="I386">
        <v>0.2320557229287524</v>
      </c>
      <c r="J386">
        <v>1</v>
      </c>
      <c r="K386">
        <v>1</v>
      </c>
      <c r="L386" s="2">
        <v>0</v>
      </c>
      <c r="M386">
        <v>5.64</v>
      </c>
      <c r="N386" t="s">
        <v>10236</v>
      </c>
    </row>
    <row r="387" spans="1:14">
      <c r="A387" t="s">
        <v>24</v>
      </c>
      <c r="B387" t="s">
        <v>571</v>
      </c>
      <c r="C387">
        <f>"1021072"</f>
        <v>0</v>
      </c>
      <c r="D387">
        <v>10</v>
      </c>
      <c r="E387">
        <v>0</v>
      </c>
      <c r="F387" s="2">
        <v>0</v>
      </c>
      <c r="G387">
        <v>0</v>
      </c>
      <c r="H387">
        <v>4</v>
      </c>
      <c r="I387">
        <v>0.2319813459365734</v>
      </c>
      <c r="J387">
        <v>2</v>
      </c>
      <c r="K387">
        <v>2</v>
      </c>
      <c r="L387" s="2">
        <v>0</v>
      </c>
      <c r="M387">
        <v>5.65</v>
      </c>
      <c r="N387" t="s">
        <v>10235</v>
      </c>
    </row>
    <row r="388" spans="1:14">
      <c r="A388" t="s">
        <v>204</v>
      </c>
      <c r="B388" t="s">
        <v>572</v>
      </c>
      <c r="C388">
        <f>"12604219"</f>
        <v>0</v>
      </c>
      <c r="D388">
        <v>11</v>
      </c>
      <c r="E388">
        <v>0</v>
      </c>
      <c r="F388" s="2">
        <v>0</v>
      </c>
      <c r="G388">
        <v>0</v>
      </c>
      <c r="H388">
        <v>2</v>
      </c>
      <c r="I388">
        <v>0.2319697188719539</v>
      </c>
      <c r="J388">
        <v>3</v>
      </c>
      <c r="K388">
        <v>3</v>
      </c>
      <c r="L388" s="2">
        <v>0</v>
      </c>
      <c r="M388">
        <v>5.66</v>
      </c>
      <c r="N388" t="s">
        <v>10235</v>
      </c>
    </row>
    <row r="389" spans="1:14">
      <c r="A389" t="s">
        <v>38</v>
      </c>
      <c r="B389" t="s">
        <v>573</v>
      </c>
      <c r="C389">
        <f>"1507659573364"</f>
        <v>0</v>
      </c>
      <c r="D389">
        <v>11</v>
      </c>
      <c r="E389">
        <v>0</v>
      </c>
      <c r="F389" s="2">
        <v>0</v>
      </c>
      <c r="G389">
        <v>0</v>
      </c>
      <c r="H389">
        <v>2</v>
      </c>
      <c r="I389">
        <v>0.2319697188719539</v>
      </c>
      <c r="J389">
        <v>3</v>
      </c>
      <c r="K389">
        <v>3</v>
      </c>
      <c r="L389" s="2">
        <v>0</v>
      </c>
      <c r="M389">
        <v>5.67</v>
      </c>
      <c r="N389" t="s">
        <v>10235</v>
      </c>
    </row>
    <row r="390" spans="1:14">
      <c r="A390" t="s">
        <v>36</v>
      </c>
      <c r="B390" t="s">
        <v>574</v>
      </c>
      <c r="C390">
        <f>"1003756"</f>
        <v>0</v>
      </c>
      <c r="D390">
        <v>11</v>
      </c>
      <c r="E390">
        <v>0</v>
      </c>
      <c r="F390" s="2">
        <v>0</v>
      </c>
      <c r="G390">
        <v>0</v>
      </c>
      <c r="H390">
        <v>2</v>
      </c>
      <c r="I390">
        <v>0.2319697188719539</v>
      </c>
      <c r="J390">
        <v>3</v>
      </c>
      <c r="K390">
        <v>3</v>
      </c>
      <c r="L390" s="2">
        <v>0</v>
      </c>
      <c r="M390">
        <v>5.69</v>
      </c>
      <c r="N390" t="s">
        <v>10235</v>
      </c>
    </row>
    <row r="391" spans="1:14">
      <c r="A391" t="s">
        <v>27</v>
      </c>
      <c r="B391" t="s">
        <v>575</v>
      </c>
      <c r="C391">
        <f>"ALUC15"</f>
        <v>0</v>
      </c>
      <c r="D391">
        <v>11</v>
      </c>
      <c r="E391">
        <v>0</v>
      </c>
      <c r="F391" s="2">
        <v>0</v>
      </c>
      <c r="G391">
        <v>0</v>
      </c>
      <c r="H391">
        <v>2</v>
      </c>
      <c r="I391">
        <v>0.2319697188719539</v>
      </c>
      <c r="J391">
        <v>3</v>
      </c>
      <c r="K391">
        <v>3</v>
      </c>
      <c r="L391" s="2">
        <v>0</v>
      </c>
      <c r="M391">
        <v>5.7</v>
      </c>
      <c r="N391" t="s">
        <v>10235</v>
      </c>
    </row>
    <row r="392" spans="1:14">
      <c r="A392" t="s">
        <v>25</v>
      </c>
      <c r="B392" t="s">
        <v>576</v>
      </c>
      <c r="C392">
        <f>"HENO1KX5"</f>
        <v>0</v>
      </c>
      <c r="D392">
        <v>11</v>
      </c>
      <c r="E392">
        <v>0</v>
      </c>
      <c r="F392" s="2">
        <v>0</v>
      </c>
      <c r="G392">
        <v>0</v>
      </c>
      <c r="H392">
        <v>2</v>
      </c>
      <c r="I392">
        <v>0.2319697188719539</v>
      </c>
      <c r="J392">
        <v>3</v>
      </c>
      <c r="K392">
        <v>3</v>
      </c>
      <c r="L392" s="2">
        <v>0</v>
      </c>
      <c r="M392">
        <v>5.71</v>
      </c>
      <c r="N392" t="s">
        <v>10235</v>
      </c>
    </row>
    <row r="393" spans="1:14">
      <c r="A393" t="s">
        <v>38</v>
      </c>
      <c r="B393" t="s">
        <v>577</v>
      </c>
      <c r="C393">
        <f>"BJPSB"</f>
        <v>0</v>
      </c>
      <c r="D393">
        <v>11</v>
      </c>
      <c r="E393">
        <v>0</v>
      </c>
      <c r="F393" s="2">
        <v>0</v>
      </c>
      <c r="G393">
        <v>0</v>
      </c>
      <c r="H393">
        <v>2</v>
      </c>
      <c r="I393">
        <v>0.2319697188719539</v>
      </c>
      <c r="J393">
        <v>3</v>
      </c>
      <c r="K393">
        <v>3</v>
      </c>
      <c r="L393" s="2">
        <v>0</v>
      </c>
      <c r="M393">
        <v>5.72</v>
      </c>
      <c r="N393" t="s">
        <v>10235</v>
      </c>
    </row>
    <row r="394" spans="1:14">
      <c r="A394" t="s">
        <v>202</v>
      </c>
      <c r="B394" t="s">
        <v>578</v>
      </c>
      <c r="C394">
        <f>"11002056"</f>
        <v>0</v>
      </c>
      <c r="D394">
        <v>11</v>
      </c>
      <c r="E394">
        <v>0</v>
      </c>
      <c r="F394" s="2">
        <v>0</v>
      </c>
      <c r="G394">
        <v>0</v>
      </c>
      <c r="H394">
        <v>3</v>
      </c>
      <c r="I394">
        <v>0.2319697188719539</v>
      </c>
      <c r="J394">
        <v>3</v>
      </c>
      <c r="K394">
        <v>3</v>
      </c>
      <c r="L394" s="2">
        <v>0</v>
      </c>
      <c r="M394">
        <v>5.74</v>
      </c>
      <c r="N394" t="s">
        <v>10235</v>
      </c>
    </row>
    <row r="395" spans="1:14">
      <c r="A395" t="s">
        <v>25</v>
      </c>
      <c r="B395" t="s">
        <v>579</v>
      </c>
      <c r="C395">
        <f>"PWFLE"</f>
        <v>0</v>
      </c>
      <c r="D395">
        <v>11</v>
      </c>
      <c r="E395">
        <v>0</v>
      </c>
      <c r="F395" s="2">
        <v>0</v>
      </c>
      <c r="G395">
        <v>0</v>
      </c>
      <c r="H395">
        <v>2</v>
      </c>
      <c r="I395">
        <v>0.2319697188719539</v>
      </c>
      <c r="J395">
        <v>3</v>
      </c>
      <c r="K395">
        <v>3</v>
      </c>
      <c r="L395" s="2">
        <v>0</v>
      </c>
      <c r="M395">
        <v>5.75</v>
      </c>
      <c r="N395" t="s">
        <v>10235</v>
      </c>
    </row>
    <row r="396" spans="1:14">
      <c r="A396" t="s">
        <v>30</v>
      </c>
      <c r="B396" t="s">
        <v>580</v>
      </c>
      <c r="C396">
        <f>"100599"</f>
        <v>0</v>
      </c>
      <c r="D396">
        <v>25</v>
      </c>
      <c r="E396">
        <v>0</v>
      </c>
      <c r="F396" s="2">
        <v>0</v>
      </c>
      <c r="G396">
        <v>0</v>
      </c>
      <c r="H396">
        <v>2</v>
      </c>
      <c r="I396">
        <v>0.231964723942941</v>
      </c>
      <c r="J396">
        <v>6</v>
      </c>
      <c r="K396">
        <v>6</v>
      </c>
      <c r="L396" s="2">
        <v>0</v>
      </c>
      <c r="M396">
        <v>5.76</v>
      </c>
      <c r="N396" t="s">
        <v>10235</v>
      </c>
    </row>
    <row r="397" spans="1:14">
      <c r="A397" t="s">
        <v>31</v>
      </c>
      <c r="B397" t="s">
        <v>581</v>
      </c>
      <c r="C397">
        <f>"5007673"</f>
        <v>0</v>
      </c>
      <c r="D397">
        <v>8</v>
      </c>
      <c r="E397">
        <v>0</v>
      </c>
      <c r="F397" s="2">
        <v>0</v>
      </c>
      <c r="G397">
        <v>0</v>
      </c>
      <c r="H397">
        <v>4</v>
      </c>
      <c r="I397">
        <v>0.2318473485445141</v>
      </c>
      <c r="J397">
        <v>2</v>
      </c>
      <c r="K397">
        <v>2</v>
      </c>
      <c r="L397" s="2">
        <v>0</v>
      </c>
      <c r="M397">
        <v>5.77</v>
      </c>
      <c r="N397" t="s">
        <v>10235</v>
      </c>
    </row>
    <row r="398" spans="1:14">
      <c r="A398" t="s">
        <v>192</v>
      </c>
      <c r="B398" t="s">
        <v>582</v>
      </c>
      <c r="C398">
        <f>"YY33"</f>
        <v>0</v>
      </c>
      <c r="D398">
        <v>9</v>
      </c>
      <c r="E398">
        <v>5</v>
      </c>
      <c r="F398" s="2">
        <v>1</v>
      </c>
      <c r="G398">
        <v>2.22</v>
      </c>
      <c r="H398">
        <v>4</v>
      </c>
      <c r="I398">
        <v>0.231834250941634</v>
      </c>
      <c r="J398">
        <v>2</v>
      </c>
      <c r="K398">
        <v>0</v>
      </c>
      <c r="L398" s="2">
        <v>0</v>
      </c>
      <c r="M398">
        <v>5.79</v>
      </c>
      <c r="N398" t="s">
        <v>10235</v>
      </c>
    </row>
    <row r="399" spans="1:14">
      <c r="A399" t="s">
        <v>35</v>
      </c>
      <c r="B399" t="s">
        <v>583</v>
      </c>
      <c r="C399">
        <f>"28404"</f>
        <v>0</v>
      </c>
      <c r="D399">
        <v>10</v>
      </c>
      <c r="E399">
        <v>0</v>
      </c>
      <c r="F399" s="2">
        <v>0</v>
      </c>
      <c r="G399">
        <v>0</v>
      </c>
      <c r="H399">
        <v>4</v>
      </c>
      <c r="I399">
        <v>0.2317057120623341</v>
      </c>
      <c r="J399">
        <v>2</v>
      </c>
      <c r="K399">
        <v>2</v>
      </c>
      <c r="L399" s="2">
        <v>0</v>
      </c>
      <c r="M399">
        <v>5.8</v>
      </c>
      <c r="N399" t="s">
        <v>10235</v>
      </c>
    </row>
    <row r="400" spans="1:14">
      <c r="A400" t="s">
        <v>37</v>
      </c>
      <c r="B400" t="s">
        <v>584</v>
      </c>
      <c r="C400">
        <f>"560340"</f>
        <v>0</v>
      </c>
      <c r="D400">
        <v>10</v>
      </c>
      <c r="E400">
        <v>0</v>
      </c>
      <c r="F400" s="2">
        <v>0</v>
      </c>
      <c r="G400">
        <v>0</v>
      </c>
      <c r="H400">
        <v>3</v>
      </c>
      <c r="I400">
        <v>0.2314582982692309</v>
      </c>
      <c r="J400">
        <v>2</v>
      </c>
      <c r="K400">
        <v>2</v>
      </c>
      <c r="L400" s="2">
        <v>0</v>
      </c>
      <c r="M400">
        <v>5.81</v>
      </c>
      <c r="N400" t="s">
        <v>10235</v>
      </c>
    </row>
    <row r="401" spans="1:14">
      <c r="A401" t="s">
        <v>40</v>
      </c>
      <c r="B401" t="s">
        <v>585</v>
      </c>
      <c r="C401">
        <f>"V101149"</f>
        <v>0</v>
      </c>
      <c r="D401">
        <v>2</v>
      </c>
      <c r="E401">
        <v>0</v>
      </c>
      <c r="F401" s="2">
        <v>0</v>
      </c>
      <c r="G401">
        <v>0</v>
      </c>
      <c r="H401">
        <v>2</v>
      </c>
      <c r="I401">
        <v>0.2313981454149896</v>
      </c>
      <c r="J401">
        <v>0</v>
      </c>
      <c r="K401">
        <v>0</v>
      </c>
      <c r="L401" s="2">
        <v>0</v>
      </c>
      <c r="M401">
        <v>5.82</v>
      </c>
      <c r="N401" t="s">
        <v>10236</v>
      </c>
    </row>
    <row r="402" spans="1:14">
      <c r="A402" t="s">
        <v>192</v>
      </c>
      <c r="B402" t="s">
        <v>586</v>
      </c>
      <c r="C402">
        <f>"A52"</f>
        <v>0</v>
      </c>
      <c r="D402">
        <v>1</v>
      </c>
      <c r="E402">
        <v>0</v>
      </c>
      <c r="F402" s="2">
        <v>0</v>
      </c>
      <c r="G402">
        <v>0</v>
      </c>
      <c r="H402">
        <v>1</v>
      </c>
      <c r="I402">
        <v>0.2313732106134833</v>
      </c>
      <c r="J402">
        <v>0</v>
      </c>
      <c r="K402">
        <v>0</v>
      </c>
      <c r="L402" s="2">
        <v>0</v>
      </c>
      <c r="M402">
        <v>5.83</v>
      </c>
      <c r="N402" t="s">
        <v>10236</v>
      </c>
    </row>
    <row r="403" spans="1:14">
      <c r="A403" t="s">
        <v>35</v>
      </c>
      <c r="B403" t="s">
        <v>587</v>
      </c>
      <c r="C403">
        <f>"TP90"</f>
        <v>0</v>
      </c>
      <c r="D403">
        <v>10</v>
      </c>
      <c r="E403">
        <v>0</v>
      </c>
      <c r="F403" s="2">
        <v>0</v>
      </c>
      <c r="G403">
        <v>0</v>
      </c>
      <c r="H403">
        <v>3</v>
      </c>
      <c r="I403">
        <v>0.2312554331576691</v>
      </c>
      <c r="J403">
        <v>2</v>
      </c>
      <c r="K403">
        <v>2</v>
      </c>
      <c r="L403" s="2">
        <v>0</v>
      </c>
      <c r="M403">
        <v>5.85</v>
      </c>
      <c r="N403" t="s">
        <v>10235</v>
      </c>
    </row>
    <row r="404" spans="1:14">
      <c r="A404" t="s">
        <v>35</v>
      </c>
      <c r="B404" t="s">
        <v>588</v>
      </c>
      <c r="C404">
        <f>"ke4803"</f>
        <v>0</v>
      </c>
      <c r="D404">
        <v>10</v>
      </c>
      <c r="E404">
        <v>0</v>
      </c>
      <c r="F404" s="2">
        <v>0</v>
      </c>
      <c r="G404">
        <v>0</v>
      </c>
      <c r="H404">
        <v>2</v>
      </c>
      <c r="I404">
        <v>0.2312554331576691</v>
      </c>
      <c r="J404">
        <v>2</v>
      </c>
      <c r="K404">
        <v>2</v>
      </c>
      <c r="L404" s="2">
        <v>0</v>
      </c>
      <c r="M404">
        <v>5.86</v>
      </c>
      <c r="N404" t="s">
        <v>10235</v>
      </c>
    </row>
    <row r="405" spans="1:14">
      <c r="A405" t="s">
        <v>24</v>
      </c>
      <c r="B405" t="s">
        <v>589</v>
      </c>
      <c r="C405">
        <f>"DPI048"</f>
        <v>0</v>
      </c>
      <c r="D405">
        <v>10</v>
      </c>
      <c r="E405">
        <v>0</v>
      </c>
      <c r="F405" s="2">
        <v>0</v>
      </c>
      <c r="G405">
        <v>0</v>
      </c>
      <c r="H405">
        <v>3</v>
      </c>
      <c r="I405">
        <v>0.2312554331576691</v>
      </c>
      <c r="J405">
        <v>2</v>
      </c>
      <c r="K405">
        <v>2</v>
      </c>
      <c r="L405" s="2">
        <v>0</v>
      </c>
      <c r="M405">
        <v>5.87</v>
      </c>
      <c r="N405" t="s">
        <v>10235</v>
      </c>
    </row>
    <row r="406" spans="1:14">
      <c r="A406" t="s">
        <v>27</v>
      </c>
      <c r="B406" t="s">
        <v>590</v>
      </c>
      <c r="C406">
        <f>"PRGS3016004"</f>
        <v>0</v>
      </c>
      <c r="D406">
        <v>10</v>
      </c>
      <c r="E406">
        <v>0</v>
      </c>
      <c r="F406" s="2">
        <v>0</v>
      </c>
      <c r="G406">
        <v>0</v>
      </c>
      <c r="H406">
        <v>2</v>
      </c>
      <c r="I406">
        <v>0.2312554331576691</v>
      </c>
      <c r="J406">
        <v>2</v>
      </c>
      <c r="K406">
        <v>2</v>
      </c>
      <c r="L406" s="2">
        <v>0</v>
      </c>
      <c r="M406">
        <v>5.88</v>
      </c>
      <c r="N406" t="s">
        <v>10235</v>
      </c>
    </row>
    <row r="407" spans="1:14">
      <c r="A407" t="s">
        <v>38</v>
      </c>
      <c r="B407" t="s">
        <v>591</v>
      </c>
      <c r="C407">
        <f>"1003696"</f>
        <v>0</v>
      </c>
      <c r="D407">
        <v>10</v>
      </c>
      <c r="E407">
        <v>0</v>
      </c>
      <c r="F407" s="2">
        <v>0</v>
      </c>
      <c r="G407">
        <v>0</v>
      </c>
      <c r="H407">
        <v>2</v>
      </c>
      <c r="I407">
        <v>0.2312554331576691</v>
      </c>
      <c r="J407">
        <v>2</v>
      </c>
      <c r="K407">
        <v>2</v>
      </c>
      <c r="L407" s="2">
        <v>0</v>
      </c>
      <c r="M407">
        <v>5.9</v>
      </c>
      <c r="N407" t="s">
        <v>10235</v>
      </c>
    </row>
    <row r="408" spans="1:14">
      <c r="A408" t="s">
        <v>25</v>
      </c>
      <c r="B408" t="s">
        <v>592</v>
      </c>
      <c r="C408">
        <f>"MP005"</f>
        <v>0</v>
      </c>
      <c r="D408">
        <v>10</v>
      </c>
      <c r="E408">
        <v>0</v>
      </c>
      <c r="F408" s="2">
        <v>0</v>
      </c>
      <c r="G408">
        <v>0</v>
      </c>
      <c r="H408">
        <v>3</v>
      </c>
      <c r="I408">
        <v>0.2312554331576691</v>
      </c>
      <c r="J408">
        <v>2</v>
      </c>
      <c r="K408">
        <v>2</v>
      </c>
      <c r="L408" s="2">
        <v>0</v>
      </c>
      <c r="M408">
        <v>5.91</v>
      </c>
      <c r="N408" t="s">
        <v>10235</v>
      </c>
    </row>
    <row r="409" spans="1:14">
      <c r="A409" t="s">
        <v>202</v>
      </c>
      <c r="B409" t="s">
        <v>593</v>
      </c>
      <c r="C409">
        <f>"21001055"</f>
        <v>0</v>
      </c>
      <c r="D409">
        <v>10</v>
      </c>
      <c r="E409">
        <v>0</v>
      </c>
      <c r="F409" s="2">
        <v>0</v>
      </c>
      <c r="G409">
        <v>0</v>
      </c>
      <c r="H409">
        <v>3</v>
      </c>
      <c r="I409">
        <v>0.2312554331576691</v>
      </c>
      <c r="J409">
        <v>2</v>
      </c>
      <c r="K409">
        <v>2</v>
      </c>
      <c r="L409" s="2">
        <v>0</v>
      </c>
      <c r="M409">
        <v>5.92</v>
      </c>
      <c r="N409" t="s">
        <v>10235</v>
      </c>
    </row>
    <row r="410" spans="1:14">
      <c r="A410" t="s">
        <v>35</v>
      </c>
      <c r="B410" t="s">
        <v>594</v>
      </c>
      <c r="C410">
        <f>"MSPB05CEL"</f>
        <v>0</v>
      </c>
      <c r="D410">
        <v>10</v>
      </c>
      <c r="E410">
        <v>0</v>
      </c>
      <c r="F410" s="2">
        <v>0</v>
      </c>
      <c r="G410">
        <v>0</v>
      </c>
      <c r="H410">
        <v>2</v>
      </c>
      <c r="I410">
        <v>0.2312554331576691</v>
      </c>
      <c r="J410">
        <v>2</v>
      </c>
      <c r="K410">
        <v>2</v>
      </c>
      <c r="L410" s="2">
        <v>0</v>
      </c>
      <c r="M410">
        <v>5.93</v>
      </c>
      <c r="N410" t="s">
        <v>10235</v>
      </c>
    </row>
    <row r="411" spans="1:14">
      <c r="A411" t="s">
        <v>38</v>
      </c>
      <c r="B411" t="s">
        <v>595</v>
      </c>
      <c r="C411">
        <f>"1002723"</f>
        <v>0</v>
      </c>
      <c r="D411">
        <v>10</v>
      </c>
      <c r="E411">
        <v>0</v>
      </c>
      <c r="F411" s="2">
        <v>0</v>
      </c>
      <c r="G411">
        <v>0</v>
      </c>
      <c r="H411">
        <v>3</v>
      </c>
      <c r="I411">
        <v>0.2312554331576691</v>
      </c>
      <c r="J411">
        <v>2</v>
      </c>
      <c r="K411">
        <v>2</v>
      </c>
      <c r="L411" s="2">
        <v>0</v>
      </c>
      <c r="M411">
        <v>5.94</v>
      </c>
      <c r="N411" t="s">
        <v>10235</v>
      </c>
    </row>
    <row r="412" spans="1:14">
      <c r="A412" t="s">
        <v>35</v>
      </c>
      <c r="B412" t="s">
        <v>596</v>
      </c>
      <c r="C412">
        <f>"TC2063B"</f>
        <v>0</v>
      </c>
      <c r="D412">
        <v>10</v>
      </c>
      <c r="E412">
        <v>0</v>
      </c>
      <c r="F412" s="2">
        <v>0</v>
      </c>
      <c r="G412">
        <v>0</v>
      </c>
      <c r="H412">
        <v>2</v>
      </c>
      <c r="I412">
        <v>0.2312554331576691</v>
      </c>
      <c r="J412">
        <v>2</v>
      </c>
      <c r="K412">
        <v>2</v>
      </c>
      <c r="L412" s="2">
        <v>0</v>
      </c>
      <c r="M412">
        <v>5.96</v>
      </c>
      <c r="N412" t="s">
        <v>10235</v>
      </c>
    </row>
    <row r="413" spans="1:14">
      <c r="A413" t="s">
        <v>203</v>
      </c>
      <c r="B413" t="s">
        <v>597</v>
      </c>
      <c r="C413">
        <f>"756156"</f>
        <v>0</v>
      </c>
      <c r="D413">
        <v>10</v>
      </c>
      <c r="E413">
        <v>0</v>
      </c>
      <c r="F413" s="2">
        <v>0</v>
      </c>
      <c r="G413">
        <v>0</v>
      </c>
      <c r="H413">
        <v>1</v>
      </c>
      <c r="I413">
        <v>0.2312554331576691</v>
      </c>
      <c r="J413">
        <v>2</v>
      </c>
      <c r="K413">
        <v>2</v>
      </c>
      <c r="L413" s="2">
        <v>0</v>
      </c>
      <c r="M413">
        <v>5.97</v>
      </c>
      <c r="N413" t="s">
        <v>10236</v>
      </c>
    </row>
    <row r="414" spans="1:14">
      <c r="A414" t="s">
        <v>27</v>
      </c>
      <c r="B414" t="s">
        <v>598</v>
      </c>
      <c r="C414">
        <f>"USA606"</f>
        <v>0</v>
      </c>
      <c r="D414">
        <v>10</v>
      </c>
      <c r="E414">
        <v>0</v>
      </c>
      <c r="F414" s="2">
        <v>0</v>
      </c>
      <c r="G414">
        <v>0</v>
      </c>
      <c r="H414">
        <v>2</v>
      </c>
      <c r="I414">
        <v>0.2312554331576691</v>
      </c>
      <c r="J414">
        <v>2</v>
      </c>
      <c r="K414">
        <v>2</v>
      </c>
      <c r="L414" s="2">
        <v>0</v>
      </c>
      <c r="M414">
        <v>5.98</v>
      </c>
      <c r="N414" t="s">
        <v>10235</v>
      </c>
    </row>
    <row r="415" spans="1:14">
      <c r="A415" t="s">
        <v>35</v>
      </c>
      <c r="B415" t="s">
        <v>599</v>
      </c>
      <c r="C415">
        <f>"WIN14"</f>
        <v>0</v>
      </c>
      <c r="D415">
        <v>6</v>
      </c>
      <c r="E415">
        <v>4</v>
      </c>
      <c r="F415" s="2">
        <v>1</v>
      </c>
      <c r="G415">
        <v>2.67</v>
      </c>
      <c r="H415">
        <v>2</v>
      </c>
      <c r="I415">
        <v>0.2311112720949247</v>
      </c>
      <c r="J415">
        <v>2</v>
      </c>
      <c r="K415">
        <v>0</v>
      </c>
      <c r="L415" s="2">
        <v>0</v>
      </c>
      <c r="M415">
        <v>5.99</v>
      </c>
      <c r="N415" t="s">
        <v>10235</v>
      </c>
    </row>
    <row r="416" spans="1:14">
      <c r="A416" t="s">
        <v>206</v>
      </c>
      <c r="B416" t="s">
        <v>600</v>
      </c>
      <c r="C416">
        <f>"30965"</f>
        <v>0</v>
      </c>
      <c r="D416">
        <v>6</v>
      </c>
      <c r="E416">
        <v>0</v>
      </c>
      <c r="F416" s="2">
        <v>0</v>
      </c>
      <c r="G416">
        <v>0</v>
      </c>
      <c r="H416">
        <v>2</v>
      </c>
      <c r="I416">
        <v>0.2309380976027595</v>
      </c>
      <c r="J416">
        <v>2</v>
      </c>
      <c r="K416">
        <v>2</v>
      </c>
      <c r="L416" s="2">
        <v>0</v>
      </c>
      <c r="M416">
        <v>6.01</v>
      </c>
      <c r="N416" t="s">
        <v>10235</v>
      </c>
    </row>
    <row r="417" spans="1:14">
      <c r="A417" t="s">
        <v>24</v>
      </c>
      <c r="B417" t="s">
        <v>601</v>
      </c>
      <c r="C417">
        <f>"VETDRG0087"</f>
        <v>0</v>
      </c>
      <c r="D417">
        <v>9</v>
      </c>
      <c r="E417">
        <v>0</v>
      </c>
      <c r="F417" s="2">
        <v>0</v>
      </c>
      <c r="G417">
        <v>0</v>
      </c>
      <c r="H417">
        <v>4</v>
      </c>
      <c r="I417">
        <v>0.2308379020072786</v>
      </c>
      <c r="J417">
        <v>2</v>
      </c>
      <c r="K417">
        <v>2</v>
      </c>
      <c r="L417" s="2">
        <v>0</v>
      </c>
      <c r="M417">
        <v>6.02</v>
      </c>
      <c r="N417" t="s">
        <v>10235</v>
      </c>
    </row>
    <row r="418" spans="1:14">
      <c r="A418" t="s">
        <v>24</v>
      </c>
      <c r="B418" t="s">
        <v>602</v>
      </c>
      <c r="C418">
        <f>"INV"</f>
        <v>0</v>
      </c>
      <c r="D418">
        <v>21</v>
      </c>
      <c r="E418">
        <v>131</v>
      </c>
      <c r="F418" s="2">
        <v>1</v>
      </c>
      <c r="G418">
        <v>24.95</v>
      </c>
      <c r="H418">
        <v>4</v>
      </c>
      <c r="I418">
        <v>0.2306440162270533</v>
      </c>
      <c r="J418">
        <v>5</v>
      </c>
      <c r="K418">
        <v>0</v>
      </c>
      <c r="L418" s="2">
        <v>0</v>
      </c>
      <c r="M418">
        <v>6.03</v>
      </c>
      <c r="N418" t="s">
        <v>10235</v>
      </c>
    </row>
    <row r="419" spans="1:14">
      <c r="A419" t="s">
        <v>35</v>
      </c>
      <c r="B419" t="s">
        <v>603</v>
      </c>
      <c r="C419">
        <f>"D053XL"</f>
        <v>0</v>
      </c>
      <c r="D419">
        <v>9</v>
      </c>
      <c r="E419">
        <v>0</v>
      </c>
      <c r="F419" s="2">
        <v>0</v>
      </c>
      <c r="G419">
        <v>0</v>
      </c>
      <c r="H419">
        <v>2</v>
      </c>
      <c r="I419">
        <v>0.2305411474433842</v>
      </c>
      <c r="J419">
        <v>2</v>
      </c>
      <c r="K419">
        <v>2</v>
      </c>
      <c r="L419" s="2">
        <v>0</v>
      </c>
      <c r="M419">
        <v>6.04</v>
      </c>
      <c r="N419" t="s">
        <v>10235</v>
      </c>
    </row>
    <row r="420" spans="1:14">
      <c r="A420" t="s">
        <v>25</v>
      </c>
      <c r="B420" t="s">
        <v>604</v>
      </c>
      <c r="C420">
        <f>"671361"</f>
        <v>0</v>
      </c>
      <c r="D420">
        <v>9</v>
      </c>
      <c r="E420">
        <v>0</v>
      </c>
      <c r="F420" s="2">
        <v>0</v>
      </c>
      <c r="G420">
        <v>0</v>
      </c>
      <c r="H420">
        <v>1</v>
      </c>
      <c r="I420">
        <v>0.2305411474433842</v>
      </c>
      <c r="J420">
        <v>2</v>
      </c>
      <c r="K420">
        <v>2</v>
      </c>
      <c r="L420" s="2">
        <v>0</v>
      </c>
      <c r="M420">
        <v>6.05</v>
      </c>
      <c r="N420" t="s">
        <v>10236</v>
      </c>
    </row>
    <row r="421" spans="1:14">
      <c r="A421" t="s">
        <v>35</v>
      </c>
      <c r="B421" t="s">
        <v>605</v>
      </c>
      <c r="C421">
        <f>"MSPB05G"</f>
        <v>0</v>
      </c>
      <c r="D421">
        <v>9</v>
      </c>
      <c r="E421">
        <v>0</v>
      </c>
      <c r="F421" s="2">
        <v>0</v>
      </c>
      <c r="G421">
        <v>0</v>
      </c>
      <c r="H421">
        <v>2</v>
      </c>
      <c r="I421">
        <v>0.2305411474433842</v>
      </c>
      <c r="J421">
        <v>2</v>
      </c>
      <c r="K421">
        <v>2</v>
      </c>
      <c r="L421" s="2">
        <v>0</v>
      </c>
      <c r="M421">
        <v>6.07</v>
      </c>
      <c r="N421" t="s">
        <v>10235</v>
      </c>
    </row>
    <row r="422" spans="1:14">
      <c r="A422" t="s">
        <v>38</v>
      </c>
      <c r="B422" t="s">
        <v>606</v>
      </c>
      <c r="C422">
        <f>"BJSS2"</f>
        <v>0</v>
      </c>
      <c r="D422">
        <v>9</v>
      </c>
      <c r="E422">
        <v>0</v>
      </c>
      <c r="F422" s="2">
        <v>0</v>
      </c>
      <c r="G422">
        <v>0</v>
      </c>
      <c r="H422">
        <v>3</v>
      </c>
      <c r="I422">
        <v>0.2305411474433842</v>
      </c>
      <c r="J422">
        <v>2</v>
      </c>
      <c r="K422">
        <v>2</v>
      </c>
      <c r="L422" s="2">
        <v>0</v>
      </c>
      <c r="M422">
        <v>6.08</v>
      </c>
      <c r="N422" t="s">
        <v>10235</v>
      </c>
    </row>
    <row r="423" spans="1:14">
      <c r="A423" t="s">
        <v>192</v>
      </c>
      <c r="B423" t="s">
        <v>607</v>
      </c>
      <c r="C423">
        <f>"MP002"</f>
        <v>0</v>
      </c>
      <c r="D423">
        <v>9</v>
      </c>
      <c r="E423">
        <v>0</v>
      </c>
      <c r="F423" s="2">
        <v>0</v>
      </c>
      <c r="G423">
        <v>0</v>
      </c>
      <c r="H423">
        <v>2</v>
      </c>
      <c r="I423">
        <v>0.2305411474433842</v>
      </c>
      <c r="J423">
        <v>2</v>
      </c>
      <c r="K423">
        <v>2</v>
      </c>
      <c r="L423" s="2">
        <v>0</v>
      </c>
      <c r="M423">
        <v>6.09</v>
      </c>
      <c r="N423" t="s">
        <v>10235</v>
      </c>
    </row>
    <row r="424" spans="1:14">
      <c r="A424" t="s">
        <v>35</v>
      </c>
      <c r="B424" t="s">
        <v>608</v>
      </c>
      <c r="C424">
        <f>"DGA4M"</f>
        <v>0</v>
      </c>
      <c r="D424">
        <v>9</v>
      </c>
      <c r="E424">
        <v>0</v>
      </c>
      <c r="F424" s="2">
        <v>0</v>
      </c>
      <c r="G424">
        <v>0</v>
      </c>
      <c r="H424">
        <v>2</v>
      </c>
      <c r="I424">
        <v>0.2305411474433842</v>
      </c>
      <c r="J424">
        <v>2</v>
      </c>
      <c r="K424">
        <v>2</v>
      </c>
      <c r="L424" s="2">
        <v>0</v>
      </c>
      <c r="M424">
        <v>6.1</v>
      </c>
      <c r="N424" t="s">
        <v>10235</v>
      </c>
    </row>
    <row r="425" spans="1:14">
      <c r="A425" t="s">
        <v>29</v>
      </c>
      <c r="B425" t="s">
        <v>609</v>
      </c>
      <c r="C425">
        <f>"BAT"</f>
        <v>0</v>
      </c>
      <c r="D425">
        <v>9</v>
      </c>
      <c r="E425">
        <v>0</v>
      </c>
      <c r="F425" s="2">
        <v>0</v>
      </c>
      <c r="G425">
        <v>0</v>
      </c>
      <c r="H425">
        <v>3</v>
      </c>
      <c r="I425">
        <v>0.2305411474433842</v>
      </c>
      <c r="J425">
        <v>2</v>
      </c>
      <c r="K425">
        <v>2</v>
      </c>
      <c r="L425" s="2">
        <v>0</v>
      </c>
      <c r="M425">
        <v>6.12</v>
      </c>
      <c r="N425" t="s">
        <v>10235</v>
      </c>
    </row>
    <row r="426" spans="1:14">
      <c r="A426" t="s">
        <v>36</v>
      </c>
      <c r="B426" t="s">
        <v>610</v>
      </c>
      <c r="C426">
        <f>"86987309"</f>
        <v>0</v>
      </c>
      <c r="D426">
        <v>9</v>
      </c>
      <c r="E426">
        <v>0</v>
      </c>
      <c r="F426" s="2">
        <v>0</v>
      </c>
      <c r="G426">
        <v>0</v>
      </c>
      <c r="H426">
        <v>2</v>
      </c>
      <c r="I426">
        <v>0.2305411474433842</v>
      </c>
      <c r="J426">
        <v>2</v>
      </c>
      <c r="K426">
        <v>2</v>
      </c>
      <c r="L426" s="2">
        <v>0</v>
      </c>
      <c r="M426">
        <v>6.13</v>
      </c>
      <c r="N426" t="s">
        <v>10235</v>
      </c>
    </row>
    <row r="427" spans="1:14">
      <c r="A427" t="s">
        <v>193</v>
      </c>
      <c r="B427" t="s">
        <v>611</v>
      </c>
      <c r="C427">
        <f>"564400"</f>
        <v>0</v>
      </c>
      <c r="D427">
        <v>9</v>
      </c>
      <c r="E427">
        <v>0</v>
      </c>
      <c r="F427" s="2">
        <v>0</v>
      </c>
      <c r="G427">
        <v>0</v>
      </c>
      <c r="H427">
        <v>3</v>
      </c>
      <c r="I427">
        <v>0.2305411474433842</v>
      </c>
      <c r="J427">
        <v>2</v>
      </c>
      <c r="K427">
        <v>2</v>
      </c>
      <c r="L427" s="2">
        <v>0</v>
      </c>
      <c r="M427">
        <v>6.14</v>
      </c>
      <c r="N427" t="s">
        <v>10235</v>
      </c>
    </row>
    <row r="428" spans="1:14">
      <c r="A428" t="s">
        <v>41</v>
      </c>
      <c r="B428" t="s">
        <v>612</v>
      </c>
      <c r="C428">
        <f>"LEGHYALO03"</f>
        <v>0</v>
      </c>
      <c r="D428">
        <v>4</v>
      </c>
      <c r="E428">
        <v>0</v>
      </c>
      <c r="F428" s="2">
        <v>0</v>
      </c>
      <c r="G428">
        <v>0</v>
      </c>
      <c r="H428">
        <v>2</v>
      </c>
      <c r="I428">
        <v>0.230420023131593</v>
      </c>
      <c r="J428">
        <v>1</v>
      </c>
      <c r="K428">
        <v>1</v>
      </c>
      <c r="L428" s="2">
        <v>0</v>
      </c>
      <c r="M428">
        <v>6.15</v>
      </c>
      <c r="N428" t="s">
        <v>10236</v>
      </c>
    </row>
    <row r="429" spans="1:14">
      <c r="A429" t="s">
        <v>34</v>
      </c>
      <c r="B429" t="s">
        <v>613</v>
      </c>
      <c r="C429">
        <f>"15000484"</f>
        <v>0</v>
      </c>
      <c r="D429">
        <v>3</v>
      </c>
      <c r="E429">
        <v>0</v>
      </c>
      <c r="F429" s="2">
        <v>0</v>
      </c>
      <c r="G429">
        <v>0</v>
      </c>
      <c r="H429">
        <v>2</v>
      </c>
      <c r="I429">
        <v>0.2302156512104113</v>
      </c>
      <c r="J429">
        <v>1</v>
      </c>
      <c r="K429">
        <v>1</v>
      </c>
      <c r="L429" s="2">
        <v>0</v>
      </c>
      <c r="M429">
        <v>6.16</v>
      </c>
      <c r="N429" t="s">
        <v>10236</v>
      </c>
    </row>
    <row r="430" spans="1:14">
      <c r="A430" t="s">
        <v>30</v>
      </c>
      <c r="B430" t="s">
        <v>614</v>
      </c>
      <c r="C430">
        <f>"101258"</f>
        <v>0</v>
      </c>
      <c r="D430">
        <v>7</v>
      </c>
      <c r="E430">
        <v>0</v>
      </c>
      <c r="F430" s="2">
        <v>0</v>
      </c>
      <c r="G430">
        <v>0</v>
      </c>
      <c r="H430">
        <v>3</v>
      </c>
      <c r="I430">
        <v>0.230094776826173</v>
      </c>
      <c r="J430">
        <v>2</v>
      </c>
      <c r="K430">
        <v>2</v>
      </c>
      <c r="L430" s="2">
        <v>0</v>
      </c>
      <c r="M430">
        <v>6.18</v>
      </c>
      <c r="N430" t="s">
        <v>10235</v>
      </c>
    </row>
    <row r="431" spans="1:14">
      <c r="A431" t="s">
        <v>24</v>
      </c>
      <c r="B431" t="s">
        <v>615</v>
      </c>
      <c r="C431">
        <f>"1150601"</f>
        <v>0</v>
      </c>
      <c r="D431">
        <v>6</v>
      </c>
      <c r="E431">
        <v>0</v>
      </c>
      <c r="F431" s="2">
        <v>0</v>
      </c>
      <c r="G431">
        <v>0</v>
      </c>
      <c r="H431">
        <v>3</v>
      </c>
      <c r="I431">
        <v>0.230063275087547</v>
      </c>
      <c r="J431">
        <v>2</v>
      </c>
      <c r="K431">
        <v>2</v>
      </c>
      <c r="L431" s="2">
        <v>0</v>
      </c>
      <c r="M431">
        <v>6.19</v>
      </c>
      <c r="N431" t="s">
        <v>10235</v>
      </c>
    </row>
    <row r="432" spans="1:14">
      <c r="A432" t="s">
        <v>192</v>
      </c>
      <c r="B432" t="s">
        <v>616</v>
      </c>
      <c r="C432">
        <f>"AL25"</f>
        <v>0</v>
      </c>
      <c r="D432">
        <v>7</v>
      </c>
      <c r="E432">
        <v>0</v>
      </c>
      <c r="F432" s="2">
        <v>0</v>
      </c>
      <c r="G432">
        <v>0</v>
      </c>
      <c r="H432">
        <v>4</v>
      </c>
      <c r="I432">
        <v>0.2298533975158283</v>
      </c>
      <c r="J432">
        <v>2</v>
      </c>
      <c r="K432">
        <v>2</v>
      </c>
      <c r="L432" s="2">
        <v>0</v>
      </c>
      <c r="M432">
        <v>6.2</v>
      </c>
      <c r="N432" t="s">
        <v>10235</v>
      </c>
    </row>
    <row r="433" spans="1:14">
      <c r="A433" t="s">
        <v>25</v>
      </c>
      <c r="B433" t="s">
        <v>617</v>
      </c>
      <c r="C433">
        <f>"HD9070"</f>
        <v>0</v>
      </c>
      <c r="D433">
        <v>2</v>
      </c>
      <c r="E433">
        <v>6</v>
      </c>
      <c r="F433" s="2">
        <v>3</v>
      </c>
      <c r="G433">
        <v>12</v>
      </c>
      <c r="H433">
        <v>2</v>
      </c>
      <c r="I433">
        <v>0.2298514923209488</v>
      </c>
      <c r="J433">
        <v>0</v>
      </c>
      <c r="K433">
        <v>0</v>
      </c>
      <c r="L433" s="2">
        <v>0</v>
      </c>
      <c r="M433">
        <v>6.21</v>
      </c>
      <c r="N433" t="s">
        <v>10236</v>
      </c>
    </row>
    <row r="434" spans="1:14">
      <c r="A434" t="s">
        <v>41</v>
      </c>
      <c r="B434" t="s">
        <v>618</v>
      </c>
      <c r="C434">
        <f>"CENTROSEB"</f>
        <v>0</v>
      </c>
      <c r="D434">
        <v>8</v>
      </c>
      <c r="E434">
        <v>0</v>
      </c>
      <c r="F434" s="2">
        <v>0</v>
      </c>
      <c r="G434">
        <v>0</v>
      </c>
      <c r="H434">
        <v>2</v>
      </c>
      <c r="I434">
        <v>0.2298268617290993</v>
      </c>
      <c r="J434">
        <v>2</v>
      </c>
      <c r="K434">
        <v>2</v>
      </c>
      <c r="L434" s="2">
        <v>0</v>
      </c>
      <c r="M434">
        <v>6.23</v>
      </c>
      <c r="N434" t="s">
        <v>10235</v>
      </c>
    </row>
    <row r="435" spans="1:14">
      <c r="A435" t="s">
        <v>35</v>
      </c>
      <c r="B435" t="s">
        <v>619</v>
      </c>
      <c r="C435">
        <f>"TF1021"</f>
        <v>0</v>
      </c>
      <c r="D435">
        <v>8</v>
      </c>
      <c r="E435">
        <v>0</v>
      </c>
      <c r="F435" s="2">
        <v>0</v>
      </c>
      <c r="G435">
        <v>0</v>
      </c>
      <c r="H435">
        <v>3</v>
      </c>
      <c r="I435">
        <v>0.2298268617290993</v>
      </c>
      <c r="J435">
        <v>2</v>
      </c>
      <c r="K435">
        <v>2</v>
      </c>
      <c r="L435" s="2">
        <v>0</v>
      </c>
      <c r="M435">
        <v>6.24</v>
      </c>
      <c r="N435" t="s">
        <v>10235</v>
      </c>
    </row>
    <row r="436" spans="1:14">
      <c r="A436" t="s">
        <v>204</v>
      </c>
      <c r="B436" t="s">
        <v>620</v>
      </c>
      <c r="C436">
        <f>"12448695"</f>
        <v>0</v>
      </c>
      <c r="D436">
        <v>8</v>
      </c>
      <c r="E436">
        <v>0</v>
      </c>
      <c r="F436" s="2">
        <v>0</v>
      </c>
      <c r="G436">
        <v>0</v>
      </c>
      <c r="H436">
        <v>1</v>
      </c>
      <c r="I436">
        <v>0.2298268617290993</v>
      </c>
      <c r="J436">
        <v>2</v>
      </c>
      <c r="K436">
        <v>2</v>
      </c>
      <c r="L436" s="2">
        <v>0</v>
      </c>
      <c r="M436">
        <v>6.25</v>
      </c>
      <c r="N436" t="s">
        <v>10236</v>
      </c>
    </row>
    <row r="437" spans="1:14">
      <c r="A437" t="s">
        <v>35</v>
      </c>
      <c r="B437" t="s">
        <v>621</v>
      </c>
      <c r="C437">
        <f>"MSPB03R"</f>
        <v>0</v>
      </c>
      <c r="D437">
        <v>8</v>
      </c>
      <c r="E437">
        <v>0</v>
      </c>
      <c r="F437" s="2">
        <v>0</v>
      </c>
      <c r="G437">
        <v>0</v>
      </c>
      <c r="H437">
        <v>2</v>
      </c>
      <c r="I437">
        <v>0.2298268617290993</v>
      </c>
      <c r="J437">
        <v>2</v>
      </c>
      <c r="K437">
        <v>2</v>
      </c>
      <c r="L437" s="2">
        <v>0</v>
      </c>
      <c r="M437">
        <v>6.26</v>
      </c>
      <c r="N437" t="s">
        <v>10235</v>
      </c>
    </row>
    <row r="438" spans="1:14">
      <c r="A438" t="s">
        <v>40</v>
      </c>
      <c r="B438" t="s">
        <v>622</v>
      </c>
      <c r="C438">
        <f>"v100702"</f>
        <v>0</v>
      </c>
      <c r="D438">
        <v>8</v>
      </c>
      <c r="E438">
        <v>0</v>
      </c>
      <c r="F438" s="2">
        <v>0</v>
      </c>
      <c r="G438">
        <v>0</v>
      </c>
      <c r="H438">
        <v>2</v>
      </c>
      <c r="I438">
        <v>0.2298268617290993</v>
      </c>
      <c r="J438">
        <v>2</v>
      </c>
      <c r="K438">
        <v>2</v>
      </c>
      <c r="L438" s="2">
        <v>0</v>
      </c>
      <c r="M438">
        <v>6.27</v>
      </c>
      <c r="N438" t="s">
        <v>10235</v>
      </c>
    </row>
    <row r="439" spans="1:14">
      <c r="A439" t="s">
        <v>41</v>
      </c>
      <c r="B439" t="s">
        <v>623</v>
      </c>
      <c r="C439">
        <f>"CENTROALLE2"</f>
        <v>0</v>
      </c>
      <c r="D439">
        <v>8</v>
      </c>
      <c r="E439">
        <v>0</v>
      </c>
      <c r="F439" s="2">
        <v>0</v>
      </c>
      <c r="G439">
        <v>0</v>
      </c>
      <c r="H439">
        <v>2</v>
      </c>
      <c r="I439">
        <v>0.2298268617290993</v>
      </c>
      <c r="J439">
        <v>2</v>
      </c>
      <c r="K439">
        <v>2</v>
      </c>
      <c r="L439" s="2">
        <v>0</v>
      </c>
      <c r="M439">
        <v>6.29</v>
      </c>
      <c r="N439" t="s">
        <v>10235</v>
      </c>
    </row>
    <row r="440" spans="1:14">
      <c r="A440" t="s">
        <v>193</v>
      </c>
      <c r="B440" t="s">
        <v>624</v>
      </c>
      <c r="C440">
        <f>"365114"</f>
        <v>0</v>
      </c>
      <c r="D440">
        <v>8</v>
      </c>
      <c r="E440">
        <v>0</v>
      </c>
      <c r="F440" s="2">
        <v>0</v>
      </c>
      <c r="G440">
        <v>0</v>
      </c>
      <c r="H440">
        <v>2</v>
      </c>
      <c r="I440">
        <v>0.2298268617290993</v>
      </c>
      <c r="J440">
        <v>2</v>
      </c>
      <c r="K440">
        <v>2</v>
      </c>
      <c r="L440" s="2">
        <v>0</v>
      </c>
      <c r="M440">
        <v>6.3</v>
      </c>
      <c r="N440" t="s">
        <v>10235</v>
      </c>
    </row>
    <row r="441" spans="1:14">
      <c r="A441" t="s">
        <v>38</v>
      </c>
      <c r="B441" t="s">
        <v>625</v>
      </c>
      <c r="C441">
        <f>"BJSF"</f>
        <v>0</v>
      </c>
      <c r="D441">
        <v>8</v>
      </c>
      <c r="E441">
        <v>0</v>
      </c>
      <c r="F441" s="2">
        <v>0</v>
      </c>
      <c r="G441">
        <v>0</v>
      </c>
      <c r="H441">
        <v>3</v>
      </c>
      <c r="I441">
        <v>0.2298268617290993</v>
      </c>
      <c r="J441">
        <v>2</v>
      </c>
      <c r="K441">
        <v>2</v>
      </c>
      <c r="L441" s="2">
        <v>0</v>
      </c>
      <c r="M441">
        <v>6.31</v>
      </c>
      <c r="N441" t="s">
        <v>10235</v>
      </c>
    </row>
    <row r="442" spans="1:14">
      <c r="A442" t="s">
        <v>38</v>
      </c>
      <c r="B442" t="s">
        <v>626</v>
      </c>
      <c r="C442">
        <f>"1003641"</f>
        <v>0</v>
      </c>
      <c r="D442">
        <v>8</v>
      </c>
      <c r="E442">
        <v>0</v>
      </c>
      <c r="F442" s="2">
        <v>0</v>
      </c>
      <c r="G442">
        <v>0</v>
      </c>
      <c r="H442">
        <v>2</v>
      </c>
      <c r="I442">
        <v>0.2298268617290993</v>
      </c>
      <c r="J442">
        <v>2</v>
      </c>
      <c r="K442">
        <v>2</v>
      </c>
      <c r="L442" s="2">
        <v>0</v>
      </c>
      <c r="M442">
        <v>6.32</v>
      </c>
      <c r="N442" t="s">
        <v>10235</v>
      </c>
    </row>
    <row r="443" spans="1:14">
      <c r="A443" t="s">
        <v>204</v>
      </c>
      <c r="B443" t="s">
        <v>627</v>
      </c>
      <c r="C443">
        <f>"12450588"</f>
        <v>0</v>
      </c>
      <c r="D443">
        <v>8</v>
      </c>
      <c r="E443">
        <v>0</v>
      </c>
      <c r="F443" s="2">
        <v>0</v>
      </c>
      <c r="G443">
        <v>0</v>
      </c>
      <c r="H443">
        <v>2</v>
      </c>
      <c r="I443">
        <v>0.2298268617290993</v>
      </c>
      <c r="J443">
        <v>2</v>
      </c>
      <c r="K443">
        <v>2</v>
      </c>
      <c r="L443" s="2">
        <v>0</v>
      </c>
      <c r="M443">
        <v>6.33</v>
      </c>
      <c r="N443" t="s">
        <v>10235</v>
      </c>
    </row>
    <row r="444" spans="1:14">
      <c r="A444" t="s">
        <v>33</v>
      </c>
      <c r="B444" t="s">
        <v>628</v>
      </c>
      <c r="C444">
        <f>"TOPK92226"</f>
        <v>0</v>
      </c>
      <c r="D444">
        <v>8</v>
      </c>
      <c r="E444">
        <v>0</v>
      </c>
      <c r="F444" s="2">
        <v>0</v>
      </c>
      <c r="G444">
        <v>0</v>
      </c>
      <c r="H444">
        <v>1</v>
      </c>
      <c r="I444">
        <v>0.2298268617290993</v>
      </c>
      <c r="J444">
        <v>2</v>
      </c>
      <c r="K444">
        <v>2</v>
      </c>
      <c r="L444" s="2">
        <v>0</v>
      </c>
      <c r="M444">
        <v>6.35</v>
      </c>
      <c r="N444" t="s">
        <v>10236</v>
      </c>
    </row>
    <row r="445" spans="1:14">
      <c r="A445" t="s">
        <v>202</v>
      </c>
      <c r="B445" t="s">
        <v>629</v>
      </c>
      <c r="C445">
        <f>"11001094"</f>
        <v>0</v>
      </c>
      <c r="D445">
        <v>8</v>
      </c>
      <c r="E445">
        <v>0</v>
      </c>
      <c r="F445" s="2">
        <v>0</v>
      </c>
      <c r="G445">
        <v>0</v>
      </c>
      <c r="H445">
        <v>3</v>
      </c>
      <c r="I445">
        <v>0.2298268617290993</v>
      </c>
      <c r="J445">
        <v>2</v>
      </c>
      <c r="K445">
        <v>2</v>
      </c>
      <c r="L445" s="2">
        <v>0</v>
      </c>
      <c r="M445">
        <v>6.36</v>
      </c>
      <c r="N445" t="s">
        <v>10235</v>
      </c>
    </row>
    <row r="446" spans="1:14">
      <c r="A446" t="s">
        <v>202</v>
      </c>
      <c r="B446" t="s">
        <v>630</v>
      </c>
      <c r="C446">
        <f>"21001083"</f>
        <v>0</v>
      </c>
      <c r="D446">
        <v>8</v>
      </c>
      <c r="E446">
        <v>0</v>
      </c>
      <c r="F446" s="2">
        <v>0</v>
      </c>
      <c r="G446">
        <v>0</v>
      </c>
      <c r="H446">
        <v>3</v>
      </c>
      <c r="I446">
        <v>0.2298268617290993</v>
      </c>
      <c r="J446">
        <v>2</v>
      </c>
      <c r="K446">
        <v>2</v>
      </c>
      <c r="L446" s="2">
        <v>0</v>
      </c>
      <c r="M446">
        <v>6.37</v>
      </c>
      <c r="N446" t="s">
        <v>10235</v>
      </c>
    </row>
    <row r="447" spans="1:14">
      <c r="A447" t="s">
        <v>33</v>
      </c>
      <c r="B447" t="s">
        <v>631</v>
      </c>
      <c r="C447">
        <f>"TOPK92219"</f>
        <v>0</v>
      </c>
      <c r="D447">
        <v>8</v>
      </c>
      <c r="E447">
        <v>0</v>
      </c>
      <c r="F447" s="2">
        <v>0</v>
      </c>
      <c r="G447">
        <v>0</v>
      </c>
      <c r="H447">
        <v>2</v>
      </c>
      <c r="I447">
        <v>0.2298268617290993</v>
      </c>
      <c r="J447">
        <v>2</v>
      </c>
      <c r="K447">
        <v>2</v>
      </c>
      <c r="L447" s="2">
        <v>0</v>
      </c>
      <c r="M447">
        <v>6.38</v>
      </c>
      <c r="N447" t="s">
        <v>10235</v>
      </c>
    </row>
    <row r="448" spans="1:14">
      <c r="A448" t="s">
        <v>37</v>
      </c>
      <c r="B448" t="s">
        <v>632</v>
      </c>
      <c r="C448">
        <f>"576040"</f>
        <v>0</v>
      </c>
      <c r="D448">
        <v>8</v>
      </c>
      <c r="E448">
        <v>0</v>
      </c>
      <c r="F448" s="2">
        <v>0</v>
      </c>
      <c r="G448">
        <v>0</v>
      </c>
      <c r="H448">
        <v>3</v>
      </c>
      <c r="I448">
        <v>0.2298268617290993</v>
      </c>
      <c r="J448">
        <v>2</v>
      </c>
      <c r="K448">
        <v>2</v>
      </c>
      <c r="L448" s="2">
        <v>0</v>
      </c>
      <c r="M448">
        <v>6.4</v>
      </c>
      <c r="N448" t="s">
        <v>10235</v>
      </c>
    </row>
    <row r="449" spans="1:14">
      <c r="A449" t="s">
        <v>41</v>
      </c>
      <c r="B449" t="s">
        <v>633</v>
      </c>
      <c r="C449">
        <f>"CENTNUTRI2"</f>
        <v>0</v>
      </c>
      <c r="D449">
        <v>8</v>
      </c>
      <c r="E449">
        <v>0</v>
      </c>
      <c r="F449" s="2">
        <v>0</v>
      </c>
      <c r="G449">
        <v>0</v>
      </c>
      <c r="H449">
        <v>2</v>
      </c>
      <c r="I449">
        <v>0.2298268617290993</v>
      </c>
      <c r="J449">
        <v>2</v>
      </c>
      <c r="K449">
        <v>2</v>
      </c>
      <c r="L449" s="2">
        <v>0</v>
      </c>
      <c r="M449">
        <v>6.41</v>
      </c>
      <c r="N449" t="s">
        <v>10235</v>
      </c>
    </row>
    <row r="450" spans="1:14">
      <c r="A450" t="s">
        <v>40</v>
      </c>
      <c r="B450" t="s">
        <v>634</v>
      </c>
      <c r="C450">
        <f>"V100229"</f>
        <v>0</v>
      </c>
      <c r="D450">
        <v>8</v>
      </c>
      <c r="E450">
        <v>0</v>
      </c>
      <c r="F450" s="2">
        <v>0</v>
      </c>
      <c r="G450">
        <v>0</v>
      </c>
      <c r="H450">
        <v>1</v>
      </c>
      <c r="I450">
        <v>0.2298268617290993</v>
      </c>
      <c r="J450">
        <v>2</v>
      </c>
      <c r="K450">
        <v>2</v>
      </c>
      <c r="L450" s="2">
        <v>0</v>
      </c>
      <c r="M450">
        <v>6.42</v>
      </c>
      <c r="N450" t="s">
        <v>10236</v>
      </c>
    </row>
    <row r="451" spans="1:14">
      <c r="A451" t="s">
        <v>193</v>
      </c>
      <c r="B451" t="s">
        <v>635</v>
      </c>
      <c r="C451">
        <f>"2GA337"</f>
        <v>0</v>
      </c>
      <c r="D451">
        <v>8</v>
      </c>
      <c r="E451">
        <v>0</v>
      </c>
      <c r="F451" s="2">
        <v>0</v>
      </c>
      <c r="G451">
        <v>0</v>
      </c>
      <c r="H451">
        <v>1</v>
      </c>
      <c r="I451">
        <v>0.2298268617290993</v>
      </c>
      <c r="J451">
        <v>2</v>
      </c>
      <c r="K451">
        <v>2</v>
      </c>
      <c r="L451" s="2">
        <v>0</v>
      </c>
      <c r="M451">
        <v>6.43</v>
      </c>
      <c r="N451" t="s">
        <v>10236</v>
      </c>
    </row>
    <row r="452" spans="1:14">
      <c r="A452" t="s">
        <v>35</v>
      </c>
      <c r="B452" t="s">
        <v>636</v>
      </c>
      <c r="C452">
        <f>"JXL69711"</f>
        <v>0</v>
      </c>
      <c r="D452">
        <v>8</v>
      </c>
      <c r="E452">
        <v>0</v>
      </c>
      <c r="F452" s="2">
        <v>0</v>
      </c>
      <c r="G452">
        <v>0</v>
      </c>
      <c r="H452">
        <v>3</v>
      </c>
      <c r="I452">
        <v>0.2298268617290993</v>
      </c>
      <c r="J452">
        <v>2</v>
      </c>
      <c r="K452">
        <v>2</v>
      </c>
      <c r="L452" s="2">
        <v>0</v>
      </c>
      <c r="M452">
        <v>6.44</v>
      </c>
      <c r="N452" t="s">
        <v>10235</v>
      </c>
    </row>
    <row r="453" spans="1:14">
      <c r="A453" t="s">
        <v>25</v>
      </c>
      <c r="B453" t="s">
        <v>637</v>
      </c>
      <c r="C453">
        <f>"zvp600"</f>
        <v>0</v>
      </c>
      <c r="D453">
        <v>8</v>
      </c>
      <c r="E453">
        <v>0</v>
      </c>
      <c r="F453" s="2">
        <v>0</v>
      </c>
      <c r="G453">
        <v>0</v>
      </c>
      <c r="H453">
        <v>2</v>
      </c>
      <c r="I453">
        <v>0.2298268617290993</v>
      </c>
      <c r="J453">
        <v>2</v>
      </c>
      <c r="K453">
        <v>2</v>
      </c>
      <c r="L453" s="2">
        <v>0</v>
      </c>
      <c r="M453">
        <v>6.46</v>
      </c>
      <c r="N453" t="s">
        <v>10235</v>
      </c>
    </row>
    <row r="454" spans="1:14">
      <c r="A454" t="s">
        <v>34</v>
      </c>
      <c r="B454" t="s">
        <v>638</v>
      </c>
      <c r="C454">
        <f>"14000032"</f>
        <v>0</v>
      </c>
      <c r="D454">
        <v>50</v>
      </c>
      <c r="E454">
        <v>9</v>
      </c>
      <c r="F454" s="2">
        <v>24</v>
      </c>
      <c r="G454">
        <v>0.72</v>
      </c>
      <c r="H454">
        <v>4</v>
      </c>
      <c r="I454">
        <v>0.2297064003046144</v>
      </c>
      <c r="J454">
        <v>12</v>
      </c>
      <c r="K454">
        <v>3</v>
      </c>
      <c r="L454" s="2">
        <v>72</v>
      </c>
      <c r="M454">
        <v>6.47</v>
      </c>
      <c r="N454" t="s">
        <v>10235</v>
      </c>
    </row>
    <row r="455" spans="1:14">
      <c r="A455" t="s">
        <v>208</v>
      </c>
      <c r="B455" t="s">
        <v>639</v>
      </c>
      <c r="C455">
        <f>"VITAARTI01"</f>
        <v>0</v>
      </c>
      <c r="D455">
        <v>75</v>
      </c>
      <c r="E455">
        <v>19</v>
      </c>
      <c r="F455" s="2">
        <v>11</v>
      </c>
      <c r="G455">
        <v>1.01</v>
      </c>
      <c r="H455">
        <v>4</v>
      </c>
      <c r="I455">
        <v>0.2296732541290848</v>
      </c>
      <c r="J455">
        <v>19</v>
      </c>
      <c r="K455">
        <v>0</v>
      </c>
      <c r="L455" s="2">
        <v>0</v>
      </c>
      <c r="M455">
        <v>6.48</v>
      </c>
      <c r="N455" t="s">
        <v>10235</v>
      </c>
    </row>
    <row r="456" spans="1:14">
      <c r="A456" t="s">
        <v>202</v>
      </c>
      <c r="B456" t="s">
        <v>640</v>
      </c>
      <c r="C456">
        <f>"21001110"</f>
        <v>0</v>
      </c>
      <c r="D456">
        <v>8</v>
      </c>
      <c r="E456">
        <v>0</v>
      </c>
      <c r="F456" s="2">
        <v>0</v>
      </c>
      <c r="G456">
        <v>0</v>
      </c>
      <c r="H456">
        <v>1</v>
      </c>
      <c r="I456">
        <v>0.2296012785647992</v>
      </c>
      <c r="J456">
        <v>2</v>
      </c>
      <c r="K456">
        <v>2</v>
      </c>
      <c r="L456" s="2">
        <v>0</v>
      </c>
      <c r="M456">
        <v>6.49</v>
      </c>
      <c r="N456" t="s">
        <v>10236</v>
      </c>
    </row>
    <row r="457" spans="1:14">
      <c r="A457" t="s">
        <v>35</v>
      </c>
      <c r="B457" t="s">
        <v>641</v>
      </c>
      <c r="C457">
        <f>"JWZ1007S"</f>
        <v>0</v>
      </c>
      <c r="D457">
        <v>21</v>
      </c>
      <c r="E457">
        <v>1</v>
      </c>
      <c r="F457" s="2">
        <v>621</v>
      </c>
      <c r="G457">
        <v>0.19</v>
      </c>
      <c r="H457">
        <v>1</v>
      </c>
      <c r="I457">
        <v>0.2295887665005168</v>
      </c>
      <c r="J457">
        <v>5</v>
      </c>
      <c r="K457">
        <v>4</v>
      </c>
      <c r="L457" s="2">
        <v>2484</v>
      </c>
      <c r="M457">
        <v>6.51</v>
      </c>
      <c r="N457" t="s">
        <v>10236</v>
      </c>
    </row>
    <row r="458" spans="1:14">
      <c r="A458" t="s">
        <v>35</v>
      </c>
      <c r="B458" t="s">
        <v>642</v>
      </c>
      <c r="C458">
        <f>"JWZ1007M"</f>
        <v>0</v>
      </c>
      <c r="D458">
        <v>21</v>
      </c>
      <c r="E458">
        <v>1</v>
      </c>
      <c r="F458" s="2">
        <v>810</v>
      </c>
      <c r="G458">
        <v>0.19</v>
      </c>
      <c r="H458">
        <v>1</v>
      </c>
      <c r="I458">
        <v>0.2295887665005168</v>
      </c>
      <c r="J458">
        <v>5</v>
      </c>
      <c r="K458">
        <v>4</v>
      </c>
      <c r="L458" s="2">
        <v>3240</v>
      </c>
      <c r="M458">
        <v>6.52</v>
      </c>
      <c r="N458" t="s">
        <v>10236</v>
      </c>
    </row>
    <row r="459" spans="1:14">
      <c r="A459" t="s">
        <v>35</v>
      </c>
      <c r="B459" t="s">
        <v>643</v>
      </c>
      <c r="C459">
        <f>"KF8028"</f>
        <v>0</v>
      </c>
      <c r="D459">
        <v>2</v>
      </c>
      <c r="E459">
        <v>0</v>
      </c>
      <c r="F459" s="2">
        <v>0</v>
      </c>
      <c r="G459">
        <v>0</v>
      </c>
      <c r="H459">
        <v>1</v>
      </c>
      <c r="I459">
        <v>0.2295675673216843</v>
      </c>
      <c r="J459">
        <v>0</v>
      </c>
      <c r="K459">
        <v>0</v>
      </c>
      <c r="L459" s="2">
        <v>0</v>
      </c>
      <c r="M459">
        <v>6.53</v>
      </c>
      <c r="N459" t="s">
        <v>10236</v>
      </c>
    </row>
    <row r="460" spans="1:14">
      <c r="A460" t="s">
        <v>39</v>
      </c>
      <c r="B460" t="s">
        <v>644</v>
      </c>
      <c r="C460">
        <f>"VIRBA01070"</f>
        <v>0</v>
      </c>
      <c r="D460">
        <v>30</v>
      </c>
      <c r="E460">
        <v>3</v>
      </c>
      <c r="F460" s="2">
        <v>14</v>
      </c>
      <c r="G460">
        <v>0.4</v>
      </c>
      <c r="H460">
        <v>4</v>
      </c>
      <c r="I460">
        <v>0.2295453817432832</v>
      </c>
      <c r="J460">
        <v>8</v>
      </c>
      <c r="K460">
        <v>5</v>
      </c>
      <c r="L460" s="2">
        <v>70</v>
      </c>
      <c r="M460">
        <v>6.54</v>
      </c>
      <c r="N460" t="s">
        <v>10235</v>
      </c>
    </row>
    <row r="461" spans="1:14">
      <c r="A461" t="s">
        <v>35</v>
      </c>
      <c r="B461" t="s">
        <v>645</v>
      </c>
      <c r="C461">
        <f>"749F"</f>
        <v>0</v>
      </c>
      <c r="D461">
        <v>7</v>
      </c>
      <c r="E461">
        <v>0</v>
      </c>
      <c r="F461" s="2">
        <v>0</v>
      </c>
      <c r="G461">
        <v>0</v>
      </c>
      <c r="H461">
        <v>2</v>
      </c>
      <c r="I461">
        <v>0.2295161764204938</v>
      </c>
      <c r="J461">
        <v>2</v>
      </c>
      <c r="K461">
        <v>2</v>
      </c>
      <c r="L461" s="2">
        <v>0</v>
      </c>
      <c r="M461">
        <v>6.55</v>
      </c>
      <c r="N461" t="s">
        <v>10235</v>
      </c>
    </row>
    <row r="462" spans="1:14">
      <c r="A462" t="s">
        <v>25</v>
      </c>
      <c r="B462" t="s">
        <v>646</v>
      </c>
      <c r="C462">
        <f>"513B"</f>
        <v>0</v>
      </c>
      <c r="D462">
        <v>7</v>
      </c>
      <c r="E462">
        <v>0</v>
      </c>
      <c r="F462" s="2">
        <v>0</v>
      </c>
      <c r="G462">
        <v>0</v>
      </c>
      <c r="H462">
        <v>3</v>
      </c>
      <c r="I462">
        <v>0.2295119167856053</v>
      </c>
      <c r="J462">
        <v>2</v>
      </c>
      <c r="K462">
        <v>2</v>
      </c>
      <c r="L462" s="2">
        <v>0</v>
      </c>
      <c r="M462">
        <v>6.57</v>
      </c>
      <c r="N462" t="s">
        <v>10235</v>
      </c>
    </row>
    <row r="463" spans="1:14">
      <c r="A463" t="s">
        <v>32</v>
      </c>
      <c r="B463" t="s">
        <v>647</v>
      </c>
      <c r="C463">
        <f>"1009445"</f>
        <v>0</v>
      </c>
      <c r="D463">
        <v>8</v>
      </c>
      <c r="E463">
        <v>0</v>
      </c>
      <c r="F463" s="2">
        <v>0</v>
      </c>
      <c r="G463">
        <v>0</v>
      </c>
      <c r="H463">
        <v>2</v>
      </c>
      <c r="I463">
        <v>0.2294404773477608</v>
      </c>
      <c r="J463">
        <v>2</v>
      </c>
      <c r="K463">
        <v>2</v>
      </c>
      <c r="L463" s="2">
        <v>0</v>
      </c>
      <c r="M463">
        <v>6.58</v>
      </c>
      <c r="N463" t="s">
        <v>10235</v>
      </c>
    </row>
    <row r="464" spans="1:14">
      <c r="A464" t="s">
        <v>37</v>
      </c>
      <c r="B464" t="s">
        <v>648</v>
      </c>
      <c r="C464">
        <f>"576055"</f>
        <v>0</v>
      </c>
      <c r="D464">
        <v>7</v>
      </c>
      <c r="E464">
        <v>0</v>
      </c>
      <c r="F464" s="2">
        <v>0</v>
      </c>
      <c r="G464">
        <v>0</v>
      </c>
      <c r="H464">
        <v>3</v>
      </c>
      <c r="I464">
        <v>0.2294031186111632</v>
      </c>
      <c r="J464">
        <v>2</v>
      </c>
      <c r="K464">
        <v>2</v>
      </c>
      <c r="L464" s="2">
        <v>0</v>
      </c>
      <c r="M464">
        <v>6.59</v>
      </c>
      <c r="N464" t="s">
        <v>10235</v>
      </c>
    </row>
    <row r="465" spans="1:14">
      <c r="A465" t="s">
        <v>35</v>
      </c>
      <c r="B465" t="s">
        <v>649</v>
      </c>
      <c r="C465">
        <f>"CAT001B"</f>
        <v>0</v>
      </c>
      <c r="D465">
        <v>6</v>
      </c>
      <c r="E465">
        <v>0</v>
      </c>
      <c r="F465" s="2">
        <v>0</v>
      </c>
      <c r="G465">
        <v>0</v>
      </c>
      <c r="H465">
        <v>3</v>
      </c>
      <c r="I465">
        <v>0.2293551107873445</v>
      </c>
      <c r="J465">
        <v>2</v>
      </c>
      <c r="K465">
        <v>2</v>
      </c>
      <c r="L465" s="2">
        <v>0</v>
      </c>
      <c r="M465">
        <v>6.6</v>
      </c>
      <c r="N465" t="s">
        <v>10235</v>
      </c>
    </row>
    <row r="466" spans="1:14">
      <c r="A466" t="s">
        <v>35</v>
      </c>
      <c r="B466" t="s">
        <v>650</v>
      </c>
      <c r="C466">
        <f>"DS01"</f>
        <v>0</v>
      </c>
      <c r="D466">
        <v>7</v>
      </c>
      <c r="E466">
        <v>0</v>
      </c>
      <c r="F466" s="2">
        <v>0</v>
      </c>
      <c r="G466">
        <v>0</v>
      </c>
      <c r="H466">
        <v>3</v>
      </c>
      <c r="I466">
        <v>0.2293060344326643</v>
      </c>
      <c r="J466">
        <v>2</v>
      </c>
      <c r="K466">
        <v>2</v>
      </c>
      <c r="L466" s="2">
        <v>0</v>
      </c>
      <c r="M466">
        <v>6.61</v>
      </c>
      <c r="N466" t="s">
        <v>10235</v>
      </c>
    </row>
    <row r="467" spans="1:14">
      <c r="A467" t="s">
        <v>35</v>
      </c>
      <c r="B467" t="s">
        <v>651</v>
      </c>
      <c r="C467">
        <f>"10215"</f>
        <v>0</v>
      </c>
      <c r="D467">
        <v>2</v>
      </c>
      <c r="E467">
        <v>0</v>
      </c>
      <c r="F467" s="2">
        <v>0</v>
      </c>
      <c r="G467">
        <v>0</v>
      </c>
      <c r="H467">
        <v>2</v>
      </c>
      <c r="I467">
        <v>0.2291421362872017</v>
      </c>
      <c r="J467">
        <v>0</v>
      </c>
      <c r="K467">
        <v>0</v>
      </c>
      <c r="L467" s="2">
        <v>0</v>
      </c>
      <c r="M467">
        <v>6.63</v>
      </c>
      <c r="N467" t="s">
        <v>10236</v>
      </c>
    </row>
    <row r="468" spans="1:14">
      <c r="A468" t="s">
        <v>25</v>
      </c>
      <c r="B468" t="s">
        <v>652</v>
      </c>
      <c r="C468">
        <f>"XG013"</f>
        <v>0</v>
      </c>
      <c r="D468">
        <v>2</v>
      </c>
      <c r="E468">
        <v>1</v>
      </c>
      <c r="F468" s="2">
        <v>3</v>
      </c>
      <c r="G468">
        <v>2</v>
      </c>
      <c r="H468">
        <v>2</v>
      </c>
      <c r="I468">
        <v>0.2291415531728762</v>
      </c>
      <c r="J468">
        <v>0</v>
      </c>
      <c r="K468">
        <v>0</v>
      </c>
      <c r="L468" s="2">
        <v>0</v>
      </c>
      <c r="M468">
        <v>6.64</v>
      </c>
      <c r="N468" t="s">
        <v>10236</v>
      </c>
    </row>
    <row r="469" spans="1:14">
      <c r="A469" t="s">
        <v>30</v>
      </c>
      <c r="B469" t="s">
        <v>653</v>
      </c>
      <c r="C469">
        <f>"100503"</f>
        <v>0</v>
      </c>
      <c r="D469">
        <v>11</v>
      </c>
      <c r="E469">
        <v>0</v>
      </c>
      <c r="F469" s="2">
        <v>0</v>
      </c>
      <c r="G469">
        <v>0</v>
      </c>
      <c r="H469">
        <v>4</v>
      </c>
      <c r="I469">
        <v>0.2291299622796633</v>
      </c>
      <c r="J469">
        <v>3</v>
      </c>
      <c r="K469">
        <v>3</v>
      </c>
      <c r="L469" s="2">
        <v>0</v>
      </c>
      <c r="M469">
        <v>6.65</v>
      </c>
      <c r="N469" t="s">
        <v>10235</v>
      </c>
    </row>
    <row r="470" spans="1:14">
      <c r="A470" t="s">
        <v>35</v>
      </c>
      <c r="B470" t="s">
        <v>654</v>
      </c>
      <c r="C470">
        <f>"WPS195"</f>
        <v>0</v>
      </c>
      <c r="D470">
        <v>7</v>
      </c>
      <c r="E470">
        <v>0</v>
      </c>
      <c r="F470" s="2">
        <v>0</v>
      </c>
      <c r="G470">
        <v>0</v>
      </c>
      <c r="H470">
        <v>3</v>
      </c>
      <c r="I470">
        <v>0.2291125760148144</v>
      </c>
      <c r="J470">
        <v>2</v>
      </c>
      <c r="K470">
        <v>2</v>
      </c>
      <c r="L470" s="2">
        <v>0</v>
      </c>
      <c r="M470">
        <v>6.66</v>
      </c>
      <c r="N470" t="s">
        <v>10235</v>
      </c>
    </row>
    <row r="471" spans="1:14">
      <c r="A471" t="s">
        <v>35</v>
      </c>
      <c r="B471" t="s">
        <v>655</v>
      </c>
      <c r="C471">
        <f>"65835"</f>
        <v>0</v>
      </c>
      <c r="D471">
        <v>7</v>
      </c>
      <c r="E471">
        <v>0</v>
      </c>
      <c r="F471" s="2">
        <v>0</v>
      </c>
      <c r="G471">
        <v>0</v>
      </c>
      <c r="H471">
        <v>1</v>
      </c>
      <c r="I471">
        <v>0.2291125760148144</v>
      </c>
      <c r="J471">
        <v>2</v>
      </c>
      <c r="K471">
        <v>2</v>
      </c>
      <c r="L471" s="2">
        <v>0</v>
      </c>
      <c r="M471">
        <v>6.68</v>
      </c>
      <c r="N471" t="s">
        <v>10236</v>
      </c>
    </row>
    <row r="472" spans="1:14">
      <c r="A472" t="s">
        <v>32</v>
      </c>
      <c r="B472" t="s">
        <v>656</v>
      </c>
      <c r="C472">
        <f>"1017779"</f>
        <v>0</v>
      </c>
      <c r="D472">
        <v>7</v>
      </c>
      <c r="E472">
        <v>0</v>
      </c>
      <c r="F472" s="2">
        <v>0</v>
      </c>
      <c r="G472">
        <v>0</v>
      </c>
      <c r="H472">
        <v>2</v>
      </c>
      <c r="I472">
        <v>0.2291125760148144</v>
      </c>
      <c r="J472">
        <v>2</v>
      </c>
      <c r="K472">
        <v>2</v>
      </c>
      <c r="L472" s="2">
        <v>0</v>
      </c>
      <c r="M472">
        <v>6.69</v>
      </c>
      <c r="N472" t="s">
        <v>10235</v>
      </c>
    </row>
    <row r="473" spans="1:14">
      <c r="A473" t="s">
        <v>35</v>
      </c>
      <c r="B473" t="s">
        <v>657</v>
      </c>
      <c r="C473">
        <f>"DS42"</f>
        <v>0</v>
      </c>
      <c r="D473">
        <v>7</v>
      </c>
      <c r="E473">
        <v>0</v>
      </c>
      <c r="F473" s="2">
        <v>0</v>
      </c>
      <c r="G473">
        <v>0</v>
      </c>
      <c r="H473">
        <v>2</v>
      </c>
      <c r="I473">
        <v>0.2291125760148144</v>
      </c>
      <c r="J473">
        <v>2</v>
      </c>
      <c r="K473">
        <v>2</v>
      </c>
      <c r="L473" s="2">
        <v>0</v>
      </c>
      <c r="M473">
        <v>6.7</v>
      </c>
      <c r="N473" t="s">
        <v>10235</v>
      </c>
    </row>
    <row r="474" spans="1:14">
      <c r="A474" t="s">
        <v>35</v>
      </c>
      <c r="B474" t="s">
        <v>658</v>
      </c>
      <c r="C474">
        <f>"JWZ1052M"</f>
        <v>0</v>
      </c>
      <c r="D474">
        <v>7</v>
      </c>
      <c r="E474">
        <v>0</v>
      </c>
      <c r="F474" s="2">
        <v>0</v>
      </c>
      <c r="G474">
        <v>0</v>
      </c>
      <c r="H474">
        <v>2</v>
      </c>
      <c r="I474">
        <v>0.2291125760148144</v>
      </c>
      <c r="J474">
        <v>2</v>
      </c>
      <c r="K474">
        <v>2</v>
      </c>
      <c r="L474" s="2">
        <v>0</v>
      </c>
      <c r="M474">
        <v>6.71</v>
      </c>
      <c r="N474" t="s">
        <v>10235</v>
      </c>
    </row>
    <row r="475" spans="1:14">
      <c r="A475" t="s">
        <v>35</v>
      </c>
      <c r="B475" t="s">
        <v>659</v>
      </c>
      <c r="C475">
        <f>"HC10"</f>
        <v>0</v>
      </c>
      <c r="D475">
        <v>7</v>
      </c>
      <c r="E475">
        <v>0</v>
      </c>
      <c r="F475" s="2">
        <v>0</v>
      </c>
      <c r="G475">
        <v>0</v>
      </c>
      <c r="H475">
        <v>2</v>
      </c>
      <c r="I475">
        <v>0.2291125760148144</v>
      </c>
      <c r="J475">
        <v>2</v>
      </c>
      <c r="K475">
        <v>2</v>
      </c>
      <c r="L475" s="2">
        <v>0</v>
      </c>
      <c r="M475">
        <v>6.72</v>
      </c>
      <c r="N475" t="s">
        <v>10235</v>
      </c>
    </row>
    <row r="476" spans="1:14">
      <c r="A476" t="s">
        <v>35</v>
      </c>
      <c r="B476" t="s">
        <v>660</v>
      </c>
      <c r="C476">
        <f>"JWZ1052S"</f>
        <v>0</v>
      </c>
      <c r="D476">
        <v>7</v>
      </c>
      <c r="E476">
        <v>0</v>
      </c>
      <c r="F476" s="2">
        <v>0</v>
      </c>
      <c r="G476">
        <v>0</v>
      </c>
      <c r="H476">
        <v>2</v>
      </c>
      <c r="I476">
        <v>0.2291125760148144</v>
      </c>
      <c r="J476">
        <v>2</v>
      </c>
      <c r="K476">
        <v>2</v>
      </c>
      <c r="L476" s="2">
        <v>0</v>
      </c>
      <c r="M476">
        <v>6.74</v>
      </c>
      <c r="N476" t="s">
        <v>10235</v>
      </c>
    </row>
    <row r="477" spans="1:14">
      <c r="A477" t="s">
        <v>37</v>
      </c>
      <c r="B477" t="s">
        <v>661</v>
      </c>
      <c r="C477">
        <f>"576045"</f>
        <v>0</v>
      </c>
      <c r="D477">
        <v>7</v>
      </c>
      <c r="E477">
        <v>0</v>
      </c>
      <c r="F477" s="2">
        <v>0</v>
      </c>
      <c r="G477">
        <v>0</v>
      </c>
      <c r="H477">
        <v>2</v>
      </c>
      <c r="I477">
        <v>0.2291125760148144</v>
      </c>
      <c r="J477">
        <v>2</v>
      </c>
      <c r="K477">
        <v>2</v>
      </c>
      <c r="L477" s="2">
        <v>0</v>
      </c>
      <c r="M477">
        <v>6.75</v>
      </c>
      <c r="N477" t="s">
        <v>10235</v>
      </c>
    </row>
    <row r="478" spans="1:14">
      <c r="A478" t="s">
        <v>193</v>
      </c>
      <c r="B478" t="s">
        <v>662</v>
      </c>
      <c r="C478">
        <f>"004243TAL"</f>
        <v>0</v>
      </c>
      <c r="D478">
        <v>7</v>
      </c>
      <c r="E478">
        <v>0</v>
      </c>
      <c r="F478" s="2">
        <v>0</v>
      </c>
      <c r="G478">
        <v>0</v>
      </c>
      <c r="H478">
        <v>1</v>
      </c>
      <c r="I478">
        <v>0.2291125760148144</v>
      </c>
      <c r="J478">
        <v>2</v>
      </c>
      <c r="K478">
        <v>2</v>
      </c>
      <c r="L478" s="2">
        <v>0</v>
      </c>
      <c r="M478">
        <v>6.76</v>
      </c>
      <c r="N478" t="s">
        <v>10236</v>
      </c>
    </row>
    <row r="479" spans="1:14">
      <c r="A479" t="s">
        <v>24</v>
      </c>
      <c r="B479" t="s">
        <v>663</v>
      </c>
      <c r="C479">
        <f>"1112751"</f>
        <v>0</v>
      </c>
      <c r="D479">
        <v>7</v>
      </c>
      <c r="E479">
        <v>0</v>
      </c>
      <c r="F479" s="2">
        <v>0</v>
      </c>
      <c r="G479">
        <v>0</v>
      </c>
      <c r="H479">
        <v>3</v>
      </c>
      <c r="I479">
        <v>0.2291125760148144</v>
      </c>
      <c r="J479">
        <v>2</v>
      </c>
      <c r="K479">
        <v>2</v>
      </c>
      <c r="L479" s="2">
        <v>0</v>
      </c>
      <c r="M479">
        <v>6.77</v>
      </c>
      <c r="N479" t="s">
        <v>10235</v>
      </c>
    </row>
    <row r="480" spans="1:14">
      <c r="A480" t="s">
        <v>209</v>
      </c>
      <c r="B480" t="s">
        <v>664</v>
      </c>
      <c r="C480">
        <f>"5GA70006"</f>
        <v>0</v>
      </c>
      <c r="D480">
        <v>7</v>
      </c>
      <c r="E480">
        <v>0</v>
      </c>
      <c r="F480" s="2">
        <v>0</v>
      </c>
      <c r="G480">
        <v>0</v>
      </c>
      <c r="H480">
        <v>1</v>
      </c>
      <c r="I480">
        <v>0.2291125760148144</v>
      </c>
      <c r="J480">
        <v>2</v>
      </c>
      <c r="K480">
        <v>2</v>
      </c>
      <c r="L480" s="2">
        <v>0</v>
      </c>
      <c r="M480">
        <v>6.78</v>
      </c>
      <c r="N480" t="s">
        <v>10236</v>
      </c>
    </row>
    <row r="481" spans="1:14">
      <c r="A481" t="s">
        <v>40</v>
      </c>
      <c r="B481" t="s">
        <v>665</v>
      </c>
      <c r="C481">
        <f>"V100850"</f>
        <v>0</v>
      </c>
      <c r="D481">
        <v>7</v>
      </c>
      <c r="E481">
        <v>0</v>
      </c>
      <c r="F481" s="2">
        <v>0</v>
      </c>
      <c r="G481">
        <v>0</v>
      </c>
      <c r="H481">
        <v>1</v>
      </c>
      <c r="I481">
        <v>0.2291125760148144</v>
      </c>
      <c r="J481">
        <v>2</v>
      </c>
      <c r="K481">
        <v>2</v>
      </c>
      <c r="L481" s="2">
        <v>0</v>
      </c>
      <c r="M481">
        <v>6.8</v>
      </c>
      <c r="N481" t="s">
        <v>10236</v>
      </c>
    </row>
    <row r="482" spans="1:14">
      <c r="A482" t="s">
        <v>40</v>
      </c>
      <c r="B482" t="s">
        <v>666</v>
      </c>
      <c r="C482">
        <f>"v100809"</f>
        <v>0</v>
      </c>
      <c r="D482">
        <v>7</v>
      </c>
      <c r="E482">
        <v>0</v>
      </c>
      <c r="F482" s="2">
        <v>0</v>
      </c>
      <c r="G482">
        <v>0</v>
      </c>
      <c r="H482">
        <v>2</v>
      </c>
      <c r="I482">
        <v>0.2291125760148144</v>
      </c>
      <c r="J482">
        <v>2</v>
      </c>
      <c r="K482">
        <v>2</v>
      </c>
      <c r="L482" s="2">
        <v>0</v>
      </c>
      <c r="M482">
        <v>6.81</v>
      </c>
      <c r="N482" t="s">
        <v>10235</v>
      </c>
    </row>
    <row r="483" spans="1:14">
      <c r="A483" t="s">
        <v>40</v>
      </c>
      <c r="B483" t="s">
        <v>667</v>
      </c>
      <c r="C483">
        <f>"V100104"</f>
        <v>0</v>
      </c>
      <c r="D483">
        <v>7</v>
      </c>
      <c r="E483">
        <v>0</v>
      </c>
      <c r="F483" s="2">
        <v>0</v>
      </c>
      <c r="G483">
        <v>0</v>
      </c>
      <c r="H483">
        <v>2</v>
      </c>
      <c r="I483">
        <v>0.2291125760148144</v>
      </c>
      <c r="J483">
        <v>2</v>
      </c>
      <c r="K483">
        <v>2</v>
      </c>
      <c r="L483" s="2">
        <v>0</v>
      </c>
      <c r="M483">
        <v>6.82</v>
      </c>
      <c r="N483" t="s">
        <v>10235</v>
      </c>
    </row>
    <row r="484" spans="1:14">
      <c r="A484" t="s">
        <v>196</v>
      </c>
      <c r="B484" t="s">
        <v>668</v>
      </c>
      <c r="C484">
        <f>"2176"</f>
        <v>0</v>
      </c>
      <c r="D484">
        <v>7</v>
      </c>
      <c r="E484">
        <v>0</v>
      </c>
      <c r="F484" s="2">
        <v>0</v>
      </c>
      <c r="G484">
        <v>0</v>
      </c>
      <c r="H484">
        <v>2</v>
      </c>
      <c r="I484">
        <v>0.2291125760148144</v>
      </c>
      <c r="J484">
        <v>2</v>
      </c>
      <c r="K484">
        <v>2</v>
      </c>
      <c r="L484" s="2">
        <v>0</v>
      </c>
      <c r="M484">
        <v>6.83</v>
      </c>
      <c r="N484" t="s">
        <v>10235</v>
      </c>
    </row>
    <row r="485" spans="1:14">
      <c r="A485" t="s">
        <v>202</v>
      </c>
      <c r="B485" t="s">
        <v>669</v>
      </c>
      <c r="C485">
        <f>"11002130"</f>
        <v>0</v>
      </c>
      <c r="D485">
        <v>7</v>
      </c>
      <c r="E485">
        <v>0</v>
      </c>
      <c r="F485" s="2">
        <v>0</v>
      </c>
      <c r="G485">
        <v>0</v>
      </c>
      <c r="H485">
        <v>2</v>
      </c>
      <c r="I485">
        <v>0.2291125760148144</v>
      </c>
      <c r="J485">
        <v>2</v>
      </c>
      <c r="K485">
        <v>2</v>
      </c>
      <c r="L485" s="2">
        <v>0</v>
      </c>
      <c r="M485">
        <v>6.84</v>
      </c>
      <c r="N485" t="s">
        <v>10235</v>
      </c>
    </row>
    <row r="486" spans="1:14">
      <c r="A486" t="s">
        <v>30</v>
      </c>
      <c r="B486" t="s">
        <v>670</v>
      </c>
      <c r="C486">
        <f>"101398"</f>
        <v>0</v>
      </c>
      <c r="D486">
        <v>7</v>
      </c>
      <c r="E486">
        <v>0</v>
      </c>
      <c r="F486" s="2">
        <v>0</v>
      </c>
      <c r="G486">
        <v>0</v>
      </c>
      <c r="H486">
        <v>1</v>
      </c>
      <c r="I486">
        <v>0.2291125760148144</v>
      </c>
      <c r="J486">
        <v>2</v>
      </c>
      <c r="K486">
        <v>2</v>
      </c>
      <c r="L486" s="2">
        <v>0</v>
      </c>
      <c r="M486">
        <v>6.86</v>
      </c>
      <c r="N486" t="s">
        <v>10236</v>
      </c>
    </row>
    <row r="487" spans="1:14">
      <c r="A487" t="s">
        <v>30</v>
      </c>
      <c r="B487" t="s">
        <v>671</v>
      </c>
      <c r="C487">
        <f>"100585"</f>
        <v>0</v>
      </c>
      <c r="D487">
        <v>7</v>
      </c>
      <c r="E487">
        <v>0</v>
      </c>
      <c r="F487" s="2">
        <v>0</v>
      </c>
      <c r="G487">
        <v>0</v>
      </c>
      <c r="H487">
        <v>2</v>
      </c>
      <c r="I487">
        <v>0.2291125760148144</v>
      </c>
      <c r="J487">
        <v>2</v>
      </c>
      <c r="K487">
        <v>2</v>
      </c>
      <c r="L487" s="2">
        <v>0</v>
      </c>
      <c r="M487">
        <v>6.87</v>
      </c>
      <c r="N487" t="s">
        <v>10235</v>
      </c>
    </row>
    <row r="488" spans="1:14">
      <c r="A488" t="s">
        <v>37</v>
      </c>
      <c r="B488" t="s">
        <v>672</v>
      </c>
      <c r="C488">
        <f>"573910"</f>
        <v>0</v>
      </c>
      <c r="D488">
        <v>7</v>
      </c>
      <c r="E488">
        <v>0</v>
      </c>
      <c r="F488" s="2">
        <v>0</v>
      </c>
      <c r="G488">
        <v>0</v>
      </c>
      <c r="H488">
        <v>2</v>
      </c>
      <c r="I488">
        <v>0.2291125760148144</v>
      </c>
      <c r="J488">
        <v>2</v>
      </c>
      <c r="K488">
        <v>2</v>
      </c>
      <c r="L488" s="2">
        <v>0</v>
      </c>
      <c r="M488">
        <v>6.88</v>
      </c>
      <c r="N488" t="s">
        <v>10235</v>
      </c>
    </row>
    <row r="489" spans="1:14">
      <c r="A489" t="s">
        <v>24</v>
      </c>
      <c r="B489" t="s">
        <v>673</v>
      </c>
      <c r="C489">
        <f>"1158501"</f>
        <v>0</v>
      </c>
      <c r="D489">
        <v>7</v>
      </c>
      <c r="E489">
        <v>0</v>
      </c>
      <c r="F489" s="2">
        <v>0</v>
      </c>
      <c r="G489">
        <v>0</v>
      </c>
      <c r="H489">
        <v>3</v>
      </c>
      <c r="I489">
        <v>0.2291125760148144</v>
      </c>
      <c r="J489">
        <v>2</v>
      </c>
      <c r="K489">
        <v>2</v>
      </c>
      <c r="L489" s="2">
        <v>0</v>
      </c>
      <c r="M489">
        <v>6.89</v>
      </c>
      <c r="N489" t="s">
        <v>10235</v>
      </c>
    </row>
    <row r="490" spans="1:14">
      <c r="A490" t="s">
        <v>35</v>
      </c>
      <c r="B490" t="s">
        <v>674</v>
      </c>
      <c r="C490">
        <f>"11490"</f>
        <v>0</v>
      </c>
      <c r="D490">
        <v>7</v>
      </c>
      <c r="E490">
        <v>0</v>
      </c>
      <c r="F490" s="2">
        <v>0</v>
      </c>
      <c r="G490">
        <v>0</v>
      </c>
      <c r="H490">
        <v>3</v>
      </c>
      <c r="I490">
        <v>0.2291125760148144</v>
      </c>
      <c r="J490">
        <v>2</v>
      </c>
      <c r="K490">
        <v>2</v>
      </c>
      <c r="L490" s="2">
        <v>0</v>
      </c>
      <c r="M490">
        <v>6.91</v>
      </c>
      <c r="N490" t="s">
        <v>10235</v>
      </c>
    </row>
    <row r="491" spans="1:14">
      <c r="A491" t="s">
        <v>35</v>
      </c>
      <c r="B491" t="s">
        <v>675</v>
      </c>
      <c r="C491">
        <f>"TP50"</f>
        <v>0</v>
      </c>
      <c r="D491">
        <v>6</v>
      </c>
      <c r="E491">
        <v>0</v>
      </c>
      <c r="F491" s="2">
        <v>0</v>
      </c>
      <c r="G491">
        <v>0</v>
      </c>
      <c r="H491">
        <v>2</v>
      </c>
      <c r="I491">
        <v>0.2290558714364319</v>
      </c>
      <c r="J491">
        <v>2</v>
      </c>
      <c r="K491">
        <v>2</v>
      </c>
      <c r="L491" s="2">
        <v>0</v>
      </c>
      <c r="M491">
        <v>6.92</v>
      </c>
      <c r="N491" t="s">
        <v>10235</v>
      </c>
    </row>
    <row r="492" spans="1:14">
      <c r="A492" t="s">
        <v>32</v>
      </c>
      <c r="B492" t="s">
        <v>676</v>
      </c>
      <c r="C492">
        <f>"1020938"</f>
        <v>0</v>
      </c>
      <c r="D492">
        <v>6</v>
      </c>
      <c r="E492">
        <v>0</v>
      </c>
      <c r="F492" s="2">
        <v>0</v>
      </c>
      <c r="G492">
        <v>0</v>
      </c>
      <c r="H492">
        <v>4</v>
      </c>
      <c r="I492">
        <v>0.2290100803613812</v>
      </c>
      <c r="J492">
        <v>2</v>
      </c>
      <c r="K492">
        <v>2</v>
      </c>
      <c r="L492" s="2">
        <v>0</v>
      </c>
      <c r="M492">
        <v>6.93</v>
      </c>
      <c r="N492" t="s">
        <v>10235</v>
      </c>
    </row>
    <row r="493" spans="1:14">
      <c r="A493" t="s">
        <v>193</v>
      </c>
      <c r="B493" t="s">
        <v>677</v>
      </c>
      <c r="C493">
        <f>"297288"</f>
        <v>0</v>
      </c>
      <c r="D493">
        <v>3</v>
      </c>
      <c r="E493">
        <v>0</v>
      </c>
      <c r="F493" s="2">
        <v>0</v>
      </c>
      <c r="G493">
        <v>0</v>
      </c>
      <c r="H493">
        <v>2</v>
      </c>
      <c r="I493">
        <v>0.2289439727114262</v>
      </c>
      <c r="J493">
        <v>1</v>
      </c>
      <c r="K493">
        <v>1</v>
      </c>
      <c r="L493" s="2">
        <v>0</v>
      </c>
      <c r="M493">
        <v>6.94</v>
      </c>
      <c r="N493" t="s">
        <v>10236</v>
      </c>
    </row>
    <row r="494" spans="1:14">
      <c r="A494" t="s">
        <v>207</v>
      </c>
      <c r="B494" t="s">
        <v>678</v>
      </c>
      <c r="C494">
        <f>"C300501"</f>
        <v>0</v>
      </c>
      <c r="D494">
        <v>4</v>
      </c>
      <c r="E494">
        <v>0</v>
      </c>
      <c r="F494" s="2">
        <v>0</v>
      </c>
      <c r="G494">
        <v>0</v>
      </c>
      <c r="H494">
        <v>3</v>
      </c>
      <c r="I494">
        <v>0.2289234714074558</v>
      </c>
      <c r="J494">
        <v>1</v>
      </c>
      <c r="K494">
        <v>1</v>
      </c>
      <c r="L494" s="2">
        <v>0</v>
      </c>
      <c r="M494">
        <v>6.95</v>
      </c>
      <c r="N494" t="s">
        <v>10236</v>
      </c>
    </row>
    <row r="495" spans="1:14">
      <c r="A495" t="s">
        <v>32</v>
      </c>
      <c r="B495" t="s">
        <v>679</v>
      </c>
      <c r="C495">
        <f>"1014066"</f>
        <v>0</v>
      </c>
      <c r="D495">
        <v>6</v>
      </c>
      <c r="E495">
        <v>0</v>
      </c>
      <c r="F495" s="2">
        <v>0</v>
      </c>
      <c r="G495">
        <v>0</v>
      </c>
      <c r="H495">
        <v>4</v>
      </c>
      <c r="I495">
        <v>0.2288703998339979</v>
      </c>
      <c r="J495">
        <v>2</v>
      </c>
      <c r="K495">
        <v>2</v>
      </c>
      <c r="L495" s="2">
        <v>0</v>
      </c>
      <c r="M495">
        <v>6.97</v>
      </c>
      <c r="N495" t="s">
        <v>10235</v>
      </c>
    </row>
    <row r="496" spans="1:14">
      <c r="A496" t="s">
        <v>35</v>
      </c>
      <c r="B496" t="s">
        <v>680</v>
      </c>
      <c r="C496">
        <f>"MSPB04CA"</f>
        <v>0</v>
      </c>
      <c r="D496">
        <v>6</v>
      </c>
      <c r="E496">
        <v>0</v>
      </c>
      <c r="F496" s="2">
        <v>0</v>
      </c>
      <c r="G496">
        <v>0</v>
      </c>
      <c r="H496">
        <v>2</v>
      </c>
      <c r="I496">
        <v>0.2287779302599615</v>
      </c>
      <c r="J496">
        <v>2</v>
      </c>
      <c r="K496">
        <v>2</v>
      </c>
      <c r="L496" s="2">
        <v>0</v>
      </c>
      <c r="M496">
        <v>6.98</v>
      </c>
      <c r="N496" t="s">
        <v>10235</v>
      </c>
    </row>
    <row r="497" spans="1:14">
      <c r="A497" t="s">
        <v>25</v>
      </c>
      <c r="B497" t="s">
        <v>681</v>
      </c>
      <c r="C497">
        <f>"50552"</f>
        <v>0</v>
      </c>
      <c r="D497">
        <v>6</v>
      </c>
      <c r="E497">
        <v>0</v>
      </c>
      <c r="F497" s="2">
        <v>0</v>
      </c>
      <c r="G497">
        <v>0</v>
      </c>
      <c r="H497">
        <v>4</v>
      </c>
      <c r="I497">
        <v>0.228577904904992</v>
      </c>
      <c r="J497">
        <v>2</v>
      </c>
      <c r="K497">
        <v>2</v>
      </c>
      <c r="L497" s="2">
        <v>0</v>
      </c>
      <c r="M497">
        <v>6.99</v>
      </c>
      <c r="N497" t="s">
        <v>10235</v>
      </c>
    </row>
    <row r="498" spans="1:14">
      <c r="A498" t="s">
        <v>34</v>
      </c>
      <c r="B498" t="s">
        <v>682</v>
      </c>
      <c r="C498">
        <f>"14000142"</f>
        <v>0</v>
      </c>
      <c r="D498">
        <v>56</v>
      </c>
      <c r="E498">
        <v>10</v>
      </c>
      <c r="F498" s="2">
        <v>38</v>
      </c>
      <c r="G498">
        <v>0.71</v>
      </c>
      <c r="H498">
        <v>3</v>
      </c>
      <c r="I498">
        <v>0.2283982903362014</v>
      </c>
      <c r="J498">
        <v>14</v>
      </c>
      <c r="K498">
        <v>4</v>
      </c>
      <c r="L498" s="2">
        <v>152</v>
      </c>
      <c r="M498">
        <v>7</v>
      </c>
      <c r="N498" t="s">
        <v>10235</v>
      </c>
    </row>
    <row r="499" spans="1:14">
      <c r="A499" t="s">
        <v>25</v>
      </c>
      <c r="B499" t="s">
        <v>683</v>
      </c>
      <c r="C499">
        <f>"ZVP1108"</f>
        <v>0</v>
      </c>
      <c r="D499">
        <v>6</v>
      </c>
      <c r="E499">
        <v>0</v>
      </c>
      <c r="F499" s="2">
        <v>0</v>
      </c>
      <c r="G499">
        <v>0</v>
      </c>
      <c r="H499">
        <v>2</v>
      </c>
      <c r="I499">
        <v>0.2283982903005296</v>
      </c>
      <c r="J499">
        <v>2</v>
      </c>
      <c r="K499">
        <v>2</v>
      </c>
      <c r="L499" s="2">
        <v>0</v>
      </c>
      <c r="M499">
        <v>7.01</v>
      </c>
      <c r="N499" t="s">
        <v>10235</v>
      </c>
    </row>
    <row r="500" spans="1:14">
      <c r="A500" t="s">
        <v>35</v>
      </c>
      <c r="B500" t="s">
        <v>684</v>
      </c>
      <c r="C500">
        <f>"TF1013"</f>
        <v>0</v>
      </c>
      <c r="D500">
        <v>6</v>
      </c>
      <c r="E500">
        <v>0</v>
      </c>
      <c r="F500" s="2">
        <v>0</v>
      </c>
      <c r="G500">
        <v>0</v>
      </c>
      <c r="H500">
        <v>3</v>
      </c>
      <c r="I500">
        <v>0.2283982903005296</v>
      </c>
      <c r="J500">
        <v>2</v>
      </c>
      <c r="K500">
        <v>2</v>
      </c>
      <c r="L500" s="2">
        <v>0</v>
      </c>
      <c r="M500">
        <v>7.03</v>
      </c>
      <c r="N500" t="s">
        <v>10235</v>
      </c>
    </row>
    <row r="501" spans="1:14">
      <c r="A501" t="s">
        <v>24</v>
      </c>
      <c r="B501" t="s">
        <v>685</v>
      </c>
      <c r="C501">
        <f>"DPI006"</f>
        <v>0</v>
      </c>
      <c r="D501">
        <v>6</v>
      </c>
      <c r="E501">
        <v>0</v>
      </c>
      <c r="F501" s="2">
        <v>0</v>
      </c>
      <c r="G501">
        <v>0</v>
      </c>
      <c r="H501">
        <v>2</v>
      </c>
      <c r="I501">
        <v>0.2283982903005296</v>
      </c>
      <c r="J501">
        <v>2</v>
      </c>
      <c r="K501">
        <v>2</v>
      </c>
      <c r="L501" s="2">
        <v>0</v>
      </c>
      <c r="M501">
        <v>7.04</v>
      </c>
      <c r="N501" t="s">
        <v>10235</v>
      </c>
    </row>
    <row r="502" spans="1:14">
      <c r="A502" t="s">
        <v>35</v>
      </c>
      <c r="B502" t="s">
        <v>686</v>
      </c>
      <c r="C502">
        <f>"HDD174M"</f>
        <v>0</v>
      </c>
      <c r="D502">
        <v>6</v>
      </c>
      <c r="E502">
        <v>0</v>
      </c>
      <c r="F502" s="2">
        <v>0</v>
      </c>
      <c r="G502">
        <v>0</v>
      </c>
      <c r="H502">
        <v>2</v>
      </c>
      <c r="I502">
        <v>0.2283982903005296</v>
      </c>
      <c r="J502">
        <v>2</v>
      </c>
      <c r="K502">
        <v>2</v>
      </c>
      <c r="L502" s="2">
        <v>0</v>
      </c>
      <c r="M502">
        <v>7.05</v>
      </c>
      <c r="N502" t="s">
        <v>10235</v>
      </c>
    </row>
    <row r="503" spans="1:14">
      <c r="A503" t="s">
        <v>35</v>
      </c>
      <c r="B503" t="s">
        <v>687</v>
      </c>
      <c r="C503">
        <f>"CL03S"</f>
        <v>0</v>
      </c>
      <c r="D503">
        <v>6</v>
      </c>
      <c r="E503">
        <v>0</v>
      </c>
      <c r="F503" s="2">
        <v>0</v>
      </c>
      <c r="G503">
        <v>0</v>
      </c>
      <c r="H503">
        <v>2</v>
      </c>
      <c r="I503">
        <v>0.2283982903005296</v>
      </c>
      <c r="J503">
        <v>2</v>
      </c>
      <c r="K503">
        <v>2</v>
      </c>
      <c r="L503" s="2">
        <v>0</v>
      </c>
      <c r="M503">
        <v>7.06</v>
      </c>
      <c r="N503" t="s">
        <v>10235</v>
      </c>
    </row>
    <row r="504" spans="1:14">
      <c r="A504" t="s">
        <v>192</v>
      </c>
      <c r="B504" t="s">
        <v>688</v>
      </c>
      <c r="C504">
        <f>"890105"</f>
        <v>0</v>
      </c>
      <c r="D504">
        <v>6</v>
      </c>
      <c r="E504">
        <v>0</v>
      </c>
      <c r="F504" s="2">
        <v>0</v>
      </c>
      <c r="G504">
        <v>0</v>
      </c>
      <c r="H504">
        <v>2</v>
      </c>
      <c r="I504">
        <v>0.2283982903005296</v>
      </c>
      <c r="J504">
        <v>2</v>
      </c>
      <c r="K504">
        <v>2</v>
      </c>
      <c r="L504" s="2">
        <v>0</v>
      </c>
      <c r="M504">
        <v>7.07</v>
      </c>
      <c r="N504" t="s">
        <v>10235</v>
      </c>
    </row>
    <row r="505" spans="1:14">
      <c r="A505" t="s">
        <v>37</v>
      </c>
      <c r="B505" t="s">
        <v>689</v>
      </c>
      <c r="C505">
        <f>"576007"</f>
        <v>0</v>
      </c>
      <c r="D505">
        <v>6</v>
      </c>
      <c r="E505">
        <v>0</v>
      </c>
      <c r="F505" s="2">
        <v>0</v>
      </c>
      <c r="G505">
        <v>0</v>
      </c>
      <c r="H505">
        <v>3</v>
      </c>
      <c r="I505">
        <v>0.2283982903005296</v>
      </c>
      <c r="J505">
        <v>2</v>
      </c>
      <c r="K505">
        <v>2</v>
      </c>
      <c r="L505" s="2">
        <v>0</v>
      </c>
      <c r="M505">
        <v>7.09</v>
      </c>
      <c r="N505" t="s">
        <v>10235</v>
      </c>
    </row>
    <row r="506" spans="1:14">
      <c r="A506" t="s">
        <v>25</v>
      </c>
      <c r="B506" t="s">
        <v>690</v>
      </c>
      <c r="C506">
        <f>"BBOXO26L"</f>
        <v>0</v>
      </c>
      <c r="D506">
        <v>6</v>
      </c>
      <c r="E506">
        <v>0</v>
      </c>
      <c r="F506" s="2">
        <v>0</v>
      </c>
      <c r="G506">
        <v>0</v>
      </c>
      <c r="H506">
        <v>2</v>
      </c>
      <c r="I506">
        <v>0.2283982903005296</v>
      </c>
      <c r="J506">
        <v>2</v>
      </c>
      <c r="K506">
        <v>2</v>
      </c>
      <c r="L506" s="2">
        <v>0</v>
      </c>
      <c r="M506">
        <v>7.1</v>
      </c>
      <c r="N506" t="s">
        <v>10235</v>
      </c>
    </row>
    <row r="507" spans="1:14">
      <c r="A507" t="s">
        <v>35</v>
      </c>
      <c r="B507" t="s">
        <v>691</v>
      </c>
      <c r="C507">
        <f>"TP190"</f>
        <v>0</v>
      </c>
      <c r="D507">
        <v>6</v>
      </c>
      <c r="E507">
        <v>0</v>
      </c>
      <c r="F507" s="2">
        <v>0</v>
      </c>
      <c r="G507">
        <v>0</v>
      </c>
      <c r="H507">
        <v>2</v>
      </c>
      <c r="I507">
        <v>0.2283982903005296</v>
      </c>
      <c r="J507">
        <v>2</v>
      </c>
      <c r="K507">
        <v>2</v>
      </c>
      <c r="L507" s="2">
        <v>0</v>
      </c>
      <c r="M507">
        <v>7.11</v>
      </c>
      <c r="N507" t="s">
        <v>10235</v>
      </c>
    </row>
    <row r="508" spans="1:14">
      <c r="A508" t="s">
        <v>24</v>
      </c>
      <c r="B508" t="s">
        <v>692</v>
      </c>
      <c r="C508">
        <f>"DPI003"</f>
        <v>0</v>
      </c>
      <c r="D508">
        <v>6</v>
      </c>
      <c r="E508">
        <v>0</v>
      </c>
      <c r="F508" s="2">
        <v>0</v>
      </c>
      <c r="G508">
        <v>0</v>
      </c>
      <c r="H508">
        <v>3</v>
      </c>
      <c r="I508">
        <v>0.2283982903005296</v>
      </c>
      <c r="J508">
        <v>2</v>
      </c>
      <c r="K508">
        <v>2</v>
      </c>
      <c r="L508" s="2">
        <v>0</v>
      </c>
      <c r="M508">
        <v>7.12</v>
      </c>
      <c r="N508" t="s">
        <v>10235</v>
      </c>
    </row>
    <row r="509" spans="1:14">
      <c r="A509" t="s">
        <v>32</v>
      </c>
      <c r="B509" t="s">
        <v>693</v>
      </c>
      <c r="C509">
        <f>"1009443"</f>
        <v>0</v>
      </c>
      <c r="D509">
        <v>6</v>
      </c>
      <c r="E509">
        <v>0</v>
      </c>
      <c r="F509" s="2">
        <v>0</v>
      </c>
      <c r="G509">
        <v>0</v>
      </c>
      <c r="H509">
        <v>2</v>
      </c>
      <c r="I509">
        <v>0.2283982903005296</v>
      </c>
      <c r="J509">
        <v>2</v>
      </c>
      <c r="K509">
        <v>2</v>
      </c>
      <c r="L509" s="2">
        <v>0</v>
      </c>
      <c r="M509">
        <v>7.14</v>
      </c>
      <c r="N509" t="s">
        <v>10235</v>
      </c>
    </row>
    <row r="510" spans="1:14">
      <c r="A510" t="s">
        <v>33</v>
      </c>
      <c r="B510" t="s">
        <v>694</v>
      </c>
      <c r="C510">
        <f>"TOPK93201"</f>
        <v>0</v>
      </c>
      <c r="D510">
        <v>6</v>
      </c>
      <c r="E510">
        <v>0</v>
      </c>
      <c r="F510" s="2">
        <v>0</v>
      </c>
      <c r="G510">
        <v>0</v>
      </c>
      <c r="H510">
        <v>1</v>
      </c>
      <c r="I510">
        <v>0.2283982903005296</v>
      </c>
      <c r="J510">
        <v>2</v>
      </c>
      <c r="K510">
        <v>2</v>
      </c>
      <c r="L510" s="2">
        <v>0</v>
      </c>
      <c r="M510">
        <v>7.15</v>
      </c>
      <c r="N510" t="s">
        <v>10236</v>
      </c>
    </row>
    <row r="511" spans="1:14">
      <c r="A511" t="s">
        <v>35</v>
      </c>
      <c r="B511" t="s">
        <v>695</v>
      </c>
      <c r="C511">
        <f>"12350"</f>
        <v>0</v>
      </c>
      <c r="D511">
        <v>6</v>
      </c>
      <c r="E511">
        <v>0</v>
      </c>
      <c r="F511" s="2">
        <v>0</v>
      </c>
      <c r="G511">
        <v>0</v>
      </c>
      <c r="H511">
        <v>2</v>
      </c>
      <c r="I511">
        <v>0.2283982903005296</v>
      </c>
      <c r="J511">
        <v>2</v>
      </c>
      <c r="K511">
        <v>2</v>
      </c>
      <c r="L511" s="2">
        <v>0</v>
      </c>
      <c r="M511">
        <v>7.16</v>
      </c>
      <c r="N511" t="s">
        <v>10235</v>
      </c>
    </row>
    <row r="512" spans="1:14">
      <c r="A512" t="s">
        <v>41</v>
      </c>
      <c r="B512" t="s">
        <v>696</v>
      </c>
      <c r="C512">
        <f>"CENTNUTRI1"</f>
        <v>0</v>
      </c>
      <c r="D512">
        <v>6</v>
      </c>
      <c r="E512">
        <v>0</v>
      </c>
      <c r="F512" s="2">
        <v>0</v>
      </c>
      <c r="G512">
        <v>0</v>
      </c>
      <c r="H512">
        <v>3</v>
      </c>
      <c r="I512">
        <v>0.2283982903005296</v>
      </c>
      <c r="J512">
        <v>2</v>
      </c>
      <c r="K512">
        <v>2</v>
      </c>
      <c r="L512" s="2">
        <v>0</v>
      </c>
      <c r="M512">
        <v>7.17</v>
      </c>
      <c r="N512" t="s">
        <v>10235</v>
      </c>
    </row>
    <row r="513" spans="1:14">
      <c r="A513" t="s">
        <v>30</v>
      </c>
      <c r="B513" t="s">
        <v>697</v>
      </c>
      <c r="C513">
        <f>"100908"</f>
        <v>0</v>
      </c>
      <c r="D513">
        <v>6</v>
      </c>
      <c r="E513">
        <v>0</v>
      </c>
      <c r="F513" s="2">
        <v>0</v>
      </c>
      <c r="G513">
        <v>0</v>
      </c>
      <c r="H513">
        <v>1</v>
      </c>
      <c r="I513">
        <v>0.2283982903005296</v>
      </c>
      <c r="J513">
        <v>2</v>
      </c>
      <c r="K513">
        <v>2</v>
      </c>
      <c r="L513" s="2">
        <v>0</v>
      </c>
      <c r="M513">
        <v>7.18</v>
      </c>
      <c r="N513" t="s">
        <v>10236</v>
      </c>
    </row>
    <row r="514" spans="1:14">
      <c r="A514" t="s">
        <v>35</v>
      </c>
      <c r="B514" t="s">
        <v>698</v>
      </c>
      <c r="C514">
        <f>"JWZ1052L"</f>
        <v>0</v>
      </c>
      <c r="D514">
        <v>6</v>
      </c>
      <c r="E514">
        <v>0</v>
      </c>
      <c r="F514" s="2">
        <v>0</v>
      </c>
      <c r="G514">
        <v>0</v>
      </c>
      <c r="H514">
        <v>1</v>
      </c>
      <c r="I514">
        <v>0.2283982903005296</v>
      </c>
      <c r="J514">
        <v>2</v>
      </c>
      <c r="K514">
        <v>2</v>
      </c>
      <c r="L514" s="2">
        <v>0</v>
      </c>
      <c r="M514">
        <v>7.2</v>
      </c>
      <c r="N514" t="s">
        <v>10236</v>
      </c>
    </row>
    <row r="515" spans="1:14">
      <c r="A515" t="s">
        <v>31</v>
      </c>
      <c r="B515" t="s">
        <v>699</v>
      </c>
      <c r="C515">
        <f>"1020301"</f>
        <v>0</v>
      </c>
      <c r="D515">
        <v>6</v>
      </c>
      <c r="E515">
        <v>0</v>
      </c>
      <c r="F515" s="2">
        <v>0</v>
      </c>
      <c r="G515">
        <v>0</v>
      </c>
      <c r="H515">
        <v>2</v>
      </c>
      <c r="I515">
        <v>0.2283982903005296</v>
      </c>
      <c r="J515">
        <v>2</v>
      </c>
      <c r="K515">
        <v>2</v>
      </c>
      <c r="L515" s="2">
        <v>0</v>
      </c>
      <c r="M515">
        <v>7.21</v>
      </c>
      <c r="N515" t="s">
        <v>10235</v>
      </c>
    </row>
    <row r="516" spans="1:14">
      <c r="A516" t="s">
        <v>24</v>
      </c>
      <c r="B516" t="s">
        <v>700</v>
      </c>
      <c r="C516">
        <f>"DPI087"</f>
        <v>0</v>
      </c>
      <c r="D516">
        <v>6</v>
      </c>
      <c r="E516">
        <v>0</v>
      </c>
      <c r="F516" s="2">
        <v>0</v>
      </c>
      <c r="G516">
        <v>0</v>
      </c>
      <c r="H516">
        <v>2</v>
      </c>
      <c r="I516">
        <v>0.2283982903005296</v>
      </c>
      <c r="J516">
        <v>2</v>
      </c>
      <c r="K516">
        <v>2</v>
      </c>
      <c r="L516" s="2">
        <v>0</v>
      </c>
      <c r="M516">
        <v>7.22</v>
      </c>
      <c r="N516" t="s">
        <v>10235</v>
      </c>
    </row>
    <row r="517" spans="1:14">
      <c r="A517" t="s">
        <v>35</v>
      </c>
      <c r="B517" t="s">
        <v>701</v>
      </c>
      <c r="C517">
        <f>"191101S"</f>
        <v>0</v>
      </c>
      <c r="D517">
        <v>6</v>
      </c>
      <c r="E517">
        <v>0</v>
      </c>
      <c r="F517" s="2">
        <v>0</v>
      </c>
      <c r="G517">
        <v>0</v>
      </c>
      <c r="H517">
        <v>3</v>
      </c>
      <c r="I517">
        <v>0.2283982903005296</v>
      </c>
      <c r="J517">
        <v>2</v>
      </c>
      <c r="K517">
        <v>2</v>
      </c>
      <c r="L517" s="2">
        <v>0</v>
      </c>
      <c r="M517">
        <v>7.23</v>
      </c>
      <c r="N517" t="s">
        <v>10235</v>
      </c>
    </row>
    <row r="518" spans="1:14">
      <c r="A518" t="s">
        <v>27</v>
      </c>
      <c r="B518" t="s">
        <v>702</v>
      </c>
      <c r="C518">
        <f>"ALCP15"</f>
        <v>0</v>
      </c>
      <c r="D518">
        <v>6</v>
      </c>
      <c r="E518">
        <v>0</v>
      </c>
      <c r="F518" s="2">
        <v>0</v>
      </c>
      <c r="G518">
        <v>0</v>
      </c>
      <c r="H518">
        <v>2</v>
      </c>
      <c r="I518">
        <v>0.2283982903005296</v>
      </c>
      <c r="J518">
        <v>2</v>
      </c>
      <c r="K518">
        <v>2</v>
      </c>
      <c r="L518" s="2">
        <v>0</v>
      </c>
      <c r="M518">
        <v>7.24</v>
      </c>
      <c r="N518" t="s">
        <v>10235</v>
      </c>
    </row>
    <row r="519" spans="1:14">
      <c r="A519" t="s">
        <v>204</v>
      </c>
      <c r="B519" t="s">
        <v>703</v>
      </c>
      <c r="C519">
        <f>"12450606"</f>
        <v>0</v>
      </c>
      <c r="D519">
        <v>6</v>
      </c>
      <c r="E519">
        <v>0</v>
      </c>
      <c r="F519" s="2">
        <v>0</v>
      </c>
      <c r="G519">
        <v>0</v>
      </c>
      <c r="H519">
        <v>2</v>
      </c>
      <c r="I519">
        <v>0.2283982903005296</v>
      </c>
      <c r="J519">
        <v>2</v>
      </c>
      <c r="K519">
        <v>2</v>
      </c>
      <c r="L519" s="2">
        <v>0</v>
      </c>
      <c r="M519">
        <v>7.26</v>
      </c>
      <c r="N519" t="s">
        <v>10235</v>
      </c>
    </row>
    <row r="520" spans="1:14">
      <c r="A520" t="s">
        <v>204</v>
      </c>
      <c r="B520" t="s">
        <v>704</v>
      </c>
      <c r="C520">
        <f>"12604194"</f>
        <v>0</v>
      </c>
      <c r="D520">
        <v>6</v>
      </c>
      <c r="E520">
        <v>0</v>
      </c>
      <c r="F520" s="2">
        <v>0</v>
      </c>
      <c r="G520">
        <v>0</v>
      </c>
      <c r="H520">
        <v>2</v>
      </c>
      <c r="I520">
        <v>0.2283982903005296</v>
      </c>
      <c r="J520">
        <v>2</v>
      </c>
      <c r="K520">
        <v>2</v>
      </c>
      <c r="L520" s="2">
        <v>0</v>
      </c>
      <c r="M520">
        <v>7.27</v>
      </c>
      <c r="N520" t="s">
        <v>10235</v>
      </c>
    </row>
    <row r="521" spans="1:14">
      <c r="A521" t="s">
        <v>35</v>
      </c>
      <c r="B521" t="s">
        <v>705</v>
      </c>
      <c r="C521">
        <f>"D069M"</f>
        <v>0</v>
      </c>
      <c r="D521">
        <v>6</v>
      </c>
      <c r="E521">
        <v>0</v>
      </c>
      <c r="F521" s="2">
        <v>0</v>
      </c>
      <c r="G521">
        <v>0</v>
      </c>
      <c r="H521">
        <v>3</v>
      </c>
      <c r="I521">
        <v>0.2283982903005296</v>
      </c>
      <c r="J521">
        <v>2</v>
      </c>
      <c r="K521">
        <v>2</v>
      </c>
      <c r="L521" s="2">
        <v>0</v>
      </c>
      <c r="M521">
        <v>7.28</v>
      </c>
      <c r="N521" t="s">
        <v>10235</v>
      </c>
    </row>
    <row r="522" spans="1:14">
      <c r="A522" t="s">
        <v>35</v>
      </c>
      <c r="B522" t="s">
        <v>706</v>
      </c>
      <c r="C522">
        <f>"1042EMLI"</f>
        <v>0</v>
      </c>
      <c r="D522">
        <v>6</v>
      </c>
      <c r="E522">
        <v>0</v>
      </c>
      <c r="F522" s="2">
        <v>0</v>
      </c>
      <c r="G522">
        <v>0</v>
      </c>
      <c r="H522">
        <v>2</v>
      </c>
      <c r="I522">
        <v>0.2283982903005296</v>
      </c>
      <c r="J522">
        <v>2</v>
      </c>
      <c r="K522">
        <v>2</v>
      </c>
      <c r="L522" s="2">
        <v>0</v>
      </c>
      <c r="M522">
        <v>7.29</v>
      </c>
      <c r="N522" t="s">
        <v>10235</v>
      </c>
    </row>
    <row r="523" spans="1:14">
      <c r="A523" t="s">
        <v>203</v>
      </c>
      <c r="B523" t="s">
        <v>707</v>
      </c>
      <c r="C523">
        <f>"756136"</f>
        <v>0</v>
      </c>
      <c r="D523">
        <v>6</v>
      </c>
      <c r="E523">
        <v>0</v>
      </c>
      <c r="F523" s="2">
        <v>0</v>
      </c>
      <c r="G523">
        <v>0</v>
      </c>
      <c r="H523">
        <v>1</v>
      </c>
      <c r="I523">
        <v>0.2283982903005296</v>
      </c>
      <c r="J523">
        <v>2</v>
      </c>
      <c r="K523">
        <v>2</v>
      </c>
      <c r="L523" s="2">
        <v>0</v>
      </c>
      <c r="M523">
        <v>7.3</v>
      </c>
      <c r="N523" t="s">
        <v>10236</v>
      </c>
    </row>
    <row r="524" spans="1:14">
      <c r="A524" t="s">
        <v>35</v>
      </c>
      <c r="B524" t="s">
        <v>708</v>
      </c>
      <c r="C524">
        <f>"MSPB05ROS"</f>
        <v>0</v>
      </c>
      <c r="D524">
        <v>6</v>
      </c>
      <c r="E524">
        <v>0</v>
      </c>
      <c r="F524" s="2">
        <v>0</v>
      </c>
      <c r="G524">
        <v>0</v>
      </c>
      <c r="H524">
        <v>2</v>
      </c>
      <c r="I524">
        <v>0.2283982903005296</v>
      </c>
      <c r="J524">
        <v>2</v>
      </c>
      <c r="K524">
        <v>2</v>
      </c>
      <c r="L524" s="2">
        <v>0</v>
      </c>
      <c r="M524">
        <v>7.32</v>
      </c>
      <c r="N524" t="s">
        <v>10235</v>
      </c>
    </row>
    <row r="525" spans="1:14">
      <c r="A525" t="s">
        <v>193</v>
      </c>
      <c r="B525" t="s">
        <v>709</v>
      </c>
      <c r="C525">
        <f>"902255"</f>
        <v>0</v>
      </c>
      <c r="D525">
        <v>6</v>
      </c>
      <c r="E525">
        <v>0</v>
      </c>
      <c r="F525" s="2">
        <v>0</v>
      </c>
      <c r="G525">
        <v>0</v>
      </c>
      <c r="H525">
        <v>1</v>
      </c>
      <c r="I525">
        <v>0.2283982903005296</v>
      </c>
      <c r="J525">
        <v>2</v>
      </c>
      <c r="K525">
        <v>2</v>
      </c>
      <c r="L525" s="2">
        <v>0</v>
      </c>
      <c r="M525">
        <v>7.33</v>
      </c>
      <c r="N525" t="s">
        <v>10236</v>
      </c>
    </row>
    <row r="526" spans="1:14">
      <c r="A526" t="s">
        <v>35</v>
      </c>
      <c r="B526" t="s">
        <v>710</v>
      </c>
      <c r="C526">
        <f>"CBT13"</f>
        <v>0</v>
      </c>
      <c r="D526">
        <v>6</v>
      </c>
      <c r="E526">
        <v>0</v>
      </c>
      <c r="F526" s="2">
        <v>0</v>
      </c>
      <c r="G526">
        <v>0</v>
      </c>
      <c r="H526">
        <v>1</v>
      </c>
      <c r="I526">
        <v>0.2283982903005296</v>
      </c>
      <c r="J526">
        <v>2</v>
      </c>
      <c r="K526">
        <v>2</v>
      </c>
      <c r="L526" s="2">
        <v>0</v>
      </c>
      <c r="M526">
        <v>7.34</v>
      </c>
      <c r="N526" t="s">
        <v>10236</v>
      </c>
    </row>
    <row r="527" spans="1:14">
      <c r="A527" t="s">
        <v>202</v>
      </c>
      <c r="B527" t="s">
        <v>711</v>
      </c>
      <c r="C527">
        <f>"11001096"</f>
        <v>0</v>
      </c>
      <c r="D527">
        <v>6</v>
      </c>
      <c r="E527">
        <v>0</v>
      </c>
      <c r="F527" s="2">
        <v>0</v>
      </c>
      <c r="G527">
        <v>0</v>
      </c>
      <c r="H527">
        <v>2</v>
      </c>
      <c r="I527">
        <v>0.2283982903005296</v>
      </c>
      <c r="J527">
        <v>2</v>
      </c>
      <c r="K527">
        <v>2</v>
      </c>
      <c r="L527" s="2">
        <v>0</v>
      </c>
      <c r="M527">
        <v>7.35</v>
      </c>
      <c r="N527" t="s">
        <v>10235</v>
      </c>
    </row>
    <row r="528" spans="1:14">
      <c r="A528" t="s">
        <v>35</v>
      </c>
      <c r="B528" t="s">
        <v>712</v>
      </c>
      <c r="C528">
        <f>"PS9020B"</f>
        <v>0</v>
      </c>
      <c r="D528">
        <v>6</v>
      </c>
      <c r="E528">
        <v>0</v>
      </c>
      <c r="F528" s="2">
        <v>0</v>
      </c>
      <c r="G528">
        <v>0</v>
      </c>
      <c r="H528">
        <v>2</v>
      </c>
      <c r="I528">
        <v>0.2283982903005296</v>
      </c>
      <c r="J528">
        <v>2</v>
      </c>
      <c r="K528">
        <v>2</v>
      </c>
      <c r="L528" s="2">
        <v>0</v>
      </c>
      <c r="M528">
        <v>7.37</v>
      </c>
      <c r="N528" t="s">
        <v>10235</v>
      </c>
    </row>
    <row r="529" spans="1:14">
      <c r="A529" t="s">
        <v>40</v>
      </c>
      <c r="B529" t="s">
        <v>713</v>
      </c>
      <c r="C529">
        <f>"V100849"</f>
        <v>0</v>
      </c>
      <c r="D529">
        <v>6</v>
      </c>
      <c r="E529">
        <v>0</v>
      </c>
      <c r="F529" s="2">
        <v>0</v>
      </c>
      <c r="G529">
        <v>0</v>
      </c>
      <c r="H529">
        <v>3</v>
      </c>
      <c r="I529">
        <v>0.2283982903005296</v>
      </c>
      <c r="J529">
        <v>2</v>
      </c>
      <c r="K529">
        <v>2</v>
      </c>
      <c r="L529" s="2">
        <v>0</v>
      </c>
      <c r="M529">
        <v>7.38</v>
      </c>
      <c r="N529" t="s">
        <v>10235</v>
      </c>
    </row>
    <row r="530" spans="1:14">
      <c r="A530" t="s">
        <v>207</v>
      </c>
      <c r="B530" t="s">
        <v>714</v>
      </c>
      <c r="C530">
        <f>"JT002M"</f>
        <v>0</v>
      </c>
      <c r="D530">
        <v>6</v>
      </c>
      <c r="E530">
        <v>0</v>
      </c>
      <c r="F530" s="2">
        <v>0</v>
      </c>
      <c r="G530">
        <v>0</v>
      </c>
      <c r="H530">
        <v>2</v>
      </c>
      <c r="I530">
        <v>0.2283982903005296</v>
      </c>
      <c r="J530">
        <v>2</v>
      </c>
      <c r="K530">
        <v>2</v>
      </c>
      <c r="L530" s="2">
        <v>0</v>
      </c>
      <c r="M530">
        <v>7.39</v>
      </c>
      <c r="N530" t="s">
        <v>10235</v>
      </c>
    </row>
    <row r="531" spans="1:14">
      <c r="A531" t="s">
        <v>204</v>
      </c>
      <c r="B531" t="s">
        <v>715</v>
      </c>
      <c r="C531">
        <f>"12449837"</f>
        <v>0</v>
      </c>
      <c r="D531">
        <v>6</v>
      </c>
      <c r="E531">
        <v>0</v>
      </c>
      <c r="F531" s="2">
        <v>0</v>
      </c>
      <c r="G531">
        <v>0</v>
      </c>
      <c r="H531">
        <v>1</v>
      </c>
      <c r="I531">
        <v>0.2283982903005296</v>
      </c>
      <c r="J531">
        <v>2</v>
      </c>
      <c r="K531">
        <v>2</v>
      </c>
      <c r="L531" s="2">
        <v>0</v>
      </c>
      <c r="M531">
        <v>7.4</v>
      </c>
      <c r="N531" t="s">
        <v>10236</v>
      </c>
    </row>
    <row r="532" spans="1:14">
      <c r="A532" t="s">
        <v>203</v>
      </c>
      <c r="B532" t="s">
        <v>716</v>
      </c>
      <c r="C532">
        <f>"756126"</f>
        <v>0</v>
      </c>
      <c r="D532">
        <v>6</v>
      </c>
      <c r="E532">
        <v>0</v>
      </c>
      <c r="F532" s="2">
        <v>0</v>
      </c>
      <c r="G532">
        <v>0</v>
      </c>
      <c r="H532">
        <v>1</v>
      </c>
      <c r="I532">
        <v>0.2283982903005296</v>
      </c>
      <c r="J532">
        <v>2</v>
      </c>
      <c r="K532">
        <v>2</v>
      </c>
      <c r="L532" s="2">
        <v>0</v>
      </c>
      <c r="M532">
        <v>7.41</v>
      </c>
      <c r="N532" t="s">
        <v>10236</v>
      </c>
    </row>
    <row r="533" spans="1:14">
      <c r="A533" t="s">
        <v>35</v>
      </c>
      <c r="B533" t="s">
        <v>717</v>
      </c>
      <c r="C533">
        <f>"PW2415"</f>
        <v>0</v>
      </c>
      <c r="D533">
        <v>6</v>
      </c>
      <c r="E533">
        <v>0</v>
      </c>
      <c r="F533" s="2">
        <v>0</v>
      </c>
      <c r="G533">
        <v>0</v>
      </c>
      <c r="H533">
        <v>2</v>
      </c>
      <c r="I533">
        <v>0.2283982903005296</v>
      </c>
      <c r="J533">
        <v>2</v>
      </c>
      <c r="K533">
        <v>2</v>
      </c>
      <c r="L533" s="2">
        <v>0</v>
      </c>
      <c r="M533">
        <v>7.43</v>
      </c>
      <c r="N533" t="s">
        <v>10235</v>
      </c>
    </row>
    <row r="534" spans="1:14">
      <c r="A534" t="s">
        <v>203</v>
      </c>
      <c r="B534" t="s">
        <v>718</v>
      </c>
      <c r="C534">
        <f>"756146"</f>
        <v>0</v>
      </c>
      <c r="D534">
        <v>6</v>
      </c>
      <c r="E534">
        <v>0</v>
      </c>
      <c r="F534" s="2">
        <v>0</v>
      </c>
      <c r="G534">
        <v>0</v>
      </c>
      <c r="H534">
        <v>2</v>
      </c>
      <c r="I534">
        <v>0.2283982903005296</v>
      </c>
      <c r="J534">
        <v>2</v>
      </c>
      <c r="K534">
        <v>2</v>
      </c>
      <c r="L534" s="2">
        <v>0</v>
      </c>
      <c r="M534">
        <v>7.44</v>
      </c>
      <c r="N534" t="s">
        <v>10235</v>
      </c>
    </row>
    <row r="535" spans="1:14">
      <c r="A535" t="s">
        <v>27</v>
      </c>
      <c r="B535" t="s">
        <v>719</v>
      </c>
      <c r="C535">
        <f>"USD723"</f>
        <v>0</v>
      </c>
      <c r="D535">
        <v>6</v>
      </c>
      <c r="E535">
        <v>0</v>
      </c>
      <c r="F535" s="2">
        <v>0</v>
      </c>
      <c r="G535">
        <v>0</v>
      </c>
      <c r="H535">
        <v>2</v>
      </c>
      <c r="I535">
        <v>0.2283982903005296</v>
      </c>
      <c r="J535">
        <v>2</v>
      </c>
      <c r="K535">
        <v>2</v>
      </c>
      <c r="L535" s="2">
        <v>0</v>
      </c>
      <c r="M535">
        <v>7.45</v>
      </c>
      <c r="N535" t="s">
        <v>10235</v>
      </c>
    </row>
    <row r="536" spans="1:14">
      <c r="A536" t="s">
        <v>24</v>
      </c>
      <c r="B536" t="s">
        <v>720</v>
      </c>
      <c r="C536">
        <f>"DPI235"</f>
        <v>0</v>
      </c>
      <c r="D536">
        <v>6</v>
      </c>
      <c r="E536">
        <v>0</v>
      </c>
      <c r="F536" s="2">
        <v>0</v>
      </c>
      <c r="G536">
        <v>0</v>
      </c>
      <c r="H536">
        <v>1</v>
      </c>
      <c r="I536">
        <v>0.2283982903005296</v>
      </c>
      <c r="J536">
        <v>2</v>
      </c>
      <c r="K536">
        <v>2</v>
      </c>
      <c r="L536" s="2">
        <v>0</v>
      </c>
      <c r="M536">
        <v>7.46</v>
      </c>
      <c r="N536" t="s">
        <v>10236</v>
      </c>
    </row>
    <row r="537" spans="1:14">
      <c r="A537" t="s">
        <v>35</v>
      </c>
      <c r="B537" t="s">
        <v>721</v>
      </c>
      <c r="C537">
        <f>"MSPB05C"</f>
        <v>0</v>
      </c>
      <c r="D537">
        <v>6</v>
      </c>
      <c r="E537">
        <v>0</v>
      </c>
      <c r="F537" s="2">
        <v>0</v>
      </c>
      <c r="G537">
        <v>0</v>
      </c>
      <c r="H537">
        <v>2</v>
      </c>
      <c r="I537">
        <v>0.2283982903005296</v>
      </c>
      <c r="J537">
        <v>2</v>
      </c>
      <c r="K537">
        <v>2</v>
      </c>
      <c r="L537" s="2">
        <v>0</v>
      </c>
      <c r="M537">
        <v>7.47</v>
      </c>
      <c r="N537" t="s">
        <v>10235</v>
      </c>
    </row>
    <row r="538" spans="1:14">
      <c r="A538" t="s">
        <v>196</v>
      </c>
      <c r="B538" t="s">
        <v>722</v>
      </c>
      <c r="C538">
        <f>"2036"</f>
        <v>0</v>
      </c>
      <c r="D538">
        <v>1</v>
      </c>
      <c r="E538">
        <v>0</v>
      </c>
      <c r="F538" s="2">
        <v>0</v>
      </c>
      <c r="G538">
        <v>0</v>
      </c>
      <c r="H538">
        <v>1</v>
      </c>
      <c r="I538">
        <v>0.2283765574694686</v>
      </c>
      <c r="J538">
        <v>0</v>
      </c>
      <c r="K538">
        <v>0</v>
      </c>
      <c r="L538" s="2">
        <v>0</v>
      </c>
      <c r="M538">
        <v>7.49</v>
      </c>
      <c r="N538" t="s">
        <v>10236</v>
      </c>
    </row>
    <row r="539" spans="1:14">
      <c r="A539" t="s">
        <v>36</v>
      </c>
      <c r="B539" t="s">
        <v>723</v>
      </c>
      <c r="C539">
        <f>"90200647"</f>
        <v>0</v>
      </c>
      <c r="D539">
        <v>7</v>
      </c>
      <c r="E539">
        <v>0</v>
      </c>
      <c r="F539" s="2">
        <v>0</v>
      </c>
      <c r="G539">
        <v>0</v>
      </c>
      <c r="H539">
        <v>3</v>
      </c>
      <c r="I539">
        <v>0.2283673173941252</v>
      </c>
      <c r="J539">
        <v>2</v>
      </c>
      <c r="K539">
        <v>2</v>
      </c>
      <c r="L539" s="2">
        <v>0</v>
      </c>
      <c r="M539">
        <v>7.5</v>
      </c>
      <c r="N539" t="s">
        <v>10235</v>
      </c>
    </row>
    <row r="540" spans="1:14">
      <c r="A540" t="s">
        <v>192</v>
      </c>
      <c r="B540" t="s">
        <v>724</v>
      </c>
      <c r="C540">
        <f>"603"</f>
        <v>0</v>
      </c>
      <c r="D540">
        <v>6</v>
      </c>
      <c r="E540">
        <v>0</v>
      </c>
      <c r="F540" s="2">
        <v>0</v>
      </c>
      <c r="G540">
        <v>0</v>
      </c>
      <c r="H540">
        <v>4</v>
      </c>
      <c r="I540">
        <v>0.228197200036838</v>
      </c>
      <c r="J540">
        <v>2</v>
      </c>
      <c r="K540">
        <v>2</v>
      </c>
      <c r="L540" s="2">
        <v>0</v>
      </c>
      <c r="M540">
        <v>7.51</v>
      </c>
      <c r="N540" t="s">
        <v>10235</v>
      </c>
    </row>
    <row r="541" spans="1:14">
      <c r="A541" t="s">
        <v>29</v>
      </c>
      <c r="B541" t="s">
        <v>725</v>
      </c>
      <c r="C541">
        <f>"RS1508"</f>
        <v>0</v>
      </c>
      <c r="D541">
        <v>5</v>
      </c>
      <c r="E541">
        <v>0</v>
      </c>
      <c r="F541" s="2">
        <v>0</v>
      </c>
      <c r="G541">
        <v>0</v>
      </c>
      <c r="H541">
        <v>3</v>
      </c>
      <c r="I541">
        <v>0.228194450833709</v>
      </c>
      <c r="J541">
        <v>1</v>
      </c>
      <c r="K541">
        <v>1</v>
      </c>
      <c r="L541" s="2">
        <v>0</v>
      </c>
      <c r="M541">
        <v>7.52</v>
      </c>
      <c r="N541" t="s">
        <v>10235</v>
      </c>
    </row>
    <row r="542" spans="1:14">
      <c r="A542" t="s">
        <v>24</v>
      </c>
      <c r="B542" t="s">
        <v>726</v>
      </c>
      <c r="C542">
        <f>"1110991"</f>
        <v>0</v>
      </c>
      <c r="D542">
        <v>13</v>
      </c>
      <c r="E542">
        <v>0</v>
      </c>
      <c r="F542" s="2">
        <v>0</v>
      </c>
      <c r="G542">
        <v>0</v>
      </c>
      <c r="H542">
        <v>3</v>
      </c>
      <c r="I542">
        <v>0.2280737466899787</v>
      </c>
      <c r="J542">
        <v>3</v>
      </c>
      <c r="K542">
        <v>3</v>
      </c>
      <c r="L542" s="2">
        <v>0</v>
      </c>
      <c r="M542">
        <v>7.53</v>
      </c>
      <c r="N542" t="s">
        <v>10235</v>
      </c>
    </row>
    <row r="543" spans="1:14">
      <c r="A543" t="s">
        <v>35</v>
      </c>
      <c r="B543" t="s">
        <v>727</v>
      </c>
      <c r="C543">
        <f>"LO80801"</f>
        <v>0</v>
      </c>
      <c r="D543">
        <v>5</v>
      </c>
      <c r="E543">
        <v>0</v>
      </c>
      <c r="F543" s="2">
        <v>0</v>
      </c>
      <c r="G543">
        <v>0</v>
      </c>
      <c r="H543">
        <v>2</v>
      </c>
      <c r="I543">
        <v>0.2280045421115995</v>
      </c>
      <c r="J543">
        <v>1</v>
      </c>
      <c r="K543">
        <v>1</v>
      </c>
      <c r="L543" s="2">
        <v>0</v>
      </c>
      <c r="M543">
        <v>7.55</v>
      </c>
      <c r="N543" t="s">
        <v>10235</v>
      </c>
    </row>
    <row r="544" spans="1:14">
      <c r="A544" t="s">
        <v>35</v>
      </c>
      <c r="B544" t="s">
        <v>728</v>
      </c>
      <c r="C544">
        <f>"BRI3"</f>
        <v>0</v>
      </c>
      <c r="D544">
        <v>5</v>
      </c>
      <c r="E544">
        <v>0</v>
      </c>
      <c r="F544" s="2">
        <v>0</v>
      </c>
      <c r="G544">
        <v>0</v>
      </c>
      <c r="H544">
        <v>3</v>
      </c>
      <c r="I544">
        <v>0.2279046181765083</v>
      </c>
      <c r="J544">
        <v>1</v>
      </c>
      <c r="K544">
        <v>1</v>
      </c>
      <c r="L544" s="2">
        <v>0</v>
      </c>
      <c r="M544">
        <v>7.56</v>
      </c>
      <c r="N544" t="s">
        <v>10235</v>
      </c>
    </row>
    <row r="545" spans="1:14">
      <c r="A545" t="s">
        <v>27</v>
      </c>
      <c r="B545" t="s">
        <v>729</v>
      </c>
      <c r="C545">
        <f>"PR3002004"</f>
        <v>0</v>
      </c>
      <c r="D545">
        <v>2</v>
      </c>
      <c r="E545">
        <v>0</v>
      </c>
      <c r="F545" s="2">
        <v>0</v>
      </c>
      <c r="G545">
        <v>0</v>
      </c>
      <c r="H545">
        <v>1</v>
      </c>
      <c r="I545">
        <v>0.2277815379099205</v>
      </c>
      <c r="J545">
        <v>0</v>
      </c>
      <c r="K545">
        <v>0</v>
      </c>
      <c r="L545" s="2">
        <v>0</v>
      </c>
      <c r="M545">
        <v>7.57</v>
      </c>
      <c r="N545" t="s">
        <v>10236</v>
      </c>
    </row>
    <row r="546" spans="1:14">
      <c r="A546" t="s">
        <v>30</v>
      </c>
      <c r="B546" t="s">
        <v>730</v>
      </c>
      <c r="C546">
        <f>"100586"</f>
        <v>0</v>
      </c>
      <c r="D546">
        <v>7</v>
      </c>
      <c r="E546">
        <v>0</v>
      </c>
      <c r="F546" s="2">
        <v>0</v>
      </c>
      <c r="G546">
        <v>0</v>
      </c>
      <c r="H546">
        <v>1</v>
      </c>
      <c r="I546">
        <v>0.2277784228707989</v>
      </c>
      <c r="J546">
        <v>2</v>
      </c>
      <c r="K546">
        <v>2</v>
      </c>
      <c r="L546" s="2">
        <v>0</v>
      </c>
      <c r="M546">
        <v>7.58</v>
      </c>
      <c r="N546" t="s">
        <v>10236</v>
      </c>
    </row>
    <row r="547" spans="1:14">
      <c r="A547" t="s">
        <v>35</v>
      </c>
      <c r="B547" t="s">
        <v>731</v>
      </c>
      <c r="C547">
        <f>"11483"</f>
        <v>0</v>
      </c>
      <c r="D547">
        <v>5</v>
      </c>
      <c r="E547">
        <v>0</v>
      </c>
      <c r="F547" s="2">
        <v>0</v>
      </c>
      <c r="G547">
        <v>0</v>
      </c>
      <c r="H547">
        <v>1</v>
      </c>
      <c r="I547">
        <v>0.2276840045862447</v>
      </c>
      <c r="J547">
        <v>1</v>
      </c>
      <c r="K547">
        <v>1</v>
      </c>
      <c r="L547" s="2">
        <v>0</v>
      </c>
      <c r="M547">
        <v>7.59</v>
      </c>
      <c r="N547" t="s">
        <v>10236</v>
      </c>
    </row>
    <row r="548" spans="1:14">
      <c r="A548" t="s">
        <v>32</v>
      </c>
      <c r="B548" t="s">
        <v>732</v>
      </c>
      <c r="C548">
        <f>"13201005"</f>
        <v>0</v>
      </c>
      <c r="D548">
        <v>5</v>
      </c>
      <c r="E548">
        <v>0</v>
      </c>
      <c r="F548" s="2">
        <v>0</v>
      </c>
      <c r="G548">
        <v>0</v>
      </c>
      <c r="H548">
        <v>1</v>
      </c>
      <c r="I548">
        <v>0.2276840045862447</v>
      </c>
      <c r="J548">
        <v>1</v>
      </c>
      <c r="K548">
        <v>1</v>
      </c>
      <c r="L548" s="2">
        <v>0</v>
      </c>
      <c r="M548">
        <v>7.61</v>
      </c>
      <c r="N548" t="s">
        <v>10236</v>
      </c>
    </row>
    <row r="549" spans="1:14">
      <c r="A549" t="s">
        <v>193</v>
      </c>
      <c r="B549" t="s">
        <v>733</v>
      </c>
      <c r="C549">
        <f>"564271"</f>
        <v>0</v>
      </c>
      <c r="D549">
        <v>5</v>
      </c>
      <c r="E549">
        <v>0</v>
      </c>
      <c r="F549" s="2">
        <v>0</v>
      </c>
      <c r="G549">
        <v>0</v>
      </c>
      <c r="H549">
        <v>1</v>
      </c>
      <c r="I549">
        <v>0.2276840045862447</v>
      </c>
      <c r="J549">
        <v>1</v>
      </c>
      <c r="K549">
        <v>1</v>
      </c>
      <c r="L549" s="2">
        <v>0</v>
      </c>
      <c r="M549">
        <v>7.62</v>
      </c>
      <c r="N549" t="s">
        <v>10236</v>
      </c>
    </row>
    <row r="550" spans="1:14">
      <c r="A550" t="s">
        <v>35</v>
      </c>
      <c r="B550" t="s">
        <v>734</v>
      </c>
      <c r="C550">
        <f>"NO100"</f>
        <v>0</v>
      </c>
      <c r="D550">
        <v>5</v>
      </c>
      <c r="E550">
        <v>0</v>
      </c>
      <c r="F550" s="2">
        <v>0</v>
      </c>
      <c r="G550">
        <v>0</v>
      </c>
      <c r="H550">
        <v>2</v>
      </c>
      <c r="I550">
        <v>0.2276840045862447</v>
      </c>
      <c r="J550">
        <v>1</v>
      </c>
      <c r="K550">
        <v>1</v>
      </c>
      <c r="L550" s="2">
        <v>0</v>
      </c>
      <c r="M550">
        <v>7.63</v>
      </c>
      <c r="N550" t="s">
        <v>10235</v>
      </c>
    </row>
    <row r="551" spans="1:14">
      <c r="A551" t="s">
        <v>210</v>
      </c>
      <c r="B551" t="s">
        <v>735</v>
      </c>
      <c r="C551">
        <f>"1011500MAS3K"</f>
        <v>0</v>
      </c>
      <c r="D551">
        <v>5</v>
      </c>
      <c r="E551">
        <v>0</v>
      </c>
      <c r="F551" s="2">
        <v>0</v>
      </c>
      <c r="G551">
        <v>0</v>
      </c>
      <c r="H551">
        <v>2</v>
      </c>
      <c r="I551">
        <v>0.2276840045862447</v>
      </c>
      <c r="J551">
        <v>1</v>
      </c>
      <c r="K551">
        <v>1</v>
      </c>
      <c r="L551" s="2">
        <v>0</v>
      </c>
      <c r="M551">
        <v>7.64</v>
      </c>
      <c r="N551" t="s">
        <v>10235</v>
      </c>
    </row>
    <row r="552" spans="1:14">
      <c r="A552" t="s">
        <v>36</v>
      </c>
      <c r="B552" t="s">
        <v>736</v>
      </c>
      <c r="C552">
        <f>"500600301"</f>
        <v>0</v>
      </c>
      <c r="D552">
        <v>5</v>
      </c>
      <c r="E552">
        <v>0</v>
      </c>
      <c r="F552" s="2">
        <v>0</v>
      </c>
      <c r="G552">
        <v>0</v>
      </c>
      <c r="H552">
        <v>1</v>
      </c>
      <c r="I552">
        <v>0.2276840045862447</v>
      </c>
      <c r="J552">
        <v>1</v>
      </c>
      <c r="K552">
        <v>1</v>
      </c>
      <c r="L552" s="2">
        <v>0</v>
      </c>
      <c r="M552">
        <v>7.65</v>
      </c>
      <c r="N552" t="s">
        <v>10236</v>
      </c>
    </row>
    <row r="553" spans="1:14">
      <c r="A553" t="s">
        <v>35</v>
      </c>
      <c r="B553" t="s">
        <v>737</v>
      </c>
      <c r="C553">
        <f>"PT002C"</f>
        <v>0</v>
      </c>
      <c r="D553">
        <v>5</v>
      </c>
      <c r="E553">
        <v>0</v>
      </c>
      <c r="F553" s="2">
        <v>0</v>
      </c>
      <c r="G553">
        <v>0</v>
      </c>
      <c r="H553">
        <v>1</v>
      </c>
      <c r="I553">
        <v>0.2276840045862447</v>
      </c>
      <c r="J553">
        <v>1</v>
      </c>
      <c r="K553">
        <v>1</v>
      </c>
      <c r="L553" s="2">
        <v>0</v>
      </c>
      <c r="M553">
        <v>7.67</v>
      </c>
      <c r="N553" t="s">
        <v>10236</v>
      </c>
    </row>
    <row r="554" spans="1:14">
      <c r="A554" t="s">
        <v>30</v>
      </c>
      <c r="B554" t="s">
        <v>738</v>
      </c>
      <c r="C554">
        <f>"100224"</f>
        <v>0</v>
      </c>
      <c r="D554">
        <v>5</v>
      </c>
      <c r="E554">
        <v>0</v>
      </c>
      <c r="F554" s="2">
        <v>0</v>
      </c>
      <c r="G554">
        <v>0</v>
      </c>
      <c r="H554">
        <v>2</v>
      </c>
      <c r="I554">
        <v>0.2276840045862447</v>
      </c>
      <c r="J554">
        <v>1</v>
      </c>
      <c r="K554">
        <v>1</v>
      </c>
      <c r="L554" s="2">
        <v>0</v>
      </c>
      <c r="M554">
        <v>7.68</v>
      </c>
      <c r="N554" t="s">
        <v>10235</v>
      </c>
    </row>
    <row r="555" spans="1:14">
      <c r="A555" t="s">
        <v>35</v>
      </c>
      <c r="B555" t="s">
        <v>739</v>
      </c>
      <c r="C555">
        <f>"LM016"</f>
        <v>0</v>
      </c>
      <c r="D555">
        <v>5</v>
      </c>
      <c r="E555">
        <v>0</v>
      </c>
      <c r="F555" s="2">
        <v>0</v>
      </c>
      <c r="G555">
        <v>0</v>
      </c>
      <c r="H555">
        <v>2</v>
      </c>
      <c r="I555">
        <v>0.2276840045862447</v>
      </c>
      <c r="J555">
        <v>1</v>
      </c>
      <c r="K555">
        <v>1</v>
      </c>
      <c r="L555" s="2">
        <v>0</v>
      </c>
      <c r="M555">
        <v>7.69</v>
      </c>
      <c r="N555" t="s">
        <v>10235</v>
      </c>
    </row>
    <row r="556" spans="1:14">
      <c r="A556" t="s">
        <v>196</v>
      </c>
      <c r="B556" t="s">
        <v>740</v>
      </c>
      <c r="C556">
        <f>"2333"</f>
        <v>0</v>
      </c>
      <c r="D556">
        <v>5</v>
      </c>
      <c r="E556">
        <v>0</v>
      </c>
      <c r="F556" s="2">
        <v>0</v>
      </c>
      <c r="G556">
        <v>0</v>
      </c>
      <c r="H556">
        <v>1</v>
      </c>
      <c r="I556">
        <v>0.2276840045862447</v>
      </c>
      <c r="J556">
        <v>1</v>
      </c>
      <c r="K556">
        <v>1</v>
      </c>
      <c r="L556" s="2">
        <v>0</v>
      </c>
      <c r="M556">
        <v>7.7</v>
      </c>
      <c r="N556" t="s">
        <v>10236</v>
      </c>
    </row>
    <row r="557" spans="1:14">
      <c r="A557" t="s">
        <v>35</v>
      </c>
      <c r="B557" t="s">
        <v>741</v>
      </c>
      <c r="C557">
        <f>"TF1053"</f>
        <v>0</v>
      </c>
      <c r="D557">
        <v>5</v>
      </c>
      <c r="E557">
        <v>0</v>
      </c>
      <c r="F557" s="2">
        <v>0</v>
      </c>
      <c r="G557">
        <v>0</v>
      </c>
      <c r="H557">
        <v>2</v>
      </c>
      <c r="I557">
        <v>0.2276840045862447</v>
      </c>
      <c r="J557">
        <v>1</v>
      </c>
      <c r="K557">
        <v>1</v>
      </c>
      <c r="L557" s="2">
        <v>0</v>
      </c>
      <c r="M557">
        <v>7.72</v>
      </c>
      <c r="N557" t="s">
        <v>10235</v>
      </c>
    </row>
    <row r="558" spans="1:14">
      <c r="A558" t="s">
        <v>193</v>
      </c>
      <c r="B558" t="s">
        <v>742</v>
      </c>
      <c r="C558">
        <f>"564257"</f>
        <v>0</v>
      </c>
      <c r="D558">
        <v>5</v>
      </c>
      <c r="E558">
        <v>0</v>
      </c>
      <c r="F558" s="2">
        <v>0</v>
      </c>
      <c r="G558">
        <v>0</v>
      </c>
      <c r="H558">
        <v>3</v>
      </c>
      <c r="I558">
        <v>0.2276840045862447</v>
      </c>
      <c r="J558">
        <v>1</v>
      </c>
      <c r="K558">
        <v>1</v>
      </c>
      <c r="L558" s="2">
        <v>0</v>
      </c>
      <c r="M558">
        <v>7.73</v>
      </c>
      <c r="N558" t="s">
        <v>10235</v>
      </c>
    </row>
    <row r="559" spans="1:14">
      <c r="A559" t="s">
        <v>35</v>
      </c>
      <c r="B559" t="s">
        <v>743</v>
      </c>
      <c r="C559">
        <f>"PX7206"</f>
        <v>0</v>
      </c>
      <c r="D559">
        <v>5</v>
      </c>
      <c r="E559">
        <v>0</v>
      </c>
      <c r="F559" s="2">
        <v>0</v>
      </c>
      <c r="G559">
        <v>0</v>
      </c>
      <c r="H559">
        <v>3</v>
      </c>
      <c r="I559">
        <v>0.2276840045862447</v>
      </c>
      <c r="J559">
        <v>1</v>
      </c>
      <c r="K559">
        <v>1</v>
      </c>
      <c r="L559" s="2">
        <v>0</v>
      </c>
      <c r="M559">
        <v>7.74</v>
      </c>
      <c r="N559" t="s">
        <v>10235</v>
      </c>
    </row>
    <row r="560" spans="1:14">
      <c r="A560" t="s">
        <v>35</v>
      </c>
      <c r="B560" t="s">
        <v>744</v>
      </c>
      <c r="C560">
        <f>"TF1022"</f>
        <v>0</v>
      </c>
      <c r="D560">
        <v>5</v>
      </c>
      <c r="E560">
        <v>0</v>
      </c>
      <c r="F560" s="2">
        <v>0</v>
      </c>
      <c r="G560">
        <v>0</v>
      </c>
      <c r="H560">
        <v>2</v>
      </c>
      <c r="I560">
        <v>0.2276840045862447</v>
      </c>
      <c r="J560">
        <v>1</v>
      </c>
      <c r="K560">
        <v>1</v>
      </c>
      <c r="L560" s="2">
        <v>0</v>
      </c>
      <c r="M560">
        <v>7.75</v>
      </c>
      <c r="N560" t="s">
        <v>10235</v>
      </c>
    </row>
    <row r="561" spans="1:14">
      <c r="A561" t="s">
        <v>37</v>
      </c>
      <c r="B561" t="s">
        <v>745</v>
      </c>
      <c r="C561">
        <f>"560480"</f>
        <v>0</v>
      </c>
      <c r="D561">
        <v>5</v>
      </c>
      <c r="E561">
        <v>0</v>
      </c>
      <c r="F561" s="2">
        <v>0</v>
      </c>
      <c r="G561">
        <v>0</v>
      </c>
      <c r="H561">
        <v>1</v>
      </c>
      <c r="I561">
        <v>0.2276840045862447</v>
      </c>
      <c r="J561">
        <v>1</v>
      </c>
      <c r="K561">
        <v>1</v>
      </c>
      <c r="L561" s="2">
        <v>0</v>
      </c>
      <c r="M561">
        <v>7.76</v>
      </c>
      <c r="N561" t="s">
        <v>10236</v>
      </c>
    </row>
    <row r="562" spans="1:14">
      <c r="A562" t="s">
        <v>211</v>
      </c>
      <c r="B562" t="s">
        <v>746</v>
      </c>
      <c r="C562">
        <f>"PCSSPP3001"</f>
        <v>0</v>
      </c>
      <c r="D562">
        <v>5</v>
      </c>
      <c r="E562">
        <v>0</v>
      </c>
      <c r="F562" s="2">
        <v>0</v>
      </c>
      <c r="G562">
        <v>0</v>
      </c>
      <c r="H562">
        <v>3</v>
      </c>
      <c r="I562">
        <v>0.2276840045862447</v>
      </c>
      <c r="J562">
        <v>1</v>
      </c>
      <c r="K562">
        <v>1</v>
      </c>
      <c r="L562" s="2">
        <v>0</v>
      </c>
      <c r="M562">
        <v>7.78</v>
      </c>
      <c r="N562" t="s">
        <v>10235</v>
      </c>
    </row>
    <row r="563" spans="1:14">
      <c r="A563" t="s">
        <v>35</v>
      </c>
      <c r="B563" t="s">
        <v>747</v>
      </c>
      <c r="C563">
        <f>"TF1061"</f>
        <v>0</v>
      </c>
      <c r="D563">
        <v>5</v>
      </c>
      <c r="E563">
        <v>0</v>
      </c>
      <c r="F563" s="2">
        <v>0</v>
      </c>
      <c r="G563">
        <v>0</v>
      </c>
      <c r="H563">
        <v>2</v>
      </c>
      <c r="I563">
        <v>0.2276840045862447</v>
      </c>
      <c r="J563">
        <v>1</v>
      </c>
      <c r="K563">
        <v>1</v>
      </c>
      <c r="L563" s="2">
        <v>0</v>
      </c>
      <c r="M563">
        <v>7.79</v>
      </c>
      <c r="N563" t="s">
        <v>10235</v>
      </c>
    </row>
    <row r="564" spans="1:14">
      <c r="A564" t="s">
        <v>40</v>
      </c>
      <c r="B564" t="s">
        <v>748</v>
      </c>
      <c r="C564">
        <f>"V100839"</f>
        <v>0</v>
      </c>
      <c r="D564">
        <v>5</v>
      </c>
      <c r="E564">
        <v>0</v>
      </c>
      <c r="F564" s="2">
        <v>0</v>
      </c>
      <c r="G564">
        <v>0</v>
      </c>
      <c r="H564">
        <v>2</v>
      </c>
      <c r="I564">
        <v>0.2276840045862447</v>
      </c>
      <c r="J564">
        <v>1</v>
      </c>
      <c r="K564">
        <v>1</v>
      </c>
      <c r="L564" s="2">
        <v>0</v>
      </c>
      <c r="M564">
        <v>7.8</v>
      </c>
      <c r="N564" t="s">
        <v>10235</v>
      </c>
    </row>
    <row r="565" spans="1:14">
      <c r="A565" t="s">
        <v>40</v>
      </c>
      <c r="B565" t="s">
        <v>749</v>
      </c>
      <c r="C565">
        <f>"V101246"</f>
        <v>0</v>
      </c>
      <c r="D565">
        <v>5</v>
      </c>
      <c r="E565">
        <v>0</v>
      </c>
      <c r="F565" s="2">
        <v>0</v>
      </c>
      <c r="G565">
        <v>0</v>
      </c>
      <c r="H565">
        <v>2</v>
      </c>
      <c r="I565">
        <v>0.2276840045862447</v>
      </c>
      <c r="J565">
        <v>1</v>
      </c>
      <c r="K565">
        <v>1</v>
      </c>
      <c r="L565" s="2">
        <v>0</v>
      </c>
      <c r="M565">
        <v>7.81</v>
      </c>
      <c r="N565" t="s">
        <v>10235</v>
      </c>
    </row>
    <row r="566" spans="1:14">
      <c r="A566" t="s">
        <v>40</v>
      </c>
      <c r="B566" t="s">
        <v>750</v>
      </c>
      <c r="C566">
        <f>"v101247"</f>
        <v>0</v>
      </c>
      <c r="D566">
        <v>5</v>
      </c>
      <c r="E566">
        <v>0</v>
      </c>
      <c r="F566" s="2">
        <v>0</v>
      </c>
      <c r="G566">
        <v>0</v>
      </c>
      <c r="H566">
        <v>1</v>
      </c>
      <c r="I566">
        <v>0.2276840045862447</v>
      </c>
      <c r="J566">
        <v>1</v>
      </c>
      <c r="K566">
        <v>1</v>
      </c>
      <c r="L566" s="2">
        <v>0</v>
      </c>
      <c r="M566">
        <v>7.82</v>
      </c>
      <c r="N566" t="s">
        <v>10236</v>
      </c>
    </row>
    <row r="567" spans="1:14">
      <c r="A567" t="s">
        <v>193</v>
      </c>
      <c r="B567" t="s">
        <v>751</v>
      </c>
      <c r="C567">
        <f>"902231"</f>
        <v>0</v>
      </c>
      <c r="D567">
        <v>5</v>
      </c>
      <c r="E567">
        <v>0</v>
      </c>
      <c r="F567" s="2">
        <v>0</v>
      </c>
      <c r="G567">
        <v>0</v>
      </c>
      <c r="H567">
        <v>1</v>
      </c>
      <c r="I567">
        <v>0.2276840045862447</v>
      </c>
      <c r="J567">
        <v>1</v>
      </c>
      <c r="K567">
        <v>1</v>
      </c>
      <c r="L567" s="2">
        <v>0</v>
      </c>
      <c r="M567">
        <v>7.84</v>
      </c>
      <c r="N567" t="s">
        <v>10236</v>
      </c>
    </row>
    <row r="568" spans="1:14">
      <c r="A568" t="s">
        <v>37</v>
      </c>
      <c r="B568" t="s">
        <v>752</v>
      </c>
      <c r="C568">
        <f>"560490"</f>
        <v>0</v>
      </c>
      <c r="D568">
        <v>5</v>
      </c>
      <c r="E568">
        <v>0</v>
      </c>
      <c r="F568" s="2">
        <v>0</v>
      </c>
      <c r="G568">
        <v>0</v>
      </c>
      <c r="H568">
        <v>2</v>
      </c>
      <c r="I568">
        <v>0.2276840045862447</v>
      </c>
      <c r="J568">
        <v>1</v>
      </c>
      <c r="K568">
        <v>1</v>
      </c>
      <c r="L568" s="2">
        <v>0</v>
      </c>
      <c r="M568">
        <v>7.85</v>
      </c>
      <c r="N568" t="s">
        <v>10235</v>
      </c>
    </row>
    <row r="569" spans="1:14">
      <c r="A569" t="s">
        <v>35</v>
      </c>
      <c r="B569" t="s">
        <v>753</v>
      </c>
      <c r="C569">
        <f>"CP004D"</f>
        <v>0</v>
      </c>
      <c r="D569">
        <v>5</v>
      </c>
      <c r="E569">
        <v>0</v>
      </c>
      <c r="F569" s="2">
        <v>0</v>
      </c>
      <c r="G569">
        <v>0</v>
      </c>
      <c r="H569">
        <v>2</v>
      </c>
      <c r="I569">
        <v>0.2276840045862447</v>
      </c>
      <c r="J569">
        <v>1</v>
      </c>
      <c r="K569">
        <v>1</v>
      </c>
      <c r="L569" s="2">
        <v>0</v>
      </c>
      <c r="M569">
        <v>7.86</v>
      </c>
      <c r="N569" t="s">
        <v>10235</v>
      </c>
    </row>
    <row r="570" spans="1:14">
      <c r="A570" t="s">
        <v>35</v>
      </c>
      <c r="B570" t="s">
        <v>754</v>
      </c>
      <c r="C570">
        <f>"LH3"</f>
        <v>0</v>
      </c>
      <c r="D570">
        <v>5</v>
      </c>
      <c r="E570">
        <v>0</v>
      </c>
      <c r="F570" s="2">
        <v>0</v>
      </c>
      <c r="G570">
        <v>0</v>
      </c>
      <c r="H570">
        <v>2</v>
      </c>
      <c r="I570">
        <v>0.2276840045862447</v>
      </c>
      <c r="J570">
        <v>1</v>
      </c>
      <c r="K570">
        <v>1</v>
      </c>
      <c r="L570" s="2">
        <v>0</v>
      </c>
      <c r="M570">
        <v>7.87</v>
      </c>
      <c r="N570" t="s">
        <v>10235</v>
      </c>
    </row>
    <row r="571" spans="1:14">
      <c r="A571" t="s">
        <v>193</v>
      </c>
      <c r="B571" t="s">
        <v>755</v>
      </c>
      <c r="C571">
        <f>"826075"</f>
        <v>0</v>
      </c>
      <c r="D571">
        <v>5</v>
      </c>
      <c r="E571">
        <v>0</v>
      </c>
      <c r="F571" s="2">
        <v>0</v>
      </c>
      <c r="G571">
        <v>0</v>
      </c>
      <c r="H571">
        <v>1</v>
      </c>
      <c r="I571">
        <v>0.2276840045862447</v>
      </c>
      <c r="J571">
        <v>1</v>
      </c>
      <c r="K571">
        <v>1</v>
      </c>
      <c r="L571" s="2">
        <v>0</v>
      </c>
      <c r="M571">
        <v>7.88</v>
      </c>
      <c r="N571" t="s">
        <v>10236</v>
      </c>
    </row>
    <row r="572" spans="1:14">
      <c r="A572" t="s">
        <v>35</v>
      </c>
      <c r="B572" t="s">
        <v>756</v>
      </c>
      <c r="C572">
        <f>"MSPB03A"</f>
        <v>0</v>
      </c>
      <c r="D572">
        <v>5</v>
      </c>
      <c r="E572">
        <v>0</v>
      </c>
      <c r="F572" s="2">
        <v>0</v>
      </c>
      <c r="G572">
        <v>0</v>
      </c>
      <c r="H572">
        <v>2</v>
      </c>
      <c r="I572">
        <v>0.2276840045862447</v>
      </c>
      <c r="J572">
        <v>1</v>
      </c>
      <c r="K572">
        <v>1</v>
      </c>
      <c r="L572" s="2">
        <v>0</v>
      </c>
      <c r="M572">
        <v>7.9</v>
      </c>
      <c r="N572" t="s">
        <v>10235</v>
      </c>
    </row>
    <row r="573" spans="1:14">
      <c r="A573" t="s">
        <v>204</v>
      </c>
      <c r="B573" t="s">
        <v>757</v>
      </c>
      <c r="C573">
        <f>"12450081"</f>
        <v>0</v>
      </c>
      <c r="D573">
        <v>5</v>
      </c>
      <c r="E573">
        <v>0</v>
      </c>
      <c r="F573" s="2">
        <v>0</v>
      </c>
      <c r="G573">
        <v>0</v>
      </c>
      <c r="H573">
        <v>2</v>
      </c>
      <c r="I573">
        <v>0.2276840045862447</v>
      </c>
      <c r="J573">
        <v>1</v>
      </c>
      <c r="K573">
        <v>1</v>
      </c>
      <c r="L573" s="2">
        <v>0</v>
      </c>
      <c r="M573">
        <v>7.91</v>
      </c>
      <c r="N573" t="s">
        <v>10235</v>
      </c>
    </row>
    <row r="574" spans="1:14">
      <c r="A574" t="s">
        <v>204</v>
      </c>
      <c r="B574" t="s">
        <v>758</v>
      </c>
      <c r="C574">
        <f>"12453318"</f>
        <v>0</v>
      </c>
      <c r="D574">
        <v>5</v>
      </c>
      <c r="E574">
        <v>0</v>
      </c>
      <c r="F574" s="2">
        <v>0</v>
      </c>
      <c r="G574">
        <v>0</v>
      </c>
      <c r="H574">
        <v>2</v>
      </c>
      <c r="I574">
        <v>0.2276840045862447</v>
      </c>
      <c r="J574">
        <v>1</v>
      </c>
      <c r="K574">
        <v>1</v>
      </c>
      <c r="L574" s="2">
        <v>0</v>
      </c>
      <c r="M574">
        <v>7.92</v>
      </c>
      <c r="N574" t="s">
        <v>10235</v>
      </c>
    </row>
    <row r="575" spans="1:14">
      <c r="A575" t="s">
        <v>25</v>
      </c>
      <c r="B575" t="s">
        <v>759</v>
      </c>
      <c r="C575">
        <f>"511C"</f>
        <v>0</v>
      </c>
      <c r="D575">
        <v>5</v>
      </c>
      <c r="E575">
        <v>0</v>
      </c>
      <c r="F575" s="2">
        <v>0</v>
      </c>
      <c r="G575">
        <v>0</v>
      </c>
      <c r="H575">
        <v>1</v>
      </c>
      <c r="I575">
        <v>0.2276840045862447</v>
      </c>
      <c r="J575">
        <v>1</v>
      </c>
      <c r="K575">
        <v>1</v>
      </c>
      <c r="L575" s="2">
        <v>0</v>
      </c>
      <c r="M575">
        <v>7.93</v>
      </c>
      <c r="N575" t="s">
        <v>10236</v>
      </c>
    </row>
    <row r="576" spans="1:14">
      <c r="A576" t="s">
        <v>27</v>
      </c>
      <c r="B576" t="s">
        <v>760</v>
      </c>
      <c r="C576">
        <f>"PR3034101"</f>
        <v>0</v>
      </c>
      <c r="D576">
        <v>5</v>
      </c>
      <c r="E576">
        <v>0</v>
      </c>
      <c r="F576" s="2">
        <v>0</v>
      </c>
      <c r="G576">
        <v>0</v>
      </c>
      <c r="H576">
        <v>3</v>
      </c>
      <c r="I576">
        <v>0.2276840045862447</v>
      </c>
      <c r="J576">
        <v>1</v>
      </c>
      <c r="K576">
        <v>1</v>
      </c>
      <c r="L576" s="2">
        <v>0</v>
      </c>
      <c r="M576">
        <v>7.94</v>
      </c>
      <c r="N576" t="s">
        <v>10235</v>
      </c>
    </row>
    <row r="577" spans="1:14">
      <c r="A577" t="s">
        <v>192</v>
      </c>
      <c r="B577" t="s">
        <v>761</v>
      </c>
      <c r="C577">
        <f>"AYCA0761"</f>
        <v>0</v>
      </c>
      <c r="D577">
        <v>5</v>
      </c>
      <c r="E577">
        <v>0</v>
      </c>
      <c r="F577" s="2">
        <v>0</v>
      </c>
      <c r="G577">
        <v>0</v>
      </c>
      <c r="H577">
        <v>3</v>
      </c>
      <c r="I577">
        <v>0.2276840045862447</v>
      </c>
      <c r="J577">
        <v>1</v>
      </c>
      <c r="K577">
        <v>1</v>
      </c>
      <c r="L577" s="2">
        <v>0</v>
      </c>
      <c r="M577">
        <v>7.96</v>
      </c>
      <c r="N577" t="s">
        <v>10235</v>
      </c>
    </row>
    <row r="578" spans="1:14">
      <c r="A578" t="s">
        <v>35</v>
      </c>
      <c r="B578" t="s">
        <v>762</v>
      </c>
      <c r="C578">
        <f>"1042EMCE"</f>
        <v>0</v>
      </c>
      <c r="D578">
        <v>5</v>
      </c>
      <c r="E578">
        <v>0</v>
      </c>
      <c r="F578" s="2">
        <v>0</v>
      </c>
      <c r="G578">
        <v>0</v>
      </c>
      <c r="H578">
        <v>3</v>
      </c>
      <c r="I578">
        <v>0.2276840045862447</v>
      </c>
      <c r="J578">
        <v>1</v>
      </c>
      <c r="K578">
        <v>1</v>
      </c>
      <c r="L578" s="2">
        <v>0</v>
      </c>
      <c r="M578">
        <v>7.97</v>
      </c>
      <c r="N578" t="s">
        <v>10235</v>
      </c>
    </row>
    <row r="579" spans="1:14">
      <c r="A579" t="s">
        <v>196</v>
      </c>
      <c r="B579" t="s">
        <v>763</v>
      </c>
      <c r="C579">
        <f>"2030"</f>
        <v>0</v>
      </c>
      <c r="D579">
        <v>5</v>
      </c>
      <c r="E579">
        <v>0</v>
      </c>
      <c r="F579" s="2">
        <v>0</v>
      </c>
      <c r="G579">
        <v>0</v>
      </c>
      <c r="H579">
        <v>2</v>
      </c>
      <c r="I579">
        <v>0.2276840045862447</v>
      </c>
      <c r="J579">
        <v>1</v>
      </c>
      <c r="K579">
        <v>1</v>
      </c>
      <c r="L579" s="2">
        <v>0</v>
      </c>
      <c r="M579">
        <v>7.98</v>
      </c>
      <c r="N579" t="s">
        <v>10235</v>
      </c>
    </row>
    <row r="580" spans="1:14">
      <c r="A580" t="s">
        <v>35</v>
      </c>
      <c r="B580" t="s">
        <v>764</v>
      </c>
      <c r="C580">
        <f>"XX44"</f>
        <v>0</v>
      </c>
      <c r="D580">
        <v>5</v>
      </c>
      <c r="E580">
        <v>0</v>
      </c>
      <c r="F580" s="2">
        <v>0</v>
      </c>
      <c r="G580">
        <v>0</v>
      </c>
      <c r="H580">
        <v>2</v>
      </c>
      <c r="I580">
        <v>0.2276840045862447</v>
      </c>
      <c r="J580">
        <v>1</v>
      </c>
      <c r="K580">
        <v>1</v>
      </c>
      <c r="L580" s="2">
        <v>0</v>
      </c>
      <c r="M580">
        <v>7.99</v>
      </c>
      <c r="N580" t="s">
        <v>10235</v>
      </c>
    </row>
    <row r="581" spans="1:14">
      <c r="A581" t="s">
        <v>35</v>
      </c>
      <c r="B581" t="s">
        <v>765</v>
      </c>
      <c r="C581">
        <f>"SDR112"</f>
        <v>0</v>
      </c>
      <c r="D581">
        <v>5</v>
      </c>
      <c r="E581">
        <v>0</v>
      </c>
      <c r="F581" s="2">
        <v>0</v>
      </c>
      <c r="G581">
        <v>0</v>
      </c>
      <c r="H581">
        <v>2</v>
      </c>
      <c r="I581">
        <v>0.2276840045862447</v>
      </c>
      <c r="J581">
        <v>1</v>
      </c>
      <c r="K581">
        <v>1</v>
      </c>
      <c r="L581" s="2">
        <v>0</v>
      </c>
      <c r="M581">
        <v>8</v>
      </c>
      <c r="N581" t="s">
        <v>10235</v>
      </c>
    </row>
    <row r="582" spans="1:14">
      <c r="A582" t="s">
        <v>38</v>
      </c>
      <c r="B582" t="s">
        <v>766</v>
      </c>
      <c r="C582">
        <f>"1000550"</f>
        <v>0</v>
      </c>
      <c r="D582">
        <v>5</v>
      </c>
      <c r="E582">
        <v>0</v>
      </c>
      <c r="F582" s="2">
        <v>0</v>
      </c>
      <c r="G582">
        <v>0</v>
      </c>
      <c r="H582">
        <v>3</v>
      </c>
      <c r="I582">
        <v>0.2276840045862447</v>
      </c>
      <c r="J582">
        <v>1</v>
      </c>
      <c r="K582">
        <v>1</v>
      </c>
      <c r="L582" s="2">
        <v>0</v>
      </c>
      <c r="M582">
        <v>8.02</v>
      </c>
      <c r="N582" t="s">
        <v>10235</v>
      </c>
    </row>
    <row r="583" spans="1:14">
      <c r="A583" t="s">
        <v>35</v>
      </c>
      <c r="B583" t="s">
        <v>767</v>
      </c>
      <c r="C583">
        <f>"SDR214"</f>
        <v>0</v>
      </c>
      <c r="D583">
        <v>5</v>
      </c>
      <c r="E583">
        <v>0</v>
      </c>
      <c r="F583" s="2">
        <v>0</v>
      </c>
      <c r="G583">
        <v>0</v>
      </c>
      <c r="H583">
        <v>3</v>
      </c>
      <c r="I583">
        <v>0.2276840045862447</v>
      </c>
      <c r="J583">
        <v>1</v>
      </c>
      <c r="K583">
        <v>1</v>
      </c>
      <c r="L583" s="2">
        <v>0</v>
      </c>
      <c r="M583">
        <v>8.029999999999999</v>
      </c>
      <c r="N583" t="s">
        <v>10235</v>
      </c>
    </row>
    <row r="584" spans="1:14">
      <c r="A584" t="s">
        <v>35</v>
      </c>
      <c r="B584" t="s">
        <v>768</v>
      </c>
      <c r="C584">
        <f>"SDR223"</f>
        <v>0</v>
      </c>
      <c r="D584">
        <v>5</v>
      </c>
      <c r="E584">
        <v>0</v>
      </c>
      <c r="F584" s="2">
        <v>0</v>
      </c>
      <c r="G584">
        <v>0</v>
      </c>
      <c r="H584">
        <v>3</v>
      </c>
      <c r="I584">
        <v>0.2276840045862447</v>
      </c>
      <c r="J584">
        <v>1</v>
      </c>
      <c r="K584">
        <v>1</v>
      </c>
      <c r="L584" s="2">
        <v>0</v>
      </c>
      <c r="M584">
        <v>8.039999999999999</v>
      </c>
      <c r="N584" t="s">
        <v>10235</v>
      </c>
    </row>
    <row r="585" spans="1:14">
      <c r="A585" t="s">
        <v>193</v>
      </c>
      <c r="B585" t="s">
        <v>769</v>
      </c>
      <c r="C585">
        <f>"G5685"</f>
        <v>0</v>
      </c>
      <c r="D585">
        <v>3</v>
      </c>
      <c r="E585">
        <v>0</v>
      </c>
      <c r="F585" s="2">
        <v>0</v>
      </c>
      <c r="G585">
        <v>0</v>
      </c>
      <c r="H585">
        <v>3</v>
      </c>
      <c r="I585">
        <v>0.2276779737256256</v>
      </c>
      <c r="J585">
        <v>1</v>
      </c>
      <c r="K585">
        <v>1</v>
      </c>
      <c r="L585" s="2">
        <v>0</v>
      </c>
      <c r="M585">
        <v>8.050000000000001</v>
      </c>
      <c r="N585" t="s">
        <v>10236</v>
      </c>
    </row>
    <row r="586" spans="1:14">
      <c r="A586" t="s">
        <v>40</v>
      </c>
      <c r="B586" t="s">
        <v>770</v>
      </c>
      <c r="C586">
        <f>"v101252"</f>
        <v>0</v>
      </c>
      <c r="D586">
        <v>4</v>
      </c>
      <c r="E586">
        <v>0</v>
      </c>
      <c r="F586" s="2">
        <v>0</v>
      </c>
      <c r="G586">
        <v>0</v>
      </c>
      <c r="H586">
        <v>3</v>
      </c>
      <c r="I586">
        <v>0.2275394450382882</v>
      </c>
      <c r="J586">
        <v>1</v>
      </c>
      <c r="K586">
        <v>1</v>
      </c>
      <c r="L586" s="2">
        <v>0</v>
      </c>
      <c r="M586">
        <v>8.06</v>
      </c>
      <c r="N586" t="s">
        <v>10236</v>
      </c>
    </row>
    <row r="587" spans="1:14">
      <c r="A587" t="s">
        <v>35</v>
      </c>
      <c r="B587" t="s">
        <v>771</v>
      </c>
      <c r="C587">
        <f>"MC109"</f>
        <v>0</v>
      </c>
      <c r="D587">
        <v>2</v>
      </c>
      <c r="E587">
        <v>0</v>
      </c>
      <c r="F587" s="2">
        <v>0</v>
      </c>
      <c r="G587">
        <v>0</v>
      </c>
      <c r="H587">
        <v>1</v>
      </c>
      <c r="I587">
        <v>0.2274831859829429</v>
      </c>
      <c r="J587">
        <v>0</v>
      </c>
      <c r="K587">
        <v>0</v>
      </c>
      <c r="L587" s="2">
        <v>0</v>
      </c>
      <c r="M587">
        <v>8.08</v>
      </c>
      <c r="N587" t="s">
        <v>10236</v>
      </c>
    </row>
    <row r="588" spans="1:14">
      <c r="A588" t="s">
        <v>35</v>
      </c>
      <c r="B588" t="s">
        <v>772</v>
      </c>
      <c r="C588">
        <f>"KF8804"</f>
        <v>0</v>
      </c>
      <c r="D588">
        <v>5</v>
      </c>
      <c r="E588">
        <v>0</v>
      </c>
      <c r="F588" s="2">
        <v>0</v>
      </c>
      <c r="G588">
        <v>0</v>
      </c>
      <c r="H588">
        <v>3</v>
      </c>
      <c r="I588">
        <v>0.2273505106714376</v>
      </c>
      <c r="J588">
        <v>1</v>
      </c>
      <c r="K588">
        <v>1</v>
      </c>
      <c r="L588" s="2">
        <v>0</v>
      </c>
      <c r="M588">
        <v>8.09</v>
      </c>
      <c r="N588" t="s">
        <v>10235</v>
      </c>
    </row>
    <row r="589" spans="1:14">
      <c r="A589" t="s">
        <v>30</v>
      </c>
      <c r="B589" t="s">
        <v>773</v>
      </c>
      <c r="C589">
        <f>"101295"</f>
        <v>0</v>
      </c>
      <c r="D589">
        <v>4</v>
      </c>
      <c r="E589">
        <v>0</v>
      </c>
      <c r="F589" s="2">
        <v>0</v>
      </c>
      <c r="G589">
        <v>0</v>
      </c>
      <c r="H589">
        <v>2</v>
      </c>
      <c r="I589">
        <v>0.2272213922999516</v>
      </c>
      <c r="J589">
        <v>1</v>
      </c>
      <c r="K589">
        <v>1</v>
      </c>
      <c r="L589" s="2">
        <v>0</v>
      </c>
      <c r="M589">
        <v>8.1</v>
      </c>
      <c r="N589" t="s">
        <v>10236</v>
      </c>
    </row>
    <row r="590" spans="1:14">
      <c r="A590" t="s">
        <v>202</v>
      </c>
      <c r="B590" t="s">
        <v>774</v>
      </c>
      <c r="C590">
        <f>"13201018"</f>
        <v>0</v>
      </c>
      <c r="D590">
        <v>4</v>
      </c>
      <c r="E590">
        <v>0</v>
      </c>
      <c r="F590" s="2">
        <v>0</v>
      </c>
      <c r="G590">
        <v>0</v>
      </c>
      <c r="H590">
        <v>2</v>
      </c>
      <c r="I590">
        <v>0.2271968993993431</v>
      </c>
      <c r="J590">
        <v>1</v>
      </c>
      <c r="K590">
        <v>1</v>
      </c>
      <c r="L590" s="2">
        <v>0</v>
      </c>
      <c r="M590">
        <v>8.109999999999999</v>
      </c>
      <c r="N590" t="s">
        <v>10236</v>
      </c>
    </row>
    <row r="591" spans="1:14">
      <c r="A591" t="s">
        <v>212</v>
      </c>
      <c r="B591" t="s">
        <v>775</v>
      </c>
      <c r="C591">
        <f>"72630"</f>
        <v>0</v>
      </c>
      <c r="D591">
        <v>2</v>
      </c>
      <c r="E591">
        <v>0</v>
      </c>
      <c r="F591" s="2">
        <v>0</v>
      </c>
      <c r="G591">
        <v>0</v>
      </c>
      <c r="H591">
        <v>1</v>
      </c>
      <c r="I591">
        <v>0.2271878512973447</v>
      </c>
      <c r="J591">
        <v>0</v>
      </c>
      <c r="K591">
        <v>0</v>
      </c>
      <c r="L591" s="2">
        <v>0</v>
      </c>
      <c r="M591">
        <v>8.119999999999999</v>
      </c>
      <c r="N591" t="s">
        <v>10236</v>
      </c>
    </row>
    <row r="592" spans="1:14">
      <c r="A592" t="s">
        <v>35</v>
      </c>
      <c r="B592" t="s">
        <v>776</v>
      </c>
      <c r="C592">
        <f>"JWZ2013OSO"</f>
        <v>0</v>
      </c>
      <c r="D592">
        <v>1</v>
      </c>
      <c r="E592">
        <v>1</v>
      </c>
      <c r="F592" s="2">
        <v>621</v>
      </c>
      <c r="G592">
        <v>4</v>
      </c>
      <c r="H592">
        <v>1</v>
      </c>
      <c r="I592">
        <v>0.2271848739494641</v>
      </c>
      <c r="J592">
        <v>0</v>
      </c>
      <c r="K592">
        <v>0</v>
      </c>
      <c r="L592" s="2">
        <v>0</v>
      </c>
      <c r="M592">
        <v>8.140000000000001</v>
      </c>
      <c r="N592" t="s">
        <v>10236</v>
      </c>
    </row>
    <row r="593" spans="1:14">
      <c r="A593" t="s">
        <v>34</v>
      </c>
      <c r="B593" t="s">
        <v>777</v>
      </c>
      <c r="C593">
        <f>"14000211"</f>
        <v>0</v>
      </c>
      <c r="D593">
        <v>19</v>
      </c>
      <c r="E593">
        <v>1</v>
      </c>
      <c r="F593" s="2">
        <v>0</v>
      </c>
      <c r="G593">
        <v>0.21</v>
      </c>
      <c r="H593">
        <v>3</v>
      </c>
      <c r="I593">
        <v>0.2271576888072855</v>
      </c>
      <c r="J593">
        <v>5</v>
      </c>
      <c r="K593">
        <v>4</v>
      </c>
      <c r="L593" s="2">
        <v>0</v>
      </c>
      <c r="M593">
        <v>8.15</v>
      </c>
      <c r="N593" t="s">
        <v>10235</v>
      </c>
    </row>
    <row r="594" spans="1:14">
      <c r="A594" t="s">
        <v>213</v>
      </c>
      <c r="B594" t="s">
        <v>778</v>
      </c>
      <c r="C594">
        <f>"500519"</f>
        <v>0</v>
      </c>
      <c r="D594">
        <v>3</v>
      </c>
      <c r="E594">
        <v>0</v>
      </c>
      <c r="F594" s="2">
        <v>0</v>
      </c>
      <c r="G594">
        <v>0</v>
      </c>
      <c r="H594">
        <v>3</v>
      </c>
      <c r="I594">
        <v>0.2271032779852608</v>
      </c>
      <c r="J594">
        <v>1</v>
      </c>
      <c r="K594">
        <v>1</v>
      </c>
      <c r="L594" s="2">
        <v>0</v>
      </c>
      <c r="M594">
        <v>8.16</v>
      </c>
      <c r="N594" t="s">
        <v>10236</v>
      </c>
    </row>
    <row r="595" spans="1:14">
      <c r="A595" t="s">
        <v>35</v>
      </c>
      <c r="B595" t="s">
        <v>779</v>
      </c>
      <c r="C595">
        <f>"PQ017"</f>
        <v>0</v>
      </c>
      <c r="D595">
        <v>3</v>
      </c>
      <c r="E595">
        <v>1</v>
      </c>
      <c r="F595" s="2">
        <v>1</v>
      </c>
      <c r="G595">
        <v>1.33</v>
      </c>
      <c r="H595">
        <v>2</v>
      </c>
      <c r="I595">
        <v>0.2270160822948704</v>
      </c>
      <c r="J595">
        <v>1</v>
      </c>
      <c r="K595">
        <v>0</v>
      </c>
      <c r="L595" s="2">
        <v>0</v>
      </c>
      <c r="M595">
        <v>8.17</v>
      </c>
      <c r="N595" t="s">
        <v>10236</v>
      </c>
    </row>
    <row r="596" spans="1:14">
      <c r="A596" t="s">
        <v>35</v>
      </c>
      <c r="B596" t="s">
        <v>780</v>
      </c>
      <c r="C596">
        <f>"HDD168ROS"</f>
        <v>0</v>
      </c>
      <c r="D596">
        <v>4</v>
      </c>
      <c r="E596">
        <v>0</v>
      </c>
      <c r="F596" s="2">
        <v>0</v>
      </c>
      <c r="G596">
        <v>0</v>
      </c>
      <c r="H596">
        <v>3</v>
      </c>
      <c r="I596">
        <v>0.2269697188719599</v>
      </c>
      <c r="J596">
        <v>1</v>
      </c>
      <c r="K596">
        <v>1</v>
      </c>
      <c r="L596" s="2">
        <v>0</v>
      </c>
      <c r="M596">
        <v>8.18</v>
      </c>
      <c r="N596" t="s">
        <v>10236</v>
      </c>
    </row>
    <row r="597" spans="1:14">
      <c r="A597" t="s">
        <v>28</v>
      </c>
      <c r="B597" t="s">
        <v>781</v>
      </c>
      <c r="C597">
        <f>"ECCO"</f>
        <v>0</v>
      </c>
      <c r="D597">
        <v>4</v>
      </c>
      <c r="E597">
        <v>0</v>
      </c>
      <c r="F597" s="2">
        <v>0</v>
      </c>
      <c r="G597">
        <v>0</v>
      </c>
      <c r="H597">
        <v>2</v>
      </c>
      <c r="I597">
        <v>0.2269697188719599</v>
      </c>
      <c r="J597">
        <v>1</v>
      </c>
      <c r="K597">
        <v>1</v>
      </c>
      <c r="L597" s="2">
        <v>0</v>
      </c>
      <c r="M597">
        <v>8.199999999999999</v>
      </c>
      <c r="N597" t="s">
        <v>10236</v>
      </c>
    </row>
    <row r="598" spans="1:14">
      <c r="A598" t="s">
        <v>28</v>
      </c>
      <c r="B598" t="s">
        <v>782</v>
      </c>
      <c r="C598">
        <f>"BTLE"</f>
        <v>0</v>
      </c>
      <c r="D598">
        <v>4</v>
      </c>
      <c r="E598">
        <v>0</v>
      </c>
      <c r="F598" s="2">
        <v>0</v>
      </c>
      <c r="G598">
        <v>0</v>
      </c>
      <c r="H598">
        <v>1</v>
      </c>
      <c r="I598">
        <v>0.2269697188719599</v>
      </c>
      <c r="J598">
        <v>1</v>
      </c>
      <c r="K598">
        <v>1</v>
      </c>
      <c r="L598" s="2">
        <v>0</v>
      </c>
      <c r="M598">
        <v>8.210000000000001</v>
      </c>
      <c r="N598" t="s">
        <v>10236</v>
      </c>
    </row>
    <row r="599" spans="1:14">
      <c r="A599" t="s">
        <v>36</v>
      </c>
      <c r="B599" t="s">
        <v>783</v>
      </c>
      <c r="C599">
        <f>"500600303"</f>
        <v>0</v>
      </c>
      <c r="D599">
        <v>4</v>
      </c>
      <c r="E599">
        <v>0</v>
      </c>
      <c r="F599" s="2">
        <v>0</v>
      </c>
      <c r="G599">
        <v>0</v>
      </c>
      <c r="H599">
        <v>1</v>
      </c>
      <c r="I599">
        <v>0.2269697188719599</v>
      </c>
      <c r="J599">
        <v>1</v>
      </c>
      <c r="K599">
        <v>1</v>
      </c>
      <c r="L599" s="2">
        <v>0</v>
      </c>
      <c r="M599">
        <v>8.220000000000001</v>
      </c>
      <c r="N599" t="s">
        <v>10236</v>
      </c>
    </row>
    <row r="600" spans="1:14">
      <c r="A600" t="s">
        <v>193</v>
      </c>
      <c r="B600" t="s">
        <v>784</v>
      </c>
      <c r="C600">
        <f>"564189"</f>
        <v>0</v>
      </c>
      <c r="D600">
        <v>4</v>
      </c>
      <c r="E600">
        <v>0</v>
      </c>
      <c r="F600" s="2">
        <v>0</v>
      </c>
      <c r="G600">
        <v>0</v>
      </c>
      <c r="H600">
        <v>3</v>
      </c>
      <c r="I600">
        <v>0.2269697188719599</v>
      </c>
      <c r="J600">
        <v>1</v>
      </c>
      <c r="K600">
        <v>1</v>
      </c>
      <c r="L600" s="2">
        <v>0</v>
      </c>
      <c r="M600">
        <v>8.23</v>
      </c>
      <c r="N600" t="s">
        <v>10236</v>
      </c>
    </row>
    <row r="601" spans="1:14">
      <c r="A601" t="s">
        <v>192</v>
      </c>
      <c r="B601" t="s">
        <v>785</v>
      </c>
      <c r="C601">
        <f>"890107A"</f>
        <v>0</v>
      </c>
      <c r="D601">
        <v>4</v>
      </c>
      <c r="E601">
        <v>0</v>
      </c>
      <c r="F601" s="2">
        <v>0</v>
      </c>
      <c r="G601">
        <v>0</v>
      </c>
      <c r="H601">
        <v>1</v>
      </c>
      <c r="I601">
        <v>0.2269697188719599</v>
      </c>
      <c r="J601">
        <v>1</v>
      </c>
      <c r="K601">
        <v>1</v>
      </c>
      <c r="L601" s="2">
        <v>0</v>
      </c>
      <c r="M601">
        <v>8.25</v>
      </c>
      <c r="N601" t="s">
        <v>10236</v>
      </c>
    </row>
    <row r="602" spans="1:14">
      <c r="A602" t="s">
        <v>32</v>
      </c>
      <c r="B602" t="s">
        <v>786</v>
      </c>
      <c r="C602">
        <f>"5000890"</f>
        <v>0</v>
      </c>
      <c r="D602">
        <v>4</v>
      </c>
      <c r="E602">
        <v>0</v>
      </c>
      <c r="F602" s="2">
        <v>0</v>
      </c>
      <c r="G602">
        <v>0</v>
      </c>
      <c r="H602">
        <v>2</v>
      </c>
      <c r="I602">
        <v>0.2269697188719599</v>
      </c>
      <c r="J602">
        <v>1</v>
      </c>
      <c r="K602">
        <v>1</v>
      </c>
      <c r="L602" s="2">
        <v>0</v>
      </c>
      <c r="M602">
        <v>8.26</v>
      </c>
      <c r="N602" t="s">
        <v>10236</v>
      </c>
    </row>
    <row r="603" spans="1:14">
      <c r="A603" t="s">
        <v>41</v>
      </c>
      <c r="B603" t="s">
        <v>787</v>
      </c>
      <c r="C603">
        <f>"LEGVITOF01"</f>
        <v>0</v>
      </c>
      <c r="D603">
        <v>4</v>
      </c>
      <c r="E603">
        <v>0</v>
      </c>
      <c r="F603" s="2">
        <v>0</v>
      </c>
      <c r="G603">
        <v>0</v>
      </c>
      <c r="H603">
        <v>1</v>
      </c>
      <c r="I603">
        <v>0.2269697188719599</v>
      </c>
      <c r="J603">
        <v>1</v>
      </c>
      <c r="K603">
        <v>1</v>
      </c>
      <c r="L603" s="2">
        <v>0</v>
      </c>
      <c r="M603">
        <v>8.27</v>
      </c>
      <c r="N603" t="s">
        <v>10236</v>
      </c>
    </row>
    <row r="604" spans="1:14">
      <c r="A604" t="s">
        <v>213</v>
      </c>
      <c r="B604" t="s">
        <v>788</v>
      </c>
      <c r="C604">
        <f>"500829"</f>
        <v>0</v>
      </c>
      <c r="D604">
        <v>4</v>
      </c>
      <c r="E604">
        <v>0</v>
      </c>
      <c r="F604" s="2">
        <v>0</v>
      </c>
      <c r="G604">
        <v>0</v>
      </c>
      <c r="H604">
        <v>2</v>
      </c>
      <c r="I604">
        <v>0.2269697188719599</v>
      </c>
      <c r="J604">
        <v>1</v>
      </c>
      <c r="K604">
        <v>1</v>
      </c>
      <c r="L604" s="2">
        <v>0</v>
      </c>
      <c r="M604">
        <v>8.279999999999999</v>
      </c>
      <c r="N604" t="s">
        <v>10236</v>
      </c>
    </row>
    <row r="605" spans="1:14">
      <c r="A605" t="s">
        <v>25</v>
      </c>
      <c r="B605" t="s">
        <v>789</v>
      </c>
      <c r="C605">
        <f>"S100ROJ"</f>
        <v>0</v>
      </c>
      <c r="D605">
        <v>4</v>
      </c>
      <c r="E605">
        <v>0</v>
      </c>
      <c r="F605" s="2">
        <v>0</v>
      </c>
      <c r="G605">
        <v>0</v>
      </c>
      <c r="H605">
        <v>2</v>
      </c>
      <c r="I605">
        <v>0.2269697188719599</v>
      </c>
      <c r="J605">
        <v>1</v>
      </c>
      <c r="K605">
        <v>1</v>
      </c>
      <c r="L605" s="2">
        <v>0</v>
      </c>
      <c r="M605">
        <v>8.289999999999999</v>
      </c>
      <c r="N605" t="s">
        <v>10236</v>
      </c>
    </row>
    <row r="606" spans="1:14">
      <c r="A606" t="s">
        <v>35</v>
      </c>
      <c r="B606" t="s">
        <v>790</v>
      </c>
      <c r="C606">
        <f>"1042EMVEC"</f>
        <v>0</v>
      </c>
      <c r="D606">
        <v>4</v>
      </c>
      <c r="E606">
        <v>0</v>
      </c>
      <c r="F606" s="2">
        <v>0</v>
      </c>
      <c r="G606">
        <v>0</v>
      </c>
      <c r="H606">
        <v>2</v>
      </c>
      <c r="I606">
        <v>0.2269697188719599</v>
      </c>
      <c r="J606">
        <v>1</v>
      </c>
      <c r="K606">
        <v>1</v>
      </c>
      <c r="L606" s="2">
        <v>0</v>
      </c>
      <c r="M606">
        <v>8.31</v>
      </c>
      <c r="N606" t="s">
        <v>10236</v>
      </c>
    </row>
    <row r="607" spans="1:14">
      <c r="A607" t="s">
        <v>35</v>
      </c>
      <c r="B607" t="s">
        <v>791</v>
      </c>
      <c r="C607">
        <f>"PT001D"</f>
        <v>0</v>
      </c>
      <c r="D607">
        <v>4</v>
      </c>
      <c r="E607">
        <v>0</v>
      </c>
      <c r="F607" s="2">
        <v>0</v>
      </c>
      <c r="G607">
        <v>0</v>
      </c>
      <c r="H607">
        <v>2</v>
      </c>
      <c r="I607">
        <v>0.2269697188719599</v>
      </c>
      <c r="J607">
        <v>1</v>
      </c>
      <c r="K607">
        <v>1</v>
      </c>
      <c r="L607" s="2">
        <v>0</v>
      </c>
      <c r="M607">
        <v>8.32</v>
      </c>
      <c r="N607" t="s">
        <v>10236</v>
      </c>
    </row>
    <row r="608" spans="1:14">
      <c r="A608" t="s">
        <v>35</v>
      </c>
      <c r="B608" t="s">
        <v>792</v>
      </c>
      <c r="C608">
        <f>"MSPB03C"</f>
        <v>0</v>
      </c>
      <c r="D608">
        <v>4</v>
      </c>
      <c r="E608">
        <v>0</v>
      </c>
      <c r="F608" s="2">
        <v>0</v>
      </c>
      <c r="G608">
        <v>0</v>
      </c>
      <c r="H608">
        <v>3</v>
      </c>
      <c r="I608">
        <v>0.2269697188719599</v>
      </c>
      <c r="J608">
        <v>1</v>
      </c>
      <c r="K608">
        <v>1</v>
      </c>
      <c r="L608" s="2">
        <v>0</v>
      </c>
      <c r="M608">
        <v>8.33</v>
      </c>
      <c r="N608" t="s">
        <v>10236</v>
      </c>
    </row>
    <row r="609" spans="1:14">
      <c r="A609" t="s">
        <v>35</v>
      </c>
      <c r="B609" t="s">
        <v>793</v>
      </c>
      <c r="C609">
        <f>"48TWO"</f>
        <v>0</v>
      </c>
      <c r="D609">
        <v>4</v>
      </c>
      <c r="E609">
        <v>0</v>
      </c>
      <c r="F609" s="2">
        <v>0</v>
      </c>
      <c r="G609">
        <v>0</v>
      </c>
      <c r="H609">
        <v>2</v>
      </c>
      <c r="I609">
        <v>0.2269697188719599</v>
      </c>
      <c r="J609">
        <v>1</v>
      </c>
      <c r="K609">
        <v>1</v>
      </c>
      <c r="L609" s="2">
        <v>0</v>
      </c>
      <c r="M609">
        <v>8.34</v>
      </c>
      <c r="N609" t="s">
        <v>10236</v>
      </c>
    </row>
    <row r="610" spans="1:14">
      <c r="A610" t="s">
        <v>35</v>
      </c>
      <c r="B610" t="s">
        <v>794</v>
      </c>
      <c r="C610">
        <f>"TF1062"</f>
        <v>0</v>
      </c>
      <c r="D610">
        <v>4</v>
      </c>
      <c r="E610">
        <v>0</v>
      </c>
      <c r="F610" s="2">
        <v>0</v>
      </c>
      <c r="G610">
        <v>0</v>
      </c>
      <c r="H610">
        <v>2</v>
      </c>
      <c r="I610">
        <v>0.2269697188719599</v>
      </c>
      <c r="J610">
        <v>1</v>
      </c>
      <c r="K610">
        <v>1</v>
      </c>
      <c r="L610" s="2">
        <v>0</v>
      </c>
      <c r="M610">
        <v>8.35</v>
      </c>
      <c r="N610" t="s">
        <v>10236</v>
      </c>
    </row>
    <row r="611" spans="1:14">
      <c r="A611" t="s">
        <v>30</v>
      </c>
      <c r="B611" t="s">
        <v>795</v>
      </c>
      <c r="C611">
        <f>"101293"</f>
        <v>0</v>
      </c>
      <c r="D611">
        <v>4</v>
      </c>
      <c r="E611">
        <v>0</v>
      </c>
      <c r="F611" s="2">
        <v>0</v>
      </c>
      <c r="G611">
        <v>0</v>
      </c>
      <c r="H611">
        <v>1</v>
      </c>
      <c r="I611">
        <v>0.2269697188719599</v>
      </c>
      <c r="J611">
        <v>1</v>
      </c>
      <c r="K611">
        <v>1</v>
      </c>
      <c r="L611" s="2">
        <v>0</v>
      </c>
      <c r="M611">
        <v>8.369999999999999</v>
      </c>
      <c r="N611" t="s">
        <v>10236</v>
      </c>
    </row>
    <row r="612" spans="1:14">
      <c r="A612" t="s">
        <v>204</v>
      </c>
      <c r="B612" t="s">
        <v>796</v>
      </c>
      <c r="C612">
        <f>"12450068"</f>
        <v>0</v>
      </c>
      <c r="D612">
        <v>4</v>
      </c>
      <c r="E612">
        <v>0</v>
      </c>
      <c r="F612" s="2">
        <v>0</v>
      </c>
      <c r="G612">
        <v>0</v>
      </c>
      <c r="H612">
        <v>1</v>
      </c>
      <c r="I612">
        <v>0.2269697188719599</v>
      </c>
      <c r="J612">
        <v>1</v>
      </c>
      <c r="K612">
        <v>1</v>
      </c>
      <c r="L612" s="2">
        <v>0</v>
      </c>
      <c r="M612">
        <v>8.380000000000001</v>
      </c>
      <c r="N612" t="s">
        <v>10236</v>
      </c>
    </row>
    <row r="613" spans="1:14">
      <c r="A613" t="s">
        <v>27</v>
      </c>
      <c r="B613" t="s">
        <v>797</v>
      </c>
      <c r="C613">
        <f>"PR3034141"</f>
        <v>0</v>
      </c>
      <c r="D613">
        <v>4</v>
      </c>
      <c r="E613">
        <v>0</v>
      </c>
      <c r="F613" s="2">
        <v>0</v>
      </c>
      <c r="G613">
        <v>0</v>
      </c>
      <c r="H613">
        <v>1</v>
      </c>
      <c r="I613">
        <v>0.2269697188719599</v>
      </c>
      <c r="J613">
        <v>1</v>
      </c>
      <c r="K613">
        <v>1</v>
      </c>
      <c r="L613" s="2">
        <v>0</v>
      </c>
      <c r="M613">
        <v>8.390000000000001</v>
      </c>
      <c r="N613" t="s">
        <v>10236</v>
      </c>
    </row>
    <row r="614" spans="1:14">
      <c r="A614" t="s">
        <v>40</v>
      </c>
      <c r="B614" t="s">
        <v>798</v>
      </c>
      <c r="C614">
        <f>"V100851"</f>
        <v>0</v>
      </c>
      <c r="D614">
        <v>4</v>
      </c>
      <c r="E614">
        <v>0</v>
      </c>
      <c r="F614" s="2">
        <v>0</v>
      </c>
      <c r="G614">
        <v>0</v>
      </c>
      <c r="H614">
        <v>2</v>
      </c>
      <c r="I614">
        <v>0.2269697188719599</v>
      </c>
      <c r="J614">
        <v>1</v>
      </c>
      <c r="K614">
        <v>1</v>
      </c>
      <c r="L614" s="2">
        <v>0</v>
      </c>
      <c r="M614">
        <v>8.4</v>
      </c>
      <c r="N614" t="s">
        <v>10236</v>
      </c>
    </row>
    <row r="615" spans="1:14">
      <c r="A615" t="s">
        <v>33</v>
      </c>
      <c r="B615" t="s">
        <v>799</v>
      </c>
      <c r="C615">
        <f>"TOPK92218"</f>
        <v>0</v>
      </c>
      <c r="D615">
        <v>4</v>
      </c>
      <c r="E615">
        <v>0</v>
      </c>
      <c r="F615" s="2">
        <v>0</v>
      </c>
      <c r="G615">
        <v>0</v>
      </c>
      <c r="H615">
        <v>2</v>
      </c>
      <c r="I615">
        <v>0.2269697188719599</v>
      </c>
      <c r="J615">
        <v>1</v>
      </c>
      <c r="K615">
        <v>1</v>
      </c>
      <c r="L615" s="2">
        <v>0</v>
      </c>
      <c r="M615">
        <v>8.41</v>
      </c>
      <c r="N615" t="s">
        <v>10236</v>
      </c>
    </row>
    <row r="616" spans="1:14">
      <c r="A616" t="s">
        <v>35</v>
      </c>
      <c r="B616" t="s">
        <v>800</v>
      </c>
      <c r="C616">
        <f>"LH2"</f>
        <v>0</v>
      </c>
      <c r="D616">
        <v>4</v>
      </c>
      <c r="E616">
        <v>0</v>
      </c>
      <c r="F616" s="2">
        <v>0</v>
      </c>
      <c r="G616">
        <v>0</v>
      </c>
      <c r="H616">
        <v>3</v>
      </c>
      <c r="I616">
        <v>0.2269697188719599</v>
      </c>
      <c r="J616">
        <v>1</v>
      </c>
      <c r="K616">
        <v>1</v>
      </c>
      <c r="L616" s="2">
        <v>0</v>
      </c>
      <c r="M616">
        <v>8.43</v>
      </c>
      <c r="N616" t="s">
        <v>10236</v>
      </c>
    </row>
    <row r="617" spans="1:14">
      <c r="A617" t="s">
        <v>35</v>
      </c>
      <c r="B617" t="s">
        <v>801</v>
      </c>
      <c r="C617">
        <f>"JQ1000"</f>
        <v>0</v>
      </c>
      <c r="D617">
        <v>4</v>
      </c>
      <c r="E617">
        <v>0</v>
      </c>
      <c r="F617" s="2">
        <v>0</v>
      </c>
      <c r="G617">
        <v>0</v>
      </c>
      <c r="H617">
        <v>1</v>
      </c>
      <c r="I617">
        <v>0.2269697188719599</v>
      </c>
      <c r="J617">
        <v>1</v>
      </c>
      <c r="K617">
        <v>1</v>
      </c>
      <c r="L617" s="2">
        <v>0</v>
      </c>
      <c r="M617">
        <v>8.44</v>
      </c>
      <c r="N617" t="s">
        <v>10236</v>
      </c>
    </row>
    <row r="618" spans="1:14">
      <c r="A618" t="s">
        <v>27</v>
      </c>
      <c r="B618" t="s">
        <v>802</v>
      </c>
      <c r="C618">
        <f>"USA682"</f>
        <v>0</v>
      </c>
      <c r="D618">
        <v>4</v>
      </c>
      <c r="E618">
        <v>0</v>
      </c>
      <c r="F618" s="2">
        <v>0</v>
      </c>
      <c r="G618">
        <v>0</v>
      </c>
      <c r="H618">
        <v>2</v>
      </c>
      <c r="I618">
        <v>0.2269697188719599</v>
      </c>
      <c r="J618">
        <v>1</v>
      </c>
      <c r="K618">
        <v>1</v>
      </c>
      <c r="L618" s="2">
        <v>0</v>
      </c>
      <c r="M618">
        <v>8.449999999999999</v>
      </c>
      <c r="N618" t="s">
        <v>10236</v>
      </c>
    </row>
    <row r="619" spans="1:14">
      <c r="A619" t="s">
        <v>40</v>
      </c>
      <c r="B619" t="s">
        <v>803</v>
      </c>
      <c r="C619">
        <f>"V100558"</f>
        <v>0</v>
      </c>
      <c r="D619">
        <v>4</v>
      </c>
      <c r="E619">
        <v>0</v>
      </c>
      <c r="F619" s="2">
        <v>0</v>
      </c>
      <c r="G619">
        <v>0</v>
      </c>
      <c r="H619">
        <v>2</v>
      </c>
      <c r="I619">
        <v>0.2269697188719599</v>
      </c>
      <c r="J619">
        <v>1</v>
      </c>
      <c r="K619">
        <v>1</v>
      </c>
      <c r="L619" s="2">
        <v>0</v>
      </c>
      <c r="M619">
        <v>8.460000000000001</v>
      </c>
      <c r="N619" t="s">
        <v>10236</v>
      </c>
    </row>
    <row r="620" spans="1:14">
      <c r="A620" t="s">
        <v>193</v>
      </c>
      <c r="B620" t="s">
        <v>804</v>
      </c>
      <c r="C620">
        <f>"564318"</f>
        <v>0</v>
      </c>
      <c r="D620">
        <v>4</v>
      </c>
      <c r="E620">
        <v>0</v>
      </c>
      <c r="F620" s="2">
        <v>0</v>
      </c>
      <c r="G620">
        <v>0</v>
      </c>
      <c r="H620">
        <v>1</v>
      </c>
      <c r="I620">
        <v>0.2269697188719599</v>
      </c>
      <c r="J620">
        <v>1</v>
      </c>
      <c r="K620">
        <v>1</v>
      </c>
      <c r="L620" s="2">
        <v>0</v>
      </c>
      <c r="M620">
        <v>8.470000000000001</v>
      </c>
      <c r="N620" t="s">
        <v>10236</v>
      </c>
    </row>
    <row r="621" spans="1:14">
      <c r="A621" t="s">
        <v>25</v>
      </c>
      <c r="B621" t="s">
        <v>805</v>
      </c>
      <c r="C621">
        <f>"YB0394"</f>
        <v>0</v>
      </c>
      <c r="D621">
        <v>4</v>
      </c>
      <c r="E621">
        <v>0</v>
      </c>
      <c r="F621" s="2">
        <v>0</v>
      </c>
      <c r="G621">
        <v>0</v>
      </c>
      <c r="H621">
        <v>3</v>
      </c>
      <c r="I621">
        <v>0.2269697188719599</v>
      </c>
      <c r="J621">
        <v>1</v>
      </c>
      <c r="K621">
        <v>1</v>
      </c>
      <c r="L621" s="2">
        <v>0</v>
      </c>
      <c r="M621">
        <v>8.49</v>
      </c>
      <c r="N621" t="s">
        <v>10236</v>
      </c>
    </row>
    <row r="622" spans="1:14">
      <c r="A622" t="s">
        <v>193</v>
      </c>
      <c r="B622" t="s">
        <v>806</v>
      </c>
      <c r="C622">
        <f>"564295"</f>
        <v>0</v>
      </c>
      <c r="D622">
        <v>4</v>
      </c>
      <c r="E622">
        <v>0</v>
      </c>
      <c r="F622" s="2">
        <v>0</v>
      </c>
      <c r="G622">
        <v>0</v>
      </c>
      <c r="H622">
        <v>2</v>
      </c>
      <c r="I622">
        <v>0.2269697188719599</v>
      </c>
      <c r="J622">
        <v>1</v>
      </c>
      <c r="K622">
        <v>1</v>
      </c>
      <c r="L622" s="2">
        <v>0</v>
      </c>
      <c r="M622">
        <v>8.5</v>
      </c>
      <c r="N622" t="s">
        <v>10236</v>
      </c>
    </row>
    <row r="623" spans="1:14">
      <c r="A623" t="s">
        <v>35</v>
      </c>
      <c r="B623" t="s">
        <v>807</v>
      </c>
      <c r="C623">
        <f>"KL09"</f>
        <v>0</v>
      </c>
      <c r="D623">
        <v>4</v>
      </c>
      <c r="E623">
        <v>0</v>
      </c>
      <c r="F623" s="2">
        <v>0</v>
      </c>
      <c r="G623">
        <v>0</v>
      </c>
      <c r="H623">
        <v>1</v>
      </c>
      <c r="I623">
        <v>0.2269697188719599</v>
      </c>
      <c r="J623">
        <v>1</v>
      </c>
      <c r="K623">
        <v>1</v>
      </c>
      <c r="L623" s="2">
        <v>0</v>
      </c>
      <c r="M623">
        <v>8.51</v>
      </c>
      <c r="N623" t="s">
        <v>10236</v>
      </c>
    </row>
    <row r="624" spans="1:14">
      <c r="A624" t="s">
        <v>30</v>
      </c>
      <c r="B624" t="s">
        <v>808</v>
      </c>
      <c r="C624">
        <f>"101294"</f>
        <v>0</v>
      </c>
      <c r="D624">
        <v>4</v>
      </c>
      <c r="E624">
        <v>0</v>
      </c>
      <c r="F624" s="2">
        <v>0</v>
      </c>
      <c r="G624">
        <v>0</v>
      </c>
      <c r="H624">
        <v>1</v>
      </c>
      <c r="I624">
        <v>0.2269697188719599</v>
      </c>
      <c r="J624">
        <v>1</v>
      </c>
      <c r="K624">
        <v>1</v>
      </c>
      <c r="L624" s="2">
        <v>0</v>
      </c>
      <c r="M624">
        <v>8.52</v>
      </c>
      <c r="N624" t="s">
        <v>10236</v>
      </c>
    </row>
    <row r="625" spans="1:14">
      <c r="A625" t="s">
        <v>196</v>
      </c>
      <c r="B625" t="s">
        <v>809</v>
      </c>
      <c r="C625">
        <f>"2189"</f>
        <v>0</v>
      </c>
      <c r="D625">
        <v>4</v>
      </c>
      <c r="E625">
        <v>0</v>
      </c>
      <c r="F625" s="2">
        <v>0</v>
      </c>
      <c r="G625">
        <v>0</v>
      </c>
      <c r="H625">
        <v>1</v>
      </c>
      <c r="I625">
        <v>0.2269697188719599</v>
      </c>
      <c r="J625">
        <v>1</v>
      </c>
      <c r="K625">
        <v>1</v>
      </c>
      <c r="L625" s="2">
        <v>0</v>
      </c>
      <c r="M625">
        <v>8.529999999999999</v>
      </c>
      <c r="N625" t="s">
        <v>10236</v>
      </c>
    </row>
    <row r="626" spans="1:14">
      <c r="A626" t="s">
        <v>27</v>
      </c>
      <c r="B626" t="s">
        <v>810</v>
      </c>
      <c r="C626">
        <f>"PR3034061"</f>
        <v>0</v>
      </c>
      <c r="D626">
        <v>4</v>
      </c>
      <c r="E626">
        <v>0</v>
      </c>
      <c r="F626" s="2">
        <v>0</v>
      </c>
      <c r="G626">
        <v>0</v>
      </c>
      <c r="H626">
        <v>3</v>
      </c>
      <c r="I626">
        <v>0.2269697188719599</v>
      </c>
      <c r="J626">
        <v>1</v>
      </c>
      <c r="K626">
        <v>1</v>
      </c>
      <c r="L626" s="2">
        <v>0</v>
      </c>
      <c r="M626">
        <v>8.550000000000001</v>
      </c>
      <c r="N626" t="s">
        <v>10236</v>
      </c>
    </row>
    <row r="627" spans="1:14">
      <c r="A627" t="s">
        <v>27</v>
      </c>
      <c r="B627" t="s">
        <v>811</v>
      </c>
      <c r="C627">
        <f>"PR3034121"</f>
        <v>0</v>
      </c>
      <c r="D627">
        <v>4</v>
      </c>
      <c r="E627">
        <v>0</v>
      </c>
      <c r="F627" s="2">
        <v>0</v>
      </c>
      <c r="G627">
        <v>0</v>
      </c>
      <c r="H627">
        <v>3</v>
      </c>
      <c r="I627">
        <v>0.2269697188719599</v>
      </c>
      <c r="J627">
        <v>1</v>
      </c>
      <c r="K627">
        <v>1</v>
      </c>
      <c r="L627" s="2">
        <v>0</v>
      </c>
      <c r="M627">
        <v>8.56</v>
      </c>
      <c r="N627" t="s">
        <v>10236</v>
      </c>
    </row>
    <row r="628" spans="1:14">
      <c r="A628" t="s">
        <v>25</v>
      </c>
      <c r="B628" t="s">
        <v>812</v>
      </c>
      <c r="C628">
        <f>"S401AMO"</f>
        <v>0</v>
      </c>
      <c r="D628">
        <v>4</v>
      </c>
      <c r="E628">
        <v>0</v>
      </c>
      <c r="F628" s="2">
        <v>0</v>
      </c>
      <c r="G628">
        <v>0</v>
      </c>
      <c r="H628">
        <v>2</v>
      </c>
      <c r="I628">
        <v>0.2269697188719599</v>
      </c>
      <c r="J628">
        <v>1</v>
      </c>
      <c r="K628">
        <v>1</v>
      </c>
      <c r="L628" s="2">
        <v>0</v>
      </c>
      <c r="M628">
        <v>8.57</v>
      </c>
      <c r="N628" t="s">
        <v>10236</v>
      </c>
    </row>
    <row r="629" spans="1:14">
      <c r="A629" t="s">
        <v>25</v>
      </c>
      <c r="B629" t="s">
        <v>813</v>
      </c>
      <c r="C629">
        <f>"S401AROS"</f>
        <v>0</v>
      </c>
      <c r="D629">
        <v>4</v>
      </c>
      <c r="E629">
        <v>0</v>
      </c>
      <c r="F629" s="2">
        <v>0</v>
      </c>
      <c r="G629">
        <v>0</v>
      </c>
      <c r="H629">
        <v>2</v>
      </c>
      <c r="I629">
        <v>0.2269697188719599</v>
      </c>
      <c r="J629">
        <v>1</v>
      </c>
      <c r="K629">
        <v>1</v>
      </c>
      <c r="L629" s="2">
        <v>0</v>
      </c>
      <c r="M629">
        <v>8.58</v>
      </c>
      <c r="N629" t="s">
        <v>10236</v>
      </c>
    </row>
    <row r="630" spans="1:14">
      <c r="A630" t="s">
        <v>24</v>
      </c>
      <c r="B630" t="s">
        <v>814</v>
      </c>
      <c r="C630">
        <f>"1320061"</f>
        <v>0</v>
      </c>
      <c r="D630">
        <v>4</v>
      </c>
      <c r="E630">
        <v>0</v>
      </c>
      <c r="F630" s="2">
        <v>0</v>
      </c>
      <c r="G630">
        <v>0</v>
      </c>
      <c r="H630">
        <v>3</v>
      </c>
      <c r="I630">
        <v>0.2269697188719599</v>
      </c>
      <c r="J630">
        <v>1</v>
      </c>
      <c r="K630">
        <v>1</v>
      </c>
      <c r="L630" s="2">
        <v>0</v>
      </c>
      <c r="M630">
        <v>8.59</v>
      </c>
      <c r="N630" t="s">
        <v>10236</v>
      </c>
    </row>
    <row r="631" spans="1:14">
      <c r="A631" t="s">
        <v>35</v>
      </c>
      <c r="B631" t="s">
        <v>815</v>
      </c>
      <c r="C631">
        <f>"BIO08"</f>
        <v>0</v>
      </c>
      <c r="D631">
        <v>4</v>
      </c>
      <c r="E631">
        <v>0</v>
      </c>
      <c r="F631" s="2">
        <v>0</v>
      </c>
      <c r="G631">
        <v>0</v>
      </c>
      <c r="H631">
        <v>2</v>
      </c>
      <c r="I631">
        <v>0.2269697188719599</v>
      </c>
      <c r="J631">
        <v>1</v>
      </c>
      <c r="K631">
        <v>1</v>
      </c>
      <c r="L631" s="2">
        <v>0</v>
      </c>
      <c r="M631">
        <v>8.609999999999999</v>
      </c>
      <c r="N631" t="s">
        <v>10236</v>
      </c>
    </row>
    <row r="632" spans="1:14">
      <c r="A632" t="s">
        <v>32</v>
      </c>
      <c r="B632" t="s">
        <v>816</v>
      </c>
      <c r="C632">
        <f>"1020659"</f>
        <v>0</v>
      </c>
      <c r="D632">
        <v>4</v>
      </c>
      <c r="E632">
        <v>0</v>
      </c>
      <c r="F632" s="2">
        <v>0</v>
      </c>
      <c r="G632">
        <v>0</v>
      </c>
      <c r="H632">
        <v>1</v>
      </c>
      <c r="I632">
        <v>0.2269697188719599</v>
      </c>
      <c r="J632">
        <v>1</v>
      </c>
      <c r="K632">
        <v>1</v>
      </c>
      <c r="L632" s="2">
        <v>0</v>
      </c>
      <c r="M632">
        <v>8.619999999999999</v>
      </c>
      <c r="N632" t="s">
        <v>10236</v>
      </c>
    </row>
    <row r="633" spans="1:14">
      <c r="A633" t="s">
        <v>35</v>
      </c>
      <c r="B633" t="s">
        <v>817</v>
      </c>
      <c r="C633">
        <f>"HDD174ROS"</f>
        <v>0</v>
      </c>
      <c r="D633">
        <v>4</v>
      </c>
      <c r="E633">
        <v>0</v>
      </c>
      <c r="F633" s="2">
        <v>0</v>
      </c>
      <c r="G633">
        <v>0</v>
      </c>
      <c r="H633">
        <v>1</v>
      </c>
      <c r="I633">
        <v>0.2269697188719599</v>
      </c>
      <c r="J633">
        <v>1</v>
      </c>
      <c r="K633">
        <v>1</v>
      </c>
      <c r="L633" s="2">
        <v>0</v>
      </c>
      <c r="M633">
        <v>8.630000000000001</v>
      </c>
      <c r="N633" t="s">
        <v>10236</v>
      </c>
    </row>
    <row r="634" spans="1:14">
      <c r="A634" t="s">
        <v>35</v>
      </c>
      <c r="B634" t="s">
        <v>818</v>
      </c>
      <c r="C634">
        <f>"MCW152"</f>
        <v>0</v>
      </c>
      <c r="D634">
        <v>4</v>
      </c>
      <c r="E634">
        <v>0</v>
      </c>
      <c r="F634" s="2">
        <v>0</v>
      </c>
      <c r="G634">
        <v>0</v>
      </c>
      <c r="H634">
        <v>1</v>
      </c>
      <c r="I634">
        <v>0.2269697188719599</v>
      </c>
      <c r="J634">
        <v>1</v>
      </c>
      <c r="K634">
        <v>1</v>
      </c>
      <c r="L634" s="2">
        <v>0</v>
      </c>
      <c r="M634">
        <v>8.640000000000001</v>
      </c>
      <c r="N634" t="s">
        <v>10236</v>
      </c>
    </row>
    <row r="635" spans="1:14">
      <c r="A635" t="s">
        <v>35</v>
      </c>
      <c r="B635" t="s">
        <v>819</v>
      </c>
      <c r="C635">
        <f>"10080"</f>
        <v>0</v>
      </c>
      <c r="D635">
        <v>4</v>
      </c>
      <c r="E635">
        <v>0</v>
      </c>
      <c r="F635" s="2">
        <v>0</v>
      </c>
      <c r="G635">
        <v>0</v>
      </c>
      <c r="H635">
        <v>2</v>
      </c>
      <c r="I635">
        <v>0.2269697188719599</v>
      </c>
      <c r="J635">
        <v>1</v>
      </c>
      <c r="K635">
        <v>1</v>
      </c>
      <c r="L635" s="2">
        <v>0</v>
      </c>
      <c r="M635">
        <v>8.65</v>
      </c>
      <c r="N635" t="s">
        <v>10236</v>
      </c>
    </row>
    <row r="636" spans="1:14">
      <c r="A636" t="s">
        <v>24</v>
      </c>
      <c r="B636" t="s">
        <v>820</v>
      </c>
      <c r="C636">
        <f>"1110952"</f>
        <v>0</v>
      </c>
      <c r="D636">
        <v>4</v>
      </c>
      <c r="E636">
        <v>0</v>
      </c>
      <c r="F636" s="2">
        <v>0</v>
      </c>
      <c r="G636">
        <v>0</v>
      </c>
      <c r="H636">
        <v>2</v>
      </c>
      <c r="I636">
        <v>0.2269697188719599</v>
      </c>
      <c r="J636">
        <v>1</v>
      </c>
      <c r="K636">
        <v>1</v>
      </c>
      <c r="L636" s="2">
        <v>0</v>
      </c>
      <c r="M636">
        <v>8.67</v>
      </c>
      <c r="N636" t="s">
        <v>10236</v>
      </c>
    </row>
    <row r="637" spans="1:14">
      <c r="A637" t="s">
        <v>36</v>
      </c>
      <c r="B637" t="s">
        <v>821</v>
      </c>
      <c r="C637">
        <f>"1020910"</f>
        <v>0</v>
      </c>
      <c r="D637">
        <v>4</v>
      </c>
      <c r="E637">
        <v>0</v>
      </c>
      <c r="F637" s="2">
        <v>0</v>
      </c>
      <c r="G637">
        <v>0</v>
      </c>
      <c r="H637">
        <v>1</v>
      </c>
      <c r="I637">
        <v>0.2269697188719599</v>
      </c>
      <c r="J637">
        <v>1</v>
      </c>
      <c r="K637">
        <v>1</v>
      </c>
      <c r="L637" s="2">
        <v>0</v>
      </c>
      <c r="M637">
        <v>8.68</v>
      </c>
      <c r="N637" t="s">
        <v>10236</v>
      </c>
    </row>
    <row r="638" spans="1:14">
      <c r="A638" t="s">
        <v>35</v>
      </c>
      <c r="B638" t="s">
        <v>822</v>
      </c>
      <c r="C638">
        <f>"LS140"</f>
        <v>0</v>
      </c>
      <c r="D638">
        <v>4</v>
      </c>
      <c r="E638">
        <v>0</v>
      </c>
      <c r="F638" s="2">
        <v>0</v>
      </c>
      <c r="G638">
        <v>0</v>
      </c>
      <c r="H638">
        <v>3</v>
      </c>
      <c r="I638">
        <v>0.2269697188719599</v>
      </c>
      <c r="J638">
        <v>1</v>
      </c>
      <c r="K638">
        <v>1</v>
      </c>
      <c r="L638" s="2">
        <v>0</v>
      </c>
      <c r="M638">
        <v>8.69</v>
      </c>
      <c r="N638" t="s">
        <v>10236</v>
      </c>
    </row>
    <row r="639" spans="1:14">
      <c r="A639" t="s">
        <v>35</v>
      </c>
      <c r="B639" t="s">
        <v>823</v>
      </c>
      <c r="C639">
        <f>"HH196"</f>
        <v>0</v>
      </c>
      <c r="D639">
        <v>4</v>
      </c>
      <c r="E639">
        <v>0</v>
      </c>
      <c r="F639" s="2">
        <v>0</v>
      </c>
      <c r="G639">
        <v>0</v>
      </c>
      <c r="H639">
        <v>2</v>
      </c>
      <c r="I639">
        <v>0.2269697188719599</v>
      </c>
      <c r="J639">
        <v>1</v>
      </c>
      <c r="K639">
        <v>1</v>
      </c>
      <c r="L639" s="2">
        <v>0</v>
      </c>
      <c r="M639">
        <v>8.699999999999999</v>
      </c>
      <c r="N639" t="s">
        <v>10236</v>
      </c>
    </row>
    <row r="640" spans="1:14">
      <c r="A640" t="s">
        <v>40</v>
      </c>
      <c r="B640" t="s">
        <v>824</v>
      </c>
      <c r="C640">
        <f>"1759261396216"</f>
        <v>0</v>
      </c>
      <c r="D640">
        <v>4</v>
      </c>
      <c r="E640">
        <v>0</v>
      </c>
      <c r="F640" s="2">
        <v>0</v>
      </c>
      <c r="G640">
        <v>0</v>
      </c>
      <c r="H640">
        <v>2</v>
      </c>
      <c r="I640">
        <v>0.2269697188719599</v>
      </c>
      <c r="J640">
        <v>1</v>
      </c>
      <c r="K640">
        <v>1</v>
      </c>
      <c r="L640" s="2">
        <v>0</v>
      </c>
      <c r="M640">
        <v>8.710000000000001</v>
      </c>
      <c r="N640" t="s">
        <v>10236</v>
      </c>
    </row>
    <row r="641" spans="1:14">
      <c r="A641" t="s">
        <v>204</v>
      </c>
      <c r="B641" t="s">
        <v>825</v>
      </c>
      <c r="C641">
        <f>"12595478"</f>
        <v>0</v>
      </c>
      <c r="D641">
        <v>4</v>
      </c>
      <c r="E641">
        <v>0</v>
      </c>
      <c r="F641" s="2">
        <v>0</v>
      </c>
      <c r="G641">
        <v>0</v>
      </c>
      <c r="H641">
        <v>1</v>
      </c>
      <c r="I641">
        <v>0.2269697188719599</v>
      </c>
      <c r="J641">
        <v>1</v>
      </c>
      <c r="K641">
        <v>1</v>
      </c>
      <c r="L641" s="2">
        <v>0</v>
      </c>
      <c r="M641">
        <v>8.73</v>
      </c>
      <c r="N641" t="s">
        <v>10236</v>
      </c>
    </row>
    <row r="642" spans="1:14">
      <c r="A642" t="s">
        <v>202</v>
      </c>
      <c r="B642" t="s">
        <v>826</v>
      </c>
      <c r="C642">
        <f>"21002002"</f>
        <v>0</v>
      </c>
      <c r="D642">
        <v>4</v>
      </c>
      <c r="E642">
        <v>0</v>
      </c>
      <c r="F642" s="2">
        <v>0</v>
      </c>
      <c r="G642">
        <v>0</v>
      </c>
      <c r="H642">
        <v>2</v>
      </c>
      <c r="I642">
        <v>0.2269697188719599</v>
      </c>
      <c r="J642">
        <v>1</v>
      </c>
      <c r="K642">
        <v>1</v>
      </c>
      <c r="L642" s="2">
        <v>0</v>
      </c>
      <c r="M642">
        <v>8.74</v>
      </c>
      <c r="N642" t="s">
        <v>10236</v>
      </c>
    </row>
    <row r="643" spans="1:14">
      <c r="A643" t="s">
        <v>30</v>
      </c>
      <c r="B643" t="s">
        <v>827</v>
      </c>
      <c r="C643">
        <f>"101056"</f>
        <v>0</v>
      </c>
      <c r="D643">
        <v>4</v>
      </c>
      <c r="E643">
        <v>0</v>
      </c>
      <c r="F643" s="2">
        <v>0</v>
      </c>
      <c r="G643">
        <v>0</v>
      </c>
      <c r="H643">
        <v>2</v>
      </c>
      <c r="I643">
        <v>0.2269697188719599</v>
      </c>
      <c r="J643">
        <v>1</v>
      </c>
      <c r="K643">
        <v>1</v>
      </c>
      <c r="L643" s="2">
        <v>0</v>
      </c>
      <c r="M643">
        <v>8.75</v>
      </c>
      <c r="N643" t="s">
        <v>10236</v>
      </c>
    </row>
    <row r="644" spans="1:14">
      <c r="A644" t="s">
        <v>193</v>
      </c>
      <c r="B644" t="s">
        <v>828</v>
      </c>
      <c r="C644">
        <f>"826174"</f>
        <v>0</v>
      </c>
      <c r="D644">
        <v>4</v>
      </c>
      <c r="E644">
        <v>0</v>
      </c>
      <c r="F644" s="2">
        <v>0</v>
      </c>
      <c r="G644">
        <v>0</v>
      </c>
      <c r="H644">
        <v>3</v>
      </c>
      <c r="I644">
        <v>0.2269697188719599</v>
      </c>
      <c r="J644">
        <v>1</v>
      </c>
      <c r="K644">
        <v>1</v>
      </c>
      <c r="L644" s="2">
        <v>0</v>
      </c>
      <c r="M644">
        <v>8.76</v>
      </c>
      <c r="N644" t="s">
        <v>10236</v>
      </c>
    </row>
    <row r="645" spans="1:14">
      <c r="A645" t="s">
        <v>35</v>
      </c>
      <c r="B645" t="s">
        <v>829</v>
      </c>
      <c r="C645">
        <f>"2377"</f>
        <v>0</v>
      </c>
      <c r="D645">
        <v>4</v>
      </c>
      <c r="E645">
        <v>0</v>
      </c>
      <c r="F645" s="2">
        <v>0</v>
      </c>
      <c r="G645">
        <v>0</v>
      </c>
      <c r="H645">
        <v>2</v>
      </c>
      <c r="I645">
        <v>0.2269697188719599</v>
      </c>
      <c r="J645">
        <v>1</v>
      </c>
      <c r="K645">
        <v>1</v>
      </c>
      <c r="L645" s="2">
        <v>0</v>
      </c>
      <c r="M645">
        <v>8.77</v>
      </c>
      <c r="N645" t="s">
        <v>10236</v>
      </c>
    </row>
    <row r="646" spans="1:14">
      <c r="A646" t="s">
        <v>35</v>
      </c>
      <c r="B646" t="s">
        <v>830</v>
      </c>
      <c r="C646">
        <f>"CL02S"</f>
        <v>0</v>
      </c>
      <c r="D646">
        <v>4</v>
      </c>
      <c r="E646">
        <v>0</v>
      </c>
      <c r="F646" s="2">
        <v>0</v>
      </c>
      <c r="G646">
        <v>0</v>
      </c>
      <c r="H646">
        <v>2</v>
      </c>
      <c r="I646">
        <v>0.2269697188719599</v>
      </c>
      <c r="J646">
        <v>1</v>
      </c>
      <c r="K646">
        <v>1</v>
      </c>
      <c r="L646" s="2">
        <v>0</v>
      </c>
      <c r="M646">
        <v>8.789999999999999</v>
      </c>
      <c r="N646" t="s">
        <v>10236</v>
      </c>
    </row>
    <row r="647" spans="1:14">
      <c r="A647" t="s">
        <v>35</v>
      </c>
      <c r="B647" t="s">
        <v>831</v>
      </c>
      <c r="C647">
        <f>"CL01M"</f>
        <v>0</v>
      </c>
      <c r="D647">
        <v>4</v>
      </c>
      <c r="E647">
        <v>0</v>
      </c>
      <c r="F647" s="2">
        <v>0</v>
      </c>
      <c r="G647">
        <v>0</v>
      </c>
      <c r="H647">
        <v>3</v>
      </c>
      <c r="I647">
        <v>0.2269697188719599</v>
      </c>
      <c r="J647">
        <v>1</v>
      </c>
      <c r="K647">
        <v>1</v>
      </c>
      <c r="L647" s="2">
        <v>0</v>
      </c>
      <c r="M647">
        <v>8.800000000000001</v>
      </c>
      <c r="N647" t="s">
        <v>10236</v>
      </c>
    </row>
    <row r="648" spans="1:14">
      <c r="A648" t="s">
        <v>35</v>
      </c>
      <c r="B648" t="s">
        <v>832</v>
      </c>
      <c r="C648">
        <f>"LS141"</f>
        <v>0</v>
      </c>
      <c r="D648">
        <v>4</v>
      </c>
      <c r="E648">
        <v>0</v>
      </c>
      <c r="F648" s="2">
        <v>0</v>
      </c>
      <c r="G648">
        <v>0</v>
      </c>
      <c r="H648">
        <v>2</v>
      </c>
      <c r="I648">
        <v>0.2269697188719599</v>
      </c>
      <c r="J648">
        <v>1</v>
      </c>
      <c r="K648">
        <v>1</v>
      </c>
      <c r="L648" s="2">
        <v>0</v>
      </c>
      <c r="M648">
        <v>8.81</v>
      </c>
      <c r="N648" t="s">
        <v>10236</v>
      </c>
    </row>
    <row r="649" spans="1:14">
      <c r="A649" t="s">
        <v>32</v>
      </c>
      <c r="B649" t="s">
        <v>833</v>
      </c>
      <c r="C649">
        <f>"5005396"</f>
        <v>0</v>
      </c>
      <c r="D649">
        <v>4</v>
      </c>
      <c r="E649">
        <v>0</v>
      </c>
      <c r="F649" s="2">
        <v>0</v>
      </c>
      <c r="G649">
        <v>0</v>
      </c>
      <c r="H649">
        <v>2</v>
      </c>
      <c r="I649">
        <v>0.2269697188719599</v>
      </c>
      <c r="J649">
        <v>1</v>
      </c>
      <c r="K649">
        <v>1</v>
      </c>
      <c r="L649" s="2">
        <v>0</v>
      </c>
      <c r="M649">
        <v>8.82</v>
      </c>
      <c r="N649" t="s">
        <v>10236</v>
      </c>
    </row>
    <row r="650" spans="1:14">
      <c r="A650" t="s">
        <v>194</v>
      </c>
      <c r="B650" t="s">
        <v>834</v>
      </c>
      <c r="C650">
        <f>"100130015"</f>
        <v>0</v>
      </c>
      <c r="D650">
        <v>4</v>
      </c>
      <c r="E650">
        <v>0</v>
      </c>
      <c r="F650" s="2">
        <v>0</v>
      </c>
      <c r="G650">
        <v>0</v>
      </c>
      <c r="H650">
        <v>2</v>
      </c>
      <c r="I650">
        <v>0.2269697188719599</v>
      </c>
      <c r="J650">
        <v>1</v>
      </c>
      <c r="K650">
        <v>1</v>
      </c>
      <c r="L650" s="2">
        <v>0</v>
      </c>
      <c r="M650">
        <v>8.83</v>
      </c>
      <c r="N650" t="s">
        <v>10236</v>
      </c>
    </row>
    <row r="651" spans="1:14">
      <c r="A651" t="s">
        <v>202</v>
      </c>
      <c r="B651" t="s">
        <v>835</v>
      </c>
      <c r="C651">
        <f>"21001027"</f>
        <v>0</v>
      </c>
      <c r="D651">
        <v>4</v>
      </c>
      <c r="E651">
        <v>0</v>
      </c>
      <c r="F651" s="2">
        <v>0</v>
      </c>
      <c r="G651">
        <v>0</v>
      </c>
      <c r="H651">
        <v>3</v>
      </c>
      <c r="I651">
        <v>0.2269697188719599</v>
      </c>
      <c r="J651">
        <v>1</v>
      </c>
      <c r="K651">
        <v>1</v>
      </c>
      <c r="L651" s="2">
        <v>0</v>
      </c>
      <c r="M651">
        <v>8.85</v>
      </c>
      <c r="N651" t="s">
        <v>10236</v>
      </c>
    </row>
    <row r="652" spans="1:14">
      <c r="A652" t="s">
        <v>211</v>
      </c>
      <c r="B652" t="s">
        <v>836</v>
      </c>
      <c r="C652">
        <f>"PPPCSR2001"</f>
        <v>0</v>
      </c>
      <c r="D652">
        <v>4</v>
      </c>
      <c r="E652">
        <v>0</v>
      </c>
      <c r="F652" s="2">
        <v>0</v>
      </c>
      <c r="G652">
        <v>0</v>
      </c>
      <c r="H652">
        <v>2</v>
      </c>
      <c r="I652">
        <v>0.2269697188719599</v>
      </c>
      <c r="J652">
        <v>1</v>
      </c>
      <c r="K652">
        <v>1</v>
      </c>
      <c r="L652" s="2">
        <v>0</v>
      </c>
      <c r="M652">
        <v>8.859999999999999</v>
      </c>
      <c r="N652" t="s">
        <v>10236</v>
      </c>
    </row>
    <row r="653" spans="1:14">
      <c r="A653" t="s">
        <v>30</v>
      </c>
      <c r="B653" t="s">
        <v>837</v>
      </c>
      <c r="C653">
        <f>"100407"</f>
        <v>0</v>
      </c>
      <c r="D653">
        <v>4</v>
      </c>
      <c r="E653">
        <v>0</v>
      </c>
      <c r="F653" s="2">
        <v>0</v>
      </c>
      <c r="G653">
        <v>0</v>
      </c>
      <c r="H653">
        <v>2</v>
      </c>
      <c r="I653">
        <v>0.2269697188719599</v>
      </c>
      <c r="J653">
        <v>1</v>
      </c>
      <c r="K653">
        <v>1</v>
      </c>
      <c r="L653" s="2">
        <v>0</v>
      </c>
      <c r="M653">
        <v>8.869999999999999</v>
      </c>
      <c r="N653" t="s">
        <v>10236</v>
      </c>
    </row>
    <row r="654" spans="1:14">
      <c r="A654" t="s">
        <v>193</v>
      </c>
      <c r="B654" t="s">
        <v>838</v>
      </c>
      <c r="C654">
        <f>"826150"</f>
        <v>0</v>
      </c>
      <c r="D654">
        <v>4</v>
      </c>
      <c r="E654">
        <v>0</v>
      </c>
      <c r="F654" s="2">
        <v>0</v>
      </c>
      <c r="G654">
        <v>0</v>
      </c>
      <c r="H654">
        <v>1</v>
      </c>
      <c r="I654">
        <v>0.2269697188719599</v>
      </c>
      <c r="J654">
        <v>1</v>
      </c>
      <c r="K654">
        <v>1</v>
      </c>
      <c r="L654" s="2">
        <v>0</v>
      </c>
      <c r="M654">
        <v>8.880000000000001</v>
      </c>
      <c r="N654" t="s">
        <v>10236</v>
      </c>
    </row>
    <row r="655" spans="1:14">
      <c r="A655" t="s">
        <v>194</v>
      </c>
      <c r="B655" t="s">
        <v>839</v>
      </c>
      <c r="C655">
        <f>"20060750"</f>
        <v>0</v>
      </c>
      <c r="D655">
        <v>4</v>
      </c>
      <c r="E655">
        <v>0</v>
      </c>
      <c r="F655" s="2">
        <v>0</v>
      </c>
      <c r="G655">
        <v>0</v>
      </c>
      <c r="H655">
        <v>2</v>
      </c>
      <c r="I655">
        <v>0.2269697188719599</v>
      </c>
      <c r="J655">
        <v>1</v>
      </c>
      <c r="K655">
        <v>1</v>
      </c>
      <c r="L655" s="2">
        <v>0</v>
      </c>
      <c r="M655">
        <v>8.890000000000001</v>
      </c>
      <c r="N655" t="s">
        <v>10236</v>
      </c>
    </row>
    <row r="656" spans="1:14">
      <c r="A656" t="s">
        <v>35</v>
      </c>
      <c r="B656" t="s">
        <v>840</v>
      </c>
      <c r="C656">
        <f>"CT140ROS"</f>
        <v>0</v>
      </c>
      <c r="D656">
        <v>4</v>
      </c>
      <c r="E656">
        <v>0</v>
      </c>
      <c r="F656" s="2">
        <v>0</v>
      </c>
      <c r="G656">
        <v>0</v>
      </c>
      <c r="H656">
        <v>3</v>
      </c>
      <c r="I656">
        <v>0.2269697188719599</v>
      </c>
      <c r="J656">
        <v>1</v>
      </c>
      <c r="K656">
        <v>1</v>
      </c>
      <c r="L656" s="2">
        <v>0</v>
      </c>
      <c r="M656">
        <v>8.91</v>
      </c>
      <c r="N656" t="s">
        <v>10236</v>
      </c>
    </row>
    <row r="657" spans="1:14">
      <c r="A657" t="s">
        <v>35</v>
      </c>
      <c r="B657" t="s">
        <v>841</v>
      </c>
      <c r="C657">
        <f>"TC2001STAR"</f>
        <v>0</v>
      </c>
      <c r="D657">
        <v>4</v>
      </c>
      <c r="E657">
        <v>0</v>
      </c>
      <c r="F657" s="2">
        <v>0</v>
      </c>
      <c r="G657">
        <v>0</v>
      </c>
      <c r="H657">
        <v>3</v>
      </c>
      <c r="I657">
        <v>0.2269697188719599</v>
      </c>
      <c r="J657">
        <v>1</v>
      </c>
      <c r="K657">
        <v>1</v>
      </c>
      <c r="L657" s="2">
        <v>0</v>
      </c>
      <c r="M657">
        <v>8.92</v>
      </c>
      <c r="N657" t="s">
        <v>10236</v>
      </c>
    </row>
    <row r="658" spans="1:14">
      <c r="A658" t="s">
        <v>35</v>
      </c>
      <c r="B658" t="s">
        <v>842</v>
      </c>
      <c r="C658">
        <f>"CT119"</f>
        <v>0</v>
      </c>
      <c r="D658">
        <v>4</v>
      </c>
      <c r="E658">
        <v>0</v>
      </c>
      <c r="F658" s="2">
        <v>0</v>
      </c>
      <c r="G658">
        <v>0</v>
      </c>
      <c r="H658">
        <v>2</v>
      </c>
      <c r="I658">
        <v>0.2269697188719599</v>
      </c>
      <c r="J658">
        <v>1</v>
      </c>
      <c r="K658">
        <v>1</v>
      </c>
      <c r="L658" s="2">
        <v>0</v>
      </c>
      <c r="M658">
        <v>8.93</v>
      </c>
      <c r="N658" t="s">
        <v>10236</v>
      </c>
    </row>
    <row r="659" spans="1:14">
      <c r="A659" t="s">
        <v>35</v>
      </c>
      <c r="B659" t="s">
        <v>843</v>
      </c>
      <c r="C659">
        <f>"CT427"</f>
        <v>0</v>
      </c>
      <c r="D659">
        <v>4</v>
      </c>
      <c r="E659">
        <v>0</v>
      </c>
      <c r="F659" s="2">
        <v>0</v>
      </c>
      <c r="G659">
        <v>0</v>
      </c>
      <c r="H659">
        <v>2</v>
      </c>
      <c r="I659">
        <v>0.2269697188719599</v>
      </c>
      <c r="J659">
        <v>1</v>
      </c>
      <c r="K659">
        <v>1</v>
      </c>
      <c r="L659" s="2">
        <v>0</v>
      </c>
      <c r="M659">
        <v>8.94</v>
      </c>
      <c r="N659" t="s">
        <v>10236</v>
      </c>
    </row>
    <row r="660" spans="1:14">
      <c r="A660" t="s">
        <v>25</v>
      </c>
      <c r="B660" t="s">
        <v>844</v>
      </c>
      <c r="C660">
        <f>"5103CE"</f>
        <v>0</v>
      </c>
      <c r="D660">
        <v>4</v>
      </c>
      <c r="E660">
        <v>0</v>
      </c>
      <c r="F660" s="2">
        <v>0</v>
      </c>
      <c r="G660">
        <v>0</v>
      </c>
      <c r="H660">
        <v>2</v>
      </c>
      <c r="I660">
        <v>0.2269697188719599</v>
      </c>
      <c r="J660">
        <v>1</v>
      </c>
      <c r="K660">
        <v>1</v>
      </c>
      <c r="L660" s="2">
        <v>0</v>
      </c>
      <c r="M660">
        <v>8.949999999999999</v>
      </c>
      <c r="N660" t="s">
        <v>10236</v>
      </c>
    </row>
    <row r="661" spans="1:14">
      <c r="A661" t="s">
        <v>193</v>
      </c>
      <c r="B661" t="s">
        <v>845</v>
      </c>
      <c r="C661">
        <f>"826037"</f>
        <v>0</v>
      </c>
      <c r="D661">
        <v>4</v>
      </c>
      <c r="E661">
        <v>0</v>
      </c>
      <c r="F661" s="2">
        <v>0</v>
      </c>
      <c r="G661">
        <v>0</v>
      </c>
      <c r="H661">
        <v>1</v>
      </c>
      <c r="I661">
        <v>0.2269697188719599</v>
      </c>
      <c r="J661">
        <v>1</v>
      </c>
      <c r="K661">
        <v>1</v>
      </c>
      <c r="L661" s="2">
        <v>0</v>
      </c>
      <c r="M661">
        <v>8.970000000000001</v>
      </c>
      <c r="N661" t="s">
        <v>10236</v>
      </c>
    </row>
    <row r="662" spans="1:14">
      <c r="A662" t="s">
        <v>35</v>
      </c>
      <c r="B662" t="s">
        <v>846</v>
      </c>
      <c r="C662">
        <f>"H-GRIS"</f>
        <v>0</v>
      </c>
      <c r="D662">
        <v>4</v>
      </c>
      <c r="E662">
        <v>0</v>
      </c>
      <c r="F662" s="2">
        <v>0</v>
      </c>
      <c r="G662">
        <v>0</v>
      </c>
      <c r="H662">
        <v>3</v>
      </c>
      <c r="I662">
        <v>0.2269697188719599</v>
      </c>
      <c r="J662">
        <v>1</v>
      </c>
      <c r="K662">
        <v>1</v>
      </c>
      <c r="L662" s="2">
        <v>0</v>
      </c>
      <c r="M662">
        <v>8.98</v>
      </c>
      <c r="N662" t="s">
        <v>10236</v>
      </c>
    </row>
    <row r="663" spans="1:14">
      <c r="A663" t="s">
        <v>34</v>
      </c>
      <c r="B663" t="s">
        <v>847</v>
      </c>
      <c r="C663">
        <f>"14000165"</f>
        <v>0</v>
      </c>
      <c r="D663">
        <v>4</v>
      </c>
      <c r="E663">
        <v>0</v>
      </c>
      <c r="F663" s="2">
        <v>0</v>
      </c>
      <c r="G663">
        <v>0</v>
      </c>
      <c r="H663">
        <v>2</v>
      </c>
      <c r="I663">
        <v>0.2269697188719599</v>
      </c>
      <c r="J663">
        <v>1</v>
      </c>
      <c r="K663">
        <v>1</v>
      </c>
      <c r="L663" s="2">
        <v>0</v>
      </c>
      <c r="M663">
        <v>8.99</v>
      </c>
      <c r="N663" t="s">
        <v>10236</v>
      </c>
    </row>
    <row r="664" spans="1:14">
      <c r="A664" t="s">
        <v>203</v>
      </c>
      <c r="B664" t="s">
        <v>848</v>
      </c>
      <c r="C664">
        <f>"756246"</f>
        <v>0</v>
      </c>
      <c r="D664">
        <v>4</v>
      </c>
      <c r="E664">
        <v>0</v>
      </c>
      <c r="F664" s="2">
        <v>0</v>
      </c>
      <c r="G664">
        <v>0</v>
      </c>
      <c r="H664">
        <v>1</v>
      </c>
      <c r="I664">
        <v>0.2269697188719599</v>
      </c>
      <c r="J664">
        <v>1</v>
      </c>
      <c r="K664">
        <v>1</v>
      </c>
      <c r="L664" s="2">
        <v>0</v>
      </c>
      <c r="M664">
        <v>9</v>
      </c>
      <c r="N664" t="s">
        <v>10236</v>
      </c>
    </row>
    <row r="665" spans="1:14">
      <c r="A665" t="s">
        <v>35</v>
      </c>
      <c r="B665" t="s">
        <v>849</v>
      </c>
      <c r="C665">
        <f>"TF1052"</f>
        <v>0</v>
      </c>
      <c r="D665">
        <v>4</v>
      </c>
      <c r="E665">
        <v>0</v>
      </c>
      <c r="F665" s="2">
        <v>0</v>
      </c>
      <c r="G665">
        <v>0</v>
      </c>
      <c r="H665">
        <v>2</v>
      </c>
      <c r="I665">
        <v>0.2269697188719599</v>
      </c>
      <c r="J665">
        <v>1</v>
      </c>
      <c r="K665">
        <v>1</v>
      </c>
      <c r="L665" s="2">
        <v>0</v>
      </c>
      <c r="M665">
        <v>9.01</v>
      </c>
      <c r="N665" t="s">
        <v>10236</v>
      </c>
    </row>
    <row r="666" spans="1:14">
      <c r="A666" t="s">
        <v>193</v>
      </c>
      <c r="B666" t="s">
        <v>850</v>
      </c>
      <c r="C666">
        <f>"564349"</f>
        <v>0</v>
      </c>
      <c r="D666">
        <v>4</v>
      </c>
      <c r="E666">
        <v>0</v>
      </c>
      <c r="F666" s="2">
        <v>0</v>
      </c>
      <c r="G666">
        <v>0</v>
      </c>
      <c r="H666">
        <v>3</v>
      </c>
      <c r="I666">
        <v>0.2269697188719599</v>
      </c>
      <c r="J666">
        <v>1</v>
      </c>
      <c r="K666">
        <v>1</v>
      </c>
      <c r="L666" s="2">
        <v>0</v>
      </c>
      <c r="M666">
        <v>9.029999999999999</v>
      </c>
      <c r="N666" t="s">
        <v>10236</v>
      </c>
    </row>
    <row r="667" spans="1:14">
      <c r="A667" t="s">
        <v>193</v>
      </c>
      <c r="B667" t="s">
        <v>851</v>
      </c>
      <c r="C667">
        <f>"564394"</f>
        <v>0</v>
      </c>
      <c r="D667">
        <v>4</v>
      </c>
      <c r="E667">
        <v>0</v>
      </c>
      <c r="F667" s="2">
        <v>0</v>
      </c>
      <c r="G667">
        <v>0</v>
      </c>
      <c r="H667">
        <v>1</v>
      </c>
      <c r="I667">
        <v>0.2269697188719599</v>
      </c>
      <c r="J667">
        <v>1</v>
      </c>
      <c r="K667">
        <v>1</v>
      </c>
      <c r="L667" s="2">
        <v>0</v>
      </c>
      <c r="M667">
        <v>9.039999999999999</v>
      </c>
      <c r="N667" t="s">
        <v>10236</v>
      </c>
    </row>
    <row r="668" spans="1:14">
      <c r="A668" t="s">
        <v>35</v>
      </c>
      <c r="B668" t="s">
        <v>852</v>
      </c>
      <c r="C668">
        <f>"SPP04"</f>
        <v>0</v>
      </c>
      <c r="D668">
        <v>4</v>
      </c>
      <c r="E668">
        <v>0</v>
      </c>
      <c r="F668" s="2">
        <v>0</v>
      </c>
      <c r="G668">
        <v>0</v>
      </c>
      <c r="H668">
        <v>1</v>
      </c>
      <c r="I668">
        <v>0.2269697188719599</v>
      </c>
      <c r="J668">
        <v>1</v>
      </c>
      <c r="K668">
        <v>1</v>
      </c>
      <c r="L668" s="2">
        <v>0</v>
      </c>
      <c r="M668">
        <v>9.050000000000001</v>
      </c>
      <c r="N668" t="s">
        <v>10236</v>
      </c>
    </row>
    <row r="669" spans="1:14">
      <c r="A669" t="s">
        <v>35</v>
      </c>
      <c r="B669" t="s">
        <v>853</v>
      </c>
      <c r="C669">
        <f>"tc777xsS"</f>
        <v>0</v>
      </c>
      <c r="D669">
        <v>4</v>
      </c>
      <c r="E669">
        <v>0</v>
      </c>
      <c r="F669" s="2">
        <v>0</v>
      </c>
      <c r="G669">
        <v>0</v>
      </c>
      <c r="H669">
        <v>2</v>
      </c>
      <c r="I669">
        <v>0.2269697188719599</v>
      </c>
      <c r="J669">
        <v>1</v>
      </c>
      <c r="K669">
        <v>1</v>
      </c>
      <c r="L669" s="2">
        <v>0</v>
      </c>
      <c r="M669">
        <v>9.06</v>
      </c>
      <c r="N669" t="s">
        <v>10236</v>
      </c>
    </row>
    <row r="670" spans="1:14">
      <c r="A670" t="s">
        <v>35</v>
      </c>
      <c r="B670" t="s">
        <v>854</v>
      </c>
      <c r="C670">
        <f>"HP111XXS"</f>
        <v>0</v>
      </c>
      <c r="D670">
        <v>4</v>
      </c>
      <c r="E670">
        <v>0</v>
      </c>
      <c r="F670" s="2">
        <v>0</v>
      </c>
      <c r="G670">
        <v>0</v>
      </c>
      <c r="H670">
        <v>2</v>
      </c>
      <c r="I670">
        <v>0.2269697188719599</v>
      </c>
      <c r="J670">
        <v>1</v>
      </c>
      <c r="K670">
        <v>1</v>
      </c>
      <c r="L670" s="2">
        <v>0</v>
      </c>
      <c r="M670">
        <v>9.07</v>
      </c>
      <c r="N670" t="s">
        <v>10236</v>
      </c>
    </row>
    <row r="671" spans="1:14">
      <c r="A671" t="s">
        <v>35</v>
      </c>
      <c r="B671" t="s">
        <v>855</v>
      </c>
      <c r="C671">
        <f>"kf8091B"</f>
        <v>0</v>
      </c>
      <c r="D671">
        <v>4</v>
      </c>
      <c r="E671">
        <v>0</v>
      </c>
      <c r="F671" s="2">
        <v>0</v>
      </c>
      <c r="G671">
        <v>0</v>
      </c>
      <c r="H671">
        <v>3</v>
      </c>
      <c r="I671">
        <v>0.2269697188719599</v>
      </c>
      <c r="J671">
        <v>1</v>
      </c>
      <c r="K671">
        <v>1</v>
      </c>
      <c r="L671" s="2">
        <v>0</v>
      </c>
      <c r="M671">
        <v>9.09</v>
      </c>
      <c r="N671" t="s">
        <v>10236</v>
      </c>
    </row>
    <row r="672" spans="1:14">
      <c r="A672" t="s">
        <v>204</v>
      </c>
      <c r="B672" t="s">
        <v>856</v>
      </c>
      <c r="C672">
        <f>"12450610"</f>
        <v>0</v>
      </c>
      <c r="D672">
        <v>4</v>
      </c>
      <c r="E672">
        <v>0</v>
      </c>
      <c r="F672" s="2">
        <v>0</v>
      </c>
      <c r="G672">
        <v>0</v>
      </c>
      <c r="H672">
        <v>2</v>
      </c>
      <c r="I672">
        <v>0.2269697188719599</v>
      </c>
      <c r="J672">
        <v>1</v>
      </c>
      <c r="K672">
        <v>1</v>
      </c>
      <c r="L672" s="2">
        <v>0</v>
      </c>
      <c r="M672">
        <v>9.1</v>
      </c>
      <c r="N672" t="s">
        <v>10236</v>
      </c>
    </row>
    <row r="673" spans="1:14">
      <c r="A673" t="s">
        <v>35</v>
      </c>
      <c r="B673" t="s">
        <v>857</v>
      </c>
      <c r="C673">
        <f>"TF1012"</f>
        <v>0</v>
      </c>
      <c r="D673">
        <v>4</v>
      </c>
      <c r="E673">
        <v>0</v>
      </c>
      <c r="F673" s="2">
        <v>0</v>
      </c>
      <c r="G673">
        <v>0</v>
      </c>
      <c r="H673">
        <v>1</v>
      </c>
      <c r="I673">
        <v>0.2269697188719599</v>
      </c>
      <c r="J673">
        <v>1</v>
      </c>
      <c r="K673">
        <v>1</v>
      </c>
      <c r="L673" s="2">
        <v>0</v>
      </c>
      <c r="M673">
        <v>9.109999999999999</v>
      </c>
      <c r="N673" t="s">
        <v>10236</v>
      </c>
    </row>
    <row r="674" spans="1:14">
      <c r="A674" t="s">
        <v>35</v>
      </c>
      <c r="B674" t="s">
        <v>858</v>
      </c>
      <c r="C674">
        <f>"1040HIELO"</f>
        <v>0</v>
      </c>
      <c r="D674">
        <v>4</v>
      </c>
      <c r="E674">
        <v>0</v>
      </c>
      <c r="F674" s="2">
        <v>0</v>
      </c>
      <c r="G674">
        <v>0</v>
      </c>
      <c r="H674">
        <v>2</v>
      </c>
      <c r="I674">
        <v>0.2269697188719599</v>
      </c>
      <c r="J674">
        <v>1</v>
      </c>
      <c r="K674">
        <v>1</v>
      </c>
      <c r="L674" s="2">
        <v>0</v>
      </c>
      <c r="M674">
        <v>9.119999999999999</v>
      </c>
      <c r="N674" t="s">
        <v>10236</v>
      </c>
    </row>
    <row r="675" spans="1:14">
      <c r="A675" t="s">
        <v>35</v>
      </c>
      <c r="B675" t="s">
        <v>859</v>
      </c>
      <c r="C675">
        <f>"D069L"</f>
        <v>0</v>
      </c>
      <c r="D675">
        <v>3</v>
      </c>
      <c r="E675">
        <v>0</v>
      </c>
      <c r="F675" s="2">
        <v>0</v>
      </c>
      <c r="G675">
        <v>0</v>
      </c>
      <c r="H675">
        <v>2</v>
      </c>
      <c r="I675">
        <v>0.2268698854903319</v>
      </c>
      <c r="J675">
        <v>1</v>
      </c>
      <c r="K675">
        <v>1</v>
      </c>
      <c r="L675" s="2">
        <v>0</v>
      </c>
      <c r="M675">
        <v>9.130000000000001</v>
      </c>
      <c r="N675" t="s">
        <v>10236</v>
      </c>
    </row>
    <row r="676" spans="1:14">
      <c r="A676" t="s">
        <v>29</v>
      </c>
      <c r="B676" t="s">
        <v>860</v>
      </c>
      <c r="C676">
        <f>"77506"</f>
        <v>0</v>
      </c>
      <c r="D676">
        <v>2</v>
      </c>
      <c r="E676">
        <v>0</v>
      </c>
      <c r="F676" s="2">
        <v>0</v>
      </c>
      <c r="G676">
        <v>0</v>
      </c>
      <c r="H676">
        <v>1</v>
      </c>
      <c r="I676">
        <v>0.226858794502213</v>
      </c>
      <c r="J676">
        <v>0</v>
      </c>
      <c r="K676">
        <v>0</v>
      </c>
      <c r="L676" s="2">
        <v>0</v>
      </c>
      <c r="M676">
        <v>9.15</v>
      </c>
      <c r="N676" t="s">
        <v>10236</v>
      </c>
    </row>
    <row r="677" spans="1:14">
      <c r="A677" t="s">
        <v>35</v>
      </c>
      <c r="B677" t="s">
        <v>861</v>
      </c>
      <c r="C677">
        <f>"FB010MNB"</f>
        <v>0</v>
      </c>
      <c r="D677">
        <v>1</v>
      </c>
      <c r="E677">
        <v>28</v>
      </c>
      <c r="F677" s="2">
        <v>3</v>
      </c>
      <c r="G677">
        <v>112</v>
      </c>
      <c r="H677">
        <v>1</v>
      </c>
      <c r="I677">
        <v>0.2268299043754278</v>
      </c>
      <c r="J677">
        <v>0</v>
      </c>
      <c r="K677">
        <v>0</v>
      </c>
      <c r="L677" s="2">
        <v>0</v>
      </c>
      <c r="M677">
        <v>9.16</v>
      </c>
      <c r="N677" t="s">
        <v>10236</v>
      </c>
    </row>
    <row r="678" spans="1:14">
      <c r="A678" t="s">
        <v>193</v>
      </c>
      <c r="B678" t="s">
        <v>862</v>
      </c>
      <c r="C678">
        <f>"564202"</f>
        <v>0</v>
      </c>
      <c r="D678">
        <v>3</v>
      </c>
      <c r="E678">
        <v>0</v>
      </c>
      <c r="F678" s="2">
        <v>0</v>
      </c>
      <c r="G678">
        <v>0</v>
      </c>
      <c r="H678">
        <v>3</v>
      </c>
      <c r="I678">
        <v>0.2267672992834354</v>
      </c>
      <c r="J678">
        <v>1</v>
      </c>
      <c r="K678">
        <v>1</v>
      </c>
      <c r="L678" s="2">
        <v>0</v>
      </c>
      <c r="M678">
        <v>9.17</v>
      </c>
      <c r="N678" t="s">
        <v>10236</v>
      </c>
    </row>
    <row r="679" spans="1:14">
      <c r="A679" t="s">
        <v>214</v>
      </c>
      <c r="B679" t="s">
        <v>863</v>
      </c>
      <c r="C679">
        <f>"34035"</f>
        <v>0</v>
      </c>
      <c r="D679">
        <v>3</v>
      </c>
      <c r="E679">
        <v>0</v>
      </c>
      <c r="F679" s="2">
        <v>0</v>
      </c>
      <c r="G679">
        <v>0</v>
      </c>
      <c r="H679">
        <v>1</v>
      </c>
      <c r="I679">
        <v>0.2267298499933746</v>
      </c>
      <c r="J679">
        <v>1</v>
      </c>
      <c r="K679">
        <v>1</v>
      </c>
      <c r="L679" s="2">
        <v>0</v>
      </c>
      <c r="M679">
        <v>9.18</v>
      </c>
      <c r="N679" t="s">
        <v>10236</v>
      </c>
    </row>
    <row r="680" spans="1:14">
      <c r="A680" t="s">
        <v>35</v>
      </c>
      <c r="B680" t="s">
        <v>864</v>
      </c>
      <c r="C680">
        <f>"BRI1"</f>
        <v>0</v>
      </c>
      <c r="D680">
        <v>3</v>
      </c>
      <c r="E680">
        <v>0</v>
      </c>
      <c r="F680" s="2">
        <v>0</v>
      </c>
      <c r="G680">
        <v>0</v>
      </c>
      <c r="H680">
        <v>1</v>
      </c>
      <c r="I680">
        <v>0.2266217617580805</v>
      </c>
      <c r="J680">
        <v>1</v>
      </c>
      <c r="K680">
        <v>1</v>
      </c>
      <c r="L680" s="2">
        <v>0</v>
      </c>
      <c r="M680">
        <v>9.19</v>
      </c>
      <c r="N680" t="s">
        <v>10236</v>
      </c>
    </row>
    <row r="681" spans="1:14">
      <c r="A681" t="s">
        <v>41</v>
      </c>
      <c r="B681" t="s">
        <v>865</v>
      </c>
      <c r="C681">
        <f>"502048"</f>
        <v>0</v>
      </c>
      <c r="D681">
        <v>3</v>
      </c>
      <c r="E681">
        <v>0</v>
      </c>
      <c r="F681" s="2">
        <v>0</v>
      </c>
      <c r="G681">
        <v>0</v>
      </c>
      <c r="H681">
        <v>1</v>
      </c>
      <c r="I681">
        <v>0.2266080954294801</v>
      </c>
      <c r="J681">
        <v>1</v>
      </c>
      <c r="K681">
        <v>1</v>
      </c>
      <c r="L681" s="2">
        <v>0</v>
      </c>
      <c r="M681">
        <v>9.210000000000001</v>
      </c>
      <c r="N681" t="s">
        <v>10236</v>
      </c>
    </row>
    <row r="682" spans="1:14">
      <c r="A682" t="s">
        <v>203</v>
      </c>
      <c r="B682" t="s">
        <v>866</v>
      </c>
      <c r="C682">
        <f>"756256"</f>
        <v>0</v>
      </c>
      <c r="D682">
        <v>3</v>
      </c>
      <c r="E682">
        <v>0</v>
      </c>
      <c r="F682" s="2">
        <v>0</v>
      </c>
      <c r="G682">
        <v>0</v>
      </c>
      <c r="H682">
        <v>1</v>
      </c>
      <c r="I682">
        <v>0.2266001086140643</v>
      </c>
      <c r="J682">
        <v>1</v>
      </c>
      <c r="K682">
        <v>1</v>
      </c>
      <c r="L682" s="2">
        <v>0</v>
      </c>
      <c r="M682">
        <v>9.220000000000001</v>
      </c>
      <c r="N682" t="s">
        <v>10236</v>
      </c>
    </row>
    <row r="683" spans="1:14">
      <c r="A683" t="s">
        <v>203</v>
      </c>
      <c r="B683" t="s">
        <v>867</v>
      </c>
      <c r="C683">
        <f>"756226"</f>
        <v>0</v>
      </c>
      <c r="D683">
        <v>3</v>
      </c>
      <c r="E683">
        <v>0</v>
      </c>
      <c r="F683" s="2">
        <v>0</v>
      </c>
      <c r="G683">
        <v>0</v>
      </c>
      <c r="H683">
        <v>1</v>
      </c>
      <c r="I683">
        <v>0.2266001086140643</v>
      </c>
      <c r="J683">
        <v>1</v>
      </c>
      <c r="K683">
        <v>1</v>
      </c>
      <c r="L683" s="2">
        <v>0</v>
      </c>
      <c r="M683">
        <v>9.23</v>
      </c>
      <c r="N683" t="s">
        <v>10236</v>
      </c>
    </row>
    <row r="684" spans="1:14">
      <c r="A684" t="s">
        <v>35</v>
      </c>
      <c r="B684" t="s">
        <v>868</v>
      </c>
      <c r="C684">
        <f>"ER190"</f>
        <v>0</v>
      </c>
      <c r="D684">
        <v>2</v>
      </c>
      <c r="E684">
        <v>0</v>
      </c>
      <c r="F684" s="2">
        <v>0</v>
      </c>
      <c r="G684">
        <v>0</v>
      </c>
      <c r="H684">
        <v>2</v>
      </c>
      <c r="I684">
        <v>0.2265615074839576</v>
      </c>
      <c r="J684">
        <v>0</v>
      </c>
      <c r="K684">
        <v>0</v>
      </c>
      <c r="L684" s="2">
        <v>0</v>
      </c>
      <c r="M684">
        <v>9.24</v>
      </c>
      <c r="N684" t="s">
        <v>10236</v>
      </c>
    </row>
    <row r="685" spans="1:14">
      <c r="A685" t="s">
        <v>25</v>
      </c>
      <c r="B685" t="s">
        <v>869</v>
      </c>
      <c r="C685">
        <f>"ZVP400VE"</f>
        <v>0</v>
      </c>
      <c r="D685">
        <v>3</v>
      </c>
      <c r="E685">
        <v>0</v>
      </c>
      <c r="F685" s="2">
        <v>0</v>
      </c>
      <c r="G685">
        <v>0</v>
      </c>
      <c r="H685">
        <v>2</v>
      </c>
      <c r="I685">
        <v>0.2264730295065593</v>
      </c>
      <c r="J685">
        <v>1</v>
      </c>
      <c r="K685">
        <v>1</v>
      </c>
      <c r="L685" s="2">
        <v>0</v>
      </c>
      <c r="M685">
        <v>9.25</v>
      </c>
      <c r="N685" t="s">
        <v>10236</v>
      </c>
    </row>
    <row r="686" spans="1:14">
      <c r="A686" t="s">
        <v>35</v>
      </c>
      <c r="B686" t="s">
        <v>870</v>
      </c>
      <c r="C686">
        <f>"9001161R"</f>
        <v>0</v>
      </c>
      <c r="D686">
        <v>3</v>
      </c>
      <c r="E686">
        <v>0</v>
      </c>
      <c r="F686" s="2">
        <v>0</v>
      </c>
      <c r="G686">
        <v>0</v>
      </c>
      <c r="H686">
        <v>2</v>
      </c>
      <c r="I686">
        <v>0.2264433895471272</v>
      </c>
      <c r="J686">
        <v>1</v>
      </c>
      <c r="K686">
        <v>1</v>
      </c>
      <c r="L686" s="2">
        <v>0</v>
      </c>
      <c r="M686">
        <v>9.27</v>
      </c>
      <c r="N686" t="s">
        <v>10236</v>
      </c>
    </row>
    <row r="687" spans="1:14">
      <c r="A687" t="s">
        <v>35</v>
      </c>
      <c r="B687" t="s">
        <v>871</v>
      </c>
      <c r="C687">
        <f>"9001162G"</f>
        <v>0</v>
      </c>
      <c r="D687">
        <v>3</v>
      </c>
      <c r="E687">
        <v>0</v>
      </c>
      <c r="F687" s="2">
        <v>0</v>
      </c>
      <c r="G687">
        <v>0</v>
      </c>
      <c r="H687">
        <v>2</v>
      </c>
      <c r="I687">
        <v>0.2264432120623402</v>
      </c>
      <c r="J687">
        <v>1</v>
      </c>
      <c r="K687">
        <v>1</v>
      </c>
      <c r="L687" s="2">
        <v>0</v>
      </c>
      <c r="M687">
        <v>9.279999999999999</v>
      </c>
      <c r="N687" t="s">
        <v>10236</v>
      </c>
    </row>
    <row r="688" spans="1:14">
      <c r="A688" t="s">
        <v>33</v>
      </c>
      <c r="B688" t="s">
        <v>872</v>
      </c>
      <c r="C688">
        <f>"TOPK92039"</f>
        <v>0</v>
      </c>
      <c r="D688">
        <v>74</v>
      </c>
      <c r="E688">
        <v>15</v>
      </c>
      <c r="F688" s="2">
        <v>14</v>
      </c>
      <c r="G688">
        <v>0.8100000000000001</v>
      </c>
      <c r="H688">
        <v>4</v>
      </c>
      <c r="I688">
        <v>0.2263975607248466</v>
      </c>
      <c r="J688">
        <v>18</v>
      </c>
      <c r="K688">
        <v>3</v>
      </c>
      <c r="L688" s="2">
        <v>42</v>
      </c>
      <c r="M688">
        <v>9.289999999999999</v>
      </c>
      <c r="N688" t="s">
        <v>10235</v>
      </c>
    </row>
    <row r="689" spans="1:14">
      <c r="A689" t="s">
        <v>215</v>
      </c>
      <c r="B689" t="s">
        <v>873</v>
      </c>
      <c r="C689">
        <f>"227302"</f>
        <v>0</v>
      </c>
      <c r="D689">
        <v>2</v>
      </c>
      <c r="E689">
        <v>0</v>
      </c>
      <c r="F689" s="2">
        <v>0</v>
      </c>
      <c r="G689">
        <v>0</v>
      </c>
      <c r="H689">
        <v>2</v>
      </c>
      <c r="I689">
        <v>0.2263685815204688</v>
      </c>
      <c r="J689">
        <v>0</v>
      </c>
      <c r="K689">
        <v>0</v>
      </c>
      <c r="L689" s="2">
        <v>0</v>
      </c>
      <c r="M689">
        <v>9.300000000000001</v>
      </c>
      <c r="N689" t="s">
        <v>10236</v>
      </c>
    </row>
    <row r="690" spans="1:14">
      <c r="A690" t="s">
        <v>214</v>
      </c>
      <c r="B690" t="s">
        <v>874</v>
      </c>
      <c r="C690">
        <f>"40374"</f>
        <v>0</v>
      </c>
      <c r="D690">
        <v>3</v>
      </c>
      <c r="E690">
        <v>0</v>
      </c>
      <c r="F690" s="2">
        <v>0</v>
      </c>
      <c r="G690">
        <v>0</v>
      </c>
      <c r="H690">
        <v>1</v>
      </c>
      <c r="I690">
        <v>0.226255433157675</v>
      </c>
      <c r="J690">
        <v>1</v>
      </c>
      <c r="K690">
        <v>1</v>
      </c>
      <c r="L690" s="2">
        <v>0</v>
      </c>
      <c r="M690">
        <v>9.31</v>
      </c>
      <c r="N690" t="s">
        <v>10236</v>
      </c>
    </row>
    <row r="691" spans="1:14">
      <c r="A691" t="s">
        <v>25</v>
      </c>
      <c r="B691" t="s">
        <v>875</v>
      </c>
      <c r="C691">
        <f>"3541"</f>
        <v>0</v>
      </c>
      <c r="D691">
        <v>3</v>
      </c>
      <c r="E691">
        <v>0</v>
      </c>
      <c r="F691" s="2">
        <v>0</v>
      </c>
      <c r="G691">
        <v>0</v>
      </c>
      <c r="H691">
        <v>2</v>
      </c>
      <c r="I691">
        <v>0.226255433157675</v>
      </c>
      <c r="J691">
        <v>1</v>
      </c>
      <c r="K691">
        <v>1</v>
      </c>
      <c r="L691" s="2">
        <v>0</v>
      </c>
      <c r="M691">
        <v>9.33</v>
      </c>
      <c r="N691" t="s">
        <v>10236</v>
      </c>
    </row>
    <row r="692" spans="1:14">
      <c r="A692" t="s">
        <v>25</v>
      </c>
      <c r="B692" t="s">
        <v>876</v>
      </c>
      <c r="C692">
        <f>"S0463ROJ"</f>
        <v>0</v>
      </c>
      <c r="D692">
        <v>3</v>
      </c>
      <c r="E692">
        <v>0</v>
      </c>
      <c r="F692" s="2">
        <v>0</v>
      </c>
      <c r="G692">
        <v>0</v>
      </c>
      <c r="H692">
        <v>1</v>
      </c>
      <c r="I692">
        <v>0.226255433157675</v>
      </c>
      <c r="J692">
        <v>1</v>
      </c>
      <c r="K692">
        <v>1</v>
      </c>
      <c r="L692" s="2">
        <v>0</v>
      </c>
      <c r="M692">
        <v>9.34</v>
      </c>
      <c r="N692" t="s">
        <v>10236</v>
      </c>
    </row>
    <row r="693" spans="1:14">
      <c r="A693" t="s">
        <v>35</v>
      </c>
      <c r="B693" t="s">
        <v>877</v>
      </c>
      <c r="C693">
        <f>"TQ881N"</f>
        <v>0</v>
      </c>
      <c r="D693">
        <v>3</v>
      </c>
      <c r="E693">
        <v>0</v>
      </c>
      <c r="F693" s="2">
        <v>0</v>
      </c>
      <c r="G693">
        <v>0</v>
      </c>
      <c r="H693">
        <v>2</v>
      </c>
      <c r="I693">
        <v>0.226255433157675</v>
      </c>
      <c r="J693">
        <v>1</v>
      </c>
      <c r="K693">
        <v>1</v>
      </c>
      <c r="L693" s="2">
        <v>0</v>
      </c>
      <c r="M693">
        <v>9.35</v>
      </c>
      <c r="N693" t="s">
        <v>10236</v>
      </c>
    </row>
    <row r="694" spans="1:14">
      <c r="A694" t="s">
        <v>35</v>
      </c>
      <c r="B694" t="s">
        <v>878</v>
      </c>
      <c r="C694">
        <f>"TQ881V"</f>
        <v>0</v>
      </c>
      <c r="D694">
        <v>3</v>
      </c>
      <c r="E694">
        <v>0</v>
      </c>
      <c r="F694" s="2">
        <v>0</v>
      </c>
      <c r="G694">
        <v>0</v>
      </c>
      <c r="H694">
        <v>2</v>
      </c>
      <c r="I694">
        <v>0.226255433157675</v>
      </c>
      <c r="J694">
        <v>1</v>
      </c>
      <c r="K694">
        <v>1</v>
      </c>
      <c r="L694" s="2">
        <v>0</v>
      </c>
      <c r="M694">
        <v>9.359999999999999</v>
      </c>
      <c r="N694" t="s">
        <v>10236</v>
      </c>
    </row>
    <row r="695" spans="1:14">
      <c r="A695" t="s">
        <v>25</v>
      </c>
      <c r="B695" t="s">
        <v>879</v>
      </c>
      <c r="C695">
        <f>"ZVP2156"</f>
        <v>0</v>
      </c>
      <c r="D695">
        <v>3</v>
      </c>
      <c r="E695">
        <v>0</v>
      </c>
      <c r="F695" s="2">
        <v>0</v>
      </c>
      <c r="G695">
        <v>0</v>
      </c>
      <c r="H695">
        <v>1</v>
      </c>
      <c r="I695">
        <v>0.226255433157675</v>
      </c>
      <c r="J695">
        <v>1</v>
      </c>
      <c r="K695">
        <v>1</v>
      </c>
      <c r="L695" s="2">
        <v>0</v>
      </c>
      <c r="M695">
        <v>9.369999999999999</v>
      </c>
      <c r="N695" t="s">
        <v>10236</v>
      </c>
    </row>
    <row r="696" spans="1:14">
      <c r="A696" t="s">
        <v>25</v>
      </c>
      <c r="B696" t="s">
        <v>880</v>
      </c>
      <c r="C696">
        <f>"TR053"</f>
        <v>0</v>
      </c>
      <c r="D696">
        <v>3</v>
      </c>
      <c r="E696">
        <v>0</v>
      </c>
      <c r="F696" s="2">
        <v>0</v>
      </c>
      <c r="G696">
        <v>0</v>
      </c>
      <c r="H696">
        <v>2</v>
      </c>
      <c r="I696">
        <v>0.226255433157675</v>
      </c>
      <c r="J696">
        <v>1</v>
      </c>
      <c r="K696">
        <v>1</v>
      </c>
      <c r="L696" s="2">
        <v>0</v>
      </c>
      <c r="M696">
        <v>9.390000000000001</v>
      </c>
      <c r="N696" t="s">
        <v>10236</v>
      </c>
    </row>
    <row r="697" spans="1:14">
      <c r="A697" t="s">
        <v>35</v>
      </c>
      <c r="B697" t="s">
        <v>881</v>
      </c>
      <c r="C697">
        <f>"10103"</f>
        <v>0</v>
      </c>
      <c r="D697">
        <v>3</v>
      </c>
      <c r="E697">
        <v>0</v>
      </c>
      <c r="F697" s="2">
        <v>0</v>
      </c>
      <c r="G697">
        <v>0</v>
      </c>
      <c r="H697">
        <v>1</v>
      </c>
      <c r="I697">
        <v>0.226255433157675</v>
      </c>
      <c r="J697">
        <v>1</v>
      </c>
      <c r="K697">
        <v>1</v>
      </c>
      <c r="L697" s="2">
        <v>0</v>
      </c>
      <c r="M697">
        <v>9.4</v>
      </c>
      <c r="N697" t="s">
        <v>10236</v>
      </c>
    </row>
    <row r="698" spans="1:14">
      <c r="A698" t="s">
        <v>29</v>
      </c>
      <c r="B698" t="s">
        <v>882</v>
      </c>
      <c r="C698">
        <f>"20711"</f>
        <v>0</v>
      </c>
      <c r="D698">
        <v>3</v>
      </c>
      <c r="E698">
        <v>0</v>
      </c>
      <c r="F698" s="2">
        <v>0</v>
      </c>
      <c r="G698">
        <v>0</v>
      </c>
      <c r="H698">
        <v>1</v>
      </c>
      <c r="I698">
        <v>0.226255433157675</v>
      </c>
      <c r="J698">
        <v>1</v>
      </c>
      <c r="K698">
        <v>1</v>
      </c>
      <c r="L698" s="2">
        <v>0</v>
      </c>
      <c r="M698">
        <v>9.41</v>
      </c>
      <c r="N698" t="s">
        <v>10236</v>
      </c>
    </row>
    <row r="699" spans="1:14">
      <c r="A699" t="s">
        <v>35</v>
      </c>
      <c r="B699" t="s">
        <v>883</v>
      </c>
      <c r="C699">
        <f>"ZCM10G"</f>
        <v>0</v>
      </c>
      <c r="D699">
        <v>3</v>
      </c>
      <c r="E699">
        <v>0</v>
      </c>
      <c r="F699" s="2">
        <v>0</v>
      </c>
      <c r="G699">
        <v>0</v>
      </c>
      <c r="H699">
        <v>2</v>
      </c>
      <c r="I699">
        <v>0.226255433157675</v>
      </c>
      <c r="J699">
        <v>1</v>
      </c>
      <c r="K699">
        <v>1</v>
      </c>
      <c r="L699" s="2">
        <v>0</v>
      </c>
      <c r="M699">
        <v>9.42</v>
      </c>
      <c r="N699" t="s">
        <v>10236</v>
      </c>
    </row>
    <row r="700" spans="1:14">
      <c r="A700" t="s">
        <v>196</v>
      </c>
      <c r="B700" t="s">
        <v>884</v>
      </c>
      <c r="C700">
        <f>"2120"</f>
        <v>0</v>
      </c>
      <c r="D700">
        <v>3</v>
      </c>
      <c r="E700">
        <v>0</v>
      </c>
      <c r="F700" s="2">
        <v>0</v>
      </c>
      <c r="G700">
        <v>0</v>
      </c>
      <c r="H700">
        <v>2</v>
      </c>
      <c r="I700">
        <v>0.226255433157675</v>
      </c>
      <c r="J700">
        <v>1</v>
      </c>
      <c r="K700">
        <v>1</v>
      </c>
      <c r="L700" s="2">
        <v>0</v>
      </c>
      <c r="M700">
        <v>9.43</v>
      </c>
      <c r="N700" t="s">
        <v>10236</v>
      </c>
    </row>
    <row r="701" spans="1:14">
      <c r="A701" t="s">
        <v>194</v>
      </c>
      <c r="B701" t="s">
        <v>885</v>
      </c>
      <c r="C701">
        <f>"600200"</f>
        <v>0</v>
      </c>
      <c r="D701">
        <v>3</v>
      </c>
      <c r="E701">
        <v>0</v>
      </c>
      <c r="F701" s="2">
        <v>0</v>
      </c>
      <c r="G701">
        <v>0</v>
      </c>
      <c r="H701">
        <v>3</v>
      </c>
      <c r="I701">
        <v>0.226255433157675</v>
      </c>
      <c r="J701">
        <v>1</v>
      </c>
      <c r="K701">
        <v>1</v>
      </c>
      <c r="L701" s="2">
        <v>0</v>
      </c>
      <c r="M701">
        <v>9.449999999999999</v>
      </c>
      <c r="N701" t="s">
        <v>10236</v>
      </c>
    </row>
    <row r="702" spans="1:14">
      <c r="A702" t="s">
        <v>27</v>
      </c>
      <c r="B702" t="s">
        <v>886</v>
      </c>
      <c r="C702">
        <f>"PR3034081"</f>
        <v>0</v>
      </c>
      <c r="D702">
        <v>3</v>
      </c>
      <c r="E702">
        <v>0</v>
      </c>
      <c r="F702" s="2">
        <v>0</v>
      </c>
      <c r="G702">
        <v>0</v>
      </c>
      <c r="H702">
        <v>3</v>
      </c>
      <c r="I702">
        <v>0.226255433157675</v>
      </c>
      <c r="J702">
        <v>1</v>
      </c>
      <c r="K702">
        <v>1</v>
      </c>
      <c r="L702" s="2">
        <v>0</v>
      </c>
      <c r="M702">
        <v>9.460000000000001</v>
      </c>
      <c r="N702" t="s">
        <v>10236</v>
      </c>
    </row>
    <row r="703" spans="1:14">
      <c r="A703" t="s">
        <v>196</v>
      </c>
      <c r="B703" t="s">
        <v>887</v>
      </c>
      <c r="C703">
        <f>"2235"</f>
        <v>0</v>
      </c>
      <c r="D703">
        <v>3</v>
      </c>
      <c r="E703">
        <v>0</v>
      </c>
      <c r="F703" s="2">
        <v>0</v>
      </c>
      <c r="G703">
        <v>0</v>
      </c>
      <c r="H703">
        <v>3</v>
      </c>
      <c r="I703">
        <v>0.226255433157675</v>
      </c>
      <c r="J703">
        <v>1</v>
      </c>
      <c r="K703">
        <v>1</v>
      </c>
      <c r="L703" s="2">
        <v>0</v>
      </c>
      <c r="M703">
        <v>9.470000000000001</v>
      </c>
      <c r="N703" t="s">
        <v>10236</v>
      </c>
    </row>
    <row r="704" spans="1:14">
      <c r="A704" t="s">
        <v>203</v>
      </c>
      <c r="B704" t="s">
        <v>888</v>
      </c>
      <c r="C704">
        <f>"756216"</f>
        <v>0</v>
      </c>
      <c r="D704">
        <v>3</v>
      </c>
      <c r="E704">
        <v>0</v>
      </c>
      <c r="F704" s="2">
        <v>0</v>
      </c>
      <c r="G704">
        <v>0</v>
      </c>
      <c r="H704">
        <v>1</v>
      </c>
      <c r="I704">
        <v>0.226255433157675</v>
      </c>
      <c r="J704">
        <v>1</v>
      </c>
      <c r="K704">
        <v>1</v>
      </c>
      <c r="L704" s="2">
        <v>0</v>
      </c>
      <c r="M704">
        <v>9.48</v>
      </c>
      <c r="N704" t="s">
        <v>10236</v>
      </c>
    </row>
    <row r="705" spans="1:14">
      <c r="A705" t="s">
        <v>203</v>
      </c>
      <c r="B705" t="s">
        <v>889</v>
      </c>
      <c r="C705">
        <f>"756236"</f>
        <v>0</v>
      </c>
      <c r="D705">
        <v>3</v>
      </c>
      <c r="E705">
        <v>0</v>
      </c>
      <c r="F705" s="2">
        <v>0</v>
      </c>
      <c r="G705">
        <v>0</v>
      </c>
      <c r="H705">
        <v>1</v>
      </c>
      <c r="I705">
        <v>0.226255433157675</v>
      </c>
      <c r="J705">
        <v>1</v>
      </c>
      <c r="K705">
        <v>1</v>
      </c>
      <c r="L705" s="2">
        <v>0</v>
      </c>
      <c r="M705">
        <v>9.49</v>
      </c>
      <c r="N705" t="s">
        <v>10236</v>
      </c>
    </row>
    <row r="706" spans="1:14">
      <c r="A706" t="s">
        <v>25</v>
      </c>
      <c r="B706" t="s">
        <v>890</v>
      </c>
      <c r="C706">
        <f>"S100VE"</f>
        <v>0</v>
      </c>
      <c r="D706">
        <v>3</v>
      </c>
      <c r="E706">
        <v>0</v>
      </c>
      <c r="F706" s="2">
        <v>0</v>
      </c>
      <c r="G706">
        <v>0</v>
      </c>
      <c r="H706">
        <v>2</v>
      </c>
      <c r="I706">
        <v>0.226255433157675</v>
      </c>
      <c r="J706">
        <v>1</v>
      </c>
      <c r="K706">
        <v>1</v>
      </c>
      <c r="L706" s="2">
        <v>0</v>
      </c>
      <c r="M706">
        <v>9.51</v>
      </c>
      <c r="N706" t="s">
        <v>10236</v>
      </c>
    </row>
    <row r="707" spans="1:14">
      <c r="A707" t="s">
        <v>25</v>
      </c>
      <c r="B707" t="s">
        <v>891</v>
      </c>
      <c r="C707">
        <f>"S402AROS"</f>
        <v>0</v>
      </c>
      <c r="D707">
        <v>3</v>
      </c>
      <c r="E707">
        <v>0</v>
      </c>
      <c r="F707" s="2">
        <v>0</v>
      </c>
      <c r="G707">
        <v>0</v>
      </c>
      <c r="H707">
        <v>2</v>
      </c>
      <c r="I707">
        <v>0.226255433157675</v>
      </c>
      <c r="J707">
        <v>1</v>
      </c>
      <c r="K707">
        <v>1</v>
      </c>
      <c r="L707" s="2">
        <v>0</v>
      </c>
      <c r="M707">
        <v>9.52</v>
      </c>
      <c r="N707" t="s">
        <v>10236</v>
      </c>
    </row>
    <row r="708" spans="1:14">
      <c r="A708" t="s">
        <v>29</v>
      </c>
      <c r="B708" t="s">
        <v>892</v>
      </c>
      <c r="C708">
        <f>"40677"</f>
        <v>0</v>
      </c>
      <c r="D708">
        <v>3</v>
      </c>
      <c r="E708">
        <v>0</v>
      </c>
      <c r="F708" s="2">
        <v>0</v>
      </c>
      <c r="G708">
        <v>0</v>
      </c>
      <c r="H708">
        <v>1</v>
      </c>
      <c r="I708">
        <v>0.226255433157675</v>
      </c>
      <c r="J708">
        <v>1</v>
      </c>
      <c r="K708">
        <v>1</v>
      </c>
      <c r="L708" s="2">
        <v>0</v>
      </c>
      <c r="M708">
        <v>9.529999999999999</v>
      </c>
      <c r="N708" t="s">
        <v>10236</v>
      </c>
    </row>
    <row r="709" spans="1:14">
      <c r="A709" t="s">
        <v>24</v>
      </c>
      <c r="B709" t="s">
        <v>893</v>
      </c>
      <c r="C709">
        <f>"1320081"</f>
        <v>0</v>
      </c>
      <c r="D709">
        <v>3</v>
      </c>
      <c r="E709">
        <v>0</v>
      </c>
      <c r="F709" s="2">
        <v>0</v>
      </c>
      <c r="G709">
        <v>0</v>
      </c>
      <c r="H709">
        <v>2</v>
      </c>
      <c r="I709">
        <v>0.226255433157675</v>
      </c>
      <c r="J709">
        <v>1</v>
      </c>
      <c r="K709">
        <v>1</v>
      </c>
      <c r="L709" s="2">
        <v>0</v>
      </c>
      <c r="M709">
        <v>9.539999999999999</v>
      </c>
      <c r="N709" t="s">
        <v>10236</v>
      </c>
    </row>
    <row r="710" spans="1:14">
      <c r="A710" t="s">
        <v>202</v>
      </c>
      <c r="B710" t="s">
        <v>894</v>
      </c>
      <c r="C710">
        <f>"21102016"</f>
        <v>0</v>
      </c>
      <c r="D710">
        <v>3</v>
      </c>
      <c r="E710">
        <v>0</v>
      </c>
      <c r="F710" s="2">
        <v>0</v>
      </c>
      <c r="G710">
        <v>0</v>
      </c>
      <c r="H710">
        <v>1</v>
      </c>
      <c r="I710">
        <v>0.226255433157675</v>
      </c>
      <c r="J710">
        <v>1</v>
      </c>
      <c r="K710">
        <v>1</v>
      </c>
      <c r="L710" s="2">
        <v>0</v>
      </c>
      <c r="M710">
        <v>9.550000000000001</v>
      </c>
      <c r="N710" t="s">
        <v>10236</v>
      </c>
    </row>
    <row r="711" spans="1:14">
      <c r="A711" t="s">
        <v>216</v>
      </c>
      <c r="B711" t="s">
        <v>895</v>
      </c>
      <c r="C711">
        <f>"CONCHO"</f>
        <v>0</v>
      </c>
      <c r="D711">
        <v>3</v>
      </c>
      <c r="E711">
        <v>0</v>
      </c>
      <c r="F711" s="2">
        <v>0</v>
      </c>
      <c r="G711">
        <v>0</v>
      </c>
      <c r="H711">
        <v>1</v>
      </c>
      <c r="I711">
        <v>0.226255433157675</v>
      </c>
      <c r="J711">
        <v>1</v>
      </c>
      <c r="K711">
        <v>1</v>
      </c>
      <c r="L711" s="2">
        <v>0</v>
      </c>
      <c r="M711">
        <v>9.57</v>
      </c>
      <c r="N711" t="s">
        <v>10236</v>
      </c>
    </row>
    <row r="712" spans="1:14">
      <c r="A712" t="s">
        <v>35</v>
      </c>
      <c r="B712" t="s">
        <v>896</v>
      </c>
      <c r="C712">
        <f>"RJ825R"</f>
        <v>0</v>
      </c>
      <c r="D712">
        <v>3</v>
      </c>
      <c r="E712">
        <v>0</v>
      </c>
      <c r="F712" s="2">
        <v>0</v>
      </c>
      <c r="G712">
        <v>0</v>
      </c>
      <c r="H712">
        <v>2</v>
      </c>
      <c r="I712">
        <v>0.226255433157675</v>
      </c>
      <c r="J712">
        <v>1</v>
      </c>
      <c r="K712">
        <v>1</v>
      </c>
      <c r="L712" s="2">
        <v>0</v>
      </c>
      <c r="M712">
        <v>9.58</v>
      </c>
      <c r="N712" t="s">
        <v>10236</v>
      </c>
    </row>
    <row r="713" spans="1:14">
      <c r="A713" t="s">
        <v>213</v>
      </c>
      <c r="B713" t="s">
        <v>897</v>
      </c>
      <c r="C713">
        <f>"500521"</f>
        <v>0</v>
      </c>
      <c r="D713">
        <v>3</v>
      </c>
      <c r="E713">
        <v>0</v>
      </c>
      <c r="F713" s="2">
        <v>0</v>
      </c>
      <c r="G713">
        <v>0</v>
      </c>
      <c r="H713">
        <v>1</v>
      </c>
      <c r="I713">
        <v>0.226255433157675</v>
      </c>
      <c r="J713">
        <v>1</v>
      </c>
      <c r="K713">
        <v>1</v>
      </c>
      <c r="L713" s="2">
        <v>0</v>
      </c>
      <c r="M713">
        <v>9.59</v>
      </c>
      <c r="N713" t="s">
        <v>10236</v>
      </c>
    </row>
    <row r="714" spans="1:14">
      <c r="A714" t="s">
        <v>35</v>
      </c>
      <c r="B714" t="s">
        <v>898</v>
      </c>
      <c r="C714">
        <f>"HDD168ARC"</f>
        <v>0</v>
      </c>
      <c r="D714">
        <v>3</v>
      </c>
      <c r="E714">
        <v>0</v>
      </c>
      <c r="F714" s="2">
        <v>0</v>
      </c>
      <c r="G714">
        <v>0</v>
      </c>
      <c r="H714">
        <v>2</v>
      </c>
      <c r="I714">
        <v>0.226255433157675</v>
      </c>
      <c r="J714">
        <v>1</v>
      </c>
      <c r="K714">
        <v>1</v>
      </c>
      <c r="L714" s="2">
        <v>0</v>
      </c>
      <c r="M714">
        <v>9.6</v>
      </c>
      <c r="N714" t="s">
        <v>10236</v>
      </c>
    </row>
    <row r="715" spans="1:14">
      <c r="A715" t="s">
        <v>35</v>
      </c>
      <c r="B715" t="s">
        <v>899</v>
      </c>
      <c r="C715">
        <f>"9001162R"</f>
        <v>0</v>
      </c>
      <c r="D715">
        <v>3</v>
      </c>
      <c r="E715">
        <v>0</v>
      </c>
      <c r="F715" s="2">
        <v>0</v>
      </c>
      <c r="G715">
        <v>0</v>
      </c>
      <c r="H715">
        <v>2</v>
      </c>
      <c r="I715">
        <v>0.226255433157675</v>
      </c>
      <c r="J715">
        <v>1</v>
      </c>
      <c r="K715">
        <v>1</v>
      </c>
      <c r="L715" s="2">
        <v>0</v>
      </c>
      <c r="M715">
        <v>9.609999999999999</v>
      </c>
      <c r="N715" t="s">
        <v>10236</v>
      </c>
    </row>
    <row r="716" spans="1:14">
      <c r="A716" t="s">
        <v>35</v>
      </c>
      <c r="B716" t="s">
        <v>900</v>
      </c>
      <c r="C716">
        <f>"LS287MO"</f>
        <v>0</v>
      </c>
      <c r="D716">
        <v>3</v>
      </c>
      <c r="E716">
        <v>0</v>
      </c>
      <c r="F716" s="2">
        <v>0</v>
      </c>
      <c r="G716">
        <v>0</v>
      </c>
      <c r="H716">
        <v>1</v>
      </c>
      <c r="I716">
        <v>0.226255433157675</v>
      </c>
      <c r="J716">
        <v>1</v>
      </c>
      <c r="K716">
        <v>1</v>
      </c>
      <c r="L716" s="2">
        <v>0</v>
      </c>
      <c r="M716">
        <v>9.630000000000001</v>
      </c>
      <c r="N716" t="s">
        <v>10236</v>
      </c>
    </row>
    <row r="717" spans="1:14">
      <c r="A717" t="s">
        <v>35</v>
      </c>
      <c r="B717" t="s">
        <v>901</v>
      </c>
      <c r="C717">
        <f>"9001161G"</f>
        <v>0</v>
      </c>
      <c r="D717">
        <v>3</v>
      </c>
      <c r="E717">
        <v>0</v>
      </c>
      <c r="F717" s="2">
        <v>0</v>
      </c>
      <c r="G717">
        <v>0</v>
      </c>
      <c r="H717">
        <v>2</v>
      </c>
      <c r="I717">
        <v>0.226255433157675</v>
      </c>
      <c r="J717">
        <v>1</v>
      </c>
      <c r="K717">
        <v>1</v>
      </c>
      <c r="L717" s="2">
        <v>0</v>
      </c>
      <c r="M717">
        <v>9.640000000000001</v>
      </c>
      <c r="N717" t="s">
        <v>10236</v>
      </c>
    </row>
    <row r="718" spans="1:14">
      <c r="A718" t="s">
        <v>35</v>
      </c>
      <c r="B718" t="s">
        <v>902</v>
      </c>
      <c r="C718">
        <f>"JXV1801XL"</f>
        <v>0</v>
      </c>
      <c r="D718">
        <v>3</v>
      </c>
      <c r="E718">
        <v>0</v>
      </c>
      <c r="F718" s="2">
        <v>0</v>
      </c>
      <c r="G718">
        <v>0</v>
      </c>
      <c r="H718">
        <v>1</v>
      </c>
      <c r="I718">
        <v>0.226255433157675</v>
      </c>
      <c r="J718">
        <v>1</v>
      </c>
      <c r="K718">
        <v>1</v>
      </c>
      <c r="L718" s="2">
        <v>0</v>
      </c>
      <c r="M718">
        <v>9.65</v>
      </c>
      <c r="N718" t="s">
        <v>10236</v>
      </c>
    </row>
    <row r="719" spans="1:14">
      <c r="A719" t="s">
        <v>35</v>
      </c>
      <c r="B719" t="s">
        <v>903</v>
      </c>
      <c r="C719">
        <f>"KL10"</f>
        <v>0</v>
      </c>
      <c r="D719">
        <v>3</v>
      </c>
      <c r="E719">
        <v>0</v>
      </c>
      <c r="F719" s="2">
        <v>0</v>
      </c>
      <c r="G719">
        <v>0</v>
      </c>
      <c r="H719">
        <v>1</v>
      </c>
      <c r="I719">
        <v>0.226255433157675</v>
      </c>
      <c r="J719">
        <v>1</v>
      </c>
      <c r="K719">
        <v>1</v>
      </c>
      <c r="L719" s="2">
        <v>0</v>
      </c>
      <c r="M719">
        <v>9.66</v>
      </c>
      <c r="N719" t="s">
        <v>10236</v>
      </c>
    </row>
    <row r="720" spans="1:14">
      <c r="A720" t="s">
        <v>193</v>
      </c>
      <c r="B720" t="s">
        <v>904</v>
      </c>
      <c r="C720">
        <f>"564219"</f>
        <v>0</v>
      </c>
      <c r="D720">
        <v>3</v>
      </c>
      <c r="E720">
        <v>0</v>
      </c>
      <c r="F720" s="2">
        <v>0</v>
      </c>
      <c r="G720">
        <v>0</v>
      </c>
      <c r="H720">
        <v>1</v>
      </c>
      <c r="I720">
        <v>0.226255433157675</v>
      </c>
      <c r="J720">
        <v>1</v>
      </c>
      <c r="K720">
        <v>1</v>
      </c>
      <c r="L720" s="2">
        <v>0</v>
      </c>
      <c r="M720">
        <v>9.67</v>
      </c>
      <c r="N720" t="s">
        <v>10236</v>
      </c>
    </row>
    <row r="721" spans="1:14">
      <c r="A721" t="s">
        <v>35</v>
      </c>
      <c r="B721" t="s">
        <v>905</v>
      </c>
      <c r="C721">
        <f>"TQ00191VE"</f>
        <v>0</v>
      </c>
      <c r="D721">
        <v>3</v>
      </c>
      <c r="E721">
        <v>0</v>
      </c>
      <c r="F721" s="2">
        <v>0</v>
      </c>
      <c r="G721">
        <v>0</v>
      </c>
      <c r="H721">
        <v>2</v>
      </c>
      <c r="I721">
        <v>0.226255433157675</v>
      </c>
      <c r="J721">
        <v>1</v>
      </c>
      <c r="K721">
        <v>1</v>
      </c>
      <c r="L721" s="2">
        <v>0</v>
      </c>
      <c r="M721">
        <v>9.69</v>
      </c>
      <c r="N721" t="s">
        <v>10236</v>
      </c>
    </row>
    <row r="722" spans="1:14">
      <c r="A722" t="s">
        <v>192</v>
      </c>
      <c r="B722" t="s">
        <v>906</v>
      </c>
      <c r="C722">
        <f>"700ABL"</f>
        <v>0</v>
      </c>
      <c r="D722">
        <v>3</v>
      </c>
      <c r="E722">
        <v>0</v>
      </c>
      <c r="F722" s="2">
        <v>0</v>
      </c>
      <c r="G722">
        <v>0</v>
      </c>
      <c r="H722">
        <v>1</v>
      </c>
      <c r="I722">
        <v>0.226255433157675</v>
      </c>
      <c r="J722">
        <v>1</v>
      </c>
      <c r="K722">
        <v>1</v>
      </c>
      <c r="L722" s="2">
        <v>0</v>
      </c>
      <c r="M722">
        <v>9.699999999999999</v>
      </c>
      <c r="N722" t="s">
        <v>10236</v>
      </c>
    </row>
    <row r="723" spans="1:14">
      <c r="A723" t="s">
        <v>192</v>
      </c>
      <c r="B723" t="s">
        <v>907</v>
      </c>
      <c r="C723">
        <f>"700ACEL"</f>
        <v>0</v>
      </c>
      <c r="D723">
        <v>3</v>
      </c>
      <c r="E723">
        <v>0</v>
      </c>
      <c r="F723" s="2">
        <v>0</v>
      </c>
      <c r="G723">
        <v>0</v>
      </c>
      <c r="H723">
        <v>1</v>
      </c>
      <c r="I723">
        <v>0.226255433157675</v>
      </c>
      <c r="J723">
        <v>1</v>
      </c>
      <c r="K723">
        <v>1</v>
      </c>
      <c r="L723" s="2">
        <v>0</v>
      </c>
      <c r="M723">
        <v>9.710000000000001</v>
      </c>
      <c r="N723" t="s">
        <v>10236</v>
      </c>
    </row>
    <row r="724" spans="1:14">
      <c r="A724" t="s">
        <v>192</v>
      </c>
      <c r="B724" t="s">
        <v>908</v>
      </c>
      <c r="C724">
        <f>"LN010SAM"</f>
        <v>0</v>
      </c>
      <c r="D724">
        <v>3</v>
      </c>
      <c r="E724">
        <v>0</v>
      </c>
      <c r="F724" s="2">
        <v>0</v>
      </c>
      <c r="G724">
        <v>0</v>
      </c>
      <c r="H724">
        <v>1</v>
      </c>
      <c r="I724">
        <v>0.226255433157675</v>
      </c>
      <c r="J724">
        <v>1</v>
      </c>
      <c r="K724">
        <v>1</v>
      </c>
      <c r="L724" s="2">
        <v>0</v>
      </c>
      <c r="M724">
        <v>9.720000000000001</v>
      </c>
      <c r="N724" t="s">
        <v>10236</v>
      </c>
    </row>
    <row r="725" spans="1:14">
      <c r="A725" t="s">
        <v>193</v>
      </c>
      <c r="B725" t="s">
        <v>909</v>
      </c>
      <c r="C725">
        <f>"563663"</f>
        <v>0</v>
      </c>
      <c r="D725">
        <v>3</v>
      </c>
      <c r="E725">
        <v>0</v>
      </c>
      <c r="F725" s="2">
        <v>0</v>
      </c>
      <c r="G725">
        <v>0</v>
      </c>
      <c r="H725">
        <v>2</v>
      </c>
      <c r="I725">
        <v>0.226255433157675</v>
      </c>
      <c r="J725">
        <v>1</v>
      </c>
      <c r="K725">
        <v>1</v>
      </c>
      <c r="L725" s="2">
        <v>0</v>
      </c>
      <c r="M725">
        <v>9.73</v>
      </c>
      <c r="N725" t="s">
        <v>10236</v>
      </c>
    </row>
    <row r="726" spans="1:14">
      <c r="A726" t="s">
        <v>35</v>
      </c>
      <c r="B726" t="s">
        <v>910</v>
      </c>
      <c r="C726">
        <f>"HDD146ROS"</f>
        <v>0</v>
      </c>
      <c r="D726">
        <v>3</v>
      </c>
      <c r="E726">
        <v>0</v>
      </c>
      <c r="F726" s="2">
        <v>0</v>
      </c>
      <c r="G726">
        <v>0</v>
      </c>
      <c r="H726">
        <v>2</v>
      </c>
      <c r="I726">
        <v>0.226255433157675</v>
      </c>
      <c r="J726">
        <v>1</v>
      </c>
      <c r="K726">
        <v>1</v>
      </c>
      <c r="L726" s="2">
        <v>0</v>
      </c>
      <c r="M726">
        <v>9.75</v>
      </c>
      <c r="N726" t="s">
        <v>10236</v>
      </c>
    </row>
    <row r="727" spans="1:14">
      <c r="A727" t="s">
        <v>209</v>
      </c>
      <c r="B727" t="s">
        <v>911</v>
      </c>
      <c r="C727">
        <f>"4GA020033"</f>
        <v>0</v>
      </c>
      <c r="D727">
        <v>3</v>
      </c>
      <c r="E727">
        <v>0</v>
      </c>
      <c r="F727" s="2">
        <v>0</v>
      </c>
      <c r="G727">
        <v>0</v>
      </c>
      <c r="H727">
        <v>2</v>
      </c>
      <c r="I727">
        <v>0.226255433157675</v>
      </c>
      <c r="J727">
        <v>1</v>
      </c>
      <c r="K727">
        <v>1</v>
      </c>
      <c r="L727" s="2">
        <v>0</v>
      </c>
      <c r="M727">
        <v>9.76</v>
      </c>
      <c r="N727" t="s">
        <v>10236</v>
      </c>
    </row>
    <row r="728" spans="1:14">
      <c r="A728" t="s">
        <v>29</v>
      </c>
      <c r="B728" t="s">
        <v>912</v>
      </c>
      <c r="C728">
        <f>"RS265F"</f>
        <v>0</v>
      </c>
      <c r="D728">
        <v>3</v>
      </c>
      <c r="E728">
        <v>0</v>
      </c>
      <c r="F728" s="2">
        <v>0</v>
      </c>
      <c r="G728">
        <v>0</v>
      </c>
      <c r="H728">
        <v>2</v>
      </c>
      <c r="I728">
        <v>0.226255433157675</v>
      </c>
      <c r="J728">
        <v>1</v>
      </c>
      <c r="K728">
        <v>1</v>
      </c>
      <c r="L728" s="2">
        <v>0</v>
      </c>
      <c r="M728">
        <v>9.77</v>
      </c>
      <c r="N728" t="s">
        <v>10236</v>
      </c>
    </row>
    <row r="729" spans="1:14">
      <c r="A729" t="s">
        <v>24</v>
      </c>
      <c r="B729" t="s">
        <v>913</v>
      </c>
      <c r="C729">
        <f>"1008898"</f>
        <v>0</v>
      </c>
      <c r="D729">
        <v>3</v>
      </c>
      <c r="E729">
        <v>0</v>
      </c>
      <c r="F729" s="2">
        <v>0</v>
      </c>
      <c r="G729">
        <v>0</v>
      </c>
      <c r="H729">
        <v>1</v>
      </c>
      <c r="I729">
        <v>0.226255433157675</v>
      </c>
      <c r="J729">
        <v>1</v>
      </c>
      <c r="K729">
        <v>1</v>
      </c>
      <c r="L729" s="2">
        <v>0</v>
      </c>
      <c r="M729">
        <v>9.779999999999999</v>
      </c>
      <c r="N729" t="s">
        <v>10236</v>
      </c>
    </row>
    <row r="730" spans="1:14">
      <c r="A730" t="s">
        <v>35</v>
      </c>
      <c r="B730" t="s">
        <v>914</v>
      </c>
      <c r="C730">
        <f>"CTB12"</f>
        <v>0</v>
      </c>
      <c r="D730">
        <v>3</v>
      </c>
      <c r="E730">
        <v>0</v>
      </c>
      <c r="F730" s="2">
        <v>0</v>
      </c>
      <c r="G730">
        <v>0</v>
      </c>
      <c r="H730">
        <v>1</v>
      </c>
      <c r="I730">
        <v>0.226255433157675</v>
      </c>
      <c r="J730">
        <v>1</v>
      </c>
      <c r="K730">
        <v>1</v>
      </c>
      <c r="L730" s="2">
        <v>0</v>
      </c>
      <c r="M730">
        <v>9.789999999999999</v>
      </c>
      <c r="N730" t="s">
        <v>10236</v>
      </c>
    </row>
    <row r="731" spans="1:14">
      <c r="A731" t="s">
        <v>40</v>
      </c>
      <c r="B731" t="s">
        <v>915</v>
      </c>
      <c r="C731">
        <f>"V100798"</f>
        <v>0</v>
      </c>
      <c r="D731">
        <v>3</v>
      </c>
      <c r="E731">
        <v>0</v>
      </c>
      <c r="F731" s="2">
        <v>0</v>
      </c>
      <c r="G731">
        <v>0</v>
      </c>
      <c r="H731">
        <v>2</v>
      </c>
      <c r="I731">
        <v>0.226255433157675</v>
      </c>
      <c r="J731">
        <v>1</v>
      </c>
      <c r="K731">
        <v>1</v>
      </c>
      <c r="L731" s="2">
        <v>0</v>
      </c>
      <c r="M731">
        <v>9.81</v>
      </c>
      <c r="N731" t="s">
        <v>10236</v>
      </c>
    </row>
    <row r="732" spans="1:14">
      <c r="A732" t="s">
        <v>35</v>
      </c>
      <c r="B732" t="s">
        <v>916</v>
      </c>
      <c r="C732">
        <f>"RJ745ROS"</f>
        <v>0</v>
      </c>
      <c r="D732">
        <v>3</v>
      </c>
      <c r="E732">
        <v>0</v>
      </c>
      <c r="F732" s="2">
        <v>0</v>
      </c>
      <c r="G732">
        <v>0</v>
      </c>
      <c r="H732">
        <v>2</v>
      </c>
      <c r="I732">
        <v>0.226255433157675</v>
      </c>
      <c r="J732">
        <v>1</v>
      </c>
      <c r="K732">
        <v>1</v>
      </c>
      <c r="L732" s="2">
        <v>0</v>
      </c>
      <c r="M732">
        <v>9.82</v>
      </c>
      <c r="N732" t="s">
        <v>10236</v>
      </c>
    </row>
    <row r="733" spans="1:14">
      <c r="A733" t="s">
        <v>35</v>
      </c>
      <c r="B733" t="s">
        <v>917</v>
      </c>
      <c r="C733">
        <f>"LZ1CAFOSC"</f>
        <v>0</v>
      </c>
      <c r="D733">
        <v>3</v>
      </c>
      <c r="E733">
        <v>0</v>
      </c>
      <c r="F733" s="2">
        <v>0</v>
      </c>
      <c r="G733">
        <v>0</v>
      </c>
      <c r="H733">
        <v>1</v>
      </c>
      <c r="I733">
        <v>0.226255433157675</v>
      </c>
      <c r="J733">
        <v>1</v>
      </c>
      <c r="K733">
        <v>1</v>
      </c>
      <c r="L733" s="2">
        <v>0</v>
      </c>
      <c r="M733">
        <v>9.83</v>
      </c>
      <c r="N733" t="s">
        <v>10236</v>
      </c>
    </row>
    <row r="734" spans="1:14">
      <c r="A734" t="s">
        <v>37</v>
      </c>
      <c r="B734" t="s">
        <v>918</v>
      </c>
      <c r="C734">
        <f>"576050"</f>
        <v>0</v>
      </c>
      <c r="D734">
        <v>3</v>
      </c>
      <c r="E734">
        <v>0</v>
      </c>
      <c r="F734" s="2">
        <v>0</v>
      </c>
      <c r="G734">
        <v>0</v>
      </c>
      <c r="H734">
        <v>2</v>
      </c>
      <c r="I734">
        <v>0.226255433157675</v>
      </c>
      <c r="J734">
        <v>1</v>
      </c>
      <c r="K734">
        <v>1</v>
      </c>
      <c r="L734" s="2">
        <v>0</v>
      </c>
      <c r="M734">
        <v>9.84</v>
      </c>
      <c r="N734" t="s">
        <v>10236</v>
      </c>
    </row>
    <row r="735" spans="1:14">
      <c r="A735" t="s">
        <v>35</v>
      </c>
      <c r="B735" t="s">
        <v>919</v>
      </c>
      <c r="C735">
        <f>"HW1"</f>
        <v>0</v>
      </c>
      <c r="D735">
        <v>3</v>
      </c>
      <c r="E735">
        <v>0</v>
      </c>
      <c r="F735" s="2">
        <v>0</v>
      </c>
      <c r="G735">
        <v>0</v>
      </c>
      <c r="H735">
        <v>2</v>
      </c>
      <c r="I735">
        <v>0.226255433157675</v>
      </c>
      <c r="J735">
        <v>1</v>
      </c>
      <c r="K735">
        <v>1</v>
      </c>
      <c r="L735" s="2">
        <v>0</v>
      </c>
      <c r="M735">
        <v>9.85</v>
      </c>
      <c r="N735" t="s">
        <v>10236</v>
      </c>
    </row>
    <row r="736" spans="1:14">
      <c r="A736" t="s">
        <v>35</v>
      </c>
      <c r="B736" t="s">
        <v>920</v>
      </c>
      <c r="C736">
        <f>"C405"</f>
        <v>0</v>
      </c>
      <c r="D736">
        <v>3</v>
      </c>
      <c r="E736">
        <v>0</v>
      </c>
      <c r="F736" s="2">
        <v>0</v>
      </c>
      <c r="G736">
        <v>0</v>
      </c>
      <c r="H736">
        <v>2</v>
      </c>
      <c r="I736">
        <v>0.226255433157675</v>
      </c>
      <c r="J736">
        <v>1</v>
      </c>
      <c r="K736">
        <v>1</v>
      </c>
      <c r="L736" s="2">
        <v>0</v>
      </c>
      <c r="M736">
        <v>9.869999999999999</v>
      </c>
      <c r="N736" t="s">
        <v>10236</v>
      </c>
    </row>
    <row r="737" spans="1:14">
      <c r="A737" t="s">
        <v>35</v>
      </c>
      <c r="B737" t="s">
        <v>921</v>
      </c>
      <c r="C737">
        <f>"2400"</f>
        <v>0</v>
      </c>
      <c r="D737">
        <v>3</v>
      </c>
      <c r="E737">
        <v>0</v>
      </c>
      <c r="F737" s="2">
        <v>0</v>
      </c>
      <c r="G737">
        <v>0</v>
      </c>
      <c r="H737">
        <v>1</v>
      </c>
      <c r="I737">
        <v>0.226255433157675</v>
      </c>
      <c r="J737">
        <v>1</v>
      </c>
      <c r="K737">
        <v>1</v>
      </c>
      <c r="L737" s="2">
        <v>0</v>
      </c>
      <c r="M737">
        <v>9.880000000000001</v>
      </c>
      <c r="N737" t="s">
        <v>10236</v>
      </c>
    </row>
    <row r="738" spans="1:14">
      <c r="A738" t="s">
        <v>35</v>
      </c>
      <c r="B738" t="s">
        <v>922</v>
      </c>
      <c r="C738">
        <f>"HCJ011MGRIS"</f>
        <v>0</v>
      </c>
      <c r="D738">
        <v>3</v>
      </c>
      <c r="E738">
        <v>0</v>
      </c>
      <c r="F738" s="2">
        <v>0</v>
      </c>
      <c r="G738">
        <v>0</v>
      </c>
      <c r="H738">
        <v>2</v>
      </c>
      <c r="I738">
        <v>0.226255433157675</v>
      </c>
      <c r="J738">
        <v>1</v>
      </c>
      <c r="K738">
        <v>1</v>
      </c>
      <c r="L738" s="2">
        <v>0</v>
      </c>
      <c r="M738">
        <v>9.890000000000001</v>
      </c>
      <c r="N738" t="s">
        <v>10236</v>
      </c>
    </row>
    <row r="739" spans="1:14">
      <c r="A739" t="s">
        <v>192</v>
      </c>
      <c r="B739" t="s">
        <v>923</v>
      </c>
      <c r="C739">
        <f>"A25"</f>
        <v>0</v>
      </c>
      <c r="D739">
        <v>3</v>
      </c>
      <c r="E739">
        <v>0</v>
      </c>
      <c r="F739" s="2">
        <v>0</v>
      </c>
      <c r="G739">
        <v>0</v>
      </c>
      <c r="H739">
        <v>2</v>
      </c>
      <c r="I739">
        <v>0.226255433157675</v>
      </c>
      <c r="J739">
        <v>1</v>
      </c>
      <c r="K739">
        <v>1</v>
      </c>
      <c r="L739" s="2">
        <v>0</v>
      </c>
      <c r="M739">
        <v>9.9</v>
      </c>
      <c r="N739" t="s">
        <v>10236</v>
      </c>
    </row>
    <row r="740" spans="1:14">
      <c r="A740" t="s">
        <v>30</v>
      </c>
      <c r="B740" t="s">
        <v>924</v>
      </c>
      <c r="C740">
        <f>"101266"</f>
        <v>0</v>
      </c>
      <c r="D740">
        <v>3</v>
      </c>
      <c r="E740">
        <v>0</v>
      </c>
      <c r="F740" s="2">
        <v>0</v>
      </c>
      <c r="G740">
        <v>0</v>
      </c>
      <c r="H740">
        <v>2</v>
      </c>
      <c r="I740">
        <v>0.226255433157675</v>
      </c>
      <c r="J740">
        <v>1</v>
      </c>
      <c r="K740">
        <v>1</v>
      </c>
      <c r="L740" s="2">
        <v>0</v>
      </c>
      <c r="M740">
        <v>9.91</v>
      </c>
      <c r="N740" t="s">
        <v>10236</v>
      </c>
    </row>
    <row r="741" spans="1:14">
      <c r="A741" t="s">
        <v>30</v>
      </c>
      <c r="B741" t="s">
        <v>925</v>
      </c>
      <c r="C741">
        <f>"100909"</f>
        <v>0</v>
      </c>
      <c r="D741">
        <v>3</v>
      </c>
      <c r="E741">
        <v>0</v>
      </c>
      <c r="F741" s="2">
        <v>0</v>
      </c>
      <c r="G741">
        <v>0</v>
      </c>
      <c r="H741">
        <v>1</v>
      </c>
      <c r="I741">
        <v>0.226255433157675</v>
      </c>
      <c r="J741">
        <v>1</v>
      </c>
      <c r="K741">
        <v>1</v>
      </c>
      <c r="L741" s="2">
        <v>0</v>
      </c>
      <c r="M741">
        <v>9.92</v>
      </c>
      <c r="N741" t="s">
        <v>10236</v>
      </c>
    </row>
    <row r="742" spans="1:14">
      <c r="A742" t="s">
        <v>30</v>
      </c>
      <c r="B742" t="s">
        <v>926</v>
      </c>
      <c r="C742">
        <f>"101254"</f>
        <v>0</v>
      </c>
      <c r="D742">
        <v>3</v>
      </c>
      <c r="E742">
        <v>0</v>
      </c>
      <c r="F742" s="2">
        <v>0</v>
      </c>
      <c r="G742">
        <v>0</v>
      </c>
      <c r="H742">
        <v>2</v>
      </c>
      <c r="I742">
        <v>0.226255433157675</v>
      </c>
      <c r="J742">
        <v>1</v>
      </c>
      <c r="K742">
        <v>1</v>
      </c>
      <c r="L742" s="2">
        <v>0</v>
      </c>
      <c r="M742">
        <v>9.94</v>
      </c>
      <c r="N742" t="s">
        <v>10236</v>
      </c>
    </row>
    <row r="743" spans="1:14">
      <c r="A743" t="s">
        <v>35</v>
      </c>
      <c r="B743" t="s">
        <v>927</v>
      </c>
      <c r="C743">
        <f>"TQ25R"</f>
        <v>0</v>
      </c>
      <c r="D743">
        <v>3</v>
      </c>
      <c r="E743">
        <v>0</v>
      </c>
      <c r="F743" s="2">
        <v>0</v>
      </c>
      <c r="G743">
        <v>0</v>
      </c>
      <c r="H743">
        <v>2</v>
      </c>
      <c r="I743">
        <v>0.226255433157675</v>
      </c>
      <c r="J743">
        <v>1</v>
      </c>
      <c r="K743">
        <v>1</v>
      </c>
      <c r="L743" s="2">
        <v>0</v>
      </c>
      <c r="M743">
        <v>9.949999999999999</v>
      </c>
      <c r="N743" t="s">
        <v>10236</v>
      </c>
    </row>
    <row r="744" spans="1:14">
      <c r="A744" t="s">
        <v>193</v>
      </c>
      <c r="B744" t="s">
        <v>928</v>
      </c>
      <c r="C744">
        <f>"297158"</f>
        <v>0</v>
      </c>
      <c r="D744">
        <v>3</v>
      </c>
      <c r="E744">
        <v>0</v>
      </c>
      <c r="F744" s="2">
        <v>0</v>
      </c>
      <c r="G744">
        <v>0</v>
      </c>
      <c r="H744">
        <v>1</v>
      </c>
      <c r="I744">
        <v>0.226255433157675</v>
      </c>
      <c r="J744">
        <v>1</v>
      </c>
      <c r="K744">
        <v>1</v>
      </c>
      <c r="L744" s="2">
        <v>0</v>
      </c>
      <c r="M744">
        <v>9.960000000000001</v>
      </c>
      <c r="N744" t="s">
        <v>10236</v>
      </c>
    </row>
    <row r="745" spans="1:14">
      <c r="A745" t="s">
        <v>211</v>
      </c>
      <c r="B745" t="s">
        <v>929</v>
      </c>
      <c r="C745">
        <f>"PCSAPS12001"</f>
        <v>0</v>
      </c>
      <c r="D745">
        <v>3</v>
      </c>
      <c r="E745">
        <v>0</v>
      </c>
      <c r="F745" s="2">
        <v>0</v>
      </c>
      <c r="G745">
        <v>0</v>
      </c>
      <c r="H745">
        <v>1</v>
      </c>
      <c r="I745">
        <v>0.226255433157675</v>
      </c>
      <c r="J745">
        <v>1</v>
      </c>
      <c r="K745">
        <v>1</v>
      </c>
      <c r="L745" s="2">
        <v>0</v>
      </c>
      <c r="M745">
        <v>9.970000000000001</v>
      </c>
      <c r="N745" t="s">
        <v>10236</v>
      </c>
    </row>
    <row r="746" spans="1:14">
      <c r="A746" t="s">
        <v>193</v>
      </c>
      <c r="B746" t="s">
        <v>930</v>
      </c>
      <c r="C746">
        <f>"902248"</f>
        <v>0</v>
      </c>
      <c r="D746">
        <v>3</v>
      </c>
      <c r="E746">
        <v>0</v>
      </c>
      <c r="F746" s="2">
        <v>0</v>
      </c>
      <c r="G746">
        <v>0</v>
      </c>
      <c r="H746">
        <v>2</v>
      </c>
      <c r="I746">
        <v>0.226255433157675</v>
      </c>
      <c r="J746">
        <v>1</v>
      </c>
      <c r="K746">
        <v>1</v>
      </c>
      <c r="L746" s="2">
        <v>0</v>
      </c>
      <c r="M746">
        <v>9.98</v>
      </c>
      <c r="N746" t="s">
        <v>10236</v>
      </c>
    </row>
    <row r="747" spans="1:14">
      <c r="A747" t="s">
        <v>193</v>
      </c>
      <c r="B747" t="s">
        <v>931</v>
      </c>
      <c r="C747">
        <f>"902224"</f>
        <v>0</v>
      </c>
      <c r="D747">
        <v>3</v>
      </c>
      <c r="E747">
        <v>0</v>
      </c>
      <c r="F747" s="2">
        <v>0</v>
      </c>
      <c r="G747">
        <v>0</v>
      </c>
      <c r="H747">
        <v>2</v>
      </c>
      <c r="I747">
        <v>0.226255433157675</v>
      </c>
      <c r="J747">
        <v>1</v>
      </c>
      <c r="K747">
        <v>1</v>
      </c>
      <c r="L747" s="2">
        <v>0</v>
      </c>
      <c r="M747">
        <v>10</v>
      </c>
      <c r="N747" t="s">
        <v>10236</v>
      </c>
    </row>
    <row r="748" spans="1:14">
      <c r="A748" t="s">
        <v>35</v>
      </c>
      <c r="B748" t="s">
        <v>932</v>
      </c>
      <c r="C748">
        <f>"CP006D"</f>
        <v>0</v>
      </c>
      <c r="D748">
        <v>3</v>
      </c>
      <c r="E748">
        <v>0</v>
      </c>
      <c r="F748" s="2">
        <v>0</v>
      </c>
      <c r="G748">
        <v>0</v>
      </c>
      <c r="H748">
        <v>2</v>
      </c>
      <c r="I748">
        <v>0.226255433157675</v>
      </c>
      <c r="J748">
        <v>1</v>
      </c>
      <c r="K748">
        <v>1</v>
      </c>
      <c r="L748" s="2">
        <v>0</v>
      </c>
      <c r="M748">
        <v>10.01</v>
      </c>
      <c r="N748" t="s">
        <v>10236</v>
      </c>
    </row>
    <row r="749" spans="1:14">
      <c r="A749" t="s">
        <v>211</v>
      </c>
      <c r="B749" t="s">
        <v>933</v>
      </c>
      <c r="C749">
        <f>"PCSAPP3001"</f>
        <v>0</v>
      </c>
      <c r="D749">
        <v>3</v>
      </c>
      <c r="E749">
        <v>0</v>
      </c>
      <c r="F749" s="2">
        <v>0</v>
      </c>
      <c r="G749">
        <v>0</v>
      </c>
      <c r="H749">
        <v>1</v>
      </c>
      <c r="I749">
        <v>0.226255433157675</v>
      </c>
      <c r="J749">
        <v>1</v>
      </c>
      <c r="K749">
        <v>1</v>
      </c>
      <c r="L749" s="2">
        <v>0</v>
      </c>
      <c r="M749">
        <v>10.02</v>
      </c>
      <c r="N749" t="s">
        <v>10236</v>
      </c>
    </row>
    <row r="750" spans="1:14">
      <c r="A750" t="s">
        <v>27</v>
      </c>
      <c r="B750" t="s">
        <v>934</v>
      </c>
      <c r="C750">
        <f>"PRG3024008"</f>
        <v>0</v>
      </c>
      <c r="D750">
        <v>3</v>
      </c>
      <c r="E750">
        <v>0</v>
      </c>
      <c r="F750" s="2">
        <v>0</v>
      </c>
      <c r="G750">
        <v>0</v>
      </c>
      <c r="H750">
        <v>1</v>
      </c>
      <c r="I750">
        <v>0.226255433157675</v>
      </c>
      <c r="J750">
        <v>1</v>
      </c>
      <c r="K750">
        <v>1</v>
      </c>
      <c r="L750" s="2">
        <v>0</v>
      </c>
      <c r="M750">
        <v>10.03</v>
      </c>
      <c r="N750" t="s">
        <v>10236</v>
      </c>
    </row>
    <row r="751" spans="1:14">
      <c r="A751" t="s">
        <v>35</v>
      </c>
      <c r="B751" t="s">
        <v>935</v>
      </c>
      <c r="C751">
        <f>"BO3052ARE"</f>
        <v>0</v>
      </c>
      <c r="D751">
        <v>3</v>
      </c>
      <c r="E751">
        <v>0</v>
      </c>
      <c r="F751" s="2">
        <v>0</v>
      </c>
      <c r="G751">
        <v>0</v>
      </c>
      <c r="H751">
        <v>2</v>
      </c>
      <c r="I751">
        <v>0.226255433157675</v>
      </c>
      <c r="J751">
        <v>1</v>
      </c>
      <c r="K751">
        <v>1</v>
      </c>
      <c r="L751" s="2">
        <v>0</v>
      </c>
      <c r="M751">
        <v>10.04</v>
      </c>
      <c r="N751" t="s">
        <v>10236</v>
      </c>
    </row>
    <row r="752" spans="1:14">
      <c r="A752" t="s">
        <v>32</v>
      </c>
      <c r="B752" t="s">
        <v>936</v>
      </c>
      <c r="C752">
        <f>"HEM60"</f>
        <v>0</v>
      </c>
      <c r="D752">
        <v>3</v>
      </c>
      <c r="E752">
        <v>0</v>
      </c>
      <c r="F752" s="2">
        <v>0</v>
      </c>
      <c r="G752">
        <v>0</v>
      </c>
      <c r="H752">
        <v>1</v>
      </c>
      <c r="I752">
        <v>0.226255433157675</v>
      </c>
      <c r="J752">
        <v>1</v>
      </c>
      <c r="K752">
        <v>1</v>
      </c>
      <c r="L752" s="2">
        <v>0</v>
      </c>
      <c r="M752">
        <v>10.06</v>
      </c>
      <c r="N752" t="s">
        <v>10236</v>
      </c>
    </row>
    <row r="753" spans="1:14">
      <c r="A753" t="s">
        <v>35</v>
      </c>
      <c r="B753" t="s">
        <v>937</v>
      </c>
      <c r="C753">
        <f>"TC2001PEZ"</f>
        <v>0</v>
      </c>
      <c r="D753">
        <v>3</v>
      </c>
      <c r="E753">
        <v>0</v>
      </c>
      <c r="F753" s="2">
        <v>0</v>
      </c>
      <c r="G753">
        <v>0</v>
      </c>
      <c r="H753">
        <v>1</v>
      </c>
      <c r="I753">
        <v>0.226255433157675</v>
      </c>
      <c r="J753">
        <v>1</v>
      </c>
      <c r="K753">
        <v>1</v>
      </c>
      <c r="L753" s="2">
        <v>0</v>
      </c>
      <c r="M753">
        <v>10.07</v>
      </c>
      <c r="N753" t="s">
        <v>10236</v>
      </c>
    </row>
    <row r="754" spans="1:14">
      <c r="A754" t="s">
        <v>35</v>
      </c>
      <c r="B754" t="s">
        <v>938</v>
      </c>
      <c r="C754">
        <f>"C404"</f>
        <v>0</v>
      </c>
      <c r="D754">
        <v>3</v>
      </c>
      <c r="E754">
        <v>0</v>
      </c>
      <c r="F754" s="2">
        <v>0</v>
      </c>
      <c r="G754">
        <v>0</v>
      </c>
      <c r="H754">
        <v>2</v>
      </c>
      <c r="I754">
        <v>0.226255433157675</v>
      </c>
      <c r="J754">
        <v>1</v>
      </c>
      <c r="K754">
        <v>1</v>
      </c>
      <c r="L754" s="2">
        <v>0</v>
      </c>
      <c r="M754">
        <v>10.08</v>
      </c>
      <c r="N754" t="s">
        <v>10236</v>
      </c>
    </row>
    <row r="755" spans="1:14">
      <c r="A755" t="s">
        <v>35</v>
      </c>
      <c r="B755" t="s">
        <v>939</v>
      </c>
      <c r="C755">
        <f>"CS0150"</f>
        <v>0</v>
      </c>
      <c r="D755">
        <v>3</v>
      </c>
      <c r="E755">
        <v>0</v>
      </c>
      <c r="F755" s="2">
        <v>0</v>
      </c>
      <c r="G755">
        <v>0</v>
      </c>
      <c r="H755">
        <v>1</v>
      </c>
      <c r="I755">
        <v>0.226255433157675</v>
      </c>
      <c r="J755">
        <v>1</v>
      </c>
      <c r="K755">
        <v>1</v>
      </c>
      <c r="L755" s="2">
        <v>0</v>
      </c>
      <c r="M755">
        <v>10.09</v>
      </c>
      <c r="N755" t="s">
        <v>10236</v>
      </c>
    </row>
    <row r="756" spans="1:14">
      <c r="A756" t="s">
        <v>204</v>
      </c>
      <c r="B756" t="s">
        <v>940</v>
      </c>
      <c r="C756">
        <f>"124821113"</f>
        <v>0</v>
      </c>
      <c r="D756">
        <v>3</v>
      </c>
      <c r="E756">
        <v>0</v>
      </c>
      <c r="F756" s="2">
        <v>0</v>
      </c>
      <c r="G756">
        <v>0</v>
      </c>
      <c r="H756">
        <v>1</v>
      </c>
      <c r="I756">
        <v>0.226255433157675</v>
      </c>
      <c r="J756">
        <v>1</v>
      </c>
      <c r="K756">
        <v>1</v>
      </c>
      <c r="L756" s="2">
        <v>0</v>
      </c>
      <c r="M756">
        <v>10.1</v>
      </c>
      <c r="N756" t="s">
        <v>10236</v>
      </c>
    </row>
    <row r="757" spans="1:14">
      <c r="A757" t="s">
        <v>202</v>
      </c>
      <c r="B757" t="s">
        <v>941</v>
      </c>
      <c r="C757">
        <f>"21001052"</f>
        <v>0</v>
      </c>
      <c r="D757">
        <v>3</v>
      </c>
      <c r="E757">
        <v>0</v>
      </c>
      <c r="F757" s="2">
        <v>0</v>
      </c>
      <c r="G757">
        <v>0</v>
      </c>
      <c r="H757">
        <v>2</v>
      </c>
      <c r="I757">
        <v>0.226255433157675</v>
      </c>
      <c r="J757">
        <v>1</v>
      </c>
      <c r="K757">
        <v>1</v>
      </c>
      <c r="L757" s="2">
        <v>0</v>
      </c>
      <c r="M757">
        <v>10.12</v>
      </c>
      <c r="N757" t="s">
        <v>10236</v>
      </c>
    </row>
    <row r="758" spans="1:14">
      <c r="A758" t="s">
        <v>35</v>
      </c>
      <c r="B758" t="s">
        <v>942</v>
      </c>
      <c r="C758">
        <f>"FEP50B"</f>
        <v>0</v>
      </c>
      <c r="D758">
        <v>3</v>
      </c>
      <c r="E758">
        <v>0</v>
      </c>
      <c r="F758" s="2">
        <v>0</v>
      </c>
      <c r="G758">
        <v>0</v>
      </c>
      <c r="H758">
        <v>3</v>
      </c>
      <c r="I758">
        <v>0.226255433157675</v>
      </c>
      <c r="J758">
        <v>1</v>
      </c>
      <c r="K758">
        <v>1</v>
      </c>
      <c r="L758" s="2">
        <v>0</v>
      </c>
      <c r="M758">
        <v>10.13</v>
      </c>
      <c r="N758" t="s">
        <v>10236</v>
      </c>
    </row>
    <row r="759" spans="1:14">
      <c r="A759" t="s">
        <v>25</v>
      </c>
      <c r="B759" t="s">
        <v>943</v>
      </c>
      <c r="C759">
        <f>"AYCS201"</f>
        <v>0</v>
      </c>
      <c r="D759">
        <v>3</v>
      </c>
      <c r="E759">
        <v>0</v>
      </c>
      <c r="F759" s="2">
        <v>0</v>
      </c>
      <c r="G759">
        <v>0</v>
      </c>
      <c r="H759">
        <v>1</v>
      </c>
      <c r="I759">
        <v>0.226255433157675</v>
      </c>
      <c r="J759">
        <v>1</v>
      </c>
      <c r="K759">
        <v>1</v>
      </c>
      <c r="L759" s="2">
        <v>0</v>
      </c>
      <c r="M759">
        <v>10.14</v>
      </c>
      <c r="N759" t="s">
        <v>10236</v>
      </c>
    </row>
    <row r="760" spans="1:14">
      <c r="A760" t="s">
        <v>25</v>
      </c>
      <c r="B760" t="s">
        <v>944</v>
      </c>
      <c r="C760">
        <f>"HJJ"</f>
        <v>0</v>
      </c>
      <c r="D760">
        <v>3</v>
      </c>
      <c r="E760">
        <v>0</v>
      </c>
      <c r="F760" s="2">
        <v>0</v>
      </c>
      <c r="G760">
        <v>0</v>
      </c>
      <c r="H760">
        <v>2</v>
      </c>
      <c r="I760">
        <v>0.226255433157675</v>
      </c>
      <c r="J760">
        <v>1</v>
      </c>
      <c r="K760">
        <v>1</v>
      </c>
      <c r="L760" s="2">
        <v>0</v>
      </c>
      <c r="M760">
        <v>10.15</v>
      </c>
      <c r="N760" t="s">
        <v>10236</v>
      </c>
    </row>
    <row r="761" spans="1:14">
      <c r="A761" t="s">
        <v>35</v>
      </c>
      <c r="B761" t="s">
        <v>945</v>
      </c>
      <c r="C761">
        <f>"LS152ROS"</f>
        <v>0</v>
      </c>
      <c r="D761">
        <v>3</v>
      </c>
      <c r="E761">
        <v>0</v>
      </c>
      <c r="F761" s="2">
        <v>0</v>
      </c>
      <c r="G761">
        <v>0</v>
      </c>
      <c r="H761">
        <v>2</v>
      </c>
      <c r="I761">
        <v>0.226255433157675</v>
      </c>
      <c r="J761">
        <v>1</v>
      </c>
      <c r="K761">
        <v>1</v>
      </c>
      <c r="L761" s="2">
        <v>0</v>
      </c>
      <c r="M761">
        <v>10.16</v>
      </c>
      <c r="N761" t="s">
        <v>10236</v>
      </c>
    </row>
    <row r="762" spans="1:14">
      <c r="A762" t="s">
        <v>35</v>
      </c>
      <c r="B762" t="s">
        <v>946</v>
      </c>
      <c r="C762">
        <f>"BIO16"</f>
        <v>0</v>
      </c>
      <c r="D762">
        <v>3</v>
      </c>
      <c r="E762">
        <v>0</v>
      </c>
      <c r="F762" s="2">
        <v>0</v>
      </c>
      <c r="G762">
        <v>0</v>
      </c>
      <c r="H762">
        <v>2</v>
      </c>
      <c r="I762">
        <v>0.226255433157675</v>
      </c>
      <c r="J762">
        <v>1</v>
      </c>
      <c r="K762">
        <v>1</v>
      </c>
      <c r="L762" s="2">
        <v>0</v>
      </c>
      <c r="M762">
        <v>10.18</v>
      </c>
      <c r="N762" t="s">
        <v>10236</v>
      </c>
    </row>
    <row r="763" spans="1:14">
      <c r="A763" t="s">
        <v>30</v>
      </c>
      <c r="B763" t="s">
        <v>947</v>
      </c>
      <c r="C763">
        <f>"101298"</f>
        <v>0</v>
      </c>
      <c r="D763">
        <v>3</v>
      </c>
      <c r="E763">
        <v>0</v>
      </c>
      <c r="F763" s="2">
        <v>0</v>
      </c>
      <c r="G763">
        <v>0</v>
      </c>
      <c r="H763">
        <v>2</v>
      </c>
      <c r="I763">
        <v>0.226255433157675</v>
      </c>
      <c r="J763">
        <v>1</v>
      </c>
      <c r="K763">
        <v>1</v>
      </c>
      <c r="L763" s="2">
        <v>0</v>
      </c>
      <c r="M763">
        <v>10.19</v>
      </c>
      <c r="N763" t="s">
        <v>10236</v>
      </c>
    </row>
    <row r="764" spans="1:14">
      <c r="A764" t="s">
        <v>41</v>
      </c>
      <c r="B764" t="s">
        <v>948</v>
      </c>
      <c r="C764">
        <f>"PAIRCP01"</f>
        <v>0</v>
      </c>
      <c r="D764">
        <v>1</v>
      </c>
      <c r="E764">
        <v>0</v>
      </c>
      <c r="F764" s="2">
        <v>0</v>
      </c>
      <c r="G764">
        <v>0</v>
      </c>
      <c r="H764">
        <v>1</v>
      </c>
      <c r="I764">
        <v>0.2262499347514169</v>
      </c>
      <c r="J764">
        <v>0</v>
      </c>
      <c r="K764">
        <v>0</v>
      </c>
      <c r="L764" s="2">
        <v>0</v>
      </c>
      <c r="M764">
        <v>10.2</v>
      </c>
      <c r="N764" t="s">
        <v>10236</v>
      </c>
    </row>
    <row r="765" spans="1:14">
      <c r="A765" t="s">
        <v>217</v>
      </c>
      <c r="B765" t="s">
        <v>949</v>
      </c>
      <c r="C765">
        <f>"TATP45"</f>
        <v>0</v>
      </c>
      <c r="D765">
        <v>2</v>
      </c>
      <c r="E765">
        <v>0</v>
      </c>
      <c r="F765" s="2">
        <v>0</v>
      </c>
      <c r="G765">
        <v>0</v>
      </c>
      <c r="H765">
        <v>1</v>
      </c>
      <c r="I765">
        <v>0.2261923391269598</v>
      </c>
      <c r="J765">
        <v>0</v>
      </c>
      <c r="K765">
        <v>0</v>
      </c>
      <c r="L765" s="2">
        <v>0</v>
      </c>
      <c r="M765">
        <v>10.21</v>
      </c>
      <c r="N765" t="s">
        <v>10236</v>
      </c>
    </row>
    <row r="766" spans="1:14">
      <c r="A766" t="s">
        <v>35</v>
      </c>
      <c r="B766" t="s">
        <v>90</v>
      </c>
      <c r="C766">
        <f>"CAT001AZ"</f>
        <v>0</v>
      </c>
      <c r="D766">
        <v>28</v>
      </c>
      <c r="E766">
        <v>4</v>
      </c>
      <c r="F766" s="2">
        <v>18</v>
      </c>
      <c r="G766">
        <v>0.57</v>
      </c>
      <c r="H766">
        <v>4</v>
      </c>
      <c r="I766">
        <v>0.2260661728269037</v>
      </c>
      <c r="J766">
        <v>7</v>
      </c>
      <c r="K766">
        <v>3</v>
      </c>
      <c r="L766" s="2">
        <v>54</v>
      </c>
      <c r="M766">
        <v>10.22</v>
      </c>
      <c r="N766" t="s">
        <v>10235</v>
      </c>
    </row>
    <row r="767" spans="1:14">
      <c r="A767" t="s">
        <v>35</v>
      </c>
      <c r="B767" t="s">
        <v>950</v>
      </c>
      <c r="C767">
        <f>"NGR"</f>
        <v>0</v>
      </c>
      <c r="D767">
        <v>2</v>
      </c>
      <c r="E767">
        <v>0</v>
      </c>
      <c r="F767" s="2">
        <v>0</v>
      </c>
      <c r="G767">
        <v>0</v>
      </c>
      <c r="H767">
        <v>2</v>
      </c>
      <c r="I767">
        <v>0.2260491089038361</v>
      </c>
      <c r="J767">
        <v>0</v>
      </c>
      <c r="K767">
        <v>0</v>
      </c>
      <c r="L767" s="2">
        <v>0</v>
      </c>
      <c r="M767">
        <v>10.24</v>
      </c>
      <c r="N767" t="s">
        <v>10236</v>
      </c>
    </row>
    <row r="768" spans="1:14">
      <c r="A768" t="s">
        <v>35</v>
      </c>
      <c r="B768" t="s">
        <v>951</v>
      </c>
      <c r="C768">
        <f>"DTC804ROJ"</f>
        <v>0</v>
      </c>
      <c r="D768">
        <v>1</v>
      </c>
      <c r="E768">
        <v>0</v>
      </c>
      <c r="F768" s="2">
        <v>0</v>
      </c>
      <c r="G768">
        <v>0</v>
      </c>
      <c r="H768">
        <v>1</v>
      </c>
      <c r="I768">
        <v>0.2260376629461432</v>
      </c>
      <c r="J768">
        <v>0</v>
      </c>
      <c r="K768">
        <v>0</v>
      </c>
      <c r="L768" s="2">
        <v>0</v>
      </c>
      <c r="M768">
        <v>10.25</v>
      </c>
      <c r="N768" t="s">
        <v>10236</v>
      </c>
    </row>
    <row r="769" spans="1:14">
      <c r="A769" t="s">
        <v>32</v>
      </c>
      <c r="B769" t="s">
        <v>952</v>
      </c>
      <c r="C769">
        <f>"5006748"</f>
        <v>0</v>
      </c>
      <c r="D769">
        <v>2</v>
      </c>
      <c r="E769">
        <v>0</v>
      </c>
      <c r="F769" s="2">
        <v>0</v>
      </c>
      <c r="G769">
        <v>0</v>
      </c>
      <c r="H769">
        <v>2</v>
      </c>
      <c r="I769">
        <v>0.225998703224323</v>
      </c>
      <c r="J769">
        <v>0</v>
      </c>
      <c r="K769">
        <v>0</v>
      </c>
      <c r="L769" s="2">
        <v>0</v>
      </c>
      <c r="M769">
        <v>10.26</v>
      </c>
      <c r="N769" t="s">
        <v>10236</v>
      </c>
    </row>
    <row r="770" spans="1:14">
      <c r="A770" t="s">
        <v>32</v>
      </c>
      <c r="B770" t="s">
        <v>953</v>
      </c>
      <c r="C770">
        <f>"5009863"</f>
        <v>0</v>
      </c>
      <c r="D770">
        <v>2</v>
      </c>
      <c r="E770">
        <v>0</v>
      </c>
      <c r="F770" s="2">
        <v>0</v>
      </c>
      <c r="G770">
        <v>0</v>
      </c>
      <c r="H770">
        <v>2</v>
      </c>
      <c r="I770">
        <v>0.2259820196543433</v>
      </c>
      <c r="J770">
        <v>0</v>
      </c>
      <c r="K770">
        <v>0</v>
      </c>
      <c r="L770" s="2">
        <v>0</v>
      </c>
      <c r="M770">
        <v>10.27</v>
      </c>
      <c r="N770" t="s">
        <v>10236</v>
      </c>
    </row>
    <row r="771" spans="1:14">
      <c r="A771" t="s">
        <v>202</v>
      </c>
      <c r="B771" t="s">
        <v>954</v>
      </c>
      <c r="C771">
        <f>"11180003"</f>
        <v>0</v>
      </c>
      <c r="D771">
        <v>3</v>
      </c>
      <c r="E771">
        <v>0</v>
      </c>
      <c r="F771" s="2">
        <v>0</v>
      </c>
      <c r="G771">
        <v>0</v>
      </c>
      <c r="H771">
        <v>2</v>
      </c>
      <c r="I771">
        <v>0.2259670203787705</v>
      </c>
      <c r="J771">
        <v>1</v>
      </c>
      <c r="K771">
        <v>1</v>
      </c>
      <c r="L771" s="2">
        <v>0</v>
      </c>
      <c r="M771">
        <v>10.28</v>
      </c>
      <c r="N771" t="s">
        <v>10236</v>
      </c>
    </row>
    <row r="772" spans="1:14">
      <c r="A772" t="s">
        <v>24</v>
      </c>
      <c r="B772" t="s">
        <v>955</v>
      </c>
      <c r="C772">
        <f>"DPI130"</f>
        <v>0</v>
      </c>
      <c r="D772">
        <v>2</v>
      </c>
      <c r="E772">
        <v>0</v>
      </c>
      <c r="F772" s="2">
        <v>0</v>
      </c>
      <c r="G772">
        <v>0</v>
      </c>
      <c r="H772">
        <v>2</v>
      </c>
      <c r="I772">
        <v>0.2259232721898403</v>
      </c>
      <c r="J772">
        <v>0</v>
      </c>
      <c r="K772">
        <v>0</v>
      </c>
      <c r="L772" s="2">
        <v>0</v>
      </c>
      <c r="M772">
        <v>10.3</v>
      </c>
      <c r="N772" t="s">
        <v>10236</v>
      </c>
    </row>
    <row r="773" spans="1:14">
      <c r="A773" t="s">
        <v>25</v>
      </c>
      <c r="B773" t="s">
        <v>956</v>
      </c>
      <c r="C773">
        <f>"S2513"</f>
        <v>0</v>
      </c>
      <c r="D773">
        <v>2</v>
      </c>
      <c r="E773">
        <v>0</v>
      </c>
      <c r="F773" s="2">
        <v>0</v>
      </c>
      <c r="G773">
        <v>0</v>
      </c>
      <c r="H773">
        <v>2</v>
      </c>
      <c r="I773">
        <v>0.2258804983561689</v>
      </c>
      <c r="J773">
        <v>0</v>
      </c>
      <c r="K773">
        <v>0</v>
      </c>
      <c r="L773" s="2">
        <v>0</v>
      </c>
      <c r="M773">
        <v>10.31</v>
      </c>
      <c r="N773" t="s">
        <v>10236</v>
      </c>
    </row>
    <row r="774" spans="1:14">
      <c r="A774" t="s">
        <v>35</v>
      </c>
      <c r="B774" t="s">
        <v>957</v>
      </c>
      <c r="C774">
        <f>"ER191"</f>
        <v>0</v>
      </c>
      <c r="D774">
        <v>2</v>
      </c>
      <c r="E774">
        <v>0</v>
      </c>
      <c r="F774" s="2">
        <v>0</v>
      </c>
      <c r="G774">
        <v>0</v>
      </c>
      <c r="H774">
        <v>2</v>
      </c>
      <c r="I774">
        <v>0.2258749963277713</v>
      </c>
      <c r="J774">
        <v>0</v>
      </c>
      <c r="K774">
        <v>0</v>
      </c>
      <c r="L774" s="2">
        <v>0</v>
      </c>
      <c r="M774">
        <v>10.32</v>
      </c>
      <c r="N774" t="s">
        <v>10236</v>
      </c>
    </row>
    <row r="775" spans="1:14">
      <c r="A775" t="s">
        <v>35</v>
      </c>
      <c r="B775" t="s">
        <v>958</v>
      </c>
      <c r="C775">
        <f>"JWZ1010S"</f>
        <v>0</v>
      </c>
      <c r="D775">
        <v>18</v>
      </c>
      <c r="E775">
        <v>1</v>
      </c>
      <c r="F775" s="2">
        <v>621</v>
      </c>
      <c r="G775">
        <v>0.22</v>
      </c>
      <c r="H775">
        <v>2</v>
      </c>
      <c r="I775">
        <v>0.225858607771948</v>
      </c>
      <c r="J775">
        <v>4</v>
      </c>
      <c r="K775">
        <v>3</v>
      </c>
      <c r="L775" s="2">
        <v>1863</v>
      </c>
      <c r="M775">
        <v>10.33</v>
      </c>
      <c r="N775" t="s">
        <v>10235</v>
      </c>
    </row>
    <row r="776" spans="1:14">
      <c r="A776" t="s">
        <v>202</v>
      </c>
      <c r="B776" t="s">
        <v>959</v>
      </c>
      <c r="C776">
        <f>"21001108"</f>
        <v>0</v>
      </c>
      <c r="D776">
        <v>18</v>
      </c>
      <c r="E776">
        <v>1</v>
      </c>
      <c r="F776" s="2">
        <v>3</v>
      </c>
      <c r="G776">
        <v>0.22</v>
      </c>
      <c r="H776">
        <v>1</v>
      </c>
      <c r="I776">
        <v>0.225858607771948</v>
      </c>
      <c r="J776">
        <v>4</v>
      </c>
      <c r="K776">
        <v>3</v>
      </c>
      <c r="L776" s="2">
        <v>9</v>
      </c>
      <c r="M776">
        <v>10.34</v>
      </c>
      <c r="N776" t="s">
        <v>10236</v>
      </c>
    </row>
    <row r="777" spans="1:14">
      <c r="A777" t="s">
        <v>35</v>
      </c>
      <c r="B777" t="s">
        <v>960</v>
      </c>
      <c r="C777">
        <f>"ER194"</f>
        <v>0</v>
      </c>
      <c r="D777">
        <v>2</v>
      </c>
      <c r="E777">
        <v>0</v>
      </c>
      <c r="F777" s="2">
        <v>0</v>
      </c>
      <c r="G777">
        <v>0</v>
      </c>
      <c r="H777">
        <v>1</v>
      </c>
      <c r="I777">
        <v>0.2258284953135726</v>
      </c>
      <c r="J777">
        <v>0</v>
      </c>
      <c r="K777">
        <v>0</v>
      </c>
      <c r="L777" s="2">
        <v>0</v>
      </c>
      <c r="M777">
        <v>10.36</v>
      </c>
      <c r="N777" t="s">
        <v>10236</v>
      </c>
    </row>
    <row r="778" spans="1:14">
      <c r="A778" t="s">
        <v>218</v>
      </c>
      <c r="B778" t="s">
        <v>961</v>
      </c>
      <c r="C778">
        <f>"DRAGOTIB01"</f>
        <v>0</v>
      </c>
      <c r="D778">
        <v>2</v>
      </c>
      <c r="E778">
        <v>0</v>
      </c>
      <c r="F778" s="2">
        <v>0</v>
      </c>
      <c r="G778">
        <v>0</v>
      </c>
      <c r="H778">
        <v>2</v>
      </c>
      <c r="I778">
        <v>0.225803469958603</v>
      </c>
      <c r="J778">
        <v>0</v>
      </c>
      <c r="K778">
        <v>0</v>
      </c>
      <c r="L778" s="2">
        <v>0</v>
      </c>
      <c r="M778">
        <v>10.37</v>
      </c>
      <c r="N778" t="s">
        <v>10236</v>
      </c>
    </row>
    <row r="779" spans="1:14">
      <c r="A779" t="s">
        <v>25</v>
      </c>
      <c r="B779" t="s">
        <v>962</v>
      </c>
      <c r="C779">
        <f>"671509"</f>
        <v>0</v>
      </c>
      <c r="D779">
        <v>2</v>
      </c>
      <c r="E779">
        <v>0</v>
      </c>
      <c r="F779" s="2">
        <v>0</v>
      </c>
      <c r="G779">
        <v>0</v>
      </c>
      <c r="H779">
        <v>2</v>
      </c>
      <c r="I779">
        <v>0.2257811068754387</v>
      </c>
      <c r="J779">
        <v>0</v>
      </c>
      <c r="K779">
        <v>0</v>
      </c>
      <c r="L779" s="2">
        <v>0</v>
      </c>
      <c r="M779">
        <v>10.38</v>
      </c>
      <c r="N779" t="s">
        <v>10236</v>
      </c>
    </row>
    <row r="780" spans="1:14">
      <c r="A780" t="s">
        <v>35</v>
      </c>
      <c r="B780" t="s">
        <v>963</v>
      </c>
      <c r="C780">
        <f>"CL03M"</f>
        <v>0</v>
      </c>
      <c r="D780">
        <v>2</v>
      </c>
      <c r="E780">
        <v>0</v>
      </c>
      <c r="F780" s="2">
        <v>0</v>
      </c>
      <c r="G780">
        <v>0</v>
      </c>
      <c r="H780">
        <v>1</v>
      </c>
      <c r="I780">
        <v>0.2257759598166152</v>
      </c>
      <c r="J780">
        <v>0</v>
      </c>
      <c r="K780">
        <v>0</v>
      </c>
      <c r="L780" s="2">
        <v>0</v>
      </c>
      <c r="M780">
        <v>10.39</v>
      </c>
      <c r="N780" t="s">
        <v>10236</v>
      </c>
    </row>
    <row r="781" spans="1:14">
      <c r="A781" t="s">
        <v>35</v>
      </c>
      <c r="B781" t="s">
        <v>964</v>
      </c>
      <c r="C781">
        <f>"PP007B"</f>
        <v>0</v>
      </c>
      <c r="D781">
        <v>24</v>
      </c>
      <c r="E781">
        <v>2</v>
      </c>
      <c r="F781" s="2">
        <v>5</v>
      </c>
      <c r="G781">
        <v>0.33</v>
      </c>
      <c r="H781">
        <v>4</v>
      </c>
      <c r="I781">
        <v>0.2257518243169872</v>
      </c>
      <c r="J781">
        <v>6</v>
      </c>
      <c r="K781">
        <v>4</v>
      </c>
      <c r="L781" s="2">
        <v>20</v>
      </c>
      <c r="M781">
        <v>10.4</v>
      </c>
      <c r="N781" t="s">
        <v>10235</v>
      </c>
    </row>
    <row r="782" spans="1:14">
      <c r="A782" t="s">
        <v>35</v>
      </c>
      <c r="B782" t="s">
        <v>965</v>
      </c>
      <c r="C782">
        <f>"WPS236"</f>
        <v>0</v>
      </c>
      <c r="D782">
        <v>2</v>
      </c>
      <c r="E782">
        <v>0</v>
      </c>
      <c r="F782" s="2">
        <v>0</v>
      </c>
      <c r="G782">
        <v>0</v>
      </c>
      <c r="H782">
        <v>1</v>
      </c>
      <c r="I782">
        <v>0.2257424151918687</v>
      </c>
      <c r="J782">
        <v>0</v>
      </c>
      <c r="K782">
        <v>0</v>
      </c>
      <c r="L782" s="2">
        <v>0</v>
      </c>
      <c r="M782">
        <v>10.42</v>
      </c>
      <c r="N782" t="s">
        <v>10236</v>
      </c>
    </row>
    <row r="783" spans="1:14">
      <c r="A783" t="s">
        <v>213</v>
      </c>
      <c r="B783" t="s">
        <v>966</v>
      </c>
      <c r="C783">
        <f>"500907"</f>
        <v>0</v>
      </c>
      <c r="D783">
        <v>3</v>
      </c>
      <c r="E783">
        <v>0</v>
      </c>
      <c r="F783" s="2">
        <v>0</v>
      </c>
      <c r="G783">
        <v>0</v>
      </c>
      <c r="H783">
        <v>2</v>
      </c>
      <c r="I783">
        <v>0.2256892566870871</v>
      </c>
      <c r="J783">
        <v>1</v>
      </c>
      <c r="K783">
        <v>1</v>
      </c>
      <c r="L783" s="2">
        <v>0</v>
      </c>
      <c r="M783">
        <v>10.43</v>
      </c>
      <c r="N783" t="s">
        <v>10236</v>
      </c>
    </row>
    <row r="784" spans="1:14">
      <c r="A784" t="s">
        <v>30</v>
      </c>
      <c r="B784" t="s">
        <v>967</v>
      </c>
      <c r="C784">
        <f>"100203"</f>
        <v>0</v>
      </c>
      <c r="D784">
        <v>1</v>
      </c>
      <c r="E784">
        <v>0</v>
      </c>
      <c r="F784" s="2">
        <v>0</v>
      </c>
      <c r="G784">
        <v>0</v>
      </c>
      <c r="H784">
        <v>1</v>
      </c>
      <c r="I784">
        <v>0.2256881954005044</v>
      </c>
      <c r="J784">
        <v>0</v>
      </c>
      <c r="K784">
        <v>0</v>
      </c>
      <c r="L784" s="2">
        <v>0</v>
      </c>
      <c r="M784">
        <v>10.44</v>
      </c>
      <c r="N784" t="s">
        <v>10236</v>
      </c>
    </row>
    <row r="785" spans="1:14">
      <c r="A785" t="s">
        <v>35</v>
      </c>
      <c r="B785" t="s">
        <v>968</v>
      </c>
      <c r="C785">
        <f>"D060L"</f>
        <v>0</v>
      </c>
      <c r="D785">
        <v>1</v>
      </c>
      <c r="E785">
        <v>0</v>
      </c>
      <c r="F785" s="2">
        <v>0</v>
      </c>
      <c r="G785">
        <v>0</v>
      </c>
      <c r="H785">
        <v>1</v>
      </c>
      <c r="I785">
        <v>0.2256660098021271</v>
      </c>
      <c r="J785">
        <v>0</v>
      </c>
      <c r="K785">
        <v>0</v>
      </c>
      <c r="L785" s="2">
        <v>0</v>
      </c>
      <c r="M785">
        <v>10.45</v>
      </c>
      <c r="N785" t="s">
        <v>10236</v>
      </c>
    </row>
    <row r="786" spans="1:14">
      <c r="A786" t="s">
        <v>25</v>
      </c>
      <c r="B786" t="s">
        <v>969</v>
      </c>
      <c r="C786">
        <f>"MYG006"</f>
        <v>0</v>
      </c>
      <c r="D786">
        <v>2</v>
      </c>
      <c r="E786">
        <v>0</v>
      </c>
      <c r="F786" s="2">
        <v>0</v>
      </c>
      <c r="G786">
        <v>0</v>
      </c>
      <c r="H786">
        <v>1</v>
      </c>
      <c r="I786">
        <v>0.2255411474433902</v>
      </c>
      <c r="J786">
        <v>0</v>
      </c>
      <c r="K786">
        <v>0</v>
      </c>
      <c r="L786" s="2">
        <v>0</v>
      </c>
      <c r="M786">
        <v>10.46</v>
      </c>
      <c r="N786" t="s">
        <v>10236</v>
      </c>
    </row>
    <row r="787" spans="1:14">
      <c r="A787" t="s">
        <v>30</v>
      </c>
      <c r="B787" t="s">
        <v>970</v>
      </c>
      <c r="C787">
        <f>"100524"</f>
        <v>0</v>
      </c>
      <c r="D787">
        <v>2</v>
      </c>
      <c r="E787">
        <v>0</v>
      </c>
      <c r="F787" s="2">
        <v>0</v>
      </c>
      <c r="G787">
        <v>0</v>
      </c>
      <c r="H787">
        <v>1</v>
      </c>
      <c r="I787">
        <v>0.2255411474433902</v>
      </c>
      <c r="J787">
        <v>0</v>
      </c>
      <c r="K787">
        <v>0</v>
      </c>
      <c r="L787" s="2">
        <v>0</v>
      </c>
      <c r="M787">
        <v>10.48</v>
      </c>
      <c r="N787" t="s">
        <v>10236</v>
      </c>
    </row>
    <row r="788" spans="1:14">
      <c r="A788" t="s">
        <v>194</v>
      </c>
      <c r="B788" t="s">
        <v>971</v>
      </c>
      <c r="C788">
        <f>"100800250"</f>
        <v>0</v>
      </c>
      <c r="D788">
        <v>2</v>
      </c>
      <c r="E788">
        <v>0</v>
      </c>
      <c r="F788" s="2">
        <v>0</v>
      </c>
      <c r="G788">
        <v>0</v>
      </c>
      <c r="H788">
        <v>1</v>
      </c>
      <c r="I788">
        <v>0.2255411474433902</v>
      </c>
      <c r="J788">
        <v>0</v>
      </c>
      <c r="K788">
        <v>0</v>
      </c>
      <c r="L788" s="2">
        <v>0</v>
      </c>
      <c r="M788">
        <v>10.49</v>
      </c>
      <c r="N788" t="s">
        <v>10236</v>
      </c>
    </row>
    <row r="789" spans="1:14">
      <c r="A789" t="s">
        <v>40</v>
      </c>
      <c r="B789" t="s">
        <v>972</v>
      </c>
      <c r="C789">
        <f>"v100810"</f>
        <v>0</v>
      </c>
      <c r="D789">
        <v>2</v>
      </c>
      <c r="E789">
        <v>0</v>
      </c>
      <c r="F789" s="2">
        <v>0</v>
      </c>
      <c r="G789">
        <v>0</v>
      </c>
      <c r="H789">
        <v>1</v>
      </c>
      <c r="I789">
        <v>0.2255411474433902</v>
      </c>
      <c r="J789">
        <v>0</v>
      </c>
      <c r="K789">
        <v>0</v>
      </c>
      <c r="L789" s="2">
        <v>0</v>
      </c>
      <c r="M789">
        <v>10.5</v>
      </c>
      <c r="N789" t="s">
        <v>10236</v>
      </c>
    </row>
    <row r="790" spans="1:14">
      <c r="A790" t="s">
        <v>35</v>
      </c>
      <c r="B790" t="s">
        <v>973</v>
      </c>
      <c r="C790">
        <f>"X1341LV"</f>
        <v>0</v>
      </c>
      <c r="D790">
        <v>2</v>
      </c>
      <c r="E790">
        <v>0</v>
      </c>
      <c r="F790" s="2">
        <v>0</v>
      </c>
      <c r="G790">
        <v>0</v>
      </c>
      <c r="H790">
        <v>2</v>
      </c>
      <c r="I790">
        <v>0.2255411474433902</v>
      </c>
      <c r="J790">
        <v>0</v>
      </c>
      <c r="K790">
        <v>0</v>
      </c>
      <c r="L790" s="2">
        <v>0</v>
      </c>
      <c r="M790">
        <v>10.51</v>
      </c>
      <c r="N790" t="s">
        <v>10236</v>
      </c>
    </row>
    <row r="791" spans="1:14">
      <c r="A791" t="s">
        <v>202</v>
      </c>
      <c r="B791" t="s">
        <v>974</v>
      </c>
      <c r="C791">
        <f>"21001050"</f>
        <v>0</v>
      </c>
      <c r="D791">
        <v>2</v>
      </c>
      <c r="E791">
        <v>0</v>
      </c>
      <c r="F791" s="2">
        <v>0</v>
      </c>
      <c r="G791">
        <v>0</v>
      </c>
      <c r="H791">
        <v>2</v>
      </c>
      <c r="I791">
        <v>0.2255411474433902</v>
      </c>
      <c r="J791">
        <v>0</v>
      </c>
      <c r="K791">
        <v>0</v>
      </c>
      <c r="L791" s="2">
        <v>0</v>
      </c>
      <c r="M791">
        <v>10.52</v>
      </c>
      <c r="N791" t="s">
        <v>10236</v>
      </c>
    </row>
    <row r="792" spans="1:14">
      <c r="A792" t="s">
        <v>35</v>
      </c>
      <c r="B792" t="s">
        <v>975</v>
      </c>
      <c r="C792">
        <f>"LQC05ROS"</f>
        <v>0</v>
      </c>
      <c r="D792">
        <v>2</v>
      </c>
      <c r="E792">
        <v>0</v>
      </c>
      <c r="F792" s="2">
        <v>0</v>
      </c>
      <c r="G792">
        <v>0</v>
      </c>
      <c r="H792">
        <v>1</v>
      </c>
      <c r="I792">
        <v>0.2255411474433902</v>
      </c>
      <c r="J792">
        <v>0</v>
      </c>
      <c r="K792">
        <v>0</v>
      </c>
      <c r="L792" s="2">
        <v>0</v>
      </c>
      <c r="M792">
        <v>10.54</v>
      </c>
      <c r="N792" t="s">
        <v>10236</v>
      </c>
    </row>
    <row r="793" spans="1:14">
      <c r="A793" t="s">
        <v>41</v>
      </c>
      <c r="B793" t="s">
        <v>976</v>
      </c>
      <c r="C793">
        <f>"CENTROVHID"</f>
        <v>0</v>
      </c>
      <c r="D793">
        <v>2</v>
      </c>
      <c r="E793">
        <v>0</v>
      </c>
      <c r="F793" s="2">
        <v>0</v>
      </c>
      <c r="G793">
        <v>0</v>
      </c>
      <c r="H793">
        <v>1</v>
      </c>
      <c r="I793">
        <v>0.2255411474433902</v>
      </c>
      <c r="J793">
        <v>0</v>
      </c>
      <c r="K793">
        <v>0</v>
      </c>
      <c r="L793" s="2">
        <v>0</v>
      </c>
      <c r="M793">
        <v>10.55</v>
      </c>
      <c r="N793" t="s">
        <v>10236</v>
      </c>
    </row>
    <row r="794" spans="1:14">
      <c r="A794" t="s">
        <v>36</v>
      </c>
      <c r="B794" t="s">
        <v>977</v>
      </c>
      <c r="C794">
        <f>"1020911"</f>
        <v>0</v>
      </c>
      <c r="D794">
        <v>2</v>
      </c>
      <c r="E794">
        <v>0</v>
      </c>
      <c r="F794" s="2">
        <v>0</v>
      </c>
      <c r="G794">
        <v>0</v>
      </c>
      <c r="H794">
        <v>2</v>
      </c>
      <c r="I794">
        <v>0.2255411474433902</v>
      </c>
      <c r="J794">
        <v>0</v>
      </c>
      <c r="K794">
        <v>0</v>
      </c>
      <c r="L794" s="2">
        <v>0</v>
      </c>
      <c r="M794">
        <v>10.56</v>
      </c>
      <c r="N794" t="s">
        <v>10236</v>
      </c>
    </row>
    <row r="795" spans="1:14">
      <c r="A795" t="s">
        <v>35</v>
      </c>
      <c r="B795" t="s">
        <v>978</v>
      </c>
      <c r="C795">
        <f>"KX1039"</f>
        <v>0</v>
      </c>
      <c r="D795">
        <v>2</v>
      </c>
      <c r="E795">
        <v>0</v>
      </c>
      <c r="F795" s="2">
        <v>0</v>
      </c>
      <c r="G795">
        <v>0</v>
      </c>
      <c r="H795">
        <v>1</v>
      </c>
      <c r="I795">
        <v>0.2255411474433902</v>
      </c>
      <c r="J795">
        <v>0</v>
      </c>
      <c r="K795">
        <v>0</v>
      </c>
      <c r="L795" s="2">
        <v>0</v>
      </c>
      <c r="M795">
        <v>10.57</v>
      </c>
      <c r="N795" t="s">
        <v>10236</v>
      </c>
    </row>
    <row r="796" spans="1:14">
      <c r="A796" t="s">
        <v>35</v>
      </c>
      <c r="B796" t="s">
        <v>979</v>
      </c>
      <c r="C796">
        <f>"S5"</f>
        <v>0</v>
      </c>
      <c r="D796">
        <v>2</v>
      </c>
      <c r="E796">
        <v>0</v>
      </c>
      <c r="F796" s="2">
        <v>0</v>
      </c>
      <c r="G796">
        <v>0</v>
      </c>
      <c r="H796">
        <v>1</v>
      </c>
      <c r="I796">
        <v>0.2255411474433902</v>
      </c>
      <c r="J796">
        <v>0</v>
      </c>
      <c r="K796">
        <v>0</v>
      </c>
      <c r="L796" s="2">
        <v>0</v>
      </c>
      <c r="M796">
        <v>10.58</v>
      </c>
      <c r="N796" t="s">
        <v>10236</v>
      </c>
    </row>
    <row r="797" spans="1:14">
      <c r="A797" t="s">
        <v>25</v>
      </c>
      <c r="B797" t="s">
        <v>980</v>
      </c>
      <c r="C797">
        <f>"1893ROJ"</f>
        <v>0</v>
      </c>
      <c r="D797">
        <v>2</v>
      </c>
      <c r="E797">
        <v>0</v>
      </c>
      <c r="F797" s="2">
        <v>0</v>
      </c>
      <c r="G797">
        <v>0</v>
      </c>
      <c r="H797">
        <v>2</v>
      </c>
      <c r="I797">
        <v>0.2255411474433902</v>
      </c>
      <c r="J797">
        <v>0</v>
      </c>
      <c r="K797">
        <v>0</v>
      </c>
      <c r="L797" s="2">
        <v>0</v>
      </c>
      <c r="M797">
        <v>10.59</v>
      </c>
      <c r="N797" t="s">
        <v>10236</v>
      </c>
    </row>
    <row r="798" spans="1:14">
      <c r="A798" t="s">
        <v>30</v>
      </c>
      <c r="B798" t="s">
        <v>981</v>
      </c>
      <c r="C798">
        <f>"1006899"</f>
        <v>0</v>
      </c>
      <c r="D798">
        <v>2</v>
      </c>
      <c r="E798">
        <v>0</v>
      </c>
      <c r="F798" s="2">
        <v>0</v>
      </c>
      <c r="G798">
        <v>0</v>
      </c>
      <c r="H798">
        <v>1</v>
      </c>
      <c r="I798">
        <v>0.2255411474433902</v>
      </c>
      <c r="J798">
        <v>0</v>
      </c>
      <c r="K798">
        <v>0</v>
      </c>
      <c r="L798" s="2">
        <v>0</v>
      </c>
      <c r="M798">
        <v>10.61</v>
      </c>
      <c r="N798" t="s">
        <v>10236</v>
      </c>
    </row>
    <row r="799" spans="1:14">
      <c r="A799" t="s">
        <v>202</v>
      </c>
      <c r="B799" t="s">
        <v>982</v>
      </c>
      <c r="C799">
        <f>"11002089"</f>
        <v>0</v>
      </c>
      <c r="D799">
        <v>2</v>
      </c>
      <c r="E799">
        <v>0</v>
      </c>
      <c r="F799" s="2">
        <v>0</v>
      </c>
      <c r="G799">
        <v>0</v>
      </c>
      <c r="H799">
        <v>1</v>
      </c>
      <c r="I799">
        <v>0.2255411474433902</v>
      </c>
      <c r="J799">
        <v>0</v>
      </c>
      <c r="K799">
        <v>0</v>
      </c>
      <c r="L799" s="2">
        <v>0</v>
      </c>
      <c r="M799">
        <v>10.62</v>
      </c>
      <c r="N799" t="s">
        <v>10236</v>
      </c>
    </row>
    <row r="800" spans="1:14">
      <c r="A800" t="s">
        <v>30</v>
      </c>
      <c r="B800" t="s">
        <v>983</v>
      </c>
      <c r="C800">
        <f>"101060"</f>
        <v>0</v>
      </c>
      <c r="D800">
        <v>2</v>
      </c>
      <c r="E800">
        <v>0</v>
      </c>
      <c r="F800" s="2">
        <v>0</v>
      </c>
      <c r="G800">
        <v>0</v>
      </c>
      <c r="H800">
        <v>1</v>
      </c>
      <c r="I800">
        <v>0.2255411474433902</v>
      </c>
      <c r="J800">
        <v>0</v>
      </c>
      <c r="K800">
        <v>0</v>
      </c>
      <c r="L800" s="2">
        <v>0</v>
      </c>
      <c r="M800">
        <v>10.63</v>
      </c>
      <c r="N800" t="s">
        <v>10236</v>
      </c>
    </row>
    <row r="801" spans="1:14">
      <c r="A801" t="s">
        <v>196</v>
      </c>
      <c r="B801" t="s">
        <v>984</v>
      </c>
      <c r="C801">
        <f>"2447"</f>
        <v>0</v>
      </c>
      <c r="D801">
        <v>2</v>
      </c>
      <c r="E801">
        <v>0</v>
      </c>
      <c r="F801" s="2">
        <v>0</v>
      </c>
      <c r="G801">
        <v>0</v>
      </c>
      <c r="H801">
        <v>1</v>
      </c>
      <c r="I801">
        <v>0.2255411474433902</v>
      </c>
      <c r="J801">
        <v>0</v>
      </c>
      <c r="K801">
        <v>0</v>
      </c>
      <c r="L801" s="2">
        <v>0</v>
      </c>
      <c r="M801">
        <v>10.64</v>
      </c>
      <c r="N801" t="s">
        <v>10236</v>
      </c>
    </row>
    <row r="802" spans="1:14">
      <c r="A802" t="s">
        <v>37</v>
      </c>
      <c r="B802" t="s">
        <v>985</v>
      </c>
      <c r="C802">
        <f>"560460"</f>
        <v>0</v>
      </c>
      <c r="D802">
        <v>2</v>
      </c>
      <c r="E802">
        <v>0</v>
      </c>
      <c r="F802" s="2">
        <v>0</v>
      </c>
      <c r="G802">
        <v>0</v>
      </c>
      <c r="H802">
        <v>2</v>
      </c>
      <c r="I802">
        <v>0.2255411474433902</v>
      </c>
      <c r="J802">
        <v>0</v>
      </c>
      <c r="K802">
        <v>0</v>
      </c>
      <c r="L802" s="2">
        <v>0</v>
      </c>
      <c r="M802">
        <v>10.65</v>
      </c>
      <c r="N802" t="s">
        <v>10236</v>
      </c>
    </row>
    <row r="803" spans="1:14">
      <c r="A803" t="s">
        <v>203</v>
      </c>
      <c r="B803" t="s">
        <v>986</v>
      </c>
      <c r="C803">
        <f>"756266"</f>
        <v>0</v>
      </c>
      <c r="D803">
        <v>2</v>
      </c>
      <c r="E803">
        <v>0</v>
      </c>
      <c r="F803" s="2">
        <v>0</v>
      </c>
      <c r="G803">
        <v>0</v>
      </c>
      <c r="H803">
        <v>1</v>
      </c>
      <c r="I803">
        <v>0.2255411474433902</v>
      </c>
      <c r="J803">
        <v>0</v>
      </c>
      <c r="K803">
        <v>0</v>
      </c>
      <c r="L803" s="2">
        <v>0</v>
      </c>
      <c r="M803">
        <v>10.67</v>
      </c>
      <c r="N803" t="s">
        <v>10236</v>
      </c>
    </row>
    <row r="804" spans="1:14">
      <c r="A804" t="s">
        <v>35</v>
      </c>
      <c r="B804" t="s">
        <v>987</v>
      </c>
      <c r="C804">
        <f>"KM5065ROS"</f>
        <v>0</v>
      </c>
      <c r="D804">
        <v>2</v>
      </c>
      <c r="E804">
        <v>0</v>
      </c>
      <c r="F804" s="2">
        <v>0</v>
      </c>
      <c r="G804">
        <v>0</v>
      </c>
      <c r="H804">
        <v>2</v>
      </c>
      <c r="I804">
        <v>0.2255411474433902</v>
      </c>
      <c r="J804">
        <v>0</v>
      </c>
      <c r="K804">
        <v>0</v>
      </c>
      <c r="L804" s="2">
        <v>0</v>
      </c>
      <c r="M804">
        <v>10.68</v>
      </c>
      <c r="N804" t="s">
        <v>10236</v>
      </c>
    </row>
    <row r="805" spans="1:14">
      <c r="A805" t="s">
        <v>25</v>
      </c>
      <c r="B805" t="s">
        <v>988</v>
      </c>
      <c r="C805">
        <f>"LS111CEL"</f>
        <v>0</v>
      </c>
      <c r="D805">
        <v>2</v>
      </c>
      <c r="E805">
        <v>0</v>
      </c>
      <c r="F805" s="2">
        <v>0</v>
      </c>
      <c r="G805">
        <v>0</v>
      </c>
      <c r="H805">
        <v>1</v>
      </c>
      <c r="I805">
        <v>0.2255411474433902</v>
      </c>
      <c r="J805">
        <v>0</v>
      </c>
      <c r="K805">
        <v>0</v>
      </c>
      <c r="L805" s="2">
        <v>0</v>
      </c>
      <c r="M805">
        <v>10.69</v>
      </c>
      <c r="N805" t="s">
        <v>10236</v>
      </c>
    </row>
    <row r="806" spans="1:14">
      <c r="A806" t="s">
        <v>35</v>
      </c>
      <c r="B806" t="s">
        <v>989</v>
      </c>
      <c r="C806">
        <f>"HDD016CE"</f>
        <v>0</v>
      </c>
      <c r="D806">
        <v>2</v>
      </c>
      <c r="E806">
        <v>0</v>
      </c>
      <c r="F806" s="2">
        <v>0</v>
      </c>
      <c r="G806">
        <v>0</v>
      </c>
      <c r="H806">
        <v>2</v>
      </c>
      <c r="I806">
        <v>0.2255411474433902</v>
      </c>
      <c r="J806">
        <v>0</v>
      </c>
      <c r="K806">
        <v>0</v>
      </c>
      <c r="L806" s="2">
        <v>0</v>
      </c>
      <c r="M806">
        <v>10.7</v>
      </c>
      <c r="N806" t="s">
        <v>10236</v>
      </c>
    </row>
    <row r="807" spans="1:14">
      <c r="A807" t="s">
        <v>35</v>
      </c>
      <c r="B807" t="s">
        <v>990</v>
      </c>
      <c r="C807">
        <f>"BRI19"</f>
        <v>0</v>
      </c>
      <c r="D807">
        <v>2</v>
      </c>
      <c r="E807">
        <v>0</v>
      </c>
      <c r="F807" s="2">
        <v>0</v>
      </c>
      <c r="G807">
        <v>0</v>
      </c>
      <c r="H807">
        <v>1</v>
      </c>
      <c r="I807">
        <v>0.2255411474433902</v>
      </c>
      <c r="J807">
        <v>0</v>
      </c>
      <c r="K807">
        <v>0</v>
      </c>
      <c r="L807" s="2">
        <v>0</v>
      </c>
      <c r="M807">
        <v>10.71</v>
      </c>
      <c r="N807" t="s">
        <v>10236</v>
      </c>
    </row>
    <row r="808" spans="1:14">
      <c r="A808" t="s">
        <v>212</v>
      </c>
      <c r="B808" t="s">
        <v>991</v>
      </c>
      <c r="C808">
        <f>"72615"</f>
        <v>0</v>
      </c>
      <c r="D808">
        <v>2</v>
      </c>
      <c r="E808">
        <v>0</v>
      </c>
      <c r="F808" s="2">
        <v>0</v>
      </c>
      <c r="G808">
        <v>0</v>
      </c>
      <c r="H808">
        <v>1</v>
      </c>
      <c r="I808">
        <v>0.2255411474433902</v>
      </c>
      <c r="J808">
        <v>0</v>
      </c>
      <c r="K808">
        <v>0</v>
      </c>
      <c r="L808" s="2">
        <v>0</v>
      </c>
      <c r="M808">
        <v>10.73</v>
      </c>
      <c r="N808" t="s">
        <v>10236</v>
      </c>
    </row>
    <row r="809" spans="1:14">
      <c r="A809" t="s">
        <v>213</v>
      </c>
      <c r="B809" t="s">
        <v>992</v>
      </c>
      <c r="C809">
        <f>"500968"</f>
        <v>0</v>
      </c>
      <c r="D809">
        <v>2</v>
      </c>
      <c r="E809">
        <v>0</v>
      </c>
      <c r="F809" s="2">
        <v>0</v>
      </c>
      <c r="G809">
        <v>0</v>
      </c>
      <c r="H809">
        <v>2</v>
      </c>
      <c r="I809">
        <v>0.2255411474433902</v>
      </c>
      <c r="J809">
        <v>0</v>
      </c>
      <c r="K809">
        <v>0</v>
      </c>
      <c r="L809" s="2">
        <v>0</v>
      </c>
      <c r="M809">
        <v>10.74</v>
      </c>
      <c r="N809" t="s">
        <v>10236</v>
      </c>
    </row>
    <row r="810" spans="1:14">
      <c r="A810" t="s">
        <v>214</v>
      </c>
      <c r="B810" t="s">
        <v>993</v>
      </c>
      <c r="C810">
        <f>"63343"</f>
        <v>0</v>
      </c>
      <c r="D810">
        <v>2</v>
      </c>
      <c r="E810">
        <v>0</v>
      </c>
      <c r="F810" s="2">
        <v>0</v>
      </c>
      <c r="G810">
        <v>0</v>
      </c>
      <c r="H810">
        <v>1</v>
      </c>
      <c r="I810">
        <v>0.2255411474433902</v>
      </c>
      <c r="J810">
        <v>0</v>
      </c>
      <c r="K810">
        <v>0</v>
      </c>
      <c r="L810" s="2">
        <v>0</v>
      </c>
      <c r="M810">
        <v>10.75</v>
      </c>
      <c r="N810" t="s">
        <v>10236</v>
      </c>
    </row>
    <row r="811" spans="1:14">
      <c r="A811" t="s">
        <v>35</v>
      </c>
      <c r="B811" t="s">
        <v>994</v>
      </c>
      <c r="C811">
        <f>"CL03L"</f>
        <v>0</v>
      </c>
      <c r="D811">
        <v>2</v>
      </c>
      <c r="E811">
        <v>0</v>
      </c>
      <c r="F811" s="2">
        <v>0</v>
      </c>
      <c r="G811">
        <v>0</v>
      </c>
      <c r="H811">
        <v>1</v>
      </c>
      <c r="I811">
        <v>0.2255411474433902</v>
      </c>
      <c r="J811">
        <v>0</v>
      </c>
      <c r="K811">
        <v>0</v>
      </c>
      <c r="L811" s="2">
        <v>0</v>
      </c>
      <c r="M811">
        <v>10.76</v>
      </c>
      <c r="N811" t="s">
        <v>10236</v>
      </c>
    </row>
    <row r="812" spans="1:14">
      <c r="A812" t="s">
        <v>35</v>
      </c>
      <c r="B812" t="s">
        <v>995</v>
      </c>
      <c r="C812">
        <f>"CL04L"</f>
        <v>0</v>
      </c>
      <c r="D812">
        <v>2</v>
      </c>
      <c r="E812">
        <v>0</v>
      </c>
      <c r="F812" s="2">
        <v>0</v>
      </c>
      <c r="G812">
        <v>0</v>
      </c>
      <c r="H812">
        <v>1</v>
      </c>
      <c r="I812">
        <v>0.2255411474433902</v>
      </c>
      <c r="J812">
        <v>0</v>
      </c>
      <c r="K812">
        <v>0</v>
      </c>
      <c r="L812" s="2">
        <v>0</v>
      </c>
      <c r="M812">
        <v>10.77</v>
      </c>
      <c r="N812" t="s">
        <v>10236</v>
      </c>
    </row>
    <row r="813" spans="1:14">
      <c r="A813" t="s">
        <v>35</v>
      </c>
      <c r="B813" t="s">
        <v>996</v>
      </c>
      <c r="C813">
        <f>"KM5065CEL"</f>
        <v>0</v>
      </c>
      <c r="D813">
        <v>2</v>
      </c>
      <c r="E813">
        <v>0</v>
      </c>
      <c r="F813" s="2">
        <v>0</v>
      </c>
      <c r="G813">
        <v>0</v>
      </c>
      <c r="H813">
        <v>2</v>
      </c>
      <c r="I813">
        <v>0.2255411474433902</v>
      </c>
      <c r="J813">
        <v>0</v>
      </c>
      <c r="K813">
        <v>0</v>
      </c>
      <c r="L813" s="2">
        <v>0</v>
      </c>
      <c r="M813">
        <v>10.79</v>
      </c>
      <c r="N813" t="s">
        <v>10236</v>
      </c>
    </row>
    <row r="814" spans="1:14">
      <c r="A814" t="s">
        <v>35</v>
      </c>
      <c r="B814" t="s">
        <v>997</v>
      </c>
      <c r="C814">
        <f>"MSP008ROSOC"</f>
        <v>0</v>
      </c>
      <c r="D814">
        <v>2</v>
      </c>
      <c r="E814">
        <v>0</v>
      </c>
      <c r="F814" s="2">
        <v>0</v>
      </c>
      <c r="G814">
        <v>0</v>
      </c>
      <c r="H814">
        <v>2</v>
      </c>
      <c r="I814">
        <v>0.2255411474433902</v>
      </c>
      <c r="J814">
        <v>0</v>
      </c>
      <c r="K814">
        <v>0</v>
      </c>
      <c r="L814" s="2">
        <v>0</v>
      </c>
      <c r="M814">
        <v>10.8</v>
      </c>
      <c r="N814" t="s">
        <v>10236</v>
      </c>
    </row>
    <row r="815" spans="1:14">
      <c r="A815" t="s">
        <v>25</v>
      </c>
      <c r="B815" t="s">
        <v>998</v>
      </c>
      <c r="C815">
        <f>"LS1020"</f>
        <v>0</v>
      </c>
      <c r="D815">
        <v>2</v>
      </c>
      <c r="E815">
        <v>0</v>
      </c>
      <c r="F815" s="2">
        <v>0</v>
      </c>
      <c r="G815">
        <v>0</v>
      </c>
      <c r="H815">
        <v>2</v>
      </c>
      <c r="I815">
        <v>0.2255411474433902</v>
      </c>
      <c r="J815">
        <v>0</v>
      </c>
      <c r="K815">
        <v>0</v>
      </c>
      <c r="L815" s="2">
        <v>0</v>
      </c>
      <c r="M815">
        <v>10.81</v>
      </c>
      <c r="N815" t="s">
        <v>10236</v>
      </c>
    </row>
    <row r="816" spans="1:14">
      <c r="A816" t="s">
        <v>35</v>
      </c>
      <c r="B816" t="s">
        <v>999</v>
      </c>
      <c r="C816">
        <f>"BIO04"</f>
        <v>0</v>
      </c>
      <c r="D816">
        <v>2</v>
      </c>
      <c r="E816">
        <v>0</v>
      </c>
      <c r="F816" s="2">
        <v>0</v>
      </c>
      <c r="G816">
        <v>0</v>
      </c>
      <c r="H816">
        <v>1</v>
      </c>
      <c r="I816">
        <v>0.2255411474433902</v>
      </c>
      <c r="J816">
        <v>0</v>
      </c>
      <c r="K816">
        <v>0</v>
      </c>
      <c r="L816" s="2">
        <v>0</v>
      </c>
      <c r="M816">
        <v>10.82</v>
      </c>
      <c r="N816" t="s">
        <v>10236</v>
      </c>
    </row>
    <row r="817" spans="1:14">
      <c r="A817" t="s">
        <v>35</v>
      </c>
      <c r="B817" t="s">
        <v>1000</v>
      </c>
      <c r="C817">
        <f>"X1341LROS"</f>
        <v>0</v>
      </c>
      <c r="D817">
        <v>2</v>
      </c>
      <c r="E817">
        <v>0</v>
      </c>
      <c r="F817" s="2">
        <v>0</v>
      </c>
      <c r="G817">
        <v>0</v>
      </c>
      <c r="H817">
        <v>1</v>
      </c>
      <c r="I817">
        <v>0.2255411474433902</v>
      </c>
      <c r="J817">
        <v>0</v>
      </c>
      <c r="K817">
        <v>0</v>
      </c>
      <c r="L817" s="2">
        <v>0</v>
      </c>
      <c r="M817">
        <v>10.83</v>
      </c>
      <c r="N817" t="s">
        <v>10236</v>
      </c>
    </row>
    <row r="818" spans="1:14">
      <c r="A818" t="s">
        <v>211</v>
      </c>
      <c r="B818" t="s">
        <v>1001</v>
      </c>
      <c r="C818">
        <f>"PFSACP7001"</f>
        <v>0</v>
      </c>
      <c r="D818">
        <v>2</v>
      </c>
      <c r="E818">
        <v>0</v>
      </c>
      <c r="F818" s="2">
        <v>0</v>
      </c>
      <c r="G818">
        <v>0</v>
      </c>
      <c r="H818">
        <v>1</v>
      </c>
      <c r="I818">
        <v>0.2255411474433902</v>
      </c>
      <c r="J818">
        <v>0</v>
      </c>
      <c r="K818">
        <v>0</v>
      </c>
      <c r="L818" s="2">
        <v>0</v>
      </c>
      <c r="M818">
        <v>10.85</v>
      </c>
      <c r="N818" t="s">
        <v>10236</v>
      </c>
    </row>
    <row r="819" spans="1:14">
      <c r="A819" t="s">
        <v>211</v>
      </c>
      <c r="B819" t="s">
        <v>1002</v>
      </c>
      <c r="C819">
        <f>"PCSAPS3001"</f>
        <v>0</v>
      </c>
      <c r="D819">
        <v>2</v>
      </c>
      <c r="E819">
        <v>0</v>
      </c>
      <c r="F819" s="2">
        <v>0</v>
      </c>
      <c r="G819">
        <v>0</v>
      </c>
      <c r="H819">
        <v>1</v>
      </c>
      <c r="I819">
        <v>0.2255411474433902</v>
      </c>
      <c r="J819">
        <v>0</v>
      </c>
      <c r="K819">
        <v>0</v>
      </c>
      <c r="L819" s="2">
        <v>0</v>
      </c>
      <c r="M819">
        <v>10.86</v>
      </c>
      <c r="N819" t="s">
        <v>10236</v>
      </c>
    </row>
    <row r="820" spans="1:14">
      <c r="A820" t="s">
        <v>193</v>
      </c>
      <c r="B820" t="s">
        <v>1003</v>
      </c>
      <c r="C820">
        <f>"826198"</f>
        <v>0</v>
      </c>
      <c r="D820">
        <v>2</v>
      </c>
      <c r="E820">
        <v>0</v>
      </c>
      <c r="F820" s="2">
        <v>0</v>
      </c>
      <c r="G820">
        <v>0</v>
      </c>
      <c r="H820">
        <v>1</v>
      </c>
      <c r="I820">
        <v>0.2255411474433902</v>
      </c>
      <c r="J820">
        <v>0</v>
      </c>
      <c r="K820">
        <v>0</v>
      </c>
      <c r="L820" s="2">
        <v>0</v>
      </c>
      <c r="M820">
        <v>10.87</v>
      </c>
      <c r="N820" t="s">
        <v>10236</v>
      </c>
    </row>
    <row r="821" spans="1:14">
      <c r="A821" t="s">
        <v>35</v>
      </c>
      <c r="B821" t="s">
        <v>1004</v>
      </c>
      <c r="C821">
        <f>"DGA4S"</f>
        <v>0</v>
      </c>
      <c r="D821">
        <v>2</v>
      </c>
      <c r="E821">
        <v>0</v>
      </c>
      <c r="F821" s="2">
        <v>0</v>
      </c>
      <c r="G821">
        <v>0</v>
      </c>
      <c r="H821">
        <v>1</v>
      </c>
      <c r="I821">
        <v>0.2255411474433902</v>
      </c>
      <c r="J821">
        <v>0</v>
      </c>
      <c r="K821">
        <v>0</v>
      </c>
      <c r="L821" s="2">
        <v>0</v>
      </c>
      <c r="M821">
        <v>10.88</v>
      </c>
      <c r="N821" t="s">
        <v>10236</v>
      </c>
    </row>
    <row r="822" spans="1:14">
      <c r="A822" t="s">
        <v>25</v>
      </c>
      <c r="B822" t="s">
        <v>1005</v>
      </c>
      <c r="C822">
        <f>"TR055"</f>
        <v>0</v>
      </c>
      <c r="D822">
        <v>2</v>
      </c>
      <c r="E822">
        <v>0</v>
      </c>
      <c r="F822" s="2">
        <v>0</v>
      </c>
      <c r="G822">
        <v>0</v>
      </c>
      <c r="H822">
        <v>1</v>
      </c>
      <c r="I822">
        <v>0.2255411474433902</v>
      </c>
      <c r="J822">
        <v>0</v>
      </c>
      <c r="K822">
        <v>0</v>
      </c>
      <c r="L822" s="2">
        <v>0</v>
      </c>
      <c r="M822">
        <v>10.89</v>
      </c>
      <c r="N822" t="s">
        <v>10236</v>
      </c>
    </row>
    <row r="823" spans="1:14">
      <c r="A823" t="s">
        <v>35</v>
      </c>
      <c r="B823" t="s">
        <v>1006</v>
      </c>
      <c r="C823">
        <f>"LL313LNA"</f>
        <v>0</v>
      </c>
      <c r="D823">
        <v>2</v>
      </c>
      <c r="E823">
        <v>0</v>
      </c>
      <c r="F823" s="2">
        <v>0</v>
      </c>
      <c r="G823">
        <v>0</v>
      </c>
      <c r="H823">
        <v>1</v>
      </c>
      <c r="I823">
        <v>0.2255411474433902</v>
      </c>
      <c r="J823">
        <v>0</v>
      </c>
      <c r="K823">
        <v>0</v>
      </c>
      <c r="L823" s="2">
        <v>0</v>
      </c>
      <c r="M823">
        <v>10.91</v>
      </c>
      <c r="N823" t="s">
        <v>10236</v>
      </c>
    </row>
    <row r="824" spans="1:14">
      <c r="A824" t="s">
        <v>35</v>
      </c>
      <c r="B824" t="s">
        <v>1007</v>
      </c>
      <c r="C824">
        <f>"TC0018LILA"</f>
        <v>0</v>
      </c>
      <c r="D824">
        <v>2</v>
      </c>
      <c r="E824">
        <v>0</v>
      </c>
      <c r="F824" s="2">
        <v>0</v>
      </c>
      <c r="G824">
        <v>0</v>
      </c>
      <c r="H824">
        <v>1</v>
      </c>
      <c r="I824">
        <v>0.2255411474433902</v>
      </c>
      <c r="J824">
        <v>0</v>
      </c>
      <c r="K824">
        <v>0</v>
      </c>
      <c r="L824" s="2">
        <v>0</v>
      </c>
      <c r="M824">
        <v>10.92</v>
      </c>
      <c r="N824" t="s">
        <v>10236</v>
      </c>
    </row>
    <row r="825" spans="1:14">
      <c r="A825" t="s">
        <v>197</v>
      </c>
      <c r="B825" t="s">
        <v>1008</v>
      </c>
      <c r="C825">
        <f>"1019652"</f>
        <v>0</v>
      </c>
      <c r="D825">
        <v>2</v>
      </c>
      <c r="E825">
        <v>0</v>
      </c>
      <c r="F825" s="2">
        <v>0</v>
      </c>
      <c r="G825">
        <v>0</v>
      </c>
      <c r="H825">
        <v>1</v>
      </c>
      <c r="I825">
        <v>0.2255411474433902</v>
      </c>
      <c r="J825">
        <v>0</v>
      </c>
      <c r="K825">
        <v>0</v>
      </c>
      <c r="L825" s="2">
        <v>0</v>
      </c>
      <c r="M825">
        <v>10.93</v>
      </c>
      <c r="N825" t="s">
        <v>10236</v>
      </c>
    </row>
    <row r="826" spans="1:14">
      <c r="A826" t="s">
        <v>211</v>
      </c>
      <c r="B826" t="s">
        <v>1009</v>
      </c>
      <c r="C826">
        <f>"PPPCSR0301"</f>
        <v>0</v>
      </c>
      <c r="D826">
        <v>2</v>
      </c>
      <c r="E826">
        <v>0</v>
      </c>
      <c r="F826" s="2">
        <v>0</v>
      </c>
      <c r="G826">
        <v>0</v>
      </c>
      <c r="H826">
        <v>1</v>
      </c>
      <c r="I826">
        <v>0.2255411474433902</v>
      </c>
      <c r="J826">
        <v>0</v>
      </c>
      <c r="K826">
        <v>0</v>
      </c>
      <c r="L826" s="2">
        <v>0</v>
      </c>
      <c r="M826">
        <v>10.94</v>
      </c>
      <c r="N826" t="s">
        <v>10236</v>
      </c>
    </row>
    <row r="827" spans="1:14">
      <c r="A827" t="s">
        <v>35</v>
      </c>
      <c r="B827" t="s">
        <v>1010</v>
      </c>
      <c r="C827">
        <f>"ZSQ01"</f>
        <v>0</v>
      </c>
      <c r="D827">
        <v>2</v>
      </c>
      <c r="E827">
        <v>0</v>
      </c>
      <c r="F827" s="2">
        <v>0</v>
      </c>
      <c r="G827">
        <v>0</v>
      </c>
      <c r="H827">
        <v>1</v>
      </c>
      <c r="I827">
        <v>0.2255411474433902</v>
      </c>
      <c r="J827">
        <v>0</v>
      </c>
      <c r="K827">
        <v>0</v>
      </c>
      <c r="L827" s="2">
        <v>0</v>
      </c>
      <c r="M827">
        <v>10.95</v>
      </c>
      <c r="N827" t="s">
        <v>10236</v>
      </c>
    </row>
    <row r="828" spans="1:14">
      <c r="A828" t="s">
        <v>29</v>
      </c>
      <c r="B828" t="s">
        <v>1011</v>
      </c>
      <c r="C828">
        <f>"67101"</f>
        <v>0</v>
      </c>
      <c r="D828">
        <v>2</v>
      </c>
      <c r="E828">
        <v>0</v>
      </c>
      <c r="F828" s="2">
        <v>0</v>
      </c>
      <c r="G828">
        <v>0</v>
      </c>
      <c r="H828">
        <v>1</v>
      </c>
      <c r="I828">
        <v>0.2255411474433902</v>
      </c>
      <c r="J828">
        <v>0</v>
      </c>
      <c r="K828">
        <v>0</v>
      </c>
      <c r="L828" s="2">
        <v>0</v>
      </c>
      <c r="M828">
        <v>10.96</v>
      </c>
      <c r="N828" t="s">
        <v>10236</v>
      </c>
    </row>
    <row r="829" spans="1:14">
      <c r="A829" t="s">
        <v>211</v>
      </c>
      <c r="B829" t="s">
        <v>1012</v>
      </c>
      <c r="C829">
        <f>"PCSSPS12001"</f>
        <v>0</v>
      </c>
      <c r="D829">
        <v>2</v>
      </c>
      <c r="E829">
        <v>0</v>
      </c>
      <c r="F829" s="2">
        <v>0</v>
      </c>
      <c r="G829">
        <v>0</v>
      </c>
      <c r="H829">
        <v>1</v>
      </c>
      <c r="I829">
        <v>0.2255411474433902</v>
      </c>
      <c r="J829">
        <v>0</v>
      </c>
      <c r="K829">
        <v>0</v>
      </c>
      <c r="L829" s="2">
        <v>0</v>
      </c>
      <c r="M829">
        <v>10.98</v>
      </c>
      <c r="N829" t="s">
        <v>10236</v>
      </c>
    </row>
    <row r="830" spans="1:14">
      <c r="A830" t="s">
        <v>211</v>
      </c>
      <c r="B830" t="s">
        <v>1013</v>
      </c>
      <c r="C830">
        <f>"PCSSPP12001"</f>
        <v>0</v>
      </c>
      <c r="D830">
        <v>2</v>
      </c>
      <c r="E830">
        <v>0</v>
      </c>
      <c r="F830" s="2">
        <v>0</v>
      </c>
      <c r="G830">
        <v>0</v>
      </c>
      <c r="H830">
        <v>1</v>
      </c>
      <c r="I830">
        <v>0.2255411474433902</v>
      </c>
      <c r="J830">
        <v>0</v>
      </c>
      <c r="K830">
        <v>0</v>
      </c>
      <c r="L830" s="2">
        <v>0</v>
      </c>
      <c r="M830">
        <v>10.99</v>
      </c>
      <c r="N830" t="s">
        <v>10236</v>
      </c>
    </row>
    <row r="831" spans="1:14">
      <c r="A831" t="s">
        <v>30</v>
      </c>
      <c r="B831" t="s">
        <v>1014</v>
      </c>
      <c r="C831">
        <f>"100583"</f>
        <v>0</v>
      </c>
      <c r="D831">
        <v>2</v>
      </c>
      <c r="E831">
        <v>0</v>
      </c>
      <c r="F831" s="2">
        <v>0</v>
      </c>
      <c r="G831">
        <v>0</v>
      </c>
      <c r="H831">
        <v>2</v>
      </c>
      <c r="I831">
        <v>0.2255411474433902</v>
      </c>
      <c r="J831">
        <v>0</v>
      </c>
      <c r="K831">
        <v>0</v>
      </c>
      <c r="L831" s="2">
        <v>0</v>
      </c>
      <c r="M831">
        <v>11</v>
      </c>
      <c r="N831" t="s">
        <v>10236</v>
      </c>
    </row>
    <row r="832" spans="1:14">
      <c r="A832" t="s">
        <v>35</v>
      </c>
      <c r="B832" t="s">
        <v>1015</v>
      </c>
      <c r="C832">
        <f>"TF1043"</f>
        <v>0</v>
      </c>
      <c r="D832">
        <v>2</v>
      </c>
      <c r="E832">
        <v>0</v>
      </c>
      <c r="F832" s="2">
        <v>0</v>
      </c>
      <c r="G832">
        <v>0</v>
      </c>
      <c r="H832">
        <v>2</v>
      </c>
      <c r="I832">
        <v>0.2255411474433902</v>
      </c>
      <c r="J832">
        <v>0</v>
      </c>
      <c r="K832">
        <v>0</v>
      </c>
      <c r="L832" s="2">
        <v>0</v>
      </c>
      <c r="M832">
        <v>11.01</v>
      </c>
      <c r="N832" t="s">
        <v>10236</v>
      </c>
    </row>
    <row r="833" spans="1:14">
      <c r="A833" t="s">
        <v>35</v>
      </c>
      <c r="B833" t="s">
        <v>1016</v>
      </c>
      <c r="C833">
        <f>"CTB80"</f>
        <v>0</v>
      </c>
      <c r="D833">
        <v>2</v>
      </c>
      <c r="E833">
        <v>0</v>
      </c>
      <c r="F833" s="2">
        <v>0</v>
      </c>
      <c r="G833">
        <v>0</v>
      </c>
      <c r="H833">
        <v>2</v>
      </c>
      <c r="I833">
        <v>0.2255411474433902</v>
      </c>
      <c r="J833">
        <v>0</v>
      </c>
      <c r="K833">
        <v>0</v>
      </c>
      <c r="L833" s="2">
        <v>0</v>
      </c>
      <c r="M833">
        <v>11.02</v>
      </c>
      <c r="N833" t="s">
        <v>10236</v>
      </c>
    </row>
    <row r="834" spans="1:14">
      <c r="A834" t="s">
        <v>192</v>
      </c>
      <c r="B834" t="s">
        <v>1017</v>
      </c>
      <c r="C834">
        <f>"605A"</f>
        <v>0</v>
      </c>
      <c r="D834">
        <v>2</v>
      </c>
      <c r="E834">
        <v>0</v>
      </c>
      <c r="F834" s="2">
        <v>0</v>
      </c>
      <c r="G834">
        <v>0</v>
      </c>
      <c r="H834">
        <v>1</v>
      </c>
      <c r="I834">
        <v>0.2255411474433902</v>
      </c>
      <c r="J834">
        <v>0</v>
      </c>
      <c r="K834">
        <v>0</v>
      </c>
      <c r="L834" s="2">
        <v>0</v>
      </c>
      <c r="M834">
        <v>11.04</v>
      </c>
      <c r="N834" t="s">
        <v>10236</v>
      </c>
    </row>
    <row r="835" spans="1:14">
      <c r="A835" t="s">
        <v>35</v>
      </c>
      <c r="B835" t="s">
        <v>1018</v>
      </c>
      <c r="C835">
        <f>"XDB450B"</f>
        <v>0</v>
      </c>
      <c r="D835">
        <v>2</v>
      </c>
      <c r="E835">
        <v>0</v>
      </c>
      <c r="F835" s="2">
        <v>0</v>
      </c>
      <c r="G835">
        <v>0</v>
      </c>
      <c r="H835">
        <v>1</v>
      </c>
      <c r="I835">
        <v>0.2255411474433902</v>
      </c>
      <c r="J835">
        <v>0</v>
      </c>
      <c r="K835">
        <v>0</v>
      </c>
      <c r="L835" s="2">
        <v>0</v>
      </c>
      <c r="M835">
        <v>11.05</v>
      </c>
      <c r="N835" t="s">
        <v>10236</v>
      </c>
    </row>
    <row r="836" spans="1:14">
      <c r="A836" t="s">
        <v>27</v>
      </c>
      <c r="B836" t="s">
        <v>1019</v>
      </c>
      <c r="C836">
        <f>"PR3014042"</f>
        <v>0</v>
      </c>
      <c r="D836">
        <v>2</v>
      </c>
      <c r="E836">
        <v>0</v>
      </c>
      <c r="F836" s="2">
        <v>0</v>
      </c>
      <c r="G836">
        <v>0</v>
      </c>
      <c r="H836">
        <v>2</v>
      </c>
      <c r="I836">
        <v>0.2255411474433902</v>
      </c>
      <c r="J836">
        <v>0</v>
      </c>
      <c r="K836">
        <v>0</v>
      </c>
      <c r="L836" s="2">
        <v>0</v>
      </c>
      <c r="M836">
        <v>11.06</v>
      </c>
      <c r="N836" t="s">
        <v>10236</v>
      </c>
    </row>
    <row r="837" spans="1:14">
      <c r="A837" t="s">
        <v>35</v>
      </c>
      <c r="B837" t="s">
        <v>1020</v>
      </c>
      <c r="C837">
        <f>"XDB450F"</f>
        <v>0</v>
      </c>
      <c r="D837">
        <v>2</v>
      </c>
      <c r="E837">
        <v>0</v>
      </c>
      <c r="F837" s="2">
        <v>0</v>
      </c>
      <c r="G837">
        <v>0</v>
      </c>
      <c r="H837">
        <v>1</v>
      </c>
      <c r="I837">
        <v>0.2255411474433902</v>
      </c>
      <c r="J837">
        <v>0</v>
      </c>
      <c r="K837">
        <v>0</v>
      </c>
      <c r="L837" s="2">
        <v>0</v>
      </c>
      <c r="M837">
        <v>11.07</v>
      </c>
      <c r="N837" t="s">
        <v>10236</v>
      </c>
    </row>
    <row r="838" spans="1:14">
      <c r="A838" t="s">
        <v>35</v>
      </c>
      <c r="B838" t="s">
        <v>1021</v>
      </c>
      <c r="C838">
        <f>"er140"</f>
        <v>0</v>
      </c>
      <c r="D838">
        <v>2</v>
      </c>
      <c r="E838">
        <v>0</v>
      </c>
      <c r="F838" s="2">
        <v>0</v>
      </c>
      <c r="G838">
        <v>0</v>
      </c>
      <c r="H838">
        <v>1</v>
      </c>
      <c r="I838">
        <v>0.2255411474433902</v>
      </c>
      <c r="J838">
        <v>0</v>
      </c>
      <c r="K838">
        <v>0</v>
      </c>
      <c r="L838" s="2">
        <v>0</v>
      </c>
      <c r="M838">
        <v>11.08</v>
      </c>
      <c r="N838" t="s">
        <v>10236</v>
      </c>
    </row>
    <row r="839" spans="1:14">
      <c r="A839" t="s">
        <v>35</v>
      </c>
      <c r="B839" t="s">
        <v>1022</v>
      </c>
      <c r="C839">
        <f>"PCM5090M"</f>
        <v>0</v>
      </c>
      <c r="D839">
        <v>2</v>
      </c>
      <c r="E839">
        <v>0</v>
      </c>
      <c r="F839" s="2">
        <v>0</v>
      </c>
      <c r="G839">
        <v>0</v>
      </c>
      <c r="H839">
        <v>2</v>
      </c>
      <c r="I839">
        <v>0.2255411474433902</v>
      </c>
      <c r="J839">
        <v>0</v>
      </c>
      <c r="K839">
        <v>0</v>
      </c>
      <c r="L839" s="2">
        <v>0</v>
      </c>
      <c r="M839">
        <v>11.1</v>
      </c>
      <c r="N839" t="s">
        <v>10236</v>
      </c>
    </row>
    <row r="840" spans="1:14">
      <c r="A840" t="s">
        <v>35</v>
      </c>
      <c r="B840" t="s">
        <v>1023</v>
      </c>
      <c r="C840">
        <f>"SPG05"</f>
        <v>0</v>
      </c>
      <c r="D840">
        <v>2</v>
      </c>
      <c r="E840">
        <v>0</v>
      </c>
      <c r="F840" s="2">
        <v>0</v>
      </c>
      <c r="G840">
        <v>0</v>
      </c>
      <c r="H840">
        <v>1</v>
      </c>
      <c r="I840">
        <v>0.2255411474433902</v>
      </c>
      <c r="J840">
        <v>0</v>
      </c>
      <c r="K840">
        <v>0</v>
      </c>
      <c r="L840" s="2">
        <v>0</v>
      </c>
      <c r="M840">
        <v>11.11</v>
      </c>
      <c r="N840" t="s">
        <v>10236</v>
      </c>
    </row>
    <row r="841" spans="1:14">
      <c r="A841" t="s">
        <v>211</v>
      </c>
      <c r="B841" t="s">
        <v>1024</v>
      </c>
      <c r="C841">
        <f>"PPPCSR1201"</f>
        <v>0</v>
      </c>
      <c r="D841">
        <v>2</v>
      </c>
      <c r="E841">
        <v>0</v>
      </c>
      <c r="F841" s="2">
        <v>0</v>
      </c>
      <c r="G841">
        <v>0</v>
      </c>
      <c r="H841">
        <v>2</v>
      </c>
      <c r="I841">
        <v>0.2255411474433902</v>
      </c>
      <c r="J841">
        <v>0</v>
      </c>
      <c r="K841">
        <v>0</v>
      </c>
      <c r="L841" s="2">
        <v>0</v>
      </c>
      <c r="M841">
        <v>11.12</v>
      </c>
      <c r="N841" t="s">
        <v>10236</v>
      </c>
    </row>
    <row r="842" spans="1:14">
      <c r="A842" t="s">
        <v>193</v>
      </c>
      <c r="B842" t="s">
        <v>1025</v>
      </c>
      <c r="C842">
        <f>"297295"</f>
        <v>0</v>
      </c>
      <c r="D842">
        <v>2</v>
      </c>
      <c r="E842">
        <v>0</v>
      </c>
      <c r="F842" s="2">
        <v>0</v>
      </c>
      <c r="G842">
        <v>0</v>
      </c>
      <c r="H842">
        <v>1</v>
      </c>
      <c r="I842">
        <v>0.2255411474433902</v>
      </c>
      <c r="J842">
        <v>0</v>
      </c>
      <c r="K842">
        <v>0</v>
      </c>
      <c r="L842" s="2">
        <v>0</v>
      </c>
      <c r="M842">
        <v>11.13</v>
      </c>
      <c r="N842" t="s">
        <v>10236</v>
      </c>
    </row>
    <row r="843" spans="1:14">
      <c r="A843" t="s">
        <v>30</v>
      </c>
      <c r="B843" t="s">
        <v>1026</v>
      </c>
      <c r="C843">
        <f>"100147"</f>
        <v>0</v>
      </c>
      <c r="D843">
        <v>2</v>
      </c>
      <c r="E843">
        <v>0</v>
      </c>
      <c r="F843" s="2">
        <v>0</v>
      </c>
      <c r="G843">
        <v>0</v>
      </c>
      <c r="H843">
        <v>1</v>
      </c>
      <c r="I843">
        <v>0.2255411474433902</v>
      </c>
      <c r="J843">
        <v>0</v>
      </c>
      <c r="K843">
        <v>0</v>
      </c>
      <c r="L843" s="2">
        <v>0</v>
      </c>
      <c r="M843">
        <v>11.14</v>
      </c>
      <c r="N843" t="s">
        <v>10236</v>
      </c>
    </row>
    <row r="844" spans="1:14">
      <c r="A844" t="s">
        <v>35</v>
      </c>
      <c r="B844" t="s">
        <v>1027</v>
      </c>
      <c r="C844">
        <f>"TQ26R"</f>
        <v>0</v>
      </c>
      <c r="D844">
        <v>2</v>
      </c>
      <c r="E844">
        <v>0</v>
      </c>
      <c r="F844" s="2">
        <v>0</v>
      </c>
      <c r="G844">
        <v>0</v>
      </c>
      <c r="H844">
        <v>2</v>
      </c>
      <c r="I844">
        <v>0.2255411474433902</v>
      </c>
      <c r="J844">
        <v>0</v>
      </c>
      <c r="K844">
        <v>0</v>
      </c>
      <c r="L844" s="2">
        <v>0</v>
      </c>
      <c r="M844">
        <v>11.16</v>
      </c>
      <c r="N844" t="s">
        <v>10236</v>
      </c>
    </row>
    <row r="845" spans="1:14">
      <c r="A845" t="s">
        <v>35</v>
      </c>
      <c r="B845" t="s">
        <v>1028</v>
      </c>
      <c r="C845">
        <f>"TQ24V"</f>
        <v>0</v>
      </c>
      <c r="D845">
        <v>2</v>
      </c>
      <c r="E845">
        <v>0</v>
      </c>
      <c r="F845" s="2">
        <v>0</v>
      </c>
      <c r="G845">
        <v>0</v>
      </c>
      <c r="H845">
        <v>2</v>
      </c>
      <c r="I845">
        <v>0.2255411474433902</v>
      </c>
      <c r="J845">
        <v>0</v>
      </c>
      <c r="K845">
        <v>0</v>
      </c>
      <c r="L845" s="2">
        <v>0</v>
      </c>
      <c r="M845">
        <v>11.17</v>
      </c>
      <c r="N845" t="s">
        <v>10236</v>
      </c>
    </row>
    <row r="846" spans="1:14">
      <c r="A846" t="s">
        <v>35</v>
      </c>
      <c r="B846" t="s">
        <v>1029</v>
      </c>
      <c r="C846">
        <f>"LO75573"</f>
        <v>0</v>
      </c>
      <c r="D846">
        <v>2</v>
      </c>
      <c r="E846">
        <v>0</v>
      </c>
      <c r="F846" s="2">
        <v>0</v>
      </c>
      <c r="G846">
        <v>0</v>
      </c>
      <c r="H846">
        <v>1</v>
      </c>
      <c r="I846">
        <v>0.2255411474433902</v>
      </c>
      <c r="J846">
        <v>0</v>
      </c>
      <c r="K846">
        <v>0</v>
      </c>
      <c r="L846" s="2">
        <v>0</v>
      </c>
      <c r="M846">
        <v>11.18</v>
      </c>
      <c r="N846" t="s">
        <v>10236</v>
      </c>
    </row>
    <row r="847" spans="1:14">
      <c r="A847" t="s">
        <v>35</v>
      </c>
      <c r="B847" t="s">
        <v>1030</v>
      </c>
      <c r="C847">
        <f>"CT027"</f>
        <v>0</v>
      </c>
      <c r="D847">
        <v>2</v>
      </c>
      <c r="E847">
        <v>0</v>
      </c>
      <c r="F847" s="2">
        <v>0</v>
      </c>
      <c r="G847">
        <v>0</v>
      </c>
      <c r="H847">
        <v>2</v>
      </c>
      <c r="I847">
        <v>0.2255411474433902</v>
      </c>
      <c r="J847">
        <v>0</v>
      </c>
      <c r="K847">
        <v>0</v>
      </c>
      <c r="L847" s="2">
        <v>0</v>
      </c>
      <c r="M847">
        <v>11.19</v>
      </c>
      <c r="N847" t="s">
        <v>10236</v>
      </c>
    </row>
    <row r="848" spans="1:14">
      <c r="A848" t="s">
        <v>213</v>
      </c>
      <c r="B848" t="s">
        <v>1031</v>
      </c>
      <c r="C848">
        <f>"501174"</f>
        <v>0</v>
      </c>
      <c r="D848">
        <v>2</v>
      </c>
      <c r="E848">
        <v>0</v>
      </c>
      <c r="F848" s="2">
        <v>0</v>
      </c>
      <c r="G848">
        <v>0</v>
      </c>
      <c r="H848">
        <v>1</v>
      </c>
      <c r="I848">
        <v>0.2255411474433902</v>
      </c>
      <c r="J848">
        <v>0</v>
      </c>
      <c r="K848">
        <v>0</v>
      </c>
      <c r="L848" s="2">
        <v>0</v>
      </c>
      <c r="M848">
        <v>11.2</v>
      </c>
      <c r="N848" t="s">
        <v>10236</v>
      </c>
    </row>
    <row r="849" spans="1:14">
      <c r="A849" t="s">
        <v>192</v>
      </c>
      <c r="B849" t="s">
        <v>1032</v>
      </c>
      <c r="C849">
        <f>"MI25"</f>
        <v>0</v>
      </c>
      <c r="D849">
        <v>2</v>
      </c>
      <c r="E849">
        <v>0</v>
      </c>
      <c r="F849" s="2">
        <v>0</v>
      </c>
      <c r="G849">
        <v>0</v>
      </c>
      <c r="H849">
        <v>1</v>
      </c>
      <c r="I849">
        <v>0.2255411474433902</v>
      </c>
      <c r="J849">
        <v>0</v>
      </c>
      <c r="K849">
        <v>0</v>
      </c>
      <c r="L849" s="2">
        <v>0</v>
      </c>
      <c r="M849">
        <v>11.22</v>
      </c>
      <c r="N849" t="s">
        <v>10236</v>
      </c>
    </row>
    <row r="850" spans="1:14">
      <c r="A850" t="s">
        <v>35</v>
      </c>
      <c r="B850" t="s">
        <v>1033</v>
      </c>
      <c r="C850">
        <f>"RT3423C"</f>
        <v>0</v>
      </c>
      <c r="D850">
        <v>2</v>
      </c>
      <c r="E850">
        <v>0</v>
      </c>
      <c r="F850" s="2">
        <v>0</v>
      </c>
      <c r="G850">
        <v>0</v>
      </c>
      <c r="H850">
        <v>1</v>
      </c>
      <c r="I850">
        <v>0.2255411474433902</v>
      </c>
      <c r="J850">
        <v>0</v>
      </c>
      <c r="K850">
        <v>0</v>
      </c>
      <c r="L850" s="2">
        <v>0</v>
      </c>
      <c r="M850">
        <v>11.23</v>
      </c>
      <c r="N850" t="s">
        <v>10236</v>
      </c>
    </row>
    <row r="851" spans="1:14">
      <c r="A851" t="s">
        <v>30</v>
      </c>
      <c r="B851" t="s">
        <v>1034</v>
      </c>
      <c r="C851">
        <f>"101058"</f>
        <v>0</v>
      </c>
      <c r="D851">
        <v>2</v>
      </c>
      <c r="E851">
        <v>0</v>
      </c>
      <c r="F851" s="2">
        <v>0</v>
      </c>
      <c r="G851">
        <v>0</v>
      </c>
      <c r="H851">
        <v>1</v>
      </c>
      <c r="I851">
        <v>0.2255411474433902</v>
      </c>
      <c r="J851">
        <v>0</v>
      </c>
      <c r="K851">
        <v>0</v>
      </c>
      <c r="L851" s="2">
        <v>0</v>
      </c>
      <c r="M851">
        <v>11.24</v>
      </c>
      <c r="N851" t="s">
        <v>10236</v>
      </c>
    </row>
    <row r="852" spans="1:14">
      <c r="A852" t="s">
        <v>36</v>
      </c>
      <c r="B852" t="s">
        <v>1035</v>
      </c>
      <c r="C852">
        <f>"1008127"</f>
        <v>0</v>
      </c>
      <c r="D852">
        <v>2</v>
      </c>
      <c r="E852">
        <v>0</v>
      </c>
      <c r="F852" s="2">
        <v>0</v>
      </c>
      <c r="G852">
        <v>0</v>
      </c>
      <c r="H852">
        <v>1</v>
      </c>
      <c r="I852">
        <v>0.2255411474433902</v>
      </c>
      <c r="J852">
        <v>0</v>
      </c>
      <c r="K852">
        <v>0</v>
      </c>
      <c r="L852" s="2">
        <v>0</v>
      </c>
      <c r="M852">
        <v>11.25</v>
      </c>
      <c r="N852" t="s">
        <v>10236</v>
      </c>
    </row>
    <row r="853" spans="1:14">
      <c r="A853" t="s">
        <v>35</v>
      </c>
      <c r="B853" t="s">
        <v>1036</v>
      </c>
      <c r="C853">
        <f>"KFS01"</f>
        <v>0</v>
      </c>
      <c r="D853">
        <v>2</v>
      </c>
      <c r="E853">
        <v>0</v>
      </c>
      <c r="F853" s="2">
        <v>0</v>
      </c>
      <c r="G853">
        <v>0</v>
      </c>
      <c r="H853">
        <v>1</v>
      </c>
      <c r="I853">
        <v>0.2255411474433902</v>
      </c>
      <c r="J853">
        <v>0</v>
      </c>
      <c r="K853">
        <v>0</v>
      </c>
      <c r="L853" s="2">
        <v>0</v>
      </c>
      <c r="M853">
        <v>11.26</v>
      </c>
      <c r="N853" t="s">
        <v>10236</v>
      </c>
    </row>
    <row r="854" spans="1:14">
      <c r="A854" t="s">
        <v>35</v>
      </c>
      <c r="B854" t="s">
        <v>1037</v>
      </c>
      <c r="C854">
        <f>"PP148C"</f>
        <v>0</v>
      </c>
      <c r="D854">
        <v>2</v>
      </c>
      <c r="E854">
        <v>0</v>
      </c>
      <c r="F854" s="2">
        <v>0</v>
      </c>
      <c r="G854">
        <v>0</v>
      </c>
      <c r="H854">
        <v>2</v>
      </c>
      <c r="I854">
        <v>0.2255411474433902</v>
      </c>
      <c r="J854">
        <v>0</v>
      </c>
      <c r="K854">
        <v>0</v>
      </c>
      <c r="L854" s="2">
        <v>0</v>
      </c>
      <c r="M854">
        <v>11.28</v>
      </c>
      <c r="N854" t="s">
        <v>10236</v>
      </c>
    </row>
    <row r="855" spans="1:14">
      <c r="A855" t="s">
        <v>35</v>
      </c>
      <c r="B855" t="s">
        <v>1038</v>
      </c>
      <c r="C855">
        <f>"7011243"</f>
        <v>0</v>
      </c>
      <c r="D855">
        <v>2</v>
      </c>
      <c r="E855">
        <v>0</v>
      </c>
      <c r="F855" s="2">
        <v>0</v>
      </c>
      <c r="G855">
        <v>0</v>
      </c>
      <c r="H855">
        <v>1</v>
      </c>
      <c r="I855">
        <v>0.2255411474433902</v>
      </c>
      <c r="J855">
        <v>0</v>
      </c>
      <c r="K855">
        <v>0</v>
      </c>
      <c r="L855" s="2">
        <v>0</v>
      </c>
      <c r="M855">
        <v>11.29</v>
      </c>
      <c r="N855" t="s">
        <v>10236</v>
      </c>
    </row>
    <row r="856" spans="1:14">
      <c r="A856" t="s">
        <v>192</v>
      </c>
      <c r="B856" t="s">
        <v>1039</v>
      </c>
      <c r="C856">
        <f>"D611N"</f>
        <v>0</v>
      </c>
      <c r="D856">
        <v>2</v>
      </c>
      <c r="E856">
        <v>0</v>
      </c>
      <c r="F856" s="2">
        <v>0</v>
      </c>
      <c r="G856">
        <v>0</v>
      </c>
      <c r="H856">
        <v>1</v>
      </c>
      <c r="I856">
        <v>0.2255411474433902</v>
      </c>
      <c r="J856">
        <v>0</v>
      </c>
      <c r="K856">
        <v>0</v>
      </c>
      <c r="L856" s="2">
        <v>0</v>
      </c>
      <c r="M856">
        <v>11.3</v>
      </c>
      <c r="N856" t="s">
        <v>10236</v>
      </c>
    </row>
    <row r="857" spans="1:14">
      <c r="A857" t="s">
        <v>35</v>
      </c>
      <c r="B857" t="s">
        <v>1040</v>
      </c>
      <c r="C857">
        <f>"PF010"</f>
        <v>0</v>
      </c>
      <c r="D857">
        <v>2</v>
      </c>
      <c r="E857">
        <v>0</v>
      </c>
      <c r="F857" s="2">
        <v>0</v>
      </c>
      <c r="G857">
        <v>0</v>
      </c>
      <c r="H857">
        <v>1</v>
      </c>
      <c r="I857">
        <v>0.2255411474433902</v>
      </c>
      <c r="J857">
        <v>0</v>
      </c>
      <c r="K857">
        <v>0</v>
      </c>
      <c r="L857" s="2">
        <v>0</v>
      </c>
      <c r="M857">
        <v>11.31</v>
      </c>
      <c r="N857" t="s">
        <v>10236</v>
      </c>
    </row>
    <row r="858" spans="1:14">
      <c r="A858" t="s">
        <v>193</v>
      </c>
      <c r="B858" t="s">
        <v>1041</v>
      </c>
      <c r="C858">
        <f>"563625"</f>
        <v>0</v>
      </c>
      <c r="D858">
        <v>2</v>
      </c>
      <c r="E858">
        <v>0</v>
      </c>
      <c r="F858" s="2">
        <v>0</v>
      </c>
      <c r="G858">
        <v>0</v>
      </c>
      <c r="H858">
        <v>2</v>
      </c>
      <c r="I858">
        <v>0.2255411474433902</v>
      </c>
      <c r="J858">
        <v>0</v>
      </c>
      <c r="K858">
        <v>0</v>
      </c>
      <c r="L858" s="2">
        <v>0</v>
      </c>
      <c r="M858">
        <v>11.32</v>
      </c>
      <c r="N858" t="s">
        <v>10236</v>
      </c>
    </row>
    <row r="859" spans="1:14">
      <c r="A859" t="s">
        <v>210</v>
      </c>
      <c r="B859" t="s">
        <v>1042</v>
      </c>
      <c r="C859">
        <f>"7016617"</f>
        <v>0</v>
      </c>
      <c r="D859">
        <v>2</v>
      </c>
      <c r="E859">
        <v>0</v>
      </c>
      <c r="F859" s="2">
        <v>0</v>
      </c>
      <c r="G859">
        <v>0</v>
      </c>
      <c r="H859">
        <v>2</v>
      </c>
      <c r="I859">
        <v>0.2255411474433902</v>
      </c>
      <c r="J859">
        <v>0</v>
      </c>
      <c r="K859">
        <v>0</v>
      </c>
      <c r="L859" s="2">
        <v>0</v>
      </c>
      <c r="M859">
        <v>11.34</v>
      </c>
      <c r="N859" t="s">
        <v>10236</v>
      </c>
    </row>
    <row r="860" spans="1:14">
      <c r="A860" t="s">
        <v>209</v>
      </c>
      <c r="B860" t="s">
        <v>1043</v>
      </c>
      <c r="C860">
        <f>"5PE80002"</f>
        <v>0</v>
      </c>
      <c r="D860">
        <v>2</v>
      </c>
      <c r="E860">
        <v>0</v>
      </c>
      <c r="F860" s="2">
        <v>0</v>
      </c>
      <c r="G860">
        <v>0</v>
      </c>
      <c r="H860">
        <v>1</v>
      </c>
      <c r="I860">
        <v>0.2255411474433902</v>
      </c>
      <c r="J860">
        <v>0</v>
      </c>
      <c r="K860">
        <v>0</v>
      </c>
      <c r="L860" s="2">
        <v>0</v>
      </c>
      <c r="M860">
        <v>11.35</v>
      </c>
      <c r="N860" t="s">
        <v>10236</v>
      </c>
    </row>
    <row r="861" spans="1:14">
      <c r="A861" t="s">
        <v>35</v>
      </c>
      <c r="B861" t="s">
        <v>1044</v>
      </c>
      <c r="C861">
        <f>"PT190P"</f>
        <v>0</v>
      </c>
      <c r="D861">
        <v>2</v>
      </c>
      <c r="E861">
        <v>0</v>
      </c>
      <c r="F861" s="2">
        <v>0</v>
      </c>
      <c r="G861">
        <v>0</v>
      </c>
      <c r="H861">
        <v>2</v>
      </c>
      <c r="I861">
        <v>0.2255411474433902</v>
      </c>
      <c r="J861">
        <v>0</v>
      </c>
      <c r="K861">
        <v>0</v>
      </c>
      <c r="L861" s="2">
        <v>0</v>
      </c>
      <c r="M861">
        <v>11.36</v>
      </c>
      <c r="N861" t="s">
        <v>10236</v>
      </c>
    </row>
    <row r="862" spans="1:14">
      <c r="A862" t="s">
        <v>35</v>
      </c>
      <c r="B862" t="s">
        <v>1045</v>
      </c>
      <c r="C862">
        <f>"KW6005SA"</f>
        <v>0</v>
      </c>
      <c r="D862">
        <v>2</v>
      </c>
      <c r="E862">
        <v>0</v>
      </c>
      <c r="F862" s="2">
        <v>0</v>
      </c>
      <c r="G862">
        <v>0</v>
      </c>
      <c r="H862">
        <v>2</v>
      </c>
      <c r="I862">
        <v>0.2255411474433902</v>
      </c>
      <c r="J862">
        <v>0</v>
      </c>
      <c r="K862">
        <v>0</v>
      </c>
      <c r="L862" s="2">
        <v>0</v>
      </c>
      <c r="M862">
        <v>11.37</v>
      </c>
      <c r="N862" t="s">
        <v>10236</v>
      </c>
    </row>
    <row r="863" spans="1:14">
      <c r="A863" t="s">
        <v>193</v>
      </c>
      <c r="B863" t="s">
        <v>1046</v>
      </c>
      <c r="C863">
        <f>"564844A"</f>
        <v>0</v>
      </c>
      <c r="D863">
        <v>2</v>
      </c>
      <c r="E863">
        <v>0</v>
      </c>
      <c r="F863" s="2">
        <v>0</v>
      </c>
      <c r="G863">
        <v>0</v>
      </c>
      <c r="H863">
        <v>1</v>
      </c>
      <c r="I863">
        <v>0.2255411474433902</v>
      </c>
      <c r="J863">
        <v>0</v>
      </c>
      <c r="K863">
        <v>0</v>
      </c>
      <c r="L863" s="2">
        <v>0</v>
      </c>
      <c r="M863">
        <v>11.38</v>
      </c>
      <c r="N863" t="s">
        <v>10236</v>
      </c>
    </row>
    <row r="864" spans="1:14">
      <c r="A864" t="s">
        <v>193</v>
      </c>
      <c r="B864" t="s">
        <v>1047</v>
      </c>
      <c r="C864">
        <f>"2GA324"</f>
        <v>0</v>
      </c>
      <c r="D864">
        <v>2</v>
      </c>
      <c r="E864">
        <v>0</v>
      </c>
      <c r="F864" s="2">
        <v>0</v>
      </c>
      <c r="G864">
        <v>0</v>
      </c>
      <c r="H864">
        <v>1</v>
      </c>
      <c r="I864">
        <v>0.2255411474433902</v>
      </c>
      <c r="J864">
        <v>0</v>
      </c>
      <c r="K864">
        <v>0</v>
      </c>
      <c r="L864" s="2">
        <v>0</v>
      </c>
      <c r="M864">
        <v>11.39</v>
      </c>
      <c r="N864" t="s">
        <v>10236</v>
      </c>
    </row>
    <row r="865" spans="1:14">
      <c r="A865" t="s">
        <v>35</v>
      </c>
      <c r="B865" t="s">
        <v>1048</v>
      </c>
      <c r="C865">
        <f>"KF1025E"</f>
        <v>0</v>
      </c>
      <c r="D865">
        <v>2</v>
      </c>
      <c r="E865">
        <v>0</v>
      </c>
      <c r="F865" s="2">
        <v>0</v>
      </c>
      <c r="G865">
        <v>0</v>
      </c>
      <c r="H865">
        <v>1</v>
      </c>
      <c r="I865">
        <v>0.2255411474433902</v>
      </c>
      <c r="J865">
        <v>0</v>
      </c>
      <c r="K865">
        <v>0</v>
      </c>
      <c r="L865" s="2">
        <v>0</v>
      </c>
      <c r="M865">
        <v>11.41</v>
      </c>
      <c r="N865" t="s">
        <v>10236</v>
      </c>
    </row>
    <row r="866" spans="1:14">
      <c r="A866" t="s">
        <v>35</v>
      </c>
      <c r="B866" t="s">
        <v>1049</v>
      </c>
      <c r="C866">
        <f>"1040MIEL"</f>
        <v>0</v>
      </c>
      <c r="D866">
        <v>2</v>
      </c>
      <c r="E866">
        <v>0</v>
      </c>
      <c r="F866" s="2">
        <v>0</v>
      </c>
      <c r="G866">
        <v>0</v>
      </c>
      <c r="H866">
        <v>1</v>
      </c>
      <c r="I866">
        <v>0.2255411474433902</v>
      </c>
      <c r="J866">
        <v>0</v>
      </c>
      <c r="K866">
        <v>0</v>
      </c>
      <c r="L866" s="2">
        <v>0</v>
      </c>
      <c r="M866">
        <v>11.42</v>
      </c>
      <c r="N866" t="s">
        <v>10236</v>
      </c>
    </row>
    <row r="867" spans="1:14">
      <c r="A867" t="s">
        <v>35</v>
      </c>
      <c r="B867" t="s">
        <v>1050</v>
      </c>
      <c r="C867">
        <f>"HDD146V"</f>
        <v>0</v>
      </c>
      <c r="D867">
        <v>2</v>
      </c>
      <c r="E867">
        <v>0</v>
      </c>
      <c r="F867" s="2">
        <v>0</v>
      </c>
      <c r="G867">
        <v>0</v>
      </c>
      <c r="H867">
        <v>1</v>
      </c>
      <c r="I867">
        <v>0.2255411474433902</v>
      </c>
      <c r="J867">
        <v>0</v>
      </c>
      <c r="K867">
        <v>0</v>
      </c>
      <c r="L867" s="2">
        <v>0</v>
      </c>
      <c r="M867">
        <v>11.43</v>
      </c>
      <c r="N867" t="s">
        <v>10236</v>
      </c>
    </row>
    <row r="868" spans="1:14">
      <c r="A868" t="s">
        <v>203</v>
      </c>
      <c r="B868" t="s">
        <v>1051</v>
      </c>
      <c r="C868">
        <f>"758325"</f>
        <v>0</v>
      </c>
      <c r="D868">
        <v>2</v>
      </c>
      <c r="E868">
        <v>0</v>
      </c>
      <c r="F868" s="2">
        <v>0</v>
      </c>
      <c r="G868">
        <v>0</v>
      </c>
      <c r="H868">
        <v>1</v>
      </c>
      <c r="I868">
        <v>0.2255411474433902</v>
      </c>
      <c r="J868">
        <v>0</v>
      </c>
      <c r="K868">
        <v>0</v>
      </c>
      <c r="L868" s="2">
        <v>0</v>
      </c>
      <c r="M868">
        <v>11.44</v>
      </c>
      <c r="N868" t="s">
        <v>10236</v>
      </c>
    </row>
    <row r="869" spans="1:14">
      <c r="A869" t="s">
        <v>35</v>
      </c>
      <c r="B869" t="s">
        <v>1052</v>
      </c>
      <c r="C869">
        <f>"1039MEAM"</f>
        <v>0</v>
      </c>
      <c r="D869">
        <v>2</v>
      </c>
      <c r="E869">
        <v>0</v>
      </c>
      <c r="F869" s="2">
        <v>0</v>
      </c>
      <c r="G869">
        <v>0</v>
      </c>
      <c r="H869">
        <v>1</v>
      </c>
      <c r="I869">
        <v>0.2255411474433902</v>
      </c>
      <c r="J869">
        <v>0</v>
      </c>
      <c r="K869">
        <v>0</v>
      </c>
      <c r="L869" s="2">
        <v>0</v>
      </c>
      <c r="M869">
        <v>11.45</v>
      </c>
      <c r="N869" t="s">
        <v>10236</v>
      </c>
    </row>
    <row r="870" spans="1:14">
      <c r="A870" t="s">
        <v>194</v>
      </c>
      <c r="B870" t="s">
        <v>1053</v>
      </c>
      <c r="C870">
        <f>"934004"</f>
        <v>0</v>
      </c>
      <c r="D870">
        <v>2</v>
      </c>
      <c r="E870">
        <v>0</v>
      </c>
      <c r="F870" s="2">
        <v>0</v>
      </c>
      <c r="G870">
        <v>0</v>
      </c>
      <c r="H870">
        <v>1</v>
      </c>
      <c r="I870">
        <v>0.2255411474433902</v>
      </c>
      <c r="J870">
        <v>0</v>
      </c>
      <c r="K870">
        <v>0</v>
      </c>
      <c r="L870" s="2">
        <v>0</v>
      </c>
      <c r="M870">
        <v>11.47</v>
      </c>
      <c r="N870" t="s">
        <v>10236</v>
      </c>
    </row>
    <row r="871" spans="1:14">
      <c r="A871" t="s">
        <v>27</v>
      </c>
      <c r="B871" t="s">
        <v>1054</v>
      </c>
      <c r="C871">
        <f>"PR3002024"</f>
        <v>0</v>
      </c>
      <c r="D871">
        <v>2</v>
      </c>
      <c r="E871">
        <v>0</v>
      </c>
      <c r="F871" s="2">
        <v>0</v>
      </c>
      <c r="G871">
        <v>0</v>
      </c>
      <c r="H871">
        <v>1</v>
      </c>
      <c r="I871">
        <v>0.2255411474433902</v>
      </c>
      <c r="J871">
        <v>0</v>
      </c>
      <c r="K871">
        <v>0</v>
      </c>
      <c r="L871" s="2">
        <v>0</v>
      </c>
      <c r="M871">
        <v>11.48</v>
      </c>
      <c r="N871" t="s">
        <v>10236</v>
      </c>
    </row>
    <row r="872" spans="1:14">
      <c r="A872" t="s">
        <v>27</v>
      </c>
      <c r="B872" t="s">
        <v>1055</v>
      </c>
      <c r="C872">
        <f>"PR3003004"</f>
        <v>0</v>
      </c>
      <c r="D872">
        <v>2</v>
      </c>
      <c r="E872">
        <v>0</v>
      </c>
      <c r="F872" s="2">
        <v>0</v>
      </c>
      <c r="G872">
        <v>0</v>
      </c>
      <c r="H872">
        <v>1</v>
      </c>
      <c r="I872">
        <v>0.2255411474433902</v>
      </c>
      <c r="J872">
        <v>0</v>
      </c>
      <c r="K872">
        <v>0</v>
      </c>
      <c r="L872" s="2">
        <v>0</v>
      </c>
      <c r="M872">
        <v>11.49</v>
      </c>
      <c r="N872" t="s">
        <v>10236</v>
      </c>
    </row>
    <row r="873" spans="1:14">
      <c r="A873" t="s">
        <v>27</v>
      </c>
      <c r="B873" t="s">
        <v>1056</v>
      </c>
      <c r="C873">
        <f>"PR3014242"</f>
        <v>0</v>
      </c>
      <c r="D873">
        <v>2</v>
      </c>
      <c r="E873">
        <v>0</v>
      </c>
      <c r="F873" s="2">
        <v>0</v>
      </c>
      <c r="G873">
        <v>0</v>
      </c>
      <c r="H873">
        <v>1</v>
      </c>
      <c r="I873">
        <v>0.2255411474433902</v>
      </c>
      <c r="J873">
        <v>0</v>
      </c>
      <c r="K873">
        <v>0</v>
      </c>
      <c r="L873" s="2">
        <v>0</v>
      </c>
      <c r="M873">
        <v>11.5</v>
      </c>
      <c r="N873" t="s">
        <v>10236</v>
      </c>
    </row>
    <row r="874" spans="1:14">
      <c r="A874" t="s">
        <v>35</v>
      </c>
      <c r="B874" t="s">
        <v>1057</v>
      </c>
      <c r="C874">
        <f>"SPG02"</f>
        <v>0</v>
      </c>
      <c r="D874">
        <v>2</v>
      </c>
      <c r="E874">
        <v>0</v>
      </c>
      <c r="F874" s="2">
        <v>0</v>
      </c>
      <c r="G874">
        <v>0</v>
      </c>
      <c r="H874">
        <v>1</v>
      </c>
      <c r="I874">
        <v>0.2255411474433902</v>
      </c>
      <c r="J874">
        <v>0</v>
      </c>
      <c r="K874">
        <v>0</v>
      </c>
      <c r="L874" s="2">
        <v>0</v>
      </c>
      <c r="M874">
        <v>11.51</v>
      </c>
      <c r="N874" t="s">
        <v>10236</v>
      </c>
    </row>
    <row r="875" spans="1:14">
      <c r="A875" t="s">
        <v>25</v>
      </c>
      <c r="B875" t="s">
        <v>1058</v>
      </c>
      <c r="C875">
        <f>"YT200"</f>
        <v>0</v>
      </c>
      <c r="D875">
        <v>2</v>
      </c>
      <c r="E875">
        <v>0</v>
      </c>
      <c r="F875" s="2">
        <v>0</v>
      </c>
      <c r="G875">
        <v>0</v>
      </c>
      <c r="H875">
        <v>2</v>
      </c>
      <c r="I875">
        <v>0.2255411474433902</v>
      </c>
      <c r="J875">
        <v>0</v>
      </c>
      <c r="K875">
        <v>0</v>
      </c>
      <c r="L875" s="2">
        <v>0</v>
      </c>
      <c r="M875">
        <v>11.53</v>
      </c>
      <c r="N875" t="s">
        <v>10236</v>
      </c>
    </row>
    <row r="876" spans="1:14">
      <c r="A876" t="s">
        <v>192</v>
      </c>
      <c r="B876" t="s">
        <v>1059</v>
      </c>
      <c r="C876">
        <f>"ZVP100"</f>
        <v>0</v>
      </c>
      <c r="D876">
        <v>2</v>
      </c>
      <c r="E876">
        <v>0</v>
      </c>
      <c r="F876" s="2">
        <v>0</v>
      </c>
      <c r="G876">
        <v>0</v>
      </c>
      <c r="H876">
        <v>1</v>
      </c>
      <c r="I876">
        <v>0.2255411474433902</v>
      </c>
      <c r="J876">
        <v>0</v>
      </c>
      <c r="K876">
        <v>0</v>
      </c>
      <c r="L876" s="2">
        <v>0</v>
      </c>
      <c r="M876">
        <v>11.54</v>
      </c>
      <c r="N876" t="s">
        <v>10236</v>
      </c>
    </row>
    <row r="877" spans="1:14">
      <c r="A877" t="s">
        <v>35</v>
      </c>
      <c r="B877" t="s">
        <v>1060</v>
      </c>
      <c r="C877">
        <f>"TC777XS"</f>
        <v>0</v>
      </c>
      <c r="D877">
        <v>2</v>
      </c>
      <c r="E877">
        <v>0</v>
      </c>
      <c r="F877" s="2">
        <v>0</v>
      </c>
      <c r="G877">
        <v>0</v>
      </c>
      <c r="H877">
        <v>2</v>
      </c>
      <c r="I877">
        <v>0.2255411474433902</v>
      </c>
      <c r="J877">
        <v>0</v>
      </c>
      <c r="K877">
        <v>0</v>
      </c>
      <c r="L877" s="2">
        <v>0</v>
      </c>
      <c r="M877">
        <v>11.55</v>
      </c>
      <c r="N877" t="s">
        <v>10236</v>
      </c>
    </row>
    <row r="878" spans="1:14">
      <c r="A878" t="s">
        <v>35</v>
      </c>
      <c r="B878" t="s">
        <v>1061</v>
      </c>
      <c r="C878">
        <f>"TQ24R"</f>
        <v>0</v>
      </c>
      <c r="D878">
        <v>2</v>
      </c>
      <c r="E878">
        <v>0</v>
      </c>
      <c r="F878" s="2">
        <v>0</v>
      </c>
      <c r="G878">
        <v>0</v>
      </c>
      <c r="H878">
        <v>2</v>
      </c>
      <c r="I878">
        <v>0.2255411474433902</v>
      </c>
      <c r="J878">
        <v>0</v>
      </c>
      <c r="K878">
        <v>0</v>
      </c>
      <c r="L878" s="2">
        <v>0</v>
      </c>
      <c r="M878">
        <v>11.56</v>
      </c>
      <c r="N878" t="s">
        <v>10236</v>
      </c>
    </row>
    <row r="879" spans="1:14">
      <c r="A879" t="s">
        <v>35</v>
      </c>
      <c r="B879" t="s">
        <v>1062</v>
      </c>
      <c r="C879">
        <f>"168R"</f>
        <v>0</v>
      </c>
      <c r="D879">
        <v>2</v>
      </c>
      <c r="E879">
        <v>0</v>
      </c>
      <c r="F879" s="2">
        <v>0</v>
      </c>
      <c r="G879">
        <v>0</v>
      </c>
      <c r="H879">
        <v>2</v>
      </c>
      <c r="I879">
        <v>0.2255411474433902</v>
      </c>
      <c r="J879">
        <v>0</v>
      </c>
      <c r="K879">
        <v>0</v>
      </c>
      <c r="L879" s="2">
        <v>0</v>
      </c>
      <c r="M879">
        <v>11.57</v>
      </c>
      <c r="N879" t="s">
        <v>10236</v>
      </c>
    </row>
    <row r="880" spans="1:14">
      <c r="A880" t="s">
        <v>192</v>
      </c>
      <c r="B880" t="s">
        <v>1063</v>
      </c>
      <c r="C880">
        <f>"619ABL"</f>
        <v>0</v>
      </c>
      <c r="D880">
        <v>2</v>
      </c>
      <c r="E880">
        <v>0</v>
      </c>
      <c r="F880" s="2">
        <v>0</v>
      </c>
      <c r="G880">
        <v>0</v>
      </c>
      <c r="H880">
        <v>1</v>
      </c>
      <c r="I880">
        <v>0.2255411474433902</v>
      </c>
      <c r="J880">
        <v>0</v>
      </c>
      <c r="K880">
        <v>0</v>
      </c>
      <c r="L880" s="2">
        <v>0</v>
      </c>
      <c r="M880">
        <v>11.59</v>
      </c>
      <c r="N880" t="s">
        <v>10236</v>
      </c>
    </row>
    <row r="881" spans="1:14">
      <c r="A881" t="s">
        <v>193</v>
      </c>
      <c r="B881" t="s">
        <v>1064</v>
      </c>
      <c r="C881">
        <f>"297165"</f>
        <v>0</v>
      </c>
      <c r="D881">
        <v>2</v>
      </c>
      <c r="E881">
        <v>0</v>
      </c>
      <c r="F881" s="2">
        <v>0</v>
      </c>
      <c r="G881">
        <v>0</v>
      </c>
      <c r="H881">
        <v>1</v>
      </c>
      <c r="I881">
        <v>0.2255411474433902</v>
      </c>
      <c r="J881">
        <v>0</v>
      </c>
      <c r="K881">
        <v>0</v>
      </c>
      <c r="L881" s="2">
        <v>0</v>
      </c>
      <c r="M881">
        <v>11.6</v>
      </c>
      <c r="N881" t="s">
        <v>10236</v>
      </c>
    </row>
    <row r="882" spans="1:14">
      <c r="A882" t="s">
        <v>32</v>
      </c>
      <c r="B882" t="s">
        <v>1065</v>
      </c>
      <c r="C882">
        <f>"5006755"</f>
        <v>0</v>
      </c>
      <c r="D882">
        <v>2</v>
      </c>
      <c r="E882">
        <v>0</v>
      </c>
      <c r="F882" s="2">
        <v>0</v>
      </c>
      <c r="G882">
        <v>0</v>
      </c>
      <c r="H882">
        <v>1</v>
      </c>
      <c r="I882">
        <v>0.2255411474433902</v>
      </c>
      <c r="J882">
        <v>0</v>
      </c>
      <c r="K882">
        <v>0</v>
      </c>
      <c r="L882" s="2">
        <v>0</v>
      </c>
      <c r="M882">
        <v>11.61</v>
      </c>
      <c r="N882" t="s">
        <v>10236</v>
      </c>
    </row>
    <row r="883" spans="1:14">
      <c r="A883" t="s">
        <v>32</v>
      </c>
      <c r="B883" t="s">
        <v>1066</v>
      </c>
      <c r="C883">
        <f>"1003662"</f>
        <v>0</v>
      </c>
      <c r="D883">
        <v>2</v>
      </c>
      <c r="E883">
        <v>0</v>
      </c>
      <c r="F883" s="2">
        <v>0</v>
      </c>
      <c r="G883">
        <v>0</v>
      </c>
      <c r="H883">
        <v>1</v>
      </c>
      <c r="I883">
        <v>0.2255411474433902</v>
      </c>
      <c r="J883">
        <v>0</v>
      </c>
      <c r="K883">
        <v>0</v>
      </c>
      <c r="L883" s="2">
        <v>0</v>
      </c>
      <c r="M883">
        <v>11.62</v>
      </c>
      <c r="N883" t="s">
        <v>10236</v>
      </c>
    </row>
    <row r="884" spans="1:14">
      <c r="A884" t="s">
        <v>35</v>
      </c>
      <c r="B884" t="s">
        <v>1067</v>
      </c>
      <c r="C884">
        <f>"FV001"</f>
        <v>0</v>
      </c>
      <c r="D884">
        <v>2</v>
      </c>
      <c r="E884">
        <v>0</v>
      </c>
      <c r="F884" s="2">
        <v>0</v>
      </c>
      <c r="G884">
        <v>0</v>
      </c>
      <c r="H884">
        <v>2</v>
      </c>
      <c r="I884">
        <v>0.2255411474433902</v>
      </c>
      <c r="J884">
        <v>0</v>
      </c>
      <c r="K884">
        <v>0</v>
      </c>
      <c r="L884" s="2">
        <v>0</v>
      </c>
      <c r="M884">
        <v>11.63</v>
      </c>
      <c r="N884" t="s">
        <v>10236</v>
      </c>
    </row>
    <row r="885" spans="1:14">
      <c r="A885" t="s">
        <v>29</v>
      </c>
      <c r="B885" t="s">
        <v>1068</v>
      </c>
      <c r="C885">
        <f>"H200"</f>
        <v>0</v>
      </c>
      <c r="D885">
        <v>2</v>
      </c>
      <c r="E885">
        <v>0</v>
      </c>
      <c r="F885" s="2">
        <v>0</v>
      </c>
      <c r="G885">
        <v>0</v>
      </c>
      <c r="H885">
        <v>2</v>
      </c>
      <c r="I885">
        <v>0.2255411474433902</v>
      </c>
      <c r="J885">
        <v>0</v>
      </c>
      <c r="K885">
        <v>0</v>
      </c>
      <c r="L885" s="2">
        <v>0</v>
      </c>
      <c r="M885">
        <v>11.65</v>
      </c>
      <c r="N885" t="s">
        <v>10236</v>
      </c>
    </row>
    <row r="886" spans="1:14">
      <c r="A886" t="s">
        <v>35</v>
      </c>
      <c r="B886" t="s">
        <v>1069</v>
      </c>
      <c r="C886">
        <f>"TF1031"</f>
        <v>0</v>
      </c>
      <c r="D886">
        <v>2</v>
      </c>
      <c r="E886">
        <v>0</v>
      </c>
      <c r="F886" s="2">
        <v>0</v>
      </c>
      <c r="G886">
        <v>0</v>
      </c>
      <c r="H886">
        <v>1</v>
      </c>
      <c r="I886">
        <v>0.2255411474433902</v>
      </c>
      <c r="J886">
        <v>0</v>
      </c>
      <c r="K886">
        <v>0</v>
      </c>
      <c r="L886" s="2">
        <v>0</v>
      </c>
      <c r="M886">
        <v>11.66</v>
      </c>
      <c r="N886" t="s">
        <v>10236</v>
      </c>
    </row>
    <row r="887" spans="1:14">
      <c r="A887" t="s">
        <v>209</v>
      </c>
      <c r="B887" t="s">
        <v>1070</v>
      </c>
      <c r="C887">
        <f>"4PE020011"</f>
        <v>0</v>
      </c>
      <c r="D887">
        <v>2</v>
      </c>
      <c r="E887">
        <v>0</v>
      </c>
      <c r="F887" s="2">
        <v>0</v>
      </c>
      <c r="G887">
        <v>0</v>
      </c>
      <c r="H887">
        <v>2</v>
      </c>
      <c r="I887">
        <v>0.2255411474433902</v>
      </c>
      <c r="J887">
        <v>0</v>
      </c>
      <c r="K887">
        <v>0</v>
      </c>
      <c r="L887" s="2">
        <v>0</v>
      </c>
      <c r="M887">
        <v>11.67</v>
      </c>
      <c r="N887" t="s">
        <v>10236</v>
      </c>
    </row>
    <row r="888" spans="1:14">
      <c r="A888" t="s">
        <v>35</v>
      </c>
      <c r="B888" t="s">
        <v>1071</v>
      </c>
      <c r="C888">
        <f>"F07"</f>
        <v>0</v>
      </c>
      <c r="D888">
        <v>2</v>
      </c>
      <c r="E888">
        <v>0</v>
      </c>
      <c r="F888" s="2">
        <v>0</v>
      </c>
      <c r="G888">
        <v>0</v>
      </c>
      <c r="H888">
        <v>2</v>
      </c>
      <c r="I888">
        <v>0.2255411474433902</v>
      </c>
      <c r="J888">
        <v>0</v>
      </c>
      <c r="K888">
        <v>0</v>
      </c>
      <c r="L888" s="2">
        <v>0</v>
      </c>
      <c r="M888">
        <v>11.68</v>
      </c>
      <c r="N888" t="s">
        <v>10236</v>
      </c>
    </row>
    <row r="889" spans="1:14">
      <c r="A889" t="s">
        <v>35</v>
      </c>
      <c r="B889" t="s">
        <v>1072</v>
      </c>
      <c r="C889">
        <f>"9402t"</f>
        <v>0</v>
      </c>
      <c r="D889">
        <v>2</v>
      </c>
      <c r="E889">
        <v>0</v>
      </c>
      <c r="F889" s="2">
        <v>0</v>
      </c>
      <c r="G889">
        <v>0</v>
      </c>
      <c r="H889">
        <v>2</v>
      </c>
      <c r="I889">
        <v>0.2255411474433902</v>
      </c>
      <c r="J889">
        <v>0</v>
      </c>
      <c r="K889">
        <v>0</v>
      </c>
      <c r="L889" s="2">
        <v>0</v>
      </c>
      <c r="M889">
        <v>11.69</v>
      </c>
      <c r="N889" t="s">
        <v>10236</v>
      </c>
    </row>
    <row r="890" spans="1:14">
      <c r="A890" t="s">
        <v>35</v>
      </c>
      <c r="B890" t="s">
        <v>1073</v>
      </c>
      <c r="C890">
        <f>"MSPB01A"</f>
        <v>0</v>
      </c>
      <c r="D890">
        <v>2</v>
      </c>
      <c r="E890">
        <v>0</v>
      </c>
      <c r="F890" s="2">
        <v>0</v>
      </c>
      <c r="G890">
        <v>0</v>
      </c>
      <c r="H890">
        <v>1</v>
      </c>
      <c r="I890">
        <v>0.2255411474433902</v>
      </c>
      <c r="J890">
        <v>0</v>
      </c>
      <c r="K890">
        <v>0</v>
      </c>
      <c r="L890" s="2">
        <v>0</v>
      </c>
      <c r="M890">
        <v>11.71</v>
      </c>
      <c r="N890" t="s">
        <v>10236</v>
      </c>
    </row>
    <row r="891" spans="1:14">
      <c r="A891" t="s">
        <v>219</v>
      </c>
      <c r="B891" t="s">
        <v>1074</v>
      </c>
      <c r="C891">
        <f>"PRWPP"</f>
        <v>0</v>
      </c>
      <c r="D891">
        <v>2</v>
      </c>
      <c r="E891">
        <v>0</v>
      </c>
      <c r="F891" s="2">
        <v>0</v>
      </c>
      <c r="G891">
        <v>0</v>
      </c>
      <c r="H891">
        <v>1</v>
      </c>
      <c r="I891">
        <v>0.2255411474433902</v>
      </c>
      <c r="J891">
        <v>0</v>
      </c>
      <c r="K891">
        <v>0</v>
      </c>
      <c r="L891" s="2">
        <v>0</v>
      </c>
      <c r="M891">
        <v>11.72</v>
      </c>
      <c r="N891" t="s">
        <v>10236</v>
      </c>
    </row>
    <row r="892" spans="1:14">
      <c r="A892" t="s">
        <v>35</v>
      </c>
      <c r="B892" t="s">
        <v>1075</v>
      </c>
      <c r="C892">
        <f>"TF001"</f>
        <v>0</v>
      </c>
      <c r="D892">
        <v>2</v>
      </c>
      <c r="E892">
        <v>0</v>
      </c>
      <c r="F892" s="2">
        <v>0</v>
      </c>
      <c r="G892">
        <v>0</v>
      </c>
      <c r="H892">
        <v>2</v>
      </c>
      <c r="I892">
        <v>0.2255411474433902</v>
      </c>
      <c r="J892">
        <v>0</v>
      </c>
      <c r="K892">
        <v>0</v>
      </c>
      <c r="L892" s="2">
        <v>0</v>
      </c>
      <c r="M892">
        <v>11.73</v>
      </c>
      <c r="N892" t="s">
        <v>10236</v>
      </c>
    </row>
    <row r="893" spans="1:14">
      <c r="A893" t="s">
        <v>35</v>
      </c>
      <c r="B893" t="s">
        <v>1076</v>
      </c>
      <c r="C893">
        <f>"06715"</f>
        <v>0</v>
      </c>
      <c r="D893">
        <v>2</v>
      </c>
      <c r="E893">
        <v>0</v>
      </c>
      <c r="F893" s="2">
        <v>0</v>
      </c>
      <c r="G893">
        <v>0</v>
      </c>
      <c r="H893">
        <v>1</v>
      </c>
      <c r="I893">
        <v>0.2255411474433902</v>
      </c>
      <c r="J893">
        <v>0</v>
      </c>
      <c r="K893">
        <v>0</v>
      </c>
      <c r="L893" s="2">
        <v>0</v>
      </c>
      <c r="M893">
        <v>11.74</v>
      </c>
      <c r="N893" t="s">
        <v>10236</v>
      </c>
    </row>
    <row r="894" spans="1:14">
      <c r="A894" t="s">
        <v>25</v>
      </c>
      <c r="B894" t="s">
        <v>1077</v>
      </c>
      <c r="C894">
        <f>"ZVP1111"</f>
        <v>0</v>
      </c>
      <c r="D894">
        <v>2</v>
      </c>
      <c r="E894">
        <v>0</v>
      </c>
      <c r="F894" s="2">
        <v>0</v>
      </c>
      <c r="G894">
        <v>0</v>
      </c>
      <c r="H894">
        <v>1</v>
      </c>
      <c r="I894">
        <v>0.2255411474433902</v>
      </c>
      <c r="J894">
        <v>0</v>
      </c>
      <c r="K894">
        <v>0</v>
      </c>
      <c r="L894" s="2">
        <v>0</v>
      </c>
      <c r="M894">
        <v>11.75</v>
      </c>
      <c r="N894" t="s">
        <v>10236</v>
      </c>
    </row>
    <row r="895" spans="1:14">
      <c r="A895" t="s">
        <v>35</v>
      </c>
      <c r="B895" t="s">
        <v>1078</v>
      </c>
      <c r="C895">
        <f>"10212"</f>
        <v>0</v>
      </c>
      <c r="D895">
        <v>2</v>
      </c>
      <c r="E895">
        <v>0</v>
      </c>
      <c r="F895" s="2">
        <v>0</v>
      </c>
      <c r="G895">
        <v>0</v>
      </c>
      <c r="H895">
        <v>1</v>
      </c>
      <c r="I895">
        <v>0.2255411474433902</v>
      </c>
      <c r="J895">
        <v>0</v>
      </c>
      <c r="K895">
        <v>0</v>
      </c>
      <c r="L895" s="2">
        <v>0</v>
      </c>
      <c r="M895">
        <v>11.76</v>
      </c>
      <c r="N895" t="s">
        <v>10236</v>
      </c>
    </row>
    <row r="896" spans="1:14">
      <c r="A896" t="s">
        <v>29</v>
      </c>
      <c r="B896" t="s">
        <v>1079</v>
      </c>
      <c r="C896">
        <f>"RS600"</f>
        <v>0</v>
      </c>
      <c r="D896">
        <v>2</v>
      </c>
      <c r="E896">
        <v>0</v>
      </c>
      <c r="F896" s="2">
        <v>0</v>
      </c>
      <c r="G896">
        <v>0</v>
      </c>
      <c r="H896">
        <v>1</v>
      </c>
      <c r="I896">
        <v>0.2255411474433902</v>
      </c>
      <c r="J896">
        <v>0</v>
      </c>
      <c r="K896">
        <v>0</v>
      </c>
      <c r="L896" s="2">
        <v>0</v>
      </c>
      <c r="M896">
        <v>11.78</v>
      </c>
      <c r="N896" t="s">
        <v>10236</v>
      </c>
    </row>
    <row r="897" spans="1:14">
      <c r="A897" t="s">
        <v>29</v>
      </c>
      <c r="B897" t="s">
        <v>1080</v>
      </c>
      <c r="C897">
        <f>"CHJ500"</f>
        <v>0</v>
      </c>
      <c r="D897">
        <v>2</v>
      </c>
      <c r="E897">
        <v>0</v>
      </c>
      <c r="F897" s="2">
        <v>0</v>
      </c>
      <c r="G897">
        <v>0</v>
      </c>
      <c r="H897">
        <v>1</v>
      </c>
      <c r="I897">
        <v>0.2255411474433902</v>
      </c>
      <c r="J897">
        <v>0</v>
      </c>
      <c r="K897">
        <v>0</v>
      </c>
      <c r="L897" s="2">
        <v>0</v>
      </c>
      <c r="M897">
        <v>11.79</v>
      </c>
      <c r="N897" t="s">
        <v>10236</v>
      </c>
    </row>
    <row r="898" spans="1:14">
      <c r="A898" t="s">
        <v>25</v>
      </c>
      <c r="B898" t="s">
        <v>1081</v>
      </c>
      <c r="C898">
        <f>"SXY082"</f>
        <v>0</v>
      </c>
      <c r="D898">
        <v>2</v>
      </c>
      <c r="E898">
        <v>0</v>
      </c>
      <c r="F898" s="2">
        <v>0</v>
      </c>
      <c r="G898">
        <v>0</v>
      </c>
      <c r="H898">
        <v>2</v>
      </c>
      <c r="I898">
        <v>0.2255411474433902</v>
      </c>
      <c r="J898">
        <v>0</v>
      </c>
      <c r="K898">
        <v>0</v>
      </c>
      <c r="L898" s="2">
        <v>0</v>
      </c>
      <c r="M898">
        <v>11.8</v>
      </c>
      <c r="N898" t="s">
        <v>10236</v>
      </c>
    </row>
    <row r="899" spans="1:14">
      <c r="A899" t="s">
        <v>35</v>
      </c>
      <c r="B899" t="s">
        <v>1082</v>
      </c>
      <c r="C899">
        <f>"8305"</f>
        <v>0</v>
      </c>
      <c r="D899">
        <v>2</v>
      </c>
      <c r="E899">
        <v>0</v>
      </c>
      <c r="F899" s="2">
        <v>0</v>
      </c>
      <c r="G899">
        <v>0</v>
      </c>
      <c r="H899">
        <v>2</v>
      </c>
      <c r="I899">
        <v>0.2255411474433902</v>
      </c>
      <c r="J899">
        <v>0</v>
      </c>
      <c r="K899">
        <v>0</v>
      </c>
      <c r="L899" s="2">
        <v>0</v>
      </c>
      <c r="M899">
        <v>11.81</v>
      </c>
      <c r="N899" t="s">
        <v>10236</v>
      </c>
    </row>
    <row r="900" spans="1:14">
      <c r="A900" t="s">
        <v>24</v>
      </c>
      <c r="B900" t="s">
        <v>1083</v>
      </c>
      <c r="C900">
        <f>"1125001"</f>
        <v>0</v>
      </c>
      <c r="D900">
        <v>2</v>
      </c>
      <c r="E900">
        <v>0</v>
      </c>
      <c r="F900" s="2">
        <v>0</v>
      </c>
      <c r="G900">
        <v>0</v>
      </c>
      <c r="H900">
        <v>1</v>
      </c>
      <c r="I900">
        <v>0.2255411474433902</v>
      </c>
      <c r="J900">
        <v>0</v>
      </c>
      <c r="K900">
        <v>0</v>
      </c>
      <c r="L900" s="2">
        <v>0</v>
      </c>
      <c r="M900">
        <v>11.82</v>
      </c>
      <c r="N900" t="s">
        <v>10236</v>
      </c>
    </row>
    <row r="901" spans="1:14">
      <c r="A901" t="s">
        <v>193</v>
      </c>
      <c r="B901" t="s">
        <v>1084</v>
      </c>
      <c r="C901">
        <f>"564301"</f>
        <v>0</v>
      </c>
      <c r="D901">
        <v>2</v>
      </c>
      <c r="E901">
        <v>0</v>
      </c>
      <c r="F901" s="2">
        <v>0</v>
      </c>
      <c r="G901">
        <v>0</v>
      </c>
      <c r="H901">
        <v>2</v>
      </c>
      <c r="I901">
        <v>0.2255411474433902</v>
      </c>
      <c r="J901">
        <v>0</v>
      </c>
      <c r="K901">
        <v>0</v>
      </c>
      <c r="L901" s="2">
        <v>0</v>
      </c>
      <c r="M901">
        <v>11.84</v>
      </c>
      <c r="N901" t="s">
        <v>10236</v>
      </c>
    </row>
    <row r="902" spans="1:14">
      <c r="A902" t="s">
        <v>193</v>
      </c>
      <c r="B902" t="s">
        <v>1085</v>
      </c>
      <c r="C902">
        <f>"564288"</f>
        <v>0</v>
      </c>
      <c r="D902">
        <v>2</v>
      </c>
      <c r="E902">
        <v>0</v>
      </c>
      <c r="F902" s="2">
        <v>0</v>
      </c>
      <c r="G902">
        <v>0</v>
      </c>
      <c r="H902">
        <v>2</v>
      </c>
      <c r="I902">
        <v>0.2255411474433902</v>
      </c>
      <c r="J902">
        <v>0</v>
      </c>
      <c r="K902">
        <v>0</v>
      </c>
      <c r="L902" s="2">
        <v>0</v>
      </c>
      <c r="M902">
        <v>11.85</v>
      </c>
      <c r="N902" t="s">
        <v>10236</v>
      </c>
    </row>
    <row r="903" spans="1:14">
      <c r="A903" t="s">
        <v>193</v>
      </c>
      <c r="B903" t="s">
        <v>1086</v>
      </c>
      <c r="C903">
        <f>"564240"</f>
        <v>0</v>
      </c>
      <c r="D903">
        <v>2</v>
      </c>
      <c r="E903">
        <v>0</v>
      </c>
      <c r="F903" s="2">
        <v>0</v>
      </c>
      <c r="G903">
        <v>0</v>
      </c>
      <c r="H903">
        <v>1</v>
      </c>
      <c r="I903">
        <v>0.2255411474433902</v>
      </c>
      <c r="J903">
        <v>0</v>
      </c>
      <c r="K903">
        <v>0</v>
      </c>
      <c r="L903" s="2">
        <v>0</v>
      </c>
      <c r="M903">
        <v>11.86</v>
      </c>
      <c r="N903" t="s">
        <v>10236</v>
      </c>
    </row>
    <row r="904" spans="1:14">
      <c r="A904" t="s">
        <v>193</v>
      </c>
      <c r="B904" t="s">
        <v>1087</v>
      </c>
      <c r="C904">
        <f>"564226"</f>
        <v>0</v>
      </c>
      <c r="D904">
        <v>2</v>
      </c>
      <c r="E904">
        <v>0</v>
      </c>
      <c r="F904" s="2">
        <v>0</v>
      </c>
      <c r="G904">
        <v>0</v>
      </c>
      <c r="H904">
        <v>2</v>
      </c>
      <c r="I904">
        <v>0.2255411474433902</v>
      </c>
      <c r="J904">
        <v>0</v>
      </c>
      <c r="K904">
        <v>0</v>
      </c>
      <c r="L904" s="2">
        <v>0</v>
      </c>
      <c r="M904">
        <v>11.87</v>
      </c>
      <c r="N904" t="s">
        <v>10236</v>
      </c>
    </row>
    <row r="905" spans="1:14">
      <c r="A905" t="s">
        <v>213</v>
      </c>
      <c r="B905" t="s">
        <v>1088</v>
      </c>
      <c r="C905">
        <f>"500828"</f>
        <v>0</v>
      </c>
      <c r="D905">
        <v>2</v>
      </c>
      <c r="E905">
        <v>0</v>
      </c>
      <c r="F905" s="2">
        <v>0</v>
      </c>
      <c r="G905">
        <v>0</v>
      </c>
      <c r="H905">
        <v>1</v>
      </c>
      <c r="I905">
        <v>0.2255411474433902</v>
      </c>
      <c r="J905">
        <v>0</v>
      </c>
      <c r="K905">
        <v>0</v>
      </c>
      <c r="L905" s="2">
        <v>0</v>
      </c>
      <c r="M905">
        <v>11.88</v>
      </c>
      <c r="N905" t="s">
        <v>10236</v>
      </c>
    </row>
    <row r="906" spans="1:14">
      <c r="A906" t="s">
        <v>196</v>
      </c>
      <c r="B906" t="s">
        <v>1089</v>
      </c>
      <c r="C906">
        <f>"2196"</f>
        <v>0</v>
      </c>
      <c r="D906">
        <v>2</v>
      </c>
      <c r="E906">
        <v>0</v>
      </c>
      <c r="F906" s="2">
        <v>0</v>
      </c>
      <c r="G906">
        <v>0</v>
      </c>
      <c r="H906">
        <v>1</v>
      </c>
      <c r="I906">
        <v>0.2255411474433902</v>
      </c>
      <c r="J906">
        <v>0</v>
      </c>
      <c r="K906">
        <v>0</v>
      </c>
      <c r="L906" s="2">
        <v>0</v>
      </c>
      <c r="M906">
        <v>11.9</v>
      </c>
      <c r="N906" t="s">
        <v>10236</v>
      </c>
    </row>
    <row r="907" spans="1:14">
      <c r="A907" t="s">
        <v>35</v>
      </c>
      <c r="B907" t="s">
        <v>1090</v>
      </c>
      <c r="C907">
        <f>"XX240"</f>
        <v>0</v>
      </c>
      <c r="D907">
        <v>2</v>
      </c>
      <c r="E907">
        <v>0</v>
      </c>
      <c r="F907" s="2">
        <v>0</v>
      </c>
      <c r="G907">
        <v>0</v>
      </c>
      <c r="H907">
        <v>1</v>
      </c>
      <c r="I907">
        <v>0.2255411474433902</v>
      </c>
      <c r="J907">
        <v>0</v>
      </c>
      <c r="K907">
        <v>0</v>
      </c>
      <c r="L907" s="2">
        <v>0</v>
      </c>
      <c r="M907">
        <v>11.91</v>
      </c>
      <c r="N907" t="s">
        <v>10236</v>
      </c>
    </row>
    <row r="908" spans="1:14">
      <c r="A908" t="s">
        <v>35</v>
      </c>
      <c r="B908" t="s">
        <v>1091</v>
      </c>
      <c r="C908">
        <f>"JW17083V"</f>
        <v>0</v>
      </c>
      <c r="D908">
        <v>2</v>
      </c>
      <c r="E908">
        <v>0</v>
      </c>
      <c r="F908" s="2">
        <v>0</v>
      </c>
      <c r="G908">
        <v>0</v>
      </c>
      <c r="H908">
        <v>1</v>
      </c>
      <c r="I908">
        <v>0.2255411474433902</v>
      </c>
      <c r="J908">
        <v>0</v>
      </c>
      <c r="K908">
        <v>0</v>
      </c>
      <c r="L908" s="2">
        <v>0</v>
      </c>
      <c r="M908">
        <v>11.92</v>
      </c>
      <c r="N908" t="s">
        <v>10236</v>
      </c>
    </row>
    <row r="909" spans="1:14">
      <c r="A909" t="s">
        <v>27</v>
      </c>
      <c r="B909" t="s">
        <v>1092</v>
      </c>
      <c r="C909">
        <f>"PR3027041"</f>
        <v>0</v>
      </c>
      <c r="D909">
        <v>2</v>
      </c>
      <c r="E909">
        <v>0</v>
      </c>
      <c r="F909" s="2">
        <v>0</v>
      </c>
      <c r="G909">
        <v>0</v>
      </c>
      <c r="H909">
        <v>1</v>
      </c>
      <c r="I909">
        <v>0.2255411474433902</v>
      </c>
      <c r="J909">
        <v>0</v>
      </c>
      <c r="K909">
        <v>0</v>
      </c>
      <c r="L909" s="2">
        <v>0</v>
      </c>
      <c r="M909">
        <v>11.93</v>
      </c>
      <c r="N909" t="s">
        <v>10236</v>
      </c>
    </row>
    <row r="910" spans="1:14">
      <c r="A910" t="s">
        <v>35</v>
      </c>
      <c r="B910" t="s">
        <v>1093</v>
      </c>
      <c r="C910">
        <f>"KHSG0090"</f>
        <v>0</v>
      </c>
      <c r="D910">
        <v>2</v>
      </c>
      <c r="E910">
        <v>0</v>
      </c>
      <c r="F910" s="2">
        <v>0</v>
      </c>
      <c r="G910">
        <v>0</v>
      </c>
      <c r="H910">
        <v>1</v>
      </c>
      <c r="I910">
        <v>0.2255411474433902</v>
      </c>
      <c r="J910">
        <v>0</v>
      </c>
      <c r="K910">
        <v>0</v>
      </c>
      <c r="L910" s="2">
        <v>0</v>
      </c>
      <c r="M910">
        <v>11.94</v>
      </c>
      <c r="N910" t="s">
        <v>10236</v>
      </c>
    </row>
    <row r="911" spans="1:14">
      <c r="A911" t="s">
        <v>35</v>
      </c>
      <c r="B911" t="s">
        <v>1094</v>
      </c>
      <c r="C911">
        <f>"PT239C"</f>
        <v>0</v>
      </c>
      <c r="D911">
        <v>2</v>
      </c>
      <c r="E911">
        <v>0</v>
      </c>
      <c r="F911" s="2">
        <v>0</v>
      </c>
      <c r="G911">
        <v>0</v>
      </c>
      <c r="H911">
        <v>1</v>
      </c>
      <c r="I911">
        <v>0.2255411474433902</v>
      </c>
      <c r="J911">
        <v>0</v>
      </c>
      <c r="K911">
        <v>0</v>
      </c>
      <c r="L911" s="2">
        <v>0</v>
      </c>
      <c r="M911">
        <v>11.96</v>
      </c>
      <c r="N911" t="s">
        <v>10236</v>
      </c>
    </row>
    <row r="912" spans="1:14">
      <c r="A912" t="s">
        <v>25</v>
      </c>
      <c r="B912" t="s">
        <v>1095</v>
      </c>
      <c r="C912">
        <f>"BEP20R"</f>
        <v>0</v>
      </c>
      <c r="D912">
        <v>2</v>
      </c>
      <c r="E912">
        <v>0</v>
      </c>
      <c r="F912" s="2">
        <v>0</v>
      </c>
      <c r="G912">
        <v>0</v>
      </c>
      <c r="H912">
        <v>1</v>
      </c>
      <c r="I912">
        <v>0.2255411474433902</v>
      </c>
      <c r="J912">
        <v>0</v>
      </c>
      <c r="K912">
        <v>0</v>
      </c>
      <c r="L912" s="2">
        <v>0</v>
      </c>
      <c r="M912">
        <v>11.97</v>
      </c>
      <c r="N912" t="s">
        <v>10236</v>
      </c>
    </row>
    <row r="913" spans="1:14">
      <c r="A913" t="s">
        <v>215</v>
      </c>
      <c r="B913" t="s">
        <v>1096</v>
      </c>
      <c r="C913">
        <f>"K01801"</f>
        <v>0</v>
      </c>
      <c r="D913">
        <v>2</v>
      </c>
      <c r="E913">
        <v>0</v>
      </c>
      <c r="F913" s="2">
        <v>0</v>
      </c>
      <c r="G913">
        <v>0</v>
      </c>
      <c r="H913">
        <v>2</v>
      </c>
      <c r="I913">
        <v>0.2255411474433902</v>
      </c>
      <c r="J913">
        <v>0</v>
      </c>
      <c r="K913">
        <v>0</v>
      </c>
      <c r="L913" s="2">
        <v>0</v>
      </c>
      <c r="M913">
        <v>11.98</v>
      </c>
      <c r="N913" t="s">
        <v>10236</v>
      </c>
    </row>
    <row r="914" spans="1:14">
      <c r="A914" t="s">
        <v>35</v>
      </c>
      <c r="B914" t="s">
        <v>1097</v>
      </c>
      <c r="C914">
        <f>"XDB415"</f>
        <v>0</v>
      </c>
      <c r="D914">
        <v>2</v>
      </c>
      <c r="E914">
        <v>0</v>
      </c>
      <c r="F914" s="2">
        <v>0</v>
      </c>
      <c r="G914">
        <v>0</v>
      </c>
      <c r="H914">
        <v>1</v>
      </c>
      <c r="I914">
        <v>0.2255411474433902</v>
      </c>
      <c r="J914">
        <v>0</v>
      </c>
      <c r="K914">
        <v>0</v>
      </c>
      <c r="L914" s="2">
        <v>0</v>
      </c>
      <c r="M914">
        <v>11.99</v>
      </c>
      <c r="N914" t="s">
        <v>10236</v>
      </c>
    </row>
    <row r="915" spans="1:14">
      <c r="A915" t="s">
        <v>35</v>
      </c>
      <c r="B915" t="s">
        <v>1098</v>
      </c>
      <c r="C915">
        <f>"PT117"</f>
        <v>0</v>
      </c>
      <c r="D915">
        <v>2</v>
      </c>
      <c r="E915">
        <v>0</v>
      </c>
      <c r="F915" s="2">
        <v>0</v>
      </c>
      <c r="G915">
        <v>0</v>
      </c>
      <c r="H915">
        <v>1</v>
      </c>
      <c r="I915">
        <v>0.2255411474433902</v>
      </c>
      <c r="J915">
        <v>0</v>
      </c>
      <c r="K915">
        <v>0</v>
      </c>
      <c r="L915" s="2">
        <v>0</v>
      </c>
      <c r="M915">
        <v>12</v>
      </c>
      <c r="N915" t="s">
        <v>10236</v>
      </c>
    </row>
    <row r="916" spans="1:14">
      <c r="A916" t="s">
        <v>32</v>
      </c>
      <c r="B916" t="s">
        <v>1099</v>
      </c>
      <c r="C916">
        <f>"6510013165"</f>
        <v>0</v>
      </c>
      <c r="D916">
        <v>2</v>
      </c>
      <c r="E916">
        <v>0</v>
      </c>
      <c r="F916" s="2">
        <v>0</v>
      </c>
      <c r="G916">
        <v>0</v>
      </c>
      <c r="H916">
        <v>2</v>
      </c>
      <c r="I916">
        <v>0.2255411474433902</v>
      </c>
      <c r="J916">
        <v>0</v>
      </c>
      <c r="K916">
        <v>0</v>
      </c>
      <c r="L916" s="2">
        <v>0</v>
      </c>
      <c r="M916">
        <v>12.02</v>
      </c>
      <c r="N916" t="s">
        <v>10236</v>
      </c>
    </row>
    <row r="917" spans="1:14">
      <c r="A917" t="s">
        <v>27</v>
      </c>
      <c r="B917" t="s">
        <v>1100</v>
      </c>
      <c r="C917">
        <f>"PR3027002"</f>
        <v>0</v>
      </c>
      <c r="D917">
        <v>2</v>
      </c>
      <c r="E917">
        <v>0</v>
      </c>
      <c r="F917" s="2">
        <v>0</v>
      </c>
      <c r="G917">
        <v>0</v>
      </c>
      <c r="H917">
        <v>1</v>
      </c>
      <c r="I917">
        <v>0.2255411474433902</v>
      </c>
      <c r="J917">
        <v>0</v>
      </c>
      <c r="K917">
        <v>0</v>
      </c>
      <c r="L917" s="2">
        <v>0</v>
      </c>
      <c r="M917">
        <v>12.03</v>
      </c>
      <c r="N917" t="s">
        <v>10236</v>
      </c>
    </row>
    <row r="918" spans="1:14">
      <c r="A918" t="s">
        <v>192</v>
      </c>
      <c r="B918" t="s">
        <v>1101</v>
      </c>
      <c r="C918">
        <f>"MP013"</f>
        <v>0</v>
      </c>
      <c r="D918">
        <v>2</v>
      </c>
      <c r="E918">
        <v>0</v>
      </c>
      <c r="F918" s="2">
        <v>0</v>
      </c>
      <c r="G918">
        <v>0</v>
      </c>
      <c r="H918">
        <v>2</v>
      </c>
      <c r="I918">
        <v>0.2255411474433902</v>
      </c>
      <c r="J918">
        <v>0</v>
      </c>
      <c r="K918">
        <v>0</v>
      </c>
      <c r="L918" s="2">
        <v>0</v>
      </c>
      <c r="M918">
        <v>12.04</v>
      </c>
      <c r="N918" t="s">
        <v>10236</v>
      </c>
    </row>
    <row r="919" spans="1:14">
      <c r="A919" t="s">
        <v>35</v>
      </c>
      <c r="B919" t="s">
        <v>1102</v>
      </c>
      <c r="C919">
        <f>"BIO01"</f>
        <v>0</v>
      </c>
      <c r="D919">
        <v>2</v>
      </c>
      <c r="E919">
        <v>0</v>
      </c>
      <c r="F919" s="2">
        <v>0</v>
      </c>
      <c r="G919">
        <v>0</v>
      </c>
      <c r="H919">
        <v>2</v>
      </c>
      <c r="I919">
        <v>0.2255411474433902</v>
      </c>
      <c r="J919">
        <v>0</v>
      </c>
      <c r="K919">
        <v>0</v>
      </c>
      <c r="L919" s="2">
        <v>0</v>
      </c>
      <c r="M919">
        <v>12.05</v>
      </c>
      <c r="N919" t="s">
        <v>10236</v>
      </c>
    </row>
    <row r="920" spans="1:14">
      <c r="A920" t="s">
        <v>203</v>
      </c>
      <c r="B920" t="s">
        <v>1103</v>
      </c>
      <c r="C920">
        <f>"754015"</f>
        <v>0</v>
      </c>
      <c r="D920">
        <v>2</v>
      </c>
      <c r="E920">
        <v>0</v>
      </c>
      <c r="F920" s="2">
        <v>0</v>
      </c>
      <c r="G920">
        <v>0</v>
      </c>
      <c r="H920">
        <v>2</v>
      </c>
      <c r="I920">
        <v>0.2255411474433902</v>
      </c>
      <c r="J920">
        <v>0</v>
      </c>
      <c r="K920">
        <v>0</v>
      </c>
      <c r="L920" s="2">
        <v>0</v>
      </c>
      <c r="M920">
        <v>12.06</v>
      </c>
      <c r="N920" t="s">
        <v>10236</v>
      </c>
    </row>
    <row r="921" spans="1:14">
      <c r="A921" t="s">
        <v>25</v>
      </c>
      <c r="B921" t="s">
        <v>1104</v>
      </c>
      <c r="C921">
        <f>"S0461AZ"</f>
        <v>0</v>
      </c>
      <c r="D921">
        <v>2</v>
      </c>
      <c r="E921">
        <v>0</v>
      </c>
      <c r="F921" s="2">
        <v>0</v>
      </c>
      <c r="G921">
        <v>0</v>
      </c>
      <c r="H921">
        <v>1</v>
      </c>
      <c r="I921">
        <v>0.2255411474433902</v>
      </c>
      <c r="J921">
        <v>0</v>
      </c>
      <c r="K921">
        <v>0</v>
      </c>
      <c r="L921" s="2">
        <v>0</v>
      </c>
      <c r="M921">
        <v>12.08</v>
      </c>
      <c r="N921" t="s">
        <v>10236</v>
      </c>
    </row>
    <row r="922" spans="1:14">
      <c r="A922" t="s">
        <v>35</v>
      </c>
      <c r="B922" t="s">
        <v>1105</v>
      </c>
      <c r="C922">
        <f>"6952ROJ"</f>
        <v>0</v>
      </c>
      <c r="D922">
        <v>2</v>
      </c>
      <c r="E922">
        <v>0</v>
      </c>
      <c r="F922" s="2">
        <v>0</v>
      </c>
      <c r="G922">
        <v>0</v>
      </c>
      <c r="H922">
        <v>2</v>
      </c>
      <c r="I922">
        <v>0.2255411474433902</v>
      </c>
      <c r="J922">
        <v>0</v>
      </c>
      <c r="K922">
        <v>0</v>
      </c>
      <c r="L922" s="2">
        <v>0</v>
      </c>
      <c r="M922">
        <v>12.09</v>
      </c>
      <c r="N922" t="s">
        <v>10236</v>
      </c>
    </row>
    <row r="923" spans="1:14">
      <c r="A923" t="s">
        <v>32</v>
      </c>
      <c r="B923" t="s">
        <v>1106</v>
      </c>
      <c r="C923">
        <f>"CHEMIULTR5"</f>
        <v>0</v>
      </c>
      <c r="D923">
        <v>2</v>
      </c>
      <c r="E923">
        <v>0</v>
      </c>
      <c r="F923" s="2">
        <v>0</v>
      </c>
      <c r="G923">
        <v>0</v>
      </c>
      <c r="H923">
        <v>2</v>
      </c>
      <c r="I923">
        <v>0.2255411474433902</v>
      </c>
      <c r="J923">
        <v>0</v>
      </c>
      <c r="K923">
        <v>0</v>
      </c>
      <c r="L923" s="2">
        <v>0</v>
      </c>
      <c r="M923">
        <v>12.1</v>
      </c>
      <c r="N923" t="s">
        <v>10236</v>
      </c>
    </row>
    <row r="924" spans="1:14">
      <c r="A924" t="s">
        <v>35</v>
      </c>
      <c r="B924" t="s">
        <v>1107</v>
      </c>
      <c r="C924">
        <f>"KE3204PD"</f>
        <v>0</v>
      </c>
      <c r="D924">
        <v>2</v>
      </c>
      <c r="E924">
        <v>0</v>
      </c>
      <c r="F924" s="2">
        <v>0</v>
      </c>
      <c r="G924">
        <v>0</v>
      </c>
      <c r="H924">
        <v>1</v>
      </c>
      <c r="I924">
        <v>0.2255411474433902</v>
      </c>
      <c r="J924">
        <v>0</v>
      </c>
      <c r="K924">
        <v>0</v>
      </c>
      <c r="L924" s="2">
        <v>0</v>
      </c>
      <c r="M924">
        <v>12.11</v>
      </c>
      <c r="N924" t="s">
        <v>10236</v>
      </c>
    </row>
    <row r="925" spans="1:14">
      <c r="A925" t="s">
        <v>200</v>
      </c>
      <c r="B925" t="s">
        <v>1108</v>
      </c>
      <c r="C925">
        <f>"PS04004"</f>
        <v>0</v>
      </c>
      <c r="D925">
        <v>2</v>
      </c>
      <c r="E925">
        <v>0</v>
      </c>
      <c r="F925" s="2">
        <v>0</v>
      </c>
      <c r="G925">
        <v>0</v>
      </c>
      <c r="H925">
        <v>2</v>
      </c>
      <c r="I925">
        <v>0.2255411474433902</v>
      </c>
      <c r="J925">
        <v>0</v>
      </c>
      <c r="K925">
        <v>0</v>
      </c>
      <c r="L925" s="2">
        <v>0</v>
      </c>
      <c r="M925">
        <v>12.12</v>
      </c>
      <c r="N925" t="s">
        <v>10236</v>
      </c>
    </row>
    <row r="926" spans="1:14">
      <c r="A926" t="s">
        <v>35</v>
      </c>
      <c r="B926" t="s">
        <v>1109</v>
      </c>
      <c r="C926">
        <f>"TC2063ROS"</f>
        <v>0</v>
      </c>
      <c r="D926">
        <v>2</v>
      </c>
      <c r="E926">
        <v>0</v>
      </c>
      <c r="F926" s="2">
        <v>0</v>
      </c>
      <c r="G926">
        <v>0</v>
      </c>
      <c r="H926">
        <v>2</v>
      </c>
      <c r="I926">
        <v>0.2255411474433902</v>
      </c>
      <c r="J926">
        <v>0</v>
      </c>
      <c r="K926">
        <v>0</v>
      </c>
      <c r="L926" s="2">
        <v>0</v>
      </c>
      <c r="M926">
        <v>12.14</v>
      </c>
      <c r="N926" t="s">
        <v>10236</v>
      </c>
    </row>
    <row r="927" spans="1:14">
      <c r="A927" t="s">
        <v>35</v>
      </c>
      <c r="B927" t="s">
        <v>1110</v>
      </c>
      <c r="C927">
        <f>"D053L"</f>
        <v>0</v>
      </c>
      <c r="D927">
        <v>2</v>
      </c>
      <c r="E927">
        <v>0</v>
      </c>
      <c r="F927" s="2">
        <v>0</v>
      </c>
      <c r="G927">
        <v>0</v>
      </c>
      <c r="H927">
        <v>2</v>
      </c>
      <c r="I927">
        <v>0.2255411474433902</v>
      </c>
      <c r="J927">
        <v>0</v>
      </c>
      <c r="K927">
        <v>0</v>
      </c>
      <c r="L927" s="2">
        <v>0</v>
      </c>
      <c r="M927">
        <v>12.15</v>
      </c>
      <c r="N927" t="s">
        <v>10236</v>
      </c>
    </row>
    <row r="928" spans="1:14">
      <c r="A928" t="s">
        <v>35</v>
      </c>
      <c r="B928" t="s">
        <v>1111</v>
      </c>
      <c r="C928">
        <f>"WPS342"</f>
        <v>0</v>
      </c>
      <c r="D928">
        <v>2</v>
      </c>
      <c r="E928">
        <v>0</v>
      </c>
      <c r="F928" s="2">
        <v>0</v>
      </c>
      <c r="G928">
        <v>0</v>
      </c>
      <c r="H928">
        <v>1</v>
      </c>
      <c r="I928">
        <v>0.2255411474433902</v>
      </c>
      <c r="J928">
        <v>0</v>
      </c>
      <c r="K928">
        <v>0</v>
      </c>
      <c r="L928" s="2">
        <v>0</v>
      </c>
      <c r="M928">
        <v>12.16</v>
      </c>
      <c r="N928" t="s">
        <v>10236</v>
      </c>
    </row>
    <row r="929" spans="1:14">
      <c r="A929" t="s">
        <v>203</v>
      </c>
      <c r="B929" t="s">
        <v>1112</v>
      </c>
      <c r="C929">
        <f>"757925"</f>
        <v>0</v>
      </c>
      <c r="D929">
        <v>2</v>
      </c>
      <c r="E929">
        <v>0</v>
      </c>
      <c r="F929" s="2">
        <v>0</v>
      </c>
      <c r="G929">
        <v>0</v>
      </c>
      <c r="H929">
        <v>2</v>
      </c>
      <c r="I929">
        <v>0.2255411474433902</v>
      </c>
      <c r="J929">
        <v>0</v>
      </c>
      <c r="K929">
        <v>0</v>
      </c>
      <c r="L929" s="2">
        <v>0</v>
      </c>
      <c r="M929">
        <v>12.17</v>
      </c>
      <c r="N929" t="s">
        <v>10236</v>
      </c>
    </row>
    <row r="930" spans="1:14">
      <c r="A930" t="s">
        <v>35</v>
      </c>
      <c r="B930" t="s">
        <v>1113</v>
      </c>
      <c r="C930">
        <f>"D046L"</f>
        <v>0</v>
      </c>
      <c r="D930">
        <v>2</v>
      </c>
      <c r="E930">
        <v>0</v>
      </c>
      <c r="F930" s="2">
        <v>0</v>
      </c>
      <c r="G930">
        <v>0</v>
      </c>
      <c r="H930">
        <v>1</v>
      </c>
      <c r="I930">
        <v>0.2255411474433902</v>
      </c>
      <c r="J930">
        <v>0</v>
      </c>
      <c r="K930">
        <v>0</v>
      </c>
      <c r="L930" s="2">
        <v>0</v>
      </c>
      <c r="M930">
        <v>12.18</v>
      </c>
      <c r="N930" t="s">
        <v>10236</v>
      </c>
    </row>
    <row r="931" spans="1:14">
      <c r="A931" t="s">
        <v>35</v>
      </c>
      <c r="B931" t="s">
        <v>1114</v>
      </c>
      <c r="C931">
        <f>"D053M"</f>
        <v>0</v>
      </c>
      <c r="D931">
        <v>2</v>
      </c>
      <c r="E931">
        <v>0</v>
      </c>
      <c r="F931" s="2">
        <v>0</v>
      </c>
      <c r="G931">
        <v>0</v>
      </c>
      <c r="H931">
        <v>2</v>
      </c>
      <c r="I931">
        <v>0.2255411474433902</v>
      </c>
      <c r="J931">
        <v>0</v>
      </c>
      <c r="K931">
        <v>0</v>
      </c>
      <c r="L931" s="2">
        <v>0</v>
      </c>
      <c r="M931">
        <v>12.19</v>
      </c>
      <c r="N931" t="s">
        <v>10236</v>
      </c>
    </row>
    <row r="932" spans="1:14">
      <c r="A932" t="s">
        <v>27</v>
      </c>
      <c r="B932" t="s">
        <v>1115</v>
      </c>
      <c r="C932">
        <f>"PR3026121"</f>
        <v>0</v>
      </c>
      <c r="D932">
        <v>2</v>
      </c>
      <c r="E932">
        <v>0</v>
      </c>
      <c r="F932" s="2">
        <v>0</v>
      </c>
      <c r="G932">
        <v>0</v>
      </c>
      <c r="H932">
        <v>2</v>
      </c>
      <c r="I932">
        <v>0.2255411474433902</v>
      </c>
      <c r="J932">
        <v>0</v>
      </c>
      <c r="K932">
        <v>0</v>
      </c>
      <c r="L932" s="2">
        <v>0</v>
      </c>
      <c r="M932">
        <v>12.21</v>
      </c>
      <c r="N932" t="s">
        <v>10236</v>
      </c>
    </row>
    <row r="933" spans="1:14">
      <c r="A933" t="s">
        <v>27</v>
      </c>
      <c r="B933" t="s">
        <v>1116</v>
      </c>
      <c r="C933">
        <f>"PR3026161"</f>
        <v>0</v>
      </c>
      <c r="D933">
        <v>2</v>
      </c>
      <c r="E933">
        <v>0</v>
      </c>
      <c r="F933" s="2">
        <v>0</v>
      </c>
      <c r="G933">
        <v>0</v>
      </c>
      <c r="H933">
        <v>1</v>
      </c>
      <c r="I933">
        <v>0.2255411474433902</v>
      </c>
      <c r="J933">
        <v>0</v>
      </c>
      <c r="K933">
        <v>0</v>
      </c>
      <c r="L933" s="2">
        <v>0</v>
      </c>
      <c r="M933">
        <v>12.22</v>
      </c>
      <c r="N933" t="s">
        <v>10236</v>
      </c>
    </row>
    <row r="934" spans="1:14">
      <c r="A934" t="s">
        <v>27</v>
      </c>
      <c r="B934" t="s">
        <v>1117</v>
      </c>
      <c r="C934">
        <f>"PR3026321"</f>
        <v>0</v>
      </c>
      <c r="D934">
        <v>2</v>
      </c>
      <c r="E934">
        <v>0</v>
      </c>
      <c r="F934" s="2">
        <v>0</v>
      </c>
      <c r="G934">
        <v>0</v>
      </c>
      <c r="H934">
        <v>1</v>
      </c>
      <c r="I934">
        <v>0.2255411474433902</v>
      </c>
      <c r="J934">
        <v>0</v>
      </c>
      <c r="K934">
        <v>0</v>
      </c>
      <c r="L934" s="2">
        <v>0</v>
      </c>
      <c r="M934">
        <v>12.23</v>
      </c>
      <c r="N934" t="s">
        <v>10236</v>
      </c>
    </row>
    <row r="935" spans="1:14">
      <c r="A935" t="s">
        <v>35</v>
      </c>
      <c r="B935" t="s">
        <v>1118</v>
      </c>
      <c r="C935">
        <f>"QZWJ018"</f>
        <v>0</v>
      </c>
      <c r="D935">
        <v>2</v>
      </c>
      <c r="E935">
        <v>0</v>
      </c>
      <c r="F935" s="2">
        <v>0</v>
      </c>
      <c r="G935">
        <v>0</v>
      </c>
      <c r="H935">
        <v>1</v>
      </c>
      <c r="I935">
        <v>0.2255411474433902</v>
      </c>
      <c r="J935">
        <v>0</v>
      </c>
      <c r="K935">
        <v>0</v>
      </c>
      <c r="L935" s="2">
        <v>0</v>
      </c>
      <c r="M935">
        <v>12.24</v>
      </c>
      <c r="N935" t="s">
        <v>10236</v>
      </c>
    </row>
    <row r="936" spans="1:14">
      <c r="A936" t="s">
        <v>35</v>
      </c>
      <c r="B936" t="s">
        <v>1119</v>
      </c>
      <c r="C936">
        <f>"HDD017C"</f>
        <v>0</v>
      </c>
      <c r="D936">
        <v>2</v>
      </c>
      <c r="E936">
        <v>0</v>
      </c>
      <c r="F936" s="2">
        <v>0</v>
      </c>
      <c r="G936">
        <v>0</v>
      </c>
      <c r="H936">
        <v>1</v>
      </c>
      <c r="I936">
        <v>0.2255411474433902</v>
      </c>
      <c r="J936">
        <v>0</v>
      </c>
      <c r="K936">
        <v>0</v>
      </c>
      <c r="L936" s="2">
        <v>0</v>
      </c>
      <c r="M936">
        <v>12.25</v>
      </c>
      <c r="N936" t="s">
        <v>10236</v>
      </c>
    </row>
    <row r="937" spans="1:14">
      <c r="A937" t="s">
        <v>196</v>
      </c>
      <c r="B937" t="s">
        <v>1120</v>
      </c>
      <c r="C937">
        <f>"2047"</f>
        <v>0</v>
      </c>
      <c r="D937">
        <v>2</v>
      </c>
      <c r="E937">
        <v>0</v>
      </c>
      <c r="F937" s="2">
        <v>0</v>
      </c>
      <c r="G937">
        <v>0</v>
      </c>
      <c r="H937">
        <v>2</v>
      </c>
      <c r="I937">
        <v>0.2255411474433902</v>
      </c>
      <c r="J937">
        <v>0</v>
      </c>
      <c r="K937">
        <v>0</v>
      </c>
      <c r="L937" s="2">
        <v>0</v>
      </c>
      <c r="M937">
        <v>12.27</v>
      </c>
      <c r="N937" t="s">
        <v>10236</v>
      </c>
    </row>
    <row r="938" spans="1:14">
      <c r="A938" t="s">
        <v>33</v>
      </c>
      <c r="B938" t="s">
        <v>1121</v>
      </c>
      <c r="C938">
        <f>"TOPK92174"</f>
        <v>0</v>
      </c>
      <c r="D938">
        <v>2</v>
      </c>
      <c r="E938">
        <v>0</v>
      </c>
      <c r="F938" s="2">
        <v>0</v>
      </c>
      <c r="G938">
        <v>0</v>
      </c>
      <c r="H938">
        <v>1</v>
      </c>
      <c r="I938">
        <v>0.2255411474433902</v>
      </c>
      <c r="J938">
        <v>0</v>
      </c>
      <c r="K938">
        <v>0</v>
      </c>
      <c r="L938" s="2">
        <v>0</v>
      </c>
      <c r="M938">
        <v>12.28</v>
      </c>
      <c r="N938" t="s">
        <v>10236</v>
      </c>
    </row>
    <row r="939" spans="1:14">
      <c r="A939" t="s">
        <v>35</v>
      </c>
      <c r="B939" t="s">
        <v>1122</v>
      </c>
      <c r="C939">
        <f>"VMT071"</f>
        <v>0</v>
      </c>
      <c r="D939">
        <v>2</v>
      </c>
      <c r="E939">
        <v>0</v>
      </c>
      <c r="F939" s="2">
        <v>0</v>
      </c>
      <c r="G939">
        <v>0</v>
      </c>
      <c r="H939">
        <v>1</v>
      </c>
      <c r="I939">
        <v>0.2255411474433902</v>
      </c>
      <c r="J939">
        <v>0</v>
      </c>
      <c r="K939">
        <v>0</v>
      </c>
      <c r="L939" s="2">
        <v>0</v>
      </c>
      <c r="M939">
        <v>12.29</v>
      </c>
      <c r="N939" t="s">
        <v>10236</v>
      </c>
    </row>
    <row r="940" spans="1:14">
      <c r="A940" t="s">
        <v>32</v>
      </c>
      <c r="B940" t="s">
        <v>1123</v>
      </c>
      <c r="C940">
        <f>"CHEMIULTR4"</f>
        <v>0</v>
      </c>
      <c r="D940">
        <v>2</v>
      </c>
      <c r="E940">
        <v>0</v>
      </c>
      <c r="F940" s="2">
        <v>0</v>
      </c>
      <c r="G940">
        <v>0</v>
      </c>
      <c r="H940">
        <v>1</v>
      </c>
      <c r="I940">
        <v>0.2255411474433902</v>
      </c>
      <c r="J940">
        <v>0</v>
      </c>
      <c r="K940">
        <v>0</v>
      </c>
      <c r="L940" s="2">
        <v>0</v>
      </c>
      <c r="M940">
        <v>12.3</v>
      </c>
      <c r="N940" t="s">
        <v>10236</v>
      </c>
    </row>
    <row r="941" spans="1:14">
      <c r="A941" t="s">
        <v>32</v>
      </c>
      <c r="B941" t="s">
        <v>1124</v>
      </c>
      <c r="C941">
        <f>"VETZTS0045"</f>
        <v>0</v>
      </c>
      <c r="D941">
        <v>2</v>
      </c>
      <c r="E941">
        <v>0</v>
      </c>
      <c r="F941" s="2">
        <v>0</v>
      </c>
      <c r="G941">
        <v>0</v>
      </c>
      <c r="H941">
        <v>2</v>
      </c>
      <c r="I941">
        <v>0.2255411474433902</v>
      </c>
      <c r="J941">
        <v>0</v>
      </c>
      <c r="K941">
        <v>0</v>
      </c>
      <c r="L941" s="2">
        <v>0</v>
      </c>
      <c r="M941">
        <v>12.31</v>
      </c>
      <c r="N941" t="s">
        <v>10236</v>
      </c>
    </row>
    <row r="942" spans="1:14">
      <c r="A942" t="s">
        <v>35</v>
      </c>
      <c r="B942" t="s">
        <v>1125</v>
      </c>
      <c r="C942">
        <f>"TF1063"</f>
        <v>0</v>
      </c>
      <c r="D942">
        <v>2</v>
      </c>
      <c r="E942">
        <v>0</v>
      </c>
      <c r="F942" s="2">
        <v>0</v>
      </c>
      <c r="G942">
        <v>0</v>
      </c>
      <c r="H942">
        <v>1</v>
      </c>
      <c r="I942">
        <v>0.2255411474433902</v>
      </c>
      <c r="J942">
        <v>0</v>
      </c>
      <c r="K942">
        <v>0</v>
      </c>
      <c r="L942" s="2">
        <v>0</v>
      </c>
      <c r="M942">
        <v>12.33</v>
      </c>
      <c r="N942" t="s">
        <v>10236</v>
      </c>
    </row>
    <row r="943" spans="1:14">
      <c r="A943" t="s">
        <v>35</v>
      </c>
      <c r="B943" t="s">
        <v>1126</v>
      </c>
      <c r="C943">
        <f>"00223"</f>
        <v>0</v>
      </c>
      <c r="D943">
        <v>2</v>
      </c>
      <c r="E943">
        <v>0</v>
      </c>
      <c r="F943" s="2">
        <v>0</v>
      </c>
      <c r="G943">
        <v>0</v>
      </c>
      <c r="H943">
        <v>1</v>
      </c>
      <c r="I943">
        <v>0.2255411474433902</v>
      </c>
      <c r="J943">
        <v>0</v>
      </c>
      <c r="K943">
        <v>0</v>
      </c>
      <c r="L943" s="2">
        <v>0</v>
      </c>
      <c r="M943">
        <v>12.34</v>
      </c>
      <c r="N943" t="s">
        <v>10236</v>
      </c>
    </row>
    <row r="944" spans="1:14">
      <c r="A944" t="s">
        <v>24</v>
      </c>
      <c r="B944" t="s">
        <v>1127</v>
      </c>
      <c r="C944">
        <f>"1120002"</f>
        <v>0</v>
      </c>
      <c r="D944">
        <v>2</v>
      </c>
      <c r="E944">
        <v>0</v>
      </c>
      <c r="F944" s="2">
        <v>0</v>
      </c>
      <c r="G944">
        <v>0</v>
      </c>
      <c r="H944">
        <v>2</v>
      </c>
      <c r="I944">
        <v>0.2255411474433902</v>
      </c>
      <c r="J944">
        <v>0</v>
      </c>
      <c r="K944">
        <v>0</v>
      </c>
      <c r="L944" s="2">
        <v>0</v>
      </c>
      <c r="M944">
        <v>12.35</v>
      </c>
      <c r="N944" t="s">
        <v>10236</v>
      </c>
    </row>
    <row r="945" spans="1:14">
      <c r="A945" t="s">
        <v>32</v>
      </c>
      <c r="B945" t="s">
        <v>1128</v>
      </c>
      <c r="C945">
        <f>"1020560"</f>
        <v>0</v>
      </c>
      <c r="D945">
        <v>2</v>
      </c>
      <c r="E945">
        <v>0</v>
      </c>
      <c r="F945" s="2">
        <v>0</v>
      </c>
      <c r="G945">
        <v>0</v>
      </c>
      <c r="H945">
        <v>1</v>
      </c>
      <c r="I945">
        <v>0.2255411474433902</v>
      </c>
      <c r="J945">
        <v>0</v>
      </c>
      <c r="K945">
        <v>0</v>
      </c>
      <c r="L945" s="2">
        <v>0</v>
      </c>
      <c r="M945">
        <v>12.36</v>
      </c>
      <c r="N945" t="s">
        <v>10236</v>
      </c>
    </row>
    <row r="946" spans="1:14">
      <c r="A946" t="s">
        <v>35</v>
      </c>
      <c r="B946" t="s">
        <v>1129</v>
      </c>
      <c r="C946">
        <f>"9001162V"</f>
        <v>0</v>
      </c>
      <c r="D946">
        <v>3</v>
      </c>
      <c r="E946">
        <v>4</v>
      </c>
      <c r="F946" s="2">
        <v>1</v>
      </c>
      <c r="G946">
        <v>5.33</v>
      </c>
      <c r="H946">
        <v>2</v>
      </c>
      <c r="I946">
        <v>0.2254187192117069</v>
      </c>
      <c r="J946">
        <v>1</v>
      </c>
      <c r="K946">
        <v>0</v>
      </c>
      <c r="L946" s="2">
        <v>0</v>
      </c>
      <c r="M946">
        <v>12.37</v>
      </c>
      <c r="N946" t="s">
        <v>10236</v>
      </c>
    </row>
    <row r="947" spans="1:14">
      <c r="A947" t="s">
        <v>41</v>
      </c>
      <c r="B947" t="s">
        <v>1130</v>
      </c>
      <c r="C947">
        <f>"CHEMPARA0"</f>
        <v>0</v>
      </c>
      <c r="D947">
        <v>1</v>
      </c>
      <c r="E947">
        <v>0</v>
      </c>
      <c r="F947" s="2">
        <v>0</v>
      </c>
      <c r="G947">
        <v>0</v>
      </c>
      <c r="H947">
        <v>1</v>
      </c>
      <c r="I947">
        <v>0.2254067045282936</v>
      </c>
      <c r="J947">
        <v>0</v>
      </c>
      <c r="K947">
        <v>0</v>
      </c>
      <c r="L947" s="2">
        <v>0</v>
      </c>
      <c r="M947">
        <v>12.39</v>
      </c>
      <c r="N947" t="s">
        <v>10236</v>
      </c>
    </row>
    <row r="948" spans="1:14">
      <c r="A948" t="s">
        <v>35</v>
      </c>
      <c r="B948" t="s">
        <v>1131</v>
      </c>
      <c r="C948">
        <f>"FEP60RC"</f>
        <v>0</v>
      </c>
      <c r="D948">
        <v>2</v>
      </c>
      <c r="E948">
        <v>0</v>
      </c>
      <c r="F948" s="2">
        <v>0</v>
      </c>
      <c r="G948">
        <v>0</v>
      </c>
      <c r="H948">
        <v>2</v>
      </c>
      <c r="I948">
        <v>0.2253130794920718</v>
      </c>
      <c r="J948">
        <v>0</v>
      </c>
      <c r="K948">
        <v>0</v>
      </c>
      <c r="L948" s="2">
        <v>0</v>
      </c>
      <c r="M948">
        <v>12.4</v>
      </c>
      <c r="N948" t="s">
        <v>10236</v>
      </c>
    </row>
    <row r="949" spans="1:14">
      <c r="A949" t="s">
        <v>30</v>
      </c>
      <c r="B949" t="s">
        <v>1132</v>
      </c>
      <c r="C949">
        <f>"101252"</f>
        <v>0</v>
      </c>
      <c r="D949">
        <v>1</v>
      </c>
      <c r="E949">
        <v>0</v>
      </c>
      <c r="F949" s="2">
        <v>0</v>
      </c>
      <c r="G949">
        <v>0</v>
      </c>
      <c r="H949">
        <v>1</v>
      </c>
      <c r="I949">
        <v>0.2253113951976649</v>
      </c>
      <c r="J949">
        <v>0</v>
      </c>
      <c r="K949">
        <v>0</v>
      </c>
      <c r="L949" s="2">
        <v>0</v>
      </c>
      <c r="M949">
        <v>12.41</v>
      </c>
      <c r="N949" t="s">
        <v>10236</v>
      </c>
    </row>
    <row r="950" spans="1:14">
      <c r="A950" t="s">
        <v>32</v>
      </c>
      <c r="B950" t="s">
        <v>1133</v>
      </c>
      <c r="C950">
        <f>"1020939"</f>
        <v>0</v>
      </c>
      <c r="D950">
        <v>1</v>
      </c>
      <c r="E950">
        <v>0</v>
      </c>
      <c r="F950" s="2">
        <v>0</v>
      </c>
      <c r="G950">
        <v>0</v>
      </c>
      <c r="H950">
        <v>1</v>
      </c>
      <c r="I950">
        <v>0.2251717146702816</v>
      </c>
      <c r="J950">
        <v>0</v>
      </c>
      <c r="K950">
        <v>0</v>
      </c>
      <c r="L950" s="2">
        <v>0</v>
      </c>
      <c r="M950">
        <v>12.42</v>
      </c>
      <c r="N950" t="s">
        <v>10236</v>
      </c>
    </row>
    <row r="951" spans="1:14">
      <c r="A951" t="s">
        <v>25</v>
      </c>
      <c r="B951" t="s">
        <v>1134</v>
      </c>
      <c r="C951">
        <f>"50272"</f>
        <v>0</v>
      </c>
      <c r="D951">
        <v>2</v>
      </c>
      <c r="E951">
        <v>0</v>
      </c>
      <c r="F951" s="2">
        <v>0</v>
      </c>
      <c r="G951">
        <v>0</v>
      </c>
      <c r="H951">
        <v>2</v>
      </c>
      <c r="I951">
        <v>0.2251693168145871</v>
      </c>
      <c r="J951">
        <v>0</v>
      </c>
      <c r="K951">
        <v>0</v>
      </c>
      <c r="L951" s="2">
        <v>0</v>
      </c>
      <c r="M951">
        <v>12.43</v>
      </c>
      <c r="N951" t="s">
        <v>10236</v>
      </c>
    </row>
    <row r="952" spans="1:14">
      <c r="A952" t="s">
        <v>25</v>
      </c>
      <c r="B952" t="s">
        <v>1135</v>
      </c>
      <c r="C952">
        <f>"00276"</f>
        <v>0</v>
      </c>
      <c r="D952">
        <v>1</v>
      </c>
      <c r="E952">
        <v>0</v>
      </c>
      <c r="F952" s="2">
        <v>0</v>
      </c>
      <c r="G952">
        <v>0</v>
      </c>
      <c r="H952">
        <v>1</v>
      </c>
      <c r="I952">
        <v>0.2251360402280909</v>
      </c>
      <c r="J952">
        <v>0</v>
      </c>
      <c r="K952">
        <v>0</v>
      </c>
      <c r="L952" s="2">
        <v>0</v>
      </c>
      <c r="M952">
        <v>12.45</v>
      </c>
      <c r="N952" t="s">
        <v>10236</v>
      </c>
    </row>
    <row r="953" spans="1:14">
      <c r="A953" t="s">
        <v>35</v>
      </c>
      <c r="B953" t="s">
        <v>1136</v>
      </c>
      <c r="C953">
        <f>"HH337XSAZ"</f>
        <v>0</v>
      </c>
      <c r="D953">
        <v>1</v>
      </c>
      <c r="E953">
        <v>0</v>
      </c>
      <c r="F953" s="2">
        <v>0</v>
      </c>
      <c r="G953">
        <v>0</v>
      </c>
      <c r="H953">
        <v>1</v>
      </c>
      <c r="I953">
        <v>0.2251303607149064</v>
      </c>
      <c r="J953">
        <v>0</v>
      </c>
      <c r="K953">
        <v>0</v>
      </c>
      <c r="L953" s="2">
        <v>0</v>
      </c>
      <c r="M953">
        <v>12.46</v>
      </c>
      <c r="N953" t="s">
        <v>10236</v>
      </c>
    </row>
    <row r="954" spans="1:14">
      <c r="A954" t="s">
        <v>35</v>
      </c>
      <c r="B954" t="s">
        <v>1137</v>
      </c>
      <c r="C954">
        <f>"LS246"</f>
        <v>0</v>
      </c>
      <c r="D954">
        <v>1</v>
      </c>
      <c r="E954">
        <v>0</v>
      </c>
      <c r="F954" s="2">
        <v>0</v>
      </c>
      <c r="G954">
        <v>0</v>
      </c>
      <c r="H954">
        <v>1</v>
      </c>
      <c r="I954">
        <v>0.2251049803903628</v>
      </c>
      <c r="J954">
        <v>0</v>
      </c>
      <c r="K954">
        <v>0</v>
      </c>
      <c r="L954" s="2">
        <v>0</v>
      </c>
      <c r="M954">
        <v>12.47</v>
      </c>
      <c r="N954" t="s">
        <v>10236</v>
      </c>
    </row>
    <row r="955" spans="1:14">
      <c r="A955" t="s">
        <v>24</v>
      </c>
      <c r="B955" t="s">
        <v>1138</v>
      </c>
      <c r="C955">
        <f>"DPI025"</f>
        <v>0</v>
      </c>
      <c r="D955">
        <v>9</v>
      </c>
      <c r="E955">
        <v>6</v>
      </c>
      <c r="F955" s="2">
        <v>7</v>
      </c>
      <c r="G955">
        <v>2.67</v>
      </c>
      <c r="H955">
        <v>4</v>
      </c>
      <c r="I955">
        <v>0.2250898290349437</v>
      </c>
      <c r="J955">
        <v>2</v>
      </c>
      <c r="K955">
        <v>0</v>
      </c>
      <c r="L955" s="2">
        <v>0</v>
      </c>
      <c r="M955">
        <v>12.48</v>
      </c>
      <c r="N955" t="s">
        <v>10235</v>
      </c>
    </row>
    <row r="956" spans="1:14">
      <c r="A956" t="s">
        <v>25</v>
      </c>
      <c r="B956" t="s">
        <v>1139</v>
      </c>
      <c r="C956">
        <f>"11AVE"</f>
        <v>0</v>
      </c>
      <c r="D956">
        <v>1</v>
      </c>
      <c r="E956">
        <v>0</v>
      </c>
      <c r="F956" s="2">
        <v>0</v>
      </c>
      <c r="G956">
        <v>0</v>
      </c>
      <c r="H956">
        <v>1</v>
      </c>
      <c r="I956">
        <v>0.2250664661915798</v>
      </c>
      <c r="J956">
        <v>0</v>
      </c>
      <c r="K956">
        <v>0</v>
      </c>
      <c r="L956" s="2">
        <v>0</v>
      </c>
      <c r="M956">
        <v>12.49</v>
      </c>
      <c r="N956" t="s">
        <v>10236</v>
      </c>
    </row>
    <row r="957" spans="1:14">
      <c r="A957" t="s">
        <v>35</v>
      </c>
      <c r="B957" t="s">
        <v>1140</v>
      </c>
      <c r="C957">
        <f>"HDD042SS"</f>
        <v>0</v>
      </c>
      <c r="D957">
        <v>1</v>
      </c>
      <c r="E957">
        <v>1</v>
      </c>
      <c r="F957" s="2">
        <v>801</v>
      </c>
      <c r="G957">
        <v>4</v>
      </c>
      <c r="H957">
        <v>1</v>
      </c>
      <c r="I957">
        <v>0.2250550565052461</v>
      </c>
      <c r="J957">
        <v>0</v>
      </c>
      <c r="K957">
        <v>0</v>
      </c>
      <c r="L957" s="2">
        <v>0</v>
      </c>
      <c r="M957">
        <v>12.5</v>
      </c>
      <c r="N957" t="s">
        <v>10236</v>
      </c>
    </row>
    <row r="958" spans="1:14">
      <c r="A958" t="s">
        <v>208</v>
      </c>
      <c r="B958" t="s">
        <v>1141</v>
      </c>
      <c r="C958">
        <f>"1021642"</f>
        <v>0</v>
      </c>
      <c r="D958">
        <v>60</v>
      </c>
      <c r="E958">
        <v>24</v>
      </c>
      <c r="F958" s="2">
        <v>20</v>
      </c>
      <c r="G958">
        <v>1.6</v>
      </c>
      <c r="H958">
        <v>4</v>
      </c>
      <c r="I958">
        <v>0.22504758403347</v>
      </c>
      <c r="J958">
        <v>15</v>
      </c>
      <c r="K958">
        <v>0</v>
      </c>
      <c r="L958" s="2">
        <v>0</v>
      </c>
      <c r="M958">
        <v>12.52</v>
      </c>
      <c r="N958" t="s">
        <v>10235</v>
      </c>
    </row>
    <row r="959" spans="1:14">
      <c r="A959" t="s">
        <v>35</v>
      </c>
      <c r="B959" t="s">
        <v>1142</v>
      </c>
      <c r="C959">
        <f>"LL313LVM"</f>
        <v>0</v>
      </c>
      <c r="D959">
        <v>1</v>
      </c>
      <c r="E959">
        <v>0</v>
      </c>
      <c r="F959" s="2">
        <v>0</v>
      </c>
      <c r="G959">
        <v>0</v>
      </c>
      <c r="H959">
        <v>1</v>
      </c>
      <c r="I959">
        <v>0.2250181903295109</v>
      </c>
      <c r="J959">
        <v>0</v>
      </c>
      <c r="K959">
        <v>0</v>
      </c>
      <c r="L959" s="2">
        <v>0</v>
      </c>
      <c r="M959">
        <v>12.53</v>
      </c>
      <c r="N959" t="s">
        <v>10236</v>
      </c>
    </row>
    <row r="960" spans="1:14">
      <c r="A960" t="s">
        <v>30</v>
      </c>
      <c r="B960" t="s">
        <v>1143</v>
      </c>
      <c r="C960">
        <f>"100132"</f>
        <v>0</v>
      </c>
      <c r="D960">
        <v>36</v>
      </c>
      <c r="E960">
        <v>5</v>
      </c>
      <c r="F960" s="2">
        <v>47</v>
      </c>
      <c r="G960">
        <v>0.5600000000000001</v>
      </c>
      <c r="H960">
        <v>4</v>
      </c>
      <c r="I960">
        <v>0.2250153872245101</v>
      </c>
      <c r="J960">
        <v>9</v>
      </c>
      <c r="K960">
        <v>4</v>
      </c>
      <c r="L960" s="2">
        <v>188</v>
      </c>
      <c r="M960">
        <v>12.54</v>
      </c>
      <c r="N960" t="s">
        <v>10235</v>
      </c>
    </row>
    <row r="961" spans="1:14">
      <c r="A961" t="s">
        <v>32</v>
      </c>
      <c r="B961" t="s">
        <v>1144</v>
      </c>
      <c r="C961">
        <f>"5009488"</f>
        <v>0</v>
      </c>
      <c r="D961">
        <v>1</v>
      </c>
      <c r="E961">
        <v>0</v>
      </c>
      <c r="F961" s="2">
        <v>0</v>
      </c>
      <c r="G961">
        <v>0</v>
      </c>
      <c r="H961">
        <v>1</v>
      </c>
      <c r="I961">
        <v>0.2250052339400585</v>
      </c>
      <c r="J961">
        <v>0</v>
      </c>
      <c r="K961">
        <v>0</v>
      </c>
      <c r="L961" s="2">
        <v>0</v>
      </c>
      <c r="M961">
        <v>12.55</v>
      </c>
      <c r="N961" t="s">
        <v>10236</v>
      </c>
    </row>
    <row r="962" spans="1:14">
      <c r="A962" t="s">
        <v>24</v>
      </c>
      <c r="B962" t="s">
        <v>1145</v>
      </c>
      <c r="C962">
        <f>"1138001"</f>
        <v>0</v>
      </c>
      <c r="D962">
        <v>57</v>
      </c>
      <c r="E962">
        <v>26</v>
      </c>
      <c r="F962" s="2">
        <v>8</v>
      </c>
      <c r="G962">
        <v>1.82</v>
      </c>
      <c r="H962">
        <v>4</v>
      </c>
      <c r="I962">
        <v>0.2249333780062331</v>
      </c>
      <c r="J962">
        <v>14</v>
      </c>
      <c r="K962">
        <v>0</v>
      </c>
      <c r="L962" s="2">
        <v>0</v>
      </c>
      <c r="M962">
        <v>12.56</v>
      </c>
      <c r="N962" t="s">
        <v>10235</v>
      </c>
    </row>
    <row r="963" spans="1:14">
      <c r="A963" t="s">
        <v>194</v>
      </c>
      <c r="B963" t="s">
        <v>1146</v>
      </c>
      <c r="C963">
        <f>"4034004"</f>
        <v>0</v>
      </c>
      <c r="D963">
        <v>2</v>
      </c>
      <c r="E963">
        <v>0</v>
      </c>
      <c r="F963" s="2">
        <v>0</v>
      </c>
      <c r="G963">
        <v>0</v>
      </c>
      <c r="H963">
        <v>2</v>
      </c>
      <c r="I963">
        <v>0.2248830338531268</v>
      </c>
      <c r="J963">
        <v>0</v>
      </c>
      <c r="K963">
        <v>0</v>
      </c>
      <c r="L963" s="2">
        <v>0</v>
      </c>
      <c r="M963">
        <v>12.58</v>
      </c>
      <c r="N963" t="s">
        <v>10236</v>
      </c>
    </row>
    <row r="964" spans="1:14">
      <c r="A964" t="s">
        <v>35</v>
      </c>
      <c r="B964" t="s">
        <v>1147</v>
      </c>
      <c r="C964">
        <f>"KW6030SMR"</f>
        <v>0</v>
      </c>
      <c r="D964">
        <v>1</v>
      </c>
      <c r="E964">
        <v>0</v>
      </c>
      <c r="F964" s="2">
        <v>0</v>
      </c>
      <c r="G964">
        <v>0</v>
      </c>
      <c r="H964">
        <v>1</v>
      </c>
      <c r="I964">
        <v>0.2248268617291053</v>
      </c>
      <c r="J964">
        <v>0</v>
      </c>
      <c r="K964">
        <v>0</v>
      </c>
      <c r="L964" s="2">
        <v>0</v>
      </c>
      <c r="M964">
        <v>12.59</v>
      </c>
      <c r="N964" t="s">
        <v>10236</v>
      </c>
    </row>
    <row r="965" spans="1:14">
      <c r="A965" t="s">
        <v>211</v>
      </c>
      <c r="B965" t="s">
        <v>1148</v>
      </c>
      <c r="C965">
        <f>"PCSCPS3001"</f>
        <v>0</v>
      </c>
      <c r="D965">
        <v>1</v>
      </c>
      <c r="E965">
        <v>0</v>
      </c>
      <c r="F965" s="2">
        <v>0</v>
      </c>
      <c r="G965">
        <v>0</v>
      </c>
      <c r="H965">
        <v>1</v>
      </c>
      <c r="I965">
        <v>0.2248268617291053</v>
      </c>
      <c r="J965">
        <v>0</v>
      </c>
      <c r="K965">
        <v>0</v>
      </c>
      <c r="L965" s="2">
        <v>0</v>
      </c>
      <c r="M965">
        <v>12.6</v>
      </c>
      <c r="N965" t="s">
        <v>10236</v>
      </c>
    </row>
    <row r="966" spans="1:14">
      <c r="A966" t="s">
        <v>193</v>
      </c>
      <c r="B966" t="s">
        <v>1149</v>
      </c>
      <c r="C966">
        <f>"770949"</f>
        <v>0</v>
      </c>
      <c r="D966">
        <v>1</v>
      </c>
      <c r="E966">
        <v>0</v>
      </c>
      <c r="F966" s="2">
        <v>0</v>
      </c>
      <c r="G966">
        <v>0</v>
      </c>
      <c r="H966">
        <v>1</v>
      </c>
      <c r="I966">
        <v>0.2248268617291053</v>
      </c>
      <c r="J966">
        <v>0</v>
      </c>
      <c r="K966">
        <v>0</v>
      </c>
      <c r="L966" s="2">
        <v>0</v>
      </c>
      <c r="M966">
        <v>12.61</v>
      </c>
      <c r="N966" t="s">
        <v>10236</v>
      </c>
    </row>
    <row r="967" spans="1:14">
      <c r="A967" t="s">
        <v>30</v>
      </c>
      <c r="B967" t="s">
        <v>1150</v>
      </c>
      <c r="C967">
        <f>"100408"</f>
        <v>0</v>
      </c>
      <c r="D967">
        <v>1</v>
      </c>
      <c r="E967">
        <v>0</v>
      </c>
      <c r="F967" s="2">
        <v>0</v>
      </c>
      <c r="G967">
        <v>0</v>
      </c>
      <c r="H967">
        <v>1</v>
      </c>
      <c r="I967">
        <v>0.2248268617291053</v>
      </c>
      <c r="J967">
        <v>0</v>
      </c>
      <c r="K967">
        <v>0</v>
      </c>
      <c r="L967" s="2">
        <v>0</v>
      </c>
      <c r="M967">
        <v>12.62</v>
      </c>
      <c r="N967" t="s">
        <v>10236</v>
      </c>
    </row>
    <row r="968" spans="1:14">
      <c r="A968" t="s">
        <v>30</v>
      </c>
      <c r="B968" t="s">
        <v>1151</v>
      </c>
      <c r="C968">
        <f>"101240"</f>
        <v>0</v>
      </c>
      <c r="D968">
        <v>1</v>
      </c>
      <c r="E968">
        <v>0</v>
      </c>
      <c r="F968" s="2">
        <v>0</v>
      </c>
      <c r="G968">
        <v>0</v>
      </c>
      <c r="H968">
        <v>1</v>
      </c>
      <c r="I968">
        <v>0.2248268617291053</v>
      </c>
      <c r="J968">
        <v>0</v>
      </c>
      <c r="K968">
        <v>0</v>
      </c>
      <c r="L968" s="2">
        <v>0</v>
      </c>
      <c r="M968">
        <v>12.64</v>
      </c>
      <c r="N968" t="s">
        <v>10236</v>
      </c>
    </row>
    <row r="969" spans="1:14">
      <c r="A969" t="s">
        <v>220</v>
      </c>
      <c r="B969" t="s">
        <v>1152</v>
      </c>
      <c r="C969">
        <f>"966466"</f>
        <v>0</v>
      </c>
      <c r="D969">
        <v>1</v>
      </c>
      <c r="E969">
        <v>0</v>
      </c>
      <c r="F969" s="2">
        <v>0</v>
      </c>
      <c r="G969">
        <v>0</v>
      </c>
      <c r="H969">
        <v>1</v>
      </c>
      <c r="I969">
        <v>0.2248268617291053</v>
      </c>
      <c r="J969">
        <v>0</v>
      </c>
      <c r="K969">
        <v>0</v>
      </c>
      <c r="L969" s="2">
        <v>0</v>
      </c>
      <c r="M969">
        <v>12.65</v>
      </c>
      <c r="N969" t="s">
        <v>10236</v>
      </c>
    </row>
    <row r="970" spans="1:14">
      <c r="A970" t="s">
        <v>30</v>
      </c>
      <c r="B970" t="s">
        <v>1153</v>
      </c>
      <c r="C970">
        <f>"100403"</f>
        <v>0</v>
      </c>
      <c r="D970">
        <v>1</v>
      </c>
      <c r="E970">
        <v>0</v>
      </c>
      <c r="F970" s="2">
        <v>0</v>
      </c>
      <c r="G970">
        <v>0</v>
      </c>
      <c r="H970">
        <v>1</v>
      </c>
      <c r="I970">
        <v>0.2248268617291053</v>
      </c>
      <c r="J970">
        <v>0</v>
      </c>
      <c r="K970">
        <v>0</v>
      </c>
      <c r="L970" s="2">
        <v>0</v>
      </c>
      <c r="M970">
        <v>12.66</v>
      </c>
      <c r="N970" t="s">
        <v>10236</v>
      </c>
    </row>
    <row r="971" spans="1:14">
      <c r="A971" t="s">
        <v>25</v>
      </c>
      <c r="B971" t="s">
        <v>1154</v>
      </c>
      <c r="C971">
        <f>"AYCS085"</f>
        <v>0</v>
      </c>
      <c r="D971">
        <v>1</v>
      </c>
      <c r="E971">
        <v>0</v>
      </c>
      <c r="F971" s="2">
        <v>0</v>
      </c>
      <c r="G971">
        <v>0</v>
      </c>
      <c r="H971">
        <v>1</v>
      </c>
      <c r="I971">
        <v>0.2248268617291053</v>
      </c>
      <c r="J971">
        <v>0</v>
      </c>
      <c r="K971">
        <v>0</v>
      </c>
      <c r="L971" s="2">
        <v>0</v>
      </c>
      <c r="M971">
        <v>12.67</v>
      </c>
      <c r="N971" t="s">
        <v>10236</v>
      </c>
    </row>
    <row r="972" spans="1:14">
      <c r="A972" t="s">
        <v>35</v>
      </c>
      <c r="B972" t="s">
        <v>1155</v>
      </c>
      <c r="C972">
        <f>"FB870XSBE"</f>
        <v>0</v>
      </c>
      <c r="D972">
        <v>1</v>
      </c>
      <c r="E972">
        <v>0</v>
      </c>
      <c r="F972" s="2">
        <v>0</v>
      </c>
      <c r="G972">
        <v>0</v>
      </c>
      <c r="H972">
        <v>1</v>
      </c>
      <c r="I972">
        <v>0.2248268617291053</v>
      </c>
      <c r="J972">
        <v>0</v>
      </c>
      <c r="K972">
        <v>0</v>
      </c>
      <c r="L972" s="2">
        <v>0</v>
      </c>
      <c r="M972">
        <v>12.68</v>
      </c>
      <c r="N972" t="s">
        <v>10236</v>
      </c>
    </row>
    <row r="973" spans="1:14">
      <c r="A973" t="s">
        <v>203</v>
      </c>
      <c r="B973" t="s">
        <v>1156</v>
      </c>
      <c r="C973">
        <f>"753015"</f>
        <v>0</v>
      </c>
      <c r="D973">
        <v>1</v>
      </c>
      <c r="E973">
        <v>0</v>
      </c>
      <c r="F973" s="2">
        <v>0</v>
      </c>
      <c r="G973">
        <v>0</v>
      </c>
      <c r="H973">
        <v>1</v>
      </c>
      <c r="I973">
        <v>0.2248268617291053</v>
      </c>
      <c r="J973">
        <v>0</v>
      </c>
      <c r="K973">
        <v>0</v>
      </c>
      <c r="L973" s="2">
        <v>0</v>
      </c>
      <c r="M973">
        <v>12.7</v>
      </c>
      <c r="N973" t="s">
        <v>10236</v>
      </c>
    </row>
    <row r="974" spans="1:14">
      <c r="A974" t="s">
        <v>30</v>
      </c>
      <c r="B974" t="s">
        <v>1157</v>
      </c>
      <c r="C974">
        <f>"101318"</f>
        <v>0</v>
      </c>
      <c r="D974">
        <v>1</v>
      </c>
      <c r="E974">
        <v>0</v>
      </c>
      <c r="F974" s="2">
        <v>0</v>
      </c>
      <c r="G974">
        <v>0</v>
      </c>
      <c r="H974">
        <v>1</v>
      </c>
      <c r="I974">
        <v>0.2248268617291053</v>
      </c>
      <c r="J974">
        <v>0</v>
      </c>
      <c r="K974">
        <v>0</v>
      </c>
      <c r="L974" s="2">
        <v>0</v>
      </c>
      <c r="M974">
        <v>12.71</v>
      </c>
      <c r="N974" t="s">
        <v>10236</v>
      </c>
    </row>
    <row r="975" spans="1:14">
      <c r="A975" t="s">
        <v>194</v>
      </c>
      <c r="B975" t="s">
        <v>1158</v>
      </c>
      <c r="C975">
        <f>"1400010"</f>
        <v>0</v>
      </c>
      <c r="D975">
        <v>1</v>
      </c>
      <c r="E975">
        <v>0</v>
      </c>
      <c r="F975" s="2">
        <v>0</v>
      </c>
      <c r="G975">
        <v>0</v>
      </c>
      <c r="H975">
        <v>1</v>
      </c>
      <c r="I975">
        <v>0.2248268617291053</v>
      </c>
      <c r="J975">
        <v>0</v>
      </c>
      <c r="K975">
        <v>0</v>
      </c>
      <c r="L975" s="2">
        <v>0</v>
      </c>
      <c r="M975">
        <v>12.72</v>
      </c>
      <c r="N975" t="s">
        <v>10236</v>
      </c>
    </row>
    <row r="976" spans="1:14">
      <c r="A976" t="s">
        <v>30</v>
      </c>
      <c r="B976" t="s">
        <v>1159</v>
      </c>
      <c r="C976">
        <f>"100584"</f>
        <v>0</v>
      </c>
      <c r="D976">
        <v>1</v>
      </c>
      <c r="E976">
        <v>0</v>
      </c>
      <c r="F976" s="2">
        <v>0</v>
      </c>
      <c r="G976">
        <v>0</v>
      </c>
      <c r="H976">
        <v>1</v>
      </c>
      <c r="I976">
        <v>0.2248268617291053</v>
      </c>
      <c r="J976">
        <v>0</v>
      </c>
      <c r="K976">
        <v>0</v>
      </c>
      <c r="L976" s="2">
        <v>0</v>
      </c>
      <c r="M976">
        <v>12.73</v>
      </c>
      <c r="N976" t="s">
        <v>10236</v>
      </c>
    </row>
    <row r="977" spans="1:14">
      <c r="A977" t="s">
        <v>35</v>
      </c>
      <c r="B977" t="s">
        <v>1160</v>
      </c>
      <c r="C977">
        <f>"KW6005SN"</f>
        <v>0</v>
      </c>
      <c r="D977">
        <v>1</v>
      </c>
      <c r="E977">
        <v>0</v>
      </c>
      <c r="F977" s="2">
        <v>0</v>
      </c>
      <c r="G977">
        <v>0</v>
      </c>
      <c r="H977">
        <v>1</v>
      </c>
      <c r="I977">
        <v>0.2248268617291053</v>
      </c>
      <c r="J977">
        <v>0</v>
      </c>
      <c r="K977">
        <v>0</v>
      </c>
      <c r="L977" s="2">
        <v>0</v>
      </c>
      <c r="M977">
        <v>12.74</v>
      </c>
      <c r="N977" t="s">
        <v>10236</v>
      </c>
    </row>
    <row r="978" spans="1:14">
      <c r="A978" t="s">
        <v>35</v>
      </c>
      <c r="B978" t="s">
        <v>1161</v>
      </c>
      <c r="C978">
        <f>"KW6030MNG"</f>
        <v>0</v>
      </c>
      <c r="D978">
        <v>1</v>
      </c>
      <c r="E978">
        <v>0</v>
      </c>
      <c r="F978" s="2">
        <v>0</v>
      </c>
      <c r="G978">
        <v>0</v>
      </c>
      <c r="H978">
        <v>1</v>
      </c>
      <c r="I978">
        <v>0.2248268617291053</v>
      </c>
      <c r="J978">
        <v>0</v>
      </c>
      <c r="K978">
        <v>0</v>
      </c>
      <c r="L978" s="2">
        <v>0</v>
      </c>
      <c r="M978">
        <v>12.75</v>
      </c>
      <c r="N978" t="s">
        <v>10236</v>
      </c>
    </row>
    <row r="979" spans="1:14">
      <c r="A979" t="s">
        <v>35</v>
      </c>
      <c r="B979" t="s">
        <v>1162</v>
      </c>
      <c r="C979">
        <f>"8377L"</f>
        <v>0</v>
      </c>
      <c r="D979">
        <v>1</v>
      </c>
      <c r="E979">
        <v>0</v>
      </c>
      <c r="F979" s="2">
        <v>0</v>
      </c>
      <c r="G979">
        <v>0</v>
      </c>
      <c r="H979">
        <v>1</v>
      </c>
      <c r="I979">
        <v>0.2248268617291053</v>
      </c>
      <c r="J979">
        <v>0</v>
      </c>
      <c r="K979">
        <v>0</v>
      </c>
      <c r="L979" s="2">
        <v>0</v>
      </c>
      <c r="M979">
        <v>12.77</v>
      </c>
      <c r="N979" t="s">
        <v>10236</v>
      </c>
    </row>
    <row r="980" spans="1:14">
      <c r="A980" t="s">
        <v>192</v>
      </c>
      <c r="B980" t="s">
        <v>1163</v>
      </c>
      <c r="C980">
        <f>"1893N"</f>
        <v>0</v>
      </c>
      <c r="D980">
        <v>1</v>
      </c>
      <c r="E980">
        <v>0</v>
      </c>
      <c r="F980" s="2">
        <v>0</v>
      </c>
      <c r="G980">
        <v>0</v>
      </c>
      <c r="H980">
        <v>1</v>
      </c>
      <c r="I980">
        <v>0.2248268617291053</v>
      </c>
      <c r="J980">
        <v>0</v>
      </c>
      <c r="K980">
        <v>0</v>
      </c>
      <c r="L980" s="2">
        <v>0</v>
      </c>
      <c r="M980">
        <v>12.78</v>
      </c>
      <c r="N980" t="s">
        <v>10236</v>
      </c>
    </row>
    <row r="981" spans="1:14">
      <c r="A981" t="s">
        <v>209</v>
      </c>
      <c r="B981" t="s">
        <v>1164</v>
      </c>
      <c r="C981">
        <f>"C2241"</f>
        <v>0</v>
      </c>
      <c r="D981">
        <v>1</v>
      </c>
      <c r="E981">
        <v>0</v>
      </c>
      <c r="F981" s="2">
        <v>0</v>
      </c>
      <c r="G981">
        <v>0</v>
      </c>
      <c r="H981">
        <v>1</v>
      </c>
      <c r="I981">
        <v>0.2248268617291053</v>
      </c>
      <c r="J981">
        <v>0</v>
      </c>
      <c r="K981">
        <v>0</v>
      </c>
      <c r="L981" s="2">
        <v>0</v>
      </c>
      <c r="M981">
        <v>12.79</v>
      </c>
      <c r="N981" t="s">
        <v>10236</v>
      </c>
    </row>
    <row r="982" spans="1:14">
      <c r="A982" t="s">
        <v>25</v>
      </c>
      <c r="B982" t="s">
        <v>1165</v>
      </c>
      <c r="C982">
        <f>"HD9091"</f>
        <v>0</v>
      </c>
      <c r="D982">
        <v>1</v>
      </c>
      <c r="E982">
        <v>0</v>
      </c>
      <c r="F982" s="2">
        <v>0</v>
      </c>
      <c r="G982">
        <v>0</v>
      </c>
      <c r="H982">
        <v>1</v>
      </c>
      <c r="I982">
        <v>0.2248268617291053</v>
      </c>
      <c r="J982">
        <v>0</v>
      </c>
      <c r="K982">
        <v>0</v>
      </c>
      <c r="L982" s="2">
        <v>0</v>
      </c>
      <c r="M982">
        <v>12.8</v>
      </c>
      <c r="N982" t="s">
        <v>10236</v>
      </c>
    </row>
    <row r="983" spans="1:14">
      <c r="A983" t="s">
        <v>35</v>
      </c>
      <c r="B983" t="s">
        <v>1166</v>
      </c>
      <c r="C983">
        <f>"167C"</f>
        <v>0</v>
      </c>
      <c r="D983">
        <v>1</v>
      </c>
      <c r="E983">
        <v>0</v>
      </c>
      <c r="F983" s="2">
        <v>0</v>
      </c>
      <c r="G983">
        <v>0</v>
      </c>
      <c r="H983">
        <v>1</v>
      </c>
      <c r="I983">
        <v>0.2248268617291053</v>
      </c>
      <c r="J983">
        <v>0</v>
      </c>
      <c r="K983">
        <v>0</v>
      </c>
      <c r="L983" s="2">
        <v>0</v>
      </c>
      <c r="M983">
        <v>12.81</v>
      </c>
      <c r="N983" t="s">
        <v>10236</v>
      </c>
    </row>
    <row r="984" spans="1:14">
      <c r="A984" t="s">
        <v>35</v>
      </c>
      <c r="B984" t="s">
        <v>1167</v>
      </c>
      <c r="C984">
        <f>"TQ01031V"</f>
        <v>0</v>
      </c>
      <c r="D984">
        <v>1</v>
      </c>
      <c r="E984">
        <v>0</v>
      </c>
      <c r="F984" s="2">
        <v>0</v>
      </c>
      <c r="G984">
        <v>0</v>
      </c>
      <c r="H984">
        <v>1</v>
      </c>
      <c r="I984">
        <v>0.2248268617291053</v>
      </c>
      <c r="J984">
        <v>0</v>
      </c>
      <c r="K984">
        <v>0</v>
      </c>
      <c r="L984" s="2">
        <v>0</v>
      </c>
      <c r="M984">
        <v>12.83</v>
      </c>
      <c r="N984" t="s">
        <v>10236</v>
      </c>
    </row>
    <row r="985" spans="1:14">
      <c r="A985" t="s">
        <v>193</v>
      </c>
      <c r="B985" t="s">
        <v>1168</v>
      </c>
      <c r="C985">
        <f>"004243LAV"</f>
        <v>0</v>
      </c>
      <c r="D985">
        <v>1</v>
      </c>
      <c r="E985">
        <v>0</v>
      </c>
      <c r="F985" s="2">
        <v>0</v>
      </c>
      <c r="G985">
        <v>0</v>
      </c>
      <c r="H985">
        <v>1</v>
      </c>
      <c r="I985">
        <v>0.2248268617291053</v>
      </c>
      <c r="J985">
        <v>0</v>
      </c>
      <c r="K985">
        <v>0</v>
      </c>
      <c r="L985" s="2">
        <v>0</v>
      </c>
      <c r="M985">
        <v>12.84</v>
      </c>
      <c r="N985" t="s">
        <v>10236</v>
      </c>
    </row>
    <row r="986" spans="1:14">
      <c r="A986" t="s">
        <v>209</v>
      </c>
      <c r="B986" t="s">
        <v>1169</v>
      </c>
      <c r="C986">
        <f>"C2227"</f>
        <v>0</v>
      </c>
      <c r="D986">
        <v>1</v>
      </c>
      <c r="E986">
        <v>0</v>
      </c>
      <c r="F986" s="2">
        <v>0</v>
      </c>
      <c r="G986">
        <v>0</v>
      </c>
      <c r="H986">
        <v>1</v>
      </c>
      <c r="I986">
        <v>0.2248268617291053</v>
      </c>
      <c r="J986">
        <v>0</v>
      </c>
      <c r="K986">
        <v>0</v>
      </c>
      <c r="L986" s="2">
        <v>0</v>
      </c>
      <c r="M986">
        <v>12.85</v>
      </c>
      <c r="N986" t="s">
        <v>10236</v>
      </c>
    </row>
    <row r="987" spans="1:14">
      <c r="A987" t="s">
        <v>35</v>
      </c>
      <c r="B987" t="s">
        <v>1170</v>
      </c>
      <c r="C987">
        <f>"JD1S"</f>
        <v>0</v>
      </c>
      <c r="D987">
        <v>1</v>
      </c>
      <c r="E987">
        <v>0</v>
      </c>
      <c r="F987" s="2">
        <v>0</v>
      </c>
      <c r="G987">
        <v>0</v>
      </c>
      <c r="H987">
        <v>1</v>
      </c>
      <c r="I987">
        <v>0.2248268617291053</v>
      </c>
      <c r="J987">
        <v>0</v>
      </c>
      <c r="K987">
        <v>0</v>
      </c>
      <c r="L987" s="2">
        <v>0</v>
      </c>
      <c r="M987">
        <v>12.86</v>
      </c>
      <c r="N987" t="s">
        <v>10236</v>
      </c>
    </row>
    <row r="988" spans="1:14">
      <c r="A988" t="s">
        <v>35</v>
      </c>
      <c r="B988" t="s">
        <v>1171</v>
      </c>
      <c r="C988">
        <f>"LS144AM"</f>
        <v>0</v>
      </c>
      <c r="D988">
        <v>1</v>
      </c>
      <c r="E988">
        <v>0</v>
      </c>
      <c r="F988" s="2">
        <v>0</v>
      </c>
      <c r="G988">
        <v>0</v>
      </c>
      <c r="H988">
        <v>1</v>
      </c>
      <c r="I988">
        <v>0.2248268617291053</v>
      </c>
      <c r="J988">
        <v>0</v>
      </c>
      <c r="K988">
        <v>0</v>
      </c>
      <c r="L988" s="2">
        <v>0</v>
      </c>
      <c r="M988">
        <v>12.87</v>
      </c>
      <c r="N988" t="s">
        <v>10236</v>
      </c>
    </row>
    <row r="989" spans="1:14">
      <c r="A989" t="s">
        <v>194</v>
      </c>
      <c r="B989" t="s">
        <v>1172</v>
      </c>
      <c r="C989">
        <f>"4045010"</f>
        <v>0</v>
      </c>
      <c r="D989">
        <v>1</v>
      </c>
      <c r="E989">
        <v>0</v>
      </c>
      <c r="F989" s="2">
        <v>0</v>
      </c>
      <c r="G989">
        <v>0</v>
      </c>
      <c r="H989">
        <v>1</v>
      </c>
      <c r="I989">
        <v>0.2248268617291053</v>
      </c>
      <c r="J989">
        <v>0</v>
      </c>
      <c r="K989">
        <v>0</v>
      </c>
      <c r="L989" s="2">
        <v>0</v>
      </c>
      <c r="M989">
        <v>12.89</v>
      </c>
      <c r="N989" t="s">
        <v>10236</v>
      </c>
    </row>
    <row r="990" spans="1:14">
      <c r="A990" t="s">
        <v>35</v>
      </c>
      <c r="B990" t="s">
        <v>1173</v>
      </c>
      <c r="C990">
        <f>"KW6030MMR"</f>
        <v>0</v>
      </c>
      <c r="D990">
        <v>1</v>
      </c>
      <c r="E990">
        <v>0</v>
      </c>
      <c r="F990" s="2">
        <v>0</v>
      </c>
      <c r="G990">
        <v>0</v>
      </c>
      <c r="H990">
        <v>1</v>
      </c>
      <c r="I990">
        <v>0.2248268617291053</v>
      </c>
      <c r="J990">
        <v>0</v>
      </c>
      <c r="K990">
        <v>0</v>
      </c>
      <c r="L990" s="2">
        <v>0</v>
      </c>
      <c r="M990">
        <v>12.9</v>
      </c>
      <c r="N990" t="s">
        <v>10236</v>
      </c>
    </row>
    <row r="991" spans="1:14">
      <c r="A991" t="s">
        <v>194</v>
      </c>
      <c r="B991" t="s">
        <v>1174</v>
      </c>
      <c r="C991">
        <f>"600015"</f>
        <v>0</v>
      </c>
      <c r="D991">
        <v>1</v>
      </c>
      <c r="E991">
        <v>0</v>
      </c>
      <c r="F991" s="2">
        <v>0</v>
      </c>
      <c r="G991">
        <v>0</v>
      </c>
      <c r="H991">
        <v>1</v>
      </c>
      <c r="I991">
        <v>0.2248268617291053</v>
      </c>
      <c r="J991">
        <v>0</v>
      </c>
      <c r="K991">
        <v>0</v>
      </c>
      <c r="L991" s="2">
        <v>0</v>
      </c>
      <c r="M991">
        <v>12.91</v>
      </c>
      <c r="N991" t="s">
        <v>10236</v>
      </c>
    </row>
    <row r="992" spans="1:14">
      <c r="A992" t="s">
        <v>32</v>
      </c>
      <c r="B992" t="s">
        <v>1175</v>
      </c>
      <c r="C992">
        <f>"z011020560"</f>
        <v>0</v>
      </c>
      <c r="D992">
        <v>1</v>
      </c>
      <c r="E992">
        <v>0</v>
      </c>
      <c r="F992" s="2">
        <v>0</v>
      </c>
      <c r="G992">
        <v>0</v>
      </c>
      <c r="H992">
        <v>1</v>
      </c>
      <c r="I992">
        <v>0.2248268617291053</v>
      </c>
      <c r="J992">
        <v>0</v>
      </c>
      <c r="K992">
        <v>0</v>
      </c>
      <c r="L992" s="2">
        <v>0</v>
      </c>
      <c r="M992">
        <v>12.92</v>
      </c>
      <c r="N992" t="s">
        <v>10236</v>
      </c>
    </row>
    <row r="993" spans="1:14">
      <c r="A993" t="s">
        <v>32</v>
      </c>
      <c r="B993" t="s">
        <v>1176</v>
      </c>
      <c r="C993">
        <f>"1020719"</f>
        <v>0</v>
      </c>
      <c r="D993">
        <v>1</v>
      </c>
      <c r="E993">
        <v>0</v>
      </c>
      <c r="F993" s="2">
        <v>0</v>
      </c>
      <c r="G993">
        <v>0</v>
      </c>
      <c r="H993">
        <v>1</v>
      </c>
      <c r="I993">
        <v>0.2248268617291053</v>
      </c>
      <c r="J993">
        <v>0</v>
      </c>
      <c r="K993">
        <v>0</v>
      </c>
      <c r="L993" s="2">
        <v>0</v>
      </c>
      <c r="M993">
        <v>12.93</v>
      </c>
      <c r="N993" t="s">
        <v>10236</v>
      </c>
    </row>
    <row r="994" spans="1:14">
      <c r="A994" t="s">
        <v>35</v>
      </c>
      <c r="B994" t="s">
        <v>1177</v>
      </c>
      <c r="C994">
        <f>"KW6037SA"</f>
        <v>0</v>
      </c>
      <c r="D994">
        <v>1</v>
      </c>
      <c r="E994">
        <v>0</v>
      </c>
      <c r="F994" s="2">
        <v>0</v>
      </c>
      <c r="G994">
        <v>0</v>
      </c>
      <c r="H994">
        <v>1</v>
      </c>
      <c r="I994">
        <v>0.2248268617291053</v>
      </c>
      <c r="J994">
        <v>0</v>
      </c>
      <c r="K994">
        <v>0</v>
      </c>
      <c r="L994" s="2">
        <v>0</v>
      </c>
      <c r="M994">
        <v>12.95</v>
      </c>
      <c r="N994" t="s">
        <v>10236</v>
      </c>
    </row>
    <row r="995" spans="1:14">
      <c r="A995" t="s">
        <v>213</v>
      </c>
      <c r="B995" t="s">
        <v>1178</v>
      </c>
      <c r="C995">
        <f>"402037"</f>
        <v>0</v>
      </c>
      <c r="D995">
        <v>1</v>
      </c>
      <c r="E995">
        <v>0</v>
      </c>
      <c r="F995" s="2">
        <v>0</v>
      </c>
      <c r="G995">
        <v>0</v>
      </c>
      <c r="H995">
        <v>1</v>
      </c>
      <c r="I995">
        <v>0.2248268617291053</v>
      </c>
      <c r="J995">
        <v>0</v>
      </c>
      <c r="K995">
        <v>0</v>
      </c>
      <c r="L995" s="2">
        <v>0</v>
      </c>
      <c r="M995">
        <v>12.96</v>
      </c>
      <c r="N995" t="s">
        <v>10236</v>
      </c>
    </row>
    <row r="996" spans="1:14">
      <c r="A996" t="s">
        <v>35</v>
      </c>
      <c r="B996" t="s">
        <v>1179</v>
      </c>
      <c r="C996">
        <f>"HCJ011MROS"</f>
        <v>0</v>
      </c>
      <c r="D996">
        <v>1</v>
      </c>
      <c r="E996">
        <v>0</v>
      </c>
      <c r="F996" s="2">
        <v>0</v>
      </c>
      <c r="G996">
        <v>0</v>
      </c>
      <c r="H996">
        <v>1</v>
      </c>
      <c r="I996">
        <v>0.2248268617291053</v>
      </c>
      <c r="J996">
        <v>0</v>
      </c>
      <c r="K996">
        <v>0</v>
      </c>
      <c r="L996" s="2">
        <v>0</v>
      </c>
      <c r="M996">
        <v>12.97</v>
      </c>
      <c r="N996" t="s">
        <v>10236</v>
      </c>
    </row>
    <row r="997" spans="1:14">
      <c r="A997" t="s">
        <v>25</v>
      </c>
      <c r="B997" t="s">
        <v>1180</v>
      </c>
      <c r="C997">
        <f>"53212"</f>
        <v>0</v>
      </c>
      <c r="D997">
        <v>1</v>
      </c>
      <c r="E997">
        <v>0</v>
      </c>
      <c r="F997" s="2">
        <v>0</v>
      </c>
      <c r="G997">
        <v>0</v>
      </c>
      <c r="H997">
        <v>1</v>
      </c>
      <c r="I997">
        <v>0.2248268617291053</v>
      </c>
      <c r="J997">
        <v>0</v>
      </c>
      <c r="K997">
        <v>0</v>
      </c>
      <c r="L997" s="2">
        <v>0</v>
      </c>
      <c r="M997">
        <v>12.98</v>
      </c>
      <c r="N997" t="s">
        <v>10236</v>
      </c>
    </row>
    <row r="998" spans="1:14">
      <c r="A998" t="s">
        <v>35</v>
      </c>
      <c r="B998" t="s">
        <v>1181</v>
      </c>
      <c r="C998">
        <f>"23HT25"</f>
        <v>0</v>
      </c>
      <c r="D998">
        <v>1</v>
      </c>
      <c r="E998">
        <v>0</v>
      </c>
      <c r="F998" s="2">
        <v>0</v>
      </c>
      <c r="G998">
        <v>0</v>
      </c>
      <c r="H998">
        <v>1</v>
      </c>
      <c r="I998">
        <v>0.2248268617291053</v>
      </c>
      <c r="J998">
        <v>0</v>
      </c>
      <c r="K998">
        <v>0</v>
      </c>
      <c r="L998" s="2">
        <v>0</v>
      </c>
      <c r="M998">
        <v>12.99</v>
      </c>
      <c r="N998" t="s">
        <v>10236</v>
      </c>
    </row>
    <row r="999" spans="1:14">
      <c r="A999" t="s">
        <v>30</v>
      </c>
      <c r="B999" t="s">
        <v>1182</v>
      </c>
      <c r="C999">
        <f>"100411"</f>
        <v>0</v>
      </c>
      <c r="D999">
        <v>1</v>
      </c>
      <c r="E999">
        <v>0</v>
      </c>
      <c r="F999" s="2">
        <v>0</v>
      </c>
      <c r="G999">
        <v>0</v>
      </c>
      <c r="H999">
        <v>1</v>
      </c>
      <c r="I999">
        <v>0.2248268617291053</v>
      </c>
      <c r="J999">
        <v>0</v>
      </c>
      <c r="K999">
        <v>0</v>
      </c>
      <c r="L999" s="2">
        <v>0</v>
      </c>
      <c r="M999">
        <v>13</v>
      </c>
      <c r="N999" t="s">
        <v>10236</v>
      </c>
    </row>
    <row r="1000" spans="1:14">
      <c r="A1000" t="s">
        <v>194</v>
      </c>
      <c r="B1000" t="s">
        <v>1183</v>
      </c>
      <c r="C1000">
        <f>"3055015"</f>
        <v>0</v>
      </c>
      <c r="D1000">
        <v>1</v>
      </c>
      <c r="E1000">
        <v>0</v>
      </c>
      <c r="F1000" s="2">
        <v>0</v>
      </c>
      <c r="G1000">
        <v>0</v>
      </c>
      <c r="H1000">
        <v>1</v>
      </c>
      <c r="I1000">
        <v>0.2248268617291053</v>
      </c>
      <c r="J1000">
        <v>0</v>
      </c>
      <c r="K1000">
        <v>0</v>
      </c>
      <c r="L1000" s="2">
        <v>0</v>
      </c>
      <c r="M1000">
        <v>13.02</v>
      </c>
      <c r="N1000" t="s">
        <v>10236</v>
      </c>
    </row>
    <row r="1001" spans="1:14">
      <c r="A1001" t="s">
        <v>193</v>
      </c>
      <c r="B1001" t="s">
        <v>1184</v>
      </c>
      <c r="C1001">
        <f>"674688"</f>
        <v>0</v>
      </c>
      <c r="D1001">
        <v>1</v>
      </c>
      <c r="E1001">
        <v>0</v>
      </c>
      <c r="F1001" s="2">
        <v>0</v>
      </c>
      <c r="G1001">
        <v>0</v>
      </c>
      <c r="H1001">
        <v>1</v>
      </c>
      <c r="I1001">
        <v>0.2248268617291053</v>
      </c>
      <c r="J1001">
        <v>0</v>
      </c>
      <c r="K1001">
        <v>0</v>
      </c>
      <c r="L1001" s="2">
        <v>0</v>
      </c>
      <c r="M1001">
        <v>13.03</v>
      </c>
      <c r="N1001" t="s">
        <v>10236</v>
      </c>
    </row>
    <row r="1002" spans="1:14">
      <c r="A1002" t="s">
        <v>25</v>
      </c>
      <c r="B1002" t="s">
        <v>1185</v>
      </c>
      <c r="C1002">
        <f>"S0461VE"</f>
        <v>0</v>
      </c>
      <c r="D1002">
        <v>1</v>
      </c>
      <c r="E1002">
        <v>0</v>
      </c>
      <c r="F1002" s="2">
        <v>0</v>
      </c>
      <c r="G1002">
        <v>0</v>
      </c>
      <c r="H1002">
        <v>1</v>
      </c>
      <c r="I1002">
        <v>0.2248268617291053</v>
      </c>
      <c r="J1002">
        <v>0</v>
      </c>
      <c r="K1002">
        <v>0</v>
      </c>
      <c r="L1002" s="2">
        <v>0</v>
      </c>
      <c r="M1002">
        <v>13.04</v>
      </c>
      <c r="N1002" t="s">
        <v>10236</v>
      </c>
    </row>
    <row r="1003" spans="1:14">
      <c r="A1003" t="s">
        <v>35</v>
      </c>
      <c r="B1003" t="s">
        <v>1186</v>
      </c>
      <c r="C1003">
        <f>"HDD164N"</f>
        <v>0</v>
      </c>
      <c r="D1003">
        <v>1</v>
      </c>
      <c r="E1003">
        <v>0</v>
      </c>
      <c r="F1003" s="2">
        <v>0</v>
      </c>
      <c r="G1003">
        <v>0</v>
      </c>
      <c r="H1003">
        <v>1</v>
      </c>
      <c r="I1003">
        <v>0.2248268617291053</v>
      </c>
      <c r="J1003">
        <v>0</v>
      </c>
      <c r="K1003">
        <v>0</v>
      </c>
      <c r="L1003" s="2">
        <v>0</v>
      </c>
      <c r="M1003">
        <v>13.05</v>
      </c>
      <c r="N1003" t="s">
        <v>10236</v>
      </c>
    </row>
    <row r="1004" spans="1:14">
      <c r="A1004" t="s">
        <v>35</v>
      </c>
      <c r="B1004" t="s">
        <v>1187</v>
      </c>
      <c r="C1004">
        <f>"HDD017BL"</f>
        <v>0</v>
      </c>
      <c r="D1004">
        <v>1</v>
      </c>
      <c r="E1004">
        <v>0</v>
      </c>
      <c r="F1004" s="2">
        <v>0</v>
      </c>
      <c r="G1004">
        <v>0</v>
      </c>
      <c r="H1004">
        <v>1</v>
      </c>
      <c r="I1004">
        <v>0.2248268617291053</v>
      </c>
      <c r="J1004">
        <v>0</v>
      </c>
      <c r="K1004">
        <v>0</v>
      </c>
      <c r="L1004" s="2">
        <v>0</v>
      </c>
      <c r="M1004">
        <v>13.06</v>
      </c>
      <c r="N1004" t="s">
        <v>10236</v>
      </c>
    </row>
    <row r="1005" spans="1:14">
      <c r="A1005" t="s">
        <v>35</v>
      </c>
      <c r="B1005" t="s">
        <v>1188</v>
      </c>
      <c r="C1005">
        <f>"JW17083A"</f>
        <v>0</v>
      </c>
      <c r="D1005">
        <v>1</v>
      </c>
      <c r="E1005">
        <v>0</v>
      </c>
      <c r="F1005" s="2">
        <v>0</v>
      </c>
      <c r="G1005">
        <v>0</v>
      </c>
      <c r="H1005">
        <v>1</v>
      </c>
      <c r="I1005">
        <v>0.2248268617291053</v>
      </c>
      <c r="J1005">
        <v>0</v>
      </c>
      <c r="K1005">
        <v>0</v>
      </c>
      <c r="L1005" s="2">
        <v>0</v>
      </c>
      <c r="M1005">
        <v>13.08</v>
      </c>
      <c r="N1005" t="s">
        <v>10236</v>
      </c>
    </row>
    <row r="1006" spans="1:14">
      <c r="A1006" t="s">
        <v>35</v>
      </c>
      <c r="B1006" t="s">
        <v>1189</v>
      </c>
      <c r="C1006">
        <f>"JW17085"</f>
        <v>0</v>
      </c>
      <c r="D1006">
        <v>1</v>
      </c>
      <c r="E1006">
        <v>0</v>
      </c>
      <c r="F1006" s="2">
        <v>0</v>
      </c>
      <c r="G1006">
        <v>0</v>
      </c>
      <c r="H1006">
        <v>1</v>
      </c>
      <c r="I1006">
        <v>0.2248268617291053</v>
      </c>
      <c r="J1006">
        <v>0</v>
      </c>
      <c r="K1006">
        <v>0</v>
      </c>
      <c r="L1006" s="2">
        <v>0</v>
      </c>
      <c r="M1006">
        <v>13.09</v>
      </c>
      <c r="N1006" t="s">
        <v>10236</v>
      </c>
    </row>
    <row r="1007" spans="1:14">
      <c r="A1007" t="s">
        <v>35</v>
      </c>
      <c r="B1007" t="s">
        <v>1190</v>
      </c>
      <c r="C1007">
        <f>"271001"</f>
        <v>0</v>
      </c>
      <c r="D1007">
        <v>1</v>
      </c>
      <c r="E1007">
        <v>0</v>
      </c>
      <c r="F1007" s="2">
        <v>0</v>
      </c>
      <c r="G1007">
        <v>0</v>
      </c>
      <c r="H1007">
        <v>1</v>
      </c>
      <c r="I1007">
        <v>0.2248268617291053</v>
      </c>
      <c r="J1007">
        <v>0</v>
      </c>
      <c r="K1007">
        <v>0</v>
      </c>
      <c r="L1007" s="2">
        <v>0</v>
      </c>
      <c r="M1007">
        <v>13.1</v>
      </c>
      <c r="N1007" t="s">
        <v>10236</v>
      </c>
    </row>
    <row r="1008" spans="1:14">
      <c r="A1008" t="s">
        <v>35</v>
      </c>
      <c r="B1008" t="s">
        <v>1191</v>
      </c>
      <c r="C1008">
        <f>"XX260"</f>
        <v>0</v>
      </c>
      <c r="D1008">
        <v>1</v>
      </c>
      <c r="E1008">
        <v>0</v>
      </c>
      <c r="F1008" s="2">
        <v>0</v>
      </c>
      <c r="G1008">
        <v>0</v>
      </c>
      <c r="H1008">
        <v>1</v>
      </c>
      <c r="I1008">
        <v>0.2248268617291053</v>
      </c>
      <c r="J1008">
        <v>0</v>
      </c>
      <c r="K1008">
        <v>0</v>
      </c>
      <c r="L1008" s="2">
        <v>0</v>
      </c>
      <c r="M1008">
        <v>13.11</v>
      </c>
      <c r="N1008" t="s">
        <v>10236</v>
      </c>
    </row>
    <row r="1009" spans="1:14">
      <c r="A1009" t="s">
        <v>35</v>
      </c>
      <c r="B1009" t="s">
        <v>1192</v>
      </c>
      <c r="C1009">
        <f>"HDWXD002"</f>
        <v>0</v>
      </c>
      <c r="D1009">
        <v>1</v>
      </c>
      <c r="E1009">
        <v>0</v>
      </c>
      <c r="F1009" s="2">
        <v>0</v>
      </c>
      <c r="G1009">
        <v>0</v>
      </c>
      <c r="H1009">
        <v>1</v>
      </c>
      <c r="I1009">
        <v>0.2248268617291053</v>
      </c>
      <c r="J1009">
        <v>0</v>
      </c>
      <c r="K1009">
        <v>0</v>
      </c>
      <c r="L1009" s="2">
        <v>0</v>
      </c>
      <c r="M1009">
        <v>13.12</v>
      </c>
      <c r="N1009" t="s">
        <v>10236</v>
      </c>
    </row>
    <row r="1010" spans="1:14">
      <c r="A1010" t="s">
        <v>35</v>
      </c>
      <c r="B1010" t="s">
        <v>1193</v>
      </c>
      <c r="C1010">
        <f>"JN001"</f>
        <v>0</v>
      </c>
      <c r="D1010">
        <v>1</v>
      </c>
      <c r="E1010">
        <v>0</v>
      </c>
      <c r="F1010" s="2">
        <v>0</v>
      </c>
      <c r="G1010">
        <v>0</v>
      </c>
      <c r="H1010">
        <v>1</v>
      </c>
      <c r="I1010">
        <v>0.2248268617291053</v>
      </c>
      <c r="J1010">
        <v>0</v>
      </c>
      <c r="K1010">
        <v>0</v>
      </c>
      <c r="L1010" s="2">
        <v>0</v>
      </c>
      <c r="M1010">
        <v>13.14</v>
      </c>
      <c r="N1010" t="s">
        <v>10236</v>
      </c>
    </row>
    <row r="1011" spans="1:14">
      <c r="A1011" t="s">
        <v>27</v>
      </c>
      <c r="B1011" t="s">
        <v>1194</v>
      </c>
      <c r="C1011">
        <f>"PR3027021"</f>
        <v>0</v>
      </c>
      <c r="D1011">
        <v>1</v>
      </c>
      <c r="E1011">
        <v>0</v>
      </c>
      <c r="F1011" s="2">
        <v>0</v>
      </c>
      <c r="G1011">
        <v>0</v>
      </c>
      <c r="H1011">
        <v>1</v>
      </c>
      <c r="I1011">
        <v>0.2248268617291053</v>
      </c>
      <c r="J1011">
        <v>0</v>
      </c>
      <c r="K1011">
        <v>0</v>
      </c>
      <c r="L1011" s="2">
        <v>0</v>
      </c>
      <c r="M1011">
        <v>13.15</v>
      </c>
      <c r="N1011" t="s">
        <v>10236</v>
      </c>
    </row>
    <row r="1012" spans="1:14">
      <c r="A1012" t="s">
        <v>35</v>
      </c>
      <c r="B1012" t="s">
        <v>1195</v>
      </c>
      <c r="C1012">
        <f>"ACA35"</f>
        <v>0</v>
      </c>
      <c r="D1012">
        <v>1</v>
      </c>
      <c r="E1012">
        <v>0</v>
      </c>
      <c r="F1012" s="2">
        <v>0</v>
      </c>
      <c r="G1012">
        <v>0</v>
      </c>
      <c r="H1012">
        <v>1</v>
      </c>
      <c r="I1012">
        <v>0.2248268617291053</v>
      </c>
      <c r="J1012">
        <v>0</v>
      </c>
      <c r="K1012">
        <v>0</v>
      </c>
      <c r="L1012" s="2">
        <v>0</v>
      </c>
      <c r="M1012">
        <v>13.16</v>
      </c>
      <c r="N1012" t="s">
        <v>10236</v>
      </c>
    </row>
    <row r="1013" spans="1:14">
      <c r="A1013" t="s">
        <v>35</v>
      </c>
      <c r="B1013" t="s">
        <v>765</v>
      </c>
      <c r="C1013">
        <f>"SDR112A"</f>
        <v>0</v>
      </c>
      <c r="D1013">
        <v>1</v>
      </c>
      <c r="E1013">
        <v>0</v>
      </c>
      <c r="F1013" s="2">
        <v>0</v>
      </c>
      <c r="G1013">
        <v>0</v>
      </c>
      <c r="H1013">
        <v>1</v>
      </c>
      <c r="I1013">
        <v>0.2248268617291053</v>
      </c>
      <c r="J1013">
        <v>0</v>
      </c>
      <c r="K1013">
        <v>0</v>
      </c>
      <c r="L1013" s="2">
        <v>0</v>
      </c>
      <c r="M1013">
        <v>13.17</v>
      </c>
      <c r="N1013" t="s">
        <v>10236</v>
      </c>
    </row>
    <row r="1014" spans="1:14">
      <c r="A1014" t="s">
        <v>25</v>
      </c>
      <c r="B1014" t="s">
        <v>1196</v>
      </c>
      <c r="C1014">
        <f>"YY201GR"</f>
        <v>0</v>
      </c>
      <c r="D1014">
        <v>1</v>
      </c>
      <c r="E1014">
        <v>0</v>
      </c>
      <c r="F1014" s="2">
        <v>0</v>
      </c>
      <c r="G1014">
        <v>0</v>
      </c>
      <c r="H1014">
        <v>1</v>
      </c>
      <c r="I1014">
        <v>0.2248268617291053</v>
      </c>
      <c r="J1014">
        <v>0</v>
      </c>
      <c r="K1014">
        <v>0</v>
      </c>
      <c r="L1014" s="2">
        <v>0</v>
      </c>
      <c r="M1014">
        <v>13.18</v>
      </c>
      <c r="N1014" t="s">
        <v>10236</v>
      </c>
    </row>
    <row r="1015" spans="1:14">
      <c r="A1015" t="s">
        <v>35</v>
      </c>
      <c r="B1015" t="s">
        <v>1197</v>
      </c>
      <c r="C1015">
        <f>"GT482"</f>
        <v>0</v>
      </c>
      <c r="D1015">
        <v>1</v>
      </c>
      <c r="E1015">
        <v>0</v>
      </c>
      <c r="F1015" s="2">
        <v>0</v>
      </c>
      <c r="G1015">
        <v>0</v>
      </c>
      <c r="H1015">
        <v>1</v>
      </c>
      <c r="I1015">
        <v>0.2248268617291053</v>
      </c>
      <c r="J1015">
        <v>0</v>
      </c>
      <c r="K1015">
        <v>0</v>
      </c>
      <c r="L1015" s="2">
        <v>0</v>
      </c>
      <c r="M1015">
        <v>13.2</v>
      </c>
      <c r="N1015" t="s">
        <v>10236</v>
      </c>
    </row>
    <row r="1016" spans="1:14">
      <c r="A1016" t="s">
        <v>35</v>
      </c>
      <c r="B1016" t="s">
        <v>1198</v>
      </c>
      <c r="C1016">
        <f>"PCC011ROS"</f>
        <v>0</v>
      </c>
      <c r="D1016">
        <v>1</v>
      </c>
      <c r="E1016">
        <v>0</v>
      </c>
      <c r="F1016" s="2">
        <v>0</v>
      </c>
      <c r="G1016">
        <v>0</v>
      </c>
      <c r="H1016">
        <v>1</v>
      </c>
      <c r="I1016">
        <v>0.2248268617291053</v>
      </c>
      <c r="J1016">
        <v>0</v>
      </c>
      <c r="K1016">
        <v>0</v>
      </c>
      <c r="L1016" s="2">
        <v>0</v>
      </c>
      <c r="M1016">
        <v>13.21</v>
      </c>
      <c r="N1016" t="s">
        <v>10236</v>
      </c>
    </row>
    <row r="1017" spans="1:14">
      <c r="A1017" t="s">
        <v>25</v>
      </c>
      <c r="B1017" t="s">
        <v>1199</v>
      </c>
      <c r="C1017">
        <f>"180BAZ"</f>
        <v>0</v>
      </c>
      <c r="D1017">
        <v>1</v>
      </c>
      <c r="E1017">
        <v>0</v>
      </c>
      <c r="F1017" s="2">
        <v>0</v>
      </c>
      <c r="G1017">
        <v>0</v>
      </c>
      <c r="H1017">
        <v>1</v>
      </c>
      <c r="I1017">
        <v>0.2248268617291053</v>
      </c>
      <c r="J1017">
        <v>0</v>
      </c>
      <c r="K1017">
        <v>0</v>
      </c>
      <c r="L1017" s="2">
        <v>0</v>
      </c>
      <c r="M1017">
        <v>13.22</v>
      </c>
      <c r="N1017" t="s">
        <v>10236</v>
      </c>
    </row>
    <row r="1018" spans="1:14">
      <c r="A1018" t="s">
        <v>29</v>
      </c>
      <c r="B1018" t="s">
        <v>1200</v>
      </c>
      <c r="C1018">
        <f>"MC111"</f>
        <v>0</v>
      </c>
      <c r="D1018">
        <v>1</v>
      </c>
      <c r="E1018">
        <v>0</v>
      </c>
      <c r="F1018" s="2">
        <v>0</v>
      </c>
      <c r="G1018">
        <v>0</v>
      </c>
      <c r="H1018">
        <v>1</v>
      </c>
      <c r="I1018">
        <v>0.2248268617291053</v>
      </c>
      <c r="J1018">
        <v>0</v>
      </c>
      <c r="K1018">
        <v>0</v>
      </c>
      <c r="L1018" s="2">
        <v>0</v>
      </c>
      <c r="M1018">
        <v>13.23</v>
      </c>
      <c r="N1018" t="s">
        <v>10236</v>
      </c>
    </row>
    <row r="1019" spans="1:14">
      <c r="A1019" t="s">
        <v>35</v>
      </c>
      <c r="B1019" t="s">
        <v>1201</v>
      </c>
      <c r="C1019">
        <f>"FB517SM"</f>
        <v>0</v>
      </c>
      <c r="D1019">
        <v>1</v>
      </c>
      <c r="E1019">
        <v>0</v>
      </c>
      <c r="F1019" s="2">
        <v>0</v>
      </c>
      <c r="G1019">
        <v>0</v>
      </c>
      <c r="H1019">
        <v>1</v>
      </c>
      <c r="I1019">
        <v>0.2248268617291053</v>
      </c>
      <c r="J1019">
        <v>0</v>
      </c>
      <c r="K1019">
        <v>0</v>
      </c>
      <c r="L1019" s="2">
        <v>0</v>
      </c>
      <c r="M1019">
        <v>13.24</v>
      </c>
      <c r="N1019" t="s">
        <v>10236</v>
      </c>
    </row>
    <row r="1020" spans="1:14">
      <c r="A1020" t="s">
        <v>35</v>
      </c>
      <c r="B1020" t="s">
        <v>1202</v>
      </c>
      <c r="C1020">
        <f>"PT121"</f>
        <v>0</v>
      </c>
      <c r="D1020">
        <v>1</v>
      </c>
      <c r="E1020">
        <v>0</v>
      </c>
      <c r="F1020" s="2">
        <v>0</v>
      </c>
      <c r="G1020">
        <v>0</v>
      </c>
      <c r="H1020">
        <v>1</v>
      </c>
      <c r="I1020">
        <v>0.2248268617291053</v>
      </c>
      <c r="J1020">
        <v>0</v>
      </c>
      <c r="K1020">
        <v>0</v>
      </c>
      <c r="L1020" s="2">
        <v>0</v>
      </c>
      <c r="M1020">
        <v>13.25</v>
      </c>
      <c r="N1020" t="s">
        <v>10236</v>
      </c>
    </row>
    <row r="1021" spans="1:14">
      <c r="A1021" t="s">
        <v>35</v>
      </c>
      <c r="B1021" t="s">
        <v>1203</v>
      </c>
      <c r="C1021">
        <f>"PT144"</f>
        <v>0</v>
      </c>
      <c r="D1021">
        <v>1</v>
      </c>
      <c r="E1021">
        <v>0</v>
      </c>
      <c r="F1021" s="2">
        <v>0</v>
      </c>
      <c r="G1021">
        <v>0</v>
      </c>
      <c r="H1021">
        <v>1</v>
      </c>
      <c r="I1021">
        <v>0.2248268617291053</v>
      </c>
      <c r="J1021">
        <v>0</v>
      </c>
      <c r="K1021">
        <v>0</v>
      </c>
      <c r="L1021" s="2">
        <v>0</v>
      </c>
      <c r="M1021">
        <v>13.27</v>
      </c>
      <c r="N1021" t="s">
        <v>10236</v>
      </c>
    </row>
    <row r="1022" spans="1:14">
      <c r="A1022" t="s">
        <v>27</v>
      </c>
      <c r="B1022" t="s">
        <v>1204</v>
      </c>
      <c r="C1022">
        <f>"PR3014243"</f>
        <v>0</v>
      </c>
      <c r="D1022">
        <v>1</v>
      </c>
      <c r="E1022">
        <v>0</v>
      </c>
      <c r="F1022" s="2">
        <v>0</v>
      </c>
      <c r="G1022">
        <v>0</v>
      </c>
      <c r="H1022">
        <v>1</v>
      </c>
      <c r="I1022">
        <v>0.2248268617291053</v>
      </c>
      <c r="J1022">
        <v>0</v>
      </c>
      <c r="K1022">
        <v>0</v>
      </c>
      <c r="L1022" s="2">
        <v>0</v>
      </c>
      <c r="M1022">
        <v>13.28</v>
      </c>
      <c r="N1022" t="s">
        <v>10236</v>
      </c>
    </row>
    <row r="1023" spans="1:14">
      <c r="A1023" t="s">
        <v>35</v>
      </c>
      <c r="B1023" t="s">
        <v>1205</v>
      </c>
      <c r="C1023">
        <f>"HDD072CA"</f>
        <v>0</v>
      </c>
      <c r="D1023">
        <v>1</v>
      </c>
      <c r="E1023">
        <v>0</v>
      </c>
      <c r="F1023" s="2">
        <v>0</v>
      </c>
      <c r="G1023">
        <v>0</v>
      </c>
      <c r="H1023">
        <v>1</v>
      </c>
      <c r="I1023">
        <v>0.2248268617291053</v>
      </c>
      <c r="J1023">
        <v>0</v>
      </c>
      <c r="K1023">
        <v>0</v>
      </c>
      <c r="L1023" s="2">
        <v>0</v>
      </c>
      <c r="M1023">
        <v>13.29</v>
      </c>
      <c r="N1023" t="s">
        <v>10236</v>
      </c>
    </row>
    <row r="1024" spans="1:14">
      <c r="A1024" t="s">
        <v>35</v>
      </c>
      <c r="B1024" t="s">
        <v>1206</v>
      </c>
      <c r="C1024">
        <f>"xx45"</f>
        <v>0</v>
      </c>
      <c r="D1024">
        <v>1</v>
      </c>
      <c r="E1024">
        <v>0</v>
      </c>
      <c r="F1024" s="2">
        <v>0</v>
      </c>
      <c r="G1024">
        <v>0</v>
      </c>
      <c r="H1024">
        <v>1</v>
      </c>
      <c r="I1024">
        <v>0.2248268617291053</v>
      </c>
      <c r="J1024">
        <v>0</v>
      </c>
      <c r="K1024">
        <v>0</v>
      </c>
      <c r="L1024" s="2">
        <v>0</v>
      </c>
      <c r="M1024">
        <v>13.3</v>
      </c>
      <c r="N1024" t="s">
        <v>10236</v>
      </c>
    </row>
    <row r="1025" spans="1:14">
      <c r="A1025" t="s">
        <v>35</v>
      </c>
      <c r="B1025" t="s">
        <v>1207</v>
      </c>
      <c r="C1025">
        <f>"FT006D"</f>
        <v>0</v>
      </c>
      <c r="D1025">
        <v>1</v>
      </c>
      <c r="E1025">
        <v>0</v>
      </c>
      <c r="F1025" s="2">
        <v>0</v>
      </c>
      <c r="G1025">
        <v>0</v>
      </c>
      <c r="H1025">
        <v>1</v>
      </c>
      <c r="I1025">
        <v>0.2248268617291053</v>
      </c>
      <c r="J1025">
        <v>0</v>
      </c>
      <c r="K1025">
        <v>0</v>
      </c>
      <c r="L1025" s="2">
        <v>0</v>
      </c>
      <c r="M1025">
        <v>13.31</v>
      </c>
      <c r="N1025" t="s">
        <v>10236</v>
      </c>
    </row>
    <row r="1026" spans="1:14">
      <c r="A1026" t="s">
        <v>29</v>
      </c>
      <c r="B1026" t="s">
        <v>1208</v>
      </c>
      <c r="C1026">
        <f>"33034"</f>
        <v>0</v>
      </c>
      <c r="D1026">
        <v>1</v>
      </c>
      <c r="E1026">
        <v>0</v>
      </c>
      <c r="F1026" s="2">
        <v>0</v>
      </c>
      <c r="G1026">
        <v>0</v>
      </c>
      <c r="H1026">
        <v>1</v>
      </c>
      <c r="I1026">
        <v>0.2248268617291053</v>
      </c>
      <c r="J1026">
        <v>0</v>
      </c>
      <c r="K1026">
        <v>0</v>
      </c>
      <c r="L1026" s="2">
        <v>0</v>
      </c>
      <c r="M1026">
        <v>13.33</v>
      </c>
      <c r="N1026" t="s">
        <v>10236</v>
      </c>
    </row>
    <row r="1027" spans="1:14">
      <c r="A1027" t="s">
        <v>214</v>
      </c>
      <c r="B1027" t="s">
        <v>1209</v>
      </c>
      <c r="C1027">
        <f>"20744"</f>
        <v>0</v>
      </c>
      <c r="D1027">
        <v>1</v>
      </c>
      <c r="E1027">
        <v>0</v>
      </c>
      <c r="F1027" s="2">
        <v>0</v>
      </c>
      <c r="G1027">
        <v>0</v>
      </c>
      <c r="H1027">
        <v>1</v>
      </c>
      <c r="I1027">
        <v>0.2248268617291053</v>
      </c>
      <c r="J1027">
        <v>0</v>
      </c>
      <c r="K1027">
        <v>0</v>
      </c>
      <c r="L1027" s="2">
        <v>0</v>
      </c>
      <c r="M1027">
        <v>13.34</v>
      </c>
      <c r="N1027" t="s">
        <v>10236</v>
      </c>
    </row>
    <row r="1028" spans="1:14">
      <c r="A1028" t="s">
        <v>35</v>
      </c>
      <c r="B1028" t="s">
        <v>1210</v>
      </c>
      <c r="C1028">
        <f>"9001161C"</f>
        <v>0</v>
      </c>
      <c r="D1028">
        <v>1</v>
      </c>
      <c r="E1028">
        <v>0</v>
      </c>
      <c r="F1028" s="2">
        <v>0</v>
      </c>
      <c r="G1028">
        <v>0</v>
      </c>
      <c r="H1028">
        <v>1</v>
      </c>
      <c r="I1028">
        <v>0.2248268617291053</v>
      </c>
      <c r="J1028">
        <v>0</v>
      </c>
      <c r="K1028">
        <v>0</v>
      </c>
      <c r="L1028" s="2">
        <v>0</v>
      </c>
      <c r="M1028">
        <v>13.35</v>
      </c>
      <c r="N1028" t="s">
        <v>10236</v>
      </c>
    </row>
    <row r="1029" spans="1:14">
      <c r="A1029" t="s">
        <v>35</v>
      </c>
      <c r="B1029" t="s">
        <v>1211</v>
      </c>
      <c r="C1029">
        <f>"SDR106"</f>
        <v>0</v>
      </c>
      <c r="D1029">
        <v>1</v>
      </c>
      <c r="E1029">
        <v>0</v>
      </c>
      <c r="F1029" s="2">
        <v>0</v>
      </c>
      <c r="G1029">
        <v>0</v>
      </c>
      <c r="H1029">
        <v>1</v>
      </c>
      <c r="I1029">
        <v>0.2248268617291053</v>
      </c>
      <c r="J1029">
        <v>0</v>
      </c>
      <c r="K1029">
        <v>0</v>
      </c>
      <c r="L1029" s="2">
        <v>0</v>
      </c>
      <c r="M1029">
        <v>13.36</v>
      </c>
      <c r="N1029" t="s">
        <v>10236</v>
      </c>
    </row>
    <row r="1030" spans="1:14">
      <c r="A1030" t="s">
        <v>25</v>
      </c>
      <c r="B1030" t="s">
        <v>1212</v>
      </c>
      <c r="C1030">
        <f>"S0463AZ"</f>
        <v>0</v>
      </c>
      <c r="D1030">
        <v>1</v>
      </c>
      <c r="E1030">
        <v>0</v>
      </c>
      <c r="F1030" s="2">
        <v>0</v>
      </c>
      <c r="G1030">
        <v>0</v>
      </c>
      <c r="H1030">
        <v>1</v>
      </c>
      <c r="I1030">
        <v>0.2248268617291053</v>
      </c>
      <c r="J1030">
        <v>0</v>
      </c>
      <c r="K1030">
        <v>0</v>
      </c>
      <c r="L1030" s="2">
        <v>0</v>
      </c>
      <c r="M1030">
        <v>13.37</v>
      </c>
      <c r="N1030" t="s">
        <v>10236</v>
      </c>
    </row>
    <row r="1031" spans="1:14">
      <c r="A1031" t="s">
        <v>25</v>
      </c>
      <c r="B1031" t="s">
        <v>1213</v>
      </c>
      <c r="C1031">
        <f>"S306V"</f>
        <v>0</v>
      </c>
      <c r="D1031">
        <v>1</v>
      </c>
      <c r="E1031">
        <v>0</v>
      </c>
      <c r="F1031" s="2">
        <v>0</v>
      </c>
      <c r="G1031">
        <v>0</v>
      </c>
      <c r="H1031">
        <v>1</v>
      </c>
      <c r="I1031">
        <v>0.2248268617291053</v>
      </c>
      <c r="J1031">
        <v>0</v>
      </c>
      <c r="K1031">
        <v>0</v>
      </c>
      <c r="L1031" s="2">
        <v>0</v>
      </c>
      <c r="M1031">
        <v>13.39</v>
      </c>
      <c r="N1031" t="s">
        <v>10236</v>
      </c>
    </row>
    <row r="1032" spans="1:14">
      <c r="A1032" t="s">
        <v>30</v>
      </c>
      <c r="B1032" t="s">
        <v>1214</v>
      </c>
      <c r="C1032">
        <f>"100504"</f>
        <v>0</v>
      </c>
      <c r="D1032">
        <v>1</v>
      </c>
      <c r="E1032">
        <v>0</v>
      </c>
      <c r="F1032" s="2">
        <v>0</v>
      </c>
      <c r="G1032">
        <v>0</v>
      </c>
      <c r="H1032">
        <v>1</v>
      </c>
      <c r="I1032">
        <v>0.2248268617291053</v>
      </c>
      <c r="J1032">
        <v>0</v>
      </c>
      <c r="K1032">
        <v>0</v>
      </c>
      <c r="L1032" s="2">
        <v>0</v>
      </c>
      <c r="M1032">
        <v>13.4</v>
      </c>
      <c r="N1032" t="s">
        <v>10236</v>
      </c>
    </row>
    <row r="1033" spans="1:14">
      <c r="A1033" t="s">
        <v>35</v>
      </c>
      <c r="B1033" t="s">
        <v>1215</v>
      </c>
      <c r="C1033">
        <f>"1805XL"</f>
        <v>0</v>
      </c>
      <c r="D1033">
        <v>1</v>
      </c>
      <c r="E1033">
        <v>0</v>
      </c>
      <c r="F1033" s="2">
        <v>0</v>
      </c>
      <c r="G1033">
        <v>0</v>
      </c>
      <c r="H1033">
        <v>1</v>
      </c>
      <c r="I1033">
        <v>0.2248268617291053</v>
      </c>
      <c r="J1033">
        <v>0</v>
      </c>
      <c r="K1033">
        <v>0</v>
      </c>
      <c r="L1033" s="2">
        <v>0</v>
      </c>
      <c r="M1033">
        <v>13.41</v>
      </c>
      <c r="N1033" t="s">
        <v>10236</v>
      </c>
    </row>
    <row r="1034" spans="1:14">
      <c r="A1034" t="s">
        <v>35</v>
      </c>
      <c r="B1034" t="s">
        <v>1216</v>
      </c>
      <c r="C1034">
        <f>"8325MNG"</f>
        <v>0</v>
      </c>
      <c r="D1034">
        <v>1</v>
      </c>
      <c r="E1034">
        <v>0</v>
      </c>
      <c r="F1034" s="2">
        <v>0</v>
      </c>
      <c r="G1034">
        <v>0</v>
      </c>
      <c r="H1034">
        <v>1</v>
      </c>
      <c r="I1034">
        <v>0.2248268617291053</v>
      </c>
      <c r="J1034">
        <v>0</v>
      </c>
      <c r="K1034">
        <v>0</v>
      </c>
      <c r="L1034" s="2">
        <v>0</v>
      </c>
      <c r="M1034">
        <v>13.42</v>
      </c>
      <c r="N1034" t="s">
        <v>10236</v>
      </c>
    </row>
    <row r="1035" spans="1:14">
      <c r="A1035" t="s">
        <v>35</v>
      </c>
      <c r="B1035" t="s">
        <v>1217</v>
      </c>
      <c r="C1035">
        <f>"QS133104S"</f>
        <v>0</v>
      </c>
      <c r="D1035">
        <v>1</v>
      </c>
      <c r="E1035">
        <v>0</v>
      </c>
      <c r="F1035" s="2">
        <v>0</v>
      </c>
      <c r="G1035">
        <v>0</v>
      </c>
      <c r="H1035">
        <v>1</v>
      </c>
      <c r="I1035">
        <v>0.2248268617291053</v>
      </c>
      <c r="J1035">
        <v>0</v>
      </c>
      <c r="K1035">
        <v>0</v>
      </c>
      <c r="L1035" s="2">
        <v>0</v>
      </c>
      <c r="M1035">
        <v>13.43</v>
      </c>
      <c r="N1035" t="s">
        <v>10236</v>
      </c>
    </row>
    <row r="1036" spans="1:14">
      <c r="A1036" t="s">
        <v>35</v>
      </c>
      <c r="B1036" t="s">
        <v>1218</v>
      </c>
      <c r="C1036">
        <f>"CW06364"</f>
        <v>0</v>
      </c>
      <c r="D1036">
        <v>1</v>
      </c>
      <c r="E1036">
        <v>0</v>
      </c>
      <c r="F1036" s="2">
        <v>0</v>
      </c>
      <c r="G1036">
        <v>0</v>
      </c>
      <c r="H1036">
        <v>1</v>
      </c>
      <c r="I1036">
        <v>0.2248268617291053</v>
      </c>
      <c r="J1036">
        <v>0</v>
      </c>
      <c r="K1036">
        <v>0</v>
      </c>
      <c r="L1036" s="2">
        <v>0</v>
      </c>
      <c r="M1036">
        <v>13.45</v>
      </c>
      <c r="N1036" t="s">
        <v>10236</v>
      </c>
    </row>
    <row r="1037" spans="1:14">
      <c r="A1037" t="s">
        <v>35</v>
      </c>
      <c r="B1037" t="s">
        <v>1219</v>
      </c>
      <c r="C1037">
        <f>"KW6005M"</f>
        <v>0</v>
      </c>
      <c r="D1037">
        <v>1</v>
      </c>
      <c r="E1037">
        <v>0</v>
      </c>
      <c r="F1037" s="2">
        <v>0</v>
      </c>
      <c r="G1037">
        <v>0</v>
      </c>
      <c r="H1037">
        <v>1</v>
      </c>
      <c r="I1037">
        <v>0.2248268617291053</v>
      </c>
      <c r="J1037">
        <v>0</v>
      </c>
      <c r="K1037">
        <v>0</v>
      </c>
      <c r="L1037" s="2">
        <v>0</v>
      </c>
      <c r="M1037">
        <v>13.46</v>
      </c>
      <c r="N1037" t="s">
        <v>10236</v>
      </c>
    </row>
    <row r="1038" spans="1:14">
      <c r="A1038" t="s">
        <v>35</v>
      </c>
      <c r="B1038" t="s">
        <v>1220</v>
      </c>
      <c r="C1038">
        <f>"8420"</f>
        <v>0</v>
      </c>
      <c r="D1038">
        <v>1</v>
      </c>
      <c r="E1038">
        <v>0</v>
      </c>
      <c r="F1038" s="2">
        <v>0</v>
      </c>
      <c r="G1038">
        <v>0</v>
      </c>
      <c r="H1038">
        <v>1</v>
      </c>
      <c r="I1038">
        <v>0.2248268617291053</v>
      </c>
      <c r="J1038">
        <v>0</v>
      </c>
      <c r="K1038">
        <v>0</v>
      </c>
      <c r="L1038" s="2">
        <v>0</v>
      </c>
      <c r="M1038">
        <v>13.47</v>
      </c>
      <c r="N1038" t="s">
        <v>10236</v>
      </c>
    </row>
    <row r="1039" spans="1:14">
      <c r="A1039" t="s">
        <v>35</v>
      </c>
      <c r="B1039" t="s">
        <v>1221</v>
      </c>
      <c r="C1039">
        <f>"KW6005SR"</f>
        <v>0</v>
      </c>
      <c r="D1039">
        <v>1</v>
      </c>
      <c r="E1039">
        <v>0</v>
      </c>
      <c r="F1039" s="2">
        <v>0</v>
      </c>
      <c r="G1039">
        <v>0</v>
      </c>
      <c r="H1039">
        <v>1</v>
      </c>
      <c r="I1039">
        <v>0.2248268617291053</v>
      </c>
      <c r="J1039">
        <v>0</v>
      </c>
      <c r="K1039">
        <v>0</v>
      </c>
      <c r="L1039" s="2">
        <v>0</v>
      </c>
      <c r="M1039">
        <v>13.48</v>
      </c>
      <c r="N1039" t="s">
        <v>10236</v>
      </c>
    </row>
    <row r="1040" spans="1:14">
      <c r="A1040" t="s">
        <v>32</v>
      </c>
      <c r="B1040" t="s">
        <v>1222</v>
      </c>
      <c r="C1040">
        <f>"1003664"</f>
        <v>0</v>
      </c>
      <c r="D1040">
        <v>1</v>
      </c>
      <c r="E1040">
        <v>0</v>
      </c>
      <c r="F1040" s="2">
        <v>0</v>
      </c>
      <c r="G1040">
        <v>0</v>
      </c>
      <c r="H1040">
        <v>1</v>
      </c>
      <c r="I1040">
        <v>0.2248268617291053</v>
      </c>
      <c r="J1040">
        <v>0</v>
      </c>
      <c r="K1040">
        <v>0</v>
      </c>
      <c r="L1040" s="2">
        <v>0</v>
      </c>
      <c r="M1040">
        <v>13.49</v>
      </c>
      <c r="N1040" t="s">
        <v>10236</v>
      </c>
    </row>
    <row r="1041" spans="1:14">
      <c r="A1041" t="s">
        <v>213</v>
      </c>
      <c r="B1041" t="s">
        <v>1223</v>
      </c>
      <c r="C1041">
        <f>"500636"</f>
        <v>0</v>
      </c>
      <c r="D1041">
        <v>1</v>
      </c>
      <c r="E1041">
        <v>0</v>
      </c>
      <c r="F1041" s="2">
        <v>0</v>
      </c>
      <c r="G1041">
        <v>0</v>
      </c>
      <c r="H1041">
        <v>1</v>
      </c>
      <c r="I1041">
        <v>0.2248268617291053</v>
      </c>
      <c r="J1041">
        <v>0</v>
      </c>
      <c r="K1041">
        <v>0</v>
      </c>
      <c r="L1041" s="2">
        <v>0</v>
      </c>
      <c r="M1041">
        <v>13.5</v>
      </c>
      <c r="N1041" t="s">
        <v>10236</v>
      </c>
    </row>
    <row r="1042" spans="1:14">
      <c r="A1042" t="s">
        <v>203</v>
      </c>
      <c r="B1042" t="s">
        <v>1224</v>
      </c>
      <c r="C1042">
        <f>"753815"</f>
        <v>0</v>
      </c>
      <c r="D1042">
        <v>1</v>
      </c>
      <c r="E1042">
        <v>0</v>
      </c>
      <c r="F1042" s="2">
        <v>0</v>
      </c>
      <c r="G1042">
        <v>0</v>
      </c>
      <c r="H1042">
        <v>1</v>
      </c>
      <c r="I1042">
        <v>0.2248268617291053</v>
      </c>
      <c r="J1042">
        <v>0</v>
      </c>
      <c r="K1042">
        <v>0</v>
      </c>
      <c r="L1042" s="2">
        <v>0</v>
      </c>
      <c r="M1042">
        <v>13.52</v>
      </c>
      <c r="N1042" t="s">
        <v>10236</v>
      </c>
    </row>
    <row r="1043" spans="1:14">
      <c r="A1043" t="s">
        <v>35</v>
      </c>
      <c r="B1043" t="s">
        <v>1225</v>
      </c>
      <c r="C1043">
        <f>"07691"</f>
        <v>0</v>
      </c>
      <c r="D1043">
        <v>1</v>
      </c>
      <c r="E1043">
        <v>0</v>
      </c>
      <c r="F1043" s="2">
        <v>0</v>
      </c>
      <c r="G1043">
        <v>0</v>
      </c>
      <c r="H1043">
        <v>1</v>
      </c>
      <c r="I1043">
        <v>0.2248268617291053</v>
      </c>
      <c r="J1043">
        <v>0</v>
      </c>
      <c r="K1043">
        <v>0</v>
      </c>
      <c r="L1043" s="2">
        <v>0</v>
      </c>
      <c r="M1043">
        <v>13.53</v>
      </c>
      <c r="N1043" t="s">
        <v>10236</v>
      </c>
    </row>
    <row r="1044" spans="1:14">
      <c r="A1044" t="s">
        <v>35</v>
      </c>
      <c r="B1044" t="s">
        <v>1226</v>
      </c>
      <c r="C1044">
        <f>"XI2"</f>
        <v>0</v>
      </c>
      <c r="D1044">
        <v>1</v>
      </c>
      <c r="E1044">
        <v>0</v>
      </c>
      <c r="F1044" s="2">
        <v>0</v>
      </c>
      <c r="G1044">
        <v>0</v>
      </c>
      <c r="H1044">
        <v>1</v>
      </c>
      <c r="I1044">
        <v>0.2248268617291053</v>
      </c>
      <c r="J1044">
        <v>0</v>
      </c>
      <c r="K1044">
        <v>0</v>
      </c>
      <c r="L1044" s="2">
        <v>0</v>
      </c>
      <c r="M1044">
        <v>13.54</v>
      </c>
      <c r="N1044" t="s">
        <v>10236</v>
      </c>
    </row>
    <row r="1045" spans="1:14">
      <c r="A1045" t="s">
        <v>196</v>
      </c>
      <c r="B1045" t="s">
        <v>1227</v>
      </c>
      <c r="C1045">
        <f>"2045"</f>
        <v>0</v>
      </c>
      <c r="D1045">
        <v>1</v>
      </c>
      <c r="E1045">
        <v>0</v>
      </c>
      <c r="F1045" s="2">
        <v>0</v>
      </c>
      <c r="G1045">
        <v>0</v>
      </c>
      <c r="H1045">
        <v>1</v>
      </c>
      <c r="I1045">
        <v>0.2248268617291053</v>
      </c>
      <c r="J1045">
        <v>0</v>
      </c>
      <c r="K1045">
        <v>0</v>
      </c>
      <c r="L1045" s="2">
        <v>0</v>
      </c>
      <c r="M1045">
        <v>13.55</v>
      </c>
      <c r="N1045" t="s">
        <v>10236</v>
      </c>
    </row>
    <row r="1046" spans="1:14">
      <c r="A1046" t="s">
        <v>213</v>
      </c>
      <c r="B1046" t="s">
        <v>1228</v>
      </c>
      <c r="C1046">
        <f>"500830"</f>
        <v>0</v>
      </c>
      <c r="D1046">
        <v>1</v>
      </c>
      <c r="E1046">
        <v>0</v>
      </c>
      <c r="F1046" s="2">
        <v>0</v>
      </c>
      <c r="G1046">
        <v>0</v>
      </c>
      <c r="H1046">
        <v>1</v>
      </c>
      <c r="I1046">
        <v>0.2248268617291053</v>
      </c>
      <c r="J1046">
        <v>0</v>
      </c>
      <c r="K1046">
        <v>0</v>
      </c>
      <c r="L1046" s="2">
        <v>0</v>
      </c>
      <c r="M1046">
        <v>13.56</v>
      </c>
      <c r="N1046" t="s">
        <v>10236</v>
      </c>
    </row>
    <row r="1047" spans="1:14">
      <c r="A1047" t="s">
        <v>196</v>
      </c>
      <c r="B1047" t="s">
        <v>1229</v>
      </c>
      <c r="C1047">
        <f>"2031"</f>
        <v>0</v>
      </c>
      <c r="D1047">
        <v>1</v>
      </c>
      <c r="E1047">
        <v>0</v>
      </c>
      <c r="F1047" s="2">
        <v>0</v>
      </c>
      <c r="G1047">
        <v>0</v>
      </c>
      <c r="H1047">
        <v>1</v>
      </c>
      <c r="I1047">
        <v>0.2248268617291053</v>
      </c>
      <c r="J1047">
        <v>0</v>
      </c>
      <c r="K1047">
        <v>0</v>
      </c>
      <c r="L1047" s="2">
        <v>0</v>
      </c>
      <c r="M1047">
        <v>13.58</v>
      </c>
      <c r="N1047" t="s">
        <v>10236</v>
      </c>
    </row>
    <row r="1048" spans="1:14">
      <c r="A1048" t="s">
        <v>35</v>
      </c>
      <c r="B1048" t="s">
        <v>1230</v>
      </c>
      <c r="C1048">
        <f>"PT015LCCUA"</f>
        <v>0</v>
      </c>
      <c r="D1048">
        <v>1</v>
      </c>
      <c r="E1048">
        <v>0</v>
      </c>
      <c r="F1048" s="2">
        <v>0</v>
      </c>
      <c r="G1048">
        <v>0</v>
      </c>
      <c r="H1048">
        <v>1</v>
      </c>
      <c r="I1048">
        <v>0.2248268617291053</v>
      </c>
      <c r="J1048">
        <v>0</v>
      </c>
      <c r="K1048">
        <v>0</v>
      </c>
      <c r="L1048" s="2">
        <v>0</v>
      </c>
      <c r="M1048">
        <v>13.59</v>
      </c>
      <c r="N1048" t="s">
        <v>10236</v>
      </c>
    </row>
    <row r="1049" spans="1:14">
      <c r="A1049" t="s">
        <v>35</v>
      </c>
      <c r="B1049" t="s">
        <v>1231</v>
      </c>
      <c r="C1049">
        <f>"CTB18VE"</f>
        <v>0</v>
      </c>
      <c r="D1049">
        <v>1</v>
      </c>
      <c r="E1049">
        <v>0</v>
      </c>
      <c r="F1049" s="2">
        <v>0</v>
      </c>
      <c r="G1049">
        <v>0</v>
      </c>
      <c r="H1049">
        <v>1</v>
      </c>
      <c r="I1049">
        <v>0.2248268617291053</v>
      </c>
      <c r="J1049">
        <v>0</v>
      </c>
      <c r="K1049">
        <v>0</v>
      </c>
      <c r="L1049" s="2">
        <v>0</v>
      </c>
      <c r="M1049">
        <v>13.6</v>
      </c>
      <c r="N1049" t="s">
        <v>10236</v>
      </c>
    </row>
    <row r="1050" spans="1:14">
      <c r="A1050" t="s">
        <v>32</v>
      </c>
      <c r="B1050" t="s">
        <v>1232</v>
      </c>
      <c r="C1050">
        <f>"5000264"</f>
        <v>0</v>
      </c>
      <c r="D1050">
        <v>1</v>
      </c>
      <c r="E1050">
        <v>0</v>
      </c>
      <c r="F1050" s="2">
        <v>0</v>
      </c>
      <c r="G1050">
        <v>0</v>
      </c>
      <c r="H1050">
        <v>1</v>
      </c>
      <c r="I1050">
        <v>0.2248268617291053</v>
      </c>
      <c r="J1050">
        <v>0</v>
      </c>
      <c r="K1050">
        <v>0</v>
      </c>
      <c r="L1050" s="2">
        <v>0</v>
      </c>
      <c r="M1050">
        <v>13.61</v>
      </c>
      <c r="N1050" t="s">
        <v>10236</v>
      </c>
    </row>
    <row r="1051" spans="1:14">
      <c r="A1051" t="s">
        <v>32</v>
      </c>
      <c r="B1051" t="s">
        <v>1233</v>
      </c>
      <c r="C1051">
        <f>"5000203"</f>
        <v>0</v>
      </c>
      <c r="D1051">
        <v>1</v>
      </c>
      <c r="E1051">
        <v>0</v>
      </c>
      <c r="F1051" s="2">
        <v>0</v>
      </c>
      <c r="G1051">
        <v>0</v>
      </c>
      <c r="H1051">
        <v>1</v>
      </c>
      <c r="I1051">
        <v>0.2248268617291053</v>
      </c>
      <c r="J1051">
        <v>0</v>
      </c>
      <c r="K1051">
        <v>0</v>
      </c>
      <c r="L1051" s="2">
        <v>0</v>
      </c>
      <c r="M1051">
        <v>13.62</v>
      </c>
      <c r="N1051" t="s">
        <v>10236</v>
      </c>
    </row>
    <row r="1052" spans="1:14">
      <c r="A1052" t="s">
        <v>24</v>
      </c>
      <c r="B1052" t="s">
        <v>1234</v>
      </c>
      <c r="C1052">
        <f>"1113021"</f>
        <v>0</v>
      </c>
      <c r="D1052">
        <v>1</v>
      </c>
      <c r="E1052">
        <v>0</v>
      </c>
      <c r="F1052" s="2">
        <v>0</v>
      </c>
      <c r="G1052">
        <v>0</v>
      </c>
      <c r="H1052">
        <v>1</v>
      </c>
      <c r="I1052">
        <v>0.2248268617291053</v>
      </c>
      <c r="J1052">
        <v>0</v>
      </c>
      <c r="K1052">
        <v>0</v>
      </c>
      <c r="L1052" s="2">
        <v>0</v>
      </c>
      <c r="M1052">
        <v>13.64</v>
      </c>
      <c r="N1052" t="s">
        <v>10236</v>
      </c>
    </row>
    <row r="1053" spans="1:14">
      <c r="A1053" t="s">
        <v>35</v>
      </c>
      <c r="B1053" t="s">
        <v>1235</v>
      </c>
      <c r="C1053">
        <f>"BRI18"</f>
        <v>0</v>
      </c>
      <c r="D1053">
        <v>1</v>
      </c>
      <c r="E1053">
        <v>0</v>
      </c>
      <c r="F1053" s="2">
        <v>0</v>
      </c>
      <c r="G1053">
        <v>0</v>
      </c>
      <c r="H1053">
        <v>1</v>
      </c>
      <c r="I1053">
        <v>0.2248268617291053</v>
      </c>
      <c r="J1053">
        <v>0</v>
      </c>
      <c r="K1053">
        <v>0</v>
      </c>
      <c r="L1053" s="2">
        <v>0</v>
      </c>
      <c r="M1053">
        <v>13.65</v>
      </c>
      <c r="N1053" t="s">
        <v>10236</v>
      </c>
    </row>
    <row r="1054" spans="1:14">
      <c r="A1054" t="s">
        <v>35</v>
      </c>
      <c r="B1054" t="s">
        <v>1236</v>
      </c>
      <c r="C1054">
        <f>"PT051"</f>
        <v>0</v>
      </c>
      <c r="D1054">
        <v>1</v>
      </c>
      <c r="E1054">
        <v>0</v>
      </c>
      <c r="F1054" s="2">
        <v>0</v>
      </c>
      <c r="G1054">
        <v>0</v>
      </c>
      <c r="H1054">
        <v>1</v>
      </c>
      <c r="I1054">
        <v>0.2248268617291053</v>
      </c>
      <c r="J1054">
        <v>0</v>
      </c>
      <c r="K1054">
        <v>0</v>
      </c>
      <c r="L1054" s="2">
        <v>0</v>
      </c>
      <c r="M1054">
        <v>13.66</v>
      </c>
      <c r="N1054" t="s">
        <v>10236</v>
      </c>
    </row>
    <row r="1055" spans="1:14">
      <c r="A1055" t="s">
        <v>25</v>
      </c>
      <c r="B1055" t="s">
        <v>1237</v>
      </c>
      <c r="C1055">
        <f>"00222"</f>
        <v>0</v>
      </c>
      <c r="D1055">
        <v>1</v>
      </c>
      <c r="E1055">
        <v>0</v>
      </c>
      <c r="F1055" s="2">
        <v>0</v>
      </c>
      <c r="G1055">
        <v>0</v>
      </c>
      <c r="H1055">
        <v>1</v>
      </c>
      <c r="I1055">
        <v>0.2248268617291053</v>
      </c>
      <c r="J1055">
        <v>0</v>
      </c>
      <c r="K1055">
        <v>0</v>
      </c>
      <c r="L1055" s="2">
        <v>0</v>
      </c>
      <c r="M1055">
        <v>13.67</v>
      </c>
      <c r="N1055" t="s">
        <v>10236</v>
      </c>
    </row>
    <row r="1056" spans="1:14">
      <c r="A1056" t="s">
        <v>219</v>
      </c>
      <c r="B1056" t="s">
        <v>1238</v>
      </c>
      <c r="C1056">
        <f>"PRWGCC"</f>
        <v>0</v>
      </c>
      <c r="D1056">
        <v>1</v>
      </c>
      <c r="E1056">
        <v>0</v>
      </c>
      <c r="F1056" s="2">
        <v>0</v>
      </c>
      <c r="G1056">
        <v>0</v>
      </c>
      <c r="H1056">
        <v>1</v>
      </c>
      <c r="I1056">
        <v>0.2248268617291053</v>
      </c>
      <c r="J1056">
        <v>0</v>
      </c>
      <c r="K1056">
        <v>0</v>
      </c>
      <c r="L1056" s="2">
        <v>0</v>
      </c>
      <c r="M1056">
        <v>13.68</v>
      </c>
      <c r="N1056" t="s">
        <v>10236</v>
      </c>
    </row>
    <row r="1057" spans="1:14">
      <c r="A1057" t="s">
        <v>209</v>
      </c>
      <c r="B1057" t="s">
        <v>1239</v>
      </c>
      <c r="C1057">
        <f>"4PE020003"</f>
        <v>0</v>
      </c>
      <c r="D1057">
        <v>1</v>
      </c>
      <c r="E1057">
        <v>0</v>
      </c>
      <c r="F1057" s="2">
        <v>0</v>
      </c>
      <c r="G1057">
        <v>0</v>
      </c>
      <c r="H1057">
        <v>1</v>
      </c>
      <c r="I1057">
        <v>0.2248268617291053</v>
      </c>
      <c r="J1057">
        <v>0</v>
      </c>
      <c r="K1057">
        <v>0</v>
      </c>
      <c r="L1057" s="2">
        <v>0</v>
      </c>
      <c r="M1057">
        <v>13.7</v>
      </c>
      <c r="N1057" t="s">
        <v>10236</v>
      </c>
    </row>
    <row r="1058" spans="1:14">
      <c r="A1058" t="s">
        <v>209</v>
      </c>
      <c r="B1058" t="s">
        <v>1240</v>
      </c>
      <c r="C1058">
        <f>"4PE020004"</f>
        <v>0</v>
      </c>
      <c r="D1058">
        <v>1</v>
      </c>
      <c r="E1058">
        <v>0</v>
      </c>
      <c r="F1058" s="2">
        <v>0</v>
      </c>
      <c r="G1058">
        <v>0</v>
      </c>
      <c r="H1058">
        <v>1</v>
      </c>
      <c r="I1058">
        <v>0.2248268617291053</v>
      </c>
      <c r="J1058">
        <v>0</v>
      </c>
      <c r="K1058">
        <v>0</v>
      </c>
      <c r="L1058" s="2">
        <v>0</v>
      </c>
      <c r="M1058">
        <v>13.71</v>
      </c>
      <c r="N1058" t="s">
        <v>10236</v>
      </c>
    </row>
    <row r="1059" spans="1:14">
      <c r="A1059" t="s">
        <v>35</v>
      </c>
      <c r="B1059" t="s">
        <v>1241</v>
      </c>
      <c r="C1059">
        <f>"167R"</f>
        <v>0</v>
      </c>
      <c r="D1059">
        <v>1</v>
      </c>
      <c r="E1059">
        <v>0</v>
      </c>
      <c r="F1059" s="2">
        <v>0</v>
      </c>
      <c r="G1059">
        <v>0</v>
      </c>
      <c r="H1059">
        <v>1</v>
      </c>
      <c r="I1059">
        <v>0.2248268617291053</v>
      </c>
      <c r="J1059">
        <v>0</v>
      </c>
      <c r="K1059">
        <v>0</v>
      </c>
      <c r="L1059" s="2">
        <v>0</v>
      </c>
      <c r="M1059">
        <v>13.72</v>
      </c>
      <c r="N1059" t="s">
        <v>10236</v>
      </c>
    </row>
    <row r="1060" spans="1:14">
      <c r="A1060" t="s">
        <v>29</v>
      </c>
      <c r="B1060" t="s">
        <v>1242</v>
      </c>
      <c r="C1060">
        <f>"CHJ1500"</f>
        <v>0</v>
      </c>
      <c r="D1060">
        <v>1</v>
      </c>
      <c r="E1060">
        <v>0</v>
      </c>
      <c r="F1060" s="2">
        <v>0</v>
      </c>
      <c r="G1060">
        <v>0</v>
      </c>
      <c r="H1060">
        <v>1</v>
      </c>
      <c r="I1060">
        <v>0.2248268617291053</v>
      </c>
      <c r="J1060">
        <v>0</v>
      </c>
      <c r="K1060">
        <v>0</v>
      </c>
      <c r="L1060" s="2">
        <v>0</v>
      </c>
      <c r="M1060">
        <v>13.73</v>
      </c>
      <c r="N1060" t="s">
        <v>10236</v>
      </c>
    </row>
    <row r="1061" spans="1:14">
      <c r="A1061" t="s">
        <v>29</v>
      </c>
      <c r="B1061" t="s">
        <v>1243</v>
      </c>
      <c r="C1061">
        <f>"JTP10000R"</f>
        <v>0</v>
      </c>
      <c r="D1061">
        <v>1</v>
      </c>
      <c r="E1061">
        <v>0</v>
      </c>
      <c r="F1061" s="2">
        <v>0</v>
      </c>
      <c r="G1061">
        <v>0</v>
      </c>
      <c r="H1061">
        <v>1</v>
      </c>
      <c r="I1061">
        <v>0.2248268617291053</v>
      </c>
      <c r="J1061">
        <v>0</v>
      </c>
      <c r="K1061">
        <v>0</v>
      </c>
      <c r="L1061" s="2">
        <v>0</v>
      </c>
      <c r="M1061">
        <v>13.74</v>
      </c>
      <c r="N1061" t="s">
        <v>10236</v>
      </c>
    </row>
    <row r="1062" spans="1:14">
      <c r="A1062" t="s">
        <v>29</v>
      </c>
      <c r="B1062" t="s">
        <v>1244</v>
      </c>
      <c r="C1062">
        <f>"CHJ900"</f>
        <v>0</v>
      </c>
      <c r="D1062">
        <v>1</v>
      </c>
      <c r="E1062">
        <v>0</v>
      </c>
      <c r="F1062" s="2">
        <v>0</v>
      </c>
      <c r="G1062">
        <v>0</v>
      </c>
      <c r="H1062">
        <v>1</v>
      </c>
      <c r="I1062">
        <v>0.2248268617291053</v>
      </c>
      <c r="J1062">
        <v>0</v>
      </c>
      <c r="K1062">
        <v>0</v>
      </c>
      <c r="L1062" s="2">
        <v>0</v>
      </c>
      <c r="M1062">
        <v>13.75</v>
      </c>
      <c r="N1062" t="s">
        <v>10236</v>
      </c>
    </row>
    <row r="1063" spans="1:14">
      <c r="A1063" t="s">
        <v>35</v>
      </c>
      <c r="B1063" t="s">
        <v>1245</v>
      </c>
      <c r="C1063">
        <f>"PT005MR"</f>
        <v>0</v>
      </c>
      <c r="D1063">
        <v>1</v>
      </c>
      <c r="E1063">
        <v>0</v>
      </c>
      <c r="F1063" s="2">
        <v>0</v>
      </c>
      <c r="G1063">
        <v>0</v>
      </c>
      <c r="H1063">
        <v>1</v>
      </c>
      <c r="I1063">
        <v>0.2248268617291053</v>
      </c>
      <c r="J1063">
        <v>0</v>
      </c>
      <c r="K1063">
        <v>0</v>
      </c>
      <c r="L1063" s="2">
        <v>0</v>
      </c>
      <c r="M1063">
        <v>13.77</v>
      </c>
      <c r="N1063" t="s">
        <v>10236</v>
      </c>
    </row>
    <row r="1064" spans="1:14">
      <c r="A1064" t="s">
        <v>35</v>
      </c>
      <c r="B1064" t="s">
        <v>1246</v>
      </c>
      <c r="C1064">
        <f>"PT005LR"</f>
        <v>0</v>
      </c>
      <c r="D1064">
        <v>1</v>
      </c>
      <c r="E1064">
        <v>0</v>
      </c>
      <c r="F1064" s="2">
        <v>0</v>
      </c>
      <c r="G1064">
        <v>0</v>
      </c>
      <c r="H1064">
        <v>1</v>
      </c>
      <c r="I1064">
        <v>0.2248268617291053</v>
      </c>
      <c r="J1064">
        <v>0</v>
      </c>
      <c r="K1064">
        <v>0</v>
      </c>
      <c r="L1064" s="2">
        <v>0</v>
      </c>
      <c r="M1064">
        <v>13.78</v>
      </c>
      <c r="N1064" t="s">
        <v>10236</v>
      </c>
    </row>
    <row r="1065" spans="1:14">
      <c r="A1065" t="s">
        <v>35</v>
      </c>
      <c r="B1065" t="s">
        <v>1247</v>
      </c>
      <c r="C1065">
        <f>"1015MA"</f>
        <v>0</v>
      </c>
      <c r="D1065">
        <v>1</v>
      </c>
      <c r="E1065">
        <v>0</v>
      </c>
      <c r="F1065" s="2">
        <v>0</v>
      </c>
      <c r="G1065">
        <v>0</v>
      </c>
      <c r="H1065">
        <v>1</v>
      </c>
      <c r="I1065">
        <v>0.2248268617291053</v>
      </c>
      <c r="J1065">
        <v>0</v>
      </c>
      <c r="K1065">
        <v>0</v>
      </c>
      <c r="L1065" s="2">
        <v>0</v>
      </c>
      <c r="M1065">
        <v>13.79</v>
      </c>
      <c r="N1065" t="s">
        <v>10236</v>
      </c>
    </row>
    <row r="1066" spans="1:14">
      <c r="A1066" t="s">
        <v>35</v>
      </c>
      <c r="B1066" t="s">
        <v>1248</v>
      </c>
      <c r="C1066">
        <f>"21502C"</f>
        <v>0</v>
      </c>
      <c r="D1066">
        <v>1</v>
      </c>
      <c r="E1066">
        <v>0</v>
      </c>
      <c r="F1066" s="2">
        <v>0</v>
      </c>
      <c r="G1066">
        <v>0</v>
      </c>
      <c r="H1066">
        <v>1</v>
      </c>
      <c r="I1066">
        <v>0.2248268617291053</v>
      </c>
      <c r="J1066">
        <v>0</v>
      </c>
      <c r="K1066">
        <v>0</v>
      </c>
      <c r="L1066" s="2">
        <v>0</v>
      </c>
      <c r="M1066">
        <v>13.8</v>
      </c>
      <c r="N1066" t="s">
        <v>10236</v>
      </c>
    </row>
    <row r="1067" spans="1:14">
      <c r="A1067" t="s">
        <v>35</v>
      </c>
      <c r="B1067" t="s">
        <v>1249</v>
      </c>
      <c r="C1067">
        <f>"D122"</f>
        <v>0</v>
      </c>
      <c r="D1067">
        <v>1</v>
      </c>
      <c r="E1067">
        <v>0</v>
      </c>
      <c r="F1067" s="2">
        <v>0</v>
      </c>
      <c r="G1067">
        <v>0</v>
      </c>
      <c r="H1067">
        <v>1</v>
      </c>
      <c r="I1067">
        <v>0.2248268617291053</v>
      </c>
      <c r="J1067">
        <v>0</v>
      </c>
      <c r="K1067">
        <v>0</v>
      </c>
      <c r="L1067" s="2">
        <v>0</v>
      </c>
      <c r="M1067">
        <v>13.81</v>
      </c>
      <c r="N1067" t="s">
        <v>10236</v>
      </c>
    </row>
    <row r="1068" spans="1:14">
      <c r="A1068" t="s">
        <v>35</v>
      </c>
      <c r="B1068" t="s">
        <v>1250</v>
      </c>
      <c r="C1068">
        <f>"ke4802"</f>
        <v>0</v>
      </c>
      <c r="D1068">
        <v>1</v>
      </c>
      <c r="E1068">
        <v>0</v>
      </c>
      <c r="F1068" s="2">
        <v>0</v>
      </c>
      <c r="G1068">
        <v>0</v>
      </c>
      <c r="H1068">
        <v>1</v>
      </c>
      <c r="I1068">
        <v>0.2248268617291053</v>
      </c>
      <c r="J1068">
        <v>0</v>
      </c>
      <c r="K1068">
        <v>0</v>
      </c>
      <c r="L1068" s="2">
        <v>0</v>
      </c>
      <c r="M1068">
        <v>13.83</v>
      </c>
      <c r="N1068" t="s">
        <v>10236</v>
      </c>
    </row>
    <row r="1069" spans="1:14">
      <c r="A1069" t="s">
        <v>35</v>
      </c>
      <c r="B1069" t="s">
        <v>1251</v>
      </c>
      <c r="C1069">
        <f>"MSIDAZ"</f>
        <v>0</v>
      </c>
      <c r="D1069">
        <v>1</v>
      </c>
      <c r="E1069">
        <v>0</v>
      </c>
      <c r="F1069" s="2">
        <v>0</v>
      </c>
      <c r="G1069">
        <v>0</v>
      </c>
      <c r="H1069">
        <v>1</v>
      </c>
      <c r="I1069">
        <v>0.2248268617291053</v>
      </c>
      <c r="J1069">
        <v>0</v>
      </c>
      <c r="K1069">
        <v>0</v>
      </c>
      <c r="L1069" s="2">
        <v>0</v>
      </c>
      <c r="M1069">
        <v>13.84</v>
      </c>
      <c r="N1069" t="s">
        <v>10236</v>
      </c>
    </row>
    <row r="1070" spans="1:14">
      <c r="A1070" t="s">
        <v>35</v>
      </c>
      <c r="B1070" t="s">
        <v>1252</v>
      </c>
      <c r="C1070">
        <f>"CZ12"</f>
        <v>0</v>
      </c>
      <c r="D1070">
        <v>1</v>
      </c>
      <c r="E1070">
        <v>0</v>
      </c>
      <c r="F1070" s="2">
        <v>0</v>
      </c>
      <c r="G1070">
        <v>0</v>
      </c>
      <c r="H1070">
        <v>1</v>
      </c>
      <c r="I1070">
        <v>0.2248268617291053</v>
      </c>
      <c r="J1070">
        <v>0</v>
      </c>
      <c r="K1070">
        <v>0</v>
      </c>
      <c r="L1070" s="2">
        <v>0</v>
      </c>
      <c r="M1070">
        <v>13.85</v>
      </c>
      <c r="N1070" t="s">
        <v>10236</v>
      </c>
    </row>
    <row r="1071" spans="1:14">
      <c r="A1071" t="s">
        <v>35</v>
      </c>
      <c r="B1071" t="s">
        <v>1253</v>
      </c>
      <c r="C1071">
        <f>"BR7A"</f>
        <v>0</v>
      </c>
      <c r="D1071">
        <v>1</v>
      </c>
      <c r="E1071">
        <v>0</v>
      </c>
      <c r="F1071" s="2">
        <v>0</v>
      </c>
      <c r="G1071">
        <v>0</v>
      </c>
      <c r="H1071">
        <v>1</v>
      </c>
      <c r="I1071">
        <v>0.2248268617291053</v>
      </c>
      <c r="J1071">
        <v>0</v>
      </c>
      <c r="K1071">
        <v>0</v>
      </c>
      <c r="L1071" s="2">
        <v>0</v>
      </c>
      <c r="M1071">
        <v>13.86</v>
      </c>
      <c r="N1071" t="s">
        <v>10236</v>
      </c>
    </row>
    <row r="1072" spans="1:14">
      <c r="A1072" t="s">
        <v>216</v>
      </c>
      <c r="B1072" t="s">
        <v>1254</v>
      </c>
      <c r="C1072">
        <f>"P007"</f>
        <v>0</v>
      </c>
      <c r="D1072">
        <v>1</v>
      </c>
      <c r="E1072">
        <v>0</v>
      </c>
      <c r="F1072" s="2">
        <v>0</v>
      </c>
      <c r="G1072">
        <v>0</v>
      </c>
      <c r="H1072">
        <v>1</v>
      </c>
      <c r="I1072">
        <v>0.2248268617291053</v>
      </c>
      <c r="J1072">
        <v>0</v>
      </c>
      <c r="K1072">
        <v>0</v>
      </c>
      <c r="L1072" s="2">
        <v>0</v>
      </c>
      <c r="M1072">
        <v>13.87</v>
      </c>
      <c r="N1072" t="s">
        <v>10236</v>
      </c>
    </row>
    <row r="1073" spans="1:14">
      <c r="A1073" t="s">
        <v>29</v>
      </c>
      <c r="B1073" t="s">
        <v>1255</v>
      </c>
      <c r="C1073">
        <f>"YBSZ04"</f>
        <v>0</v>
      </c>
      <c r="D1073">
        <v>1</v>
      </c>
      <c r="E1073">
        <v>0</v>
      </c>
      <c r="F1073" s="2">
        <v>0</v>
      </c>
      <c r="G1073">
        <v>0</v>
      </c>
      <c r="H1073">
        <v>1</v>
      </c>
      <c r="I1073">
        <v>0.2248268617291053</v>
      </c>
      <c r="J1073">
        <v>0</v>
      </c>
      <c r="K1073">
        <v>0</v>
      </c>
      <c r="L1073" s="2">
        <v>0</v>
      </c>
      <c r="M1073">
        <v>13.89</v>
      </c>
      <c r="N1073" t="s">
        <v>10236</v>
      </c>
    </row>
    <row r="1074" spans="1:14">
      <c r="A1074" t="s">
        <v>216</v>
      </c>
      <c r="B1074" t="s">
        <v>1256</v>
      </c>
      <c r="C1074">
        <f>"PLATYC"</f>
        <v>0</v>
      </c>
      <c r="D1074">
        <v>1</v>
      </c>
      <c r="E1074">
        <v>0</v>
      </c>
      <c r="F1074" s="2">
        <v>0</v>
      </c>
      <c r="G1074">
        <v>0</v>
      </c>
      <c r="H1074">
        <v>1</v>
      </c>
      <c r="I1074">
        <v>0.2248268617291053</v>
      </c>
      <c r="J1074">
        <v>0</v>
      </c>
      <c r="K1074">
        <v>0</v>
      </c>
      <c r="L1074" s="2">
        <v>0</v>
      </c>
      <c r="M1074">
        <v>13.9</v>
      </c>
      <c r="N1074" t="s">
        <v>10236</v>
      </c>
    </row>
    <row r="1075" spans="1:14">
      <c r="A1075" t="s">
        <v>216</v>
      </c>
      <c r="B1075" t="s">
        <v>1257</v>
      </c>
      <c r="C1075">
        <f>"1651969818007"</f>
        <v>0</v>
      </c>
      <c r="D1075">
        <v>1</v>
      </c>
      <c r="E1075">
        <v>0</v>
      </c>
      <c r="F1075" s="2">
        <v>0</v>
      </c>
      <c r="G1075">
        <v>0</v>
      </c>
      <c r="H1075">
        <v>1</v>
      </c>
      <c r="I1075">
        <v>0.2248268617291053</v>
      </c>
      <c r="J1075">
        <v>0</v>
      </c>
      <c r="K1075">
        <v>0</v>
      </c>
      <c r="L1075" s="2">
        <v>0</v>
      </c>
      <c r="M1075">
        <v>13.91</v>
      </c>
      <c r="N1075" t="s">
        <v>10236</v>
      </c>
    </row>
    <row r="1076" spans="1:14">
      <c r="A1076" t="s">
        <v>35</v>
      </c>
      <c r="B1076" t="s">
        <v>1258</v>
      </c>
      <c r="C1076">
        <f>"KL160N"</f>
        <v>0</v>
      </c>
      <c r="D1076">
        <v>1</v>
      </c>
      <c r="E1076">
        <v>0</v>
      </c>
      <c r="F1076" s="2">
        <v>0</v>
      </c>
      <c r="G1076">
        <v>0</v>
      </c>
      <c r="H1076">
        <v>1</v>
      </c>
      <c r="I1076">
        <v>0.2248268617291053</v>
      </c>
      <c r="J1076">
        <v>0</v>
      </c>
      <c r="K1076">
        <v>0</v>
      </c>
      <c r="L1076" s="2">
        <v>0</v>
      </c>
      <c r="M1076">
        <v>13.92</v>
      </c>
      <c r="N1076" t="s">
        <v>10236</v>
      </c>
    </row>
    <row r="1077" spans="1:14">
      <c r="A1077" t="s">
        <v>35</v>
      </c>
      <c r="B1077" t="s">
        <v>1259</v>
      </c>
      <c r="C1077">
        <f>"KL160KSB"</f>
        <v>0</v>
      </c>
      <c r="D1077">
        <v>1</v>
      </c>
      <c r="E1077">
        <v>0</v>
      </c>
      <c r="F1077" s="2">
        <v>0</v>
      </c>
      <c r="G1077">
        <v>0</v>
      </c>
      <c r="H1077">
        <v>1</v>
      </c>
      <c r="I1077">
        <v>0.2248268617291053</v>
      </c>
      <c r="J1077">
        <v>0</v>
      </c>
      <c r="K1077">
        <v>0</v>
      </c>
      <c r="L1077" s="2">
        <v>0</v>
      </c>
      <c r="M1077">
        <v>13.93</v>
      </c>
      <c r="N1077" t="s">
        <v>10236</v>
      </c>
    </row>
    <row r="1078" spans="1:14">
      <c r="A1078" t="s">
        <v>35</v>
      </c>
      <c r="B1078" t="s">
        <v>1260</v>
      </c>
      <c r="C1078">
        <f>"PX7201"</f>
        <v>0</v>
      </c>
      <c r="D1078">
        <v>1</v>
      </c>
      <c r="E1078">
        <v>0</v>
      </c>
      <c r="F1078" s="2">
        <v>0</v>
      </c>
      <c r="G1078">
        <v>0</v>
      </c>
      <c r="H1078">
        <v>1</v>
      </c>
      <c r="I1078">
        <v>0.2248268617291053</v>
      </c>
      <c r="J1078">
        <v>0</v>
      </c>
      <c r="K1078">
        <v>0</v>
      </c>
      <c r="L1078" s="2">
        <v>0</v>
      </c>
      <c r="M1078">
        <v>13.95</v>
      </c>
      <c r="N1078" t="s">
        <v>10236</v>
      </c>
    </row>
    <row r="1079" spans="1:14">
      <c r="A1079" t="s">
        <v>216</v>
      </c>
      <c r="B1079" t="s">
        <v>1261</v>
      </c>
      <c r="C1079">
        <f>"1576888547899"</f>
        <v>0</v>
      </c>
      <c r="D1079">
        <v>1</v>
      </c>
      <c r="E1079">
        <v>0</v>
      </c>
      <c r="F1079" s="2">
        <v>0</v>
      </c>
      <c r="G1079">
        <v>0</v>
      </c>
      <c r="H1079">
        <v>1</v>
      </c>
      <c r="I1079">
        <v>0.2248268617291053</v>
      </c>
      <c r="J1079">
        <v>0</v>
      </c>
      <c r="K1079">
        <v>0</v>
      </c>
      <c r="L1079" s="2">
        <v>0</v>
      </c>
      <c r="M1079">
        <v>13.96</v>
      </c>
      <c r="N1079" t="s">
        <v>10236</v>
      </c>
    </row>
    <row r="1080" spans="1:14">
      <c r="A1080" t="s">
        <v>216</v>
      </c>
      <c r="B1080" t="s">
        <v>1262</v>
      </c>
      <c r="C1080">
        <f>"1651969760052"</f>
        <v>0</v>
      </c>
      <c r="D1080">
        <v>1</v>
      </c>
      <c r="E1080">
        <v>0</v>
      </c>
      <c r="F1080" s="2">
        <v>0</v>
      </c>
      <c r="G1080">
        <v>0</v>
      </c>
      <c r="H1080">
        <v>1</v>
      </c>
      <c r="I1080">
        <v>0.2248268617291053</v>
      </c>
      <c r="J1080">
        <v>0</v>
      </c>
      <c r="K1080">
        <v>0</v>
      </c>
      <c r="L1080" s="2">
        <v>0</v>
      </c>
      <c r="M1080">
        <v>13.97</v>
      </c>
      <c r="N1080" t="s">
        <v>10236</v>
      </c>
    </row>
    <row r="1081" spans="1:14">
      <c r="A1081" t="s">
        <v>202</v>
      </c>
      <c r="B1081" t="s">
        <v>1263</v>
      </c>
      <c r="C1081">
        <f>"13201017"</f>
        <v>0</v>
      </c>
      <c r="D1081">
        <v>1</v>
      </c>
      <c r="E1081">
        <v>0</v>
      </c>
      <c r="F1081" s="2">
        <v>0</v>
      </c>
      <c r="G1081">
        <v>0</v>
      </c>
      <c r="H1081">
        <v>1</v>
      </c>
      <c r="I1081">
        <v>0.2248268617291053</v>
      </c>
      <c r="J1081">
        <v>0</v>
      </c>
      <c r="K1081">
        <v>0</v>
      </c>
      <c r="L1081" s="2">
        <v>0</v>
      </c>
      <c r="M1081">
        <v>13.98</v>
      </c>
      <c r="N1081" t="s">
        <v>10236</v>
      </c>
    </row>
    <row r="1082" spans="1:14">
      <c r="A1082" t="s">
        <v>35</v>
      </c>
      <c r="B1082" t="s">
        <v>1264</v>
      </c>
      <c r="C1082">
        <f>"SDR211"</f>
        <v>0</v>
      </c>
      <c r="D1082">
        <v>1</v>
      </c>
      <c r="E1082">
        <v>0</v>
      </c>
      <c r="F1082" s="2">
        <v>0</v>
      </c>
      <c r="G1082">
        <v>0</v>
      </c>
      <c r="H1082">
        <v>1</v>
      </c>
      <c r="I1082">
        <v>0.2248268617291053</v>
      </c>
      <c r="J1082">
        <v>0</v>
      </c>
      <c r="K1082">
        <v>0</v>
      </c>
      <c r="L1082" s="2">
        <v>0</v>
      </c>
      <c r="M1082">
        <v>13.99</v>
      </c>
      <c r="N1082" t="s">
        <v>10236</v>
      </c>
    </row>
    <row r="1083" spans="1:14">
      <c r="A1083" t="s">
        <v>32</v>
      </c>
      <c r="B1083" t="s">
        <v>1265</v>
      </c>
      <c r="C1083">
        <f>"5000200"</f>
        <v>0</v>
      </c>
      <c r="D1083">
        <v>1</v>
      </c>
      <c r="E1083">
        <v>0</v>
      </c>
      <c r="F1083" s="2">
        <v>0</v>
      </c>
      <c r="G1083">
        <v>0</v>
      </c>
      <c r="H1083">
        <v>1</v>
      </c>
      <c r="I1083">
        <v>0.2248268617291053</v>
      </c>
      <c r="J1083">
        <v>0</v>
      </c>
      <c r="K1083">
        <v>0</v>
      </c>
      <c r="L1083" s="2">
        <v>0</v>
      </c>
      <c r="M1083">
        <v>14</v>
      </c>
      <c r="N1083" t="s">
        <v>10236</v>
      </c>
    </row>
    <row r="1084" spans="1:14">
      <c r="A1084" t="s">
        <v>35</v>
      </c>
      <c r="B1084" t="s">
        <v>1266</v>
      </c>
      <c r="C1084">
        <f>"X1341XLROS"</f>
        <v>0</v>
      </c>
      <c r="D1084">
        <v>1</v>
      </c>
      <c r="E1084">
        <v>0</v>
      </c>
      <c r="F1084" s="2">
        <v>0</v>
      </c>
      <c r="G1084">
        <v>0</v>
      </c>
      <c r="H1084">
        <v>1</v>
      </c>
      <c r="I1084">
        <v>0.2248268617291053</v>
      </c>
      <c r="J1084">
        <v>0</v>
      </c>
      <c r="K1084">
        <v>0</v>
      </c>
      <c r="L1084" s="2">
        <v>0</v>
      </c>
      <c r="M1084">
        <v>14.02</v>
      </c>
      <c r="N1084" t="s">
        <v>10236</v>
      </c>
    </row>
    <row r="1085" spans="1:14">
      <c r="A1085" t="s">
        <v>195</v>
      </c>
      <c r="B1085" t="s">
        <v>1267</v>
      </c>
      <c r="C1085">
        <f>"25395869"</f>
        <v>0</v>
      </c>
      <c r="D1085">
        <v>1</v>
      </c>
      <c r="E1085">
        <v>0</v>
      </c>
      <c r="F1085" s="2">
        <v>0</v>
      </c>
      <c r="G1085">
        <v>0</v>
      </c>
      <c r="H1085">
        <v>1</v>
      </c>
      <c r="I1085">
        <v>0.2248268617291053</v>
      </c>
      <c r="J1085">
        <v>0</v>
      </c>
      <c r="K1085">
        <v>0</v>
      </c>
      <c r="L1085" s="2">
        <v>0</v>
      </c>
      <c r="M1085">
        <v>14.03</v>
      </c>
      <c r="N1085" t="s">
        <v>10236</v>
      </c>
    </row>
    <row r="1086" spans="1:14">
      <c r="A1086" t="s">
        <v>195</v>
      </c>
      <c r="B1086" t="s">
        <v>1268</v>
      </c>
      <c r="C1086">
        <f>"25390148"</f>
        <v>0</v>
      </c>
      <c r="D1086">
        <v>1</v>
      </c>
      <c r="E1086">
        <v>0</v>
      </c>
      <c r="F1086" s="2">
        <v>0</v>
      </c>
      <c r="G1086">
        <v>0</v>
      </c>
      <c r="H1086">
        <v>1</v>
      </c>
      <c r="I1086">
        <v>0.2248268617291053</v>
      </c>
      <c r="J1086">
        <v>0</v>
      </c>
      <c r="K1086">
        <v>0</v>
      </c>
      <c r="L1086" s="2">
        <v>0</v>
      </c>
      <c r="M1086">
        <v>14.04</v>
      </c>
      <c r="N1086" t="s">
        <v>10236</v>
      </c>
    </row>
    <row r="1087" spans="1:14">
      <c r="A1087" t="s">
        <v>35</v>
      </c>
      <c r="B1087" t="s">
        <v>1269</v>
      </c>
      <c r="C1087">
        <f>"CT239"</f>
        <v>0</v>
      </c>
      <c r="D1087">
        <v>1</v>
      </c>
      <c r="E1087">
        <v>0</v>
      </c>
      <c r="F1087" s="2">
        <v>0</v>
      </c>
      <c r="G1087">
        <v>0</v>
      </c>
      <c r="H1087">
        <v>1</v>
      </c>
      <c r="I1087">
        <v>0.2248268617291053</v>
      </c>
      <c r="J1087">
        <v>0</v>
      </c>
      <c r="K1087">
        <v>0</v>
      </c>
      <c r="L1087" s="2">
        <v>0</v>
      </c>
      <c r="M1087">
        <v>14.05</v>
      </c>
      <c r="N1087" t="s">
        <v>10236</v>
      </c>
    </row>
    <row r="1088" spans="1:14">
      <c r="A1088" t="s">
        <v>35</v>
      </c>
      <c r="B1088" t="s">
        <v>1270</v>
      </c>
      <c r="C1088">
        <f>"PT090PAV"</f>
        <v>0</v>
      </c>
      <c r="D1088">
        <v>1</v>
      </c>
      <c r="E1088">
        <v>0</v>
      </c>
      <c r="F1088" s="2">
        <v>0</v>
      </c>
      <c r="G1088">
        <v>0</v>
      </c>
      <c r="H1088">
        <v>1</v>
      </c>
      <c r="I1088">
        <v>0.2248268617291053</v>
      </c>
      <c r="J1088">
        <v>0</v>
      </c>
      <c r="K1088">
        <v>0</v>
      </c>
      <c r="L1088" s="2">
        <v>0</v>
      </c>
      <c r="M1088">
        <v>14.06</v>
      </c>
      <c r="N1088" t="s">
        <v>10236</v>
      </c>
    </row>
    <row r="1089" spans="1:14">
      <c r="A1089" t="s">
        <v>35</v>
      </c>
      <c r="B1089" t="s">
        <v>1271</v>
      </c>
      <c r="C1089">
        <f>"9156AZ"</f>
        <v>0</v>
      </c>
      <c r="D1089">
        <v>1</v>
      </c>
      <c r="E1089">
        <v>0</v>
      </c>
      <c r="F1089" s="2">
        <v>0</v>
      </c>
      <c r="G1089">
        <v>0</v>
      </c>
      <c r="H1089">
        <v>1</v>
      </c>
      <c r="I1089">
        <v>0.2248268617291053</v>
      </c>
      <c r="J1089">
        <v>0</v>
      </c>
      <c r="K1089">
        <v>0</v>
      </c>
      <c r="L1089" s="2">
        <v>0</v>
      </c>
      <c r="M1089">
        <v>14.08</v>
      </c>
      <c r="N1089" t="s">
        <v>10236</v>
      </c>
    </row>
    <row r="1090" spans="1:14">
      <c r="A1090" t="s">
        <v>35</v>
      </c>
      <c r="B1090" t="s">
        <v>1272</v>
      </c>
      <c r="C1090">
        <f>"BK01SM"</f>
        <v>0</v>
      </c>
      <c r="D1090">
        <v>1</v>
      </c>
      <c r="E1090">
        <v>0</v>
      </c>
      <c r="F1090" s="2">
        <v>0</v>
      </c>
      <c r="G1090">
        <v>0</v>
      </c>
      <c r="H1090">
        <v>1</v>
      </c>
      <c r="I1090">
        <v>0.2248268617291053</v>
      </c>
      <c r="J1090">
        <v>0</v>
      </c>
      <c r="K1090">
        <v>0</v>
      </c>
      <c r="L1090" s="2">
        <v>0</v>
      </c>
      <c r="M1090">
        <v>14.09</v>
      </c>
      <c r="N1090" t="s">
        <v>10236</v>
      </c>
    </row>
    <row r="1091" spans="1:14">
      <c r="A1091" t="s">
        <v>35</v>
      </c>
      <c r="B1091" t="s">
        <v>1273</v>
      </c>
      <c r="C1091">
        <f>"6952ROS"</f>
        <v>0</v>
      </c>
      <c r="D1091">
        <v>1</v>
      </c>
      <c r="E1091">
        <v>0</v>
      </c>
      <c r="F1091" s="2">
        <v>0</v>
      </c>
      <c r="G1091">
        <v>0</v>
      </c>
      <c r="H1091">
        <v>1</v>
      </c>
      <c r="I1091">
        <v>0.2248268617291053</v>
      </c>
      <c r="J1091">
        <v>0</v>
      </c>
      <c r="K1091">
        <v>0</v>
      </c>
      <c r="L1091" s="2">
        <v>0</v>
      </c>
      <c r="M1091">
        <v>14.1</v>
      </c>
      <c r="N1091" t="s">
        <v>10236</v>
      </c>
    </row>
    <row r="1092" spans="1:14">
      <c r="A1092" t="s">
        <v>35</v>
      </c>
      <c r="B1092" t="s">
        <v>1274</v>
      </c>
      <c r="C1092">
        <f>"3113C"</f>
        <v>0</v>
      </c>
      <c r="D1092">
        <v>1</v>
      </c>
      <c r="E1092">
        <v>0</v>
      </c>
      <c r="F1092" s="2">
        <v>0</v>
      </c>
      <c r="G1092">
        <v>0</v>
      </c>
      <c r="H1092">
        <v>1</v>
      </c>
      <c r="I1092">
        <v>0.2248268617291053</v>
      </c>
      <c r="J1092">
        <v>0</v>
      </c>
      <c r="K1092">
        <v>0</v>
      </c>
      <c r="L1092" s="2">
        <v>0</v>
      </c>
      <c r="M1092">
        <v>14.11</v>
      </c>
      <c r="N1092" t="s">
        <v>10236</v>
      </c>
    </row>
    <row r="1093" spans="1:14">
      <c r="A1093" t="s">
        <v>35</v>
      </c>
      <c r="B1093" t="s">
        <v>1275</v>
      </c>
      <c r="C1093">
        <f>"CBT27"</f>
        <v>0</v>
      </c>
      <c r="D1093">
        <v>1</v>
      </c>
      <c r="E1093">
        <v>0</v>
      </c>
      <c r="F1093" s="2">
        <v>0</v>
      </c>
      <c r="G1093">
        <v>0</v>
      </c>
      <c r="H1093">
        <v>1</v>
      </c>
      <c r="I1093">
        <v>0.2248268617291053</v>
      </c>
      <c r="J1093">
        <v>0</v>
      </c>
      <c r="K1093">
        <v>0</v>
      </c>
      <c r="L1093" s="2">
        <v>0</v>
      </c>
      <c r="M1093">
        <v>14.12</v>
      </c>
      <c r="N1093" t="s">
        <v>10236</v>
      </c>
    </row>
    <row r="1094" spans="1:14">
      <c r="A1094" t="s">
        <v>32</v>
      </c>
      <c r="B1094" t="s">
        <v>1276</v>
      </c>
      <c r="C1094">
        <f>"5000201"</f>
        <v>0</v>
      </c>
      <c r="D1094">
        <v>1</v>
      </c>
      <c r="E1094">
        <v>0</v>
      </c>
      <c r="F1094" s="2">
        <v>0</v>
      </c>
      <c r="G1094">
        <v>0</v>
      </c>
      <c r="H1094">
        <v>1</v>
      </c>
      <c r="I1094">
        <v>0.2248268617291053</v>
      </c>
      <c r="J1094">
        <v>0</v>
      </c>
      <c r="K1094">
        <v>0</v>
      </c>
      <c r="L1094" s="2">
        <v>0</v>
      </c>
      <c r="M1094">
        <v>14.14</v>
      </c>
      <c r="N1094" t="s">
        <v>10236</v>
      </c>
    </row>
    <row r="1095" spans="1:14">
      <c r="A1095" t="s">
        <v>25</v>
      </c>
      <c r="B1095" t="s">
        <v>1277</v>
      </c>
      <c r="C1095">
        <f>"3537"</f>
        <v>0</v>
      </c>
      <c r="D1095">
        <v>1</v>
      </c>
      <c r="E1095">
        <v>0</v>
      </c>
      <c r="F1095" s="2">
        <v>0</v>
      </c>
      <c r="G1095">
        <v>0</v>
      </c>
      <c r="H1095">
        <v>1</v>
      </c>
      <c r="I1095">
        <v>0.2248268617291053</v>
      </c>
      <c r="J1095">
        <v>0</v>
      </c>
      <c r="K1095">
        <v>0</v>
      </c>
      <c r="L1095" s="2">
        <v>0</v>
      </c>
      <c r="M1095">
        <v>14.15</v>
      </c>
      <c r="N1095" t="s">
        <v>10236</v>
      </c>
    </row>
    <row r="1096" spans="1:14">
      <c r="A1096" t="s">
        <v>215</v>
      </c>
      <c r="B1096" t="s">
        <v>1278</v>
      </c>
      <c r="C1096">
        <f>"BCAC4405"</f>
        <v>0</v>
      </c>
      <c r="D1096">
        <v>1</v>
      </c>
      <c r="E1096">
        <v>0</v>
      </c>
      <c r="F1096" s="2">
        <v>0</v>
      </c>
      <c r="G1096">
        <v>0</v>
      </c>
      <c r="H1096">
        <v>1</v>
      </c>
      <c r="I1096">
        <v>0.2248268617291053</v>
      </c>
      <c r="J1096">
        <v>0</v>
      </c>
      <c r="K1096">
        <v>0</v>
      </c>
      <c r="L1096" s="2">
        <v>0</v>
      </c>
      <c r="M1096">
        <v>14.16</v>
      </c>
      <c r="N1096" t="s">
        <v>10236</v>
      </c>
    </row>
    <row r="1097" spans="1:14">
      <c r="A1097" t="s">
        <v>193</v>
      </c>
      <c r="B1097" t="s">
        <v>1279</v>
      </c>
      <c r="C1097">
        <f>"2GA335"</f>
        <v>0</v>
      </c>
      <c r="D1097">
        <v>1</v>
      </c>
      <c r="E1097">
        <v>0</v>
      </c>
      <c r="F1097" s="2">
        <v>0</v>
      </c>
      <c r="G1097">
        <v>0</v>
      </c>
      <c r="H1097">
        <v>1</v>
      </c>
      <c r="I1097">
        <v>0.2248268617291053</v>
      </c>
      <c r="J1097">
        <v>0</v>
      </c>
      <c r="K1097">
        <v>0</v>
      </c>
      <c r="L1097" s="2">
        <v>0</v>
      </c>
      <c r="M1097">
        <v>14.17</v>
      </c>
      <c r="N1097" t="s">
        <v>10236</v>
      </c>
    </row>
    <row r="1098" spans="1:14">
      <c r="A1098" t="s">
        <v>193</v>
      </c>
      <c r="B1098" t="s">
        <v>1280</v>
      </c>
      <c r="C1098">
        <f>"564882"</f>
        <v>0</v>
      </c>
      <c r="D1098">
        <v>1</v>
      </c>
      <c r="E1098">
        <v>0</v>
      </c>
      <c r="F1098" s="2">
        <v>0</v>
      </c>
      <c r="G1098">
        <v>0</v>
      </c>
      <c r="H1098">
        <v>1</v>
      </c>
      <c r="I1098">
        <v>0.2248268617291053</v>
      </c>
      <c r="J1098">
        <v>0</v>
      </c>
      <c r="K1098">
        <v>0</v>
      </c>
      <c r="L1098" s="2">
        <v>0</v>
      </c>
      <c r="M1098">
        <v>14.18</v>
      </c>
      <c r="N1098" t="s">
        <v>10236</v>
      </c>
    </row>
    <row r="1099" spans="1:14">
      <c r="A1099" t="s">
        <v>193</v>
      </c>
      <c r="B1099" t="s">
        <v>1281</v>
      </c>
      <c r="C1099">
        <f>"564424"</f>
        <v>0</v>
      </c>
      <c r="D1099">
        <v>1</v>
      </c>
      <c r="E1099">
        <v>0</v>
      </c>
      <c r="F1099" s="2">
        <v>0</v>
      </c>
      <c r="G1099">
        <v>0</v>
      </c>
      <c r="H1099">
        <v>1</v>
      </c>
      <c r="I1099">
        <v>0.2248268617291053</v>
      </c>
      <c r="J1099">
        <v>0</v>
      </c>
      <c r="K1099">
        <v>0</v>
      </c>
      <c r="L1099" s="2">
        <v>0</v>
      </c>
      <c r="M1099">
        <v>14.2</v>
      </c>
      <c r="N1099" t="s">
        <v>10236</v>
      </c>
    </row>
    <row r="1100" spans="1:14">
      <c r="A1100" t="s">
        <v>196</v>
      </c>
      <c r="B1100" t="s">
        <v>1282</v>
      </c>
      <c r="C1100">
        <f>"2361"</f>
        <v>0</v>
      </c>
      <c r="D1100">
        <v>1</v>
      </c>
      <c r="E1100">
        <v>0</v>
      </c>
      <c r="F1100" s="2">
        <v>0</v>
      </c>
      <c r="G1100">
        <v>0</v>
      </c>
      <c r="H1100">
        <v>1</v>
      </c>
      <c r="I1100">
        <v>0.2248268617291053</v>
      </c>
      <c r="J1100">
        <v>0</v>
      </c>
      <c r="K1100">
        <v>0</v>
      </c>
      <c r="L1100" s="2">
        <v>0</v>
      </c>
      <c r="M1100">
        <v>14.21</v>
      </c>
      <c r="N1100" t="s">
        <v>10236</v>
      </c>
    </row>
    <row r="1101" spans="1:14">
      <c r="A1101" t="s">
        <v>35</v>
      </c>
      <c r="B1101" t="s">
        <v>1283</v>
      </c>
      <c r="C1101">
        <f>"FB678L"</f>
        <v>0</v>
      </c>
      <c r="D1101">
        <v>1</v>
      </c>
      <c r="E1101">
        <v>0</v>
      </c>
      <c r="F1101" s="2">
        <v>0</v>
      </c>
      <c r="G1101">
        <v>0</v>
      </c>
      <c r="H1101">
        <v>1</v>
      </c>
      <c r="I1101">
        <v>0.2248268617291053</v>
      </c>
      <c r="J1101">
        <v>0</v>
      </c>
      <c r="K1101">
        <v>0</v>
      </c>
      <c r="L1101" s="2">
        <v>0</v>
      </c>
      <c r="M1101">
        <v>14.22</v>
      </c>
      <c r="N1101" t="s">
        <v>10236</v>
      </c>
    </row>
    <row r="1102" spans="1:14">
      <c r="A1102" t="s">
        <v>32</v>
      </c>
      <c r="B1102" t="s">
        <v>1284</v>
      </c>
      <c r="C1102">
        <f>"NUP05"</f>
        <v>0</v>
      </c>
      <c r="D1102">
        <v>1</v>
      </c>
      <c r="E1102">
        <v>0</v>
      </c>
      <c r="F1102" s="2">
        <v>0</v>
      </c>
      <c r="G1102">
        <v>0</v>
      </c>
      <c r="H1102">
        <v>1</v>
      </c>
      <c r="I1102">
        <v>0.2248268617291053</v>
      </c>
      <c r="J1102">
        <v>0</v>
      </c>
      <c r="K1102">
        <v>0</v>
      </c>
      <c r="L1102" s="2">
        <v>0</v>
      </c>
      <c r="M1102">
        <v>14.23</v>
      </c>
      <c r="N1102" t="s">
        <v>10236</v>
      </c>
    </row>
    <row r="1103" spans="1:14">
      <c r="A1103" t="s">
        <v>35</v>
      </c>
      <c r="B1103" t="s">
        <v>950</v>
      </c>
      <c r="C1103">
        <f>"NGA"</f>
        <v>0</v>
      </c>
      <c r="D1103">
        <v>1</v>
      </c>
      <c r="E1103">
        <v>0</v>
      </c>
      <c r="F1103" s="2">
        <v>0</v>
      </c>
      <c r="G1103">
        <v>0</v>
      </c>
      <c r="H1103">
        <v>1</v>
      </c>
      <c r="I1103">
        <v>0.2248268617291053</v>
      </c>
      <c r="J1103">
        <v>0</v>
      </c>
      <c r="K1103">
        <v>0</v>
      </c>
      <c r="L1103" s="2">
        <v>0</v>
      </c>
      <c r="M1103">
        <v>14.24</v>
      </c>
      <c r="N1103" t="s">
        <v>10236</v>
      </c>
    </row>
    <row r="1104" spans="1:14">
      <c r="A1104" t="s">
        <v>35</v>
      </c>
      <c r="B1104" t="s">
        <v>1285</v>
      </c>
      <c r="C1104">
        <f>"ARCG"</f>
        <v>0</v>
      </c>
      <c r="D1104">
        <v>1</v>
      </c>
      <c r="E1104">
        <v>0</v>
      </c>
      <c r="F1104" s="2">
        <v>0</v>
      </c>
      <c r="G1104">
        <v>0</v>
      </c>
      <c r="H1104">
        <v>1</v>
      </c>
      <c r="I1104">
        <v>0.2248268617291053</v>
      </c>
      <c r="J1104">
        <v>0</v>
      </c>
      <c r="K1104">
        <v>0</v>
      </c>
      <c r="L1104" s="2">
        <v>0</v>
      </c>
      <c r="M1104">
        <v>14.25</v>
      </c>
      <c r="N1104" t="s">
        <v>10236</v>
      </c>
    </row>
    <row r="1105" spans="1:14">
      <c r="A1105" t="s">
        <v>31</v>
      </c>
      <c r="B1105" t="s">
        <v>1286</v>
      </c>
      <c r="C1105">
        <f>"1019646"</f>
        <v>0</v>
      </c>
      <c r="D1105">
        <v>1</v>
      </c>
      <c r="E1105">
        <v>0</v>
      </c>
      <c r="F1105" s="2">
        <v>0</v>
      </c>
      <c r="G1105">
        <v>0</v>
      </c>
      <c r="H1105">
        <v>1</v>
      </c>
      <c r="I1105">
        <v>0.2248268617291053</v>
      </c>
      <c r="J1105">
        <v>0</v>
      </c>
      <c r="K1105">
        <v>0</v>
      </c>
      <c r="L1105" s="2">
        <v>0</v>
      </c>
      <c r="M1105">
        <v>14.27</v>
      </c>
      <c r="N1105" t="s">
        <v>10236</v>
      </c>
    </row>
    <row r="1106" spans="1:14">
      <c r="A1106" t="s">
        <v>32</v>
      </c>
      <c r="B1106" t="s">
        <v>1287</v>
      </c>
      <c r="C1106">
        <f>"VETZTS0046"</f>
        <v>0</v>
      </c>
      <c r="D1106">
        <v>1</v>
      </c>
      <c r="E1106">
        <v>0</v>
      </c>
      <c r="F1106" s="2">
        <v>0</v>
      </c>
      <c r="G1106">
        <v>0</v>
      </c>
      <c r="H1106">
        <v>1</v>
      </c>
      <c r="I1106">
        <v>0.2248268617291053</v>
      </c>
      <c r="J1106">
        <v>0</v>
      </c>
      <c r="K1106">
        <v>0</v>
      </c>
      <c r="L1106" s="2">
        <v>0</v>
      </c>
      <c r="M1106">
        <v>14.28</v>
      </c>
      <c r="N1106" t="s">
        <v>10236</v>
      </c>
    </row>
    <row r="1107" spans="1:14">
      <c r="A1107" t="s">
        <v>30</v>
      </c>
      <c r="B1107" t="s">
        <v>1288</v>
      </c>
      <c r="C1107">
        <f>"100522"</f>
        <v>0</v>
      </c>
      <c r="D1107">
        <v>1</v>
      </c>
      <c r="E1107">
        <v>0</v>
      </c>
      <c r="F1107" s="2">
        <v>0</v>
      </c>
      <c r="G1107">
        <v>0</v>
      </c>
      <c r="H1107">
        <v>1</v>
      </c>
      <c r="I1107">
        <v>0.2248268617291053</v>
      </c>
      <c r="J1107">
        <v>0</v>
      </c>
      <c r="K1107">
        <v>0</v>
      </c>
      <c r="L1107" s="2">
        <v>0</v>
      </c>
      <c r="M1107">
        <v>14.29</v>
      </c>
      <c r="N1107" t="s">
        <v>10236</v>
      </c>
    </row>
    <row r="1108" spans="1:14">
      <c r="A1108" t="s">
        <v>30</v>
      </c>
      <c r="B1108" t="s">
        <v>1289</v>
      </c>
      <c r="C1108">
        <f>"100130"</f>
        <v>0</v>
      </c>
      <c r="D1108">
        <v>1</v>
      </c>
      <c r="E1108">
        <v>0</v>
      </c>
      <c r="F1108" s="2">
        <v>0</v>
      </c>
      <c r="G1108">
        <v>0</v>
      </c>
      <c r="H1108">
        <v>1</v>
      </c>
      <c r="I1108">
        <v>0.2248268617291053</v>
      </c>
      <c r="J1108">
        <v>0</v>
      </c>
      <c r="K1108">
        <v>0</v>
      </c>
      <c r="L1108" s="2">
        <v>0</v>
      </c>
      <c r="M1108">
        <v>14.3</v>
      </c>
      <c r="N1108" t="s">
        <v>10236</v>
      </c>
    </row>
    <row r="1109" spans="1:14">
      <c r="A1109" t="s">
        <v>35</v>
      </c>
      <c r="B1109" t="s">
        <v>1290</v>
      </c>
      <c r="C1109">
        <f>"CT129"</f>
        <v>0</v>
      </c>
      <c r="D1109">
        <v>1</v>
      </c>
      <c r="E1109">
        <v>0</v>
      </c>
      <c r="F1109" s="2">
        <v>0</v>
      </c>
      <c r="G1109">
        <v>0</v>
      </c>
      <c r="H1109">
        <v>1</v>
      </c>
      <c r="I1109">
        <v>0.2248268617291053</v>
      </c>
      <c r="J1109">
        <v>0</v>
      </c>
      <c r="K1109">
        <v>0</v>
      </c>
      <c r="L1109" s="2">
        <v>0</v>
      </c>
      <c r="M1109">
        <v>14.31</v>
      </c>
      <c r="N1109" t="s">
        <v>10236</v>
      </c>
    </row>
    <row r="1110" spans="1:14">
      <c r="A1110" t="s">
        <v>29</v>
      </c>
      <c r="B1110" t="s">
        <v>1291</v>
      </c>
      <c r="C1110">
        <f>"R600"</f>
        <v>0</v>
      </c>
      <c r="D1110">
        <v>1</v>
      </c>
      <c r="E1110">
        <v>0</v>
      </c>
      <c r="F1110" s="2">
        <v>0</v>
      </c>
      <c r="G1110">
        <v>0</v>
      </c>
      <c r="H1110">
        <v>1</v>
      </c>
      <c r="I1110">
        <v>0.2248268617291053</v>
      </c>
      <c r="J1110">
        <v>0</v>
      </c>
      <c r="K1110">
        <v>0</v>
      </c>
      <c r="L1110" s="2">
        <v>0</v>
      </c>
      <c r="M1110">
        <v>14.33</v>
      </c>
      <c r="N1110" t="s">
        <v>10236</v>
      </c>
    </row>
    <row r="1111" spans="1:14">
      <c r="A1111" t="s">
        <v>35</v>
      </c>
      <c r="B1111" t="s">
        <v>1292</v>
      </c>
      <c r="C1111">
        <f>"TC0057AM"</f>
        <v>0</v>
      </c>
      <c r="D1111">
        <v>1</v>
      </c>
      <c r="E1111">
        <v>0</v>
      </c>
      <c r="F1111" s="2">
        <v>0</v>
      </c>
      <c r="G1111">
        <v>0</v>
      </c>
      <c r="H1111">
        <v>1</v>
      </c>
      <c r="I1111">
        <v>0.2248268617291053</v>
      </c>
      <c r="J1111">
        <v>0</v>
      </c>
      <c r="K1111">
        <v>0</v>
      </c>
      <c r="L1111" s="2">
        <v>0</v>
      </c>
      <c r="M1111">
        <v>14.34</v>
      </c>
      <c r="N1111" t="s">
        <v>10236</v>
      </c>
    </row>
    <row r="1112" spans="1:14">
      <c r="A1112" t="s">
        <v>35</v>
      </c>
      <c r="B1112" t="s">
        <v>1293</v>
      </c>
      <c r="C1112">
        <f>"CT140CEL"</f>
        <v>0</v>
      </c>
      <c r="D1112">
        <v>1</v>
      </c>
      <c r="E1112">
        <v>0</v>
      </c>
      <c r="F1112" s="2">
        <v>0</v>
      </c>
      <c r="G1112">
        <v>0</v>
      </c>
      <c r="H1112">
        <v>1</v>
      </c>
      <c r="I1112">
        <v>0.2248268617291053</v>
      </c>
      <c r="J1112">
        <v>0</v>
      </c>
      <c r="K1112">
        <v>0</v>
      </c>
      <c r="L1112" s="2">
        <v>0</v>
      </c>
      <c r="M1112">
        <v>14.35</v>
      </c>
      <c r="N1112" t="s">
        <v>10236</v>
      </c>
    </row>
    <row r="1113" spans="1:14">
      <c r="A1113" t="s">
        <v>196</v>
      </c>
      <c r="B1113" t="s">
        <v>1294</v>
      </c>
      <c r="C1113">
        <f>"2137"</f>
        <v>0</v>
      </c>
      <c r="D1113">
        <v>1</v>
      </c>
      <c r="E1113">
        <v>0</v>
      </c>
      <c r="F1113" s="2">
        <v>0</v>
      </c>
      <c r="G1113">
        <v>0</v>
      </c>
      <c r="H1113">
        <v>1</v>
      </c>
      <c r="I1113">
        <v>0.2248268617291053</v>
      </c>
      <c r="J1113">
        <v>0</v>
      </c>
      <c r="K1113">
        <v>0</v>
      </c>
      <c r="L1113" s="2">
        <v>0</v>
      </c>
      <c r="M1113">
        <v>14.36</v>
      </c>
      <c r="N1113" t="s">
        <v>10236</v>
      </c>
    </row>
    <row r="1114" spans="1:14">
      <c r="A1114" t="s">
        <v>35</v>
      </c>
      <c r="B1114" t="s">
        <v>1295</v>
      </c>
      <c r="C1114">
        <f>"XX230"</f>
        <v>0</v>
      </c>
      <c r="D1114">
        <v>1</v>
      </c>
      <c r="E1114">
        <v>0</v>
      </c>
      <c r="F1114" s="2">
        <v>0</v>
      </c>
      <c r="G1114">
        <v>0</v>
      </c>
      <c r="H1114">
        <v>1</v>
      </c>
      <c r="I1114">
        <v>0.2248268617291053</v>
      </c>
      <c r="J1114">
        <v>0</v>
      </c>
      <c r="K1114">
        <v>0</v>
      </c>
      <c r="L1114" s="2">
        <v>0</v>
      </c>
      <c r="M1114">
        <v>14.37</v>
      </c>
      <c r="N1114" t="s">
        <v>10236</v>
      </c>
    </row>
    <row r="1115" spans="1:14">
      <c r="A1115" t="s">
        <v>35</v>
      </c>
      <c r="B1115" t="s">
        <v>1296</v>
      </c>
      <c r="C1115">
        <f>"168V"</f>
        <v>0</v>
      </c>
      <c r="D1115">
        <v>1</v>
      </c>
      <c r="E1115">
        <v>0</v>
      </c>
      <c r="F1115" s="2">
        <v>0</v>
      </c>
      <c r="G1115">
        <v>0</v>
      </c>
      <c r="H1115">
        <v>1</v>
      </c>
      <c r="I1115">
        <v>0.2248268617291053</v>
      </c>
      <c r="J1115">
        <v>0</v>
      </c>
      <c r="K1115">
        <v>0</v>
      </c>
      <c r="L1115" s="2">
        <v>0</v>
      </c>
      <c r="M1115">
        <v>14.39</v>
      </c>
      <c r="N1115" t="s">
        <v>10236</v>
      </c>
    </row>
    <row r="1116" spans="1:14">
      <c r="A1116" t="s">
        <v>35</v>
      </c>
      <c r="B1116" t="s">
        <v>1297</v>
      </c>
      <c r="C1116">
        <f>"168C"</f>
        <v>0</v>
      </c>
      <c r="D1116">
        <v>1</v>
      </c>
      <c r="E1116">
        <v>0</v>
      </c>
      <c r="F1116" s="2">
        <v>0</v>
      </c>
      <c r="G1116">
        <v>0</v>
      </c>
      <c r="H1116">
        <v>1</v>
      </c>
      <c r="I1116">
        <v>0.2248268617291053</v>
      </c>
      <c r="J1116">
        <v>0</v>
      </c>
      <c r="K1116">
        <v>0</v>
      </c>
      <c r="L1116" s="2">
        <v>0</v>
      </c>
      <c r="M1116">
        <v>14.4</v>
      </c>
      <c r="N1116" t="s">
        <v>10236</v>
      </c>
    </row>
    <row r="1117" spans="1:14">
      <c r="A1117" t="s">
        <v>211</v>
      </c>
      <c r="B1117" t="s">
        <v>1298</v>
      </c>
      <c r="C1117">
        <f>"PCSCPP12001"</f>
        <v>0</v>
      </c>
      <c r="D1117">
        <v>1</v>
      </c>
      <c r="E1117">
        <v>0</v>
      </c>
      <c r="F1117" s="2">
        <v>0</v>
      </c>
      <c r="G1117">
        <v>0</v>
      </c>
      <c r="H1117">
        <v>1</v>
      </c>
      <c r="I1117">
        <v>0.2248268617291053</v>
      </c>
      <c r="J1117">
        <v>0</v>
      </c>
      <c r="K1117">
        <v>0</v>
      </c>
      <c r="L1117" s="2">
        <v>0</v>
      </c>
      <c r="M1117">
        <v>14.41</v>
      </c>
      <c r="N1117" t="s">
        <v>10236</v>
      </c>
    </row>
    <row r="1118" spans="1:14">
      <c r="A1118" t="s">
        <v>194</v>
      </c>
      <c r="B1118" t="s">
        <v>1299</v>
      </c>
      <c r="C1118">
        <f>"100100015"</f>
        <v>0</v>
      </c>
      <c r="D1118">
        <v>1</v>
      </c>
      <c r="E1118">
        <v>0</v>
      </c>
      <c r="F1118" s="2">
        <v>0</v>
      </c>
      <c r="G1118">
        <v>0</v>
      </c>
      <c r="H1118">
        <v>1</v>
      </c>
      <c r="I1118">
        <v>0.2248268617291053</v>
      </c>
      <c r="J1118">
        <v>0</v>
      </c>
      <c r="K1118">
        <v>0</v>
      </c>
      <c r="L1118" s="2">
        <v>0</v>
      </c>
      <c r="M1118">
        <v>14.42</v>
      </c>
      <c r="N1118" t="s">
        <v>10236</v>
      </c>
    </row>
    <row r="1119" spans="1:14">
      <c r="A1119" t="s">
        <v>35</v>
      </c>
      <c r="B1119" t="s">
        <v>1300</v>
      </c>
      <c r="C1119">
        <f>"C608GR"</f>
        <v>0</v>
      </c>
      <c r="D1119">
        <v>1</v>
      </c>
      <c r="E1119">
        <v>0</v>
      </c>
      <c r="F1119" s="2">
        <v>0</v>
      </c>
      <c r="G1119">
        <v>0</v>
      </c>
      <c r="H1119">
        <v>1</v>
      </c>
      <c r="I1119">
        <v>0.2248268617291053</v>
      </c>
      <c r="J1119">
        <v>0</v>
      </c>
      <c r="K1119">
        <v>0</v>
      </c>
      <c r="L1119" s="2">
        <v>0</v>
      </c>
      <c r="M1119">
        <v>14.43</v>
      </c>
      <c r="N1119" t="s">
        <v>10236</v>
      </c>
    </row>
    <row r="1120" spans="1:14">
      <c r="A1120" t="s">
        <v>192</v>
      </c>
      <c r="B1120" t="s">
        <v>1301</v>
      </c>
      <c r="C1120">
        <f>"LN010LAM"</f>
        <v>0</v>
      </c>
      <c r="D1120">
        <v>1</v>
      </c>
      <c r="E1120">
        <v>0</v>
      </c>
      <c r="F1120" s="2">
        <v>0</v>
      </c>
      <c r="G1120">
        <v>0</v>
      </c>
      <c r="H1120">
        <v>1</v>
      </c>
      <c r="I1120">
        <v>0.2248268617291053</v>
      </c>
      <c r="J1120">
        <v>0</v>
      </c>
      <c r="K1120">
        <v>0</v>
      </c>
      <c r="L1120" s="2">
        <v>0</v>
      </c>
      <c r="M1120">
        <v>14.44</v>
      </c>
      <c r="N1120" t="s">
        <v>10236</v>
      </c>
    </row>
    <row r="1121" spans="1:14">
      <c r="A1121" t="s">
        <v>210</v>
      </c>
      <c r="B1121" t="s">
        <v>1302</v>
      </c>
      <c r="C1121">
        <f>"7016945"</f>
        <v>0</v>
      </c>
      <c r="D1121">
        <v>1</v>
      </c>
      <c r="E1121">
        <v>0</v>
      </c>
      <c r="F1121" s="2">
        <v>0</v>
      </c>
      <c r="G1121">
        <v>0</v>
      </c>
      <c r="H1121">
        <v>1</v>
      </c>
      <c r="I1121">
        <v>0.2248268617291053</v>
      </c>
      <c r="J1121">
        <v>0</v>
      </c>
      <c r="K1121">
        <v>0</v>
      </c>
      <c r="L1121" s="2">
        <v>0</v>
      </c>
      <c r="M1121">
        <v>14.46</v>
      </c>
      <c r="N1121" t="s">
        <v>10236</v>
      </c>
    </row>
    <row r="1122" spans="1:14">
      <c r="A1122" t="s">
        <v>40</v>
      </c>
      <c r="B1122" t="s">
        <v>1303</v>
      </c>
      <c r="C1122">
        <f>"v100783"</f>
        <v>0</v>
      </c>
      <c r="D1122">
        <v>1</v>
      </c>
      <c r="E1122">
        <v>0</v>
      </c>
      <c r="F1122" s="2">
        <v>0</v>
      </c>
      <c r="G1122">
        <v>0</v>
      </c>
      <c r="H1122">
        <v>1</v>
      </c>
      <c r="I1122">
        <v>0.2248268617291053</v>
      </c>
      <c r="J1122">
        <v>0</v>
      </c>
      <c r="K1122">
        <v>0</v>
      </c>
      <c r="L1122" s="2">
        <v>0</v>
      </c>
      <c r="M1122">
        <v>14.47</v>
      </c>
      <c r="N1122" t="s">
        <v>10236</v>
      </c>
    </row>
    <row r="1123" spans="1:14">
      <c r="A1123" t="s">
        <v>35</v>
      </c>
      <c r="B1123" t="s">
        <v>1304</v>
      </c>
      <c r="C1123">
        <f>"XQ69XL"</f>
        <v>0</v>
      </c>
      <c r="D1123">
        <v>1</v>
      </c>
      <c r="E1123">
        <v>0</v>
      </c>
      <c r="F1123" s="2">
        <v>0</v>
      </c>
      <c r="G1123">
        <v>0</v>
      </c>
      <c r="H1123">
        <v>1</v>
      </c>
      <c r="I1123">
        <v>0.2248268617291053</v>
      </c>
      <c r="J1123">
        <v>0</v>
      </c>
      <c r="K1123">
        <v>0</v>
      </c>
      <c r="L1123" s="2">
        <v>0</v>
      </c>
      <c r="M1123">
        <v>14.48</v>
      </c>
      <c r="N1123" t="s">
        <v>10236</v>
      </c>
    </row>
    <row r="1124" spans="1:14">
      <c r="A1124" t="s">
        <v>209</v>
      </c>
      <c r="B1124" t="s">
        <v>1305</v>
      </c>
      <c r="C1124">
        <f>"4PE020013"</f>
        <v>0</v>
      </c>
      <c r="D1124">
        <v>1</v>
      </c>
      <c r="E1124">
        <v>0</v>
      </c>
      <c r="F1124" s="2">
        <v>0</v>
      </c>
      <c r="G1124">
        <v>0</v>
      </c>
      <c r="H1124">
        <v>1</v>
      </c>
      <c r="I1124">
        <v>0.2248268617291053</v>
      </c>
      <c r="J1124">
        <v>0</v>
      </c>
      <c r="K1124">
        <v>0</v>
      </c>
      <c r="L1124" s="2">
        <v>0</v>
      </c>
      <c r="M1124">
        <v>14.49</v>
      </c>
      <c r="N1124" t="s">
        <v>10236</v>
      </c>
    </row>
    <row r="1125" spans="1:14">
      <c r="A1125" t="s">
        <v>209</v>
      </c>
      <c r="B1125" t="s">
        <v>1306</v>
      </c>
      <c r="C1125">
        <f>"4GA020035"</f>
        <v>0</v>
      </c>
      <c r="D1125">
        <v>1</v>
      </c>
      <c r="E1125">
        <v>0</v>
      </c>
      <c r="F1125" s="2">
        <v>0</v>
      </c>
      <c r="G1125">
        <v>0</v>
      </c>
      <c r="H1125">
        <v>1</v>
      </c>
      <c r="I1125">
        <v>0.2248268617291053</v>
      </c>
      <c r="J1125">
        <v>0</v>
      </c>
      <c r="K1125">
        <v>0</v>
      </c>
      <c r="L1125" s="2">
        <v>0</v>
      </c>
      <c r="M1125">
        <v>14.5</v>
      </c>
      <c r="N1125" t="s">
        <v>10236</v>
      </c>
    </row>
    <row r="1126" spans="1:14">
      <c r="A1126" t="s">
        <v>209</v>
      </c>
      <c r="B1126" t="s">
        <v>1307</v>
      </c>
      <c r="C1126">
        <f>"4PE070007"</f>
        <v>0</v>
      </c>
      <c r="D1126">
        <v>1</v>
      </c>
      <c r="E1126">
        <v>0</v>
      </c>
      <c r="F1126" s="2">
        <v>0</v>
      </c>
      <c r="G1126">
        <v>0</v>
      </c>
      <c r="H1126">
        <v>1</v>
      </c>
      <c r="I1126">
        <v>0.2248268617291053</v>
      </c>
      <c r="J1126">
        <v>0</v>
      </c>
      <c r="K1126">
        <v>0</v>
      </c>
      <c r="L1126" s="2">
        <v>0</v>
      </c>
      <c r="M1126">
        <v>14.52</v>
      </c>
      <c r="N1126" t="s">
        <v>10236</v>
      </c>
    </row>
    <row r="1127" spans="1:14">
      <c r="A1127" t="s">
        <v>192</v>
      </c>
      <c r="B1127" t="s">
        <v>1308</v>
      </c>
      <c r="C1127">
        <f>"LN4131"</f>
        <v>0</v>
      </c>
      <c r="D1127">
        <v>1</v>
      </c>
      <c r="E1127">
        <v>0</v>
      </c>
      <c r="F1127" s="2">
        <v>0</v>
      </c>
      <c r="G1127">
        <v>0</v>
      </c>
      <c r="H1127">
        <v>1</v>
      </c>
      <c r="I1127">
        <v>0.2248268617291053</v>
      </c>
      <c r="J1127">
        <v>0</v>
      </c>
      <c r="K1127">
        <v>0</v>
      </c>
      <c r="L1127" s="2">
        <v>0</v>
      </c>
      <c r="M1127">
        <v>14.53</v>
      </c>
      <c r="N1127" t="s">
        <v>10236</v>
      </c>
    </row>
    <row r="1128" spans="1:14">
      <c r="A1128" t="s">
        <v>209</v>
      </c>
      <c r="B1128" t="s">
        <v>1309</v>
      </c>
      <c r="C1128">
        <f>"4PE120007"</f>
        <v>0</v>
      </c>
      <c r="D1128">
        <v>1</v>
      </c>
      <c r="E1128">
        <v>0</v>
      </c>
      <c r="F1128" s="2">
        <v>0</v>
      </c>
      <c r="G1128">
        <v>0</v>
      </c>
      <c r="H1128">
        <v>1</v>
      </c>
      <c r="I1128">
        <v>0.2248268617291053</v>
      </c>
      <c r="J1128">
        <v>0</v>
      </c>
      <c r="K1128">
        <v>0</v>
      </c>
      <c r="L1128" s="2">
        <v>0</v>
      </c>
      <c r="M1128">
        <v>14.54</v>
      </c>
      <c r="N1128" t="s">
        <v>10236</v>
      </c>
    </row>
    <row r="1129" spans="1:14">
      <c r="A1129" t="s">
        <v>35</v>
      </c>
      <c r="B1129" t="s">
        <v>1310</v>
      </c>
      <c r="C1129">
        <f>"PT273"</f>
        <v>0</v>
      </c>
      <c r="D1129">
        <v>1</v>
      </c>
      <c r="E1129">
        <v>0</v>
      </c>
      <c r="F1129" s="2">
        <v>0</v>
      </c>
      <c r="G1129">
        <v>0</v>
      </c>
      <c r="H1129">
        <v>1</v>
      </c>
      <c r="I1129">
        <v>0.2248268617291053</v>
      </c>
      <c r="J1129">
        <v>0</v>
      </c>
      <c r="K1129">
        <v>0</v>
      </c>
      <c r="L1129" s="2">
        <v>0</v>
      </c>
      <c r="M1129">
        <v>14.55</v>
      </c>
      <c r="N1129" t="s">
        <v>10236</v>
      </c>
    </row>
    <row r="1130" spans="1:14">
      <c r="A1130" t="s">
        <v>215</v>
      </c>
      <c r="B1130" t="s">
        <v>1311</v>
      </c>
      <c r="C1130">
        <f>"33k10700"</f>
        <v>0</v>
      </c>
      <c r="D1130">
        <v>1</v>
      </c>
      <c r="E1130">
        <v>0</v>
      </c>
      <c r="F1130" s="2">
        <v>0</v>
      </c>
      <c r="G1130">
        <v>0</v>
      </c>
      <c r="H1130">
        <v>1</v>
      </c>
      <c r="I1130">
        <v>0.2248268617291053</v>
      </c>
      <c r="J1130">
        <v>0</v>
      </c>
      <c r="K1130">
        <v>0</v>
      </c>
      <c r="L1130" s="2">
        <v>0</v>
      </c>
      <c r="M1130">
        <v>14.56</v>
      </c>
      <c r="N1130" t="s">
        <v>10236</v>
      </c>
    </row>
    <row r="1131" spans="1:14">
      <c r="A1131" t="s">
        <v>35</v>
      </c>
      <c r="B1131" t="s">
        <v>1312</v>
      </c>
      <c r="C1131">
        <f>"ER123"</f>
        <v>0</v>
      </c>
      <c r="D1131">
        <v>1</v>
      </c>
      <c r="E1131">
        <v>0</v>
      </c>
      <c r="F1131" s="2">
        <v>0</v>
      </c>
      <c r="G1131">
        <v>0</v>
      </c>
      <c r="H1131">
        <v>1</v>
      </c>
      <c r="I1131">
        <v>0.2248268617291053</v>
      </c>
      <c r="J1131">
        <v>0</v>
      </c>
      <c r="K1131">
        <v>0</v>
      </c>
      <c r="L1131" s="2">
        <v>0</v>
      </c>
      <c r="M1131">
        <v>14.58</v>
      </c>
      <c r="N1131" t="s">
        <v>10236</v>
      </c>
    </row>
    <row r="1132" spans="1:14">
      <c r="A1132" t="s">
        <v>219</v>
      </c>
      <c r="B1132" t="s">
        <v>1313</v>
      </c>
      <c r="C1132">
        <f>"PRWGP"</f>
        <v>0</v>
      </c>
      <c r="D1132">
        <v>1</v>
      </c>
      <c r="E1132">
        <v>0</v>
      </c>
      <c r="F1132" s="2">
        <v>0</v>
      </c>
      <c r="G1132">
        <v>0</v>
      </c>
      <c r="H1132">
        <v>1</v>
      </c>
      <c r="I1132">
        <v>0.2248268617291053</v>
      </c>
      <c r="J1132">
        <v>0</v>
      </c>
      <c r="K1132">
        <v>0</v>
      </c>
      <c r="L1132" s="2">
        <v>0</v>
      </c>
      <c r="M1132">
        <v>14.59</v>
      </c>
      <c r="N1132" t="s">
        <v>10236</v>
      </c>
    </row>
    <row r="1133" spans="1:14">
      <c r="A1133" t="s">
        <v>219</v>
      </c>
      <c r="B1133" t="s">
        <v>1314</v>
      </c>
      <c r="C1133">
        <f>"PRWPL"</f>
        <v>0</v>
      </c>
      <c r="D1133">
        <v>1</v>
      </c>
      <c r="E1133">
        <v>0</v>
      </c>
      <c r="F1133" s="2">
        <v>0</v>
      </c>
      <c r="G1133">
        <v>0</v>
      </c>
      <c r="H1133">
        <v>1</v>
      </c>
      <c r="I1133">
        <v>0.2248268617291053</v>
      </c>
      <c r="J1133">
        <v>0</v>
      </c>
      <c r="K1133">
        <v>0</v>
      </c>
      <c r="L1133" s="2">
        <v>0</v>
      </c>
      <c r="M1133">
        <v>14.6</v>
      </c>
      <c r="N1133" t="s">
        <v>10236</v>
      </c>
    </row>
    <row r="1134" spans="1:14">
      <c r="A1134" t="s">
        <v>25</v>
      </c>
      <c r="B1134" t="s">
        <v>1315</v>
      </c>
      <c r="C1134">
        <f>"ND01050"</f>
        <v>0</v>
      </c>
      <c r="D1134">
        <v>1</v>
      </c>
      <c r="E1134">
        <v>0</v>
      </c>
      <c r="F1134" s="2">
        <v>0</v>
      </c>
      <c r="G1134">
        <v>0</v>
      </c>
      <c r="H1134">
        <v>1</v>
      </c>
      <c r="I1134">
        <v>0.2248268617291053</v>
      </c>
      <c r="J1134">
        <v>0</v>
      </c>
      <c r="K1134">
        <v>0</v>
      </c>
      <c r="L1134" s="2">
        <v>0</v>
      </c>
      <c r="M1134">
        <v>14.61</v>
      </c>
      <c r="N1134" t="s">
        <v>10236</v>
      </c>
    </row>
    <row r="1135" spans="1:14">
      <c r="A1135" t="s">
        <v>35</v>
      </c>
      <c r="B1135" t="s">
        <v>1316</v>
      </c>
      <c r="C1135">
        <f>"BO3056GC"</f>
        <v>0</v>
      </c>
      <c r="D1135">
        <v>1</v>
      </c>
      <c r="E1135">
        <v>0</v>
      </c>
      <c r="F1135" s="2">
        <v>0</v>
      </c>
      <c r="G1135">
        <v>0</v>
      </c>
      <c r="H1135">
        <v>1</v>
      </c>
      <c r="I1135">
        <v>0.2248268617291053</v>
      </c>
      <c r="J1135">
        <v>0</v>
      </c>
      <c r="K1135">
        <v>0</v>
      </c>
      <c r="L1135" s="2">
        <v>0</v>
      </c>
      <c r="M1135">
        <v>14.62</v>
      </c>
      <c r="N1135" t="s">
        <v>10236</v>
      </c>
    </row>
    <row r="1136" spans="1:14">
      <c r="A1136" t="s">
        <v>35</v>
      </c>
      <c r="B1136" t="s">
        <v>1317</v>
      </c>
      <c r="C1136">
        <f>"TQ26C"</f>
        <v>0</v>
      </c>
      <c r="D1136">
        <v>1</v>
      </c>
      <c r="E1136">
        <v>0</v>
      </c>
      <c r="F1136" s="2">
        <v>0</v>
      </c>
      <c r="G1136">
        <v>0</v>
      </c>
      <c r="H1136">
        <v>1</v>
      </c>
      <c r="I1136">
        <v>0.2248268617291053</v>
      </c>
      <c r="J1136">
        <v>0</v>
      </c>
      <c r="K1136">
        <v>0</v>
      </c>
      <c r="L1136" s="2">
        <v>0</v>
      </c>
      <c r="M1136">
        <v>14.64</v>
      </c>
      <c r="N1136" t="s">
        <v>10236</v>
      </c>
    </row>
    <row r="1137" spans="1:14">
      <c r="A1137" t="s">
        <v>35</v>
      </c>
      <c r="B1137" t="s">
        <v>1318</v>
      </c>
      <c r="C1137">
        <f>"TQ01081A"</f>
        <v>0</v>
      </c>
      <c r="D1137">
        <v>1</v>
      </c>
      <c r="E1137">
        <v>0</v>
      </c>
      <c r="F1137" s="2">
        <v>0</v>
      </c>
      <c r="G1137">
        <v>0</v>
      </c>
      <c r="H1137">
        <v>1</v>
      </c>
      <c r="I1137">
        <v>0.2248268617291053</v>
      </c>
      <c r="J1137">
        <v>0</v>
      </c>
      <c r="K1137">
        <v>0</v>
      </c>
      <c r="L1137" s="2">
        <v>0</v>
      </c>
      <c r="M1137">
        <v>14.65</v>
      </c>
      <c r="N1137" t="s">
        <v>10236</v>
      </c>
    </row>
    <row r="1138" spans="1:14">
      <c r="A1138" t="s">
        <v>30</v>
      </c>
      <c r="B1138" t="s">
        <v>1319</v>
      </c>
      <c r="C1138">
        <f>"101253"</f>
        <v>0</v>
      </c>
      <c r="D1138">
        <v>1</v>
      </c>
      <c r="E1138">
        <v>0</v>
      </c>
      <c r="F1138" s="2">
        <v>0</v>
      </c>
      <c r="G1138">
        <v>0</v>
      </c>
      <c r="H1138">
        <v>1</v>
      </c>
      <c r="I1138">
        <v>0.2248268617291053</v>
      </c>
      <c r="J1138">
        <v>0</v>
      </c>
      <c r="K1138">
        <v>0</v>
      </c>
      <c r="L1138" s="2">
        <v>0</v>
      </c>
      <c r="M1138">
        <v>14.66</v>
      </c>
      <c r="N1138" t="s">
        <v>10236</v>
      </c>
    </row>
    <row r="1139" spans="1:14">
      <c r="A1139" t="s">
        <v>30</v>
      </c>
      <c r="B1139" t="s">
        <v>1320</v>
      </c>
      <c r="C1139">
        <f>"101232"</f>
        <v>0</v>
      </c>
      <c r="D1139">
        <v>1</v>
      </c>
      <c r="E1139">
        <v>0</v>
      </c>
      <c r="F1139" s="2">
        <v>0</v>
      </c>
      <c r="G1139">
        <v>0</v>
      </c>
      <c r="H1139">
        <v>1</v>
      </c>
      <c r="I1139">
        <v>0.2248268617291053</v>
      </c>
      <c r="J1139">
        <v>0</v>
      </c>
      <c r="K1139">
        <v>0</v>
      </c>
      <c r="L1139" s="2">
        <v>0</v>
      </c>
      <c r="M1139">
        <v>14.67</v>
      </c>
      <c r="N1139" t="s">
        <v>10236</v>
      </c>
    </row>
    <row r="1140" spans="1:14">
      <c r="A1140" t="s">
        <v>209</v>
      </c>
      <c r="B1140" t="s">
        <v>1321</v>
      </c>
      <c r="C1140">
        <f>"4PE040070"</f>
        <v>0</v>
      </c>
      <c r="D1140">
        <v>1</v>
      </c>
      <c r="E1140">
        <v>0</v>
      </c>
      <c r="F1140" s="2">
        <v>0</v>
      </c>
      <c r="G1140">
        <v>0</v>
      </c>
      <c r="H1140">
        <v>1</v>
      </c>
      <c r="I1140">
        <v>0.2248268617291053</v>
      </c>
      <c r="J1140">
        <v>0</v>
      </c>
      <c r="K1140">
        <v>0</v>
      </c>
      <c r="L1140" s="2">
        <v>0</v>
      </c>
      <c r="M1140">
        <v>14.68</v>
      </c>
      <c r="N1140" t="s">
        <v>10236</v>
      </c>
    </row>
    <row r="1141" spans="1:14">
      <c r="A1141" t="s">
        <v>193</v>
      </c>
      <c r="B1141" t="s">
        <v>1322</v>
      </c>
      <c r="C1141">
        <f>"563861"</f>
        <v>0</v>
      </c>
      <c r="D1141">
        <v>1</v>
      </c>
      <c r="E1141">
        <v>0</v>
      </c>
      <c r="F1141" s="2">
        <v>0</v>
      </c>
      <c r="G1141">
        <v>0</v>
      </c>
      <c r="H1141">
        <v>1</v>
      </c>
      <c r="I1141">
        <v>0.2248268617291053</v>
      </c>
      <c r="J1141">
        <v>0</v>
      </c>
      <c r="K1141">
        <v>0</v>
      </c>
      <c r="L1141" s="2">
        <v>0</v>
      </c>
      <c r="M1141">
        <v>14.69</v>
      </c>
      <c r="N1141" t="s">
        <v>10236</v>
      </c>
    </row>
    <row r="1142" spans="1:14">
      <c r="A1142" t="s">
        <v>35</v>
      </c>
      <c r="B1142" t="s">
        <v>1323</v>
      </c>
      <c r="C1142">
        <f>"PS06043"</f>
        <v>0</v>
      </c>
      <c r="D1142">
        <v>1</v>
      </c>
      <c r="E1142">
        <v>0</v>
      </c>
      <c r="F1142" s="2">
        <v>0</v>
      </c>
      <c r="G1142">
        <v>0</v>
      </c>
      <c r="H1142">
        <v>1</v>
      </c>
      <c r="I1142">
        <v>0.2248268617291053</v>
      </c>
      <c r="J1142">
        <v>0</v>
      </c>
      <c r="K1142">
        <v>0</v>
      </c>
      <c r="L1142" s="2">
        <v>0</v>
      </c>
      <c r="M1142">
        <v>14.71</v>
      </c>
      <c r="N1142" t="s">
        <v>10236</v>
      </c>
    </row>
    <row r="1143" spans="1:14">
      <c r="A1143" t="s">
        <v>29</v>
      </c>
      <c r="B1143" t="s">
        <v>1324</v>
      </c>
      <c r="C1143">
        <f>"HW303B"</f>
        <v>0</v>
      </c>
      <c r="D1143">
        <v>1</v>
      </c>
      <c r="E1143">
        <v>0</v>
      </c>
      <c r="F1143" s="2">
        <v>0</v>
      </c>
      <c r="G1143">
        <v>0</v>
      </c>
      <c r="H1143">
        <v>1</v>
      </c>
      <c r="I1143">
        <v>0.2248268617291053</v>
      </c>
      <c r="J1143">
        <v>0</v>
      </c>
      <c r="K1143">
        <v>0</v>
      </c>
      <c r="L1143" s="2">
        <v>0</v>
      </c>
      <c r="M1143">
        <v>14.72</v>
      </c>
      <c r="N1143" t="s">
        <v>10236</v>
      </c>
    </row>
    <row r="1144" spans="1:14">
      <c r="A1144" t="s">
        <v>29</v>
      </c>
      <c r="B1144" t="s">
        <v>1325</v>
      </c>
      <c r="C1144">
        <f>"RS267F"</f>
        <v>0</v>
      </c>
      <c r="D1144">
        <v>1</v>
      </c>
      <c r="E1144">
        <v>0</v>
      </c>
      <c r="F1144" s="2">
        <v>0</v>
      </c>
      <c r="G1144">
        <v>0</v>
      </c>
      <c r="H1144">
        <v>1</v>
      </c>
      <c r="I1144">
        <v>0.2248268617291053</v>
      </c>
      <c r="J1144">
        <v>0</v>
      </c>
      <c r="K1144">
        <v>0</v>
      </c>
      <c r="L1144" s="2">
        <v>0</v>
      </c>
      <c r="M1144">
        <v>14.73</v>
      </c>
      <c r="N1144" t="s">
        <v>10236</v>
      </c>
    </row>
    <row r="1145" spans="1:14">
      <c r="A1145" t="s">
        <v>29</v>
      </c>
      <c r="B1145" t="s">
        <v>1326</v>
      </c>
      <c r="C1145">
        <f>"RS266F"</f>
        <v>0</v>
      </c>
      <c r="D1145">
        <v>1</v>
      </c>
      <c r="E1145">
        <v>0</v>
      </c>
      <c r="F1145" s="2">
        <v>0</v>
      </c>
      <c r="G1145">
        <v>0</v>
      </c>
      <c r="H1145">
        <v>1</v>
      </c>
      <c r="I1145">
        <v>0.2248268617291053</v>
      </c>
      <c r="J1145">
        <v>0</v>
      </c>
      <c r="K1145">
        <v>0</v>
      </c>
      <c r="L1145" s="2">
        <v>0</v>
      </c>
      <c r="M1145">
        <v>14.74</v>
      </c>
      <c r="N1145" t="s">
        <v>10236</v>
      </c>
    </row>
    <row r="1146" spans="1:14">
      <c r="A1146" t="s">
        <v>29</v>
      </c>
      <c r="B1146" t="s">
        <v>1327</v>
      </c>
      <c r="C1146">
        <f>"CF688UV"</f>
        <v>0</v>
      </c>
      <c r="D1146">
        <v>1</v>
      </c>
      <c r="E1146">
        <v>0</v>
      </c>
      <c r="F1146" s="2">
        <v>0</v>
      </c>
      <c r="G1146">
        <v>0</v>
      </c>
      <c r="H1146">
        <v>1</v>
      </c>
      <c r="I1146">
        <v>0.2248268617291053</v>
      </c>
      <c r="J1146">
        <v>0</v>
      </c>
      <c r="K1146">
        <v>0</v>
      </c>
      <c r="L1146" s="2">
        <v>0</v>
      </c>
      <c r="M1146">
        <v>14.75</v>
      </c>
      <c r="N1146" t="s">
        <v>10236</v>
      </c>
    </row>
    <row r="1147" spans="1:14">
      <c r="A1147" t="s">
        <v>29</v>
      </c>
      <c r="B1147" t="s">
        <v>1328</v>
      </c>
      <c r="C1147">
        <f>"CY20"</f>
        <v>0</v>
      </c>
      <c r="D1147">
        <v>1</v>
      </c>
      <c r="E1147">
        <v>0</v>
      </c>
      <c r="F1147" s="2">
        <v>0</v>
      </c>
      <c r="G1147">
        <v>0</v>
      </c>
      <c r="H1147">
        <v>1</v>
      </c>
      <c r="I1147">
        <v>0.2248268617291053</v>
      </c>
      <c r="J1147">
        <v>0</v>
      </c>
      <c r="K1147">
        <v>0</v>
      </c>
      <c r="L1147" s="2">
        <v>0</v>
      </c>
      <c r="M1147">
        <v>14.77</v>
      </c>
      <c r="N1147" t="s">
        <v>10236</v>
      </c>
    </row>
    <row r="1148" spans="1:14">
      <c r="A1148" t="s">
        <v>198</v>
      </c>
      <c r="B1148" t="s">
        <v>1329</v>
      </c>
      <c r="C1148">
        <f>"5000807"</f>
        <v>0</v>
      </c>
      <c r="D1148">
        <v>1</v>
      </c>
      <c r="E1148">
        <v>0</v>
      </c>
      <c r="F1148" s="2">
        <v>0</v>
      </c>
      <c r="G1148">
        <v>0</v>
      </c>
      <c r="H1148">
        <v>1</v>
      </c>
      <c r="I1148">
        <v>0.2248268617291053</v>
      </c>
      <c r="J1148">
        <v>0</v>
      </c>
      <c r="K1148">
        <v>0</v>
      </c>
      <c r="L1148" s="2">
        <v>0</v>
      </c>
      <c r="M1148">
        <v>14.78</v>
      </c>
      <c r="N1148" t="s">
        <v>10236</v>
      </c>
    </row>
    <row r="1149" spans="1:14">
      <c r="A1149" t="s">
        <v>32</v>
      </c>
      <c r="B1149" t="s">
        <v>1330</v>
      </c>
      <c r="C1149">
        <f>"3411112251230"</f>
        <v>0</v>
      </c>
      <c r="D1149">
        <v>1</v>
      </c>
      <c r="E1149">
        <v>0</v>
      </c>
      <c r="F1149" s="2">
        <v>0</v>
      </c>
      <c r="G1149">
        <v>0</v>
      </c>
      <c r="H1149">
        <v>1</v>
      </c>
      <c r="I1149">
        <v>0.2248268617291053</v>
      </c>
      <c r="J1149">
        <v>0</v>
      </c>
      <c r="K1149">
        <v>0</v>
      </c>
      <c r="L1149" s="2">
        <v>0</v>
      </c>
      <c r="M1149">
        <v>14.79</v>
      </c>
      <c r="N1149" t="s">
        <v>10236</v>
      </c>
    </row>
    <row r="1150" spans="1:14">
      <c r="A1150" t="s">
        <v>32</v>
      </c>
      <c r="B1150" t="s">
        <v>1331</v>
      </c>
      <c r="C1150">
        <f>"1020936"</f>
        <v>0</v>
      </c>
      <c r="D1150">
        <v>1</v>
      </c>
      <c r="E1150">
        <v>0</v>
      </c>
      <c r="F1150" s="2">
        <v>0</v>
      </c>
      <c r="G1150">
        <v>0</v>
      </c>
      <c r="H1150">
        <v>1</v>
      </c>
      <c r="I1150">
        <v>0.2248268617291053</v>
      </c>
      <c r="J1150">
        <v>0</v>
      </c>
      <c r="K1150">
        <v>0</v>
      </c>
      <c r="L1150" s="2">
        <v>0</v>
      </c>
      <c r="M1150">
        <v>14.8</v>
      </c>
      <c r="N1150" t="s">
        <v>10236</v>
      </c>
    </row>
    <row r="1151" spans="1:14">
      <c r="A1151" t="s">
        <v>35</v>
      </c>
      <c r="B1151" t="s">
        <v>1332</v>
      </c>
      <c r="C1151">
        <f>"W008XXSR"</f>
        <v>0</v>
      </c>
      <c r="D1151">
        <v>1</v>
      </c>
      <c r="E1151">
        <v>0</v>
      </c>
      <c r="F1151" s="2">
        <v>0</v>
      </c>
      <c r="G1151">
        <v>0</v>
      </c>
      <c r="H1151">
        <v>1</v>
      </c>
      <c r="I1151">
        <v>0.2248268617291053</v>
      </c>
      <c r="J1151">
        <v>0</v>
      </c>
      <c r="K1151">
        <v>0</v>
      </c>
      <c r="L1151" s="2">
        <v>0</v>
      </c>
      <c r="M1151">
        <v>14.81</v>
      </c>
      <c r="N1151" t="s">
        <v>10236</v>
      </c>
    </row>
    <row r="1152" spans="1:14">
      <c r="A1152" t="s">
        <v>37</v>
      </c>
      <c r="B1152" t="s">
        <v>1333</v>
      </c>
      <c r="C1152">
        <f>"5005522"</f>
        <v>0</v>
      </c>
      <c r="D1152">
        <v>1</v>
      </c>
      <c r="E1152">
        <v>0</v>
      </c>
      <c r="F1152" s="2">
        <v>0</v>
      </c>
      <c r="G1152">
        <v>0</v>
      </c>
      <c r="H1152">
        <v>1</v>
      </c>
      <c r="I1152">
        <v>0.2248268617291053</v>
      </c>
      <c r="J1152">
        <v>0</v>
      </c>
      <c r="K1152">
        <v>0</v>
      </c>
      <c r="L1152" s="2">
        <v>0</v>
      </c>
      <c r="M1152">
        <v>14.83</v>
      </c>
      <c r="N1152" t="s">
        <v>10236</v>
      </c>
    </row>
    <row r="1153" spans="1:14">
      <c r="A1153" t="s">
        <v>35</v>
      </c>
      <c r="B1153" t="s">
        <v>1334</v>
      </c>
      <c r="C1153">
        <f>"CN03"</f>
        <v>0</v>
      </c>
      <c r="D1153">
        <v>1</v>
      </c>
      <c r="E1153">
        <v>0</v>
      </c>
      <c r="F1153" s="2">
        <v>0</v>
      </c>
      <c r="G1153">
        <v>0</v>
      </c>
      <c r="H1153">
        <v>1</v>
      </c>
      <c r="I1153">
        <v>0.2248268617291053</v>
      </c>
      <c r="J1153">
        <v>0</v>
      </c>
      <c r="K1153">
        <v>0</v>
      </c>
      <c r="L1153" s="2">
        <v>0</v>
      </c>
      <c r="M1153">
        <v>14.84</v>
      </c>
      <c r="N1153" t="s">
        <v>10236</v>
      </c>
    </row>
    <row r="1154" spans="1:14">
      <c r="A1154" t="s">
        <v>202</v>
      </c>
      <c r="B1154" t="s">
        <v>1335</v>
      </c>
      <c r="C1154">
        <f>"21102006"</f>
        <v>0</v>
      </c>
      <c r="D1154">
        <v>1</v>
      </c>
      <c r="E1154">
        <v>0</v>
      </c>
      <c r="F1154" s="2">
        <v>0</v>
      </c>
      <c r="G1154">
        <v>0</v>
      </c>
      <c r="H1154">
        <v>1</v>
      </c>
      <c r="I1154">
        <v>0.2248268617291053</v>
      </c>
      <c r="J1154">
        <v>0</v>
      </c>
      <c r="K1154">
        <v>0</v>
      </c>
      <c r="L1154" s="2">
        <v>0</v>
      </c>
      <c r="M1154">
        <v>14.85</v>
      </c>
      <c r="N1154" t="s">
        <v>10236</v>
      </c>
    </row>
    <row r="1155" spans="1:14">
      <c r="A1155" t="s">
        <v>32</v>
      </c>
      <c r="B1155" t="s">
        <v>1336</v>
      </c>
      <c r="C1155">
        <f>"5000332"</f>
        <v>0</v>
      </c>
      <c r="D1155">
        <v>1</v>
      </c>
      <c r="E1155">
        <v>0</v>
      </c>
      <c r="F1155" s="2">
        <v>0</v>
      </c>
      <c r="G1155">
        <v>0</v>
      </c>
      <c r="H1155">
        <v>1</v>
      </c>
      <c r="I1155">
        <v>0.2248268617291053</v>
      </c>
      <c r="J1155">
        <v>0</v>
      </c>
      <c r="K1155">
        <v>0</v>
      </c>
      <c r="L1155" s="2">
        <v>0</v>
      </c>
      <c r="M1155">
        <v>14.86</v>
      </c>
      <c r="N1155" t="s">
        <v>10236</v>
      </c>
    </row>
    <row r="1156" spans="1:14">
      <c r="A1156" t="s">
        <v>32</v>
      </c>
      <c r="B1156" t="s">
        <v>1337</v>
      </c>
      <c r="C1156">
        <f>"1020937"</f>
        <v>0</v>
      </c>
      <c r="D1156">
        <v>1</v>
      </c>
      <c r="E1156">
        <v>0</v>
      </c>
      <c r="F1156" s="2">
        <v>0</v>
      </c>
      <c r="G1156">
        <v>0</v>
      </c>
      <c r="H1156">
        <v>1</v>
      </c>
      <c r="I1156">
        <v>0.2248268617291053</v>
      </c>
      <c r="J1156">
        <v>0</v>
      </c>
      <c r="K1156">
        <v>0</v>
      </c>
      <c r="L1156" s="2">
        <v>0</v>
      </c>
      <c r="M1156">
        <v>14.87</v>
      </c>
      <c r="N1156" t="s">
        <v>10236</v>
      </c>
    </row>
    <row r="1157" spans="1:14">
      <c r="A1157" t="s">
        <v>193</v>
      </c>
      <c r="B1157" t="s">
        <v>1338</v>
      </c>
      <c r="C1157">
        <f>"564332"</f>
        <v>0</v>
      </c>
      <c r="D1157">
        <v>1</v>
      </c>
      <c r="E1157">
        <v>0</v>
      </c>
      <c r="F1157" s="2">
        <v>0</v>
      </c>
      <c r="G1157">
        <v>0</v>
      </c>
      <c r="H1157">
        <v>1</v>
      </c>
      <c r="I1157">
        <v>0.2248268617291053</v>
      </c>
      <c r="J1157">
        <v>0</v>
      </c>
      <c r="K1157">
        <v>0</v>
      </c>
      <c r="L1157" s="2">
        <v>0</v>
      </c>
      <c r="M1157">
        <v>14.89</v>
      </c>
      <c r="N1157" t="s">
        <v>10236</v>
      </c>
    </row>
    <row r="1158" spans="1:14">
      <c r="A1158" t="s">
        <v>34</v>
      </c>
      <c r="B1158" t="s">
        <v>1339</v>
      </c>
      <c r="C1158">
        <f>"14000205"</f>
        <v>0</v>
      </c>
      <c r="D1158">
        <v>1</v>
      </c>
      <c r="E1158">
        <v>0</v>
      </c>
      <c r="F1158" s="2">
        <v>0</v>
      </c>
      <c r="G1158">
        <v>0</v>
      </c>
      <c r="H1158">
        <v>1</v>
      </c>
      <c r="I1158">
        <v>0.2248268617291053</v>
      </c>
      <c r="J1158">
        <v>0</v>
      </c>
      <c r="K1158">
        <v>0</v>
      </c>
      <c r="L1158" s="2">
        <v>0</v>
      </c>
      <c r="M1158">
        <v>14.9</v>
      </c>
      <c r="N1158" t="s">
        <v>10236</v>
      </c>
    </row>
    <row r="1159" spans="1:14">
      <c r="A1159" t="s">
        <v>25</v>
      </c>
      <c r="B1159" t="s">
        <v>1340</v>
      </c>
      <c r="C1159">
        <f>"R1GR"</f>
        <v>0</v>
      </c>
      <c r="D1159">
        <v>1</v>
      </c>
      <c r="E1159">
        <v>0</v>
      </c>
      <c r="F1159" s="2">
        <v>0</v>
      </c>
      <c r="G1159">
        <v>0</v>
      </c>
      <c r="H1159">
        <v>1</v>
      </c>
      <c r="I1159">
        <v>0.2248268617291053</v>
      </c>
      <c r="J1159">
        <v>0</v>
      </c>
      <c r="K1159">
        <v>0</v>
      </c>
      <c r="L1159" s="2">
        <v>0</v>
      </c>
      <c r="M1159">
        <v>14.91</v>
      </c>
      <c r="N1159" t="s">
        <v>10236</v>
      </c>
    </row>
    <row r="1160" spans="1:14">
      <c r="A1160" t="s">
        <v>25</v>
      </c>
      <c r="B1160" t="s">
        <v>1341</v>
      </c>
      <c r="C1160">
        <f>"YB0392"</f>
        <v>0</v>
      </c>
      <c r="D1160">
        <v>1</v>
      </c>
      <c r="E1160">
        <v>0</v>
      </c>
      <c r="F1160" s="2">
        <v>0</v>
      </c>
      <c r="G1160">
        <v>0</v>
      </c>
      <c r="H1160">
        <v>1</v>
      </c>
      <c r="I1160">
        <v>0.2248268617291053</v>
      </c>
      <c r="J1160">
        <v>0</v>
      </c>
      <c r="K1160">
        <v>0</v>
      </c>
      <c r="L1160" s="2">
        <v>0</v>
      </c>
      <c r="M1160">
        <v>14.92</v>
      </c>
      <c r="N1160" t="s">
        <v>10236</v>
      </c>
    </row>
    <row r="1161" spans="1:14">
      <c r="A1161" t="s">
        <v>35</v>
      </c>
      <c r="B1161" t="s">
        <v>1342</v>
      </c>
      <c r="C1161">
        <f>"1009513000099"</f>
        <v>0</v>
      </c>
      <c r="D1161">
        <v>1</v>
      </c>
      <c r="E1161">
        <v>0</v>
      </c>
      <c r="F1161" s="2">
        <v>0</v>
      </c>
      <c r="G1161">
        <v>0</v>
      </c>
      <c r="H1161">
        <v>1</v>
      </c>
      <c r="I1161">
        <v>0.2248268617291053</v>
      </c>
      <c r="J1161">
        <v>0</v>
      </c>
      <c r="K1161">
        <v>0</v>
      </c>
      <c r="L1161" s="2">
        <v>0</v>
      </c>
      <c r="M1161">
        <v>14.93</v>
      </c>
      <c r="N1161" t="s">
        <v>10236</v>
      </c>
    </row>
    <row r="1162" spans="1:14">
      <c r="A1162" t="s">
        <v>35</v>
      </c>
      <c r="B1162" t="s">
        <v>1343</v>
      </c>
      <c r="C1162">
        <f>"LS222LI"</f>
        <v>0</v>
      </c>
      <c r="D1162">
        <v>1</v>
      </c>
      <c r="E1162">
        <v>0</v>
      </c>
      <c r="F1162" s="2">
        <v>0</v>
      </c>
      <c r="G1162">
        <v>0</v>
      </c>
      <c r="H1162">
        <v>1</v>
      </c>
      <c r="I1162">
        <v>0.2248268617291053</v>
      </c>
      <c r="J1162">
        <v>0</v>
      </c>
      <c r="K1162">
        <v>0</v>
      </c>
      <c r="L1162" s="2">
        <v>0</v>
      </c>
      <c r="M1162">
        <v>14.94</v>
      </c>
      <c r="N1162" t="s">
        <v>10236</v>
      </c>
    </row>
    <row r="1163" spans="1:14">
      <c r="A1163" t="s">
        <v>35</v>
      </c>
      <c r="B1163" t="s">
        <v>1344</v>
      </c>
      <c r="C1163">
        <f>"LS222VEO"</f>
        <v>0</v>
      </c>
      <c r="D1163">
        <v>1</v>
      </c>
      <c r="E1163">
        <v>0</v>
      </c>
      <c r="F1163" s="2">
        <v>0</v>
      </c>
      <c r="G1163">
        <v>0</v>
      </c>
      <c r="H1163">
        <v>1</v>
      </c>
      <c r="I1163">
        <v>0.2248268617291053</v>
      </c>
      <c r="J1163">
        <v>0</v>
      </c>
      <c r="K1163">
        <v>0</v>
      </c>
      <c r="L1163" s="2">
        <v>0</v>
      </c>
      <c r="M1163">
        <v>14.96</v>
      </c>
      <c r="N1163" t="s">
        <v>10236</v>
      </c>
    </row>
    <row r="1164" spans="1:14">
      <c r="A1164" t="s">
        <v>25</v>
      </c>
      <c r="B1164" t="s">
        <v>1345</v>
      </c>
      <c r="C1164">
        <f>"ZVP5131"</f>
        <v>0</v>
      </c>
      <c r="D1164">
        <v>1</v>
      </c>
      <c r="E1164">
        <v>0</v>
      </c>
      <c r="F1164" s="2">
        <v>0</v>
      </c>
      <c r="G1164">
        <v>0</v>
      </c>
      <c r="H1164">
        <v>1</v>
      </c>
      <c r="I1164">
        <v>0.2248268617291053</v>
      </c>
      <c r="J1164">
        <v>0</v>
      </c>
      <c r="K1164">
        <v>0</v>
      </c>
      <c r="L1164" s="2">
        <v>0</v>
      </c>
      <c r="M1164">
        <v>14.97</v>
      </c>
      <c r="N1164" t="s">
        <v>10236</v>
      </c>
    </row>
    <row r="1165" spans="1:14">
      <c r="A1165" t="s">
        <v>202</v>
      </c>
      <c r="B1165" t="s">
        <v>1346</v>
      </c>
      <c r="C1165">
        <f>"21102045"</f>
        <v>0</v>
      </c>
      <c r="D1165">
        <v>1</v>
      </c>
      <c r="E1165">
        <v>0</v>
      </c>
      <c r="F1165" s="2">
        <v>0</v>
      </c>
      <c r="G1165">
        <v>0</v>
      </c>
      <c r="H1165">
        <v>1</v>
      </c>
      <c r="I1165">
        <v>0.2248268617291053</v>
      </c>
      <c r="J1165">
        <v>0</v>
      </c>
      <c r="K1165">
        <v>0</v>
      </c>
      <c r="L1165" s="2">
        <v>0</v>
      </c>
      <c r="M1165">
        <v>14.98</v>
      </c>
      <c r="N1165" t="s">
        <v>10236</v>
      </c>
    </row>
    <row r="1166" spans="1:14">
      <c r="A1166" t="s">
        <v>193</v>
      </c>
      <c r="B1166" t="s">
        <v>1347</v>
      </c>
      <c r="C1166">
        <f>"297264"</f>
        <v>0</v>
      </c>
      <c r="D1166">
        <v>1</v>
      </c>
      <c r="E1166">
        <v>0</v>
      </c>
      <c r="F1166" s="2">
        <v>0</v>
      </c>
      <c r="G1166">
        <v>0</v>
      </c>
      <c r="H1166">
        <v>1</v>
      </c>
      <c r="I1166">
        <v>0.2248268617291053</v>
      </c>
      <c r="J1166">
        <v>0</v>
      </c>
      <c r="K1166">
        <v>0</v>
      </c>
      <c r="L1166" s="2">
        <v>0</v>
      </c>
      <c r="M1166">
        <v>14.99</v>
      </c>
      <c r="N1166" t="s">
        <v>10236</v>
      </c>
    </row>
    <row r="1167" spans="1:14">
      <c r="A1167" t="s">
        <v>32</v>
      </c>
      <c r="B1167" t="s">
        <v>1348</v>
      </c>
      <c r="C1167">
        <f>"HEM30"</f>
        <v>0</v>
      </c>
      <c r="D1167">
        <v>1</v>
      </c>
      <c r="E1167">
        <v>0</v>
      </c>
      <c r="F1167" s="2">
        <v>0</v>
      </c>
      <c r="G1167">
        <v>0</v>
      </c>
      <c r="H1167">
        <v>1</v>
      </c>
      <c r="I1167">
        <v>0.2248268617291053</v>
      </c>
      <c r="J1167">
        <v>0</v>
      </c>
      <c r="K1167">
        <v>0</v>
      </c>
      <c r="L1167" s="2">
        <v>0</v>
      </c>
      <c r="M1167">
        <v>15</v>
      </c>
      <c r="N1167" t="s">
        <v>10236</v>
      </c>
    </row>
    <row r="1168" spans="1:14">
      <c r="A1168" t="s">
        <v>210</v>
      </c>
      <c r="B1168" t="s">
        <v>1349</v>
      </c>
      <c r="C1168">
        <f>"110301011501"</f>
        <v>0</v>
      </c>
      <c r="D1168">
        <v>1</v>
      </c>
      <c r="E1168">
        <v>0</v>
      </c>
      <c r="F1168" s="2">
        <v>0</v>
      </c>
      <c r="G1168">
        <v>0</v>
      </c>
      <c r="H1168">
        <v>1</v>
      </c>
      <c r="I1168">
        <v>0.2248268617291053</v>
      </c>
      <c r="J1168">
        <v>0</v>
      </c>
      <c r="K1168">
        <v>0</v>
      </c>
      <c r="L1168" s="2">
        <v>0</v>
      </c>
      <c r="M1168">
        <v>15.02</v>
      </c>
      <c r="N1168" t="s">
        <v>10236</v>
      </c>
    </row>
    <row r="1169" spans="1:14">
      <c r="A1169" t="s">
        <v>35</v>
      </c>
      <c r="B1169" t="s">
        <v>1350</v>
      </c>
      <c r="C1169">
        <f>"KF8828"</f>
        <v>0</v>
      </c>
      <c r="D1169">
        <v>1</v>
      </c>
      <c r="E1169">
        <v>0</v>
      </c>
      <c r="F1169" s="2">
        <v>0</v>
      </c>
      <c r="G1169">
        <v>0</v>
      </c>
      <c r="H1169">
        <v>1</v>
      </c>
      <c r="I1169">
        <v>0.2248268617291053</v>
      </c>
      <c r="J1169">
        <v>0</v>
      </c>
      <c r="K1169">
        <v>0</v>
      </c>
      <c r="L1169" s="2">
        <v>0</v>
      </c>
      <c r="M1169">
        <v>15.03</v>
      </c>
      <c r="N1169" t="s">
        <v>10236</v>
      </c>
    </row>
    <row r="1170" spans="1:14">
      <c r="A1170" t="s">
        <v>35</v>
      </c>
      <c r="B1170" t="s">
        <v>1351</v>
      </c>
      <c r="C1170">
        <f>"9403B"</f>
        <v>0</v>
      </c>
      <c r="D1170">
        <v>1</v>
      </c>
      <c r="E1170">
        <v>0</v>
      </c>
      <c r="F1170" s="2">
        <v>0</v>
      </c>
      <c r="G1170">
        <v>0</v>
      </c>
      <c r="H1170">
        <v>1</v>
      </c>
      <c r="I1170">
        <v>0.2248268617291053</v>
      </c>
      <c r="J1170">
        <v>0</v>
      </c>
      <c r="K1170">
        <v>0</v>
      </c>
      <c r="L1170" s="2">
        <v>0</v>
      </c>
      <c r="M1170">
        <v>15.04</v>
      </c>
      <c r="N1170" t="s">
        <v>10236</v>
      </c>
    </row>
    <row r="1171" spans="1:14">
      <c r="A1171" t="s">
        <v>35</v>
      </c>
      <c r="B1171" t="s">
        <v>1352</v>
      </c>
      <c r="C1171">
        <f>"BBT01LC"</f>
        <v>0</v>
      </c>
      <c r="D1171">
        <v>1</v>
      </c>
      <c r="E1171">
        <v>0</v>
      </c>
      <c r="F1171" s="2">
        <v>0</v>
      </c>
      <c r="G1171">
        <v>0</v>
      </c>
      <c r="H1171">
        <v>1</v>
      </c>
      <c r="I1171">
        <v>0.2248268617291053</v>
      </c>
      <c r="J1171">
        <v>0</v>
      </c>
      <c r="K1171">
        <v>0</v>
      </c>
      <c r="L1171" s="2">
        <v>0</v>
      </c>
      <c r="M1171">
        <v>15.05</v>
      </c>
      <c r="N1171" t="s">
        <v>10236</v>
      </c>
    </row>
    <row r="1172" spans="1:14">
      <c r="A1172" t="s">
        <v>35</v>
      </c>
      <c r="B1172" t="s">
        <v>1353</v>
      </c>
      <c r="C1172">
        <f>"BF9M"</f>
        <v>0</v>
      </c>
      <c r="D1172">
        <v>1</v>
      </c>
      <c r="E1172">
        <v>0</v>
      </c>
      <c r="F1172" s="2">
        <v>0</v>
      </c>
      <c r="G1172">
        <v>0</v>
      </c>
      <c r="H1172">
        <v>1</v>
      </c>
      <c r="I1172">
        <v>0.2248268617291053</v>
      </c>
      <c r="J1172">
        <v>0</v>
      </c>
      <c r="K1172">
        <v>0</v>
      </c>
      <c r="L1172" s="2">
        <v>0</v>
      </c>
      <c r="M1172">
        <v>15.06</v>
      </c>
      <c r="N1172" t="s">
        <v>10236</v>
      </c>
    </row>
    <row r="1173" spans="1:14">
      <c r="A1173" t="s">
        <v>29</v>
      </c>
      <c r="B1173" t="s">
        <v>1354</v>
      </c>
      <c r="C1173">
        <f>"CH77862"</f>
        <v>0</v>
      </c>
      <c r="D1173">
        <v>1</v>
      </c>
      <c r="E1173">
        <v>0</v>
      </c>
      <c r="F1173" s="2">
        <v>0</v>
      </c>
      <c r="G1173">
        <v>0</v>
      </c>
      <c r="H1173">
        <v>1</v>
      </c>
      <c r="I1173">
        <v>0.2248268617291053</v>
      </c>
      <c r="J1173">
        <v>0</v>
      </c>
      <c r="K1173">
        <v>0</v>
      </c>
      <c r="L1173" s="2">
        <v>0</v>
      </c>
      <c r="M1173">
        <v>15.08</v>
      </c>
      <c r="N1173" t="s">
        <v>10236</v>
      </c>
    </row>
    <row r="1174" spans="1:14">
      <c r="A1174" t="s">
        <v>195</v>
      </c>
      <c r="B1174" t="s">
        <v>1355</v>
      </c>
      <c r="C1174">
        <f>"25395731"</f>
        <v>0</v>
      </c>
      <c r="D1174">
        <v>1</v>
      </c>
      <c r="E1174">
        <v>0</v>
      </c>
      <c r="F1174" s="2">
        <v>0</v>
      </c>
      <c r="G1174">
        <v>0</v>
      </c>
      <c r="H1174">
        <v>1</v>
      </c>
      <c r="I1174">
        <v>0.2248268617291053</v>
      </c>
      <c r="J1174">
        <v>0</v>
      </c>
      <c r="K1174">
        <v>0</v>
      </c>
      <c r="L1174" s="2">
        <v>0</v>
      </c>
      <c r="M1174">
        <v>15.09</v>
      </c>
      <c r="N1174" t="s">
        <v>10236</v>
      </c>
    </row>
    <row r="1175" spans="1:14">
      <c r="A1175" t="s">
        <v>35</v>
      </c>
      <c r="B1175" t="s">
        <v>1356</v>
      </c>
      <c r="C1175">
        <f>"191101M"</f>
        <v>0</v>
      </c>
      <c r="D1175">
        <v>1</v>
      </c>
      <c r="E1175">
        <v>0</v>
      </c>
      <c r="F1175" s="2">
        <v>0</v>
      </c>
      <c r="G1175">
        <v>0</v>
      </c>
      <c r="H1175">
        <v>1</v>
      </c>
      <c r="I1175">
        <v>0.2248268617291053</v>
      </c>
      <c r="J1175">
        <v>0</v>
      </c>
      <c r="K1175">
        <v>0</v>
      </c>
      <c r="L1175" s="2">
        <v>0</v>
      </c>
      <c r="M1175">
        <v>15.1</v>
      </c>
      <c r="N1175" t="s">
        <v>10236</v>
      </c>
    </row>
    <row r="1176" spans="1:14">
      <c r="A1176" t="s">
        <v>37</v>
      </c>
      <c r="B1176" t="s">
        <v>1357</v>
      </c>
      <c r="C1176">
        <f>"5005523"</f>
        <v>0</v>
      </c>
      <c r="D1176">
        <v>1</v>
      </c>
      <c r="E1176">
        <v>0</v>
      </c>
      <c r="F1176" s="2">
        <v>0</v>
      </c>
      <c r="G1176">
        <v>0</v>
      </c>
      <c r="H1176">
        <v>1</v>
      </c>
      <c r="I1176">
        <v>0.2248268617291053</v>
      </c>
      <c r="J1176">
        <v>0</v>
      </c>
      <c r="K1176">
        <v>0</v>
      </c>
      <c r="L1176" s="2">
        <v>0</v>
      </c>
      <c r="M1176">
        <v>15.11</v>
      </c>
      <c r="N1176" t="s">
        <v>10236</v>
      </c>
    </row>
    <row r="1177" spans="1:14">
      <c r="A1177" t="s">
        <v>35</v>
      </c>
      <c r="B1177" t="s">
        <v>1358</v>
      </c>
      <c r="C1177">
        <f>"KF8301"</f>
        <v>0</v>
      </c>
      <c r="D1177">
        <v>1</v>
      </c>
      <c r="E1177">
        <v>0</v>
      </c>
      <c r="F1177" s="2">
        <v>0</v>
      </c>
      <c r="G1177">
        <v>0</v>
      </c>
      <c r="H1177">
        <v>1</v>
      </c>
      <c r="I1177">
        <v>0.2248268617291053</v>
      </c>
      <c r="J1177">
        <v>0</v>
      </c>
      <c r="K1177">
        <v>0</v>
      </c>
      <c r="L1177" s="2">
        <v>0</v>
      </c>
      <c r="M1177">
        <v>15.12</v>
      </c>
      <c r="N1177" t="s">
        <v>10236</v>
      </c>
    </row>
    <row r="1178" spans="1:14">
      <c r="A1178" t="s">
        <v>35</v>
      </c>
      <c r="B1178" t="s">
        <v>1359</v>
      </c>
      <c r="C1178">
        <f>"KF1025B"</f>
        <v>0</v>
      </c>
      <c r="D1178">
        <v>1</v>
      </c>
      <c r="E1178">
        <v>0</v>
      </c>
      <c r="F1178" s="2">
        <v>0</v>
      </c>
      <c r="G1178">
        <v>0</v>
      </c>
      <c r="H1178">
        <v>1</v>
      </c>
      <c r="I1178">
        <v>0.2248268617291053</v>
      </c>
      <c r="J1178">
        <v>0</v>
      </c>
      <c r="K1178">
        <v>0</v>
      </c>
      <c r="L1178" s="2">
        <v>0</v>
      </c>
      <c r="M1178">
        <v>15.14</v>
      </c>
      <c r="N1178" t="s">
        <v>10236</v>
      </c>
    </row>
    <row r="1179" spans="1:14">
      <c r="A1179" t="s">
        <v>35</v>
      </c>
      <c r="B1179" t="s">
        <v>1360</v>
      </c>
      <c r="C1179">
        <f>"W008XSN"</f>
        <v>0</v>
      </c>
      <c r="D1179">
        <v>1</v>
      </c>
      <c r="E1179">
        <v>0</v>
      </c>
      <c r="F1179" s="2">
        <v>0</v>
      </c>
      <c r="G1179">
        <v>0</v>
      </c>
      <c r="H1179">
        <v>1</v>
      </c>
      <c r="I1179">
        <v>0.2248268617291053</v>
      </c>
      <c r="J1179">
        <v>0</v>
      </c>
      <c r="K1179">
        <v>0</v>
      </c>
      <c r="L1179" s="2">
        <v>0</v>
      </c>
      <c r="M1179">
        <v>15.15</v>
      </c>
      <c r="N1179" t="s">
        <v>10236</v>
      </c>
    </row>
    <row r="1180" spans="1:14">
      <c r="A1180" t="s">
        <v>35</v>
      </c>
      <c r="B1180" t="s">
        <v>1360</v>
      </c>
      <c r="C1180">
        <f>"W008XXSN"</f>
        <v>0</v>
      </c>
      <c r="D1180">
        <v>1</v>
      </c>
      <c r="E1180">
        <v>0</v>
      </c>
      <c r="F1180" s="2">
        <v>0</v>
      </c>
      <c r="G1180">
        <v>0</v>
      </c>
      <c r="H1180">
        <v>1</v>
      </c>
      <c r="I1180">
        <v>0.2248268617291053</v>
      </c>
      <c r="J1180">
        <v>0</v>
      </c>
      <c r="K1180">
        <v>0</v>
      </c>
      <c r="L1180" s="2">
        <v>0</v>
      </c>
      <c r="M1180">
        <v>15.16</v>
      </c>
      <c r="N1180" t="s">
        <v>10236</v>
      </c>
    </row>
    <row r="1181" spans="1:14">
      <c r="A1181" t="s">
        <v>35</v>
      </c>
      <c r="B1181" t="s">
        <v>1361</v>
      </c>
      <c r="C1181">
        <f>"RD016A"</f>
        <v>0</v>
      </c>
      <c r="D1181">
        <v>1</v>
      </c>
      <c r="E1181">
        <v>0</v>
      </c>
      <c r="F1181" s="2">
        <v>0</v>
      </c>
      <c r="G1181">
        <v>0</v>
      </c>
      <c r="H1181">
        <v>1</v>
      </c>
      <c r="I1181">
        <v>0.2248268617291053</v>
      </c>
      <c r="J1181">
        <v>0</v>
      </c>
      <c r="K1181">
        <v>0</v>
      </c>
      <c r="L1181" s="2">
        <v>0</v>
      </c>
      <c r="M1181">
        <v>15.17</v>
      </c>
      <c r="N1181" t="s">
        <v>10236</v>
      </c>
    </row>
    <row r="1182" spans="1:14">
      <c r="A1182" t="s">
        <v>194</v>
      </c>
      <c r="B1182" t="s">
        <v>1362</v>
      </c>
      <c r="C1182">
        <f>"800025"</f>
        <v>0</v>
      </c>
      <c r="D1182">
        <v>1</v>
      </c>
      <c r="E1182">
        <v>0</v>
      </c>
      <c r="F1182" s="2">
        <v>0</v>
      </c>
      <c r="G1182">
        <v>0</v>
      </c>
      <c r="H1182">
        <v>1</v>
      </c>
      <c r="I1182">
        <v>0.2248268617291053</v>
      </c>
      <c r="J1182">
        <v>0</v>
      </c>
      <c r="K1182">
        <v>0</v>
      </c>
      <c r="L1182" s="2">
        <v>0</v>
      </c>
      <c r="M1182">
        <v>15.18</v>
      </c>
      <c r="N1182" t="s">
        <v>10236</v>
      </c>
    </row>
    <row r="1183" spans="1:14">
      <c r="A1183" t="s">
        <v>35</v>
      </c>
      <c r="B1183" t="s">
        <v>1363</v>
      </c>
      <c r="C1183">
        <f>"JWZ1052XL"</f>
        <v>0</v>
      </c>
      <c r="D1183">
        <v>1</v>
      </c>
      <c r="E1183">
        <v>0</v>
      </c>
      <c r="F1183" s="2">
        <v>0</v>
      </c>
      <c r="G1183">
        <v>0</v>
      </c>
      <c r="H1183">
        <v>1</v>
      </c>
      <c r="I1183">
        <v>0.2248268617291053</v>
      </c>
      <c r="J1183">
        <v>0</v>
      </c>
      <c r="K1183">
        <v>0</v>
      </c>
      <c r="L1183" s="2">
        <v>0</v>
      </c>
      <c r="M1183">
        <v>15.19</v>
      </c>
      <c r="N1183" t="s">
        <v>10236</v>
      </c>
    </row>
    <row r="1184" spans="1:14">
      <c r="A1184" t="s">
        <v>35</v>
      </c>
      <c r="B1184" t="s">
        <v>1364</v>
      </c>
      <c r="C1184">
        <f>"PQ013VE"</f>
        <v>0</v>
      </c>
      <c r="D1184">
        <v>1</v>
      </c>
      <c r="E1184">
        <v>0</v>
      </c>
      <c r="F1184" s="2">
        <v>0</v>
      </c>
      <c r="G1184">
        <v>0</v>
      </c>
      <c r="H1184">
        <v>1</v>
      </c>
      <c r="I1184">
        <v>0.2248268617291053</v>
      </c>
      <c r="J1184">
        <v>0</v>
      </c>
      <c r="K1184">
        <v>0</v>
      </c>
      <c r="L1184" s="2">
        <v>0</v>
      </c>
      <c r="M1184">
        <v>15.21</v>
      </c>
      <c r="N1184" t="s">
        <v>10236</v>
      </c>
    </row>
    <row r="1185" spans="1:14">
      <c r="A1185" t="s">
        <v>35</v>
      </c>
      <c r="B1185" t="s">
        <v>1365</v>
      </c>
      <c r="C1185">
        <f>"BBT01XLN"</f>
        <v>0</v>
      </c>
      <c r="D1185">
        <v>1</v>
      </c>
      <c r="E1185">
        <v>0</v>
      </c>
      <c r="F1185" s="2">
        <v>0</v>
      </c>
      <c r="G1185">
        <v>0</v>
      </c>
      <c r="H1185">
        <v>1</v>
      </c>
      <c r="I1185">
        <v>0.2248268617291053</v>
      </c>
      <c r="J1185">
        <v>0</v>
      </c>
      <c r="K1185">
        <v>0</v>
      </c>
      <c r="L1185" s="2">
        <v>0</v>
      </c>
      <c r="M1185">
        <v>15.22</v>
      </c>
      <c r="N1185" t="s">
        <v>10236</v>
      </c>
    </row>
    <row r="1186" spans="1:14">
      <c r="A1186" t="s">
        <v>35</v>
      </c>
      <c r="B1186" t="s">
        <v>1366</v>
      </c>
      <c r="C1186">
        <f>"BBT01MC"</f>
        <v>0</v>
      </c>
      <c r="D1186">
        <v>1</v>
      </c>
      <c r="E1186">
        <v>0</v>
      </c>
      <c r="F1186" s="2">
        <v>0</v>
      </c>
      <c r="G1186">
        <v>0</v>
      </c>
      <c r="H1186">
        <v>1</v>
      </c>
      <c r="I1186">
        <v>0.2248268617291053</v>
      </c>
      <c r="J1186">
        <v>0</v>
      </c>
      <c r="K1186">
        <v>0</v>
      </c>
      <c r="L1186" s="2">
        <v>0</v>
      </c>
      <c r="M1186">
        <v>15.23</v>
      </c>
      <c r="N1186" t="s">
        <v>10236</v>
      </c>
    </row>
    <row r="1187" spans="1:14">
      <c r="A1187" t="s">
        <v>35</v>
      </c>
      <c r="B1187" t="s">
        <v>1367</v>
      </c>
      <c r="C1187">
        <f>"BBT01LN"</f>
        <v>0</v>
      </c>
      <c r="D1187">
        <v>1</v>
      </c>
      <c r="E1187">
        <v>0</v>
      </c>
      <c r="F1187" s="2">
        <v>0</v>
      </c>
      <c r="G1187">
        <v>0</v>
      </c>
      <c r="H1187">
        <v>1</v>
      </c>
      <c r="I1187">
        <v>0.2248268617291053</v>
      </c>
      <c r="J1187">
        <v>0</v>
      </c>
      <c r="K1187">
        <v>0</v>
      </c>
      <c r="L1187" s="2">
        <v>0</v>
      </c>
      <c r="M1187">
        <v>15.24</v>
      </c>
      <c r="N1187" t="s">
        <v>10236</v>
      </c>
    </row>
    <row r="1188" spans="1:14">
      <c r="A1188" t="s">
        <v>35</v>
      </c>
      <c r="B1188" t="s">
        <v>1368</v>
      </c>
      <c r="C1188">
        <f>"DN32"</f>
        <v>0</v>
      </c>
      <c r="D1188">
        <v>1</v>
      </c>
      <c r="E1188">
        <v>0</v>
      </c>
      <c r="F1188" s="2">
        <v>0</v>
      </c>
      <c r="G1188">
        <v>0</v>
      </c>
      <c r="H1188">
        <v>1</v>
      </c>
      <c r="I1188">
        <v>0.2248268617291053</v>
      </c>
      <c r="J1188">
        <v>0</v>
      </c>
      <c r="K1188">
        <v>0</v>
      </c>
      <c r="L1188" s="2">
        <v>0</v>
      </c>
      <c r="M1188">
        <v>15.25</v>
      </c>
      <c r="N1188" t="s">
        <v>10236</v>
      </c>
    </row>
    <row r="1189" spans="1:14">
      <c r="A1189" t="s">
        <v>35</v>
      </c>
      <c r="B1189" t="s">
        <v>1369</v>
      </c>
      <c r="C1189">
        <f>"MH076ROS"</f>
        <v>0</v>
      </c>
      <c r="D1189">
        <v>1</v>
      </c>
      <c r="E1189">
        <v>0</v>
      </c>
      <c r="F1189" s="2">
        <v>0</v>
      </c>
      <c r="G1189">
        <v>0</v>
      </c>
      <c r="H1189">
        <v>1</v>
      </c>
      <c r="I1189">
        <v>0.2248268617291053</v>
      </c>
      <c r="J1189">
        <v>0</v>
      </c>
      <c r="K1189">
        <v>0</v>
      </c>
      <c r="L1189" s="2">
        <v>0</v>
      </c>
      <c r="M1189">
        <v>15.27</v>
      </c>
      <c r="N1189" t="s">
        <v>10236</v>
      </c>
    </row>
    <row r="1190" spans="1:14">
      <c r="A1190" t="s">
        <v>35</v>
      </c>
      <c r="B1190" t="s">
        <v>1370</v>
      </c>
      <c r="C1190">
        <f>"NO98"</f>
        <v>0</v>
      </c>
      <c r="D1190">
        <v>1</v>
      </c>
      <c r="E1190">
        <v>0</v>
      </c>
      <c r="F1190" s="2">
        <v>0</v>
      </c>
      <c r="G1190">
        <v>0</v>
      </c>
      <c r="H1190">
        <v>1</v>
      </c>
      <c r="I1190">
        <v>0.2248268617291053</v>
      </c>
      <c r="J1190">
        <v>0</v>
      </c>
      <c r="K1190">
        <v>0</v>
      </c>
      <c r="L1190" s="2">
        <v>0</v>
      </c>
      <c r="M1190">
        <v>15.28</v>
      </c>
      <c r="N1190" t="s">
        <v>10236</v>
      </c>
    </row>
    <row r="1191" spans="1:14">
      <c r="A1191" t="s">
        <v>35</v>
      </c>
      <c r="B1191" t="s">
        <v>1371</v>
      </c>
      <c r="C1191">
        <f>"LS147C"</f>
        <v>0</v>
      </c>
      <c r="D1191">
        <v>1</v>
      </c>
      <c r="E1191">
        <v>0</v>
      </c>
      <c r="F1191" s="2">
        <v>0</v>
      </c>
      <c r="G1191">
        <v>0</v>
      </c>
      <c r="H1191">
        <v>1</v>
      </c>
      <c r="I1191">
        <v>0.2248268617291053</v>
      </c>
      <c r="J1191">
        <v>0</v>
      </c>
      <c r="K1191">
        <v>0</v>
      </c>
      <c r="L1191" s="2">
        <v>0</v>
      </c>
      <c r="M1191">
        <v>15.29</v>
      </c>
      <c r="N1191" t="s">
        <v>10236</v>
      </c>
    </row>
    <row r="1192" spans="1:14">
      <c r="A1192" t="s">
        <v>29</v>
      </c>
      <c r="B1192" t="s">
        <v>1372</v>
      </c>
      <c r="C1192">
        <f>"61614"</f>
        <v>0</v>
      </c>
      <c r="D1192">
        <v>1</v>
      </c>
      <c r="E1192">
        <v>0</v>
      </c>
      <c r="F1192" s="2">
        <v>0</v>
      </c>
      <c r="G1192">
        <v>0</v>
      </c>
      <c r="H1192">
        <v>1</v>
      </c>
      <c r="I1192">
        <v>0.2248268617291053</v>
      </c>
      <c r="J1192">
        <v>0</v>
      </c>
      <c r="K1192">
        <v>0</v>
      </c>
      <c r="L1192" s="2">
        <v>0</v>
      </c>
      <c r="M1192">
        <v>15.3</v>
      </c>
      <c r="N1192" t="s">
        <v>10236</v>
      </c>
    </row>
    <row r="1193" spans="1:14">
      <c r="A1193" t="s">
        <v>29</v>
      </c>
      <c r="B1193" t="s">
        <v>1373</v>
      </c>
      <c r="C1193">
        <f>"BSL12"</f>
        <v>0</v>
      </c>
      <c r="D1193">
        <v>1</v>
      </c>
      <c r="E1193">
        <v>0</v>
      </c>
      <c r="F1193" s="2">
        <v>0</v>
      </c>
      <c r="G1193">
        <v>0</v>
      </c>
      <c r="H1193">
        <v>1</v>
      </c>
      <c r="I1193">
        <v>0.2248268617291053</v>
      </c>
      <c r="J1193">
        <v>0</v>
      </c>
      <c r="K1193">
        <v>0</v>
      </c>
      <c r="L1193" s="2">
        <v>0</v>
      </c>
      <c r="M1193">
        <v>15.31</v>
      </c>
      <c r="N1193" t="s">
        <v>10236</v>
      </c>
    </row>
    <row r="1194" spans="1:14">
      <c r="A1194" t="s">
        <v>195</v>
      </c>
      <c r="B1194" t="s">
        <v>1374</v>
      </c>
      <c r="C1194">
        <f>"25390149"</f>
        <v>0</v>
      </c>
      <c r="D1194">
        <v>1</v>
      </c>
      <c r="E1194">
        <v>0</v>
      </c>
      <c r="F1194" s="2">
        <v>0</v>
      </c>
      <c r="G1194">
        <v>0</v>
      </c>
      <c r="H1194">
        <v>1</v>
      </c>
      <c r="I1194">
        <v>0.2248268617291053</v>
      </c>
      <c r="J1194">
        <v>0</v>
      </c>
      <c r="K1194">
        <v>0</v>
      </c>
      <c r="L1194" s="2">
        <v>0</v>
      </c>
      <c r="M1194">
        <v>15.33</v>
      </c>
      <c r="N1194" t="s">
        <v>10236</v>
      </c>
    </row>
    <row r="1195" spans="1:14">
      <c r="A1195" t="s">
        <v>29</v>
      </c>
      <c r="B1195" t="s">
        <v>1375</v>
      </c>
      <c r="C1195">
        <f>"A016"</f>
        <v>0</v>
      </c>
      <c r="D1195">
        <v>1</v>
      </c>
      <c r="E1195">
        <v>0</v>
      </c>
      <c r="F1195" s="2">
        <v>0</v>
      </c>
      <c r="G1195">
        <v>0</v>
      </c>
      <c r="H1195">
        <v>1</v>
      </c>
      <c r="I1195">
        <v>0.2248268617291053</v>
      </c>
      <c r="J1195">
        <v>0</v>
      </c>
      <c r="K1195">
        <v>0</v>
      </c>
      <c r="L1195" s="2">
        <v>0</v>
      </c>
      <c r="M1195">
        <v>15.34</v>
      </c>
      <c r="N1195" t="s">
        <v>10236</v>
      </c>
    </row>
    <row r="1196" spans="1:14">
      <c r="A1196" t="s">
        <v>195</v>
      </c>
      <c r="B1196" t="s">
        <v>1376</v>
      </c>
      <c r="C1196">
        <f>"25395866"</f>
        <v>0</v>
      </c>
      <c r="D1196">
        <v>1</v>
      </c>
      <c r="E1196">
        <v>0</v>
      </c>
      <c r="F1196" s="2">
        <v>0</v>
      </c>
      <c r="G1196">
        <v>0</v>
      </c>
      <c r="H1196">
        <v>1</v>
      </c>
      <c r="I1196">
        <v>0.2248268617291053</v>
      </c>
      <c r="J1196">
        <v>0</v>
      </c>
      <c r="K1196">
        <v>0</v>
      </c>
      <c r="L1196" s="2">
        <v>0</v>
      </c>
      <c r="M1196">
        <v>15.35</v>
      </c>
      <c r="N1196" t="s">
        <v>10236</v>
      </c>
    </row>
    <row r="1197" spans="1:14">
      <c r="A1197" t="s">
        <v>32</v>
      </c>
      <c r="B1197" t="s">
        <v>1377</v>
      </c>
      <c r="C1197">
        <f>"1022116"</f>
        <v>0</v>
      </c>
      <c r="D1197">
        <v>1</v>
      </c>
      <c r="E1197">
        <v>0</v>
      </c>
      <c r="F1197" s="2">
        <v>0</v>
      </c>
      <c r="G1197">
        <v>0</v>
      </c>
      <c r="H1197">
        <v>1</v>
      </c>
      <c r="I1197">
        <v>0.2248268617291053</v>
      </c>
      <c r="J1197">
        <v>0</v>
      </c>
      <c r="K1197">
        <v>0</v>
      </c>
      <c r="L1197" s="2">
        <v>0</v>
      </c>
      <c r="M1197">
        <v>15.36</v>
      </c>
      <c r="N1197" t="s">
        <v>10236</v>
      </c>
    </row>
    <row r="1198" spans="1:14">
      <c r="A1198" t="s">
        <v>32</v>
      </c>
      <c r="B1198" t="s">
        <v>1378</v>
      </c>
      <c r="C1198">
        <f>"1022118"</f>
        <v>0</v>
      </c>
      <c r="D1198">
        <v>1</v>
      </c>
      <c r="E1198">
        <v>0</v>
      </c>
      <c r="F1198" s="2">
        <v>0</v>
      </c>
      <c r="G1198">
        <v>0</v>
      </c>
      <c r="H1198">
        <v>1</v>
      </c>
      <c r="I1198">
        <v>0.2248268617291053</v>
      </c>
      <c r="J1198">
        <v>0</v>
      </c>
      <c r="K1198">
        <v>0</v>
      </c>
      <c r="L1198" s="2">
        <v>0</v>
      </c>
      <c r="M1198">
        <v>15.37</v>
      </c>
      <c r="N1198" t="s">
        <v>10236</v>
      </c>
    </row>
    <row r="1199" spans="1:14">
      <c r="A1199" t="s">
        <v>35</v>
      </c>
      <c r="B1199" t="s">
        <v>1379</v>
      </c>
      <c r="C1199">
        <f>"25395708"</f>
        <v>0</v>
      </c>
      <c r="D1199">
        <v>1</v>
      </c>
      <c r="E1199">
        <v>0</v>
      </c>
      <c r="F1199" s="2">
        <v>0</v>
      </c>
      <c r="G1199">
        <v>0</v>
      </c>
      <c r="H1199">
        <v>1</v>
      </c>
      <c r="I1199">
        <v>0.2248268617291053</v>
      </c>
      <c r="J1199">
        <v>0</v>
      </c>
      <c r="K1199">
        <v>0</v>
      </c>
      <c r="L1199" s="2">
        <v>0</v>
      </c>
      <c r="M1199">
        <v>15.39</v>
      </c>
      <c r="N1199" t="s">
        <v>10236</v>
      </c>
    </row>
    <row r="1200" spans="1:14">
      <c r="A1200" t="s">
        <v>25</v>
      </c>
      <c r="B1200" t="s">
        <v>1380</v>
      </c>
      <c r="C1200">
        <f>"LS111VE"</f>
        <v>0</v>
      </c>
      <c r="D1200">
        <v>1</v>
      </c>
      <c r="E1200">
        <v>0</v>
      </c>
      <c r="F1200" s="2">
        <v>0</v>
      </c>
      <c r="G1200">
        <v>0</v>
      </c>
      <c r="H1200">
        <v>1</v>
      </c>
      <c r="I1200">
        <v>0.2248268617291053</v>
      </c>
      <c r="J1200">
        <v>0</v>
      </c>
      <c r="K1200">
        <v>0</v>
      </c>
      <c r="L1200" s="2">
        <v>0</v>
      </c>
      <c r="M1200">
        <v>15.4</v>
      </c>
      <c r="N1200" t="s">
        <v>10236</v>
      </c>
    </row>
    <row r="1201" spans="1:14">
      <c r="A1201" t="s">
        <v>192</v>
      </c>
      <c r="B1201" t="s">
        <v>1381</v>
      </c>
      <c r="C1201">
        <f>"AB112"</f>
        <v>0</v>
      </c>
      <c r="D1201">
        <v>1</v>
      </c>
      <c r="E1201">
        <v>0</v>
      </c>
      <c r="F1201" s="2">
        <v>0</v>
      </c>
      <c r="G1201">
        <v>0</v>
      </c>
      <c r="H1201">
        <v>1</v>
      </c>
      <c r="I1201">
        <v>0.2248268617291053</v>
      </c>
      <c r="J1201">
        <v>0</v>
      </c>
      <c r="K1201">
        <v>0</v>
      </c>
      <c r="L1201" s="2">
        <v>0</v>
      </c>
      <c r="M1201">
        <v>15.41</v>
      </c>
      <c r="N1201" t="s">
        <v>10236</v>
      </c>
    </row>
    <row r="1202" spans="1:14">
      <c r="A1202" t="s">
        <v>35</v>
      </c>
      <c r="B1202" t="s">
        <v>1382</v>
      </c>
      <c r="C1202">
        <f>"LS107"</f>
        <v>0</v>
      </c>
      <c r="D1202">
        <v>1</v>
      </c>
      <c r="E1202">
        <v>0</v>
      </c>
      <c r="F1202" s="2">
        <v>0</v>
      </c>
      <c r="G1202">
        <v>0</v>
      </c>
      <c r="H1202">
        <v>1</v>
      </c>
      <c r="I1202">
        <v>0.2248268617291053</v>
      </c>
      <c r="J1202">
        <v>0</v>
      </c>
      <c r="K1202">
        <v>0</v>
      </c>
      <c r="L1202" s="2">
        <v>0</v>
      </c>
      <c r="M1202">
        <v>15.42</v>
      </c>
      <c r="N1202" t="s">
        <v>10236</v>
      </c>
    </row>
    <row r="1203" spans="1:14">
      <c r="A1203" t="s">
        <v>192</v>
      </c>
      <c r="B1203" t="s">
        <v>1383</v>
      </c>
      <c r="C1203">
        <f>"890103"</f>
        <v>0</v>
      </c>
      <c r="D1203">
        <v>1</v>
      </c>
      <c r="E1203">
        <v>0</v>
      </c>
      <c r="F1203" s="2">
        <v>0</v>
      </c>
      <c r="G1203">
        <v>0</v>
      </c>
      <c r="H1203">
        <v>1</v>
      </c>
      <c r="I1203">
        <v>0.2248268617291053</v>
      </c>
      <c r="J1203">
        <v>0</v>
      </c>
      <c r="K1203">
        <v>0</v>
      </c>
      <c r="L1203" s="2">
        <v>0</v>
      </c>
      <c r="M1203">
        <v>15.43</v>
      </c>
      <c r="N1203" t="s">
        <v>10236</v>
      </c>
    </row>
    <row r="1204" spans="1:14">
      <c r="A1204" t="s">
        <v>35</v>
      </c>
      <c r="B1204" t="s">
        <v>1384</v>
      </c>
      <c r="C1204">
        <f>"MF888"</f>
        <v>0</v>
      </c>
      <c r="D1204">
        <v>1</v>
      </c>
      <c r="E1204">
        <v>0</v>
      </c>
      <c r="F1204" s="2">
        <v>0</v>
      </c>
      <c r="G1204">
        <v>0</v>
      </c>
      <c r="H1204">
        <v>1</v>
      </c>
      <c r="I1204">
        <v>0.2248268617291053</v>
      </c>
      <c r="J1204">
        <v>0</v>
      </c>
      <c r="K1204">
        <v>0</v>
      </c>
      <c r="L1204" s="2">
        <v>0</v>
      </c>
      <c r="M1204">
        <v>15.44</v>
      </c>
      <c r="N1204" t="s">
        <v>10236</v>
      </c>
    </row>
    <row r="1205" spans="1:14">
      <c r="A1205" t="s">
        <v>35</v>
      </c>
      <c r="B1205" t="s">
        <v>1385</v>
      </c>
      <c r="C1205">
        <f>"MSP008GOS"</f>
        <v>0</v>
      </c>
      <c r="D1205">
        <v>1</v>
      </c>
      <c r="E1205">
        <v>0</v>
      </c>
      <c r="F1205" s="2">
        <v>0</v>
      </c>
      <c r="G1205">
        <v>0</v>
      </c>
      <c r="H1205">
        <v>1</v>
      </c>
      <c r="I1205">
        <v>0.2248268617291053</v>
      </c>
      <c r="J1205">
        <v>0</v>
      </c>
      <c r="K1205">
        <v>0</v>
      </c>
      <c r="L1205" s="2">
        <v>0</v>
      </c>
      <c r="M1205">
        <v>15.46</v>
      </c>
      <c r="N1205" t="s">
        <v>10236</v>
      </c>
    </row>
    <row r="1206" spans="1:14">
      <c r="A1206" t="s">
        <v>35</v>
      </c>
      <c r="B1206" t="s">
        <v>1386</v>
      </c>
      <c r="C1206">
        <f>"MSPB04GO"</f>
        <v>0</v>
      </c>
      <c r="D1206">
        <v>1</v>
      </c>
      <c r="E1206">
        <v>0</v>
      </c>
      <c r="F1206" s="2">
        <v>0</v>
      </c>
      <c r="G1206">
        <v>0</v>
      </c>
      <c r="H1206">
        <v>1</v>
      </c>
      <c r="I1206">
        <v>0.2248268617291053</v>
      </c>
      <c r="J1206">
        <v>0</v>
      </c>
      <c r="K1206">
        <v>0</v>
      </c>
      <c r="L1206" s="2">
        <v>0</v>
      </c>
      <c r="M1206">
        <v>15.47</v>
      </c>
      <c r="N1206" t="s">
        <v>10236</v>
      </c>
    </row>
    <row r="1207" spans="1:14">
      <c r="A1207" t="s">
        <v>35</v>
      </c>
      <c r="B1207" t="s">
        <v>1387</v>
      </c>
      <c r="C1207">
        <f>"PT1"</f>
        <v>0</v>
      </c>
      <c r="D1207">
        <v>1</v>
      </c>
      <c r="E1207">
        <v>0</v>
      </c>
      <c r="F1207" s="2">
        <v>0</v>
      </c>
      <c r="G1207">
        <v>0</v>
      </c>
      <c r="H1207">
        <v>1</v>
      </c>
      <c r="I1207">
        <v>0.2248268617291053</v>
      </c>
      <c r="J1207">
        <v>0</v>
      </c>
      <c r="K1207">
        <v>0</v>
      </c>
      <c r="L1207" s="2">
        <v>0</v>
      </c>
      <c r="M1207">
        <v>15.48</v>
      </c>
      <c r="N1207" t="s">
        <v>10236</v>
      </c>
    </row>
    <row r="1208" spans="1:14">
      <c r="A1208" t="s">
        <v>25</v>
      </c>
      <c r="B1208" t="s">
        <v>1388</v>
      </c>
      <c r="C1208">
        <f>"s007"</f>
        <v>0</v>
      </c>
      <c r="D1208">
        <v>1</v>
      </c>
      <c r="E1208">
        <v>0</v>
      </c>
      <c r="F1208" s="2">
        <v>0</v>
      </c>
      <c r="G1208">
        <v>0</v>
      </c>
      <c r="H1208">
        <v>1</v>
      </c>
      <c r="I1208">
        <v>0.2248268617291053</v>
      </c>
      <c r="J1208">
        <v>0</v>
      </c>
      <c r="K1208">
        <v>0</v>
      </c>
      <c r="L1208" s="2">
        <v>0</v>
      </c>
      <c r="M1208">
        <v>15.49</v>
      </c>
      <c r="N1208" t="s">
        <v>10236</v>
      </c>
    </row>
    <row r="1209" spans="1:14">
      <c r="A1209" t="s">
        <v>35</v>
      </c>
      <c r="B1209" t="s">
        <v>1389</v>
      </c>
      <c r="C1209">
        <f>"SDR213"</f>
        <v>0</v>
      </c>
      <c r="D1209">
        <v>1</v>
      </c>
      <c r="E1209">
        <v>0</v>
      </c>
      <c r="F1209" s="2">
        <v>0</v>
      </c>
      <c r="G1209">
        <v>0</v>
      </c>
      <c r="H1209">
        <v>1</v>
      </c>
      <c r="I1209">
        <v>0.2248268617291053</v>
      </c>
      <c r="J1209">
        <v>0</v>
      </c>
      <c r="K1209">
        <v>0</v>
      </c>
      <c r="L1209" s="2">
        <v>0</v>
      </c>
      <c r="M1209">
        <v>15.5</v>
      </c>
      <c r="N1209" t="s">
        <v>10236</v>
      </c>
    </row>
    <row r="1210" spans="1:14">
      <c r="A1210" t="s">
        <v>35</v>
      </c>
      <c r="B1210" t="s">
        <v>1390</v>
      </c>
      <c r="C1210">
        <f>"2580"</f>
        <v>0</v>
      </c>
      <c r="D1210">
        <v>1</v>
      </c>
      <c r="E1210">
        <v>0</v>
      </c>
      <c r="F1210" s="2">
        <v>0</v>
      </c>
      <c r="G1210">
        <v>0</v>
      </c>
      <c r="H1210">
        <v>1</v>
      </c>
      <c r="I1210">
        <v>0.2248268617291053</v>
      </c>
      <c r="J1210">
        <v>0</v>
      </c>
      <c r="K1210">
        <v>0</v>
      </c>
      <c r="L1210" s="2">
        <v>0</v>
      </c>
      <c r="M1210">
        <v>15.52</v>
      </c>
      <c r="N1210" t="s">
        <v>10236</v>
      </c>
    </row>
    <row r="1211" spans="1:14">
      <c r="A1211" t="s">
        <v>214</v>
      </c>
      <c r="B1211" t="s">
        <v>1391</v>
      </c>
      <c r="C1211">
        <f>"77143"</f>
        <v>0</v>
      </c>
      <c r="D1211">
        <v>1</v>
      </c>
      <c r="E1211">
        <v>0</v>
      </c>
      <c r="F1211" s="2">
        <v>0</v>
      </c>
      <c r="G1211">
        <v>0</v>
      </c>
      <c r="H1211">
        <v>1</v>
      </c>
      <c r="I1211">
        <v>0.2248268617291053</v>
      </c>
      <c r="J1211">
        <v>0</v>
      </c>
      <c r="K1211">
        <v>0</v>
      </c>
      <c r="L1211" s="2">
        <v>0</v>
      </c>
      <c r="M1211">
        <v>15.53</v>
      </c>
      <c r="N1211" t="s">
        <v>10236</v>
      </c>
    </row>
    <row r="1212" spans="1:14">
      <c r="A1212" t="s">
        <v>35</v>
      </c>
      <c r="B1212" t="s">
        <v>1392</v>
      </c>
      <c r="C1212">
        <f>"SK3021"</f>
        <v>0</v>
      </c>
      <c r="D1212">
        <v>1</v>
      </c>
      <c r="E1212">
        <v>0</v>
      </c>
      <c r="F1212" s="2">
        <v>0</v>
      </c>
      <c r="G1212">
        <v>0</v>
      </c>
      <c r="H1212">
        <v>1</v>
      </c>
      <c r="I1212">
        <v>0.2248268617291053</v>
      </c>
      <c r="J1212">
        <v>0</v>
      </c>
      <c r="K1212">
        <v>0</v>
      </c>
      <c r="L1212" s="2">
        <v>0</v>
      </c>
      <c r="M1212">
        <v>15.54</v>
      </c>
      <c r="N1212" t="s">
        <v>10236</v>
      </c>
    </row>
    <row r="1213" spans="1:14">
      <c r="A1213" t="s">
        <v>24</v>
      </c>
      <c r="B1213" t="s">
        <v>1393</v>
      </c>
      <c r="C1213">
        <f>"1158201"</f>
        <v>0</v>
      </c>
      <c r="D1213">
        <v>1</v>
      </c>
      <c r="E1213">
        <v>0</v>
      </c>
      <c r="F1213" s="2">
        <v>0</v>
      </c>
      <c r="G1213">
        <v>0</v>
      </c>
      <c r="H1213">
        <v>1</v>
      </c>
      <c r="I1213">
        <v>0.2248268617291053</v>
      </c>
      <c r="J1213">
        <v>0</v>
      </c>
      <c r="K1213">
        <v>0</v>
      </c>
      <c r="L1213" s="2">
        <v>0</v>
      </c>
      <c r="M1213">
        <v>15.55</v>
      </c>
      <c r="N1213" t="s">
        <v>10236</v>
      </c>
    </row>
    <row r="1214" spans="1:14">
      <c r="A1214" t="s">
        <v>192</v>
      </c>
      <c r="B1214" t="s">
        <v>1394</v>
      </c>
      <c r="C1214">
        <f>"LN015"</f>
        <v>0</v>
      </c>
      <c r="D1214">
        <v>1</v>
      </c>
      <c r="E1214">
        <v>0</v>
      </c>
      <c r="F1214" s="2">
        <v>0</v>
      </c>
      <c r="G1214">
        <v>0</v>
      </c>
      <c r="H1214">
        <v>1</v>
      </c>
      <c r="I1214">
        <v>0.2248268617291053</v>
      </c>
      <c r="J1214">
        <v>0</v>
      </c>
      <c r="K1214">
        <v>0</v>
      </c>
      <c r="L1214" s="2">
        <v>0</v>
      </c>
      <c r="M1214">
        <v>15.56</v>
      </c>
      <c r="N1214" t="s">
        <v>10236</v>
      </c>
    </row>
    <row r="1215" spans="1:14">
      <c r="A1215" t="s">
        <v>29</v>
      </c>
      <c r="B1215" t="s">
        <v>1395</v>
      </c>
      <c r="C1215">
        <f>"F205"</f>
        <v>0</v>
      </c>
      <c r="D1215">
        <v>1</v>
      </c>
      <c r="E1215">
        <v>0</v>
      </c>
      <c r="F1215" s="2">
        <v>0</v>
      </c>
      <c r="G1215">
        <v>0</v>
      </c>
      <c r="H1215">
        <v>1</v>
      </c>
      <c r="I1215">
        <v>0.2248268617291053</v>
      </c>
      <c r="J1215">
        <v>0</v>
      </c>
      <c r="K1215">
        <v>0</v>
      </c>
      <c r="L1215" s="2">
        <v>0</v>
      </c>
      <c r="M1215">
        <v>15.58</v>
      </c>
      <c r="N1215" t="s">
        <v>10236</v>
      </c>
    </row>
    <row r="1216" spans="1:14">
      <c r="A1216" t="s">
        <v>35</v>
      </c>
      <c r="B1216" t="s">
        <v>1396</v>
      </c>
      <c r="C1216">
        <f>"MDD1000AZ"</f>
        <v>0</v>
      </c>
      <c r="D1216">
        <v>1</v>
      </c>
      <c r="E1216">
        <v>0</v>
      </c>
      <c r="F1216" s="2">
        <v>0</v>
      </c>
      <c r="G1216">
        <v>0</v>
      </c>
      <c r="H1216">
        <v>1</v>
      </c>
      <c r="I1216">
        <v>0.2248268617291053</v>
      </c>
      <c r="J1216">
        <v>0</v>
      </c>
      <c r="K1216">
        <v>0</v>
      </c>
      <c r="L1216" s="2">
        <v>0</v>
      </c>
      <c r="M1216">
        <v>15.59</v>
      </c>
      <c r="N1216" t="s">
        <v>10236</v>
      </c>
    </row>
    <row r="1217" spans="1:14">
      <c r="A1217" t="s">
        <v>35</v>
      </c>
      <c r="B1217" t="s">
        <v>1397</v>
      </c>
      <c r="C1217">
        <f>"NT038BUR"</f>
        <v>0</v>
      </c>
      <c r="D1217">
        <v>1</v>
      </c>
      <c r="E1217">
        <v>0</v>
      </c>
      <c r="F1217" s="2">
        <v>0</v>
      </c>
      <c r="G1217">
        <v>0</v>
      </c>
      <c r="H1217">
        <v>1</v>
      </c>
      <c r="I1217">
        <v>0.2248268617291053</v>
      </c>
      <c r="J1217">
        <v>0</v>
      </c>
      <c r="K1217">
        <v>0</v>
      </c>
      <c r="L1217" s="2">
        <v>0</v>
      </c>
      <c r="M1217">
        <v>15.6</v>
      </c>
      <c r="N1217" t="s">
        <v>10236</v>
      </c>
    </row>
    <row r="1218" spans="1:14">
      <c r="A1218" t="s">
        <v>35</v>
      </c>
      <c r="B1218" t="s">
        <v>1398</v>
      </c>
      <c r="C1218">
        <f>"LJ60"</f>
        <v>0</v>
      </c>
      <c r="D1218">
        <v>1</v>
      </c>
      <c r="E1218">
        <v>0</v>
      </c>
      <c r="F1218" s="2">
        <v>0</v>
      </c>
      <c r="G1218">
        <v>0</v>
      </c>
      <c r="H1218">
        <v>1</v>
      </c>
      <c r="I1218">
        <v>0.2248268617291053</v>
      </c>
      <c r="J1218">
        <v>0</v>
      </c>
      <c r="K1218">
        <v>0</v>
      </c>
      <c r="L1218" s="2">
        <v>0</v>
      </c>
      <c r="M1218">
        <v>15.61</v>
      </c>
      <c r="N1218" t="s">
        <v>10236</v>
      </c>
    </row>
    <row r="1219" spans="1:14">
      <c r="A1219" t="s">
        <v>35</v>
      </c>
      <c r="B1219" t="s">
        <v>1399</v>
      </c>
      <c r="C1219">
        <f>"NT002R"</f>
        <v>0</v>
      </c>
      <c r="D1219">
        <v>1</v>
      </c>
      <c r="E1219">
        <v>0</v>
      </c>
      <c r="F1219" s="2">
        <v>0</v>
      </c>
      <c r="G1219">
        <v>0</v>
      </c>
      <c r="H1219">
        <v>1</v>
      </c>
      <c r="I1219">
        <v>0.2248268617291053</v>
      </c>
      <c r="J1219">
        <v>0</v>
      </c>
      <c r="K1219">
        <v>0</v>
      </c>
      <c r="L1219" s="2">
        <v>0</v>
      </c>
      <c r="M1219">
        <v>15.62</v>
      </c>
      <c r="N1219" t="s">
        <v>10236</v>
      </c>
    </row>
    <row r="1220" spans="1:14">
      <c r="A1220" t="s">
        <v>35</v>
      </c>
      <c r="B1220" t="s">
        <v>1400</v>
      </c>
      <c r="C1220">
        <f>"SAC1"</f>
        <v>0</v>
      </c>
      <c r="D1220">
        <v>1</v>
      </c>
      <c r="E1220">
        <v>0</v>
      </c>
      <c r="F1220" s="2">
        <v>0</v>
      </c>
      <c r="G1220">
        <v>0</v>
      </c>
      <c r="H1220">
        <v>1</v>
      </c>
      <c r="I1220">
        <v>0.2248268617291053</v>
      </c>
      <c r="J1220">
        <v>0</v>
      </c>
      <c r="K1220">
        <v>0</v>
      </c>
      <c r="L1220" s="2">
        <v>0</v>
      </c>
      <c r="M1220">
        <v>15.64</v>
      </c>
      <c r="N1220" t="s">
        <v>10236</v>
      </c>
    </row>
    <row r="1221" spans="1:14">
      <c r="A1221" t="s">
        <v>25</v>
      </c>
      <c r="B1221" t="s">
        <v>1401</v>
      </c>
      <c r="C1221">
        <f>"11AROS"</f>
        <v>0</v>
      </c>
      <c r="D1221">
        <v>1</v>
      </c>
      <c r="E1221">
        <v>0</v>
      </c>
      <c r="F1221" s="2">
        <v>0</v>
      </c>
      <c r="G1221">
        <v>0</v>
      </c>
      <c r="H1221">
        <v>1</v>
      </c>
      <c r="I1221">
        <v>0.2248268617291053</v>
      </c>
      <c r="J1221">
        <v>0</v>
      </c>
      <c r="K1221">
        <v>0</v>
      </c>
      <c r="L1221" s="2">
        <v>0</v>
      </c>
      <c r="M1221">
        <v>15.65</v>
      </c>
      <c r="N1221" t="s">
        <v>10236</v>
      </c>
    </row>
    <row r="1222" spans="1:14">
      <c r="A1222" t="s">
        <v>32</v>
      </c>
      <c r="B1222" t="s">
        <v>1402</v>
      </c>
      <c r="C1222">
        <f>"10021521"</f>
        <v>0</v>
      </c>
      <c r="D1222">
        <v>1</v>
      </c>
      <c r="E1222">
        <v>0</v>
      </c>
      <c r="F1222" s="2">
        <v>0</v>
      </c>
      <c r="G1222">
        <v>0</v>
      </c>
      <c r="H1222">
        <v>1</v>
      </c>
      <c r="I1222">
        <v>0.2248268617291053</v>
      </c>
      <c r="J1222">
        <v>0</v>
      </c>
      <c r="K1222">
        <v>0</v>
      </c>
      <c r="L1222" s="2">
        <v>0</v>
      </c>
      <c r="M1222">
        <v>15.66</v>
      </c>
      <c r="N1222" t="s">
        <v>10236</v>
      </c>
    </row>
    <row r="1223" spans="1:14">
      <c r="A1223" t="s">
        <v>35</v>
      </c>
      <c r="B1223" t="s">
        <v>1403</v>
      </c>
      <c r="C1223">
        <f>"NO16"</f>
        <v>0</v>
      </c>
      <c r="D1223">
        <v>1</v>
      </c>
      <c r="E1223">
        <v>0</v>
      </c>
      <c r="F1223" s="2">
        <v>0</v>
      </c>
      <c r="G1223">
        <v>0</v>
      </c>
      <c r="H1223">
        <v>1</v>
      </c>
      <c r="I1223">
        <v>0.2248268617291053</v>
      </c>
      <c r="J1223">
        <v>0</v>
      </c>
      <c r="K1223">
        <v>0</v>
      </c>
      <c r="L1223" s="2">
        <v>0</v>
      </c>
      <c r="M1223">
        <v>15.67</v>
      </c>
      <c r="N1223" t="s">
        <v>10236</v>
      </c>
    </row>
    <row r="1224" spans="1:14">
      <c r="A1224" t="s">
        <v>25</v>
      </c>
      <c r="B1224" t="s">
        <v>1404</v>
      </c>
      <c r="C1224">
        <f>"ZVP400FRU"</f>
        <v>0</v>
      </c>
      <c r="D1224">
        <v>1</v>
      </c>
      <c r="E1224">
        <v>0</v>
      </c>
      <c r="F1224" s="2">
        <v>0</v>
      </c>
      <c r="G1224">
        <v>0</v>
      </c>
      <c r="H1224">
        <v>1</v>
      </c>
      <c r="I1224">
        <v>0.2248268617291053</v>
      </c>
      <c r="J1224">
        <v>0</v>
      </c>
      <c r="K1224">
        <v>0</v>
      </c>
      <c r="L1224" s="2">
        <v>0</v>
      </c>
      <c r="M1224">
        <v>15.68</v>
      </c>
      <c r="N1224" t="s">
        <v>10236</v>
      </c>
    </row>
    <row r="1225" spans="1:14">
      <c r="A1225" t="s">
        <v>25</v>
      </c>
      <c r="B1225" t="s">
        <v>1405</v>
      </c>
      <c r="C1225">
        <f>"LO81000"</f>
        <v>0</v>
      </c>
      <c r="D1225">
        <v>1</v>
      </c>
      <c r="E1225">
        <v>0</v>
      </c>
      <c r="F1225" s="2">
        <v>0</v>
      </c>
      <c r="G1225">
        <v>0</v>
      </c>
      <c r="H1225">
        <v>1</v>
      </c>
      <c r="I1225">
        <v>0.2248268617291053</v>
      </c>
      <c r="J1225">
        <v>0</v>
      </c>
      <c r="K1225">
        <v>0</v>
      </c>
      <c r="L1225" s="2">
        <v>0</v>
      </c>
      <c r="M1225">
        <v>15.69</v>
      </c>
      <c r="N1225" t="s">
        <v>10236</v>
      </c>
    </row>
    <row r="1226" spans="1:14">
      <c r="A1226" t="s">
        <v>35</v>
      </c>
      <c r="B1226" t="s">
        <v>1406</v>
      </c>
      <c r="C1226">
        <f>"S311ROS"</f>
        <v>0</v>
      </c>
      <c r="D1226">
        <v>1</v>
      </c>
      <c r="E1226">
        <v>0</v>
      </c>
      <c r="F1226" s="2">
        <v>0</v>
      </c>
      <c r="G1226">
        <v>0</v>
      </c>
      <c r="H1226">
        <v>1</v>
      </c>
      <c r="I1226">
        <v>0.2248268617291053</v>
      </c>
      <c r="J1226">
        <v>0</v>
      </c>
      <c r="K1226">
        <v>0</v>
      </c>
      <c r="L1226" s="2">
        <v>0</v>
      </c>
      <c r="M1226">
        <v>15.71</v>
      </c>
      <c r="N1226" t="s">
        <v>10236</v>
      </c>
    </row>
    <row r="1227" spans="1:14">
      <c r="A1227" t="s">
        <v>202</v>
      </c>
      <c r="B1227" t="s">
        <v>1407</v>
      </c>
      <c r="C1227">
        <f>"21102025"</f>
        <v>0</v>
      </c>
      <c r="D1227">
        <v>1</v>
      </c>
      <c r="E1227">
        <v>0</v>
      </c>
      <c r="F1227" s="2">
        <v>0</v>
      </c>
      <c r="G1227">
        <v>0</v>
      </c>
      <c r="H1227">
        <v>1</v>
      </c>
      <c r="I1227">
        <v>0.2248268617291053</v>
      </c>
      <c r="J1227">
        <v>0</v>
      </c>
      <c r="K1227">
        <v>0</v>
      </c>
      <c r="L1227" s="2">
        <v>0</v>
      </c>
      <c r="M1227">
        <v>15.72</v>
      </c>
      <c r="N1227" t="s">
        <v>10236</v>
      </c>
    </row>
    <row r="1228" spans="1:14">
      <c r="A1228" t="s">
        <v>35</v>
      </c>
      <c r="B1228" t="s">
        <v>1408</v>
      </c>
      <c r="C1228">
        <f>"10220"</f>
        <v>0</v>
      </c>
      <c r="D1228">
        <v>1</v>
      </c>
      <c r="E1228">
        <v>0</v>
      </c>
      <c r="F1228" s="2">
        <v>0</v>
      </c>
      <c r="G1228">
        <v>0</v>
      </c>
      <c r="H1228">
        <v>1</v>
      </c>
      <c r="I1228">
        <v>0.2248268617291053</v>
      </c>
      <c r="J1228">
        <v>0</v>
      </c>
      <c r="K1228">
        <v>0</v>
      </c>
      <c r="L1228" s="2">
        <v>0</v>
      </c>
      <c r="M1228">
        <v>15.73</v>
      </c>
      <c r="N1228" t="s">
        <v>10236</v>
      </c>
    </row>
    <row r="1229" spans="1:14">
      <c r="A1229" t="s">
        <v>30</v>
      </c>
      <c r="B1229" t="s">
        <v>1409</v>
      </c>
      <c r="C1229">
        <f>"101093CAL"</f>
        <v>0</v>
      </c>
      <c r="D1229">
        <v>1</v>
      </c>
      <c r="E1229">
        <v>0</v>
      </c>
      <c r="F1229" s="2">
        <v>0</v>
      </c>
      <c r="G1229">
        <v>0</v>
      </c>
      <c r="H1229">
        <v>1</v>
      </c>
      <c r="I1229">
        <v>0.2248268617291053</v>
      </c>
      <c r="J1229">
        <v>0</v>
      </c>
      <c r="K1229">
        <v>0</v>
      </c>
      <c r="L1229" s="2">
        <v>0</v>
      </c>
      <c r="M1229">
        <v>15.74</v>
      </c>
      <c r="N1229" t="s">
        <v>10236</v>
      </c>
    </row>
    <row r="1230" spans="1:14">
      <c r="A1230" t="s">
        <v>35</v>
      </c>
      <c r="B1230" t="s">
        <v>1410</v>
      </c>
      <c r="C1230">
        <f>"CL01S"</f>
        <v>0</v>
      </c>
      <c r="D1230">
        <v>1</v>
      </c>
      <c r="E1230">
        <v>0</v>
      </c>
      <c r="F1230" s="2">
        <v>0</v>
      </c>
      <c r="G1230">
        <v>0</v>
      </c>
      <c r="H1230">
        <v>1</v>
      </c>
      <c r="I1230">
        <v>0.2248268617291053</v>
      </c>
      <c r="J1230">
        <v>0</v>
      </c>
      <c r="K1230">
        <v>0</v>
      </c>
      <c r="L1230" s="2">
        <v>0</v>
      </c>
      <c r="M1230">
        <v>15.75</v>
      </c>
      <c r="N1230" t="s">
        <v>10236</v>
      </c>
    </row>
    <row r="1231" spans="1:14">
      <c r="A1231" t="s">
        <v>35</v>
      </c>
      <c r="B1231" t="s">
        <v>1411</v>
      </c>
      <c r="C1231">
        <f>"CL02L"</f>
        <v>0</v>
      </c>
      <c r="D1231">
        <v>1</v>
      </c>
      <c r="E1231">
        <v>0</v>
      </c>
      <c r="F1231" s="2">
        <v>0</v>
      </c>
      <c r="G1231">
        <v>0</v>
      </c>
      <c r="H1231">
        <v>1</v>
      </c>
      <c r="I1231">
        <v>0.2248268617291053</v>
      </c>
      <c r="J1231">
        <v>0</v>
      </c>
      <c r="K1231">
        <v>0</v>
      </c>
      <c r="L1231" s="2">
        <v>0</v>
      </c>
      <c r="M1231">
        <v>15.77</v>
      </c>
      <c r="N1231" t="s">
        <v>10236</v>
      </c>
    </row>
    <row r="1232" spans="1:14">
      <c r="A1232" t="s">
        <v>35</v>
      </c>
      <c r="B1232" t="s">
        <v>1412</v>
      </c>
      <c r="C1232">
        <f>"CL04S"</f>
        <v>0</v>
      </c>
      <c r="D1232">
        <v>1</v>
      </c>
      <c r="E1232">
        <v>0</v>
      </c>
      <c r="F1232" s="2">
        <v>0</v>
      </c>
      <c r="G1232">
        <v>0</v>
      </c>
      <c r="H1232">
        <v>1</v>
      </c>
      <c r="I1232">
        <v>0.2248268617291053</v>
      </c>
      <c r="J1232">
        <v>0</v>
      </c>
      <c r="K1232">
        <v>0</v>
      </c>
      <c r="L1232" s="2">
        <v>0</v>
      </c>
      <c r="M1232">
        <v>15.78</v>
      </c>
      <c r="N1232" t="s">
        <v>10236</v>
      </c>
    </row>
    <row r="1233" spans="1:14">
      <c r="A1233" t="s">
        <v>35</v>
      </c>
      <c r="B1233" t="s">
        <v>1413</v>
      </c>
      <c r="C1233">
        <f>"CL04M"</f>
        <v>0</v>
      </c>
      <c r="D1233">
        <v>1</v>
      </c>
      <c r="E1233">
        <v>0</v>
      </c>
      <c r="F1233" s="2">
        <v>0</v>
      </c>
      <c r="G1233">
        <v>0</v>
      </c>
      <c r="H1233">
        <v>1</v>
      </c>
      <c r="I1233">
        <v>0.2248268617291053</v>
      </c>
      <c r="J1233">
        <v>0</v>
      </c>
      <c r="K1233">
        <v>0</v>
      </c>
      <c r="L1233" s="2">
        <v>0</v>
      </c>
      <c r="M1233">
        <v>15.79</v>
      </c>
      <c r="N1233" t="s">
        <v>10236</v>
      </c>
    </row>
    <row r="1234" spans="1:14">
      <c r="A1234" t="s">
        <v>210</v>
      </c>
      <c r="B1234" t="s">
        <v>1414</v>
      </c>
      <c r="C1234">
        <f>"110201021500"</f>
        <v>0</v>
      </c>
      <c r="D1234">
        <v>1</v>
      </c>
      <c r="E1234">
        <v>0</v>
      </c>
      <c r="F1234" s="2">
        <v>0</v>
      </c>
      <c r="G1234">
        <v>0</v>
      </c>
      <c r="H1234">
        <v>1</v>
      </c>
      <c r="I1234">
        <v>0.2248268617291053</v>
      </c>
      <c r="J1234">
        <v>0</v>
      </c>
      <c r="K1234">
        <v>0</v>
      </c>
      <c r="L1234" s="2">
        <v>0</v>
      </c>
      <c r="M1234">
        <v>15.8</v>
      </c>
      <c r="N1234" t="s">
        <v>10236</v>
      </c>
    </row>
    <row r="1235" spans="1:14">
      <c r="A1235" t="s">
        <v>35</v>
      </c>
      <c r="B1235" t="s">
        <v>1415</v>
      </c>
      <c r="C1235">
        <f>"PS1034"</f>
        <v>0</v>
      </c>
      <c r="D1235">
        <v>1</v>
      </c>
      <c r="E1235">
        <v>0</v>
      </c>
      <c r="F1235" s="2">
        <v>0</v>
      </c>
      <c r="G1235">
        <v>0</v>
      </c>
      <c r="H1235">
        <v>1</v>
      </c>
      <c r="I1235">
        <v>0.2248268617291053</v>
      </c>
      <c r="J1235">
        <v>0</v>
      </c>
      <c r="K1235">
        <v>0</v>
      </c>
      <c r="L1235" s="2">
        <v>0</v>
      </c>
      <c r="M1235">
        <v>15.81</v>
      </c>
      <c r="N1235" t="s">
        <v>10236</v>
      </c>
    </row>
    <row r="1236" spans="1:14">
      <c r="A1236" t="s">
        <v>35</v>
      </c>
      <c r="B1236" t="s">
        <v>1416</v>
      </c>
      <c r="C1236">
        <f>"LS172VL"</f>
        <v>0</v>
      </c>
      <c r="D1236">
        <v>1</v>
      </c>
      <c r="E1236">
        <v>0</v>
      </c>
      <c r="F1236" s="2">
        <v>0</v>
      </c>
      <c r="G1236">
        <v>0</v>
      </c>
      <c r="H1236">
        <v>1</v>
      </c>
      <c r="I1236">
        <v>0.2248268617291053</v>
      </c>
      <c r="J1236">
        <v>0</v>
      </c>
      <c r="K1236">
        <v>0</v>
      </c>
      <c r="L1236" s="2">
        <v>0</v>
      </c>
      <c r="M1236">
        <v>15.83</v>
      </c>
      <c r="N1236" t="s">
        <v>10236</v>
      </c>
    </row>
    <row r="1237" spans="1:14">
      <c r="A1237" t="s">
        <v>35</v>
      </c>
      <c r="B1237" t="s">
        <v>1417</v>
      </c>
      <c r="C1237">
        <f>"ZS006ALNE"</f>
        <v>0</v>
      </c>
      <c r="D1237">
        <v>1</v>
      </c>
      <c r="E1237">
        <v>0</v>
      </c>
      <c r="F1237" s="2">
        <v>0</v>
      </c>
      <c r="G1237">
        <v>0</v>
      </c>
      <c r="H1237">
        <v>1</v>
      </c>
      <c r="I1237">
        <v>0.2248268617291053</v>
      </c>
      <c r="J1237">
        <v>0</v>
      </c>
      <c r="K1237">
        <v>0</v>
      </c>
      <c r="L1237" s="2">
        <v>0</v>
      </c>
      <c r="M1237">
        <v>15.84</v>
      </c>
      <c r="N1237" t="s">
        <v>10236</v>
      </c>
    </row>
    <row r="1238" spans="1:14">
      <c r="A1238" t="s">
        <v>33</v>
      </c>
      <c r="B1238" t="s">
        <v>1418</v>
      </c>
      <c r="C1238">
        <f>"TOPK92208"</f>
        <v>0</v>
      </c>
      <c r="D1238">
        <v>1</v>
      </c>
      <c r="E1238">
        <v>0</v>
      </c>
      <c r="F1238" s="2">
        <v>0</v>
      </c>
      <c r="G1238">
        <v>0</v>
      </c>
      <c r="H1238">
        <v>1</v>
      </c>
      <c r="I1238">
        <v>0.2248268617291053</v>
      </c>
      <c r="J1238">
        <v>0</v>
      </c>
      <c r="K1238">
        <v>0</v>
      </c>
      <c r="L1238" s="2">
        <v>0</v>
      </c>
      <c r="M1238">
        <v>15.85</v>
      </c>
      <c r="N1238" t="s">
        <v>10236</v>
      </c>
    </row>
    <row r="1239" spans="1:14">
      <c r="A1239" t="s">
        <v>33</v>
      </c>
      <c r="B1239" t="s">
        <v>1419</v>
      </c>
      <c r="C1239">
        <f>"TOPK92283"</f>
        <v>0</v>
      </c>
      <c r="D1239">
        <v>1</v>
      </c>
      <c r="E1239">
        <v>0</v>
      </c>
      <c r="F1239" s="2">
        <v>0</v>
      </c>
      <c r="G1239">
        <v>0</v>
      </c>
      <c r="H1239">
        <v>1</v>
      </c>
      <c r="I1239">
        <v>0.2248268617291053</v>
      </c>
      <c r="J1239">
        <v>0</v>
      </c>
      <c r="K1239">
        <v>0</v>
      </c>
      <c r="L1239" s="2">
        <v>0</v>
      </c>
      <c r="M1239">
        <v>15.86</v>
      </c>
      <c r="N1239" t="s">
        <v>10236</v>
      </c>
    </row>
    <row r="1240" spans="1:14">
      <c r="A1240" t="s">
        <v>33</v>
      </c>
      <c r="B1240" t="s">
        <v>1420</v>
      </c>
      <c r="C1240">
        <f>"TOPK92020"</f>
        <v>0</v>
      </c>
      <c r="D1240">
        <v>1</v>
      </c>
      <c r="E1240">
        <v>0</v>
      </c>
      <c r="F1240" s="2">
        <v>0</v>
      </c>
      <c r="G1240">
        <v>0</v>
      </c>
      <c r="H1240">
        <v>1</v>
      </c>
      <c r="I1240">
        <v>0.2248268617291053</v>
      </c>
      <c r="J1240">
        <v>0</v>
      </c>
      <c r="K1240">
        <v>0</v>
      </c>
      <c r="L1240" s="2">
        <v>0</v>
      </c>
      <c r="M1240">
        <v>15.87</v>
      </c>
      <c r="N1240" t="s">
        <v>10236</v>
      </c>
    </row>
    <row r="1241" spans="1:14">
      <c r="A1241" t="s">
        <v>35</v>
      </c>
      <c r="B1241" t="s">
        <v>1421</v>
      </c>
      <c r="C1241">
        <f>"JALCO"</f>
        <v>0</v>
      </c>
      <c r="D1241">
        <v>1</v>
      </c>
      <c r="E1241">
        <v>0</v>
      </c>
      <c r="F1241" s="2">
        <v>0</v>
      </c>
      <c r="G1241">
        <v>0</v>
      </c>
      <c r="H1241">
        <v>1</v>
      </c>
      <c r="I1241">
        <v>0.2248268617291053</v>
      </c>
      <c r="J1241">
        <v>0</v>
      </c>
      <c r="K1241">
        <v>0</v>
      </c>
      <c r="L1241" s="2">
        <v>0</v>
      </c>
      <c r="M1241">
        <v>15.89</v>
      </c>
      <c r="N1241" t="s">
        <v>10236</v>
      </c>
    </row>
    <row r="1242" spans="1:14">
      <c r="A1242" t="s">
        <v>25</v>
      </c>
      <c r="B1242" t="s">
        <v>1422</v>
      </c>
      <c r="C1242">
        <f>"YB092ROSCEL"</f>
        <v>0</v>
      </c>
      <c r="D1242">
        <v>1</v>
      </c>
      <c r="E1242">
        <v>0</v>
      </c>
      <c r="F1242" s="2">
        <v>0</v>
      </c>
      <c r="G1242">
        <v>0</v>
      </c>
      <c r="H1242">
        <v>1</v>
      </c>
      <c r="I1242">
        <v>0.2248268617291053</v>
      </c>
      <c r="J1242">
        <v>0</v>
      </c>
      <c r="K1242">
        <v>0</v>
      </c>
      <c r="L1242" s="2">
        <v>0</v>
      </c>
      <c r="M1242">
        <v>15.9</v>
      </c>
      <c r="N1242" t="s">
        <v>10236</v>
      </c>
    </row>
    <row r="1243" spans="1:14">
      <c r="A1243" t="s">
        <v>25</v>
      </c>
      <c r="B1243" t="s">
        <v>1423</v>
      </c>
      <c r="C1243">
        <f>"5103ROS"</f>
        <v>0</v>
      </c>
      <c r="D1243">
        <v>1</v>
      </c>
      <c r="E1243">
        <v>0</v>
      </c>
      <c r="F1243" s="2">
        <v>0</v>
      </c>
      <c r="G1243">
        <v>0</v>
      </c>
      <c r="H1243">
        <v>1</v>
      </c>
      <c r="I1243">
        <v>0.2248268617291053</v>
      </c>
      <c r="J1243">
        <v>0</v>
      </c>
      <c r="K1243">
        <v>0</v>
      </c>
      <c r="L1243" s="2">
        <v>0</v>
      </c>
      <c r="M1243">
        <v>15.91</v>
      </c>
      <c r="N1243" t="s">
        <v>10236</v>
      </c>
    </row>
    <row r="1244" spans="1:14">
      <c r="A1244" t="s">
        <v>25</v>
      </c>
      <c r="B1244" t="s">
        <v>1424</v>
      </c>
      <c r="C1244">
        <f>"M014"</f>
        <v>0</v>
      </c>
      <c r="D1244">
        <v>1</v>
      </c>
      <c r="E1244">
        <v>0</v>
      </c>
      <c r="F1244" s="2">
        <v>0</v>
      </c>
      <c r="G1244">
        <v>0</v>
      </c>
      <c r="H1244">
        <v>1</v>
      </c>
      <c r="I1244">
        <v>0.2248268617291053</v>
      </c>
      <c r="J1244">
        <v>0</v>
      </c>
      <c r="K1244">
        <v>0</v>
      </c>
      <c r="L1244" s="2">
        <v>0</v>
      </c>
      <c r="M1244">
        <v>15.92</v>
      </c>
      <c r="N1244" t="s">
        <v>10236</v>
      </c>
    </row>
    <row r="1245" spans="1:14">
      <c r="A1245" t="s">
        <v>35</v>
      </c>
      <c r="B1245" t="s">
        <v>1425</v>
      </c>
      <c r="C1245">
        <f>"MCW121"</f>
        <v>0</v>
      </c>
      <c r="D1245">
        <v>1</v>
      </c>
      <c r="E1245">
        <v>0</v>
      </c>
      <c r="F1245" s="2">
        <v>0</v>
      </c>
      <c r="G1245">
        <v>0</v>
      </c>
      <c r="H1245">
        <v>1</v>
      </c>
      <c r="I1245">
        <v>0.2248268617291053</v>
      </c>
      <c r="J1245">
        <v>0</v>
      </c>
      <c r="K1245">
        <v>0</v>
      </c>
      <c r="L1245" s="2">
        <v>0</v>
      </c>
      <c r="M1245">
        <v>15.93</v>
      </c>
      <c r="N1245" t="s">
        <v>10236</v>
      </c>
    </row>
    <row r="1246" spans="1:14">
      <c r="A1246" t="s">
        <v>193</v>
      </c>
      <c r="B1246" t="s">
        <v>1426</v>
      </c>
      <c r="C1246">
        <f>"297134"</f>
        <v>0</v>
      </c>
      <c r="D1246">
        <v>1</v>
      </c>
      <c r="E1246">
        <v>0</v>
      </c>
      <c r="F1246" s="2">
        <v>0</v>
      </c>
      <c r="G1246">
        <v>0</v>
      </c>
      <c r="H1246">
        <v>1</v>
      </c>
      <c r="I1246">
        <v>0.2248268617291053</v>
      </c>
      <c r="J1246">
        <v>0</v>
      </c>
      <c r="K1246">
        <v>0</v>
      </c>
      <c r="L1246" s="2">
        <v>0</v>
      </c>
      <c r="M1246">
        <v>15.94</v>
      </c>
      <c r="N1246" t="s">
        <v>10236</v>
      </c>
    </row>
    <row r="1247" spans="1:14">
      <c r="A1247" t="s">
        <v>35</v>
      </c>
      <c r="B1247" t="s">
        <v>1427</v>
      </c>
      <c r="C1247">
        <f>"bps7421"</f>
        <v>0</v>
      </c>
      <c r="D1247">
        <v>1</v>
      </c>
      <c r="E1247">
        <v>0</v>
      </c>
      <c r="F1247" s="2">
        <v>0</v>
      </c>
      <c r="G1247">
        <v>0</v>
      </c>
      <c r="H1247">
        <v>1</v>
      </c>
      <c r="I1247">
        <v>0.2248268617291053</v>
      </c>
      <c r="J1247">
        <v>0</v>
      </c>
      <c r="K1247">
        <v>0</v>
      </c>
      <c r="L1247" s="2">
        <v>0</v>
      </c>
      <c r="M1247">
        <v>15.96</v>
      </c>
      <c r="N1247" t="s">
        <v>10236</v>
      </c>
    </row>
    <row r="1248" spans="1:14">
      <c r="A1248" t="s">
        <v>202</v>
      </c>
      <c r="B1248" t="s">
        <v>1428</v>
      </c>
      <c r="C1248">
        <f>"11201047"</f>
        <v>0</v>
      </c>
      <c r="D1248">
        <v>1</v>
      </c>
      <c r="E1248">
        <v>0</v>
      </c>
      <c r="F1248" s="2">
        <v>0</v>
      </c>
      <c r="G1248">
        <v>0</v>
      </c>
      <c r="H1248">
        <v>1</v>
      </c>
      <c r="I1248">
        <v>0.2248268617291053</v>
      </c>
      <c r="J1248">
        <v>0</v>
      </c>
      <c r="K1248">
        <v>0</v>
      </c>
      <c r="L1248" s="2">
        <v>0</v>
      </c>
      <c r="M1248">
        <v>15.97</v>
      </c>
      <c r="N1248" t="s">
        <v>10236</v>
      </c>
    </row>
    <row r="1249" spans="1:14">
      <c r="A1249" t="s">
        <v>202</v>
      </c>
      <c r="B1249" t="s">
        <v>1429</v>
      </c>
      <c r="C1249">
        <f>"11201041"</f>
        <v>0</v>
      </c>
      <c r="D1249">
        <v>1</v>
      </c>
      <c r="E1249">
        <v>0</v>
      </c>
      <c r="F1249" s="2">
        <v>0</v>
      </c>
      <c r="G1249">
        <v>0</v>
      </c>
      <c r="H1249">
        <v>1</v>
      </c>
      <c r="I1249">
        <v>0.2248268617291053</v>
      </c>
      <c r="J1249">
        <v>0</v>
      </c>
      <c r="K1249">
        <v>0</v>
      </c>
      <c r="L1249" s="2">
        <v>0</v>
      </c>
      <c r="M1249">
        <v>15.98</v>
      </c>
      <c r="N1249" t="s">
        <v>10236</v>
      </c>
    </row>
    <row r="1250" spans="1:14">
      <c r="A1250" t="s">
        <v>202</v>
      </c>
      <c r="B1250" t="s">
        <v>1430</v>
      </c>
      <c r="C1250">
        <f>"11201048"</f>
        <v>0</v>
      </c>
      <c r="D1250">
        <v>1</v>
      </c>
      <c r="E1250">
        <v>0</v>
      </c>
      <c r="F1250" s="2">
        <v>0</v>
      </c>
      <c r="G1250">
        <v>0</v>
      </c>
      <c r="H1250">
        <v>1</v>
      </c>
      <c r="I1250">
        <v>0.2248268617291053</v>
      </c>
      <c r="J1250">
        <v>0</v>
      </c>
      <c r="K1250">
        <v>0</v>
      </c>
      <c r="L1250" s="2">
        <v>0</v>
      </c>
      <c r="M1250">
        <v>15.99</v>
      </c>
      <c r="N1250" t="s">
        <v>10236</v>
      </c>
    </row>
    <row r="1251" spans="1:14">
      <c r="A1251" t="s">
        <v>35</v>
      </c>
      <c r="B1251" t="s">
        <v>1431</v>
      </c>
      <c r="C1251">
        <f>"HH337MVE"</f>
        <v>0</v>
      </c>
      <c r="D1251">
        <v>1</v>
      </c>
      <c r="E1251">
        <v>0</v>
      </c>
      <c r="F1251" s="2">
        <v>0</v>
      </c>
      <c r="G1251">
        <v>0</v>
      </c>
      <c r="H1251">
        <v>1</v>
      </c>
      <c r="I1251">
        <v>0.2248268617291053</v>
      </c>
      <c r="J1251">
        <v>0</v>
      </c>
      <c r="K1251">
        <v>0</v>
      </c>
      <c r="L1251" s="2">
        <v>0</v>
      </c>
      <c r="M1251">
        <v>16</v>
      </c>
      <c r="N1251" t="s">
        <v>10236</v>
      </c>
    </row>
    <row r="1252" spans="1:14">
      <c r="A1252" t="s">
        <v>29</v>
      </c>
      <c r="B1252" t="s">
        <v>1432</v>
      </c>
      <c r="C1252">
        <f>"HRG800B"</f>
        <v>0</v>
      </c>
      <c r="D1252">
        <v>1</v>
      </c>
      <c r="E1252">
        <v>0</v>
      </c>
      <c r="F1252" s="2">
        <v>0</v>
      </c>
      <c r="G1252">
        <v>0</v>
      </c>
      <c r="H1252">
        <v>1</v>
      </c>
      <c r="I1252">
        <v>0.2248268617291053</v>
      </c>
      <c r="J1252">
        <v>0</v>
      </c>
      <c r="K1252">
        <v>0</v>
      </c>
      <c r="L1252" s="2">
        <v>0</v>
      </c>
      <c r="M1252">
        <v>16.02</v>
      </c>
      <c r="N1252" t="s">
        <v>10236</v>
      </c>
    </row>
    <row r="1253" spans="1:14">
      <c r="A1253" t="s">
        <v>29</v>
      </c>
      <c r="B1253" t="s">
        <v>1433</v>
      </c>
      <c r="C1253">
        <f>"KY9L"</f>
        <v>0</v>
      </c>
      <c r="D1253">
        <v>1</v>
      </c>
      <c r="E1253">
        <v>0</v>
      </c>
      <c r="F1253" s="2">
        <v>0</v>
      </c>
      <c r="G1253">
        <v>0</v>
      </c>
      <c r="H1253">
        <v>1</v>
      </c>
      <c r="I1253">
        <v>0.2248268617291053</v>
      </c>
      <c r="J1253">
        <v>0</v>
      </c>
      <c r="K1253">
        <v>0</v>
      </c>
      <c r="L1253" s="2">
        <v>0</v>
      </c>
      <c r="M1253">
        <v>16.03</v>
      </c>
      <c r="N1253" t="s">
        <v>10236</v>
      </c>
    </row>
    <row r="1254" spans="1:14">
      <c r="A1254" t="s">
        <v>29</v>
      </c>
      <c r="B1254" t="s">
        <v>1434</v>
      </c>
      <c r="C1254">
        <f>"70401"</f>
        <v>0</v>
      </c>
      <c r="D1254">
        <v>1</v>
      </c>
      <c r="E1254">
        <v>0</v>
      </c>
      <c r="F1254" s="2">
        <v>0</v>
      </c>
      <c r="G1254">
        <v>0</v>
      </c>
      <c r="H1254">
        <v>1</v>
      </c>
      <c r="I1254">
        <v>0.2248268617291053</v>
      </c>
      <c r="J1254">
        <v>0</v>
      </c>
      <c r="K1254">
        <v>0</v>
      </c>
      <c r="L1254" s="2">
        <v>0</v>
      </c>
      <c r="M1254">
        <v>16.04</v>
      </c>
      <c r="N1254" t="s">
        <v>10236</v>
      </c>
    </row>
    <row r="1255" spans="1:14">
      <c r="A1255" t="s">
        <v>29</v>
      </c>
      <c r="B1255" t="s">
        <v>1435</v>
      </c>
      <c r="C1255">
        <f>"77103"</f>
        <v>0</v>
      </c>
      <c r="D1255">
        <v>1</v>
      </c>
      <c r="E1255">
        <v>0</v>
      </c>
      <c r="F1255" s="2">
        <v>0</v>
      </c>
      <c r="G1255">
        <v>0</v>
      </c>
      <c r="H1255">
        <v>1</v>
      </c>
      <c r="I1255">
        <v>0.2248268617291053</v>
      </c>
      <c r="J1255">
        <v>0</v>
      </c>
      <c r="K1255">
        <v>0</v>
      </c>
      <c r="L1255" s="2">
        <v>0</v>
      </c>
      <c r="M1255">
        <v>16.05</v>
      </c>
      <c r="N1255" t="s">
        <v>10236</v>
      </c>
    </row>
    <row r="1256" spans="1:14">
      <c r="A1256" t="s">
        <v>40</v>
      </c>
      <c r="B1256" t="s">
        <v>1436</v>
      </c>
      <c r="C1256">
        <f>"v100973"</f>
        <v>0</v>
      </c>
      <c r="D1256">
        <v>1</v>
      </c>
      <c r="E1256">
        <v>0</v>
      </c>
      <c r="F1256" s="2">
        <v>0</v>
      </c>
      <c r="G1256">
        <v>0</v>
      </c>
      <c r="H1256">
        <v>1</v>
      </c>
      <c r="I1256">
        <v>0.2248268617291053</v>
      </c>
      <c r="J1256">
        <v>0</v>
      </c>
      <c r="K1256">
        <v>0</v>
      </c>
      <c r="L1256" s="2">
        <v>0</v>
      </c>
      <c r="M1256">
        <v>16.06</v>
      </c>
      <c r="N1256" t="s">
        <v>10236</v>
      </c>
    </row>
    <row r="1257" spans="1:14">
      <c r="A1257" t="s">
        <v>193</v>
      </c>
      <c r="B1257" t="s">
        <v>1437</v>
      </c>
      <c r="C1257">
        <f>"826136"</f>
        <v>0</v>
      </c>
      <c r="D1257">
        <v>1</v>
      </c>
      <c r="E1257">
        <v>0</v>
      </c>
      <c r="F1257" s="2">
        <v>0</v>
      </c>
      <c r="G1257">
        <v>0</v>
      </c>
      <c r="H1257">
        <v>1</v>
      </c>
      <c r="I1257">
        <v>0.2248268617291053</v>
      </c>
      <c r="J1257">
        <v>0</v>
      </c>
      <c r="K1257">
        <v>0</v>
      </c>
      <c r="L1257" s="2">
        <v>0</v>
      </c>
      <c r="M1257">
        <v>16.08</v>
      </c>
      <c r="N1257" t="s">
        <v>10236</v>
      </c>
    </row>
    <row r="1258" spans="1:14">
      <c r="A1258" t="s">
        <v>35</v>
      </c>
      <c r="B1258" t="s">
        <v>1438</v>
      </c>
      <c r="C1258">
        <f>"92804RS"</f>
        <v>0</v>
      </c>
      <c r="D1258">
        <v>1</v>
      </c>
      <c r="E1258">
        <v>0</v>
      </c>
      <c r="F1258" s="2">
        <v>0</v>
      </c>
      <c r="G1258">
        <v>0</v>
      </c>
      <c r="H1258">
        <v>1</v>
      </c>
      <c r="I1258">
        <v>0.2248268617291053</v>
      </c>
      <c r="J1258">
        <v>0</v>
      </c>
      <c r="K1258">
        <v>0</v>
      </c>
      <c r="L1258" s="2">
        <v>0</v>
      </c>
      <c r="M1258">
        <v>16.09</v>
      </c>
      <c r="N1258" t="s">
        <v>10236</v>
      </c>
    </row>
    <row r="1259" spans="1:14">
      <c r="A1259" t="s">
        <v>35</v>
      </c>
      <c r="B1259" t="s">
        <v>1439</v>
      </c>
      <c r="C1259">
        <f>"XX249"</f>
        <v>0</v>
      </c>
      <c r="D1259">
        <v>1</v>
      </c>
      <c r="E1259">
        <v>0</v>
      </c>
      <c r="F1259" s="2">
        <v>0</v>
      </c>
      <c r="G1259">
        <v>0</v>
      </c>
      <c r="H1259">
        <v>1</v>
      </c>
      <c r="I1259">
        <v>0.2248268617291053</v>
      </c>
      <c r="J1259">
        <v>0</v>
      </c>
      <c r="K1259">
        <v>0</v>
      </c>
      <c r="L1259" s="2">
        <v>0</v>
      </c>
      <c r="M1259">
        <v>16.1</v>
      </c>
      <c r="N1259" t="s">
        <v>10236</v>
      </c>
    </row>
    <row r="1260" spans="1:14">
      <c r="A1260" t="s">
        <v>35</v>
      </c>
      <c r="B1260" t="s">
        <v>1440</v>
      </c>
      <c r="C1260">
        <f>"WO234ROS"</f>
        <v>0</v>
      </c>
      <c r="D1260">
        <v>1</v>
      </c>
      <c r="E1260">
        <v>0</v>
      </c>
      <c r="F1260" s="2">
        <v>0</v>
      </c>
      <c r="G1260">
        <v>0</v>
      </c>
      <c r="H1260">
        <v>1</v>
      </c>
      <c r="I1260">
        <v>0.2248268617291053</v>
      </c>
      <c r="J1260">
        <v>0</v>
      </c>
      <c r="K1260">
        <v>0</v>
      </c>
      <c r="L1260" s="2">
        <v>0</v>
      </c>
      <c r="M1260">
        <v>16.11</v>
      </c>
      <c r="N1260" t="s">
        <v>10236</v>
      </c>
    </row>
    <row r="1261" spans="1:14">
      <c r="A1261" t="s">
        <v>192</v>
      </c>
      <c r="B1261" t="s">
        <v>1441</v>
      </c>
      <c r="C1261">
        <f>"1403"</f>
        <v>0</v>
      </c>
      <c r="D1261">
        <v>1</v>
      </c>
      <c r="E1261">
        <v>0</v>
      </c>
      <c r="F1261" s="2">
        <v>0</v>
      </c>
      <c r="G1261">
        <v>0</v>
      </c>
      <c r="H1261">
        <v>1</v>
      </c>
      <c r="I1261">
        <v>0.2248268617291053</v>
      </c>
      <c r="J1261">
        <v>0</v>
      </c>
      <c r="K1261">
        <v>0</v>
      </c>
      <c r="L1261" s="2">
        <v>0</v>
      </c>
      <c r="M1261">
        <v>16.12</v>
      </c>
      <c r="N1261" t="s">
        <v>10236</v>
      </c>
    </row>
    <row r="1262" spans="1:14">
      <c r="A1262" t="s">
        <v>35</v>
      </c>
      <c r="B1262" t="s">
        <v>1442</v>
      </c>
      <c r="C1262">
        <f>"65859"</f>
        <v>0</v>
      </c>
      <c r="D1262">
        <v>1</v>
      </c>
      <c r="E1262">
        <v>0</v>
      </c>
      <c r="F1262" s="2">
        <v>0</v>
      </c>
      <c r="G1262">
        <v>0</v>
      </c>
      <c r="H1262">
        <v>1</v>
      </c>
      <c r="I1262">
        <v>0.2248268617291053</v>
      </c>
      <c r="J1262">
        <v>0</v>
      </c>
      <c r="K1262">
        <v>0</v>
      </c>
      <c r="L1262" s="2">
        <v>0</v>
      </c>
      <c r="M1262">
        <v>16.14</v>
      </c>
      <c r="N1262" t="s">
        <v>10236</v>
      </c>
    </row>
    <row r="1263" spans="1:14">
      <c r="A1263" t="s">
        <v>192</v>
      </c>
      <c r="B1263" t="s">
        <v>1443</v>
      </c>
      <c r="C1263">
        <f>"890102"</f>
        <v>0</v>
      </c>
      <c r="D1263">
        <v>1</v>
      </c>
      <c r="E1263">
        <v>0</v>
      </c>
      <c r="F1263" s="2">
        <v>0</v>
      </c>
      <c r="G1263">
        <v>0</v>
      </c>
      <c r="H1263">
        <v>1</v>
      </c>
      <c r="I1263">
        <v>0.2248268617291053</v>
      </c>
      <c r="J1263">
        <v>0</v>
      </c>
      <c r="K1263">
        <v>0</v>
      </c>
      <c r="L1263" s="2">
        <v>0</v>
      </c>
      <c r="M1263">
        <v>16.15</v>
      </c>
      <c r="N1263" t="s">
        <v>10236</v>
      </c>
    </row>
    <row r="1264" spans="1:14">
      <c r="A1264" t="s">
        <v>35</v>
      </c>
      <c r="B1264" t="s">
        <v>1444</v>
      </c>
      <c r="C1264">
        <f>"7011245"</f>
        <v>0</v>
      </c>
      <c r="D1264">
        <v>1</v>
      </c>
      <c r="E1264">
        <v>0</v>
      </c>
      <c r="F1264" s="2">
        <v>0</v>
      </c>
      <c r="G1264">
        <v>0</v>
      </c>
      <c r="H1264">
        <v>1</v>
      </c>
      <c r="I1264">
        <v>0.2248268617291053</v>
      </c>
      <c r="J1264">
        <v>0</v>
      </c>
      <c r="K1264">
        <v>0</v>
      </c>
      <c r="L1264" s="2">
        <v>0</v>
      </c>
      <c r="M1264">
        <v>16.16</v>
      </c>
      <c r="N1264" t="s">
        <v>10236</v>
      </c>
    </row>
    <row r="1265" spans="1:14">
      <c r="A1265" t="s">
        <v>35</v>
      </c>
      <c r="B1265" t="s">
        <v>1445</v>
      </c>
      <c r="C1265">
        <f>"KF6004"</f>
        <v>0</v>
      </c>
      <c r="D1265">
        <v>1</v>
      </c>
      <c r="E1265">
        <v>0</v>
      </c>
      <c r="F1265" s="2">
        <v>0</v>
      </c>
      <c r="G1265">
        <v>0</v>
      </c>
      <c r="H1265">
        <v>1</v>
      </c>
      <c r="I1265">
        <v>0.2248268617291053</v>
      </c>
      <c r="J1265">
        <v>0</v>
      </c>
      <c r="K1265">
        <v>0</v>
      </c>
      <c r="L1265" s="2">
        <v>0</v>
      </c>
      <c r="M1265">
        <v>16.17</v>
      </c>
      <c r="N1265" t="s">
        <v>10236</v>
      </c>
    </row>
    <row r="1266" spans="1:14">
      <c r="A1266" t="s">
        <v>35</v>
      </c>
      <c r="B1266" t="s">
        <v>1446</v>
      </c>
      <c r="C1266">
        <f>"1055MROS"</f>
        <v>0</v>
      </c>
      <c r="D1266">
        <v>1</v>
      </c>
      <c r="E1266">
        <v>0</v>
      </c>
      <c r="F1266" s="2">
        <v>0</v>
      </c>
      <c r="G1266">
        <v>0</v>
      </c>
      <c r="H1266">
        <v>1</v>
      </c>
      <c r="I1266">
        <v>0.2248268617291053</v>
      </c>
      <c r="J1266">
        <v>0</v>
      </c>
      <c r="K1266">
        <v>0</v>
      </c>
      <c r="L1266" s="2">
        <v>0</v>
      </c>
      <c r="M1266">
        <v>16.18</v>
      </c>
      <c r="N1266" t="s">
        <v>10236</v>
      </c>
    </row>
    <row r="1267" spans="1:14">
      <c r="A1267" t="s">
        <v>25</v>
      </c>
      <c r="B1267" t="s">
        <v>1447</v>
      </c>
      <c r="C1267">
        <f>"D801"</f>
        <v>0</v>
      </c>
      <c r="D1267">
        <v>1</v>
      </c>
      <c r="E1267">
        <v>0</v>
      </c>
      <c r="F1267" s="2">
        <v>0</v>
      </c>
      <c r="G1267">
        <v>0</v>
      </c>
      <c r="H1267">
        <v>1</v>
      </c>
      <c r="I1267">
        <v>0.2248268617291053</v>
      </c>
      <c r="J1267">
        <v>0</v>
      </c>
      <c r="K1267">
        <v>0</v>
      </c>
      <c r="L1267" s="2">
        <v>0</v>
      </c>
      <c r="M1267">
        <v>16.19</v>
      </c>
      <c r="N1267" t="s">
        <v>10236</v>
      </c>
    </row>
    <row r="1268" spans="1:14">
      <c r="A1268" t="s">
        <v>192</v>
      </c>
      <c r="B1268" t="s">
        <v>1448</v>
      </c>
      <c r="C1268">
        <f>"A19"</f>
        <v>0</v>
      </c>
      <c r="D1268">
        <v>1</v>
      </c>
      <c r="E1268">
        <v>0</v>
      </c>
      <c r="F1268" s="2">
        <v>0</v>
      </c>
      <c r="G1268">
        <v>0</v>
      </c>
      <c r="H1268">
        <v>1</v>
      </c>
      <c r="I1268">
        <v>0.2248268617291053</v>
      </c>
      <c r="J1268">
        <v>0</v>
      </c>
      <c r="K1268">
        <v>0</v>
      </c>
      <c r="L1268" s="2">
        <v>0</v>
      </c>
      <c r="M1268">
        <v>16.21</v>
      </c>
      <c r="N1268" t="s">
        <v>10236</v>
      </c>
    </row>
    <row r="1269" spans="1:14">
      <c r="A1269" t="s">
        <v>35</v>
      </c>
      <c r="B1269" t="s">
        <v>1449</v>
      </c>
      <c r="C1269">
        <f>"RTW04"</f>
        <v>0</v>
      </c>
      <c r="D1269">
        <v>1</v>
      </c>
      <c r="E1269">
        <v>0</v>
      </c>
      <c r="F1269" s="2">
        <v>0</v>
      </c>
      <c r="G1269">
        <v>0</v>
      </c>
      <c r="H1269">
        <v>1</v>
      </c>
      <c r="I1269">
        <v>0.2248268617291053</v>
      </c>
      <c r="J1269">
        <v>0</v>
      </c>
      <c r="K1269">
        <v>0</v>
      </c>
      <c r="L1269" s="2">
        <v>0</v>
      </c>
      <c r="M1269">
        <v>16.22</v>
      </c>
      <c r="N1269" t="s">
        <v>10236</v>
      </c>
    </row>
    <row r="1270" spans="1:14">
      <c r="A1270" t="s">
        <v>35</v>
      </c>
      <c r="B1270" t="s">
        <v>1450</v>
      </c>
      <c r="C1270">
        <f>"WD023"</f>
        <v>0</v>
      </c>
      <c r="D1270">
        <v>1</v>
      </c>
      <c r="E1270">
        <v>0</v>
      </c>
      <c r="F1270" s="2">
        <v>0</v>
      </c>
      <c r="G1270">
        <v>0</v>
      </c>
      <c r="H1270">
        <v>1</v>
      </c>
      <c r="I1270">
        <v>0.2248268617291053</v>
      </c>
      <c r="J1270">
        <v>0</v>
      </c>
      <c r="K1270">
        <v>0</v>
      </c>
      <c r="L1270" s="2">
        <v>0</v>
      </c>
      <c r="M1270">
        <v>16.23</v>
      </c>
      <c r="N1270" t="s">
        <v>10236</v>
      </c>
    </row>
    <row r="1271" spans="1:14">
      <c r="A1271" t="s">
        <v>215</v>
      </c>
      <c r="B1271" t="s">
        <v>1451</v>
      </c>
      <c r="C1271">
        <f>"BCAC3101"</f>
        <v>0</v>
      </c>
      <c r="D1271">
        <v>1</v>
      </c>
      <c r="E1271">
        <v>0</v>
      </c>
      <c r="F1271" s="2">
        <v>0</v>
      </c>
      <c r="G1271">
        <v>0</v>
      </c>
      <c r="H1271">
        <v>1</v>
      </c>
      <c r="I1271">
        <v>0.2248268617291053</v>
      </c>
      <c r="J1271">
        <v>0</v>
      </c>
      <c r="K1271">
        <v>0</v>
      </c>
      <c r="L1271" s="2">
        <v>0</v>
      </c>
      <c r="M1271">
        <v>16.24</v>
      </c>
      <c r="N1271" t="s">
        <v>10236</v>
      </c>
    </row>
    <row r="1272" spans="1:14">
      <c r="A1272" t="s">
        <v>215</v>
      </c>
      <c r="B1272" t="s">
        <v>1452</v>
      </c>
      <c r="C1272">
        <f>"BCAC3100"</f>
        <v>0</v>
      </c>
      <c r="D1272">
        <v>1</v>
      </c>
      <c r="E1272">
        <v>0</v>
      </c>
      <c r="F1272" s="2">
        <v>0</v>
      </c>
      <c r="G1272">
        <v>0</v>
      </c>
      <c r="H1272">
        <v>1</v>
      </c>
      <c r="I1272">
        <v>0.2248268617291053</v>
      </c>
      <c r="J1272">
        <v>0</v>
      </c>
      <c r="K1272">
        <v>0</v>
      </c>
      <c r="L1272" s="2">
        <v>0</v>
      </c>
      <c r="M1272">
        <v>16.25</v>
      </c>
      <c r="N1272" t="s">
        <v>10236</v>
      </c>
    </row>
    <row r="1273" spans="1:14">
      <c r="A1273" t="s">
        <v>35</v>
      </c>
      <c r="B1273" t="s">
        <v>1453</v>
      </c>
      <c r="C1273">
        <f>"1039MEVE"</f>
        <v>0</v>
      </c>
      <c r="D1273">
        <v>1</v>
      </c>
      <c r="E1273">
        <v>0</v>
      </c>
      <c r="F1273" s="2">
        <v>0</v>
      </c>
      <c r="G1273">
        <v>0</v>
      </c>
      <c r="H1273">
        <v>1</v>
      </c>
      <c r="I1273">
        <v>0.2248268617291053</v>
      </c>
      <c r="J1273">
        <v>0</v>
      </c>
      <c r="K1273">
        <v>0</v>
      </c>
      <c r="L1273" s="2">
        <v>0</v>
      </c>
      <c r="M1273">
        <v>16.27</v>
      </c>
      <c r="N1273" t="s">
        <v>10236</v>
      </c>
    </row>
    <row r="1274" spans="1:14">
      <c r="A1274" t="s">
        <v>35</v>
      </c>
      <c r="B1274" t="s">
        <v>1454</v>
      </c>
      <c r="C1274">
        <f>"1039MEMO"</f>
        <v>0</v>
      </c>
      <c r="D1274">
        <v>1</v>
      </c>
      <c r="E1274">
        <v>0</v>
      </c>
      <c r="F1274" s="2">
        <v>0</v>
      </c>
      <c r="G1274">
        <v>0</v>
      </c>
      <c r="H1274">
        <v>1</v>
      </c>
      <c r="I1274">
        <v>0.2248268617291053</v>
      </c>
      <c r="J1274">
        <v>0</v>
      </c>
      <c r="K1274">
        <v>0</v>
      </c>
      <c r="L1274" s="2">
        <v>0</v>
      </c>
      <c r="M1274">
        <v>16.28</v>
      </c>
      <c r="N1274" t="s">
        <v>10236</v>
      </c>
    </row>
    <row r="1275" spans="1:14">
      <c r="A1275" t="s">
        <v>35</v>
      </c>
      <c r="B1275" t="s">
        <v>1455</v>
      </c>
      <c r="C1275">
        <f>"W0058"</f>
        <v>0</v>
      </c>
      <c r="D1275">
        <v>1</v>
      </c>
      <c r="E1275">
        <v>0</v>
      </c>
      <c r="F1275" s="2">
        <v>0</v>
      </c>
      <c r="G1275">
        <v>0</v>
      </c>
      <c r="H1275">
        <v>1</v>
      </c>
      <c r="I1275">
        <v>0.2248268617291053</v>
      </c>
      <c r="J1275">
        <v>0</v>
      </c>
      <c r="K1275">
        <v>0</v>
      </c>
      <c r="L1275" s="2">
        <v>0</v>
      </c>
      <c r="M1275">
        <v>16.29</v>
      </c>
      <c r="N1275" t="s">
        <v>10236</v>
      </c>
    </row>
    <row r="1276" spans="1:14">
      <c r="A1276" t="s">
        <v>35</v>
      </c>
      <c r="B1276" t="s">
        <v>1456</v>
      </c>
      <c r="C1276">
        <f>"QZWJ021"</f>
        <v>0</v>
      </c>
      <c r="D1276">
        <v>1</v>
      </c>
      <c r="E1276">
        <v>0</v>
      </c>
      <c r="F1276" s="2">
        <v>0</v>
      </c>
      <c r="G1276">
        <v>0</v>
      </c>
      <c r="H1276">
        <v>1</v>
      </c>
      <c r="I1276">
        <v>0.2248268617291053</v>
      </c>
      <c r="J1276">
        <v>0</v>
      </c>
      <c r="K1276">
        <v>0</v>
      </c>
      <c r="L1276" s="2">
        <v>0</v>
      </c>
      <c r="M1276">
        <v>16.3</v>
      </c>
      <c r="N1276" t="s">
        <v>10236</v>
      </c>
    </row>
    <row r="1277" spans="1:14">
      <c r="A1277" t="s">
        <v>35</v>
      </c>
      <c r="B1277" t="s">
        <v>1457</v>
      </c>
      <c r="C1277">
        <f>"66032"</f>
        <v>0</v>
      </c>
      <c r="D1277">
        <v>1</v>
      </c>
      <c r="E1277">
        <v>0</v>
      </c>
      <c r="F1277" s="2">
        <v>0</v>
      </c>
      <c r="G1277">
        <v>0</v>
      </c>
      <c r="H1277">
        <v>1</v>
      </c>
      <c r="I1277">
        <v>0.2248268617291053</v>
      </c>
      <c r="J1277">
        <v>0</v>
      </c>
      <c r="K1277">
        <v>0</v>
      </c>
      <c r="L1277" s="2">
        <v>0</v>
      </c>
      <c r="M1277">
        <v>16.31</v>
      </c>
      <c r="N1277" t="s">
        <v>10236</v>
      </c>
    </row>
    <row r="1278" spans="1:14">
      <c r="A1278" t="s">
        <v>35</v>
      </c>
      <c r="B1278" t="s">
        <v>1458</v>
      </c>
      <c r="C1278">
        <f>"CTB3"</f>
        <v>0</v>
      </c>
      <c r="D1278">
        <v>1</v>
      </c>
      <c r="E1278">
        <v>0</v>
      </c>
      <c r="F1278" s="2">
        <v>0</v>
      </c>
      <c r="G1278">
        <v>0</v>
      </c>
      <c r="H1278">
        <v>1</v>
      </c>
      <c r="I1278">
        <v>0.2248268617291053</v>
      </c>
      <c r="J1278">
        <v>0</v>
      </c>
      <c r="K1278">
        <v>0</v>
      </c>
      <c r="L1278" s="2">
        <v>0</v>
      </c>
      <c r="M1278">
        <v>16.33</v>
      </c>
      <c r="N1278" t="s">
        <v>10236</v>
      </c>
    </row>
    <row r="1279" spans="1:14">
      <c r="A1279" t="s">
        <v>193</v>
      </c>
      <c r="B1279" t="s">
        <v>1459</v>
      </c>
      <c r="C1279">
        <f>"826181"</f>
        <v>0</v>
      </c>
      <c r="D1279">
        <v>1</v>
      </c>
      <c r="E1279">
        <v>0</v>
      </c>
      <c r="F1279" s="2">
        <v>0</v>
      </c>
      <c r="G1279">
        <v>0</v>
      </c>
      <c r="H1279">
        <v>1</v>
      </c>
      <c r="I1279">
        <v>0.2248268617291053</v>
      </c>
      <c r="J1279">
        <v>0</v>
      </c>
      <c r="K1279">
        <v>0</v>
      </c>
      <c r="L1279" s="2">
        <v>0</v>
      </c>
      <c r="M1279">
        <v>16.34</v>
      </c>
      <c r="N1279" t="s">
        <v>10236</v>
      </c>
    </row>
    <row r="1280" spans="1:14">
      <c r="A1280" t="s">
        <v>29</v>
      </c>
      <c r="B1280" t="s">
        <v>1460</v>
      </c>
      <c r="C1280">
        <f>"R362PL"</f>
        <v>0</v>
      </c>
      <c r="D1280">
        <v>1</v>
      </c>
      <c r="E1280">
        <v>0</v>
      </c>
      <c r="F1280" s="2">
        <v>0</v>
      </c>
      <c r="G1280">
        <v>0</v>
      </c>
      <c r="H1280">
        <v>1</v>
      </c>
      <c r="I1280">
        <v>0.2248268617291053</v>
      </c>
      <c r="J1280">
        <v>0</v>
      </c>
      <c r="K1280">
        <v>0</v>
      </c>
      <c r="L1280" s="2">
        <v>0</v>
      </c>
      <c r="M1280">
        <v>16.35</v>
      </c>
      <c r="N1280" t="s">
        <v>10236</v>
      </c>
    </row>
    <row r="1281" spans="1:14">
      <c r="A1281" t="s">
        <v>35</v>
      </c>
      <c r="B1281" t="s">
        <v>1461</v>
      </c>
      <c r="C1281">
        <f>"DGA4L"</f>
        <v>0</v>
      </c>
      <c r="D1281">
        <v>1</v>
      </c>
      <c r="E1281">
        <v>0</v>
      </c>
      <c r="F1281" s="2">
        <v>0</v>
      </c>
      <c r="G1281">
        <v>0</v>
      </c>
      <c r="H1281">
        <v>1</v>
      </c>
      <c r="I1281">
        <v>0.2248268617291053</v>
      </c>
      <c r="J1281">
        <v>0</v>
      </c>
      <c r="K1281">
        <v>0</v>
      </c>
      <c r="L1281" s="2">
        <v>0</v>
      </c>
      <c r="M1281">
        <v>16.36</v>
      </c>
      <c r="N1281" t="s">
        <v>10236</v>
      </c>
    </row>
    <row r="1282" spans="1:14">
      <c r="A1282" t="s">
        <v>27</v>
      </c>
      <c r="B1282" t="s">
        <v>1462</v>
      </c>
      <c r="C1282">
        <f>"USA501"</f>
        <v>0</v>
      </c>
      <c r="D1282">
        <v>1</v>
      </c>
      <c r="E1282">
        <v>0</v>
      </c>
      <c r="F1282" s="2">
        <v>0</v>
      </c>
      <c r="G1282">
        <v>0</v>
      </c>
      <c r="H1282">
        <v>1</v>
      </c>
      <c r="I1282">
        <v>0.2248268617291053</v>
      </c>
      <c r="J1282">
        <v>0</v>
      </c>
      <c r="K1282">
        <v>0</v>
      </c>
      <c r="L1282" s="2">
        <v>0</v>
      </c>
      <c r="M1282">
        <v>16.37</v>
      </c>
      <c r="N1282" t="s">
        <v>10236</v>
      </c>
    </row>
    <row r="1283" spans="1:14">
      <c r="A1283" t="s">
        <v>35</v>
      </c>
      <c r="B1283" t="s">
        <v>1463</v>
      </c>
      <c r="C1283">
        <f>"19487"</f>
        <v>0</v>
      </c>
      <c r="D1283">
        <v>1</v>
      </c>
      <c r="E1283">
        <v>0</v>
      </c>
      <c r="F1283" s="2">
        <v>0</v>
      </c>
      <c r="G1283">
        <v>0</v>
      </c>
      <c r="H1283">
        <v>1</v>
      </c>
      <c r="I1283">
        <v>0.2248268617291053</v>
      </c>
      <c r="J1283">
        <v>0</v>
      </c>
      <c r="K1283">
        <v>0</v>
      </c>
      <c r="L1283" s="2">
        <v>0</v>
      </c>
      <c r="M1283">
        <v>16.38</v>
      </c>
      <c r="N1283" t="s">
        <v>10236</v>
      </c>
    </row>
    <row r="1284" spans="1:14">
      <c r="A1284" t="s">
        <v>35</v>
      </c>
      <c r="B1284" t="s">
        <v>1464</v>
      </c>
      <c r="C1284">
        <f>"KX1090"</f>
        <v>0</v>
      </c>
      <c r="D1284">
        <v>1</v>
      </c>
      <c r="E1284">
        <v>0</v>
      </c>
      <c r="F1284" s="2">
        <v>0</v>
      </c>
      <c r="G1284">
        <v>0</v>
      </c>
      <c r="H1284">
        <v>1</v>
      </c>
      <c r="I1284">
        <v>0.2248268617291053</v>
      </c>
      <c r="J1284">
        <v>0</v>
      </c>
      <c r="K1284">
        <v>0</v>
      </c>
      <c r="L1284" s="2">
        <v>0</v>
      </c>
      <c r="M1284">
        <v>16.4</v>
      </c>
      <c r="N1284" t="s">
        <v>10236</v>
      </c>
    </row>
    <row r="1285" spans="1:14">
      <c r="A1285" t="s">
        <v>35</v>
      </c>
      <c r="B1285" t="s">
        <v>1465</v>
      </c>
      <c r="C1285">
        <f>"DX031SN"</f>
        <v>0</v>
      </c>
      <c r="D1285">
        <v>1</v>
      </c>
      <c r="E1285">
        <v>0</v>
      </c>
      <c r="F1285" s="2">
        <v>0</v>
      </c>
      <c r="G1285">
        <v>0</v>
      </c>
      <c r="H1285">
        <v>1</v>
      </c>
      <c r="I1285">
        <v>0.2248268617291053</v>
      </c>
      <c r="J1285">
        <v>0</v>
      </c>
      <c r="K1285">
        <v>0</v>
      </c>
      <c r="L1285" s="2">
        <v>0</v>
      </c>
      <c r="M1285">
        <v>16.41</v>
      </c>
      <c r="N1285" t="s">
        <v>10236</v>
      </c>
    </row>
    <row r="1286" spans="1:14">
      <c r="A1286" t="s">
        <v>35</v>
      </c>
      <c r="B1286" t="s">
        <v>1466</v>
      </c>
      <c r="C1286">
        <f>"FPC04"</f>
        <v>0</v>
      </c>
      <c r="D1286">
        <v>1</v>
      </c>
      <c r="E1286">
        <v>0</v>
      </c>
      <c r="F1286" s="2">
        <v>0</v>
      </c>
      <c r="G1286">
        <v>0</v>
      </c>
      <c r="H1286">
        <v>1</v>
      </c>
      <c r="I1286">
        <v>0.2248268617291053</v>
      </c>
      <c r="J1286">
        <v>0</v>
      </c>
      <c r="K1286">
        <v>0</v>
      </c>
      <c r="L1286" s="2">
        <v>0</v>
      </c>
      <c r="M1286">
        <v>16.42</v>
      </c>
      <c r="N1286" t="s">
        <v>10236</v>
      </c>
    </row>
    <row r="1287" spans="1:14">
      <c r="A1287" t="s">
        <v>35</v>
      </c>
      <c r="B1287" t="s">
        <v>1467</v>
      </c>
      <c r="C1287">
        <f>"JWZ2003"</f>
        <v>0</v>
      </c>
      <c r="D1287">
        <v>1</v>
      </c>
      <c r="E1287">
        <v>0</v>
      </c>
      <c r="F1287" s="2">
        <v>0</v>
      </c>
      <c r="G1287">
        <v>0</v>
      </c>
      <c r="H1287">
        <v>1</v>
      </c>
      <c r="I1287">
        <v>0.2248268617291053</v>
      </c>
      <c r="J1287">
        <v>0</v>
      </c>
      <c r="K1287">
        <v>0</v>
      </c>
      <c r="L1287" s="2">
        <v>0</v>
      </c>
      <c r="M1287">
        <v>16.43</v>
      </c>
      <c r="N1287" t="s">
        <v>10236</v>
      </c>
    </row>
    <row r="1288" spans="1:14">
      <c r="A1288" t="s">
        <v>204</v>
      </c>
      <c r="B1288" t="s">
        <v>1468</v>
      </c>
      <c r="C1288">
        <f>"12604241"</f>
        <v>0</v>
      </c>
      <c r="D1288">
        <v>1</v>
      </c>
      <c r="E1288">
        <v>0</v>
      </c>
      <c r="F1288" s="2">
        <v>0</v>
      </c>
      <c r="G1288">
        <v>0</v>
      </c>
      <c r="H1288">
        <v>1</v>
      </c>
      <c r="I1288">
        <v>0.2248268617291053</v>
      </c>
      <c r="J1288">
        <v>0</v>
      </c>
      <c r="K1288">
        <v>0</v>
      </c>
      <c r="L1288" s="2">
        <v>0</v>
      </c>
      <c r="M1288">
        <v>16.44</v>
      </c>
      <c r="N1288" t="s">
        <v>10236</v>
      </c>
    </row>
    <row r="1289" spans="1:14">
      <c r="A1289" t="s">
        <v>204</v>
      </c>
      <c r="B1289" t="s">
        <v>1469</v>
      </c>
      <c r="C1289">
        <f>"12604242"</f>
        <v>0</v>
      </c>
      <c r="D1289">
        <v>1</v>
      </c>
      <c r="E1289">
        <v>0</v>
      </c>
      <c r="F1289" s="2">
        <v>0</v>
      </c>
      <c r="G1289">
        <v>0</v>
      </c>
      <c r="H1289">
        <v>1</v>
      </c>
      <c r="I1289">
        <v>0.2248268617291053</v>
      </c>
      <c r="J1289">
        <v>0</v>
      </c>
      <c r="K1289">
        <v>0</v>
      </c>
      <c r="L1289" s="2">
        <v>0</v>
      </c>
      <c r="M1289">
        <v>16.46</v>
      </c>
      <c r="N1289" t="s">
        <v>10236</v>
      </c>
    </row>
    <row r="1290" spans="1:14">
      <c r="A1290" t="s">
        <v>202</v>
      </c>
      <c r="B1290" t="s">
        <v>1470</v>
      </c>
      <c r="C1290">
        <f>"21002113"</f>
        <v>0</v>
      </c>
      <c r="D1290">
        <v>1</v>
      </c>
      <c r="E1290">
        <v>0</v>
      </c>
      <c r="F1290" s="2">
        <v>0</v>
      </c>
      <c r="G1290">
        <v>0</v>
      </c>
      <c r="H1290">
        <v>1</v>
      </c>
      <c r="I1290">
        <v>0.2248268617291053</v>
      </c>
      <c r="J1290">
        <v>0</v>
      </c>
      <c r="K1290">
        <v>0</v>
      </c>
      <c r="L1290" s="2">
        <v>0</v>
      </c>
      <c r="M1290">
        <v>16.47</v>
      </c>
      <c r="N1290" t="s">
        <v>10236</v>
      </c>
    </row>
    <row r="1291" spans="1:14">
      <c r="A1291" t="s">
        <v>32</v>
      </c>
      <c r="B1291" t="s">
        <v>1471</v>
      </c>
      <c r="C1291">
        <f>"1021009"</f>
        <v>0</v>
      </c>
      <c r="D1291">
        <v>1</v>
      </c>
      <c r="E1291">
        <v>0</v>
      </c>
      <c r="F1291" s="2">
        <v>0</v>
      </c>
      <c r="G1291">
        <v>0</v>
      </c>
      <c r="H1291">
        <v>1</v>
      </c>
      <c r="I1291">
        <v>0.2248268617291053</v>
      </c>
      <c r="J1291">
        <v>0</v>
      </c>
      <c r="K1291">
        <v>0</v>
      </c>
      <c r="L1291" s="2">
        <v>0</v>
      </c>
      <c r="M1291">
        <v>16.48</v>
      </c>
      <c r="N1291" t="s">
        <v>10236</v>
      </c>
    </row>
    <row r="1292" spans="1:14">
      <c r="A1292" t="s">
        <v>35</v>
      </c>
      <c r="B1292" t="s">
        <v>1472</v>
      </c>
      <c r="C1292">
        <f>"TC777XL"</f>
        <v>0</v>
      </c>
      <c r="D1292">
        <v>1</v>
      </c>
      <c r="E1292">
        <v>0</v>
      </c>
      <c r="F1292" s="2">
        <v>0</v>
      </c>
      <c r="G1292">
        <v>0</v>
      </c>
      <c r="H1292">
        <v>1</v>
      </c>
      <c r="I1292">
        <v>0.2248268617291053</v>
      </c>
      <c r="J1292">
        <v>0</v>
      </c>
      <c r="K1292">
        <v>0</v>
      </c>
      <c r="L1292" s="2">
        <v>0</v>
      </c>
      <c r="M1292">
        <v>16.49</v>
      </c>
      <c r="N1292" t="s">
        <v>10236</v>
      </c>
    </row>
    <row r="1293" spans="1:14">
      <c r="A1293" t="s">
        <v>35</v>
      </c>
      <c r="B1293" t="s">
        <v>1473</v>
      </c>
      <c r="C1293">
        <f>"HH337XLNA"</f>
        <v>0</v>
      </c>
      <c r="D1293">
        <v>1</v>
      </c>
      <c r="E1293">
        <v>0</v>
      </c>
      <c r="F1293" s="2">
        <v>0</v>
      </c>
      <c r="G1293">
        <v>0</v>
      </c>
      <c r="H1293">
        <v>1</v>
      </c>
      <c r="I1293">
        <v>0.2248268617291053</v>
      </c>
      <c r="J1293">
        <v>0</v>
      </c>
      <c r="K1293">
        <v>0</v>
      </c>
      <c r="L1293" s="2">
        <v>0</v>
      </c>
      <c r="M1293">
        <v>16.5</v>
      </c>
      <c r="N1293" t="s">
        <v>10236</v>
      </c>
    </row>
    <row r="1294" spans="1:14">
      <c r="A1294" t="s">
        <v>35</v>
      </c>
      <c r="B1294" t="s">
        <v>1474</v>
      </c>
      <c r="C1294">
        <f>"1840CXS"</f>
        <v>0</v>
      </c>
      <c r="D1294">
        <v>1</v>
      </c>
      <c r="E1294">
        <v>0</v>
      </c>
      <c r="F1294" s="2">
        <v>0</v>
      </c>
      <c r="G1294">
        <v>0</v>
      </c>
      <c r="H1294">
        <v>1</v>
      </c>
      <c r="I1294">
        <v>0.2248268617291053</v>
      </c>
      <c r="J1294">
        <v>0</v>
      </c>
      <c r="K1294">
        <v>0</v>
      </c>
      <c r="L1294" s="2">
        <v>0</v>
      </c>
      <c r="M1294">
        <v>16.52</v>
      </c>
      <c r="N1294" t="s">
        <v>10236</v>
      </c>
    </row>
    <row r="1295" spans="1:14">
      <c r="A1295" t="s">
        <v>29</v>
      </c>
      <c r="B1295" t="s">
        <v>1475</v>
      </c>
      <c r="C1295">
        <f>"HR600B"</f>
        <v>0</v>
      </c>
      <c r="D1295">
        <v>1</v>
      </c>
      <c r="E1295">
        <v>0</v>
      </c>
      <c r="F1295" s="2">
        <v>0</v>
      </c>
      <c r="G1295">
        <v>0</v>
      </c>
      <c r="H1295">
        <v>1</v>
      </c>
      <c r="I1295">
        <v>0.2248268617291053</v>
      </c>
      <c r="J1295">
        <v>0</v>
      </c>
      <c r="K1295">
        <v>0</v>
      </c>
      <c r="L1295" s="2">
        <v>0</v>
      </c>
      <c r="M1295">
        <v>16.53</v>
      </c>
      <c r="N1295" t="s">
        <v>10236</v>
      </c>
    </row>
    <row r="1296" spans="1:14">
      <c r="A1296" t="s">
        <v>196</v>
      </c>
      <c r="B1296" t="s">
        <v>1476</v>
      </c>
      <c r="C1296">
        <f>"2442"</f>
        <v>0</v>
      </c>
      <c r="D1296">
        <v>1</v>
      </c>
      <c r="E1296">
        <v>0</v>
      </c>
      <c r="F1296" s="2">
        <v>0</v>
      </c>
      <c r="G1296">
        <v>0</v>
      </c>
      <c r="H1296">
        <v>1</v>
      </c>
      <c r="I1296">
        <v>0.2248268617291053</v>
      </c>
      <c r="J1296">
        <v>0</v>
      </c>
      <c r="K1296">
        <v>0</v>
      </c>
      <c r="L1296" s="2">
        <v>0</v>
      </c>
      <c r="M1296">
        <v>16.54</v>
      </c>
      <c r="N1296" t="s">
        <v>10236</v>
      </c>
    </row>
    <row r="1297" spans="1:14">
      <c r="A1297" t="s">
        <v>32</v>
      </c>
      <c r="B1297" t="s">
        <v>1477</v>
      </c>
      <c r="C1297">
        <f>"270874"</f>
        <v>0</v>
      </c>
      <c r="D1297">
        <v>1</v>
      </c>
      <c r="E1297">
        <v>0</v>
      </c>
      <c r="F1297" s="2">
        <v>0</v>
      </c>
      <c r="G1297">
        <v>0</v>
      </c>
      <c r="H1297">
        <v>1</v>
      </c>
      <c r="I1297">
        <v>0.2248268617291053</v>
      </c>
      <c r="J1297">
        <v>0</v>
      </c>
      <c r="K1297">
        <v>0</v>
      </c>
      <c r="L1297" s="2">
        <v>0</v>
      </c>
      <c r="M1297">
        <v>16.55</v>
      </c>
      <c r="N1297" t="s">
        <v>10236</v>
      </c>
    </row>
    <row r="1298" spans="1:14">
      <c r="A1298" t="s">
        <v>32</v>
      </c>
      <c r="B1298" t="s">
        <v>1478</v>
      </c>
      <c r="C1298">
        <f>"RCM028"</f>
        <v>0</v>
      </c>
      <c r="D1298">
        <v>1</v>
      </c>
      <c r="E1298">
        <v>0</v>
      </c>
      <c r="F1298" s="2">
        <v>0</v>
      </c>
      <c r="G1298">
        <v>0</v>
      </c>
      <c r="H1298">
        <v>1</v>
      </c>
      <c r="I1298">
        <v>0.2248268617291053</v>
      </c>
      <c r="J1298">
        <v>0</v>
      </c>
      <c r="K1298">
        <v>0</v>
      </c>
      <c r="L1298" s="2">
        <v>0</v>
      </c>
      <c r="M1298">
        <v>16.56</v>
      </c>
      <c r="N1298" t="s">
        <v>10236</v>
      </c>
    </row>
    <row r="1299" spans="1:14">
      <c r="A1299" t="s">
        <v>196</v>
      </c>
      <c r="B1299" t="s">
        <v>1479</v>
      </c>
      <c r="C1299">
        <f>"2531"</f>
        <v>0</v>
      </c>
      <c r="D1299">
        <v>1</v>
      </c>
      <c r="E1299">
        <v>0</v>
      </c>
      <c r="F1299" s="2">
        <v>0</v>
      </c>
      <c r="G1299">
        <v>0</v>
      </c>
      <c r="H1299">
        <v>1</v>
      </c>
      <c r="I1299">
        <v>0.2248268617291053</v>
      </c>
      <c r="J1299">
        <v>0</v>
      </c>
      <c r="K1299">
        <v>0</v>
      </c>
      <c r="L1299" s="2">
        <v>0</v>
      </c>
      <c r="M1299">
        <v>16.58</v>
      </c>
      <c r="N1299" t="s">
        <v>10236</v>
      </c>
    </row>
    <row r="1300" spans="1:14">
      <c r="A1300" t="s">
        <v>35</v>
      </c>
      <c r="B1300" t="s">
        <v>1480</v>
      </c>
      <c r="C1300">
        <f>"SPG03"</f>
        <v>0</v>
      </c>
      <c r="D1300">
        <v>1</v>
      </c>
      <c r="E1300">
        <v>0</v>
      </c>
      <c r="F1300" s="2">
        <v>0</v>
      </c>
      <c r="G1300">
        <v>0</v>
      </c>
      <c r="H1300">
        <v>1</v>
      </c>
      <c r="I1300">
        <v>0.2248268617291053</v>
      </c>
      <c r="J1300">
        <v>0</v>
      </c>
      <c r="K1300">
        <v>0</v>
      </c>
      <c r="L1300" s="2">
        <v>0</v>
      </c>
      <c r="M1300">
        <v>16.59</v>
      </c>
      <c r="N1300" t="s">
        <v>10236</v>
      </c>
    </row>
    <row r="1301" spans="1:14">
      <c r="A1301" t="s">
        <v>35</v>
      </c>
      <c r="B1301" t="s">
        <v>1481</v>
      </c>
      <c r="C1301">
        <f>"SPG01"</f>
        <v>0</v>
      </c>
      <c r="D1301">
        <v>1</v>
      </c>
      <c r="E1301">
        <v>0</v>
      </c>
      <c r="F1301" s="2">
        <v>0</v>
      </c>
      <c r="G1301">
        <v>0</v>
      </c>
      <c r="H1301">
        <v>1</v>
      </c>
      <c r="I1301">
        <v>0.2248268617291053</v>
      </c>
      <c r="J1301">
        <v>0</v>
      </c>
      <c r="K1301">
        <v>0</v>
      </c>
      <c r="L1301" s="2">
        <v>0</v>
      </c>
      <c r="M1301">
        <v>16.6</v>
      </c>
      <c r="N1301" t="s">
        <v>10236</v>
      </c>
    </row>
    <row r="1302" spans="1:14">
      <c r="A1302" t="s">
        <v>193</v>
      </c>
      <c r="B1302" t="s">
        <v>1482</v>
      </c>
      <c r="C1302">
        <f>"310062"</f>
        <v>0</v>
      </c>
      <c r="D1302">
        <v>1</v>
      </c>
      <c r="E1302">
        <v>0</v>
      </c>
      <c r="F1302" s="2">
        <v>0</v>
      </c>
      <c r="G1302">
        <v>0</v>
      </c>
      <c r="H1302">
        <v>1</v>
      </c>
      <c r="I1302">
        <v>0.2248268617291053</v>
      </c>
      <c r="J1302">
        <v>0</v>
      </c>
      <c r="K1302">
        <v>0</v>
      </c>
      <c r="L1302" s="2">
        <v>0</v>
      </c>
      <c r="M1302">
        <v>16.61</v>
      </c>
      <c r="N1302" t="s">
        <v>10236</v>
      </c>
    </row>
    <row r="1303" spans="1:14">
      <c r="A1303" t="s">
        <v>35</v>
      </c>
      <c r="B1303" t="s">
        <v>1483</v>
      </c>
      <c r="C1303">
        <f>"2424"</f>
        <v>0</v>
      </c>
      <c r="D1303">
        <v>1</v>
      </c>
      <c r="E1303">
        <v>0</v>
      </c>
      <c r="F1303" s="2">
        <v>0</v>
      </c>
      <c r="G1303">
        <v>0</v>
      </c>
      <c r="H1303">
        <v>1</v>
      </c>
      <c r="I1303">
        <v>0.2248268617291053</v>
      </c>
      <c r="J1303">
        <v>0</v>
      </c>
      <c r="K1303">
        <v>0</v>
      </c>
      <c r="L1303" s="2">
        <v>0</v>
      </c>
      <c r="M1303">
        <v>16.62</v>
      </c>
      <c r="N1303" t="s">
        <v>10236</v>
      </c>
    </row>
    <row r="1304" spans="1:14">
      <c r="A1304" t="s">
        <v>32</v>
      </c>
      <c r="B1304" t="s">
        <v>1484</v>
      </c>
      <c r="C1304">
        <f>"13201012"</f>
        <v>0</v>
      </c>
      <c r="D1304">
        <v>1</v>
      </c>
      <c r="E1304">
        <v>0</v>
      </c>
      <c r="F1304" s="2">
        <v>0</v>
      </c>
      <c r="G1304">
        <v>0</v>
      </c>
      <c r="H1304">
        <v>1</v>
      </c>
      <c r="I1304">
        <v>0.2248268617291053</v>
      </c>
      <c r="J1304">
        <v>0</v>
      </c>
      <c r="K1304">
        <v>0</v>
      </c>
      <c r="L1304" s="2">
        <v>0</v>
      </c>
      <c r="M1304">
        <v>16.63</v>
      </c>
      <c r="N1304" t="s">
        <v>10236</v>
      </c>
    </row>
    <row r="1305" spans="1:14">
      <c r="A1305" t="s">
        <v>35</v>
      </c>
      <c r="B1305" t="s">
        <v>1485</v>
      </c>
      <c r="C1305">
        <f>"TC777XLS"</f>
        <v>0</v>
      </c>
      <c r="D1305">
        <v>1</v>
      </c>
      <c r="E1305">
        <v>0</v>
      </c>
      <c r="F1305" s="2">
        <v>0</v>
      </c>
      <c r="G1305">
        <v>0</v>
      </c>
      <c r="H1305">
        <v>1</v>
      </c>
      <c r="I1305">
        <v>0.2248268617291053</v>
      </c>
      <c r="J1305">
        <v>0</v>
      </c>
      <c r="K1305">
        <v>0</v>
      </c>
      <c r="L1305" s="2">
        <v>0</v>
      </c>
      <c r="M1305">
        <v>16.65</v>
      </c>
      <c r="N1305" t="s">
        <v>10236</v>
      </c>
    </row>
    <row r="1306" spans="1:14">
      <c r="A1306" t="s">
        <v>35</v>
      </c>
      <c r="B1306" t="s">
        <v>1486</v>
      </c>
      <c r="C1306">
        <f>"HH337XLMO"</f>
        <v>0</v>
      </c>
      <c r="D1306">
        <v>1</v>
      </c>
      <c r="E1306">
        <v>0</v>
      </c>
      <c r="F1306" s="2">
        <v>0</v>
      </c>
      <c r="G1306">
        <v>0</v>
      </c>
      <c r="H1306">
        <v>1</v>
      </c>
      <c r="I1306">
        <v>0.2248268617291053</v>
      </c>
      <c r="J1306">
        <v>0</v>
      </c>
      <c r="K1306">
        <v>0</v>
      </c>
      <c r="L1306" s="2">
        <v>0</v>
      </c>
      <c r="M1306">
        <v>16.66</v>
      </c>
      <c r="N1306" t="s">
        <v>10236</v>
      </c>
    </row>
    <row r="1307" spans="1:14">
      <c r="A1307" t="s">
        <v>35</v>
      </c>
      <c r="B1307" t="s">
        <v>1487</v>
      </c>
      <c r="C1307">
        <f>"HH337SMO"</f>
        <v>0</v>
      </c>
      <c r="D1307">
        <v>1</v>
      </c>
      <c r="E1307">
        <v>0</v>
      </c>
      <c r="F1307" s="2">
        <v>0</v>
      </c>
      <c r="G1307">
        <v>0</v>
      </c>
      <c r="H1307">
        <v>1</v>
      </c>
      <c r="I1307">
        <v>0.2248268617291053</v>
      </c>
      <c r="J1307">
        <v>0</v>
      </c>
      <c r="K1307">
        <v>0</v>
      </c>
      <c r="L1307" s="2">
        <v>0</v>
      </c>
      <c r="M1307">
        <v>16.67</v>
      </c>
      <c r="N1307" t="s">
        <v>10236</v>
      </c>
    </row>
    <row r="1308" spans="1:14">
      <c r="A1308" t="s">
        <v>35</v>
      </c>
      <c r="B1308" t="s">
        <v>1488</v>
      </c>
      <c r="C1308">
        <f>"FEP100B"</f>
        <v>0</v>
      </c>
      <c r="D1308">
        <v>1</v>
      </c>
      <c r="E1308">
        <v>0</v>
      </c>
      <c r="F1308" s="2">
        <v>0</v>
      </c>
      <c r="G1308">
        <v>0</v>
      </c>
      <c r="H1308">
        <v>1</v>
      </c>
      <c r="I1308">
        <v>0.2248268617291053</v>
      </c>
      <c r="J1308">
        <v>0</v>
      </c>
      <c r="K1308">
        <v>0</v>
      </c>
      <c r="L1308" s="2">
        <v>0</v>
      </c>
      <c r="M1308">
        <v>16.68</v>
      </c>
      <c r="N1308" t="s">
        <v>10236</v>
      </c>
    </row>
    <row r="1309" spans="1:14">
      <c r="A1309" t="s">
        <v>35</v>
      </c>
      <c r="B1309" t="s">
        <v>1489</v>
      </c>
      <c r="C1309">
        <f>"FEP50V"</f>
        <v>0</v>
      </c>
      <c r="D1309">
        <v>1</v>
      </c>
      <c r="E1309">
        <v>0</v>
      </c>
      <c r="F1309" s="2">
        <v>0</v>
      </c>
      <c r="G1309">
        <v>0</v>
      </c>
      <c r="H1309">
        <v>1</v>
      </c>
      <c r="I1309">
        <v>0.2248268617291053</v>
      </c>
      <c r="J1309">
        <v>0</v>
      </c>
      <c r="K1309">
        <v>0</v>
      </c>
      <c r="L1309" s="2">
        <v>0</v>
      </c>
      <c r="M1309">
        <v>16.69</v>
      </c>
      <c r="N1309" t="s">
        <v>10236</v>
      </c>
    </row>
    <row r="1310" spans="1:14">
      <c r="A1310" t="s">
        <v>35</v>
      </c>
      <c r="B1310" t="s">
        <v>1490</v>
      </c>
      <c r="C1310">
        <f>"FEP50RO"</f>
        <v>0</v>
      </c>
      <c r="D1310">
        <v>1</v>
      </c>
      <c r="E1310">
        <v>0</v>
      </c>
      <c r="F1310" s="2">
        <v>0</v>
      </c>
      <c r="G1310">
        <v>0</v>
      </c>
      <c r="H1310">
        <v>1</v>
      </c>
      <c r="I1310">
        <v>0.2248268617291053</v>
      </c>
      <c r="J1310">
        <v>0</v>
      </c>
      <c r="K1310">
        <v>0</v>
      </c>
      <c r="L1310" s="2">
        <v>0</v>
      </c>
      <c r="M1310">
        <v>16.71</v>
      </c>
      <c r="N1310" t="s">
        <v>10236</v>
      </c>
    </row>
    <row r="1311" spans="1:14">
      <c r="A1311" t="s">
        <v>35</v>
      </c>
      <c r="B1311" t="s">
        <v>1491</v>
      </c>
      <c r="C1311">
        <f>"FEP50GO"</f>
        <v>0</v>
      </c>
      <c r="D1311">
        <v>1</v>
      </c>
      <c r="E1311">
        <v>0</v>
      </c>
      <c r="F1311" s="2">
        <v>0</v>
      </c>
      <c r="G1311">
        <v>0</v>
      </c>
      <c r="H1311">
        <v>1</v>
      </c>
      <c r="I1311">
        <v>0.2248268617291053</v>
      </c>
      <c r="J1311">
        <v>0</v>
      </c>
      <c r="K1311">
        <v>0</v>
      </c>
      <c r="L1311" s="2">
        <v>0</v>
      </c>
      <c r="M1311">
        <v>16.72</v>
      </c>
      <c r="N1311" t="s">
        <v>10236</v>
      </c>
    </row>
    <row r="1312" spans="1:14">
      <c r="A1312" t="s">
        <v>35</v>
      </c>
      <c r="B1312" t="s">
        <v>1492</v>
      </c>
      <c r="C1312">
        <f>"FEP50GC"</f>
        <v>0</v>
      </c>
      <c r="D1312">
        <v>1</v>
      </c>
      <c r="E1312">
        <v>0</v>
      </c>
      <c r="F1312" s="2">
        <v>0</v>
      </c>
      <c r="G1312">
        <v>0</v>
      </c>
      <c r="H1312">
        <v>1</v>
      </c>
      <c r="I1312">
        <v>0.2248268617291053</v>
      </c>
      <c r="J1312">
        <v>0</v>
      </c>
      <c r="K1312">
        <v>0</v>
      </c>
      <c r="L1312" s="2">
        <v>0</v>
      </c>
      <c r="M1312">
        <v>16.73</v>
      </c>
      <c r="N1312" t="s">
        <v>10236</v>
      </c>
    </row>
    <row r="1313" spans="1:14">
      <c r="A1313" t="s">
        <v>35</v>
      </c>
      <c r="B1313" t="s">
        <v>1493</v>
      </c>
      <c r="C1313">
        <f>"FEP60P"</f>
        <v>0</v>
      </c>
      <c r="D1313">
        <v>1</v>
      </c>
      <c r="E1313">
        <v>0</v>
      </c>
      <c r="F1313" s="2">
        <v>0</v>
      </c>
      <c r="G1313">
        <v>0</v>
      </c>
      <c r="H1313">
        <v>1</v>
      </c>
      <c r="I1313">
        <v>0.2248268617291053</v>
      </c>
      <c r="J1313">
        <v>0</v>
      </c>
      <c r="K1313">
        <v>0</v>
      </c>
      <c r="L1313" s="2">
        <v>0</v>
      </c>
      <c r="M1313">
        <v>16.74</v>
      </c>
      <c r="N1313" t="s">
        <v>10236</v>
      </c>
    </row>
    <row r="1314" spans="1:14">
      <c r="A1314" t="s">
        <v>35</v>
      </c>
      <c r="B1314" t="s">
        <v>1494</v>
      </c>
      <c r="C1314">
        <f>"FEP60GC"</f>
        <v>0</v>
      </c>
      <c r="D1314">
        <v>1</v>
      </c>
      <c r="E1314">
        <v>0</v>
      </c>
      <c r="F1314" s="2">
        <v>0</v>
      </c>
      <c r="G1314">
        <v>0</v>
      </c>
      <c r="H1314">
        <v>1</v>
      </c>
      <c r="I1314">
        <v>0.2248268617291053</v>
      </c>
      <c r="J1314">
        <v>0</v>
      </c>
      <c r="K1314">
        <v>0</v>
      </c>
      <c r="L1314" s="2">
        <v>0</v>
      </c>
      <c r="M1314">
        <v>16.75</v>
      </c>
      <c r="N1314" t="s">
        <v>10236</v>
      </c>
    </row>
    <row r="1315" spans="1:14">
      <c r="A1315" t="s">
        <v>35</v>
      </c>
      <c r="B1315" t="s">
        <v>1495</v>
      </c>
      <c r="C1315">
        <f>"FEP70VI"</f>
        <v>0</v>
      </c>
      <c r="D1315">
        <v>1</v>
      </c>
      <c r="E1315">
        <v>0</v>
      </c>
      <c r="F1315" s="2">
        <v>0</v>
      </c>
      <c r="G1315">
        <v>0</v>
      </c>
      <c r="H1315">
        <v>1</v>
      </c>
      <c r="I1315">
        <v>0.2248268617291053</v>
      </c>
      <c r="J1315">
        <v>0</v>
      </c>
      <c r="K1315">
        <v>0</v>
      </c>
      <c r="L1315" s="2">
        <v>0</v>
      </c>
      <c r="M1315">
        <v>16.77</v>
      </c>
      <c r="N1315" t="s">
        <v>10236</v>
      </c>
    </row>
    <row r="1316" spans="1:14">
      <c r="A1316" t="s">
        <v>35</v>
      </c>
      <c r="B1316" t="s">
        <v>1496</v>
      </c>
      <c r="C1316">
        <f>"DTC804"</f>
        <v>0</v>
      </c>
      <c r="D1316">
        <v>1</v>
      </c>
      <c r="E1316">
        <v>0</v>
      </c>
      <c r="F1316" s="2">
        <v>0</v>
      </c>
      <c r="G1316">
        <v>0</v>
      </c>
      <c r="H1316">
        <v>1</v>
      </c>
      <c r="I1316">
        <v>0.2248268617291053</v>
      </c>
      <c r="J1316">
        <v>0</v>
      </c>
      <c r="K1316">
        <v>0</v>
      </c>
      <c r="L1316" s="2">
        <v>0</v>
      </c>
      <c r="M1316">
        <v>16.78</v>
      </c>
      <c r="N1316" t="s">
        <v>10236</v>
      </c>
    </row>
    <row r="1317" spans="1:14">
      <c r="A1317" t="s">
        <v>35</v>
      </c>
      <c r="B1317" t="s">
        <v>1497</v>
      </c>
      <c r="C1317">
        <f>"ZSQ04"</f>
        <v>0</v>
      </c>
      <c r="D1317">
        <v>1</v>
      </c>
      <c r="E1317">
        <v>0</v>
      </c>
      <c r="F1317" s="2">
        <v>0</v>
      </c>
      <c r="G1317">
        <v>0</v>
      </c>
      <c r="H1317">
        <v>1</v>
      </c>
      <c r="I1317">
        <v>0.2248268617291053</v>
      </c>
      <c r="J1317">
        <v>0</v>
      </c>
      <c r="K1317">
        <v>0</v>
      </c>
      <c r="L1317" s="2">
        <v>0</v>
      </c>
      <c r="M1317">
        <v>16.79</v>
      </c>
      <c r="N1317" t="s">
        <v>10236</v>
      </c>
    </row>
    <row r="1318" spans="1:14">
      <c r="A1318" t="s">
        <v>202</v>
      </c>
      <c r="B1318" t="s">
        <v>1498</v>
      </c>
      <c r="C1318">
        <f>"11002031"</f>
        <v>0</v>
      </c>
      <c r="D1318">
        <v>1</v>
      </c>
      <c r="E1318">
        <v>0</v>
      </c>
      <c r="F1318" s="2">
        <v>0</v>
      </c>
      <c r="G1318">
        <v>0</v>
      </c>
      <c r="H1318">
        <v>1</v>
      </c>
      <c r="I1318">
        <v>0.2248268617291053</v>
      </c>
      <c r="J1318">
        <v>0</v>
      </c>
      <c r="K1318">
        <v>0</v>
      </c>
      <c r="L1318" s="2">
        <v>0</v>
      </c>
      <c r="M1318">
        <v>16.8</v>
      </c>
      <c r="N1318" t="s">
        <v>10236</v>
      </c>
    </row>
    <row r="1319" spans="1:14">
      <c r="A1319" t="s">
        <v>202</v>
      </c>
      <c r="B1319" t="s">
        <v>1499</v>
      </c>
      <c r="C1319">
        <f>"21001060"</f>
        <v>0</v>
      </c>
      <c r="D1319">
        <v>1</v>
      </c>
      <c r="E1319">
        <v>0</v>
      </c>
      <c r="F1319" s="2">
        <v>0</v>
      </c>
      <c r="G1319">
        <v>0</v>
      </c>
      <c r="H1319">
        <v>1</v>
      </c>
      <c r="I1319">
        <v>0.2248268617291053</v>
      </c>
      <c r="J1319">
        <v>0</v>
      </c>
      <c r="K1319">
        <v>0</v>
      </c>
      <c r="L1319" s="2">
        <v>0</v>
      </c>
      <c r="M1319">
        <v>16.81</v>
      </c>
      <c r="N1319" t="s">
        <v>10236</v>
      </c>
    </row>
    <row r="1320" spans="1:14">
      <c r="A1320" t="s">
        <v>202</v>
      </c>
      <c r="B1320" t="s">
        <v>1500</v>
      </c>
      <c r="C1320">
        <f>"11002091"</f>
        <v>0</v>
      </c>
      <c r="D1320">
        <v>1</v>
      </c>
      <c r="E1320">
        <v>0</v>
      </c>
      <c r="F1320" s="2">
        <v>0</v>
      </c>
      <c r="G1320">
        <v>0</v>
      </c>
      <c r="H1320">
        <v>1</v>
      </c>
      <c r="I1320">
        <v>0.2248268617291053</v>
      </c>
      <c r="J1320">
        <v>0</v>
      </c>
      <c r="K1320">
        <v>0</v>
      </c>
      <c r="L1320" s="2">
        <v>0</v>
      </c>
      <c r="M1320">
        <v>16.83</v>
      </c>
      <c r="N1320" t="s">
        <v>10236</v>
      </c>
    </row>
    <row r="1321" spans="1:14">
      <c r="A1321" t="s">
        <v>202</v>
      </c>
      <c r="B1321" t="s">
        <v>1501</v>
      </c>
      <c r="C1321">
        <f>"21001022"</f>
        <v>0</v>
      </c>
      <c r="D1321">
        <v>1</v>
      </c>
      <c r="E1321">
        <v>0</v>
      </c>
      <c r="F1321" s="2">
        <v>0</v>
      </c>
      <c r="G1321">
        <v>0</v>
      </c>
      <c r="H1321">
        <v>1</v>
      </c>
      <c r="I1321">
        <v>0.2248268617291053</v>
      </c>
      <c r="J1321">
        <v>0</v>
      </c>
      <c r="K1321">
        <v>0</v>
      </c>
      <c r="L1321" s="2">
        <v>0</v>
      </c>
      <c r="M1321">
        <v>16.84</v>
      </c>
      <c r="N1321" t="s">
        <v>10236</v>
      </c>
    </row>
    <row r="1322" spans="1:14">
      <c r="A1322" t="s">
        <v>35</v>
      </c>
      <c r="B1322" t="s">
        <v>1502</v>
      </c>
      <c r="C1322">
        <f>"HH337XSROS"</f>
        <v>0</v>
      </c>
      <c r="D1322">
        <v>1</v>
      </c>
      <c r="E1322">
        <v>0</v>
      </c>
      <c r="F1322" s="2">
        <v>0</v>
      </c>
      <c r="G1322">
        <v>0</v>
      </c>
      <c r="H1322">
        <v>1</v>
      </c>
      <c r="I1322">
        <v>0.2248268617291053</v>
      </c>
      <c r="J1322">
        <v>0</v>
      </c>
      <c r="K1322">
        <v>0</v>
      </c>
      <c r="L1322" s="2">
        <v>0</v>
      </c>
      <c r="M1322">
        <v>16.85</v>
      </c>
      <c r="N1322" t="s">
        <v>10236</v>
      </c>
    </row>
    <row r="1323" spans="1:14">
      <c r="A1323" t="s">
        <v>32</v>
      </c>
      <c r="B1323" t="s">
        <v>1503</v>
      </c>
      <c r="C1323">
        <f>"1003637"</f>
        <v>0</v>
      </c>
      <c r="D1323">
        <v>1</v>
      </c>
      <c r="E1323">
        <v>0</v>
      </c>
      <c r="F1323" s="2">
        <v>0</v>
      </c>
      <c r="G1323">
        <v>0</v>
      </c>
      <c r="H1323">
        <v>1</v>
      </c>
      <c r="I1323">
        <v>0.2248268617291053</v>
      </c>
      <c r="J1323">
        <v>0</v>
      </c>
      <c r="K1323">
        <v>0</v>
      </c>
      <c r="L1323" s="2">
        <v>0</v>
      </c>
      <c r="M1323">
        <v>16.86</v>
      </c>
      <c r="N1323" t="s">
        <v>10236</v>
      </c>
    </row>
    <row r="1324" spans="1:14">
      <c r="A1324" t="s">
        <v>29</v>
      </c>
      <c r="B1324" t="s">
        <v>1504</v>
      </c>
      <c r="C1324">
        <f>"MLS6006A"</f>
        <v>0</v>
      </c>
      <c r="D1324">
        <v>1</v>
      </c>
      <c r="E1324">
        <v>0</v>
      </c>
      <c r="F1324" s="2">
        <v>0</v>
      </c>
      <c r="G1324">
        <v>0</v>
      </c>
      <c r="H1324">
        <v>1</v>
      </c>
      <c r="I1324">
        <v>0.2248268617291053</v>
      </c>
      <c r="J1324">
        <v>0</v>
      </c>
      <c r="K1324">
        <v>0</v>
      </c>
      <c r="L1324" s="2">
        <v>0</v>
      </c>
      <c r="M1324">
        <v>16.87</v>
      </c>
      <c r="N1324" t="s">
        <v>10236</v>
      </c>
    </row>
    <row r="1325" spans="1:14">
      <c r="A1325" t="s">
        <v>35</v>
      </c>
      <c r="B1325" t="s">
        <v>1505</v>
      </c>
      <c r="C1325">
        <f>"W007M"</f>
        <v>0</v>
      </c>
      <c r="D1325">
        <v>1</v>
      </c>
      <c r="E1325">
        <v>0</v>
      </c>
      <c r="F1325" s="2">
        <v>0</v>
      </c>
      <c r="G1325">
        <v>0</v>
      </c>
      <c r="H1325">
        <v>1</v>
      </c>
      <c r="I1325">
        <v>0.2248268617291053</v>
      </c>
      <c r="J1325">
        <v>0</v>
      </c>
      <c r="K1325">
        <v>0</v>
      </c>
      <c r="L1325" s="2">
        <v>0</v>
      </c>
      <c r="M1325">
        <v>16.88</v>
      </c>
      <c r="N1325" t="s">
        <v>10236</v>
      </c>
    </row>
    <row r="1326" spans="1:14">
      <c r="A1326" t="s">
        <v>27</v>
      </c>
      <c r="B1326" t="s">
        <v>1506</v>
      </c>
      <c r="C1326">
        <f>"PRG3033022"</f>
        <v>0</v>
      </c>
      <c r="D1326">
        <v>1</v>
      </c>
      <c r="E1326">
        <v>0</v>
      </c>
      <c r="F1326" s="2">
        <v>0</v>
      </c>
      <c r="G1326">
        <v>0</v>
      </c>
      <c r="H1326">
        <v>1</v>
      </c>
      <c r="I1326">
        <v>0.2248268617291053</v>
      </c>
      <c r="J1326">
        <v>0</v>
      </c>
      <c r="K1326">
        <v>0</v>
      </c>
      <c r="L1326" s="2">
        <v>0</v>
      </c>
      <c r="M1326">
        <v>16.9</v>
      </c>
      <c r="N1326" t="s">
        <v>10236</v>
      </c>
    </row>
    <row r="1327" spans="1:14">
      <c r="A1327" t="s">
        <v>27</v>
      </c>
      <c r="B1327" t="s">
        <v>1507</v>
      </c>
      <c r="C1327">
        <f>"PRG3033042"</f>
        <v>0</v>
      </c>
      <c r="D1327">
        <v>1</v>
      </c>
      <c r="E1327">
        <v>0</v>
      </c>
      <c r="F1327" s="2">
        <v>0</v>
      </c>
      <c r="G1327">
        <v>0</v>
      </c>
      <c r="H1327">
        <v>1</v>
      </c>
      <c r="I1327">
        <v>0.2248268617291053</v>
      </c>
      <c r="J1327">
        <v>0</v>
      </c>
      <c r="K1327">
        <v>0</v>
      </c>
      <c r="L1327" s="2">
        <v>0</v>
      </c>
      <c r="M1327">
        <v>16.91</v>
      </c>
      <c r="N1327" t="s">
        <v>10236</v>
      </c>
    </row>
    <row r="1328" spans="1:14">
      <c r="A1328" t="s">
        <v>193</v>
      </c>
      <c r="B1328" t="s">
        <v>1508</v>
      </c>
      <c r="C1328">
        <f>"387880"</f>
        <v>0</v>
      </c>
      <c r="D1328">
        <v>1</v>
      </c>
      <c r="E1328">
        <v>0</v>
      </c>
      <c r="F1328" s="2">
        <v>0</v>
      </c>
      <c r="G1328">
        <v>0</v>
      </c>
      <c r="H1328">
        <v>1</v>
      </c>
      <c r="I1328">
        <v>0.2248268617291053</v>
      </c>
      <c r="J1328">
        <v>0</v>
      </c>
      <c r="K1328">
        <v>0</v>
      </c>
      <c r="L1328" s="2">
        <v>0</v>
      </c>
      <c r="M1328">
        <v>16.92</v>
      </c>
      <c r="N1328" t="s">
        <v>10236</v>
      </c>
    </row>
    <row r="1329" spans="1:14">
      <c r="A1329" t="s">
        <v>35</v>
      </c>
      <c r="B1329" t="s">
        <v>1509</v>
      </c>
      <c r="C1329">
        <f>"HH337LNA"</f>
        <v>0</v>
      </c>
      <c r="D1329">
        <v>1</v>
      </c>
      <c r="E1329">
        <v>0</v>
      </c>
      <c r="F1329" s="2">
        <v>0</v>
      </c>
      <c r="G1329">
        <v>0</v>
      </c>
      <c r="H1329">
        <v>1</v>
      </c>
      <c r="I1329">
        <v>0.2248268617291053</v>
      </c>
      <c r="J1329">
        <v>0</v>
      </c>
      <c r="K1329">
        <v>0</v>
      </c>
      <c r="L1329" s="2">
        <v>0</v>
      </c>
      <c r="M1329">
        <v>16.93</v>
      </c>
      <c r="N1329" t="s">
        <v>10236</v>
      </c>
    </row>
    <row r="1330" spans="1:14">
      <c r="A1330" t="s">
        <v>32</v>
      </c>
      <c r="B1330" t="s">
        <v>1510</v>
      </c>
      <c r="C1330">
        <f>"HCH055"</f>
        <v>0</v>
      </c>
      <c r="D1330">
        <v>47</v>
      </c>
      <c r="E1330">
        <v>8</v>
      </c>
      <c r="F1330" s="2">
        <v>17</v>
      </c>
      <c r="G1330">
        <v>0.68</v>
      </c>
      <c r="H1330">
        <v>4</v>
      </c>
      <c r="I1330">
        <v>0.2247667049784574</v>
      </c>
      <c r="J1330">
        <v>12</v>
      </c>
      <c r="K1330">
        <v>4</v>
      </c>
      <c r="L1330" s="2">
        <v>68</v>
      </c>
      <c r="M1330">
        <v>16.94</v>
      </c>
      <c r="N1330" t="s">
        <v>10235</v>
      </c>
    </row>
    <row r="1331" spans="1:14">
      <c r="A1331" t="s">
        <v>35</v>
      </c>
      <c r="B1331" t="s">
        <v>1511</v>
      </c>
      <c r="C1331">
        <f>"HCJ011MAZ"</f>
        <v>0</v>
      </c>
      <c r="D1331">
        <v>1</v>
      </c>
      <c r="E1331">
        <v>0</v>
      </c>
      <c r="F1331" s="2">
        <v>0</v>
      </c>
      <c r="G1331">
        <v>0</v>
      </c>
      <c r="H1331">
        <v>1</v>
      </c>
      <c r="I1331">
        <v>0.2246344682199776</v>
      </c>
      <c r="J1331">
        <v>0</v>
      </c>
      <c r="K1331">
        <v>0</v>
      </c>
      <c r="L1331" s="2">
        <v>0</v>
      </c>
      <c r="M1331">
        <v>16.96</v>
      </c>
      <c r="N1331" t="s">
        <v>10236</v>
      </c>
    </row>
    <row r="1332" spans="1:14">
      <c r="A1332" t="s">
        <v>35</v>
      </c>
      <c r="B1332" t="s">
        <v>1512</v>
      </c>
      <c r="C1332">
        <f>"CTB85VE"</f>
        <v>0</v>
      </c>
      <c r="D1332">
        <v>1</v>
      </c>
      <c r="E1332">
        <v>0</v>
      </c>
      <c r="F1332" s="2">
        <v>0</v>
      </c>
      <c r="G1332">
        <v>0</v>
      </c>
      <c r="H1332">
        <v>1</v>
      </c>
      <c r="I1332">
        <v>0.2245450158873205</v>
      </c>
      <c r="J1332">
        <v>0</v>
      </c>
      <c r="K1332">
        <v>0</v>
      </c>
      <c r="L1332" s="2">
        <v>0</v>
      </c>
      <c r="M1332">
        <v>16.97</v>
      </c>
      <c r="N1332" t="s">
        <v>10236</v>
      </c>
    </row>
    <row r="1333" spans="1:14">
      <c r="A1333" t="s">
        <v>202</v>
      </c>
      <c r="B1333" t="s">
        <v>1513</v>
      </c>
      <c r="C1333">
        <f>"21102030"</f>
        <v>0</v>
      </c>
      <c r="D1333">
        <v>3</v>
      </c>
      <c r="E1333">
        <v>0</v>
      </c>
      <c r="F1333" s="2">
        <v>0</v>
      </c>
      <c r="G1333">
        <v>0</v>
      </c>
      <c r="H1333">
        <v>1</v>
      </c>
      <c r="I1333">
        <v>0.2244294696688321</v>
      </c>
      <c r="J1333">
        <v>1</v>
      </c>
      <c r="K1333">
        <v>1</v>
      </c>
      <c r="L1333" s="2">
        <v>0</v>
      </c>
      <c r="M1333">
        <v>16.98</v>
      </c>
      <c r="N1333" t="s">
        <v>10236</v>
      </c>
    </row>
    <row r="1334" spans="1:14">
      <c r="A1334" t="s">
        <v>32</v>
      </c>
      <c r="B1334" t="s">
        <v>1514</v>
      </c>
      <c r="C1334">
        <f>"33445566"</f>
        <v>0</v>
      </c>
      <c r="D1334">
        <v>1</v>
      </c>
      <c r="E1334">
        <v>0</v>
      </c>
      <c r="F1334" s="2">
        <v>0</v>
      </c>
      <c r="G1334">
        <v>0</v>
      </c>
      <c r="H1334">
        <v>1</v>
      </c>
      <c r="I1334">
        <v>0.2243542197412759</v>
      </c>
      <c r="J1334">
        <v>0</v>
      </c>
      <c r="K1334">
        <v>0</v>
      </c>
      <c r="L1334" s="2">
        <v>0</v>
      </c>
      <c r="M1334">
        <v>16.99</v>
      </c>
      <c r="N1334" t="s">
        <v>10236</v>
      </c>
    </row>
    <row r="1335" spans="1:14">
      <c r="A1335" t="s">
        <v>196</v>
      </c>
      <c r="B1335" t="s">
        <v>1515</v>
      </c>
      <c r="C1335">
        <f>"2386"</f>
        <v>0</v>
      </c>
      <c r="D1335">
        <v>1</v>
      </c>
      <c r="E1335">
        <v>7</v>
      </c>
      <c r="F1335" s="2">
        <v>1</v>
      </c>
      <c r="G1335">
        <v>28</v>
      </c>
      <c r="H1335">
        <v>1</v>
      </c>
      <c r="I1335">
        <v>0.2243451173571735</v>
      </c>
      <c r="J1335">
        <v>0</v>
      </c>
      <c r="K1335">
        <v>0</v>
      </c>
      <c r="L1335" s="2">
        <v>0</v>
      </c>
      <c r="M1335">
        <v>17</v>
      </c>
      <c r="N1335" t="s">
        <v>10236</v>
      </c>
    </row>
    <row r="1336" spans="1:14">
      <c r="A1336" t="s">
        <v>193</v>
      </c>
      <c r="B1336" t="s">
        <v>1516</v>
      </c>
      <c r="C1336">
        <f>"564264"</f>
        <v>0</v>
      </c>
      <c r="D1336">
        <v>1</v>
      </c>
      <c r="E1336">
        <v>0</v>
      </c>
      <c r="F1336" s="2">
        <v>0</v>
      </c>
      <c r="G1336">
        <v>0</v>
      </c>
      <c r="H1336">
        <v>1</v>
      </c>
      <c r="I1336">
        <v>0.2242440016885376</v>
      </c>
      <c r="J1336">
        <v>0</v>
      </c>
      <c r="K1336">
        <v>0</v>
      </c>
      <c r="L1336" s="2">
        <v>0</v>
      </c>
      <c r="M1336">
        <v>17.02</v>
      </c>
      <c r="N1336" t="s">
        <v>10236</v>
      </c>
    </row>
    <row r="1337" spans="1:14">
      <c r="A1337" t="s">
        <v>30</v>
      </c>
      <c r="B1337" t="s">
        <v>1517</v>
      </c>
      <c r="C1337">
        <f>"100436"</f>
        <v>0</v>
      </c>
      <c r="D1337">
        <v>2</v>
      </c>
      <c r="E1337">
        <v>0</v>
      </c>
      <c r="F1337" s="2">
        <v>0</v>
      </c>
      <c r="G1337">
        <v>0</v>
      </c>
      <c r="H1337">
        <v>1</v>
      </c>
      <c r="I1337">
        <v>0.2241049405468392</v>
      </c>
      <c r="J1337">
        <v>0</v>
      </c>
      <c r="K1337">
        <v>0</v>
      </c>
      <c r="L1337" s="2">
        <v>0</v>
      </c>
      <c r="M1337">
        <v>17.03</v>
      </c>
      <c r="N1337" t="s">
        <v>10236</v>
      </c>
    </row>
    <row r="1338" spans="1:14">
      <c r="A1338" t="s">
        <v>202</v>
      </c>
      <c r="B1338" t="s">
        <v>1518</v>
      </c>
      <c r="C1338">
        <f>"11001017"</f>
        <v>0</v>
      </c>
      <c r="D1338">
        <v>1</v>
      </c>
      <c r="E1338">
        <v>0</v>
      </c>
      <c r="F1338" s="2">
        <v>0</v>
      </c>
      <c r="G1338">
        <v>0</v>
      </c>
      <c r="H1338">
        <v>1</v>
      </c>
      <c r="I1338">
        <v>0.2237209540211951</v>
      </c>
      <c r="J1338">
        <v>0</v>
      </c>
      <c r="K1338">
        <v>0</v>
      </c>
      <c r="L1338" s="2">
        <v>0</v>
      </c>
      <c r="M1338">
        <v>17.04</v>
      </c>
      <c r="N1338" t="s">
        <v>10236</v>
      </c>
    </row>
    <row r="1339" spans="1:14">
      <c r="A1339" t="s">
        <v>35</v>
      </c>
      <c r="B1339" t="s">
        <v>1519</v>
      </c>
      <c r="C1339">
        <f>"28402"</f>
        <v>0</v>
      </c>
      <c r="D1339">
        <v>23</v>
      </c>
      <c r="E1339">
        <v>2</v>
      </c>
      <c r="F1339" s="2">
        <v>4</v>
      </c>
      <c r="G1339">
        <v>0.35</v>
      </c>
      <c r="H1339">
        <v>4</v>
      </c>
      <c r="I1339">
        <v>0.2234820946342355</v>
      </c>
      <c r="J1339">
        <v>6</v>
      </c>
      <c r="K1339">
        <v>4</v>
      </c>
      <c r="L1339" s="2">
        <v>16</v>
      </c>
      <c r="M1339">
        <v>17.05</v>
      </c>
      <c r="N1339" t="s">
        <v>10235</v>
      </c>
    </row>
    <row r="1340" spans="1:14">
      <c r="A1340" t="s">
        <v>35</v>
      </c>
      <c r="B1340" t="s">
        <v>1520</v>
      </c>
      <c r="C1340">
        <f>"CK1002"</f>
        <v>0</v>
      </c>
      <c r="D1340">
        <v>64</v>
      </c>
      <c r="E1340">
        <v>15</v>
      </c>
      <c r="F1340" s="2">
        <v>1</v>
      </c>
      <c r="G1340">
        <v>0.9399999999999999</v>
      </c>
      <c r="H1340">
        <v>4</v>
      </c>
      <c r="I1340">
        <v>0.2232363698895168</v>
      </c>
      <c r="J1340">
        <v>16</v>
      </c>
      <c r="K1340">
        <v>1</v>
      </c>
      <c r="L1340" s="2">
        <v>1</v>
      </c>
      <c r="M1340">
        <v>17.06</v>
      </c>
      <c r="N1340" t="s">
        <v>10235</v>
      </c>
    </row>
    <row r="1341" spans="1:14">
      <c r="A1341" t="s">
        <v>35</v>
      </c>
      <c r="B1341" t="s">
        <v>1521</v>
      </c>
      <c r="C1341">
        <f>"JWZ1010XL"</f>
        <v>0</v>
      </c>
      <c r="D1341">
        <v>23</v>
      </c>
      <c r="E1341">
        <v>2</v>
      </c>
      <c r="F1341" s="2">
        <v>1</v>
      </c>
      <c r="G1341">
        <v>0.35</v>
      </c>
      <c r="H1341">
        <v>2</v>
      </c>
      <c r="I1341">
        <v>0.2231498431129375</v>
      </c>
      <c r="J1341">
        <v>6</v>
      </c>
      <c r="K1341">
        <v>4</v>
      </c>
      <c r="L1341" s="2">
        <v>4</v>
      </c>
      <c r="M1341">
        <v>17.07</v>
      </c>
      <c r="N1341" t="s">
        <v>10235</v>
      </c>
    </row>
    <row r="1342" spans="1:14">
      <c r="A1342" t="s">
        <v>41</v>
      </c>
      <c r="B1342" t="s">
        <v>1522</v>
      </c>
      <c r="C1342">
        <f>"CA5488001CH"</f>
        <v>0</v>
      </c>
      <c r="D1342">
        <v>23</v>
      </c>
      <c r="E1342">
        <v>2</v>
      </c>
      <c r="F1342" s="2">
        <v>7</v>
      </c>
      <c r="G1342">
        <v>0.35</v>
      </c>
      <c r="H1342">
        <v>3</v>
      </c>
      <c r="I1342">
        <v>0.2231498431129375</v>
      </c>
      <c r="J1342">
        <v>6</v>
      </c>
      <c r="K1342">
        <v>4</v>
      </c>
      <c r="L1342" s="2">
        <v>28</v>
      </c>
      <c r="M1342">
        <v>17.09</v>
      </c>
      <c r="N1342" t="s">
        <v>10235</v>
      </c>
    </row>
    <row r="1343" spans="1:14">
      <c r="A1343" t="s">
        <v>36</v>
      </c>
      <c r="B1343" t="s">
        <v>1523</v>
      </c>
      <c r="C1343">
        <f>"1018252"</f>
        <v>0</v>
      </c>
      <c r="D1343">
        <v>52</v>
      </c>
      <c r="E1343">
        <v>10</v>
      </c>
      <c r="F1343" s="2">
        <v>6</v>
      </c>
      <c r="G1343">
        <v>0.77</v>
      </c>
      <c r="H1343">
        <v>3</v>
      </c>
      <c r="I1343">
        <v>0.2227938947345564</v>
      </c>
      <c r="J1343">
        <v>13</v>
      </c>
      <c r="K1343">
        <v>3</v>
      </c>
      <c r="L1343" s="2">
        <v>18</v>
      </c>
      <c r="M1343">
        <v>17.1</v>
      </c>
      <c r="N1343" t="s">
        <v>10235</v>
      </c>
    </row>
    <row r="1344" spans="1:14">
      <c r="A1344" t="s">
        <v>208</v>
      </c>
      <c r="B1344" t="s">
        <v>1524</v>
      </c>
      <c r="C1344">
        <f>"VITAHEM01"</f>
        <v>0</v>
      </c>
      <c r="D1344">
        <v>34</v>
      </c>
      <c r="E1344">
        <v>5</v>
      </c>
      <c r="F1344" s="2">
        <v>9</v>
      </c>
      <c r="G1344">
        <v>0.59</v>
      </c>
      <c r="H1344">
        <v>4</v>
      </c>
      <c r="I1344">
        <v>0.2227129962122686</v>
      </c>
      <c r="J1344">
        <v>8</v>
      </c>
      <c r="K1344">
        <v>3</v>
      </c>
      <c r="L1344" s="2">
        <v>27</v>
      </c>
      <c r="M1344">
        <v>17.11</v>
      </c>
      <c r="N1344" t="s">
        <v>10235</v>
      </c>
    </row>
    <row r="1345" spans="1:14">
      <c r="A1345" t="s">
        <v>193</v>
      </c>
      <c r="B1345" t="s">
        <v>1525</v>
      </c>
      <c r="C1345">
        <f>"300513"</f>
        <v>0</v>
      </c>
      <c r="D1345">
        <v>28</v>
      </c>
      <c r="E1345">
        <v>3</v>
      </c>
      <c r="F1345" s="2">
        <v>2</v>
      </c>
      <c r="G1345">
        <v>0.43</v>
      </c>
      <c r="H1345">
        <v>3</v>
      </c>
      <c r="I1345">
        <v>0.2226840046076538</v>
      </c>
      <c r="J1345">
        <v>7</v>
      </c>
      <c r="K1345">
        <v>4</v>
      </c>
      <c r="L1345" s="2">
        <v>8</v>
      </c>
      <c r="M1345">
        <v>17.12</v>
      </c>
      <c r="N1345" t="s">
        <v>10235</v>
      </c>
    </row>
    <row r="1346" spans="1:14">
      <c r="A1346" t="s">
        <v>34</v>
      </c>
      <c r="B1346" t="s">
        <v>1526</v>
      </c>
      <c r="C1346">
        <f>"14000119"</f>
        <v>0</v>
      </c>
      <c r="D1346">
        <v>36</v>
      </c>
      <c r="E1346">
        <v>5</v>
      </c>
      <c r="F1346" s="2">
        <v>1</v>
      </c>
      <c r="G1346">
        <v>0.5600000000000001</v>
      </c>
      <c r="H1346">
        <v>4</v>
      </c>
      <c r="I1346">
        <v>0.2226440129851604</v>
      </c>
      <c r="J1346">
        <v>9</v>
      </c>
      <c r="K1346">
        <v>4</v>
      </c>
      <c r="L1346" s="2">
        <v>4</v>
      </c>
      <c r="M1346">
        <v>17.13</v>
      </c>
      <c r="N1346" t="s">
        <v>10235</v>
      </c>
    </row>
    <row r="1347" spans="1:14">
      <c r="A1347" t="s">
        <v>35</v>
      </c>
      <c r="B1347" t="s">
        <v>1527</v>
      </c>
      <c r="C1347">
        <f>"970303"</f>
        <v>0</v>
      </c>
      <c r="D1347">
        <v>2</v>
      </c>
      <c r="E1347">
        <v>9</v>
      </c>
      <c r="F1347" s="2">
        <v>3</v>
      </c>
      <c r="G1347">
        <v>18</v>
      </c>
      <c r="H1347">
        <v>2</v>
      </c>
      <c r="I1347">
        <v>0.222574616053204</v>
      </c>
      <c r="J1347">
        <v>0</v>
      </c>
      <c r="K1347">
        <v>0</v>
      </c>
      <c r="L1347" s="2">
        <v>0</v>
      </c>
      <c r="M1347">
        <v>17.15</v>
      </c>
      <c r="N1347" t="s">
        <v>10236</v>
      </c>
    </row>
    <row r="1348" spans="1:14">
      <c r="A1348" t="s">
        <v>25</v>
      </c>
      <c r="B1348" t="s">
        <v>1528</v>
      </c>
      <c r="C1348">
        <f>"NA07"</f>
        <v>0</v>
      </c>
      <c r="D1348">
        <v>2</v>
      </c>
      <c r="E1348">
        <v>1</v>
      </c>
      <c r="F1348" s="2">
        <v>891</v>
      </c>
      <c r="G1348">
        <v>2</v>
      </c>
      <c r="H1348">
        <v>2</v>
      </c>
      <c r="I1348">
        <v>0.2222196464791677</v>
      </c>
      <c r="J1348">
        <v>0</v>
      </c>
      <c r="K1348">
        <v>0</v>
      </c>
      <c r="L1348" s="2">
        <v>0</v>
      </c>
      <c r="M1348">
        <v>17.16</v>
      </c>
      <c r="N1348" t="s">
        <v>10236</v>
      </c>
    </row>
    <row r="1349" spans="1:14">
      <c r="A1349" t="s">
        <v>35</v>
      </c>
      <c r="B1349" t="s">
        <v>1529</v>
      </c>
      <c r="C1349">
        <f>"KHSG0108"</f>
        <v>0</v>
      </c>
      <c r="D1349">
        <v>1</v>
      </c>
      <c r="E1349">
        <v>34</v>
      </c>
      <c r="F1349" s="2">
        <v>3</v>
      </c>
      <c r="G1349">
        <v>136</v>
      </c>
      <c r="H1349">
        <v>1</v>
      </c>
      <c r="I1349">
        <v>0.2218603303389191</v>
      </c>
      <c r="J1349">
        <v>0</v>
      </c>
      <c r="K1349">
        <v>0</v>
      </c>
      <c r="L1349" s="2">
        <v>0</v>
      </c>
      <c r="M1349">
        <v>17.17</v>
      </c>
      <c r="N1349" t="s">
        <v>10236</v>
      </c>
    </row>
    <row r="1350" spans="1:14">
      <c r="A1350" t="s">
        <v>35</v>
      </c>
      <c r="B1350" t="s">
        <v>1530</v>
      </c>
      <c r="C1350">
        <f>"9402B"</f>
        <v>0</v>
      </c>
      <c r="D1350">
        <v>1</v>
      </c>
      <c r="E1350">
        <v>0</v>
      </c>
      <c r="F1350" s="2">
        <v>0</v>
      </c>
      <c r="G1350">
        <v>0</v>
      </c>
      <c r="H1350">
        <v>1</v>
      </c>
      <c r="I1350">
        <v>0.2218096203497965</v>
      </c>
      <c r="J1350">
        <v>0</v>
      </c>
      <c r="K1350">
        <v>0</v>
      </c>
      <c r="L1350" s="2">
        <v>0</v>
      </c>
      <c r="M1350">
        <v>17.18</v>
      </c>
      <c r="N1350" t="s">
        <v>10236</v>
      </c>
    </row>
    <row r="1351" spans="1:14">
      <c r="A1351" t="s">
        <v>24</v>
      </c>
      <c r="B1351" t="s">
        <v>1531</v>
      </c>
      <c r="C1351">
        <f>"7800006005091"</f>
        <v>0</v>
      </c>
      <c r="D1351">
        <v>66</v>
      </c>
      <c r="E1351">
        <v>44</v>
      </c>
      <c r="F1351" s="2">
        <v>3</v>
      </c>
      <c r="G1351">
        <v>2.67</v>
      </c>
      <c r="H1351">
        <v>4</v>
      </c>
      <c r="I1351">
        <v>0.221700920023037</v>
      </c>
      <c r="J1351">
        <v>16</v>
      </c>
      <c r="K1351">
        <v>0</v>
      </c>
      <c r="L1351" s="2">
        <v>0</v>
      </c>
      <c r="M1351">
        <v>17.19</v>
      </c>
      <c r="N1351" t="s">
        <v>10235</v>
      </c>
    </row>
    <row r="1352" spans="1:14">
      <c r="A1352" t="s">
        <v>35</v>
      </c>
      <c r="B1352" t="s">
        <v>1532</v>
      </c>
      <c r="C1352">
        <f>"11506"</f>
        <v>0</v>
      </c>
      <c r="D1352">
        <v>65</v>
      </c>
      <c r="E1352">
        <v>138</v>
      </c>
      <c r="F1352" s="2">
        <v>1</v>
      </c>
      <c r="G1352">
        <v>8.49</v>
      </c>
      <c r="H1352">
        <v>4</v>
      </c>
      <c r="I1352">
        <v>0.2209413756880625</v>
      </c>
      <c r="J1352">
        <v>16</v>
      </c>
      <c r="K1352">
        <v>0</v>
      </c>
      <c r="L1352" s="2">
        <v>0</v>
      </c>
      <c r="M1352">
        <v>17.2</v>
      </c>
      <c r="N1352" t="s">
        <v>10235</v>
      </c>
    </row>
    <row r="1353" spans="1:14">
      <c r="A1353" t="s">
        <v>25</v>
      </c>
      <c r="B1353" t="s">
        <v>1533</v>
      </c>
      <c r="C1353">
        <f>"M012"</f>
        <v>0</v>
      </c>
      <c r="D1353">
        <v>17</v>
      </c>
      <c r="E1353">
        <v>1</v>
      </c>
      <c r="F1353" s="2">
        <v>15</v>
      </c>
      <c r="G1353">
        <v>0.24</v>
      </c>
      <c r="H1353">
        <v>4</v>
      </c>
      <c r="I1353">
        <v>0.2208235366177055</v>
      </c>
      <c r="J1353">
        <v>4</v>
      </c>
      <c r="K1353">
        <v>3</v>
      </c>
      <c r="L1353" s="2">
        <v>45</v>
      </c>
      <c r="M1353">
        <v>17.22</v>
      </c>
      <c r="N1353" t="s">
        <v>10235</v>
      </c>
    </row>
    <row r="1354" spans="1:14">
      <c r="A1354" t="s">
        <v>34</v>
      </c>
      <c r="B1354" t="s">
        <v>1534</v>
      </c>
      <c r="C1354">
        <f>"14000003"</f>
        <v>0</v>
      </c>
      <c r="D1354">
        <v>41</v>
      </c>
      <c r="E1354">
        <v>7</v>
      </c>
      <c r="F1354" s="2">
        <v>11</v>
      </c>
      <c r="G1354">
        <v>0.68</v>
      </c>
      <c r="H1354">
        <v>4</v>
      </c>
      <c r="I1354">
        <v>0.2207682014067277</v>
      </c>
      <c r="J1354">
        <v>10</v>
      </c>
      <c r="K1354">
        <v>3</v>
      </c>
      <c r="L1354" s="2">
        <v>33</v>
      </c>
      <c r="M1354">
        <v>17.23</v>
      </c>
      <c r="N1354" t="s">
        <v>10235</v>
      </c>
    </row>
    <row r="1355" spans="1:14">
      <c r="A1355" t="s">
        <v>34</v>
      </c>
      <c r="B1355" t="s">
        <v>1535</v>
      </c>
      <c r="C1355">
        <f>"14000154"</f>
        <v>0</v>
      </c>
      <c r="D1355">
        <v>40</v>
      </c>
      <c r="E1355">
        <v>7</v>
      </c>
      <c r="F1355" s="2">
        <v>36</v>
      </c>
      <c r="G1355">
        <v>0.7</v>
      </c>
      <c r="H1355">
        <v>4</v>
      </c>
      <c r="I1355">
        <v>0.2207544914366292</v>
      </c>
      <c r="J1355">
        <v>10</v>
      </c>
      <c r="K1355">
        <v>3</v>
      </c>
      <c r="L1355" s="2">
        <v>108</v>
      </c>
      <c r="M1355">
        <v>17.24</v>
      </c>
      <c r="N1355" t="s">
        <v>10235</v>
      </c>
    </row>
    <row r="1356" spans="1:14">
      <c r="A1356" t="s">
        <v>208</v>
      </c>
      <c r="B1356" t="s">
        <v>1536</v>
      </c>
      <c r="C1356">
        <f>"5000363"</f>
        <v>0</v>
      </c>
      <c r="D1356">
        <v>64</v>
      </c>
      <c r="E1356">
        <v>24</v>
      </c>
      <c r="F1356" s="2">
        <v>10</v>
      </c>
      <c r="G1356">
        <v>1.5</v>
      </c>
      <c r="H1356">
        <v>4</v>
      </c>
      <c r="I1356">
        <v>0.2205291690812826</v>
      </c>
      <c r="J1356">
        <v>16</v>
      </c>
      <c r="K1356">
        <v>0</v>
      </c>
      <c r="L1356" s="2">
        <v>0</v>
      </c>
      <c r="M1356">
        <v>17.25</v>
      </c>
      <c r="N1356" t="s">
        <v>10235</v>
      </c>
    </row>
    <row r="1357" spans="1:14">
      <c r="A1357" t="s">
        <v>40</v>
      </c>
      <c r="B1357" t="s">
        <v>1537</v>
      </c>
      <c r="C1357">
        <f>"V100785"</f>
        <v>0</v>
      </c>
      <c r="D1357">
        <v>14</v>
      </c>
      <c r="E1357">
        <v>1</v>
      </c>
      <c r="F1357" s="2">
        <v>16</v>
      </c>
      <c r="G1357">
        <v>0.29</v>
      </c>
      <c r="H1357">
        <v>4</v>
      </c>
      <c r="I1357">
        <v>0.2204973992687346</v>
      </c>
      <c r="J1357">
        <v>4</v>
      </c>
      <c r="K1357">
        <v>3</v>
      </c>
      <c r="L1357" s="2">
        <v>48</v>
      </c>
      <c r="M1357">
        <v>17.26</v>
      </c>
      <c r="N1357" t="s">
        <v>10235</v>
      </c>
    </row>
    <row r="1358" spans="1:14">
      <c r="A1358" t="s">
        <v>35</v>
      </c>
      <c r="B1358" t="s">
        <v>1538</v>
      </c>
      <c r="C1358">
        <f>"W0061"</f>
        <v>0</v>
      </c>
      <c r="D1358">
        <v>2</v>
      </c>
      <c r="E1358">
        <v>5</v>
      </c>
      <c r="F1358" s="2">
        <v>3</v>
      </c>
      <c r="G1358">
        <v>10</v>
      </c>
      <c r="H1358">
        <v>2</v>
      </c>
      <c r="I1358">
        <v>0.2202673138219679</v>
      </c>
      <c r="J1358">
        <v>0</v>
      </c>
      <c r="K1358">
        <v>0</v>
      </c>
      <c r="L1358" s="2">
        <v>0</v>
      </c>
      <c r="M1358">
        <v>17.27</v>
      </c>
      <c r="N1358" t="s">
        <v>10236</v>
      </c>
    </row>
    <row r="1359" spans="1:14">
      <c r="A1359" t="s">
        <v>29</v>
      </c>
      <c r="B1359" t="s">
        <v>1539</v>
      </c>
      <c r="C1359">
        <f>"PTR"</f>
        <v>0</v>
      </c>
      <c r="D1359">
        <v>50</v>
      </c>
      <c r="E1359">
        <v>10</v>
      </c>
      <c r="F1359" s="2">
        <v>1</v>
      </c>
      <c r="G1359">
        <v>0.8</v>
      </c>
      <c r="H1359">
        <v>4</v>
      </c>
      <c r="I1359">
        <v>0.2201795240408687</v>
      </c>
      <c r="J1359">
        <v>12</v>
      </c>
      <c r="K1359">
        <v>2</v>
      </c>
      <c r="L1359" s="2">
        <v>2</v>
      </c>
      <c r="M1359">
        <v>17.29</v>
      </c>
      <c r="N1359" t="s">
        <v>10235</v>
      </c>
    </row>
    <row r="1360" spans="1:14">
      <c r="A1360" t="s">
        <v>24</v>
      </c>
      <c r="B1360" t="s">
        <v>1540</v>
      </c>
      <c r="C1360">
        <f>"1015479"</f>
        <v>0</v>
      </c>
      <c r="D1360">
        <v>14</v>
      </c>
      <c r="E1360">
        <v>1</v>
      </c>
      <c r="F1360" s="2">
        <v>4</v>
      </c>
      <c r="G1360">
        <v>0.29</v>
      </c>
      <c r="H1360">
        <v>4</v>
      </c>
      <c r="I1360">
        <v>0.2201507714796881</v>
      </c>
      <c r="J1360">
        <v>4</v>
      </c>
      <c r="K1360">
        <v>3</v>
      </c>
      <c r="L1360" s="2">
        <v>12</v>
      </c>
      <c r="M1360">
        <v>17.3</v>
      </c>
      <c r="N1360" t="s">
        <v>10235</v>
      </c>
    </row>
    <row r="1361" spans="1:14">
      <c r="A1361" t="s">
        <v>29</v>
      </c>
      <c r="B1361" t="s">
        <v>1541</v>
      </c>
      <c r="C1361">
        <f>"NC0129"</f>
        <v>0</v>
      </c>
      <c r="D1361">
        <v>37</v>
      </c>
      <c r="E1361">
        <v>366</v>
      </c>
      <c r="F1361" s="2">
        <v>0</v>
      </c>
      <c r="G1361">
        <v>39.57</v>
      </c>
      <c r="H1361">
        <v>2</v>
      </c>
      <c r="I1361">
        <v>0.2197095044913223</v>
      </c>
      <c r="J1361">
        <v>9</v>
      </c>
      <c r="K1361">
        <v>0</v>
      </c>
      <c r="L1361" s="2">
        <v>0</v>
      </c>
      <c r="M1361">
        <v>17.31</v>
      </c>
      <c r="N1361" t="s">
        <v>10235</v>
      </c>
    </row>
    <row r="1362" spans="1:14">
      <c r="A1362" t="s">
        <v>30</v>
      </c>
      <c r="B1362" t="s">
        <v>1542</v>
      </c>
      <c r="C1362">
        <f>"100905"</f>
        <v>0</v>
      </c>
      <c r="D1362">
        <v>12</v>
      </c>
      <c r="E1362">
        <v>1</v>
      </c>
      <c r="F1362" s="2">
        <v>42</v>
      </c>
      <c r="G1362">
        <v>0.33</v>
      </c>
      <c r="H1362">
        <v>3</v>
      </c>
      <c r="I1362">
        <v>0.2189380275914097</v>
      </c>
      <c r="J1362">
        <v>3</v>
      </c>
      <c r="K1362">
        <v>2</v>
      </c>
      <c r="L1362" s="2">
        <v>84</v>
      </c>
      <c r="M1362">
        <v>17.32</v>
      </c>
      <c r="N1362" t="s">
        <v>10235</v>
      </c>
    </row>
    <row r="1363" spans="1:14">
      <c r="A1363" t="s">
        <v>41</v>
      </c>
      <c r="B1363" t="s">
        <v>1543</v>
      </c>
      <c r="C1363">
        <f>"LEGVETGAS0"</f>
        <v>0</v>
      </c>
      <c r="D1363">
        <v>19</v>
      </c>
      <c r="E1363">
        <v>2</v>
      </c>
      <c r="F1363" s="2">
        <v>7</v>
      </c>
      <c r="G1363">
        <v>0.42</v>
      </c>
      <c r="H1363">
        <v>4</v>
      </c>
      <c r="I1363">
        <v>0.2182612158275259</v>
      </c>
      <c r="J1363">
        <v>5</v>
      </c>
      <c r="K1363">
        <v>3</v>
      </c>
      <c r="L1363" s="2">
        <v>21</v>
      </c>
      <c r="M1363">
        <v>17.33</v>
      </c>
      <c r="N1363" t="s">
        <v>10235</v>
      </c>
    </row>
    <row r="1364" spans="1:14">
      <c r="A1364" t="s">
        <v>203</v>
      </c>
      <c r="B1364" t="s">
        <v>1544</v>
      </c>
      <c r="C1364">
        <f>"756415"</f>
        <v>0</v>
      </c>
      <c r="D1364">
        <v>13</v>
      </c>
      <c r="E1364">
        <v>1</v>
      </c>
      <c r="F1364" s="2">
        <v>2</v>
      </c>
      <c r="G1364">
        <v>0.31</v>
      </c>
      <c r="H1364">
        <v>3</v>
      </c>
      <c r="I1364">
        <v>0.2180136749312929</v>
      </c>
      <c r="J1364">
        <v>3</v>
      </c>
      <c r="K1364">
        <v>2</v>
      </c>
      <c r="L1364" s="2">
        <v>4</v>
      </c>
      <c r="M1364">
        <v>17.34</v>
      </c>
      <c r="N1364" t="s">
        <v>10235</v>
      </c>
    </row>
    <row r="1365" spans="1:14">
      <c r="A1365" t="s">
        <v>30</v>
      </c>
      <c r="B1365" t="s">
        <v>1545</v>
      </c>
      <c r="C1365">
        <f>"101150"</f>
        <v>0</v>
      </c>
      <c r="D1365">
        <v>40</v>
      </c>
      <c r="E1365">
        <v>7</v>
      </c>
      <c r="F1365" s="2">
        <v>1</v>
      </c>
      <c r="G1365">
        <v>0.7</v>
      </c>
      <c r="H1365">
        <v>4</v>
      </c>
      <c r="I1365">
        <v>0.2174554042155356</v>
      </c>
      <c r="J1365">
        <v>10</v>
      </c>
      <c r="K1365">
        <v>3</v>
      </c>
      <c r="L1365" s="2">
        <v>3</v>
      </c>
      <c r="M1365">
        <v>17.36</v>
      </c>
      <c r="N1365" t="s">
        <v>10235</v>
      </c>
    </row>
    <row r="1366" spans="1:14">
      <c r="A1366" t="s">
        <v>193</v>
      </c>
      <c r="B1366" t="s">
        <v>1546</v>
      </c>
      <c r="C1366">
        <f>"300926"</f>
        <v>0</v>
      </c>
      <c r="D1366">
        <v>33</v>
      </c>
      <c r="E1366">
        <v>5</v>
      </c>
      <c r="F1366" s="2">
        <v>1</v>
      </c>
      <c r="G1366">
        <v>0.61</v>
      </c>
      <c r="H1366">
        <v>3</v>
      </c>
      <c r="I1366">
        <v>0.2173809743134937</v>
      </c>
      <c r="J1366">
        <v>8</v>
      </c>
      <c r="K1366">
        <v>3</v>
      </c>
      <c r="L1366" s="2">
        <v>3</v>
      </c>
      <c r="M1366">
        <v>17.37</v>
      </c>
      <c r="N1366" t="s">
        <v>10235</v>
      </c>
    </row>
    <row r="1367" spans="1:14">
      <c r="A1367" t="s">
        <v>208</v>
      </c>
      <c r="B1367" t="s">
        <v>1547</v>
      </c>
      <c r="C1367">
        <f>"5007632"</f>
        <v>0</v>
      </c>
      <c r="D1367">
        <v>56</v>
      </c>
      <c r="E1367">
        <v>30</v>
      </c>
      <c r="F1367" s="2">
        <v>13</v>
      </c>
      <c r="G1367">
        <v>2.14</v>
      </c>
      <c r="H1367">
        <v>4</v>
      </c>
      <c r="I1367">
        <v>0.2173470588233918</v>
      </c>
      <c r="J1367">
        <v>14</v>
      </c>
      <c r="K1367">
        <v>0</v>
      </c>
      <c r="L1367" s="2">
        <v>0</v>
      </c>
      <c r="M1367">
        <v>17.38</v>
      </c>
      <c r="N1367" t="s">
        <v>10235</v>
      </c>
    </row>
    <row r="1368" spans="1:14">
      <c r="A1368" t="s">
        <v>35</v>
      </c>
      <c r="B1368" t="s">
        <v>1548</v>
      </c>
      <c r="C1368">
        <f>"JWZ1010L"</f>
        <v>0</v>
      </c>
      <c r="D1368">
        <v>19</v>
      </c>
      <c r="E1368">
        <v>2</v>
      </c>
      <c r="F1368" s="2">
        <v>1</v>
      </c>
      <c r="G1368">
        <v>0.42</v>
      </c>
      <c r="H1368">
        <v>2</v>
      </c>
      <c r="I1368">
        <v>0.2168150697829019</v>
      </c>
      <c r="J1368">
        <v>5</v>
      </c>
      <c r="K1368">
        <v>3</v>
      </c>
      <c r="L1368" s="2">
        <v>3</v>
      </c>
      <c r="M1368">
        <v>17.39</v>
      </c>
      <c r="N1368" t="s">
        <v>10235</v>
      </c>
    </row>
    <row r="1369" spans="1:14">
      <c r="A1369" t="s">
        <v>192</v>
      </c>
      <c r="B1369" t="s">
        <v>1549</v>
      </c>
      <c r="C1369">
        <f>"890104"</f>
        <v>0</v>
      </c>
      <c r="D1369">
        <v>23</v>
      </c>
      <c r="E1369">
        <v>8</v>
      </c>
      <c r="F1369" s="2">
        <v>0</v>
      </c>
      <c r="G1369">
        <v>1.39</v>
      </c>
      <c r="H1369">
        <v>4</v>
      </c>
      <c r="I1369">
        <v>0.2162764416110063</v>
      </c>
      <c r="J1369">
        <v>6</v>
      </c>
      <c r="K1369">
        <v>0</v>
      </c>
      <c r="L1369" s="2">
        <v>0</v>
      </c>
      <c r="M1369">
        <v>17.4</v>
      </c>
      <c r="N1369" t="s">
        <v>10235</v>
      </c>
    </row>
    <row r="1370" spans="1:14">
      <c r="A1370" t="s">
        <v>35</v>
      </c>
      <c r="B1370" t="s">
        <v>1550</v>
      </c>
      <c r="C1370">
        <f>"HD25XXS"</f>
        <v>0</v>
      </c>
      <c r="D1370">
        <v>2</v>
      </c>
      <c r="E1370">
        <v>9</v>
      </c>
      <c r="F1370" s="2">
        <v>2</v>
      </c>
      <c r="G1370">
        <v>18</v>
      </c>
      <c r="H1370">
        <v>2</v>
      </c>
      <c r="I1370">
        <v>0.21618516372055</v>
      </c>
      <c r="J1370">
        <v>0</v>
      </c>
      <c r="K1370">
        <v>0</v>
      </c>
      <c r="L1370" s="2">
        <v>0</v>
      </c>
      <c r="M1370">
        <v>17.41</v>
      </c>
      <c r="N1370" t="s">
        <v>10236</v>
      </c>
    </row>
    <row r="1371" spans="1:14">
      <c r="A1371" t="s">
        <v>27</v>
      </c>
      <c r="B1371" t="s">
        <v>1551</v>
      </c>
      <c r="C1371">
        <f>"USD742"</f>
        <v>0</v>
      </c>
      <c r="D1371">
        <v>12</v>
      </c>
      <c r="E1371">
        <v>1</v>
      </c>
      <c r="F1371" s="2">
        <v>4</v>
      </c>
      <c r="G1371">
        <v>0.33</v>
      </c>
      <c r="H1371">
        <v>3</v>
      </c>
      <c r="I1371">
        <v>0.2160173379362388</v>
      </c>
      <c r="J1371">
        <v>3</v>
      </c>
      <c r="K1371">
        <v>2</v>
      </c>
      <c r="L1371" s="2">
        <v>8</v>
      </c>
      <c r="M1371">
        <v>17.42</v>
      </c>
      <c r="N1371" t="s">
        <v>10235</v>
      </c>
    </row>
    <row r="1372" spans="1:14">
      <c r="A1372" t="s">
        <v>203</v>
      </c>
      <c r="B1372" t="s">
        <v>1552</v>
      </c>
      <c r="C1372">
        <f>"756435"</f>
        <v>0</v>
      </c>
      <c r="D1372">
        <v>12</v>
      </c>
      <c r="E1372">
        <v>1</v>
      </c>
      <c r="F1372" s="2">
        <v>2</v>
      </c>
      <c r="G1372">
        <v>0.33</v>
      </c>
      <c r="H1372">
        <v>1</v>
      </c>
      <c r="I1372">
        <v>0.2160173379362388</v>
      </c>
      <c r="J1372">
        <v>3</v>
      </c>
      <c r="K1372">
        <v>2</v>
      </c>
      <c r="L1372" s="2">
        <v>4</v>
      </c>
      <c r="M1372">
        <v>17.44</v>
      </c>
      <c r="N1372" t="s">
        <v>10236</v>
      </c>
    </row>
    <row r="1373" spans="1:14">
      <c r="A1373" t="s">
        <v>30</v>
      </c>
      <c r="B1373" t="s">
        <v>1553</v>
      </c>
      <c r="C1373">
        <f>"100136"</f>
        <v>0</v>
      </c>
      <c r="D1373">
        <v>19</v>
      </c>
      <c r="E1373">
        <v>2</v>
      </c>
      <c r="F1373" s="2">
        <v>15</v>
      </c>
      <c r="G1373">
        <v>0.42</v>
      </c>
      <c r="H1373">
        <v>3</v>
      </c>
      <c r="I1373">
        <v>0.2157593902697179</v>
      </c>
      <c r="J1373">
        <v>5</v>
      </c>
      <c r="K1373">
        <v>3</v>
      </c>
      <c r="L1373" s="2">
        <v>45</v>
      </c>
      <c r="M1373">
        <v>17.45</v>
      </c>
      <c r="N1373" t="s">
        <v>10235</v>
      </c>
    </row>
    <row r="1374" spans="1:14">
      <c r="A1374" t="s">
        <v>36</v>
      </c>
      <c r="B1374" t="s">
        <v>1554</v>
      </c>
      <c r="C1374">
        <f>"1021864"</f>
        <v>0</v>
      </c>
      <c r="D1374">
        <v>58</v>
      </c>
      <c r="E1374">
        <v>20</v>
      </c>
      <c r="F1374" s="2">
        <v>7</v>
      </c>
      <c r="G1374">
        <v>1.38</v>
      </c>
      <c r="H1374">
        <v>3</v>
      </c>
      <c r="I1374">
        <v>0.2155411474933425</v>
      </c>
      <c r="J1374">
        <v>14</v>
      </c>
      <c r="K1374">
        <v>0</v>
      </c>
      <c r="L1374" s="2">
        <v>0</v>
      </c>
      <c r="M1374">
        <v>17.46</v>
      </c>
      <c r="N1374" t="s">
        <v>10235</v>
      </c>
    </row>
    <row r="1375" spans="1:14">
      <c r="A1375" t="s">
        <v>34</v>
      </c>
      <c r="B1375" t="s">
        <v>1555</v>
      </c>
      <c r="C1375">
        <f>"14000027"</f>
        <v>0</v>
      </c>
      <c r="D1375">
        <v>50</v>
      </c>
      <c r="E1375">
        <v>12</v>
      </c>
      <c r="F1375" s="2">
        <v>26</v>
      </c>
      <c r="G1375">
        <v>0.96</v>
      </c>
      <c r="H1375">
        <v>4</v>
      </c>
      <c r="I1375">
        <v>0.2138366995052573</v>
      </c>
      <c r="J1375">
        <v>12</v>
      </c>
      <c r="K1375">
        <v>0</v>
      </c>
      <c r="L1375" s="2">
        <v>0</v>
      </c>
      <c r="M1375">
        <v>17.47</v>
      </c>
      <c r="N1375" t="s">
        <v>10235</v>
      </c>
    </row>
    <row r="1376" spans="1:14">
      <c r="A1376" t="s">
        <v>29</v>
      </c>
      <c r="B1376" t="s">
        <v>1556</v>
      </c>
      <c r="C1376">
        <f>"RS200W"</f>
        <v>0</v>
      </c>
      <c r="D1376">
        <v>2</v>
      </c>
      <c r="E1376">
        <v>28</v>
      </c>
      <c r="F1376" s="2">
        <v>2</v>
      </c>
      <c r="G1376">
        <v>56</v>
      </c>
      <c r="H1376">
        <v>2</v>
      </c>
      <c r="I1376">
        <v>0.2137003767022957</v>
      </c>
      <c r="J1376">
        <v>0</v>
      </c>
      <c r="K1376">
        <v>0</v>
      </c>
      <c r="L1376" s="2">
        <v>0</v>
      </c>
      <c r="M1376">
        <v>17.48</v>
      </c>
      <c r="N1376" t="s">
        <v>10236</v>
      </c>
    </row>
    <row r="1377" spans="1:14">
      <c r="A1377" t="s">
        <v>35</v>
      </c>
      <c r="B1377" t="s">
        <v>1557</v>
      </c>
      <c r="C1377">
        <f>"ER006"</f>
        <v>0</v>
      </c>
      <c r="D1377">
        <v>4</v>
      </c>
      <c r="E1377">
        <v>2</v>
      </c>
      <c r="F1377" s="2">
        <v>4</v>
      </c>
      <c r="G1377">
        <v>2</v>
      </c>
      <c r="H1377">
        <v>3</v>
      </c>
      <c r="I1377">
        <v>0.2129991306866475</v>
      </c>
      <c r="J1377">
        <v>1</v>
      </c>
      <c r="K1377">
        <v>0</v>
      </c>
      <c r="L1377" s="2">
        <v>0</v>
      </c>
      <c r="M1377">
        <v>17.49</v>
      </c>
      <c r="N1377" t="s">
        <v>10236</v>
      </c>
    </row>
    <row r="1378" spans="1:14">
      <c r="A1378" t="s">
        <v>34</v>
      </c>
      <c r="B1378" t="s">
        <v>1558</v>
      </c>
      <c r="C1378">
        <f>"14000116"</f>
        <v>0</v>
      </c>
      <c r="D1378">
        <v>16</v>
      </c>
      <c r="E1378">
        <v>2</v>
      </c>
      <c r="F1378" s="2">
        <v>12</v>
      </c>
      <c r="G1378">
        <v>0.5</v>
      </c>
      <c r="H1378">
        <v>4</v>
      </c>
      <c r="I1378">
        <v>0.2127744385434278</v>
      </c>
      <c r="J1378">
        <v>4</v>
      </c>
      <c r="K1378">
        <v>2</v>
      </c>
      <c r="L1378" s="2">
        <v>24</v>
      </c>
      <c r="M1378">
        <v>17.5</v>
      </c>
      <c r="N1378" t="s">
        <v>10235</v>
      </c>
    </row>
    <row r="1379" spans="1:14">
      <c r="A1379" t="s">
        <v>27</v>
      </c>
      <c r="B1379" t="s">
        <v>1559</v>
      </c>
      <c r="C1379">
        <f>"USD615"</f>
        <v>0</v>
      </c>
      <c r="D1379">
        <v>17</v>
      </c>
      <c r="E1379">
        <v>2</v>
      </c>
      <c r="F1379" s="2">
        <v>1</v>
      </c>
      <c r="G1379">
        <v>0.47</v>
      </c>
      <c r="H1379">
        <v>2</v>
      </c>
      <c r="I1379">
        <v>0.2127260214164866</v>
      </c>
      <c r="J1379">
        <v>4</v>
      </c>
      <c r="K1379">
        <v>2</v>
      </c>
      <c r="L1379" s="2">
        <v>2</v>
      </c>
      <c r="M1379">
        <v>17.51</v>
      </c>
      <c r="N1379" t="s">
        <v>10235</v>
      </c>
    </row>
    <row r="1380" spans="1:14">
      <c r="A1380" t="s">
        <v>30</v>
      </c>
      <c r="B1380" t="s">
        <v>1560</v>
      </c>
      <c r="C1380">
        <f>"101263"</f>
        <v>0</v>
      </c>
      <c r="D1380">
        <v>9</v>
      </c>
      <c r="E1380">
        <v>1</v>
      </c>
      <c r="F1380" s="2">
        <v>44</v>
      </c>
      <c r="G1380">
        <v>0.44</v>
      </c>
      <c r="H1380">
        <v>3</v>
      </c>
      <c r="I1380">
        <v>0.2126410347768506</v>
      </c>
      <c r="J1380">
        <v>2</v>
      </c>
      <c r="K1380">
        <v>1</v>
      </c>
      <c r="L1380" s="2">
        <v>44</v>
      </c>
      <c r="M1380">
        <v>17.53</v>
      </c>
      <c r="N1380" t="s">
        <v>10235</v>
      </c>
    </row>
    <row r="1381" spans="1:14">
      <c r="A1381" t="s">
        <v>35</v>
      </c>
      <c r="B1381" t="s">
        <v>1561</v>
      </c>
      <c r="C1381">
        <f>"SL2138"</f>
        <v>0</v>
      </c>
      <c r="D1381">
        <v>5</v>
      </c>
      <c r="E1381">
        <v>11</v>
      </c>
      <c r="F1381" s="2">
        <v>1</v>
      </c>
      <c r="G1381">
        <v>8.800000000000001</v>
      </c>
      <c r="H1381">
        <v>3</v>
      </c>
      <c r="I1381">
        <v>0.2124710228918052</v>
      </c>
      <c r="J1381">
        <v>1</v>
      </c>
      <c r="K1381">
        <v>0</v>
      </c>
      <c r="L1381" s="2">
        <v>0</v>
      </c>
      <c r="M1381">
        <v>17.54</v>
      </c>
      <c r="N1381" t="s">
        <v>10235</v>
      </c>
    </row>
    <row r="1382" spans="1:14">
      <c r="A1382" t="s">
        <v>35</v>
      </c>
      <c r="B1382" t="s">
        <v>1562</v>
      </c>
      <c r="C1382">
        <f>"1812CS"</f>
        <v>0</v>
      </c>
      <c r="D1382">
        <v>1</v>
      </c>
      <c r="E1382">
        <v>10</v>
      </c>
      <c r="F1382" s="2">
        <v>2</v>
      </c>
      <c r="G1382">
        <v>40</v>
      </c>
      <c r="H1382">
        <v>1</v>
      </c>
      <c r="I1382">
        <v>0.2124536366269564</v>
      </c>
      <c r="J1382">
        <v>0</v>
      </c>
      <c r="K1382">
        <v>0</v>
      </c>
      <c r="L1382" s="2">
        <v>0</v>
      </c>
      <c r="M1382">
        <v>17.55</v>
      </c>
      <c r="N1382" t="s">
        <v>10236</v>
      </c>
    </row>
    <row r="1383" spans="1:14">
      <c r="A1383" t="s">
        <v>24</v>
      </c>
      <c r="B1383" t="s">
        <v>1563</v>
      </c>
      <c r="C1383">
        <f>"1135801"</f>
        <v>0</v>
      </c>
      <c r="D1383">
        <v>10</v>
      </c>
      <c r="E1383">
        <v>1</v>
      </c>
      <c r="F1383" s="2">
        <v>6</v>
      </c>
      <c r="G1383">
        <v>0.4</v>
      </c>
      <c r="H1383">
        <v>4</v>
      </c>
      <c r="I1383">
        <v>0.2124218631979525</v>
      </c>
      <c r="J1383">
        <v>2</v>
      </c>
      <c r="K1383">
        <v>1</v>
      </c>
      <c r="L1383" s="2">
        <v>6</v>
      </c>
      <c r="M1383">
        <v>17.56</v>
      </c>
      <c r="N1383" t="s">
        <v>10235</v>
      </c>
    </row>
    <row r="1384" spans="1:14">
      <c r="A1384" t="s">
        <v>38</v>
      </c>
      <c r="B1384" t="s">
        <v>1564</v>
      </c>
      <c r="C1384">
        <f>"1002512"</f>
        <v>0</v>
      </c>
      <c r="D1384">
        <v>30</v>
      </c>
      <c r="E1384">
        <v>5</v>
      </c>
      <c r="F1384" s="2">
        <v>4</v>
      </c>
      <c r="G1384">
        <v>0.67</v>
      </c>
      <c r="H1384">
        <v>3</v>
      </c>
      <c r="I1384">
        <v>0.2122078141433663</v>
      </c>
      <c r="J1384">
        <v>8</v>
      </c>
      <c r="K1384">
        <v>3</v>
      </c>
      <c r="L1384" s="2">
        <v>12</v>
      </c>
      <c r="M1384">
        <v>17.57</v>
      </c>
      <c r="N1384" t="s">
        <v>10235</v>
      </c>
    </row>
    <row r="1385" spans="1:14">
      <c r="A1385" t="s">
        <v>32</v>
      </c>
      <c r="B1385" t="s">
        <v>1565</v>
      </c>
      <c r="C1385">
        <f>"HCH054"</f>
        <v>0</v>
      </c>
      <c r="D1385">
        <v>26</v>
      </c>
      <c r="E1385">
        <v>4</v>
      </c>
      <c r="F1385" s="2">
        <v>19</v>
      </c>
      <c r="G1385">
        <v>0.62</v>
      </c>
      <c r="H1385">
        <v>2</v>
      </c>
      <c r="I1385">
        <v>0.2119147738477653</v>
      </c>
      <c r="J1385">
        <v>6</v>
      </c>
      <c r="K1385">
        <v>2</v>
      </c>
      <c r="L1385" s="2">
        <v>38</v>
      </c>
      <c r="M1385">
        <v>17.58</v>
      </c>
      <c r="N1385" t="s">
        <v>10235</v>
      </c>
    </row>
    <row r="1386" spans="1:14">
      <c r="A1386" t="s">
        <v>34</v>
      </c>
      <c r="B1386" t="s">
        <v>1566</v>
      </c>
      <c r="C1386">
        <f>"14000148"</f>
        <v>0</v>
      </c>
      <c r="D1386">
        <v>32</v>
      </c>
      <c r="E1386">
        <v>6</v>
      </c>
      <c r="F1386" s="2">
        <v>36</v>
      </c>
      <c r="G1386">
        <v>0.75</v>
      </c>
      <c r="H1386">
        <v>4</v>
      </c>
      <c r="I1386">
        <v>0.2115787706335729</v>
      </c>
      <c r="J1386">
        <v>8</v>
      </c>
      <c r="K1386">
        <v>2</v>
      </c>
      <c r="L1386" s="2">
        <v>72</v>
      </c>
      <c r="M1386">
        <v>17.59</v>
      </c>
      <c r="N1386" t="s">
        <v>10235</v>
      </c>
    </row>
    <row r="1387" spans="1:14">
      <c r="A1387" t="s">
        <v>35</v>
      </c>
      <c r="B1387" t="s">
        <v>1567</v>
      </c>
      <c r="C1387">
        <f>"YXCL"</f>
        <v>0</v>
      </c>
      <c r="D1387">
        <v>1</v>
      </c>
      <c r="E1387">
        <v>6</v>
      </c>
      <c r="F1387" s="2">
        <v>5</v>
      </c>
      <c r="G1387">
        <v>24</v>
      </c>
      <c r="H1387">
        <v>1</v>
      </c>
      <c r="I1387">
        <v>0.2115662126918656</v>
      </c>
      <c r="J1387">
        <v>0</v>
      </c>
      <c r="K1387">
        <v>0</v>
      </c>
      <c r="L1387" s="2">
        <v>0</v>
      </c>
      <c r="M1387">
        <v>17.6</v>
      </c>
      <c r="N1387" t="s">
        <v>10236</v>
      </c>
    </row>
    <row r="1388" spans="1:14">
      <c r="A1388" t="s">
        <v>38</v>
      </c>
      <c r="B1388" t="s">
        <v>1568</v>
      </c>
      <c r="C1388">
        <f>"BJRF13"</f>
        <v>0</v>
      </c>
      <c r="D1388">
        <v>10</v>
      </c>
      <c r="E1388">
        <v>1</v>
      </c>
      <c r="F1388" s="2">
        <v>49</v>
      </c>
      <c r="G1388">
        <v>0.4</v>
      </c>
      <c r="H1388">
        <v>3</v>
      </c>
      <c r="I1388">
        <v>0.2112554331776691</v>
      </c>
      <c r="J1388">
        <v>2</v>
      </c>
      <c r="K1388">
        <v>1</v>
      </c>
      <c r="L1388" s="2">
        <v>49</v>
      </c>
      <c r="M1388">
        <v>17.62</v>
      </c>
      <c r="N1388" t="s">
        <v>10235</v>
      </c>
    </row>
    <row r="1389" spans="1:14">
      <c r="A1389" t="s">
        <v>192</v>
      </c>
      <c r="B1389" t="s">
        <v>1569</v>
      </c>
      <c r="C1389">
        <f>"YJ002"</f>
        <v>0</v>
      </c>
      <c r="D1389">
        <v>2</v>
      </c>
      <c r="E1389">
        <v>1</v>
      </c>
      <c r="F1389" s="2">
        <v>801</v>
      </c>
      <c r="G1389">
        <v>2</v>
      </c>
      <c r="H1389">
        <v>2</v>
      </c>
      <c r="I1389">
        <v>0.2110381048970233</v>
      </c>
      <c r="J1389">
        <v>0</v>
      </c>
      <c r="K1389">
        <v>0</v>
      </c>
      <c r="L1389" s="2">
        <v>0</v>
      </c>
      <c r="M1389">
        <v>17.63</v>
      </c>
      <c r="N1389" t="s">
        <v>10236</v>
      </c>
    </row>
    <row r="1390" spans="1:14">
      <c r="A1390" t="s">
        <v>36</v>
      </c>
      <c r="B1390" t="s">
        <v>1570</v>
      </c>
      <c r="C1390">
        <f>"1019478"</f>
        <v>0</v>
      </c>
      <c r="D1390">
        <v>55</v>
      </c>
      <c r="E1390">
        <v>26</v>
      </c>
      <c r="F1390" s="2">
        <v>24</v>
      </c>
      <c r="G1390">
        <v>1.89</v>
      </c>
      <c r="H1390">
        <v>4</v>
      </c>
      <c r="I1390">
        <v>0.21087800637483</v>
      </c>
      <c r="J1390">
        <v>14</v>
      </c>
      <c r="K1390">
        <v>0</v>
      </c>
      <c r="L1390" s="2">
        <v>0</v>
      </c>
      <c r="M1390">
        <v>17.64</v>
      </c>
      <c r="N1390" t="s">
        <v>10235</v>
      </c>
    </row>
    <row r="1391" spans="1:14">
      <c r="A1391" t="s">
        <v>38</v>
      </c>
      <c r="B1391" t="s">
        <v>1571</v>
      </c>
      <c r="C1391">
        <f>"1003762"</f>
        <v>0</v>
      </c>
      <c r="D1391">
        <v>21</v>
      </c>
      <c r="E1391">
        <v>3</v>
      </c>
      <c r="F1391" s="2">
        <v>4</v>
      </c>
      <c r="G1391">
        <v>0.57</v>
      </c>
      <c r="H1391">
        <v>3</v>
      </c>
      <c r="I1391">
        <v>0.2105411474719454</v>
      </c>
      <c r="J1391">
        <v>5</v>
      </c>
      <c r="K1391">
        <v>2</v>
      </c>
      <c r="L1391" s="2">
        <v>8</v>
      </c>
      <c r="M1391">
        <v>17.65</v>
      </c>
      <c r="N1391" t="s">
        <v>10235</v>
      </c>
    </row>
    <row r="1392" spans="1:14">
      <c r="A1392" t="s">
        <v>34</v>
      </c>
      <c r="B1392" t="s">
        <v>1572</v>
      </c>
      <c r="C1392">
        <f>"14000097"</f>
        <v>0</v>
      </c>
      <c r="D1392">
        <v>38</v>
      </c>
      <c r="E1392">
        <v>8</v>
      </c>
      <c r="F1392" s="2">
        <v>12</v>
      </c>
      <c r="G1392">
        <v>0.84</v>
      </c>
      <c r="H1392">
        <v>4</v>
      </c>
      <c r="I1392">
        <v>0.2105228373846543</v>
      </c>
      <c r="J1392">
        <v>10</v>
      </c>
      <c r="K1392">
        <v>2</v>
      </c>
      <c r="L1392" s="2">
        <v>24</v>
      </c>
      <c r="M1392">
        <v>17.66</v>
      </c>
      <c r="N1392" t="s">
        <v>10235</v>
      </c>
    </row>
    <row r="1393" spans="1:14">
      <c r="A1393" t="s">
        <v>34</v>
      </c>
      <c r="B1393" t="s">
        <v>1573</v>
      </c>
      <c r="C1393">
        <f>"14000155"</f>
        <v>0</v>
      </c>
      <c r="D1393">
        <v>26</v>
      </c>
      <c r="E1393">
        <v>5</v>
      </c>
      <c r="F1393" s="2">
        <v>38</v>
      </c>
      <c r="G1393">
        <v>0.77</v>
      </c>
      <c r="H1393">
        <v>4</v>
      </c>
      <c r="I1393">
        <v>0.210300610179374</v>
      </c>
      <c r="J1393">
        <v>6</v>
      </c>
      <c r="K1393">
        <v>1</v>
      </c>
      <c r="L1393" s="2">
        <v>38</v>
      </c>
      <c r="M1393">
        <v>17.67</v>
      </c>
      <c r="N1393" t="s">
        <v>10235</v>
      </c>
    </row>
    <row r="1394" spans="1:14">
      <c r="A1394" t="s">
        <v>30</v>
      </c>
      <c r="B1394" t="s">
        <v>1574</v>
      </c>
      <c r="C1394">
        <f>"101242"</f>
        <v>0</v>
      </c>
      <c r="D1394">
        <v>25</v>
      </c>
      <c r="E1394">
        <v>4</v>
      </c>
      <c r="F1394" s="2">
        <v>38</v>
      </c>
      <c r="G1394">
        <v>0.64</v>
      </c>
      <c r="H1394">
        <v>3</v>
      </c>
      <c r="I1394">
        <v>0.209969718903942</v>
      </c>
      <c r="J1394">
        <v>6</v>
      </c>
      <c r="K1394">
        <v>2</v>
      </c>
      <c r="L1394" s="2">
        <v>76</v>
      </c>
      <c r="M1394">
        <v>17.68</v>
      </c>
      <c r="N1394" t="s">
        <v>10235</v>
      </c>
    </row>
    <row r="1395" spans="1:14">
      <c r="A1395" t="s">
        <v>27</v>
      </c>
      <c r="B1395" t="s">
        <v>1575</v>
      </c>
      <c r="C1395">
        <f>"USA601"</f>
        <v>0</v>
      </c>
      <c r="D1395">
        <v>48</v>
      </c>
      <c r="E1395">
        <v>20</v>
      </c>
      <c r="F1395" s="2">
        <v>1</v>
      </c>
      <c r="G1395">
        <v>1.67</v>
      </c>
      <c r="H1395">
        <v>4</v>
      </c>
      <c r="I1395">
        <v>0.2093073674296009</v>
      </c>
      <c r="J1395">
        <v>12</v>
      </c>
      <c r="K1395">
        <v>0</v>
      </c>
      <c r="L1395" s="2">
        <v>0</v>
      </c>
      <c r="M1395">
        <v>17.69</v>
      </c>
      <c r="N1395" t="s">
        <v>10235</v>
      </c>
    </row>
    <row r="1396" spans="1:14">
      <c r="A1396" t="s">
        <v>31</v>
      </c>
      <c r="B1396" t="s">
        <v>1576</v>
      </c>
      <c r="C1396">
        <f>"1020300"</f>
        <v>0</v>
      </c>
      <c r="D1396">
        <v>20</v>
      </c>
      <c r="E1396">
        <v>3</v>
      </c>
      <c r="F1396" s="2">
        <v>6</v>
      </c>
      <c r="G1396">
        <v>0.6</v>
      </c>
      <c r="H1396">
        <v>4</v>
      </c>
      <c r="I1396">
        <v>0.2087411909390368</v>
      </c>
      <c r="J1396">
        <v>5</v>
      </c>
      <c r="K1396">
        <v>2</v>
      </c>
      <c r="L1396" s="2">
        <v>12</v>
      </c>
      <c r="M1396">
        <v>17.7</v>
      </c>
      <c r="N1396" t="s">
        <v>10235</v>
      </c>
    </row>
    <row r="1397" spans="1:14">
      <c r="A1397" t="s">
        <v>31</v>
      </c>
      <c r="B1397" t="s">
        <v>1577</v>
      </c>
      <c r="C1397">
        <f>"1602190159459"</f>
        <v>0</v>
      </c>
      <c r="D1397">
        <v>9</v>
      </c>
      <c r="E1397">
        <v>1</v>
      </c>
      <c r="F1397" s="2">
        <v>11</v>
      </c>
      <c r="G1397">
        <v>0.44</v>
      </c>
      <c r="H1397">
        <v>3</v>
      </c>
      <c r="I1397">
        <v>0.2086777994827349</v>
      </c>
      <c r="J1397">
        <v>2</v>
      </c>
      <c r="K1397">
        <v>1</v>
      </c>
      <c r="L1397" s="2">
        <v>11</v>
      </c>
      <c r="M1397">
        <v>17.72</v>
      </c>
      <c r="N1397" t="s">
        <v>10235</v>
      </c>
    </row>
    <row r="1398" spans="1:14">
      <c r="A1398" t="s">
        <v>37</v>
      </c>
      <c r="B1398" t="s">
        <v>1578</v>
      </c>
      <c r="C1398">
        <f>"576035"</f>
        <v>0</v>
      </c>
      <c r="D1398">
        <v>9</v>
      </c>
      <c r="E1398">
        <v>1</v>
      </c>
      <c r="F1398" s="2">
        <v>5</v>
      </c>
      <c r="G1398">
        <v>0.44</v>
      </c>
      <c r="H1398">
        <v>4</v>
      </c>
      <c r="I1398">
        <v>0.2086206493813151</v>
      </c>
      <c r="J1398">
        <v>2</v>
      </c>
      <c r="K1398">
        <v>1</v>
      </c>
      <c r="L1398" s="2">
        <v>5</v>
      </c>
      <c r="M1398">
        <v>17.73</v>
      </c>
      <c r="N1398" t="s">
        <v>10235</v>
      </c>
    </row>
    <row r="1399" spans="1:14">
      <c r="A1399" t="s">
        <v>27</v>
      </c>
      <c r="B1399" t="s">
        <v>1579</v>
      </c>
      <c r="C1399">
        <f>"USD905"</f>
        <v>0</v>
      </c>
      <c r="D1399">
        <v>47</v>
      </c>
      <c r="E1399">
        <v>12</v>
      </c>
      <c r="F1399" s="2">
        <v>1</v>
      </c>
      <c r="G1399">
        <v>1.02</v>
      </c>
      <c r="H1399">
        <v>4</v>
      </c>
      <c r="I1399">
        <v>0.2083218849607523</v>
      </c>
      <c r="J1399">
        <v>12</v>
      </c>
      <c r="K1399">
        <v>0</v>
      </c>
      <c r="L1399" s="2">
        <v>0</v>
      </c>
      <c r="M1399">
        <v>17.74</v>
      </c>
      <c r="N1399" t="s">
        <v>10235</v>
      </c>
    </row>
    <row r="1400" spans="1:14">
      <c r="A1400" t="s">
        <v>35</v>
      </c>
      <c r="B1400" t="s">
        <v>1580</v>
      </c>
      <c r="C1400">
        <f>"BRI131"</f>
        <v>0</v>
      </c>
      <c r="D1400">
        <v>9</v>
      </c>
      <c r="E1400">
        <v>1</v>
      </c>
      <c r="F1400" s="2">
        <v>2</v>
      </c>
      <c r="G1400">
        <v>0.44</v>
      </c>
      <c r="H1400">
        <v>2</v>
      </c>
      <c r="I1400">
        <v>0.2083189252433842</v>
      </c>
      <c r="J1400">
        <v>2</v>
      </c>
      <c r="K1400">
        <v>1</v>
      </c>
      <c r="L1400" s="2">
        <v>2</v>
      </c>
      <c r="M1400">
        <v>17.75</v>
      </c>
      <c r="N1400" t="s">
        <v>10235</v>
      </c>
    </row>
    <row r="1401" spans="1:14">
      <c r="A1401" t="s">
        <v>24</v>
      </c>
      <c r="B1401" t="s">
        <v>1581</v>
      </c>
      <c r="C1401">
        <f>"1110931"</f>
        <v>0</v>
      </c>
      <c r="D1401">
        <v>9</v>
      </c>
      <c r="E1401">
        <v>1</v>
      </c>
      <c r="F1401" s="2">
        <v>7</v>
      </c>
      <c r="G1401">
        <v>0.44</v>
      </c>
      <c r="H1401">
        <v>3</v>
      </c>
      <c r="I1401">
        <v>0.2083189252433842</v>
      </c>
      <c r="J1401">
        <v>2</v>
      </c>
      <c r="K1401">
        <v>1</v>
      </c>
      <c r="L1401" s="2">
        <v>7</v>
      </c>
      <c r="M1401">
        <v>17.76</v>
      </c>
      <c r="N1401" t="s">
        <v>10235</v>
      </c>
    </row>
    <row r="1402" spans="1:14">
      <c r="A1402" t="s">
        <v>202</v>
      </c>
      <c r="B1402" t="s">
        <v>1582</v>
      </c>
      <c r="C1402">
        <f>"21001001"</f>
        <v>0</v>
      </c>
      <c r="D1402">
        <v>47</v>
      </c>
      <c r="E1402">
        <v>41</v>
      </c>
      <c r="F1402" s="2">
        <v>2</v>
      </c>
      <c r="G1402">
        <v>3.49</v>
      </c>
      <c r="H1402">
        <v>3</v>
      </c>
      <c r="I1402">
        <v>0.2082571030134907</v>
      </c>
      <c r="J1402">
        <v>12</v>
      </c>
      <c r="K1402">
        <v>0</v>
      </c>
      <c r="L1402" s="2">
        <v>0</v>
      </c>
      <c r="M1402">
        <v>17.77</v>
      </c>
      <c r="N1402" t="s">
        <v>10235</v>
      </c>
    </row>
    <row r="1403" spans="1:14">
      <c r="A1403" t="s">
        <v>25</v>
      </c>
      <c r="B1403" t="s">
        <v>1583</v>
      </c>
      <c r="C1403">
        <f>"LF013"</f>
        <v>0</v>
      </c>
      <c r="D1403">
        <v>1</v>
      </c>
      <c r="E1403">
        <v>11</v>
      </c>
      <c r="F1403" s="2">
        <v>4</v>
      </c>
      <c r="G1403">
        <v>44</v>
      </c>
      <c r="H1403">
        <v>1</v>
      </c>
      <c r="I1403">
        <v>0.2081940017385204</v>
      </c>
      <c r="J1403">
        <v>0</v>
      </c>
      <c r="K1403">
        <v>0</v>
      </c>
      <c r="L1403" s="2">
        <v>0</v>
      </c>
      <c r="M1403">
        <v>17.78</v>
      </c>
      <c r="N1403" t="s">
        <v>10236</v>
      </c>
    </row>
    <row r="1404" spans="1:14">
      <c r="A1404" t="s">
        <v>39</v>
      </c>
      <c r="B1404" t="s">
        <v>1584</v>
      </c>
      <c r="C1404">
        <f>"VALIM09004"</f>
        <v>0</v>
      </c>
      <c r="D1404">
        <v>15</v>
      </c>
      <c r="E1404">
        <v>2</v>
      </c>
      <c r="F1404" s="2">
        <v>0</v>
      </c>
      <c r="G1404">
        <v>0.53</v>
      </c>
      <c r="H1404">
        <v>2</v>
      </c>
      <c r="I1404">
        <v>0.2081601950890934</v>
      </c>
      <c r="J1404">
        <v>4</v>
      </c>
      <c r="K1404">
        <v>2</v>
      </c>
      <c r="L1404" s="2">
        <v>0</v>
      </c>
      <c r="M1404">
        <v>17.79</v>
      </c>
      <c r="N1404" t="s">
        <v>10235</v>
      </c>
    </row>
    <row r="1405" spans="1:14">
      <c r="A1405" t="s">
        <v>31</v>
      </c>
      <c r="B1405" t="s">
        <v>1585</v>
      </c>
      <c r="C1405">
        <f>"1020890"</f>
        <v>0</v>
      </c>
      <c r="D1405">
        <v>33</v>
      </c>
      <c r="E1405">
        <v>7</v>
      </c>
      <c r="F1405" s="2">
        <v>11</v>
      </c>
      <c r="G1405">
        <v>0.85</v>
      </c>
      <c r="H1405">
        <v>4</v>
      </c>
      <c r="I1405">
        <v>0.2077205887764096</v>
      </c>
      <c r="J1405">
        <v>8</v>
      </c>
      <c r="K1405">
        <v>1</v>
      </c>
      <c r="L1405" s="2">
        <v>11</v>
      </c>
      <c r="M1405">
        <v>17.8</v>
      </c>
      <c r="N1405" t="s">
        <v>10235</v>
      </c>
    </row>
    <row r="1406" spans="1:14">
      <c r="A1406" t="s">
        <v>35</v>
      </c>
      <c r="B1406" t="s">
        <v>1586</v>
      </c>
      <c r="C1406">
        <f>"TQ25C"</f>
        <v>0</v>
      </c>
      <c r="D1406">
        <v>2</v>
      </c>
      <c r="E1406">
        <v>0</v>
      </c>
      <c r="F1406" s="2">
        <v>0</v>
      </c>
      <c r="G1406">
        <v>0</v>
      </c>
      <c r="H1406">
        <v>2</v>
      </c>
      <c r="I1406">
        <v>0.2076151839545554</v>
      </c>
      <c r="J1406">
        <v>0</v>
      </c>
      <c r="K1406">
        <v>0</v>
      </c>
      <c r="L1406" s="2">
        <v>0</v>
      </c>
      <c r="M1406">
        <v>17.82</v>
      </c>
      <c r="N1406" t="s">
        <v>10236</v>
      </c>
    </row>
    <row r="1407" spans="1:14">
      <c r="A1407" t="s">
        <v>30</v>
      </c>
      <c r="B1407" t="s">
        <v>1587</v>
      </c>
      <c r="C1407">
        <f>"100458"</f>
        <v>0</v>
      </c>
      <c r="D1407">
        <v>8</v>
      </c>
      <c r="E1407">
        <v>1</v>
      </c>
      <c r="F1407" s="2">
        <v>21</v>
      </c>
      <c r="G1407">
        <v>0.5</v>
      </c>
      <c r="H1407">
        <v>2</v>
      </c>
      <c r="I1407">
        <v>0.2069474499893924</v>
      </c>
      <c r="J1407">
        <v>2</v>
      </c>
      <c r="K1407">
        <v>1</v>
      </c>
      <c r="L1407" s="2">
        <v>21</v>
      </c>
      <c r="M1407">
        <v>17.83</v>
      </c>
      <c r="N1407" t="s">
        <v>10235</v>
      </c>
    </row>
    <row r="1408" spans="1:14">
      <c r="A1408" t="s">
        <v>193</v>
      </c>
      <c r="B1408" t="s">
        <v>1588</v>
      </c>
      <c r="C1408">
        <f>"826006"</f>
        <v>0</v>
      </c>
      <c r="D1408">
        <v>4</v>
      </c>
      <c r="E1408">
        <v>1</v>
      </c>
      <c r="F1408" s="2">
        <v>3</v>
      </c>
      <c r="G1408">
        <v>1</v>
      </c>
      <c r="H1408">
        <v>3</v>
      </c>
      <c r="I1408">
        <v>0.2067871631410117</v>
      </c>
      <c r="J1408">
        <v>1</v>
      </c>
      <c r="K1408">
        <v>0</v>
      </c>
      <c r="L1408" s="2">
        <v>0</v>
      </c>
      <c r="M1408">
        <v>17.84</v>
      </c>
      <c r="N1408" t="s">
        <v>10236</v>
      </c>
    </row>
    <row r="1409" spans="1:14">
      <c r="A1409" t="s">
        <v>30</v>
      </c>
      <c r="B1409" t="s">
        <v>1589</v>
      </c>
      <c r="C1409">
        <f>"101199"</f>
        <v>0</v>
      </c>
      <c r="D1409">
        <v>5</v>
      </c>
      <c r="E1409">
        <v>0</v>
      </c>
      <c r="F1409" s="2">
        <v>0</v>
      </c>
      <c r="G1409">
        <v>0</v>
      </c>
      <c r="H1409">
        <v>2</v>
      </c>
      <c r="I1409">
        <v>0.2067407997181012</v>
      </c>
      <c r="J1409">
        <v>1</v>
      </c>
      <c r="K1409">
        <v>1</v>
      </c>
      <c r="L1409" s="2">
        <v>0</v>
      </c>
      <c r="M1409">
        <v>17.85</v>
      </c>
      <c r="N1409" t="s">
        <v>10235</v>
      </c>
    </row>
    <row r="1410" spans="1:14">
      <c r="A1410" t="s">
        <v>34</v>
      </c>
      <c r="B1410" t="s">
        <v>1590</v>
      </c>
      <c r="C1410">
        <f>"14000139"</f>
        <v>0</v>
      </c>
      <c r="D1410">
        <v>18</v>
      </c>
      <c r="E1410">
        <v>3</v>
      </c>
      <c r="F1410" s="2">
        <v>29</v>
      </c>
      <c r="G1410">
        <v>0.67</v>
      </c>
      <c r="H1410">
        <v>4</v>
      </c>
      <c r="I1410">
        <v>0.2062155944968959</v>
      </c>
      <c r="J1410">
        <v>4</v>
      </c>
      <c r="K1410">
        <v>1</v>
      </c>
      <c r="L1410" s="2">
        <v>29</v>
      </c>
      <c r="M1410">
        <v>17.86</v>
      </c>
      <c r="N1410" t="s">
        <v>10235</v>
      </c>
    </row>
    <row r="1411" spans="1:14">
      <c r="A1411" t="s">
        <v>35</v>
      </c>
      <c r="B1411" t="s">
        <v>1591</v>
      </c>
      <c r="C1411">
        <f>"MSPB04CE"</f>
        <v>0</v>
      </c>
      <c r="D1411">
        <v>8</v>
      </c>
      <c r="E1411">
        <v>1</v>
      </c>
      <c r="F1411" s="2">
        <v>3</v>
      </c>
      <c r="G1411">
        <v>0.5</v>
      </c>
      <c r="H1411">
        <v>3</v>
      </c>
      <c r="I1411">
        <v>0.2056180889346263</v>
      </c>
      <c r="J1411">
        <v>2</v>
      </c>
      <c r="K1411">
        <v>1</v>
      </c>
      <c r="L1411" s="2">
        <v>3</v>
      </c>
      <c r="M1411">
        <v>17.87</v>
      </c>
      <c r="N1411" t="s">
        <v>10235</v>
      </c>
    </row>
    <row r="1412" spans="1:14">
      <c r="A1412" t="s">
        <v>32</v>
      </c>
      <c r="B1412" t="s">
        <v>292</v>
      </c>
      <c r="C1412">
        <f>"1022556"</f>
        <v>0</v>
      </c>
      <c r="D1412">
        <v>8</v>
      </c>
      <c r="E1412">
        <v>1</v>
      </c>
      <c r="F1412" s="2">
        <v>22</v>
      </c>
      <c r="G1412">
        <v>0.5</v>
      </c>
      <c r="H1412">
        <v>4</v>
      </c>
      <c r="I1412">
        <v>0.2053403252429429</v>
      </c>
      <c r="J1412">
        <v>2</v>
      </c>
      <c r="K1412">
        <v>1</v>
      </c>
      <c r="L1412" s="2">
        <v>22</v>
      </c>
      <c r="M1412">
        <v>17.88</v>
      </c>
      <c r="N1412" t="s">
        <v>10235</v>
      </c>
    </row>
    <row r="1413" spans="1:14">
      <c r="A1413" t="s">
        <v>35</v>
      </c>
      <c r="B1413" t="s">
        <v>1592</v>
      </c>
      <c r="C1413">
        <f>"J10"</f>
        <v>0</v>
      </c>
      <c r="D1413">
        <v>8</v>
      </c>
      <c r="E1413">
        <v>1</v>
      </c>
      <c r="F1413" s="2">
        <v>990</v>
      </c>
      <c r="G1413">
        <v>0.5</v>
      </c>
      <c r="H1413">
        <v>3</v>
      </c>
      <c r="I1413">
        <v>0.2048268617540993</v>
      </c>
      <c r="J1413">
        <v>2</v>
      </c>
      <c r="K1413">
        <v>1</v>
      </c>
      <c r="L1413" s="2">
        <v>990</v>
      </c>
      <c r="M1413">
        <v>17.89</v>
      </c>
      <c r="N1413" t="s">
        <v>10235</v>
      </c>
    </row>
    <row r="1414" spans="1:14">
      <c r="A1414" t="s">
        <v>32</v>
      </c>
      <c r="B1414" t="s">
        <v>1593</v>
      </c>
      <c r="C1414">
        <f>"1019487"</f>
        <v>0</v>
      </c>
      <c r="D1414">
        <v>40</v>
      </c>
      <c r="E1414">
        <v>11</v>
      </c>
      <c r="F1414" s="2">
        <v>13</v>
      </c>
      <c r="G1414">
        <v>1.1</v>
      </c>
      <c r="H1414">
        <v>4</v>
      </c>
      <c r="I1414">
        <v>0.2047593342508184</v>
      </c>
      <c r="J1414">
        <v>10</v>
      </c>
      <c r="K1414">
        <v>0</v>
      </c>
      <c r="L1414" s="2">
        <v>0</v>
      </c>
      <c r="M1414">
        <v>17.9</v>
      </c>
      <c r="N1414" t="s">
        <v>10235</v>
      </c>
    </row>
    <row r="1415" spans="1:14">
      <c r="A1415" t="s">
        <v>35</v>
      </c>
      <c r="B1415" t="s">
        <v>1594</v>
      </c>
      <c r="C1415">
        <f>"IC1108"</f>
        <v>0</v>
      </c>
      <c r="D1415">
        <v>41</v>
      </c>
      <c r="E1415">
        <v>12</v>
      </c>
      <c r="F1415" s="2">
        <v>2</v>
      </c>
      <c r="G1415">
        <v>1.17</v>
      </c>
      <c r="H1415">
        <v>4</v>
      </c>
      <c r="I1415">
        <v>0.2040393654012095</v>
      </c>
      <c r="J1415">
        <v>10</v>
      </c>
      <c r="K1415">
        <v>0</v>
      </c>
      <c r="L1415" s="2">
        <v>0</v>
      </c>
      <c r="M1415">
        <v>17.91</v>
      </c>
      <c r="N1415" t="s">
        <v>10235</v>
      </c>
    </row>
    <row r="1416" spans="1:14">
      <c r="A1416" t="s">
        <v>35</v>
      </c>
      <c r="B1416" t="s">
        <v>1595</v>
      </c>
      <c r="C1416">
        <f>"TQ71ROS"</f>
        <v>0</v>
      </c>
      <c r="D1416">
        <v>13</v>
      </c>
      <c r="E1416">
        <v>2</v>
      </c>
      <c r="F1416" s="2">
        <v>351</v>
      </c>
      <c r="G1416">
        <v>0.62</v>
      </c>
      <c r="H1416">
        <v>4</v>
      </c>
      <c r="I1416">
        <v>0.2028242928277821</v>
      </c>
      <c r="J1416">
        <v>3</v>
      </c>
      <c r="K1416">
        <v>1</v>
      </c>
      <c r="L1416" s="2">
        <v>351</v>
      </c>
      <c r="M1416">
        <v>17.92</v>
      </c>
      <c r="N1416" t="s">
        <v>10235</v>
      </c>
    </row>
    <row r="1417" spans="1:14">
      <c r="A1417" t="s">
        <v>29</v>
      </c>
      <c r="B1417" t="s">
        <v>1596</v>
      </c>
      <c r="C1417">
        <f>"PTB"</f>
        <v>0</v>
      </c>
      <c r="D1417">
        <v>40</v>
      </c>
      <c r="E1417">
        <v>60</v>
      </c>
      <c r="F1417" s="2">
        <v>1</v>
      </c>
      <c r="G1417">
        <v>6</v>
      </c>
      <c r="H1417">
        <v>2</v>
      </c>
      <c r="I1417">
        <v>0.202684004636215</v>
      </c>
      <c r="J1417">
        <v>10</v>
      </c>
      <c r="K1417">
        <v>0</v>
      </c>
      <c r="L1417" s="2">
        <v>0</v>
      </c>
      <c r="M1417">
        <v>17.93</v>
      </c>
      <c r="N1417" t="s">
        <v>10235</v>
      </c>
    </row>
    <row r="1418" spans="1:14">
      <c r="A1418" t="s">
        <v>32</v>
      </c>
      <c r="B1418" t="s">
        <v>1597</v>
      </c>
      <c r="C1418">
        <f>"HCH861"</f>
        <v>0</v>
      </c>
      <c r="D1418">
        <v>40</v>
      </c>
      <c r="E1418">
        <v>11</v>
      </c>
      <c r="F1418" s="2">
        <v>22</v>
      </c>
      <c r="G1418">
        <v>1.1</v>
      </c>
      <c r="H1418">
        <v>3</v>
      </c>
      <c r="I1418">
        <v>0.202684004636215</v>
      </c>
      <c r="J1418">
        <v>10</v>
      </c>
      <c r="K1418">
        <v>0</v>
      </c>
      <c r="L1418" s="2">
        <v>0</v>
      </c>
      <c r="M1418">
        <v>17.95</v>
      </c>
      <c r="N1418" t="s">
        <v>10235</v>
      </c>
    </row>
    <row r="1419" spans="1:14">
      <c r="A1419" t="s">
        <v>202</v>
      </c>
      <c r="B1419" t="s">
        <v>1598</v>
      </c>
      <c r="C1419">
        <f>"11001047"</f>
        <v>0</v>
      </c>
      <c r="D1419">
        <v>13</v>
      </c>
      <c r="E1419">
        <v>2</v>
      </c>
      <c r="F1419" s="2">
        <v>3</v>
      </c>
      <c r="G1419">
        <v>0.62</v>
      </c>
      <c r="H1419">
        <v>2</v>
      </c>
      <c r="I1419">
        <v>0.2026290595620621</v>
      </c>
      <c r="J1419">
        <v>3</v>
      </c>
      <c r="K1419">
        <v>1</v>
      </c>
      <c r="L1419" s="2">
        <v>3</v>
      </c>
      <c r="M1419">
        <v>17.96</v>
      </c>
      <c r="N1419" t="s">
        <v>10235</v>
      </c>
    </row>
    <row r="1420" spans="1:14">
      <c r="A1420" t="s">
        <v>41</v>
      </c>
      <c r="B1420" t="s">
        <v>1599</v>
      </c>
      <c r="C1420">
        <f>"LEGLYS01"</f>
        <v>0</v>
      </c>
      <c r="D1420">
        <v>15</v>
      </c>
      <c r="E1420">
        <v>3</v>
      </c>
      <c r="F1420" s="2">
        <v>7</v>
      </c>
      <c r="G1420">
        <v>0.8</v>
      </c>
      <c r="H1420">
        <v>2</v>
      </c>
      <c r="I1420">
        <v>0.2025774449333897</v>
      </c>
      <c r="J1420">
        <v>4</v>
      </c>
      <c r="K1420">
        <v>1</v>
      </c>
      <c r="L1420" s="2">
        <v>7</v>
      </c>
      <c r="M1420">
        <v>17.97</v>
      </c>
      <c r="N1420" t="s">
        <v>10235</v>
      </c>
    </row>
    <row r="1421" spans="1:14">
      <c r="A1421" t="s">
        <v>30</v>
      </c>
      <c r="B1421" t="s">
        <v>1600</v>
      </c>
      <c r="C1421">
        <f>"101248"</f>
        <v>0</v>
      </c>
      <c r="D1421">
        <v>7</v>
      </c>
      <c r="E1421">
        <v>1</v>
      </c>
      <c r="F1421" s="2">
        <v>43</v>
      </c>
      <c r="G1421">
        <v>0.57</v>
      </c>
      <c r="H1421">
        <v>4</v>
      </c>
      <c r="I1421">
        <v>0.2016149304334172</v>
      </c>
      <c r="J1421">
        <v>2</v>
      </c>
      <c r="K1421">
        <v>1</v>
      </c>
      <c r="L1421" s="2">
        <v>43</v>
      </c>
      <c r="M1421">
        <v>17.98</v>
      </c>
      <c r="N1421" t="s">
        <v>10235</v>
      </c>
    </row>
    <row r="1422" spans="1:14">
      <c r="A1422" t="s">
        <v>202</v>
      </c>
      <c r="B1422" t="s">
        <v>1601</v>
      </c>
      <c r="C1422">
        <f>"11001112"</f>
        <v>0</v>
      </c>
      <c r="D1422">
        <v>7</v>
      </c>
      <c r="E1422">
        <v>1</v>
      </c>
      <c r="F1422" s="2">
        <v>2</v>
      </c>
      <c r="G1422">
        <v>0.57</v>
      </c>
      <c r="H1422">
        <v>1</v>
      </c>
      <c r="I1422">
        <v>0.2016096058898067</v>
      </c>
      <c r="J1422">
        <v>2</v>
      </c>
      <c r="K1422">
        <v>1</v>
      </c>
      <c r="L1422" s="2">
        <v>2</v>
      </c>
      <c r="M1422">
        <v>17.99</v>
      </c>
      <c r="N1422" t="s">
        <v>10236</v>
      </c>
    </row>
    <row r="1423" spans="1:14">
      <c r="A1423" t="s">
        <v>37</v>
      </c>
      <c r="B1423" t="s">
        <v>1602</v>
      </c>
      <c r="C1423">
        <f>"574540"</f>
        <v>0</v>
      </c>
      <c r="D1423">
        <v>38</v>
      </c>
      <c r="E1423">
        <v>23</v>
      </c>
      <c r="F1423" s="2">
        <v>1</v>
      </c>
      <c r="G1423">
        <v>2.42</v>
      </c>
      <c r="H1423">
        <v>4</v>
      </c>
      <c r="I1423">
        <v>0.2014824362502415</v>
      </c>
      <c r="J1423">
        <v>10</v>
      </c>
      <c r="K1423">
        <v>0</v>
      </c>
      <c r="L1423" s="2">
        <v>0</v>
      </c>
      <c r="M1423">
        <v>18</v>
      </c>
      <c r="N1423" t="s">
        <v>10235</v>
      </c>
    </row>
    <row r="1424" spans="1:14">
      <c r="A1424" t="s">
        <v>38</v>
      </c>
      <c r="B1424" t="s">
        <v>1603</v>
      </c>
      <c r="C1424">
        <f>"BJASB"</f>
        <v>0</v>
      </c>
      <c r="D1424">
        <v>31</v>
      </c>
      <c r="E1424">
        <v>7</v>
      </c>
      <c r="F1424" s="2">
        <v>16</v>
      </c>
      <c r="G1424">
        <v>0.9</v>
      </c>
      <c r="H1424">
        <v>4</v>
      </c>
      <c r="I1424">
        <v>0.2014716530222195</v>
      </c>
      <c r="J1424">
        <v>8</v>
      </c>
      <c r="K1424">
        <v>1</v>
      </c>
      <c r="L1424" s="2">
        <v>16</v>
      </c>
      <c r="M1424">
        <v>18.01</v>
      </c>
      <c r="N1424" t="s">
        <v>10235</v>
      </c>
    </row>
    <row r="1425" spans="1:14">
      <c r="A1425" t="s">
        <v>35</v>
      </c>
      <c r="B1425" t="s">
        <v>1604</v>
      </c>
      <c r="C1425">
        <f>"KL06"</f>
        <v>0</v>
      </c>
      <c r="D1425">
        <v>6</v>
      </c>
      <c r="E1425">
        <v>55</v>
      </c>
      <c r="F1425" s="2">
        <v>1</v>
      </c>
      <c r="G1425">
        <v>36.67</v>
      </c>
      <c r="H1425">
        <v>3</v>
      </c>
      <c r="I1425">
        <v>0.201293827875873</v>
      </c>
      <c r="J1425">
        <v>2</v>
      </c>
      <c r="K1425">
        <v>0</v>
      </c>
      <c r="L1425" s="2">
        <v>0</v>
      </c>
      <c r="M1425">
        <v>18.02</v>
      </c>
      <c r="N1425" t="s">
        <v>10235</v>
      </c>
    </row>
    <row r="1426" spans="1:14">
      <c r="A1426" t="s">
        <v>35</v>
      </c>
      <c r="B1426" t="s">
        <v>1605</v>
      </c>
      <c r="C1426">
        <f>"JWZ1022XL"</f>
        <v>0</v>
      </c>
      <c r="D1426">
        <v>38</v>
      </c>
      <c r="E1426">
        <v>11</v>
      </c>
      <c r="F1426" s="2">
        <v>1</v>
      </c>
      <c r="G1426">
        <v>1.16</v>
      </c>
      <c r="H1426">
        <v>1</v>
      </c>
      <c r="I1426">
        <v>0.2012554332076452</v>
      </c>
      <c r="J1426">
        <v>10</v>
      </c>
      <c r="K1426">
        <v>0</v>
      </c>
      <c r="L1426" s="2">
        <v>0</v>
      </c>
      <c r="M1426">
        <v>18.03</v>
      </c>
      <c r="N1426" t="s">
        <v>10236</v>
      </c>
    </row>
    <row r="1427" spans="1:14">
      <c r="A1427" t="s">
        <v>37</v>
      </c>
      <c r="B1427" t="s">
        <v>1606</v>
      </c>
      <c r="C1427">
        <f>"585004"</f>
        <v>0</v>
      </c>
      <c r="D1427">
        <v>21</v>
      </c>
      <c r="E1427">
        <v>4</v>
      </c>
      <c r="F1427" s="2">
        <v>27</v>
      </c>
      <c r="G1427">
        <v>0.76</v>
      </c>
      <c r="H1427">
        <v>3</v>
      </c>
      <c r="I1427">
        <v>0.2010173379576597</v>
      </c>
      <c r="J1427">
        <v>5</v>
      </c>
      <c r="K1427">
        <v>1</v>
      </c>
      <c r="L1427" s="2">
        <v>27</v>
      </c>
      <c r="M1427">
        <v>18.04</v>
      </c>
      <c r="N1427" t="s">
        <v>10235</v>
      </c>
    </row>
    <row r="1428" spans="1:14">
      <c r="A1428" t="s">
        <v>208</v>
      </c>
      <c r="B1428" t="s">
        <v>1607</v>
      </c>
      <c r="C1428">
        <f>"5000373"</f>
        <v>0</v>
      </c>
      <c r="D1428">
        <v>37</v>
      </c>
      <c r="E1428">
        <v>48</v>
      </c>
      <c r="F1428" s="2">
        <v>4</v>
      </c>
      <c r="G1428">
        <v>5.19</v>
      </c>
      <c r="H1428">
        <v>3</v>
      </c>
      <c r="I1428">
        <v>0.2008025825846381</v>
      </c>
      <c r="J1428">
        <v>9</v>
      </c>
      <c r="K1428">
        <v>0</v>
      </c>
      <c r="L1428" s="2">
        <v>0</v>
      </c>
      <c r="M1428">
        <v>18.05</v>
      </c>
      <c r="N1428" t="s">
        <v>10235</v>
      </c>
    </row>
    <row r="1429" spans="1:14">
      <c r="A1429" t="s">
        <v>34</v>
      </c>
      <c r="B1429" t="s">
        <v>1608</v>
      </c>
      <c r="C1429">
        <f>"14000112"</f>
        <v>0</v>
      </c>
      <c r="D1429">
        <v>33</v>
      </c>
      <c r="E1429">
        <v>8</v>
      </c>
      <c r="F1429" s="2">
        <v>41</v>
      </c>
      <c r="G1429">
        <v>0.97</v>
      </c>
      <c r="H1429">
        <v>4</v>
      </c>
      <c r="I1429">
        <v>0.2007764634520877</v>
      </c>
      <c r="J1429">
        <v>8</v>
      </c>
      <c r="K1429">
        <v>0</v>
      </c>
      <c r="L1429" s="2">
        <v>0</v>
      </c>
      <c r="M1429">
        <v>18.06</v>
      </c>
      <c r="N1429" t="s">
        <v>10235</v>
      </c>
    </row>
    <row r="1430" spans="1:14">
      <c r="A1430" t="s">
        <v>35</v>
      </c>
      <c r="B1430" t="s">
        <v>1609</v>
      </c>
      <c r="C1430">
        <f>"CK1007"</f>
        <v>0</v>
      </c>
      <c r="D1430">
        <v>37</v>
      </c>
      <c r="E1430">
        <v>12</v>
      </c>
      <c r="F1430" s="2">
        <v>1</v>
      </c>
      <c r="G1430">
        <v>1.3</v>
      </c>
      <c r="H1430">
        <v>3</v>
      </c>
      <c r="I1430">
        <v>0.2005411474933604</v>
      </c>
      <c r="J1430">
        <v>9</v>
      </c>
      <c r="K1430">
        <v>0</v>
      </c>
      <c r="L1430" s="2">
        <v>0</v>
      </c>
      <c r="M1430">
        <v>18.07</v>
      </c>
      <c r="N1430" t="s">
        <v>10235</v>
      </c>
    </row>
    <row r="1431" spans="1:14">
      <c r="A1431" t="s">
        <v>192</v>
      </c>
      <c r="B1431" t="s">
        <v>1610</v>
      </c>
      <c r="C1431">
        <f>"YY35"</f>
        <v>0</v>
      </c>
      <c r="D1431">
        <v>7</v>
      </c>
      <c r="E1431">
        <v>1</v>
      </c>
      <c r="F1431" s="2">
        <v>675</v>
      </c>
      <c r="G1431">
        <v>0.57</v>
      </c>
      <c r="H1431">
        <v>2</v>
      </c>
      <c r="I1431">
        <v>0.2005411474719573</v>
      </c>
      <c r="J1431">
        <v>2</v>
      </c>
      <c r="K1431">
        <v>1</v>
      </c>
      <c r="L1431" s="2">
        <v>675</v>
      </c>
      <c r="M1431">
        <v>18.08</v>
      </c>
      <c r="N1431" t="s">
        <v>10235</v>
      </c>
    </row>
    <row r="1432" spans="1:14">
      <c r="A1432" t="s">
        <v>37</v>
      </c>
      <c r="B1432" t="s">
        <v>1611</v>
      </c>
      <c r="C1432">
        <f>"573900"</f>
        <v>0</v>
      </c>
      <c r="D1432">
        <v>7</v>
      </c>
      <c r="E1432">
        <v>1</v>
      </c>
      <c r="F1432" s="2">
        <v>1</v>
      </c>
      <c r="G1432">
        <v>0.57</v>
      </c>
      <c r="H1432">
        <v>3</v>
      </c>
      <c r="I1432">
        <v>0.2005411474719573</v>
      </c>
      <c r="J1432">
        <v>2</v>
      </c>
      <c r="K1432">
        <v>1</v>
      </c>
      <c r="L1432" s="2">
        <v>1</v>
      </c>
      <c r="M1432">
        <v>18.09</v>
      </c>
      <c r="N1432" t="s">
        <v>10235</v>
      </c>
    </row>
    <row r="1433" spans="1:14">
      <c r="A1433" t="s">
        <v>30</v>
      </c>
      <c r="B1433" t="s">
        <v>1612</v>
      </c>
      <c r="C1433">
        <f>"101319"</f>
        <v>0</v>
      </c>
      <c r="D1433">
        <v>5</v>
      </c>
      <c r="E1433">
        <v>4</v>
      </c>
      <c r="F1433" s="2">
        <v>4</v>
      </c>
      <c r="G1433">
        <v>3.2</v>
      </c>
      <c r="H1433">
        <v>4</v>
      </c>
      <c r="I1433">
        <v>0.1998696030135154</v>
      </c>
      <c r="J1433">
        <v>1</v>
      </c>
      <c r="K1433">
        <v>0</v>
      </c>
      <c r="L1433" s="2">
        <v>0</v>
      </c>
      <c r="M1433">
        <v>18.11</v>
      </c>
      <c r="N1433" t="s">
        <v>10235</v>
      </c>
    </row>
    <row r="1434" spans="1:14">
      <c r="A1434" t="s">
        <v>34</v>
      </c>
      <c r="B1434" t="s">
        <v>1613</v>
      </c>
      <c r="C1434">
        <f>"14000152"</f>
        <v>0</v>
      </c>
      <c r="D1434">
        <v>34</v>
      </c>
      <c r="E1434">
        <v>9</v>
      </c>
      <c r="F1434" s="2">
        <v>44</v>
      </c>
      <c r="G1434">
        <v>1.06</v>
      </c>
      <c r="H1434">
        <v>4</v>
      </c>
      <c r="I1434">
        <v>0.1994979860908704</v>
      </c>
      <c r="J1434">
        <v>8</v>
      </c>
      <c r="K1434">
        <v>0</v>
      </c>
      <c r="L1434" s="2">
        <v>0</v>
      </c>
      <c r="M1434">
        <v>18.12</v>
      </c>
      <c r="N1434" t="s">
        <v>10235</v>
      </c>
    </row>
    <row r="1435" spans="1:14">
      <c r="A1435" t="s">
        <v>35</v>
      </c>
      <c r="B1435" t="s">
        <v>1614</v>
      </c>
      <c r="C1435">
        <f>"KLM11"</f>
        <v>0</v>
      </c>
      <c r="D1435">
        <v>5</v>
      </c>
      <c r="E1435">
        <v>8</v>
      </c>
      <c r="F1435" s="2">
        <v>1</v>
      </c>
      <c r="G1435">
        <v>6.4</v>
      </c>
      <c r="H1435">
        <v>4</v>
      </c>
      <c r="I1435">
        <v>0.1991596638654428</v>
      </c>
      <c r="J1435">
        <v>1</v>
      </c>
      <c r="K1435">
        <v>0</v>
      </c>
      <c r="L1435" s="2">
        <v>0</v>
      </c>
      <c r="M1435">
        <v>18.13</v>
      </c>
      <c r="N1435" t="s">
        <v>10235</v>
      </c>
    </row>
    <row r="1436" spans="1:14">
      <c r="A1436" t="s">
        <v>35</v>
      </c>
      <c r="B1436" t="s">
        <v>1615</v>
      </c>
      <c r="C1436">
        <f>"JWZ1033XL"</f>
        <v>0</v>
      </c>
      <c r="D1436">
        <v>2</v>
      </c>
      <c r="E1436">
        <v>37</v>
      </c>
      <c r="F1436" s="2">
        <v>1</v>
      </c>
      <c r="G1436">
        <v>74</v>
      </c>
      <c r="H1436">
        <v>2</v>
      </c>
      <c r="I1436">
        <v>0.1986141698057517</v>
      </c>
      <c r="J1436">
        <v>0</v>
      </c>
      <c r="K1436">
        <v>0</v>
      </c>
      <c r="L1436" s="2">
        <v>0</v>
      </c>
      <c r="M1436">
        <v>18.14</v>
      </c>
      <c r="N1436" t="s">
        <v>10236</v>
      </c>
    </row>
    <row r="1437" spans="1:14">
      <c r="A1437" t="s">
        <v>34</v>
      </c>
      <c r="B1437" t="s">
        <v>1616</v>
      </c>
      <c r="C1437">
        <f>"14000078"</f>
        <v>0</v>
      </c>
      <c r="D1437">
        <v>34</v>
      </c>
      <c r="E1437">
        <v>10</v>
      </c>
      <c r="F1437" s="2">
        <v>39</v>
      </c>
      <c r="G1437">
        <v>1.18</v>
      </c>
      <c r="H1437">
        <v>3</v>
      </c>
      <c r="I1437">
        <v>0.1983982903505058</v>
      </c>
      <c r="J1437">
        <v>8</v>
      </c>
      <c r="K1437">
        <v>0</v>
      </c>
      <c r="L1437" s="2">
        <v>0</v>
      </c>
      <c r="M1437">
        <v>18.15</v>
      </c>
      <c r="N1437" t="s">
        <v>10235</v>
      </c>
    </row>
    <row r="1438" spans="1:14">
      <c r="A1438" t="s">
        <v>192</v>
      </c>
      <c r="B1438" t="s">
        <v>1617</v>
      </c>
      <c r="C1438">
        <f>"F19"</f>
        <v>0</v>
      </c>
      <c r="D1438">
        <v>34</v>
      </c>
      <c r="E1438">
        <v>20</v>
      </c>
      <c r="F1438" s="2">
        <v>1</v>
      </c>
      <c r="G1438">
        <v>2.35</v>
      </c>
      <c r="H1438">
        <v>2</v>
      </c>
      <c r="I1438">
        <v>0.1983982903505058</v>
      </c>
      <c r="J1438">
        <v>8</v>
      </c>
      <c r="K1438">
        <v>0</v>
      </c>
      <c r="L1438" s="2">
        <v>0</v>
      </c>
      <c r="M1438">
        <v>18.16</v>
      </c>
      <c r="N1438" t="s">
        <v>10235</v>
      </c>
    </row>
    <row r="1439" spans="1:14">
      <c r="A1439" t="s">
        <v>35</v>
      </c>
      <c r="B1439" t="s">
        <v>1618</v>
      </c>
      <c r="C1439">
        <f>"HDD095"</f>
        <v>0</v>
      </c>
      <c r="D1439">
        <v>16</v>
      </c>
      <c r="E1439">
        <v>3</v>
      </c>
      <c r="F1439" s="2">
        <v>1</v>
      </c>
      <c r="G1439">
        <v>0.75</v>
      </c>
      <c r="H1439">
        <v>3</v>
      </c>
      <c r="I1439">
        <v>0.1980411474808783</v>
      </c>
      <c r="J1439">
        <v>4</v>
      </c>
      <c r="K1439">
        <v>1</v>
      </c>
      <c r="L1439" s="2">
        <v>1</v>
      </c>
      <c r="M1439">
        <v>18.17</v>
      </c>
      <c r="N1439" t="s">
        <v>10235</v>
      </c>
    </row>
    <row r="1440" spans="1:14">
      <c r="A1440" t="s">
        <v>34</v>
      </c>
      <c r="B1440" t="s">
        <v>1619</v>
      </c>
      <c r="C1440">
        <f>"14000033"</f>
        <v>0</v>
      </c>
      <c r="D1440">
        <v>32</v>
      </c>
      <c r="E1440">
        <v>8</v>
      </c>
      <c r="F1440" s="2">
        <v>25</v>
      </c>
      <c r="G1440">
        <v>1</v>
      </c>
      <c r="H1440">
        <v>4</v>
      </c>
      <c r="I1440">
        <v>0.1979858193276151</v>
      </c>
      <c r="J1440">
        <v>8</v>
      </c>
      <c r="K1440">
        <v>0</v>
      </c>
      <c r="L1440" s="2">
        <v>0</v>
      </c>
      <c r="M1440">
        <v>18.18</v>
      </c>
      <c r="N1440" t="s">
        <v>10235</v>
      </c>
    </row>
    <row r="1441" spans="1:14">
      <c r="A1441" t="s">
        <v>35</v>
      </c>
      <c r="B1441" t="s">
        <v>1620</v>
      </c>
      <c r="C1441">
        <f>"JWL1036XL"</f>
        <v>0</v>
      </c>
      <c r="D1441">
        <v>1</v>
      </c>
      <c r="E1441">
        <v>8</v>
      </c>
      <c r="F1441" s="2">
        <v>2</v>
      </c>
      <c r="G1441">
        <v>32</v>
      </c>
      <c r="H1441">
        <v>1</v>
      </c>
      <c r="I1441">
        <v>0.1978998840914668</v>
      </c>
      <c r="J1441">
        <v>0</v>
      </c>
      <c r="K1441">
        <v>0</v>
      </c>
      <c r="L1441" s="2">
        <v>0</v>
      </c>
      <c r="M1441">
        <v>18.19</v>
      </c>
      <c r="N1441" t="s">
        <v>10236</v>
      </c>
    </row>
    <row r="1442" spans="1:14">
      <c r="A1442" t="s">
        <v>192</v>
      </c>
      <c r="B1442" t="s">
        <v>1621</v>
      </c>
      <c r="C1442">
        <f>"F17"</f>
        <v>0</v>
      </c>
      <c r="D1442">
        <v>33</v>
      </c>
      <c r="E1442">
        <v>18</v>
      </c>
      <c r="F1442" s="2">
        <v>1</v>
      </c>
      <c r="G1442">
        <v>2.18</v>
      </c>
      <c r="H1442">
        <v>4</v>
      </c>
      <c r="I1442">
        <v>0.1978730259343953</v>
      </c>
      <c r="J1442">
        <v>8</v>
      </c>
      <c r="K1442">
        <v>0</v>
      </c>
      <c r="L1442" s="2">
        <v>0</v>
      </c>
      <c r="M1442">
        <v>18.2</v>
      </c>
      <c r="N1442" t="s">
        <v>10235</v>
      </c>
    </row>
    <row r="1443" spans="1:14">
      <c r="A1443" t="s">
        <v>37</v>
      </c>
      <c r="B1443" t="s">
        <v>1622</v>
      </c>
      <c r="C1443">
        <f>"585001"</f>
        <v>0</v>
      </c>
      <c r="D1443">
        <v>24</v>
      </c>
      <c r="E1443">
        <v>13</v>
      </c>
      <c r="F1443" s="2">
        <v>24</v>
      </c>
      <c r="G1443">
        <v>2.17</v>
      </c>
      <c r="H1443">
        <v>4</v>
      </c>
      <c r="I1443">
        <v>0.1972647131265182</v>
      </c>
      <c r="J1443">
        <v>6</v>
      </c>
      <c r="K1443">
        <v>0</v>
      </c>
      <c r="L1443" s="2">
        <v>0</v>
      </c>
      <c r="M1443">
        <v>18.21</v>
      </c>
      <c r="N1443" t="s">
        <v>10235</v>
      </c>
    </row>
    <row r="1444" spans="1:14">
      <c r="A1444" t="s">
        <v>30</v>
      </c>
      <c r="B1444" t="s">
        <v>1623</v>
      </c>
      <c r="C1444">
        <f>"101188"</f>
        <v>0</v>
      </c>
      <c r="D1444">
        <v>3</v>
      </c>
      <c r="E1444">
        <v>12</v>
      </c>
      <c r="F1444" s="2">
        <v>3</v>
      </c>
      <c r="G1444">
        <v>16</v>
      </c>
      <c r="H1444">
        <v>3</v>
      </c>
      <c r="I1444">
        <v>0.1971986380758186</v>
      </c>
      <c r="J1444">
        <v>1</v>
      </c>
      <c r="K1444">
        <v>0</v>
      </c>
      <c r="L1444" s="2">
        <v>0</v>
      </c>
      <c r="M1444">
        <v>18.22</v>
      </c>
      <c r="N1444" t="s">
        <v>10236</v>
      </c>
    </row>
    <row r="1445" spans="1:14">
      <c r="A1445" t="s">
        <v>202</v>
      </c>
      <c r="B1445" t="s">
        <v>1624</v>
      </c>
      <c r="C1445">
        <f>"21001054"</f>
        <v>0</v>
      </c>
      <c r="D1445">
        <v>32</v>
      </c>
      <c r="E1445">
        <v>22</v>
      </c>
      <c r="F1445" s="2">
        <v>2</v>
      </c>
      <c r="G1445">
        <v>2.75</v>
      </c>
      <c r="H1445">
        <v>2</v>
      </c>
      <c r="I1445">
        <v>0.1969697189219361</v>
      </c>
      <c r="J1445">
        <v>8</v>
      </c>
      <c r="K1445">
        <v>0</v>
      </c>
      <c r="L1445" s="2">
        <v>0</v>
      </c>
      <c r="M1445">
        <v>18.23</v>
      </c>
      <c r="N1445" t="s">
        <v>10235</v>
      </c>
    </row>
    <row r="1446" spans="1:14">
      <c r="A1446" t="s">
        <v>35</v>
      </c>
      <c r="B1446" t="s">
        <v>1625</v>
      </c>
      <c r="C1446">
        <f>"11544"</f>
        <v>0</v>
      </c>
      <c r="D1446">
        <v>32</v>
      </c>
      <c r="E1446">
        <v>126</v>
      </c>
      <c r="F1446" s="2">
        <v>1</v>
      </c>
      <c r="G1446">
        <v>15.75</v>
      </c>
      <c r="H1446">
        <v>3</v>
      </c>
      <c r="I1446">
        <v>0.1969697189219361</v>
      </c>
      <c r="J1446">
        <v>8</v>
      </c>
      <c r="K1446">
        <v>0</v>
      </c>
      <c r="L1446" s="2">
        <v>0</v>
      </c>
      <c r="M1446">
        <v>18.24</v>
      </c>
      <c r="N1446" t="s">
        <v>10235</v>
      </c>
    </row>
    <row r="1447" spans="1:14">
      <c r="A1447" t="s">
        <v>24</v>
      </c>
      <c r="B1447" t="s">
        <v>1626</v>
      </c>
      <c r="C1447">
        <f>"1111101"</f>
        <v>0</v>
      </c>
      <c r="D1447">
        <v>30</v>
      </c>
      <c r="E1447">
        <v>47</v>
      </c>
      <c r="F1447" s="2">
        <v>2</v>
      </c>
      <c r="G1447">
        <v>6.27</v>
      </c>
      <c r="H1447">
        <v>4</v>
      </c>
      <c r="I1447">
        <v>0.1968692661546233</v>
      </c>
      <c r="J1447">
        <v>8</v>
      </c>
      <c r="K1447">
        <v>0</v>
      </c>
      <c r="L1447" s="2">
        <v>0</v>
      </c>
      <c r="M1447">
        <v>18.25</v>
      </c>
      <c r="N1447" t="s">
        <v>10235</v>
      </c>
    </row>
    <row r="1448" spans="1:14">
      <c r="A1448" t="s">
        <v>37</v>
      </c>
      <c r="B1448" t="s">
        <v>1627</v>
      </c>
      <c r="C1448">
        <f>"585002"</f>
        <v>0</v>
      </c>
      <c r="D1448">
        <v>27</v>
      </c>
      <c r="E1448">
        <v>7</v>
      </c>
      <c r="F1448" s="2">
        <v>13</v>
      </c>
      <c r="G1448">
        <v>1.04</v>
      </c>
      <c r="H1448">
        <v>4</v>
      </c>
      <c r="I1448">
        <v>0.1965947913647089</v>
      </c>
      <c r="J1448">
        <v>7</v>
      </c>
      <c r="K1448">
        <v>0</v>
      </c>
      <c r="L1448" s="2">
        <v>0</v>
      </c>
      <c r="M1448">
        <v>18.26</v>
      </c>
      <c r="N1448" t="s">
        <v>10235</v>
      </c>
    </row>
    <row r="1449" spans="1:14">
      <c r="A1449" t="s">
        <v>30</v>
      </c>
      <c r="B1449" t="s">
        <v>1628</v>
      </c>
      <c r="C1449">
        <f>"101201"</f>
        <v>0</v>
      </c>
      <c r="D1449">
        <v>2</v>
      </c>
      <c r="E1449">
        <v>8</v>
      </c>
      <c r="F1449" s="2">
        <v>3</v>
      </c>
      <c r="G1449">
        <v>16</v>
      </c>
      <c r="H1449">
        <v>2</v>
      </c>
      <c r="I1449">
        <v>0.1964843523615337</v>
      </c>
      <c r="J1449">
        <v>0</v>
      </c>
      <c r="K1449">
        <v>0</v>
      </c>
      <c r="L1449" s="2">
        <v>0</v>
      </c>
      <c r="M1449">
        <v>18.27</v>
      </c>
      <c r="N1449" t="s">
        <v>10236</v>
      </c>
    </row>
    <row r="1450" spans="1:14">
      <c r="A1450" t="s">
        <v>35</v>
      </c>
      <c r="B1450" t="s">
        <v>1629</v>
      </c>
      <c r="C1450">
        <f>"TF1041"</f>
        <v>0</v>
      </c>
      <c r="D1450">
        <v>30</v>
      </c>
      <c r="E1450">
        <v>14</v>
      </c>
      <c r="F1450" s="2">
        <v>1</v>
      </c>
      <c r="G1450">
        <v>1.87</v>
      </c>
      <c r="H1450">
        <v>3</v>
      </c>
      <c r="I1450">
        <v>0.1962241089538122</v>
      </c>
      <c r="J1450">
        <v>8</v>
      </c>
      <c r="K1450">
        <v>0</v>
      </c>
      <c r="L1450" s="2">
        <v>0</v>
      </c>
      <c r="M1450">
        <v>18.28</v>
      </c>
      <c r="N1450" t="s">
        <v>10235</v>
      </c>
    </row>
    <row r="1451" spans="1:14">
      <c r="A1451" t="s">
        <v>27</v>
      </c>
      <c r="B1451" t="s">
        <v>1630</v>
      </c>
      <c r="C1451">
        <f>"USA903"</f>
        <v>0</v>
      </c>
      <c r="D1451">
        <v>30</v>
      </c>
      <c r="E1451">
        <v>20</v>
      </c>
      <c r="F1451" s="2">
        <v>1</v>
      </c>
      <c r="G1451">
        <v>2.67</v>
      </c>
      <c r="H1451">
        <v>4</v>
      </c>
      <c r="I1451">
        <v>0.1959951535785588</v>
      </c>
      <c r="J1451">
        <v>8</v>
      </c>
      <c r="K1451">
        <v>0</v>
      </c>
      <c r="L1451" s="2">
        <v>0</v>
      </c>
      <c r="M1451">
        <v>18.29</v>
      </c>
      <c r="N1451" t="s">
        <v>10235</v>
      </c>
    </row>
    <row r="1452" spans="1:14">
      <c r="A1452" t="s">
        <v>33</v>
      </c>
      <c r="B1452" t="s">
        <v>63</v>
      </c>
      <c r="C1452">
        <f>"TOPK92227"</f>
        <v>0</v>
      </c>
      <c r="D1452">
        <v>30</v>
      </c>
      <c r="E1452">
        <v>10</v>
      </c>
      <c r="F1452" s="2">
        <v>2</v>
      </c>
      <c r="G1452">
        <v>1.33</v>
      </c>
      <c r="H1452">
        <v>1</v>
      </c>
      <c r="I1452">
        <v>0.1958457113878895</v>
      </c>
      <c r="J1452">
        <v>8</v>
      </c>
      <c r="K1452">
        <v>0</v>
      </c>
      <c r="L1452" s="2">
        <v>0</v>
      </c>
      <c r="M1452">
        <v>18.3</v>
      </c>
      <c r="N1452" t="s">
        <v>10236</v>
      </c>
    </row>
    <row r="1453" spans="1:14">
      <c r="A1453" t="s">
        <v>33</v>
      </c>
      <c r="B1453" t="s">
        <v>60</v>
      </c>
      <c r="C1453">
        <f>"TOPK92230"</f>
        <v>0</v>
      </c>
      <c r="D1453">
        <v>30</v>
      </c>
      <c r="E1453">
        <v>8</v>
      </c>
      <c r="F1453" s="2">
        <v>2</v>
      </c>
      <c r="G1453">
        <v>1.07</v>
      </c>
      <c r="H1453">
        <v>1</v>
      </c>
      <c r="I1453">
        <v>0.1958451789335285</v>
      </c>
      <c r="J1453">
        <v>8</v>
      </c>
      <c r="K1453">
        <v>0</v>
      </c>
      <c r="L1453" s="2">
        <v>0</v>
      </c>
      <c r="M1453">
        <v>18.31</v>
      </c>
      <c r="N1453" t="s">
        <v>10236</v>
      </c>
    </row>
    <row r="1454" spans="1:14">
      <c r="A1454" t="s">
        <v>194</v>
      </c>
      <c r="B1454" t="s">
        <v>1631</v>
      </c>
      <c r="C1454">
        <f>"2260810"</f>
        <v>0</v>
      </c>
      <c r="D1454">
        <v>11</v>
      </c>
      <c r="E1454">
        <v>2</v>
      </c>
      <c r="F1454" s="2">
        <v>7</v>
      </c>
      <c r="G1454">
        <v>0.73</v>
      </c>
      <c r="H1454">
        <v>3</v>
      </c>
      <c r="I1454">
        <v>0.1958025582039103</v>
      </c>
      <c r="J1454">
        <v>3</v>
      </c>
      <c r="K1454">
        <v>1</v>
      </c>
      <c r="L1454" s="2">
        <v>7</v>
      </c>
      <c r="M1454">
        <v>18.32</v>
      </c>
      <c r="N1454" t="s">
        <v>10235</v>
      </c>
    </row>
    <row r="1455" spans="1:14">
      <c r="A1455" t="s">
        <v>35</v>
      </c>
      <c r="B1455" t="s">
        <v>1632</v>
      </c>
      <c r="C1455">
        <f>"LS220"</f>
        <v>0</v>
      </c>
      <c r="D1455">
        <v>6</v>
      </c>
      <c r="E1455">
        <v>1</v>
      </c>
      <c r="F1455" s="2">
        <v>7</v>
      </c>
      <c r="G1455">
        <v>0.67</v>
      </c>
      <c r="H1455">
        <v>3</v>
      </c>
      <c r="I1455">
        <v>0.1957269752561074</v>
      </c>
      <c r="J1455">
        <v>2</v>
      </c>
      <c r="K1455">
        <v>1</v>
      </c>
      <c r="L1455" s="2">
        <v>7</v>
      </c>
      <c r="M1455">
        <v>18.33</v>
      </c>
      <c r="N1455" t="s">
        <v>10235</v>
      </c>
    </row>
    <row r="1456" spans="1:14">
      <c r="A1456" t="s">
        <v>30</v>
      </c>
      <c r="B1456" t="s">
        <v>1633</v>
      </c>
      <c r="C1456">
        <f>"100904"</f>
        <v>0</v>
      </c>
      <c r="D1456">
        <v>6</v>
      </c>
      <c r="E1456">
        <v>1</v>
      </c>
      <c r="F1456" s="2">
        <v>12</v>
      </c>
      <c r="G1456">
        <v>0.67</v>
      </c>
      <c r="H1456">
        <v>4</v>
      </c>
      <c r="I1456">
        <v>0.1956300685623954</v>
      </c>
      <c r="J1456">
        <v>2</v>
      </c>
      <c r="K1456">
        <v>1</v>
      </c>
      <c r="L1456" s="2">
        <v>12</v>
      </c>
      <c r="M1456">
        <v>18.35</v>
      </c>
      <c r="N1456" t="s">
        <v>10235</v>
      </c>
    </row>
    <row r="1457" spans="1:14">
      <c r="A1457" t="s">
        <v>35</v>
      </c>
      <c r="B1457" t="s">
        <v>1634</v>
      </c>
      <c r="C1457">
        <f>"JWZ1047L"</f>
        <v>0</v>
      </c>
      <c r="D1457">
        <v>2</v>
      </c>
      <c r="E1457">
        <v>16</v>
      </c>
      <c r="F1457" s="2">
        <v>1</v>
      </c>
      <c r="G1457">
        <v>32</v>
      </c>
      <c r="H1457">
        <v>2</v>
      </c>
      <c r="I1457">
        <v>0.1955969284264429</v>
      </c>
      <c r="J1457">
        <v>0</v>
      </c>
      <c r="K1457">
        <v>0</v>
      </c>
      <c r="L1457" s="2">
        <v>0</v>
      </c>
      <c r="M1457">
        <v>18.36</v>
      </c>
      <c r="N1457" t="s">
        <v>10236</v>
      </c>
    </row>
    <row r="1458" spans="1:14">
      <c r="A1458" t="s">
        <v>196</v>
      </c>
      <c r="B1458" t="s">
        <v>1635</v>
      </c>
      <c r="C1458">
        <f>"COL5"</f>
        <v>0</v>
      </c>
      <c r="D1458">
        <v>1</v>
      </c>
      <c r="E1458">
        <v>19</v>
      </c>
      <c r="F1458" s="2">
        <v>1</v>
      </c>
      <c r="G1458">
        <v>76</v>
      </c>
      <c r="H1458">
        <v>1</v>
      </c>
      <c r="I1458">
        <v>0.1955925818602307</v>
      </c>
      <c r="J1458">
        <v>0</v>
      </c>
      <c r="K1458">
        <v>0</v>
      </c>
      <c r="L1458" s="2">
        <v>0</v>
      </c>
      <c r="M1458">
        <v>18.37</v>
      </c>
      <c r="N1458" t="s">
        <v>10236</v>
      </c>
    </row>
    <row r="1459" spans="1:14">
      <c r="A1459" t="s">
        <v>31</v>
      </c>
      <c r="B1459" t="s">
        <v>1636</v>
      </c>
      <c r="C1459">
        <f>"1005846"</f>
        <v>0</v>
      </c>
      <c r="D1459">
        <v>6</v>
      </c>
      <c r="E1459">
        <v>1</v>
      </c>
      <c r="F1459" s="2">
        <v>5</v>
      </c>
      <c r="G1459">
        <v>0.67</v>
      </c>
      <c r="H1459">
        <v>2</v>
      </c>
      <c r="I1459">
        <v>0.1955832125786226</v>
      </c>
      <c r="J1459">
        <v>2</v>
      </c>
      <c r="K1459">
        <v>1</v>
      </c>
      <c r="L1459" s="2">
        <v>5</v>
      </c>
      <c r="M1459">
        <v>18.38</v>
      </c>
      <c r="N1459" t="s">
        <v>10235</v>
      </c>
    </row>
    <row r="1460" spans="1:14">
      <c r="A1460" t="s">
        <v>36</v>
      </c>
      <c r="B1460" t="s">
        <v>1637</v>
      </c>
      <c r="C1460">
        <f>"5001171"</f>
        <v>0</v>
      </c>
      <c r="D1460">
        <v>30</v>
      </c>
      <c r="E1460">
        <v>56</v>
      </c>
      <c r="F1460" s="2">
        <v>11</v>
      </c>
      <c r="G1460">
        <v>7.47</v>
      </c>
      <c r="H1460">
        <v>2</v>
      </c>
      <c r="I1460">
        <v>0.1955411474933663</v>
      </c>
      <c r="J1460">
        <v>8</v>
      </c>
      <c r="K1460">
        <v>0</v>
      </c>
      <c r="L1460" s="2">
        <v>0</v>
      </c>
      <c r="M1460">
        <v>18.39</v>
      </c>
      <c r="N1460" t="s">
        <v>10235</v>
      </c>
    </row>
    <row r="1461" spans="1:14">
      <c r="A1461" t="s">
        <v>35</v>
      </c>
      <c r="B1461" t="s">
        <v>1638</v>
      </c>
      <c r="C1461">
        <f>"KF8040BE"</f>
        <v>0</v>
      </c>
      <c r="D1461">
        <v>6</v>
      </c>
      <c r="E1461">
        <v>1</v>
      </c>
      <c r="F1461" s="2">
        <v>4</v>
      </c>
      <c r="G1461">
        <v>0.67</v>
      </c>
      <c r="H1461">
        <v>4</v>
      </c>
      <c r="I1461">
        <v>0.1953247947287242</v>
      </c>
      <c r="J1461">
        <v>2</v>
      </c>
      <c r="K1461">
        <v>1</v>
      </c>
      <c r="L1461" s="2">
        <v>4</v>
      </c>
      <c r="M1461">
        <v>18.4</v>
      </c>
      <c r="N1461" t="s">
        <v>10235</v>
      </c>
    </row>
    <row r="1462" spans="1:14">
      <c r="A1462" t="s">
        <v>29</v>
      </c>
      <c r="B1462" t="s">
        <v>1639</v>
      </c>
      <c r="C1462">
        <f>"AA015"</f>
        <v>0</v>
      </c>
      <c r="D1462">
        <v>3</v>
      </c>
      <c r="E1462">
        <v>35</v>
      </c>
      <c r="F1462" s="2">
        <v>1</v>
      </c>
      <c r="G1462">
        <v>46.67</v>
      </c>
      <c r="H1462">
        <v>2</v>
      </c>
      <c r="I1462">
        <v>0.1950688206316006</v>
      </c>
      <c r="J1462">
        <v>1</v>
      </c>
      <c r="K1462">
        <v>0</v>
      </c>
      <c r="L1462" s="2">
        <v>0</v>
      </c>
      <c r="M1462">
        <v>18.41</v>
      </c>
      <c r="N1462" t="s">
        <v>10236</v>
      </c>
    </row>
    <row r="1463" spans="1:14">
      <c r="A1463" t="s">
        <v>193</v>
      </c>
      <c r="B1463" t="s">
        <v>1640</v>
      </c>
      <c r="C1463">
        <f>"387927"</f>
        <v>0</v>
      </c>
      <c r="D1463">
        <v>6</v>
      </c>
      <c r="E1463">
        <v>1</v>
      </c>
      <c r="F1463" s="2">
        <v>4</v>
      </c>
      <c r="G1463">
        <v>0.67</v>
      </c>
      <c r="H1463">
        <v>1</v>
      </c>
      <c r="I1463">
        <v>0.1950649570005296</v>
      </c>
      <c r="J1463">
        <v>2</v>
      </c>
      <c r="K1463">
        <v>1</v>
      </c>
      <c r="L1463" s="2">
        <v>4</v>
      </c>
      <c r="M1463">
        <v>18.42</v>
      </c>
      <c r="N1463" t="s">
        <v>10236</v>
      </c>
    </row>
    <row r="1464" spans="1:14">
      <c r="A1464" t="s">
        <v>30</v>
      </c>
      <c r="B1464" t="s">
        <v>1641</v>
      </c>
      <c r="C1464">
        <f>"101148"</f>
        <v>0</v>
      </c>
      <c r="D1464">
        <v>6</v>
      </c>
      <c r="E1464">
        <v>1</v>
      </c>
      <c r="F1464" s="2">
        <v>1</v>
      </c>
      <c r="G1464">
        <v>0.67</v>
      </c>
      <c r="H1464">
        <v>1</v>
      </c>
      <c r="I1464">
        <v>0.1950649570005296</v>
      </c>
      <c r="J1464">
        <v>2</v>
      </c>
      <c r="K1464">
        <v>1</v>
      </c>
      <c r="L1464" s="2">
        <v>1</v>
      </c>
      <c r="M1464">
        <v>18.43</v>
      </c>
      <c r="N1464" t="s">
        <v>10236</v>
      </c>
    </row>
    <row r="1465" spans="1:14">
      <c r="A1465" t="s">
        <v>203</v>
      </c>
      <c r="B1465" t="s">
        <v>1642</v>
      </c>
      <c r="C1465">
        <f>"756116"</f>
        <v>0</v>
      </c>
      <c r="D1465">
        <v>6</v>
      </c>
      <c r="E1465">
        <v>1</v>
      </c>
      <c r="F1465" s="2">
        <v>2</v>
      </c>
      <c r="G1465">
        <v>0.67</v>
      </c>
      <c r="H1465">
        <v>2</v>
      </c>
      <c r="I1465">
        <v>0.1950649570005296</v>
      </c>
      <c r="J1465">
        <v>2</v>
      </c>
      <c r="K1465">
        <v>1</v>
      </c>
      <c r="L1465" s="2">
        <v>2</v>
      </c>
      <c r="M1465">
        <v>18.44</v>
      </c>
      <c r="N1465" t="s">
        <v>10235</v>
      </c>
    </row>
    <row r="1466" spans="1:14">
      <c r="A1466" t="s">
        <v>24</v>
      </c>
      <c r="B1466" t="s">
        <v>1643</v>
      </c>
      <c r="C1466">
        <f>"1319951"</f>
        <v>0</v>
      </c>
      <c r="D1466">
        <v>6</v>
      </c>
      <c r="E1466">
        <v>1</v>
      </c>
      <c r="F1466" s="2">
        <v>8</v>
      </c>
      <c r="G1466">
        <v>0.67</v>
      </c>
      <c r="H1466">
        <v>2</v>
      </c>
      <c r="I1466">
        <v>0.1950649570005296</v>
      </c>
      <c r="J1466">
        <v>2</v>
      </c>
      <c r="K1466">
        <v>1</v>
      </c>
      <c r="L1466" s="2">
        <v>8</v>
      </c>
      <c r="M1466">
        <v>18.45</v>
      </c>
      <c r="N1466" t="s">
        <v>10235</v>
      </c>
    </row>
    <row r="1467" spans="1:14">
      <c r="A1467" t="s">
        <v>32</v>
      </c>
      <c r="B1467" t="s">
        <v>1644</v>
      </c>
      <c r="C1467">
        <f>"1009446"</f>
        <v>0</v>
      </c>
      <c r="D1467">
        <v>6</v>
      </c>
      <c r="E1467">
        <v>1</v>
      </c>
      <c r="F1467" s="2">
        <v>8</v>
      </c>
      <c r="G1467">
        <v>0.67</v>
      </c>
      <c r="H1467">
        <v>3</v>
      </c>
      <c r="I1467">
        <v>0.1950649570005296</v>
      </c>
      <c r="J1467">
        <v>2</v>
      </c>
      <c r="K1467">
        <v>1</v>
      </c>
      <c r="L1467" s="2">
        <v>8</v>
      </c>
      <c r="M1467">
        <v>18.46</v>
      </c>
      <c r="N1467" t="s">
        <v>10235</v>
      </c>
    </row>
    <row r="1468" spans="1:14">
      <c r="A1468" t="s">
        <v>35</v>
      </c>
      <c r="B1468" t="s">
        <v>1645</v>
      </c>
      <c r="C1468">
        <f>"TQ25V"</f>
        <v>0</v>
      </c>
      <c r="D1468">
        <v>3</v>
      </c>
      <c r="E1468">
        <v>1</v>
      </c>
      <c r="F1468" s="2">
        <v>504</v>
      </c>
      <c r="G1468">
        <v>1.33</v>
      </c>
      <c r="H1468">
        <v>3</v>
      </c>
      <c r="I1468">
        <v>0.1941813966965097</v>
      </c>
      <c r="J1468">
        <v>1</v>
      </c>
      <c r="K1468">
        <v>0</v>
      </c>
      <c r="L1468" s="2">
        <v>0</v>
      </c>
      <c r="M1468">
        <v>18.47</v>
      </c>
      <c r="N1468" t="s">
        <v>10236</v>
      </c>
    </row>
    <row r="1469" spans="1:14">
      <c r="A1469" t="s">
        <v>35</v>
      </c>
      <c r="B1469" t="s">
        <v>1646</v>
      </c>
      <c r="C1469">
        <f>"FEP50C"</f>
        <v>0</v>
      </c>
      <c r="D1469">
        <v>1</v>
      </c>
      <c r="E1469">
        <v>0</v>
      </c>
      <c r="F1469" s="2">
        <v>0</v>
      </c>
      <c r="G1469">
        <v>0</v>
      </c>
      <c r="H1469">
        <v>1</v>
      </c>
      <c r="I1469">
        <v>0.1939445087879445</v>
      </c>
      <c r="J1469">
        <v>0</v>
      </c>
      <c r="K1469">
        <v>0</v>
      </c>
      <c r="L1469" s="2">
        <v>0</v>
      </c>
      <c r="M1469">
        <v>18.48</v>
      </c>
      <c r="N1469" t="s">
        <v>10236</v>
      </c>
    </row>
    <row r="1470" spans="1:14">
      <c r="A1470" t="s">
        <v>29</v>
      </c>
      <c r="B1470" t="s">
        <v>1647</v>
      </c>
      <c r="C1470">
        <f>"K723"</f>
        <v>0</v>
      </c>
      <c r="D1470">
        <v>5</v>
      </c>
      <c r="E1470">
        <v>38</v>
      </c>
      <c r="F1470" s="2">
        <v>1</v>
      </c>
      <c r="G1470">
        <v>30.4</v>
      </c>
      <c r="H1470">
        <v>3</v>
      </c>
      <c r="I1470">
        <v>0.1934801506808615</v>
      </c>
      <c r="J1470">
        <v>1</v>
      </c>
      <c r="K1470">
        <v>0</v>
      </c>
      <c r="L1470" s="2">
        <v>0</v>
      </c>
      <c r="M1470">
        <v>18.49</v>
      </c>
      <c r="N1470" t="s">
        <v>10235</v>
      </c>
    </row>
    <row r="1471" spans="1:14">
      <c r="A1471" t="s">
        <v>35</v>
      </c>
      <c r="B1471" t="s">
        <v>1648</v>
      </c>
      <c r="C1471">
        <f>"11513"</f>
        <v>0</v>
      </c>
      <c r="D1471">
        <v>26</v>
      </c>
      <c r="E1471">
        <v>86</v>
      </c>
      <c r="F1471" s="2">
        <v>1</v>
      </c>
      <c r="G1471">
        <v>13.23</v>
      </c>
      <c r="H1471">
        <v>3</v>
      </c>
      <c r="I1471">
        <v>0.1926840046362269</v>
      </c>
      <c r="J1471">
        <v>6</v>
      </c>
      <c r="K1471">
        <v>0</v>
      </c>
      <c r="L1471" s="2">
        <v>0</v>
      </c>
      <c r="M1471">
        <v>18.5</v>
      </c>
      <c r="N1471" t="s">
        <v>10235</v>
      </c>
    </row>
    <row r="1472" spans="1:14">
      <c r="A1472" t="s">
        <v>34</v>
      </c>
      <c r="B1472" t="s">
        <v>1649</v>
      </c>
      <c r="C1472">
        <f>"14000084"</f>
        <v>0</v>
      </c>
      <c r="D1472">
        <v>26</v>
      </c>
      <c r="E1472">
        <v>51</v>
      </c>
      <c r="F1472" s="2">
        <v>5</v>
      </c>
      <c r="G1472">
        <v>7.85</v>
      </c>
      <c r="H1472">
        <v>3</v>
      </c>
      <c r="I1472">
        <v>0.1926840046362269</v>
      </c>
      <c r="J1472">
        <v>6</v>
      </c>
      <c r="K1472">
        <v>0</v>
      </c>
      <c r="L1472" s="2">
        <v>0</v>
      </c>
      <c r="M1472">
        <v>18.51</v>
      </c>
      <c r="N1472" t="s">
        <v>10235</v>
      </c>
    </row>
    <row r="1473" spans="1:14">
      <c r="A1473" t="s">
        <v>35</v>
      </c>
      <c r="B1473" t="s">
        <v>1650</v>
      </c>
      <c r="C1473">
        <f>"HC044"</f>
        <v>0</v>
      </c>
      <c r="D1473">
        <v>26</v>
      </c>
      <c r="E1473">
        <v>9</v>
      </c>
      <c r="F1473" s="2">
        <v>5</v>
      </c>
      <c r="G1473">
        <v>1.38</v>
      </c>
      <c r="H1473">
        <v>3</v>
      </c>
      <c r="I1473">
        <v>0.1926840046362269</v>
      </c>
      <c r="J1473">
        <v>6</v>
      </c>
      <c r="K1473">
        <v>0</v>
      </c>
      <c r="L1473" s="2">
        <v>0</v>
      </c>
      <c r="M1473">
        <v>18.52</v>
      </c>
      <c r="N1473" t="s">
        <v>10235</v>
      </c>
    </row>
    <row r="1474" spans="1:14">
      <c r="A1474" t="s">
        <v>30</v>
      </c>
      <c r="B1474" t="s">
        <v>1651</v>
      </c>
      <c r="C1474">
        <f>"101059"</f>
        <v>0</v>
      </c>
      <c r="D1474">
        <v>23</v>
      </c>
      <c r="E1474">
        <v>7</v>
      </c>
      <c r="F1474" s="2">
        <v>4</v>
      </c>
      <c r="G1474">
        <v>1.22</v>
      </c>
      <c r="H1474">
        <v>3</v>
      </c>
      <c r="I1474">
        <v>0.1925009345116269</v>
      </c>
      <c r="J1474">
        <v>6</v>
      </c>
      <c r="K1474">
        <v>0</v>
      </c>
      <c r="L1474" s="2">
        <v>0</v>
      </c>
      <c r="M1474">
        <v>18.53</v>
      </c>
      <c r="N1474" t="s">
        <v>10235</v>
      </c>
    </row>
    <row r="1475" spans="1:14">
      <c r="A1475" t="s">
        <v>25</v>
      </c>
      <c r="B1475" t="s">
        <v>1652</v>
      </c>
      <c r="C1475">
        <f>"NFF10"</f>
        <v>0</v>
      </c>
      <c r="D1475">
        <v>1</v>
      </c>
      <c r="E1475">
        <v>33</v>
      </c>
      <c r="F1475" s="2">
        <v>1</v>
      </c>
      <c r="G1475">
        <v>132</v>
      </c>
      <c r="H1475">
        <v>1</v>
      </c>
      <c r="I1475">
        <v>0.1923978556939037</v>
      </c>
      <c r="J1475">
        <v>0</v>
      </c>
      <c r="K1475">
        <v>0</v>
      </c>
      <c r="L1475" s="2">
        <v>0</v>
      </c>
      <c r="M1475">
        <v>18.54</v>
      </c>
      <c r="N1475" t="s">
        <v>10236</v>
      </c>
    </row>
    <row r="1476" spans="1:14">
      <c r="A1476" t="s">
        <v>29</v>
      </c>
      <c r="B1476" t="s">
        <v>1653</v>
      </c>
      <c r="C1476">
        <f>"BB28"</f>
        <v>0</v>
      </c>
      <c r="D1476">
        <v>25</v>
      </c>
      <c r="E1476">
        <v>31</v>
      </c>
      <c r="F1476" s="2">
        <v>5</v>
      </c>
      <c r="G1476">
        <v>4.96</v>
      </c>
      <c r="H1476">
        <v>4</v>
      </c>
      <c r="I1476">
        <v>0.1921894450882705</v>
      </c>
      <c r="J1476">
        <v>6</v>
      </c>
      <c r="K1476">
        <v>0</v>
      </c>
      <c r="L1476" s="2">
        <v>0</v>
      </c>
      <c r="M1476">
        <v>18.55</v>
      </c>
      <c r="N1476" t="s">
        <v>10235</v>
      </c>
    </row>
    <row r="1477" spans="1:14">
      <c r="A1477" t="s">
        <v>32</v>
      </c>
      <c r="B1477" t="s">
        <v>1654</v>
      </c>
      <c r="C1477">
        <f>"5006750"</f>
        <v>0</v>
      </c>
      <c r="D1477">
        <v>10</v>
      </c>
      <c r="E1477">
        <v>2</v>
      </c>
      <c r="F1477" s="2">
        <v>13</v>
      </c>
      <c r="G1477">
        <v>0.8</v>
      </c>
      <c r="H1477">
        <v>4</v>
      </c>
      <c r="I1477">
        <v>0.1919893327919892</v>
      </c>
      <c r="J1477">
        <v>2</v>
      </c>
      <c r="K1477">
        <v>0</v>
      </c>
      <c r="L1477" s="2">
        <v>0</v>
      </c>
      <c r="M1477">
        <v>18.56</v>
      </c>
      <c r="N1477" t="s">
        <v>10235</v>
      </c>
    </row>
    <row r="1478" spans="1:14">
      <c r="A1478" t="s">
        <v>35</v>
      </c>
      <c r="B1478" t="s">
        <v>1655</v>
      </c>
      <c r="C1478">
        <f>"11537"</f>
        <v>0</v>
      </c>
      <c r="D1478">
        <v>25</v>
      </c>
      <c r="E1478">
        <v>71</v>
      </c>
      <c r="F1478" s="2">
        <v>1</v>
      </c>
      <c r="G1478">
        <v>11.36</v>
      </c>
      <c r="H1478">
        <v>2</v>
      </c>
      <c r="I1478">
        <v>0.191969718921942</v>
      </c>
      <c r="J1478">
        <v>6</v>
      </c>
      <c r="K1478">
        <v>0</v>
      </c>
      <c r="L1478" s="2">
        <v>0</v>
      </c>
      <c r="M1478">
        <v>18.57</v>
      </c>
      <c r="N1478" t="s">
        <v>10235</v>
      </c>
    </row>
    <row r="1479" spans="1:14">
      <c r="A1479" t="s">
        <v>35</v>
      </c>
      <c r="B1479" t="s">
        <v>1656</v>
      </c>
      <c r="C1479">
        <f>"MM015XS"</f>
        <v>0</v>
      </c>
      <c r="D1479">
        <v>1</v>
      </c>
      <c r="E1479">
        <v>25</v>
      </c>
      <c r="F1479" s="2">
        <v>1</v>
      </c>
      <c r="G1479">
        <v>100</v>
      </c>
      <c r="H1479">
        <v>1</v>
      </c>
      <c r="I1479">
        <v>0.191687916545831</v>
      </c>
      <c r="J1479">
        <v>0</v>
      </c>
      <c r="K1479">
        <v>0</v>
      </c>
      <c r="L1479" s="2">
        <v>0</v>
      </c>
      <c r="M1479">
        <v>18.58</v>
      </c>
      <c r="N1479" t="s">
        <v>10236</v>
      </c>
    </row>
    <row r="1480" spans="1:14">
      <c r="A1480" t="s">
        <v>35</v>
      </c>
      <c r="B1480" t="s">
        <v>1657</v>
      </c>
      <c r="C1480">
        <f>"MM015S"</f>
        <v>0</v>
      </c>
      <c r="D1480">
        <v>1</v>
      </c>
      <c r="E1480">
        <v>17</v>
      </c>
      <c r="F1480" s="2">
        <v>1</v>
      </c>
      <c r="G1480">
        <v>68</v>
      </c>
      <c r="H1480">
        <v>1</v>
      </c>
      <c r="I1480">
        <v>0.191687916545831</v>
      </c>
      <c r="J1480">
        <v>0</v>
      </c>
      <c r="K1480">
        <v>0</v>
      </c>
      <c r="L1480" s="2">
        <v>0</v>
      </c>
      <c r="M1480">
        <v>18.59</v>
      </c>
      <c r="N1480" t="s">
        <v>10236</v>
      </c>
    </row>
    <row r="1481" spans="1:14">
      <c r="A1481" t="s">
        <v>35</v>
      </c>
      <c r="B1481" t="s">
        <v>1658</v>
      </c>
      <c r="C1481">
        <f>"TH50"</f>
        <v>0</v>
      </c>
      <c r="D1481">
        <v>24</v>
      </c>
      <c r="E1481">
        <v>6</v>
      </c>
      <c r="F1481" s="2">
        <v>1</v>
      </c>
      <c r="G1481">
        <v>1</v>
      </c>
      <c r="H1481">
        <v>4</v>
      </c>
      <c r="I1481">
        <v>0.1916526441610038</v>
      </c>
      <c r="J1481">
        <v>6</v>
      </c>
      <c r="K1481">
        <v>0</v>
      </c>
      <c r="L1481" s="2">
        <v>0</v>
      </c>
      <c r="M1481">
        <v>18.6</v>
      </c>
      <c r="N1481" t="s">
        <v>10235</v>
      </c>
    </row>
    <row r="1482" spans="1:14">
      <c r="A1482" t="s">
        <v>34</v>
      </c>
      <c r="B1482" t="s">
        <v>1659</v>
      </c>
      <c r="C1482">
        <f>"14000079"</f>
        <v>0</v>
      </c>
      <c r="D1482">
        <v>21</v>
      </c>
      <c r="E1482">
        <v>5</v>
      </c>
      <c r="F1482" s="2">
        <v>37</v>
      </c>
      <c r="G1482">
        <v>0.95</v>
      </c>
      <c r="H1482">
        <v>2</v>
      </c>
      <c r="I1482">
        <v>0.191493528443374</v>
      </c>
      <c r="J1482">
        <v>5</v>
      </c>
      <c r="K1482">
        <v>0</v>
      </c>
      <c r="L1482" s="2">
        <v>0</v>
      </c>
      <c r="M1482">
        <v>18.61</v>
      </c>
      <c r="N1482" t="s">
        <v>10235</v>
      </c>
    </row>
    <row r="1483" spans="1:14">
      <c r="A1483" t="s">
        <v>39</v>
      </c>
      <c r="B1483" t="s">
        <v>1660</v>
      </c>
      <c r="C1483">
        <f>"VALIM02038"</f>
        <v>0</v>
      </c>
      <c r="D1483">
        <v>24</v>
      </c>
      <c r="E1483">
        <v>8</v>
      </c>
      <c r="F1483" s="2">
        <v>51</v>
      </c>
      <c r="G1483">
        <v>1.33</v>
      </c>
      <c r="H1483">
        <v>3</v>
      </c>
      <c r="I1483">
        <v>0.1912554332076571</v>
      </c>
      <c r="J1483">
        <v>6</v>
      </c>
      <c r="K1483">
        <v>0</v>
      </c>
      <c r="L1483" s="2">
        <v>0</v>
      </c>
      <c r="M1483">
        <v>18.62</v>
      </c>
      <c r="N1483" t="s">
        <v>10235</v>
      </c>
    </row>
    <row r="1484" spans="1:14">
      <c r="A1484" t="s">
        <v>193</v>
      </c>
      <c r="B1484" t="s">
        <v>1661</v>
      </c>
      <c r="C1484">
        <f>"671656"</f>
        <v>0</v>
      </c>
      <c r="D1484">
        <v>24</v>
      </c>
      <c r="E1484">
        <v>78</v>
      </c>
      <c r="F1484" s="2">
        <v>1</v>
      </c>
      <c r="G1484">
        <v>13</v>
      </c>
      <c r="H1484">
        <v>3</v>
      </c>
      <c r="I1484">
        <v>0.1912554332076571</v>
      </c>
      <c r="J1484">
        <v>6</v>
      </c>
      <c r="K1484">
        <v>0</v>
      </c>
      <c r="L1484" s="2">
        <v>0</v>
      </c>
      <c r="M1484">
        <v>18.63</v>
      </c>
      <c r="N1484" t="s">
        <v>10235</v>
      </c>
    </row>
    <row r="1485" spans="1:14">
      <c r="A1485" t="s">
        <v>35</v>
      </c>
      <c r="B1485" t="s">
        <v>1662</v>
      </c>
      <c r="C1485">
        <f>"CK1006"</f>
        <v>0</v>
      </c>
      <c r="D1485">
        <v>24</v>
      </c>
      <c r="E1485">
        <v>13</v>
      </c>
      <c r="F1485" s="2">
        <v>1</v>
      </c>
      <c r="G1485">
        <v>2.17</v>
      </c>
      <c r="H1485">
        <v>3</v>
      </c>
      <c r="I1485">
        <v>0.1912554332076571</v>
      </c>
      <c r="J1485">
        <v>6</v>
      </c>
      <c r="K1485">
        <v>0</v>
      </c>
      <c r="L1485" s="2">
        <v>0</v>
      </c>
      <c r="M1485">
        <v>18.64</v>
      </c>
      <c r="N1485" t="s">
        <v>10235</v>
      </c>
    </row>
    <row r="1486" spans="1:14">
      <c r="A1486" t="s">
        <v>25</v>
      </c>
      <c r="B1486" t="s">
        <v>1663</v>
      </c>
      <c r="C1486">
        <f>"R3H"</f>
        <v>0</v>
      </c>
      <c r="D1486">
        <v>10</v>
      </c>
      <c r="E1486">
        <v>2</v>
      </c>
      <c r="F1486" s="2">
        <v>25</v>
      </c>
      <c r="G1486">
        <v>0.8</v>
      </c>
      <c r="H1486">
        <v>3</v>
      </c>
      <c r="I1486">
        <v>0.1912554331976691</v>
      </c>
      <c r="J1486">
        <v>2</v>
      </c>
      <c r="K1486">
        <v>0</v>
      </c>
      <c r="L1486" s="2">
        <v>0</v>
      </c>
      <c r="M1486">
        <v>18.65</v>
      </c>
      <c r="N1486" t="s">
        <v>10235</v>
      </c>
    </row>
    <row r="1487" spans="1:14">
      <c r="A1487" t="s">
        <v>194</v>
      </c>
      <c r="B1487" t="s">
        <v>1664</v>
      </c>
      <c r="C1487">
        <f>"500101"</f>
        <v>0</v>
      </c>
      <c r="D1487">
        <v>10</v>
      </c>
      <c r="E1487">
        <v>2</v>
      </c>
      <c r="F1487" s="2">
        <v>7</v>
      </c>
      <c r="G1487">
        <v>0.8</v>
      </c>
      <c r="H1487">
        <v>3</v>
      </c>
      <c r="I1487">
        <v>0.1912554331976691</v>
      </c>
      <c r="J1487">
        <v>2</v>
      </c>
      <c r="K1487">
        <v>0</v>
      </c>
      <c r="L1487" s="2">
        <v>0</v>
      </c>
      <c r="M1487">
        <v>18.66</v>
      </c>
      <c r="N1487" t="s">
        <v>10235</v>
      </c>
    </row>
    <row r="1488" spans="1:14">
      <c r="A1488" t="s">
        <v>192</v>
      </c>
      <c r="B1488" t="s">
        <v>1665</v>
      </c>
      <c r="C1488">
        <f>"AB102"</f>
        <v>0</v>
      </c>
      <c r="D1488">
        <v>23</v>
      </c>
      <c r="E1488">
        <v>12</v>
      </c>
      <c r="F1488" s="2">
        <v>1</v>
      </c>
      <c r="G1488">
        <v>2.09</v>
      </c>
      <c r="H1488">
        <v>3</v>
      </c>
      <c r="I1488">
        <v>0.1905411474933723</v>
      </c>
      <c r="J1488">
        <v>6</v>
      </c>
      <c r="K1488">
        <v>0</v>
      </c>
      <c r="L1488" s="2">
        <v>0</v>
      </c>
      <c r="M1488">
        <v>18.67</v>
      </c>
      <c r="N1488" t="s">
        <v>10235</v>
      </c>
    </row>
    <row r="1489" spans="1:14">
      <c r="A1489" t="s">
        <v>34</v>
      </c>
      <c r="B1489" t="s">
        <v>1666</v>
      </c>
      <c r="C1489">
        <f>"14000167"</f>
        <v>0</v>
      </c>
      <c r="D1489">
        <v>18</v>
      </c>
      <c r="E1489">
        <v>9</v>
      </c>
      <c r="F1489" s="2">
        <v>23</v>
      </c>
      <c r="G1489">
        <v>2</v>
      </c>
      <c r="H1489">
        <v>4</v>
      </c>
      <c r="I1489">
        <v>0.1903341205446643</v>
      </c>
      <c r="J1489">
        <v>4</v>
      </c>
      <c r="K1489">
        <v>0</v>
      </c>
      <c r="L1489" s="2">
        <v>0</v>
      </c>
      <c r="M1489">
        <v>18.68</v>
      </c>
      <c r="N1489" t="s">
        <v>10235</v>
      </c>
    </row>
    <row r="1490" spans="1:14">
      <c r="A1490" t="s">
        <v>34</v>
      </c>
      <c r="B1490" t="s">
        <v>1667</v>
      </c>
      <c r="C1490">
        <f>"14000031"</f>
        <v>0</v>
      </c>
      <c r="D1490">
        <v>19</v>
      </c>
      <c r="E1490">
        <v>6</v>
      </c>
      <c r="F1490" s="2">
        <v>30</v>
      </c>
      <c r="G1490">
        <v>1.26</v>
      </c>
      <c r="H1490">
        <v>4</v>
      </c>
      <c r="I1490">
        <v>0.1902972906402883</v>
      </c>
      <c r="J1490">
        <v>5</v>
      </c>
      <c r="K1490">
        <v>0</v>
      </c>
      <c r="L1490" s="2">
        <v>0</v>
      </c>
      <c r="M1490">
        <v>18.69</v>
      </c>
      <c r="N1490" t="s">
        <v>10235</v>
      </c>
    </row>
    <row r="1491" spans="1:14">
      <c r="A1491" t="s">
        <v>41</v>
      </c>
      <c r="B1491" t="s">
        <v>1668</v>
      </c>
      <c r="C1491">
        <f>"PAHR30"</f>
        <v>0</v>
      </c>
      <c r="D1491">
        <v>20</v>
      </c>
      <c r="E1491">
        <v>10</v>
      </c>
      <c r="F1491" s="2">
        <v>7</v>
      </c>
      <c r="G1491">
        <v>2</v>
      </c>
      <c r="H1491">
        <v>2</v>
      </c>
      <c r="I1491">
        <v>0.1902041980584275</v>
      </c>
      <c r="J1491">
        <v>5</v>
      </c>
      <c r="K1491">
        <v>0</v>
      </c>
      <c r="L1491" s="2">
        <v>0</v>
      </c>
      <c r="M1491">
        <v>18.7</v>
      </c>
      <c r="N1491" t="s">
        <v>10235</v>
      </c>
    </row>
    <row r="1492" spans="1:14">
      <c r="A1492" t="s">
        <v>35</v>
      </c>
      <c r="B1492" t="s">
        <v>1669</v>
      </c>
      <c r="C1492">
        <f>"TP100"</f>
        <v>0</v>
      </c>
      <c r="D1492">
        <v>20</v>
      </c>
      <c r="E1492">
        <v>5</v>
      </c>
      <c r="F1492" s="2">
        <v>12</v>
      </c>
      <c r="G1492">
        <v>1</v>
      </c>
      <c r="H1492">
        <v>4</v>
      </c>
      <c r="I1492">
        <v>0.19010107939717</v>
      </c>
      <c r="J1492">
        <v>5</v>
      </c>
      <c r="K1492">
        <v>0</v>
      </c>
      <c r="L1492" s="2">
        <v>0</v>
      </c>
      <c r="M1492">
        <v>18.71</v>
      </c>
      <c r="N1492" t="s">
        <v>10235</v>
      </c>
    </row>
    <row r="1493" spans="1:14">
      <c r="A1493" t="s">
        <v>35</v>
      </c>
      <c r="B1493" t="s">
        <v>1670</v>
      </c>
      <c r="C1493">
        <f>"KL08"</f>
        <v>0</v>
      </c>
      <c r="D1493">
        <v>3</v>
      </c>
      <c r="E1493">
        <v>98</v>
      </c>
      <c r="F1493" s="2">
        <v>3</v>
      </c>
      <c r="G1493">
        <v>130.67</v>
      </c>
      <c r="H1493">
        <v>1</v>
      </c>
      <c r="I1493">
        <v>0.1900992465950919</v>
      </c>
      <c r="J1493">
        <v>1</v>
      </c>
      <c r="K1493">
        <v>0</v>
      </c>
      <c r="L1493" s="2">
        <v>0</v>
      </c>
      <c r="M1493">
        <v>18.72</v>
      </c>
      <c r="N1493" t="s">
        <v>10236</v>
      </c>
    </row>
    <row r="1494" spans="1:14">
      <c r="A1494" t="s">
        <v>36</v>
      </c>
      <c r="B1494" t="s">
        <v>1671</v>
      </c>
      <c r="C1494">
        <f>"5001172"</f>
        <v>0</v>
      </c>
      <c r="D1494">
        <v>22</v>
      </c>
      <c r="E1494">
        <v>14</v>
      </c>
      <c r="F1494" s="2">
        <v>8</v>
      </c>
      <c r="G1494">
        <v>2.55</v>
      </c>
      <c r="H1494">
        <v>4</v>
      </c>
      <c r="I1494">
        <v>0.1900907816573834</v>
      </c>
      <c r="J1494">
        <v>6</v>
      </c>
      <c r="K1494">
        <v>0</v>
      </c>
      <c r="L1494" s="2">
        <v>0</v>
      </c>
      <c r="M1494">
        <v>18.73</v>
      </c>
      <c r="N1494" t="s">
        <v>10235</v>
      </c>
    </row>
    <row r="1495" spans="1:14">
      <c r="A1495" t="s">
        <v>36</v>
      </c>
      <c r="B1495" t="s">
        <v>84</v>
      </c>
      <c r="C1495">
        <f>"1003775"</f>
        <v>0</v>
      </c>
      <c r="D1495">
        <v>18</v>
      </c>
      <c r="E1495">
        <v>6</v>
      </c>
      <c r="F1495" s="2">
        <v>4</v>
      </c>
      <c r="G1495">
        <v>1.33</v>
      </c>
      <c r="H1495">
        <v>2</v>
      </c>
      <c r="I1495">
        <v>0.1898643183134272</v>
      </c>
      <c r="J1495">
        <v>4</v>
      </c>
      <c r="K1495">
        <v>0</v>
      </c>
      <c r="L1495" s="2">
        <v>0</v>
      </c>
      <c r="M1495">
        <v>18.74</v>
      </c>
      <c r="N1495" t="s">
        <v>10235</v>
      </c>
    </row>
    <row r="1496" spans="1:14">
      <c r="A1496" t="s">
        <v>35</v>
      </c>
      <c r="B1496" t="s">
        <v>1672</v>
      </c>
      <c r="C1496">
        <f>"KLMT2"</f>
        <v>0</v>
      </c>
      <c r="D1496">
        <v>21</v>
      </c>
      <c r="E1496">
        <v>7</v>
      </c>
      <c r="F1496" s="2">
        <v>3</v>
      </c>
      <c r="G1496">
        <v>1.33</v>
      </c>
      <c r="H1496">
        <v>3</v>
      </c>
      <c r="I1496">
        <v>0.1891125760648026</v>
      </c>
      <c r="J1496">
        <v>5</v>
      </c>
      <c r="K1496">
        <v>0</v>
      </c>
      <c r="L1496" s="2">
        <v>0</v>
      </c>
      <c r="M1496">
        <v>18.75</v>
      </c>
      <c r="N1496" t="s">
        <v>10235</v>
      </c>
    </row>
    <row r="1497" spans="1:14">
      <c r="A1497" t="s">
        <v>35</v>
      </c>
      <c r="B1497" t="s">
        <v>1673</v>
      </c>
      <c r="C1497">
        <f>"9306"</f>
        <v>0</v>
      </c>
      <c r="D1497">
        <v>21</v>
      </c>
      <c r="E1497">
        <v>29</v>
      </c>
      <c r="F1497" s="2">
        <v>1</v>
      </c>
      <c r="G1497">
        <v>5.52</v>
      </c>
      <c r="H1497">
        <v>3</v>
      </c>
      <c r="I1497">
        <v>0.1891125760648026</v>
      </c>
      <c r="J1497">
        <v>5</v>
      </c>
      <c r="K1497">
        <v>0</v>
      </c>
      <c r="L1497" s="2">
        <v>0</v>
      </c>
      <c r="M1497">
        <v>18.76</v>
      </c>
      <c r="N1497" t="s">
        <v>10235</v>
      </c>
    </row>
    <row r="1498" spans="1:14">
      <c r="A1498" t="s">
        <v>35</v>
      </c>
      <c r="B1498" t="s">
        <v>1674</v>
      </c>
      <c r="C1498">
        <f>"11551"</f>
        <v>0</v>
      </c>
      <c r="D1498">
        <v>21</v>
      </c>
      <c r="E1498">
        <v>81</v>
      </c>
      <c r="F1498" s="2">
        <v>1</v>
      </c>
      <c r="G1498">
        <v>15.43</v>
      </c>
      <c r="H1498">
        <v>2</v>
      </c>
      <c r="I1498">
        <v>0.1891125760648026</v>
      </c>
      <c r="J1498">
        <v>5</v>
      </c>
      <c r="K1498">
        <v>0</v>
      </c>
      <c r="L1498" s="2">
        <v>0</v>
      </c>
      <c r="M1498">
        <v>18.77</v>
      </c>
      <c r="N1498" t="s">
        <v>10235</v>
      </c>
    </row>
    <row r="1499" spans="1:14">
      <c r="A1499" t="s">
        <v>34</v>
      </c>
      <c r="B1499" t="s">
        <v>1675</v>
      </c>
      <c r="C1499">
        <f>"14000131"</f>
        <v>0</v>
      </c>
      <c r="D1499">
        <v>21</v>
      </c>
      <c r="E1499">
        <v>7</v>
      </c>
      <c r="F1499" s="2">
        <v>30</v>
      </c>
      <c r="G1499">
        <v>1.33</v>
      </c>
      <c r="H1499">
        <v>3</v>
      </c>
      <c r="I1499">
        <v>0.1891125760648026</v>
      </c>
      <c r="J1499">
        <v>5</v>
      </c>
      <c r="K1499">
        <v>0</v>
      </c>
      <c r="L1499" s="2">
        <v>0</v>
      </c>
      <c r="M1499">
        <v>18.78</v>
      </c>
      <c r="N1499" t="s">
        <v>10235</v>
      </c>
    </row>
    <row r="1500" spans="1:14">
      <c r="A1500" t="s">
        <v>29</v>
      </c>
      <c r="B1500" t="s">
        <v>1676</v>
      </c>
      <c r="C1500">
        <f>"F2M3"</f>
        <v>0</v>
      </c>
      <c r="D1500">
        <v>21</v>
      </c>
      <c r="E1500">
        <v>19</v>
      </c>
      <c r="F1500" s="2">
        <v>1</v>
      </c>
      <c r="G1500">
        <v>3.62</v>
      </c>
      <c r="H1500">
        <v>1</v>
      </c>
      <c r="I1500">
        <v>0.1891125760648026</v>
      </c>
      <c r="J1500">
        <v>5</v>
      </c>
      <c r="K1500">
        <v>0</v>
      </c>
      <c r="L1500" s="2">
        <v>0</v>
      </c>
      <c r="M1500">
        <v>18.79</v>
      </c>
      <c r="N1500" t="s">
        <v>10236</v>
      </c>
    </row>
    <row r="1501" spans="1:14">
      <c r="A1501" t="s">
        <v>35</v>
      </c>
      <c r="B1501" t="s">
        <v>1677</v>
      </c>
      <c r="C1501">
        <f>"ck5030"</f>
        <v>0</v>
      </c>
      <c r="D1501">
        <v>17</v>
      </c>
      <c r="E1501">
        <v>20</v>
      </c>
      <c r="F1501" s="2">
        <v>8</v>
      </c>
      <c r="G1501">
        <v>4.71</v>
      </c>
      <c r="H1501">
        <v>2</v>
      </c>
      <c r="I1501">
        <v>0.1886976238770331</v>
      </c>
      <c r="J1501">
        <v>4</v>
      </c>
      <c r="K1501">
        <v>0</v>
      </c>
      <c r="L1501" s="2">
        <v>0</v>
      </c>
      <c r="M1501">
        <v>18.8</v>
      </c>
      <c r="N1501" t="s">
        <v>10235</v>
      </c>
    </row>
    <row r="1502" spans="1:14">
      <c r="A1502" t="s">
        <v>35</v>
      </c>
      <c r="B1502" t="s">
        <v>1678</v>
      </c>
      <c r="C1502">
        <f>"KLMT3"</f>
        <v>0</v>
      </c>
      <c r="D1502">
        <v>20</v>
      </c>
      <c r="E1502">
        <v>11</v>
      </c>
      <c r="F1502" s="2">
        <v>5</v>
      </c>
      <c r="G1502">
        <v>2.2</v>
      </c>
      <c r="H1502">
        <v>4</v>
      </c>
      <c r="I1502">
        <v>0.1886368299042701</v>
      </c>
      <c r="J1502">
        <v>5</v>
      </c>
      <c r="K1502">
        <v>0</v>
      </c>
      <c r="L1502" s="2">
        <v>0</v>
      </c>
      <c r="M1502">
        <v>18.81</v>
      </c>
      <c r="N1502" t="s">
        <v>10235</v>
      </c>
    </row>
    <row r="1503" spans="1:14">
      <c r="A1503" t="s">
        <v>221</v>
      </c>
      <c r="B1503" t="s">
        <v>1679</v>
      </c>
      <c r="C1503">
        <f>"132190"</f>
        <v>0</v>
      </c>
      <c r="D1503">
        <v>20</v>
      </c>
      <c r="E1503">
        <v>19</v>
      </c>
      <c r="F1503" s="2">
        <v>2</v>
      </c>
      <c r="G1503">
        <v>3.8</v>
      </c>
      <c r="H1503">
        <v>3</v>
      </c>
      <c r="I1503">
        <v>0.1883982903505177</v>
      </c>
      <c r="J1503">
        <v>5</v>
      </c>
      <c r="K1503">
        <v>0</v>
      </c>
      <c r="L1503" s="2">
        <v>0</v>
      </c>
      <c r="M1503">
        <v>18.82</v>
      </c>
      <c r="N1503" t="s">
        <v>10235</v>
      </c>
    </row>
    <row r="1504" spans="1:14">
      <c r="A1504" t="s">
        <v>35</v>
      </c>
      <c r="B1504" t="s">
        <v>1680</v>
      </c>
      <c r="C1504">
        <f>"CK1032"</f>
        <v>0</v>
      </c>
      <c r="D1504">
        <v>20</v>
      </c>
      <c r="E1504">
        <v>7</v>
      </c>
      <c r="F1504" s="2">
        <v>1</v>
      </c>
      <c r="G1504">
        <v>1.4</v>
      </c>
      <c r="H1504">
        <v>3</v>
      </c>
      <c r="I1504">
        <v>0.1883982903505177</v>
      </c>
      <c r="J1504">
        <v>5</v>
      </c>
      <c r="K1504">
        <v>0</v>
      </c>
      <c r="L1504" s="2">
        <v>0</v>
      </c>
      <c r="M1504">
        <v>18.83</v>
      </c>
      <c r="N1504" t="s">
        <v>10235</v>
      </c>
    </row>
    <row r="1505" spans="1:14">
      <c r="A1505" t="s">
        <v>37</v>
      </c>
      <c r="B1505" t="s">
        <v>1681</v>
      </c>
      <c r="C1505">
        <f>"576075"</f>
        <v>0</v>
      </c>
      <c r="D1505">
        <v>20</v>
      </c>
      <c r="E1505">
        <v>13</v>
      </c>
      <c r="F1505" s="2">
        <v>1</v>
      </c>
      <c r="G1505">
        <v>2.6</v>
      </c>
      <c r="H1505">
        <v>3</v>
      </c>
      <c r="I1505">
        <v>0.1883982903505177</v>
      </c>
      <c r="J1505">
        <v>5</v>
      </c>
      <c r="K1505">
        <v>0</v>
      </c>
      <c r="L1505" s="2">
        <v>0</v>
      </c>
      <c r="M1505">
        <v>18.84</v>
      </c>
      <c r="N1505" t="s">
        <v>10235</v>
      </c>
    </row>
    <row r="1506" spans="1:14">
      <c r="A1506" t="s">
        <v>29</v>
      </c>
      <c r="B1506" t="s">
        <v>1682</v>
      </c>
      <c r="C1506">
        <f>"F2M2"</f>
        <v>0</v>
      </c>
      <c r="D1506">
        <v>20</v>
      </c>
      <c r="E1506">
        <v>36</v>
      </c>
      <c r="F1506" s="2">
        <v>0</v>
      </c>
      <c r="G1506">
        <v>7.2</v>
      </c>
      <c r="H1506">
        <v>1</v>
      </c>
      <c r="I1506">
        <v>0.1883982903505177</v>
      </c>
      <c r="J1506">
        <v>5</v>
      </c>
      <c r="K1506">
        <v>0</v>
      </c>
      <c r="L1506" s="2">
        <v>0</v>
      </c>
      <c r="M1506">
        <v>18.85</v>
      </c>
      <c r="N1506" t="s">
        <v>10236</v>
      </c>
    </row>
    <row r="1507" spans="1:14">
      <c r="A1507" t="s">
        <v>31</v>
      </c>
      <c r="B1507" t="s">
        <v>1683</v>
      </c>
      <c r="C1507">
        <f>"1020893"</f>
        <v>0</v>
      </c>
      <c r="D1507">
        <v>20</v>
      </c>
      <c r="E1507">
        <v>22</v>
      </c>
      <c r="F1507" s="2">
        <v>14</v>
      </c>
      <c r="G1507">
        <v>4.4</v>
      </c>
      <c r="H1507">
        <v>3</v>
      </c>
      <c r="I1507">
        <v>0.1883982903505177</v>
      </c>
      <c r="J1507">
        <v>5</v>
      </c>
      <c r="K1507">
        <v>0</v>
      </c>
      <c r="L1507" s="2">
        <v>0</v>
      </c>
      <c r="M1507">
        <v>18.86</v>
      </c>
      <c r="N1507" t="s">
        <v>10235</v>
      </c>
    </row>
    <row r="1508" spans="1:14">
      <c r="A1508" t="s">
        <v>30</v>
      </c>
      <c r="B1508" t="s">
        <v>1684</v>
      </c>
      <c r="C1508">
        <f>"100898"</f>
        <v>0</v>
      </c>
      <c r="D1508">
        <v>5</v>
      </c>
      <c r="E1508">
        <v>1</v>
      </c>
      <c r="F1508" s="2">
        <v>12</v>
      </c>
      <c r="G1508">
        <v>0.8</v>
      </c>
      <c r="H1508">
        <v>4</v>
      </c>
      <c r="I1508">
        <v>0.1882492936728976</v>
      </c>
      <c r="J1508">
        <v>1</v>
      </c>
      <c r="K1508">
        <v>0</v>
      </c>
      <c r="L1508" s="2">
        <v>0</v>
      </c>
      <c r="M1508">
        <v>18.87</v>
      </c>
      <c r="N1508" t="s">
        <v>10235</v>
      </c>
    </row>
    <row r="1509" spans="1:14">
      <c r="A1509" t="s">
        <v>37</v>
      </c>
      <c r="B1509" t="s">
        <v>1685</v>
      </c>
      <c r="C1509">
        <f>"60175"</f>
        <v>0</v>
      </c>
      <c r="D1509">
        <v>13</v>
      </c>
      <c r="E1509">
        <v>3</v>
      </c>
      <c r="F1509" s="2">
        <v>5</v>
      </c>
      <c r="G1509">
        <v>0.92</v>
      </c>
      <c r="H1509">
        <v>3</v>
      </c>
      <c r="I1509">
        <v>0.1880181003794435</v>
      </c>
      <c r="J1509">
        <v>3</v>
      </c>
      <c r="K1509">
        <v>0</v>
      </c>
      <c r="L1509" s="2">
        <v>0</v>
      </c>
      <c r="M1509">
        <v>18.88</v>
      </c>
      <c r="N1509" t="s">
        <v>10235</v>
      </c>
    </row>
    <row r="1510" spans="1:14">
      <c r="A1510" t="s">
        <v>31</v>
      </c>
      <c r="B1510" t="s">
        <v>1686</v>
      </c>
      <c r="C1510">
        <f>"RCM054"</f>
        <v>0</v>
      </c>
      <c r="D1510">
        <v>19</v>
      </c>
      <c r="E1510">
        <v>5</v>
      </c>
      <c r="F1510" s="2">
        <v>10</v>
      </c>
      <c r="G1510">
        <v>1.05</v>
      </c>
      <c r="H1510">
        <v>4</v>
      </c>
      <c r="I1510">
        <v>0.1879253839465775</v>
      </c>
      <c r="J1510">
        <v>5</v>
      </c>
      <c r="K1510">
        <v>0</v>
      </c>
      <c r="L1510" s="2">
        <v>0</v>
      </c>
      <c r="M1510">
        <v>18.89</v>
      </c>
      <c r="N1510" t="s">
        <v>10235</v>
      </c>
    </row>
    <row r="1511" spans="1:14">
      <c r="A1511" t="s">
        <v>35</v>
      </c>
      <c r="B1511" t="s">
        <v>1687</v>
      </c>
      <c r="C1511">
        <f>"HDD146CE"</f>
        <v>0</v>
      </c>
      <c r="D1511">
        <v>3</v>
      </c>
      <c r="E1511">
        <v>6</v>
      </c>
      <c r="F1511" s="2">
        <v>1</v>
      </c>
      <c r="G1511">
        <v>8</v>
      </c>
      <c r="H1511">
        <v>2</v>
      </c>
      <c r="I1511">
        <v>0.1877919443638558</v>
      </c>
      <c r="J1511">
        <v>1</v>
      </c>
      <c r="K1511">
        <v>0</v>
      </c>
      <c r="L1511" s="2">
        <v>0</v>
      </c>
      <c r="M1511">
        <v>18.9</v>
      </c>
      <c r="N1511" t="s">
        <v>10236</v>
      </c>
    </row>
    <row r="1512" spans="1:14">
      <c r="A1512" t="s">
        <v>35</v>
      </c>
      <c r="B1512" t="s">
        <v>1688</v>
      </c>
      <c r="C1512">
        <f>"KF8005BB"</f>
        <v>0</v>
      </c>
      <c r="D1512">
        <v>9</v>
      </c>
      <c r="E1512">
        <v>2</v>
      </c>
      <c r="F1512" s="2">
        <v>11</v>
      </c>
      <c r="G1512">
        <v>0.89</v>
      </c>
      <c r="H1512">
        <v>2</v>
      </c>
      <c r="I1512">
        <v>0.1877881330636673</v>
      </c>
      <c r="J1512">
        <v>2</v>
      </c>
      <c r="K1512">
        <v>0</v>
      </c>
      <c r="L1512" s="2">
        <v>0</v>
      </c>
      <c r="M1512">
        <v>18.91</v>
      </c>
      <c r="N1512" t="s">
        <v>10235</v>
      </c>
    </row>
    <row r="1513" spans="1:14">
      <c r="A1513" t="s">
        <v>31</v>
      </c>
      <c r="B1513" t="s">
        <v>1689</v>
      </c>
      <c r="C1513">
        <f>"RCM051"</f>
        <v>0</v>
      </c>
      <c r="D1513">
        <v>15</v>
      </c>
      <c r="E1513">
        <v>7</v>
      </c>
      <c r="F1513" s="2">
        <v>6</v>
      </c>
      <c r="G1513">
        <v>1.87</v>
      </c>
      <c r="H1513">
        <v>4</v>
      </c>
      <c r="I1513">
        <v>0.1877269631989702</v>
      </c>
      <c r="J1513">
        <v>4</v>
      </c>
      <c r="K1513">
        <v>0</v>
      </c>
      <c r="L1513" s="2">
        <v>0</v>
      </c>
      <c r="M1513">
        <v>18.92</v>
      </c>
      <c r="N1513" t="s">
        <v>10235</v>
      </c>
    </row>
    <row r="1514" spans="1:14">
      <c r="A1514" t="s">
        <v>25</v>
      </c>
      <c r="B1514" t="s">
        <v>1690</v>
      </c>
      <c r="C1514">
        <f>"MYG003"</f>
        <v>0</v>
      </c>
      <c r="D1514">
        <v>19</v>
      </c>
      <c r="E1514">
        <v>10</v>
      </c>
      <c r="F1514" s="2">
        <v>0</v>
      </c>
      <c r="G1514">
        <v>2.11</v>
      </c>
      <c r="H1514">
        <v>3</v>
      </c>
      <c r="I1514">
        <v>0.1876840046362328</v>
      </c>
      <c r="J1514">
        <v>5</v>
      </c>
      <c r="K1514">
        <v>0</v>
      </c>
      <c r="L1514" s="2">
        <v>0</v>
      </c>
      <c r="M1514">
        <v>18.93</v>
      </c>
      <c r="N1514" t="s">
        <v>10235</v>
      </c>
    </row>
    <row r="1515" spans="1:14">
      <c r="A1515" t="s">
        <v>35</v>
      </c>
      <c r="B1515" t="s">
        <v>1691</v>
      </c>
      <c r="C1515">
        <f>"TC0072CEL"</f>
        <v>0</v>
      </c>
      <c r="D1515">
        <v>5</v>
      </c>
      <c r="E1515">
        <v>1</v>
      </c>
      <c r="F1515" s="2">
        <v>765</v>
      </c>
      <c r="G1515">
        <v>0.8</v>
      </c>
      <c r="H1515">
        <v>3</v>
      </c>
      <c r="I1515">
        <v>0.1876840046262447</v>
      </c>
      <c r="J1515">
        <v>1</v>
      </c>
      <c r="K1515">
        <v>0</v>
      </c>
      <c r="L1515" s="2">
        <v>0</v>
      </c>
      <c r="M1515">
        <v>18.94</v>
      </c>
      <c r="N1515" t="s">
        <v>10235</v>
      </c>
    </row>
    <row r="1516" spans="1:14">
      <c r="A1516" t="s">
        <v>25</v>
      </c>
      <c r="B1516" t="s">
        <v>1692</v>
      </c>
      <c r="C1516">
        <f>"RJ309"</f>
        <v>0</v>
      </c>
      <c r="D1516">
        <v>5</v>
      </c>
      <c r="E1516">
        <v>1</v>
      </c>
      <c r="F1516" s="2">
        <v>1</v>
      </c>
      <c r="G1516">
        <v>0.8</v>
      </c>
      <c r="H1516">
        <v>3</v>
      </c>
      <c r="I1516">
        <v>0.1876840046262447</v>
      </c>
      <c r="J1516">
        <v>1</v>
      </c>
      <c r="K1516">
        <v>0</v>
      </c>
      <c r="L1516" s="2">
        <v>0</v>
      </c>
      <c r="M1516">
        <v>18.95</v>
      </c>
      <c r="N1516" t="s">
        <v>10235</v>
      </c>
    </row>
    <row r="1517" spans="1:14">
      <c r="A1517" t="s">
        <v>35</v>
      </c>
      <c r="B1517" t="s">
        <v>1693</v>
      </c>
      <c r="C1517">
        <f>"D046M"</f>
        <v>0</v>
      </c>
      <c r="D1517">
        <v>5</v>
      </c>
      <c r="E1517">
        <v>1</v>
      </c>
      <c r="F1517" s="2">
        <v>1</v>
      </c>
      <c r="G1517">
        <v>0.8</v>
      </c>
      <c r="H1517">
        <v>2</v>
      </c>
      <c r="I1517">
        <v>0.1876840046262447</v>
      </c>
      <c r="J1517">
        <v>1</v>
      </c>
      <c r="K1517">
        <v>0</v>
      </c>
      <c r="L1517" s="2">
        <v>0</v>
      </c>
      <c r="M1517">
        <v>18.96</v>
      </c>
      <c r="N1517" t="s">
        <v>10235</v>
      </c>
    </row>
    <row r="1518" spans="1:14">
      <c r="A1518" t="s">
        <v>25</v>
      </c>
      <c r="B1518" t="s">
        <v>1694</v>
      </c>
      <c r="C1518">
        <f>"ZVP4341"</f>
        <v>0</v>
      </c>
      <c r="D1518">
        <v>5</v>
      </c>
      <c r="E1518">
        <v>1</v>
      </c>
      <c r="F1518" s="2">
        <v>2</v>
      </c>
      <c r="G1518">
        <v>0.8</v>
      </c>
      <c r="H1518">
        <v>2</v>
      </c>
      <c r="I1518">
        <v>0.1876840046262447</v>
      </c>
      <c r="J1518">
        <v>1</v>
      </c>
      <c r="K1518">
        <v>0</v>
      </c>
      <c r="L1518" s="2">
        <v>0</v>
      </c>
      <c r="M1518">
        <v>18.97</v>
      </c>
      <c r="N1518" t="s">
        <v>10235</v>
      </c>
    </row>
    <row r="1519" spans="1:14">
      <c r="A1519" t="s">
        <v>192</v>
      </c>
      <c r="B1519" t="s">
        <v>1695</v>
      </c>
      <c r="C1519">
        <f>"AB83"</f>
        <v>0</v>
      </c>
      <c r="D1519">
        <v>5</v>
      </c>
      <c r="E1519">
        <v>1</v>
      </c>
      <c r="F1519" s="2">
        <v>891</v>
      </c>
      <c r="G1519">
        <v>0.8</v>
      </c>
      <c r="H1519">
        <v>2</v>
      </c>
      <c r="I1519">
        <v>0.1876840046262447</v>
      </c>
      <c r="J1519">
        <v>1</v>
      </c>
      <c r="K1519">
        <v>0</v>
      </c>
      <c r="L1519" s="2">
        <v>0</v>
      </c>
      <c r="M1519">
        <v>18.98</v>
      </c>
      <c r="N1519" t="s">
        <v>10235</v>
      </c>
    </row>
    <row r="1520" spans="1:14">
      <c r="A1520" t="s">
        <v>24</v>
      </c>
      <c r="B1520" t="s">
        <v>1696</v>
      </c>
      <c r="C1520">
        <f>"1158301"</f>
        <v>0</v>
      </c>
      <c r="D1520">
        <v>5</v>
      </c>
      <c r="E1520">
        <v>1</v>
      </c>
      <c r="F1520" s="2">
        <v>5</v>
      </c>
      <c r="G1520">
        <v>0.8</v>
      </c>
      <c r="H1520">
        <v>2</v>
      </c>
      <c r="I1520">
        <v>0.1876840046262447</v>
      </c>
      <c r="J1520">
        <v>1</v>
      </c>
      <c r="K1520">
        <v>0</v>
      </c>
      <c r="L1520" s="2">
        <v>0</v>
      </c>
      <c r="M1520">
        <v>18.99</v>
      </c>
      <c r="N1520" t="s">
        <v>10235</v>
      </c>
    </row>
    <row r="1521" spans="1:14">
      <c r="A1521" t="s">
        <v>41</v>
      </c>
      <c r="B1521" t="s">
        <v>1697</v>
      </c>
      <c r="C1521">
        <f>"CENTROALLE"</f>
        <v>0</v>
      </c>
      <c r="D1521">
        <v>5</v>
      </c>
      <c r="E1521">
        <v>1</v>
      </c>
      <c r="F1521" s="2">
        <v>13</v>
      </c>
      <c r="G1521">
        <v>0.8</v>
      </c>
      <c r="H1521">
        <v>1</v>
      </c>
      <c r="I1521">
        <v>0.1876840046262447</v>
      </c>
      <c r="J1521">
        <v>1</v>
      </c>
      <c r="K1521">
        <v>0</v>
      </c>
      <c r="L1521" s="2">
        <v>0</v>
      </c>
      <c r="M1521">
        <v>19</v>
      </c>
      <c r="N1521" t="s">
        <v>10236</v>
      </c>
    </row>
    <row r="1522" spans="1:14">
      <c r="A1522" t="s">
        <v>197</v>
      </c>
      <c r="B1522" t="s">
        <v>1698</v>
      </c>
      <c r="C1522">
        <f>"ANS34"</f>
        <v>0</v>
      </c>
      <c r="D1522">
        <v>8</v>
      </c>
      <c r="E1522">
        <v>0</v>
      </c>
      <c r="F1522" s="2">
        <v>0</v>
      </c>
      <c r="G1522">
        <v>0</v>
      </c>
      <c r="H1522">
        <v>4</v>
      </c>
      <c r="I1522">
        <v>0.1875854824187759</v>
      </c>
      <c r="J1522">
        <v>2</v>
      </c>
      <c r="K1522">
        <v>2</v>
      </c>
      <c r="L1522" s="2">
        <v>0</v>
      </c>
      <c r="M1522">
        <v>19.01</v>
      </c>
      <c r="N1522" t="s">
        <v>10235</v>
      </c>
    </row>
    <row r="1523" spans="1:14">
      <c r="A1523" t="s">
        <v>35</v>
      </c>
      <c r="B1523" t="s">
        <v>1699</v>
      </c>
      <c r="C1523">
        <f>"TP30"</f>
        <v>0</v>
      </c>
      <c r="D1523">
        <v>18</v>
      </c>
      <c r="E1523">
        <v>7</v>
      </c>
      <c r="F1523" s="2">
        <v>4</v>
      </c>
      <c r="G1523">
        <v>1.56</v>
      </c>
      <c r="H1523">
        <v>4</v>
      </c>
      <c r="I1523">
        <v>0.1874886844391891</v>
      </c>
      <c r="J1523">
        <v>4</v>
      </c>
      <c r="K1523">
        <v>0</v>
      </c>
      <c r="L1523" s="2">
        <v>0</v>
      </c>
      <c r="M1523">
        <v>19.02</v>
      </c>
      <c r="N1523" t="s">
        <v>10235</v>
      </c>
    </row>
    <row r="1524" spans="1:14">
      <c r="A1524" t="s">
        <v>29</v>
      </c>
      <c r="B1524" t="s">
        <v>1700</v>
      </c>
      <c r="C1524">
        <f>"CA12V"</f>
        <v>0</v>
      </c>
      <c r="D1524">
        <v>3</v>
      </c>
      <c r="E1524">
        <v>53</v>
      </c>
      <c r="F1524" s="2">
        <v>0</v>
      </c>
      <c r="G1524">
        <v>70.67</v>
      </c>
      <c r="H1524">
        <v>3</v>
      </c>
      <c r="I1524">
        <v>0.1872594900028013</v>
      </c>
      <c r="J1524">
        <v>1</v>
      </c>
      <c r="K1524">
        <v>0</v>
      </c>
      <c r="L1524" s="2">
        <v>0</v>
      </c>
      <c r="M1524">
        <v>19.03</v>
      </c>
      <c r="N1524" t="s">
        <v>10236</v>
      </c>
    </row>
    <row r="1525" spans="1:14">
      <c r="A1525" t="s">
        <v>194</v>
      </c>
      <c r="B1525" t="s">
        <v>1701</v>
      </c>
      <c r="C1525">
        <f>"200800101"</f>
        <v>0</v>
      </c>
      <c r="D1525">
        <v>13</v>
      </c>
      <c r="E1525">
        <v>3</v>
      </c>
      <c r="F1525" s="2">
        <v>25</v>
      </c>
      <c r="G1525">
        <v>0.92</v>
      </c>
      <c r="H1525">
        <v>3</v>
      </c>
      <c r="I1525">
        <v>0.1872444441928313</v>
      </c>
      <c r="J1525">
        <v>3</v>
      </c>
      <c r="K1525">
        <v>0</v>
      </c>
      <c r="L1525" s="2">
        <v>0</v>
      </c>
      <c r="M1525">
        <v>19.04</v>
      </c>
      <c r="N1525" t="s">
        <v>10235</v>
      </c>
    </row>
    <row r="1526" spans="1:14">
      <c r="A1526" t="s">
        <v>39</v>
      </c>
      <c r="B1526" t="s">
        <v>1702</v>
      </c>
      <c r="C1526">
        <f>"VALIM01021"</f>
        <v>0</v>
      </c>
      <c r="D1526">
        <v>9</v>
      </c>
      <c r="E1526">
        <v>2</v>
      </c>
      <c r="F1526" s="2">
        <v>16</v>
      </c>
      <c r="G1526">
        <v>0.89</v>
      </c>
      <c r="H1526">
        <v>4</v>
      </c>
      <c r="I1526">
        <v>0.1871023318466291</v>
      </c>
      <c r="J1526">
        <v>2</v>
      </c>
      <c r="K1526">
        <v>0</v>
      </c>
      <c r="L1526" s="2">
        <v>0</v>
      </c>
      <c r="M1526">
        <v>19.05</v>
      </c>
      <c r="N1526" t="s">
        <v>10235</v>
      </c>
    </row>
    <row r="1527" spans="1:14">
      <c r="A1527" t="s">
        <v>35</v>
      </c>
      <c r="B1527" t="s">
        <v>1703</v>
      </c>
      <c r="C1527">
        <f>"KF8069B"</f>
        <v>0</v>
      </c>
      <c r="D1527">
        <v>15</v>
      </c>
      <c r="E1527">
        <v>4</v>
      </c>
      <c r="F1527" s="2">
        <v>21</v>
      </c>
      <c r="G1527">
        <v>1.07</v>
      </c>
      <c r="H1527">
        <v>4</v>
      </c>
      <c r="I1527">
        <v>0.1870629926107353</v>
      </c>
      <c r="J1527">
        <v>4</v>
      </c>
      <c r="K1527">
        <v>0</v>
      </c>
      <c r="L1527" s="2">
        <v>0</v>
      </c>
      <c r="M1527">
        <v>19.06</v>
      </c>
      <c r="N1527" t="s">
        <v>10235</v>
      </c>
    </row>
    <row r="1528" spans="1:14">
      <c r="A1528" t="s">
        <v>24</v>
      </c>
      <c r="B1528" t="s">
        <v>1704</v>
      </c>
      <c r="C1528">
        <f>"1125002"</f>
        <v>0</v>
      </c>
      <c r="D1528">
        <v>18</v>
      </c>
      <c r="E1528">
        <v>6</v>
      </c>
      <c r="F1528" s="2">
        <v>15</v>
      </c>
      <c r="G1528">
        <v>1.33</v>
      </c>
      <c r="H1528">
        <v>3</v>
      </c>
      <c r="I1528">
        <v>0.186969718921948</v>
      </c>
      <c r="J1528">
        <v>4</v>
      </c>
      <c r="K1528">
        <v>0</v>
      </c>
      <c r="L1528" s="2">
        <v>0</v>
      </c>
      <c r="M1528">
        <v>19.07</v>
      </c>
      <c r="N1528" t="s">
        <v>10235</v>
      </c>
    </row>
    <row r="1529" spans="1:14">
      <c r="A1529" t="s">
        <v>192</v>
      </c>
      <c r="B1529" t="s">
        <v>1705</v>
      </c>
      <c r="C1529">
        <f>"zvp2608"</f>
        <v>0</v>
      </c>
      <c r="D1529">
        <v>18</v>
      </c>
      <c r="E1529">
        <v>10</v>
      </c>
      <c r="F1529" s="2">
        <v>1</v>
      </c>
      <c r="G1529">
        <v>2.22</v>
      </c>
      <c r="H1529">
        <v>3</v>
      </c>
      <c r="I1529">
        <v>0.186969718921948</v>
      </c>
      <c r="J1529">
        <v>4</v>
      </c>
      <c r="K1529">
        <v>0</v>
      </c>
      <c r="L1529" s="2">
        <v>0</v>
      </c>
      <c r="M1529">
        <v>19.08</v>
      </c>
      <c r="N1529" t="s">
        <v>10235</v>
      </c>
    </row>
    <row r="1530" spans="1:14">
      <c r="A1530" t="s">
        <v>35</v>
      </c>
      <c r="B1530" t="s">
        <v>1706</v>
      </c>
      <c r="C1530">
        <f>"CK1005"</f>
        <v>0</v>
      </c>
      <c r="D1530">
        <v>18</v>
      </c>
      <c r="E1530">
        <v>10</v>
      </c>
      <c r="F1530" s="2">
        <v>1</v>
      </c>
      <c r="G1530">
        <v>2.22</v>
      </c>
      <c r="H1530">
        <v>3</v>
      </c>
      <c r="I1530">
        <v>0.186969718921948</v>
      </c>
      <c r="J1530">
        <v>4</v>
      </c>
      <c r="K1530">
        <v>0</v>
      </c>
      <c r="L1530" s="2">
        <v>0</v>
      </c>
      <c r="M1530">
        <v>19.09</v>
      </c>
      <c r="N1530" t="s">
        <v>10235</v>
      </c>
    </row>
    <row r="1531" spans="1:14">
      <c r="A1531" t="s">
        <v>30</v>
      </c>
      <c r="B1531" t="s">
        <v>1707</v>
      </c>
      <c r="C1531">
        <f>"101309"</f>
        <v>0</v>
      </c>
      <c r="D1531">
        <v>18</v>
      </c>
      <c r="E1531">
        <v>175</v>
      </c>
      <c r="F1531" s="2">
        <v>6</v>
      </c>
      <c r="G1531">
        <v>38.89</v>
      </c>
      <c r="H1531">
        <v>3</v>
      </c>
      <c r="I1531">
        <v>0.186969718921948</v>
      </c>
      <c r="J1531">
        <v>4</v>
      </c>
      <c r="K1531">
        <v>0</v>
      </c>
      <c r="L1531" s="2">
        <v>0</v>
      </c>
      <c r="M1531">
        <v>19.1</v>
      </c>
      <c r="N1531" t="s">
        <v>10235</v>
      </c>
    </row>
    <row r="1532" spans="1:14">
      <c r="A1532" t="s">
        <v>24</v>
      </c>
      <c r="B1532" t="s">
        <v>1708</v>
      </c>
      <c r="C1532">
        <f>"1140251"</f>
        <v>0</v>
      </c>
      <c r="D1532">
        <v>16</v>
      </c>
      <c r="E1532">
        <v>8</v>
      </c>
      <c r="F1532" s="2">
        <v>11</v>
      </c>
      <c r="G1532">
        <v>2</v>
      </c>
      <c r="H1532">
        <v>3</v>
      </c>
      <c r="I1532">
        <v>0.1869441647347569</v>
      </c>
      <c r="J1532">
        <v>4</v>
      </c>
      <c r="K1532">
        <v>0</v>
      </c>
      <c r="L1532" s="2">
        <v>0</v>
      </c>
      <c r="M1532">
        <v>19.11</v>
      </c>
      <c r="N1532" t="s">
        <v>10235</v>
      </c>
    </row>
    <row r="1533" spans="1:14">
      <c r="A1533" t="s">
        <v>205</v>
      </c>
      <c r="B1533" t="s">
        <v>1709</v>
      </c>
      <c r="C1533">
        <f>"PFGM014"</f>
        <v>0</v>
      </c>
      <c r="D1533">
        <v>1</v>
      </c>
      <c r="E1533">
        <v>42</v>
      </c>
      <c r="F1533" s="2">
        <v>1</v>
      </c>
      <c r="G1533">
        <v>168</v>
      </c>
      <c r="H1533">
        <v>1</v>
      </c>
      <c r="I1533">
        <v>0.1868958272963405</v>
      </c>
      <c r="J1533">
        <v>0</v>
      </c>
      <c r="K1533">
        <v>0</v>
      </c>
      <c r="L1533" s="2">
        <v>0</v>
      </c>
      <c r="M1533">
        <v>19.12</v>
      </c>
      <c r="N1533" t="s">
        <v>10236</v>
      </c>
    </row>
    <row r="1534" spans="1:14">
      <c r="A1534" t="s">
        <v>35</v>
      </c>
      <c r="B1534" t="s">
        <v>1710</v>
      </c>
      <c r="C1534">
        <f>"MSPB04GC"</f>
        <v>0</v>
      </c>
      <c r="D1534">
        <v>16</v>
      </c>
      <c r="E1534">
        <v>18</v>
      </c>
      <c r="F1534" s="2">
        <v>4</v>
      </c>
      <c r="G1534">
        <v>4.5</v>
      </c>
      <c r="H1534">
        <v>3</v>
      </c>
      <c r="I1534">
        <v>0.1868595044913492</v>
      </c>
      <c r="J1534">
        <v>4</v>
      </c>
      <c r="K1534">
        <v>0</v>
      </c>
      <c r="L1534" s="2">
        <v>0</v>
      </c>
      <c r="M1534">
        <v>19.13</v>
      </c>
      <c r="N1534" t="s">
        <v>10235</v>
      </c>
    </row>
    <row r="1535" spans="1:14">
      <c r="A1535" t="s">
        <v>32</v>
      </c>
      <c r="B1535" t="s">
        <v>292</v>
      </c>
      <c r="C1535">
        <f>"1022553"</f>
        <v>0</v>
      </c>
      <c r="D1535">
        <v>15</v>
      </c>
      <c r="E1535">
        <v>13</v>
      </c>
      <c r="F1535" s="2">
        <v>12</v>
      </c>
      <c r="G1535">
        <v>3.47</v>
      </c>
      <c r="H1535">
        <v>4</v>
      </c>
      <c r="I1535">
        <v>0.1867715625904514</v>
      </c>
      <c r="J1535">
        <v>4</v>
      </c>
      <c r="K1535">
        <v>0</v>
      </c>
      <c r="L1535" s="2">
        <v>0</v>
      </c>
      <c r="M1535">
        <v>19.14</v>
      </c>
      <c r="N1535" t="s">
        <v>10235</v>
      </c>
    </row>
    <row r="1536" spans="1:14">
      <c r="A1536" t="s">
        <v>33</v>
      </c>
      <c r="B1536" t="s">
        <v>1711</v>
      </c>
      <c r="C1536">
        <f>"TOPK92235"</f>
        <v>0</v>
      </c>
      <c r="D1536">
        <v>17</v>
      </c>
      <c r="E1536">
        <v>12</v>
      </c>
      <c r="F1536" s="2">
        <v>3</v>
      </c>
      <c r="G1536">
        <v>2.82</v>
      </c>
      <c r="H1536">
        <v>2</v>
      </c>
      <c r="I1536">
        <v>0.1862554332076631</v>
      </c>
      <c r="J1536">
        <v>4</v>
      </c>
      <c r="K1536">
        <v>0</v>
      </c>
      <c r="L1536" s="2">
        <v>0</v>
      </c>
      <c r="M1536">
        <v>19.15</v>
      </c>
      <c r="N1536" t="s">
        <v>10235</v>
      </c>
    </row>
    <row r="1537" spans="1:14">
      <c r="A1537" t="s">
        <v>34</v>
      </c>
      <c r="B1537" t="s">
        <v>1712</v>
      </c>
      <c r="C1537">
        <f>"14000156"</f>
        <v>0</v>
      </c>
      <c r="D1537">
        <v>17</v>
      </c>
      <c r="E1537">
        <v>7</v>
      </c>
      <c r="F1537" s="2">
        <v>36</v>
      </c>
      <c r="G1537">
        <v>1.65</v>
      </c>
      <c r="H1537">
        <v>3</v>
      </c>
      <c r="I1537">
        <v>0.1862554332076631</v>
      </c>
      <c r="J1537">
        <v>4</v>
      </c>
      <c r="K1537">
        <v>0</v>
      </c>
      <c r="L1537" s="2">
        <v>0</v>
      </c>
      <c r="M1537">
        <v>19.16</v>
      </c>
      <c r="N1537" t="s">
        <v>10235</v>
      </c>
    </row>
    <row r="1538" spans="1:14">
      <c r="A1538" t="s">
        <v>31</v>
      </c>
      <c r="B1538" t="s">
        <v>1713</v>
      </c>
      <c r="C1538">
        <f>"RCM053"</f>
        <v>0</v>
      </c>
      <c r="D1538">
        <v>17</v>
      </c>
      <c r="E1538">
        <v>7</v>
      </c>
      <c r="F1538" s="2">
        <v>8</v>
      </c>
      <c r="G1538">
        <v>1.65</v>
      </c>
      <c r="H1538">
        <v>2</v>
      </c>
      <c r="I1538">
        <v>0.1862554332076631</v>
      </c>
      <c r="J1538">
        <v>4</v>
      </c>
      <c r="K1538">
        <v>0</v>
      </c>
      <c r="L1538" s="2">
        <v>0</v>
      </c>
      <c r="M1538">
        <v>19.17</v>
      </c>
      <c r="N1538" t="s">
        <v>10235</v>
      </c>
    </row>
    <row r="1539" spans="1:14">
      <c r="A1539" t="s">
        <v>35</v>
      </c>
      <c r="B1539" t="s">
        <v>1714</v>
      </c>
      <c r="C1539">
        <f>"KLMT4"</f>
        <v>0</v>
      </c>
      <c r="D1539">
        <v>17</v>
      </c>
      <c r="E1539">
        <v>11</v>
      </c>
      <c r="F1539" s="2">
        <v>6</v>
      </c>
      <c r="G1539">
        <v>2.59</v>
      </c>
      <c r="H1539">
        <v>3</v>
      </c>
      <c r="I1539">
        <v>0.1862554332076631</v>
      </c>
      <c r="J1539">
        <v>4</v>
      </c>
      <c r="K1539">
        <v>0</v>
      </c>
      <c r="L1539" s="2">
        <v>0</v>
      </c>
      <c r="M1539">
        <v>19.18</v>
      </c>
      <c r="N1539" t="s">
        <v>10235</v>
      </c>
    </row>
    <row r="1540" spans="1:14">
      <c r="A1540" t="s">
        <v>25</v>
      </c>
      <c r="B1540" t="s">
        <v>1715</v>
      </c>
      <c r="C1540">
        <f>"STB50"</f>
        <v>0</v>
      </c>
      <c r="D1540">
        <v>17</v>
      </c>
      <c r="E1540">
        <v>10</v>
      </c>
      <c r="F1540" s="2">
        <v>1</v>
      </c>
      <c r="G1540">
        <v>2.35</v>
      </c>
      <c r="H1540">
        <v>3</v>
      </c>
      <c r="I1540">
        <v>0.1862554332076631</v>
      </c>
      <c r="J1540">
        <v>4</v>
      </c>
      <c r="K1540">
        <v>0</v>
      </c>
      <c r="L1540" s="2">
        <v>0</v>
      </c>
      <c r="M1540">
        <v>19.19</v>
      </c>
      <c r="N1540" t="s">
        <v>10235</v>
      </c>
    </row>
    <row r="1541" spans="1:14">
      <c r="A1541" t="s">
        <v>25</v>
      </c>
      <c r="B1541" t="s">
        <v>1716</v>
      </c>
      <c r="C1541">
        <f>"ZVP1051"</f>
        <v>0</v>
      </c>
      <c r="D1541">
        <v>17</v>
      </c>
      <c r="E1541">
        <v>10</v>
      </c>
      <c r="F1541" s="2">
        <v>2</v>
      </c>
      <c r="G1541">
        <v>2.35</v>
      </c>
      <c r="H1541">
        <v>2</v>
      </c>
      <c r="I1541">
        <v>0.1862554332076631</v>
      </c>
      <c r="J1541">
        <v>4</v>
      </c>
      <c r="K1541">
        <v>0</v>
      </c>
      <c r="L1541" s="2">
        <v>0</v>
      </c>
      <c r="M1541">
        <v>19.2</v>
      </c>
      <c r="N1541" t="s">
        <v>10235</v>
      </c>
    </row>
    <row r="1542" spans="1:14">
      <c r="A1542" t="s">
        <v>30</v>
      </c>
      <c r="B1542" t="s">
        <v>1717</v>
      </c>
      <c r="C1542">
        <f>"101395"</f>
        <v>0</v>
      </c>
      <c r="D1542">
        <v>9</v>
      </c>
      <c r="E1542">
        <v>2</v>
      </c>
      <c r="F1542" s="2">
        <v>38</v>
      </c>
      <c r="G1542">
        <v>0.89</v>
      </c>
      <c r="H1542">
        <v>3</v>
      </c>
      <c r="I1542">
        <v>0.1860967030433842</v>
      </c>
      <c r="J1542">
        <v>2</v>
      </c>
      <c r="K1542">
        <v>0</v>
      </c>
      <c r="L1542" s="2">
        <v>0</v>
      </c>
      <c r="M1542">
        <v>19.21</v>
      </c>
      <c r="N1542" t="s">
        <v>10235</v>
      </c>
    </row>
    <row r="1543" spans="1:14">
      <c r="A1543" t="s">
        <v>35</v>
      </c>
      <c r="B1543" t="s">
        <v>1718</v>
      </c>
      <c r="C1543">
        <f>"WD074"</f>
        <v>0</v>
      </c>
      <c r="D1543">
        <v>1</v>
      </c>
      <c r="E1543">
        <v>9</v>
      </c>
      <c r="F1543" s="2">
        <v>1</v>
      </c>
      <c r="G1543">
        <v>36</v>
      </c>
      <c r="H1543">
        <v>1</v>
      </c>
      <c r="I1543">
        <v>0.1860084033612497</v>
      </c>
      <c r="J1543">
        <v>0</v>
      </c>
      <c r="K1543">
        <v>0</v>
      </c>
      <c r="L1543" s="2">
        <v>0</v>
      </c>
      <c r="M1543">
        <v>19.22</v>
      </c>
      <c r="N1543" t="s">
        <v>10236</v>
      </c>
    </row>
    <row r="1544" spans="1:14">
      <c r="A1544" t="s">
        <v>34</v>
      </c>
      <c r="B1544" t="s">
        <v>1719</v>
      </c>
      <c r="C1544">
        <f>"14000143"</f>
        <v>0</v>
      </c>
      <c r="D1544">
        <v>15</v>
      </c>
      <c r="E1544">
        <v>11</v>
      </c>
      <c r="F1544" s="2">
        <v>11</v>
      </c>
      <c r="G1544">
        <v>2.93</v>
      </c>
      <c r="H1544">
        <v>4</v>
      </c>
      <c r="I1544">
        <v>0.1858230838886263</v>
      </c>
      <c r="J1544">
        <v>4</v>
      </c>
      <c r="K1544">
        <v>0</v>
      </c>
      <c r="L1544" s="2">
        <v>0</v>
      </c>
      <c r="M1544">
        <v>19.23</v>
      </c>
      <c r="N1544" t="s">
        <v>10235</v>
      </c>
    </row>
    <row r="1545" spans="1:14">
      <c r="A1545" t="s">
        <v>24</v>
      </c>
      <c r="B1545" t="s">
        <v>1720</v>
      </c>
      <c r="C1545">
        <f>"1010234"</f>
        <v>0</v>
      </c>
      <c r="D1545">
        <v>16</v>
      </c>
      <c r="E1545">
        <v>25</v>
      </c>
      <c r="F1545" s="2">
        <v>3</v>
      </c>
      <c r="G1545">
        <v>6.25</v>
      </c>
      <c r="H1545">
        <v>4</v>
      </c>
      <c r="I1545">
        <v>0.1857951282236013</v>
      </c>
      <c r="J1545">
        <v>4</v>
      </c>
      <c r="K1545">
        <v>0</v>
      </c>
      <c r="L1545" s="2">
        <v>0</v>
      </c>
      <c r="M1545">
        <v>19.24</v>
      </c>
      <c r="N1545" t="s">
        <v>10235</v>
      </c>
    </row>
    <row r="1546" spans="1:14">
      <c r="A1546" t="s">
        <v>31</v>
      </c>
      <c r="B1546" t="s">
        <v>1721</v>
      </c>
      <c r="C1546">
        <f>"RCM058"</f>
        <v>0</v>
      </c>
      <c r="D1546">
        <v>14</v>
      </c>
      <c r="E1546">
        <v>8</v>
      </c>
      <c r="F1546" s="2">
        <v>21</v>
      </c>
      <c r="G1546">
        <v>2.29</v>
      </c>
      <c r="H1546">
        <v>4</v>
      </c>
      <c r="I1546">
        <v>0.1856013184583169</v>
      </c>
      <c r="J1546">
        <v>4</v>
      </c>
      <c r="K1546">
        <v>0</v>
      </c>
      <c r="L1546" s="2">
        <v>0</v>
      </c>
      <c r="M1546">
        <v>19.25</v>
      </c>
      <c r="N1546" t="s">
        <v>10235</v>
      </c>
    </row>
    <row r="1547" spans="1:14">
      <c r="A1547" t="s">
        <v>32</v>
      </c>
      <c r="B1547" t="s">
        <v>292</v>
      </c>
      <c r="C1547">
        <f>"1022554"</f>
        <v>0</v>
      </c>
      <c r="D1547">
        <v>15</v>
      </c>
      <c r="E1547">
        <v>26</v>
      </c>
      <c r="F1547" s="2">
        <v>12</v>
      </c>
      <c r="G1547">
        <v>6.93</v>
      </c>
      <c r="H1547">
        <v>4</v>
      </c>
      <c r="I1547">
        <v>0.1855651984930889</v>
      </c>
      <c r="J1547">
        <v>4</v>
      </c>
      <c r="K1547">
        <v>0</v>
      </c>
      <c r="L1547" s="2">
        <v>0</v>
      </c>
      <c r="M1547">
        <v>19.26</v>
      </c>
      <c r="N1547" t="s">
        <v>10235</v>
      </c>
    </row>
    <row r="1548" spans="1:14">
      <c r="A1548" t="s">
        <v>35</v>
      </c>
      <c r="B1548" t="s">
        <v>1722</v>
      </c>
      <c r="C1548">
        <f>"TF1051"</f>
        <v>0</v>
      </c>
      <c r="D1548">
        <v>16</v>
      </c>
      <c r="E1548">
        <v>10</v>
      </c>
      <c r="F1548" s="2">
        <v>1</v>
      </c>
      <c r="G1548">
        <v>2.5</v>
      </c>
      <c r="H1548">
        <v>3</v>
      </c>
      <c r="I1548">
        <v>0.1855411474933782</v>
      </c>
      <c r="J1548">
        <v>4</v>
      </c>
      <c r="K1548">
        <v>0</v>
      </c>
      <c r="L1548" s="2">
        <v>0</v>
      </c>
      <c r="M1548">
        <v>19.27</v>
      </c>
      <c r="N1548" t="s">
        <v>10235</v>
      </c>
    </row>
    <row r="1549" spans="1:14">
      <c r="A1549" t="s">
        <v>194</v>
      </c>
      <c r="B1549" t="s">
        <v>1723</v>
      </c>
      <c r="C1549">
        <f>"20070750"</f>
        <v>0</v>
      </c>
      <c r="D1549">
        <v>16</v>
      </c>
      <c r="E1549">
        <v>6</v>
      </c>
      <c r="F1549" s="2">
        <v>26</v>
      </c>
      <c r="G1549">
        <v>1.5</v>
      </c>
      <c r="H1549">
        <v>3</v>
      </c>
      <c r="I1549">
        <v>0.1855411474933782</v>
      </c>
      <c r="J1549">
        <v>4</v>
      </c>
      <c r="K1549">
        <v>0</v>
      </c>
      <c r="L1549" s="2">
        <v>0</v>
      </c>
      <c r="M1549">
        <v>19.28</v>
      </c>
      <c r="N1549" t="s">
        <v>10235</v>
      </c>
    </row>
    <row r="1550" spans="1:14">
      <c r="A1550" t="s">
        <v>193</v>
      </c>
      <c r="B1550" t="s">
        <v>1724</v>
      </c>
      <c r="C1550">
        <f>"826129"</f>
        <v>0</v>
      </c>
      <c r="D1550">
        <v>16</v>
      </c>
      <c r="E1550">
        <v>35</v>
      </c>
      <c r="F1550" s="2">
        <v>1</v>
      </c>
      <c r="G1550">
        <v>8.75</v>
      </c>
      <c r="H1550">
        <v>3</v>
      </c>
      <c r="I1550">
        <v>0.1855411474933782</v>
      </c>
      <c r="J1550">
        <v>4</v>
      </c>
      <c r="K1550">
        <v>0</v>
      </c>
      <c r="L1550" s="2">
        <v>0</v>
      </c>
      <c r="M1550">
        <v>19.29</v>
      </c>
      <c r="N1550" t="s">
        <v>10235</v>
      </c>
    </row>
    <row r="1551" spans="1:14">
      <c r="A1551" t="s">
        <v>39</v>
      </c>
      <c r="B1551" t="s">
        <v>1725</v>
      </c>
      <c r="C1551">
        <f>"VIRBA01067"</f>
        <v>0</v>
      </c>
      <c r="D1551">
        <v>16</v>
      </c>
      <c r="E1551">
        <v>30</v>
      </c>
      <c r="F1551" s="2">
        <v>5</v>
      </c>
      <c r="G1551">
        <v>7.5</v>
      </c>
      <c r="H1551">
        <v>3</v>
      </c>
      <c r="I1551">
        <v>0.1855411474933782</v>
      </c>
      <c r="J1551">
        <v>4</v>
      </c>
      <c r="K1551">
        <v>0</v>
      </c>
      <c r="L1551" s="2">
        <v>0</v>
      </c>
      <c r="M1551">
        <v>19.3</v>
      </c>
      <c r="N1551" t="s">
        <v>10235</v>
      </c>
    </row>
    <row r="1552" spans="1:14">
      <c r="A1552" t="s">
        <v>208</v>
      </c>
      <c r="B1552" t="s">
        <v>1726</v>
      </c>
      <c r="C1552">
        <f>"5005102"</f>
        <v>0</v>
      </c>
      <c r="D1552">
        <v>16</v>
      </c>
      <c r="E1552">
        <v>21</v>
      </c>
      <c r="F1552" s="2">
        <v>3</v>
      </c>
      <c r="G1552">
        <v>5.25</v>
      </c>
      <c r="H1552">
        <v>3</v>
      </c>
      <c r="I1552">
        <v>0.185313966965995</v>
      </c>
      <c r="J1552">
        <v>4</v>
      </c>
      <c r="K1552">
        <v>0</v>
      </c>
      <c r="L1552" s="2">
        <v>0</v>
      </c>
      <c r="M1552">
        <v>19.31</v>
      </c>
      <c r="N1552" t="s">
        <v>10235</v>
      </c>
    </row>
    <row r="1553" spans="1:14">
      <c r="A1553" t="s">
        <v>27</v>
      </c>
      <c r="B1553" t="s">
        <v>1727</v>
      </c>
      <c r="C1553">
        <f>"USA665"</f>
        <v>0</v>
      </c>
      <c r="D1553">
        <v>15</v>
      </c>
      <c r="E1553">
        <v>24</v>
      </c>
      <c r="F1553" s="2">
        <v>1</v>
      </c>
      <c r="G1553">
        <v>6.4</v>
      </c>
      <c r="H1553">
        <v>4</v>
      </c>
      <c r="I1553">
        <v>0.1851488191827443</v>
      </c>
      <c r="J1553">
        <v>4</v>
      </c>
      <c r="K1553">
        <v>0</v>
      </c>
      <c r="L1553" s="2">
        <v>0</v>
      </c>
      <c r="M1553">
        <v>19.32</v>
      </c>
      <c r="N1553" t="s">
        <v>10235</v>
      </c>
    </row>
    <row r="1554" spans="1:14">
      <c r="A1554" t="s">
        <v>217</v>
      </c>
      <c r="B1554" t="s">
        <v>1728</v>
      </c>
      <c r="C1554">
        <f>"GL0100"</f>
        <v>0</v>
      </c>
      <c r="D1554">
        <v>15</v>
      </c>
      <c r="E1554">
        <v>12</v>
      </c>
      <c r="F1554" s="2">
        <v>5</v>
      </c>
      <c r="G1554">
        <v>3.2</v>
      </c>
      <c r="H1554">
        <v>3</v>
      </c>
      <c r="I1554">
        <v>0.1851001883511013</v>
      </c>
      <c r="J1554">
        <v>4</v>
      </c>
      <c r="K1554">
        <v>0</v>
      </c>
      <c r="L1554" s="2">
        <v>0</v>
      </c>
      <c r="M1554">
        <v>19.33</v>
      </c>
      <c r="N1554" t="s">
        <v>10235</v>
      </c>
    </row>
    <row r="1555" spans="1:14">
      <c r="A1555" t="s">
        <v>41</v>
      </c>
      <c r="B1555" t="s">
        <v>1729</v>
      </c>
      <c r="C1555">
        <f>"PAIRCGO"</f>
        <v>0</v>
      </c>
      <c r="D1555">
        <v>4</v>
      </c>
      <c r="E1555">
        <v>4</v>
      </c>
      <c r="F1555" s="2">
        <v>10</v>
      </c>
      <c r="G1555">
        <v>4</v>
      </c>
      <c r="H1555">
        <v>1</v>
      </c>
      <c r="I1555">
        <v>0.1850853882931525</v>
      </c>
      <c r="J1555">
        <v>1</v>
      </c>
      <c r="K1555">
        <v>0</v>
      </c>
      <c r="L1555" s="2">
        <v>0</v>
      </c>
      <c r="M1555">
        <v>19.34</v>
      </c>
      <c r="N1555" t="s">
        <v>10236</v>
      </c>
    </row>
    <row r="1556" spans="1:14">
      <c r="A1556" t="s">
        <v>27</v>
      </c>
      <c r="B1556" t="s">
        <v>1730</v>
      </c>
      <c r="C1556">
        <f>"USA621"</f>
        <v>0</v>
      </c>
      <c r="D1556">
        <v>13</v>
      </c>
      <c r="E1556">
        <v>8</v>
      </c>
      <c r="F1556" s="2">
        <v>7</v>
      </c>
      <c r="G1556">
        <v>2.46</v>
      </c>
      <c r="H1556">
        <v>4</v>
      </c>
      <c r="I1556">
        <v>0.1846058968413953</v>
      </c>
      <c r="J1556">
        <v>3</v>
      </c>
      <c r="K1556">
        <v>0</v>
      </c>
      <c r="L1556" s="2">
        <v>0</v>
      </c>
      <c r="M1556">
        <v>19.35</v>
      </c>
      <c r="N1556" t="s">
        <v>10235</v>
      </c>
    </row>
    <row r="1557" spans="1:14">
      <c r="A1557" t="s">
        <v>194</v>
      </c>
      <c r="B1557" t="s">
        <v>1731</v>
      </c>
      <c r="C1557">
        <f>"1000200"</f>
        <v>0</v>
      </c>
      <c r="D1557">
        <v>12</v>
      </c>
      <c r="E1557">
        <v>4</v>
      </c>
      <c r="F1557" s="2">
        <v>12</v>
      </c>
      <c r="G1557">
        <v>1.33</v>
      </c>
      <c r="H1557">
        <v>4</v>
      </c>
      <c r="I1557">
        <v>0.1843353230946558</v>
      </c>
      <c r="J1557">
        <v>3</v>
      </c>
      <c r="K1557">
        <v>0</v>
      </c>
      <c r="L1557" s="2">
        <v>0</v>
      </c>
      <c r="M1557">
        <v>19.36</v>
      </c>
      <c r="N1557" t="s">
        <v>10235</v>
      </c>
    </row>
    <row r="1558" spans="1:14">
      <c r="A1558" t="s">
        <v>30</v>
      </c>
      <c r="B1558" t="s">
        <v>1732</v>
      </c>
      <c r="C1558">
        <f>"100580"</f>
        <v>0</v>
      </c>
      <c r="D1558">
        <v>12</v>
      </c>
      <c r="E1558">
        <v>13</v>
      </c>
      <c r="F1558" s="2">
        <v>3</v>
      </c>
      <c r="G1558">
        <v>4.33</v>
      </c>
      <c r="H1558">
        <v>1</v>
      </c>
      <c r="I1558">
        <v>0.1842629093015524</v>
      </c>
      <c r="J1558">
        <v>3</v>
      </c>
      <c r="K1558">
        <v>0</v>
      </c>
      <c r="L1558" s="2">
        <v>0</v>
      </c>
      <c r="M1558">
        <v>19.37</v>
      </c>
      <c r="N1558" t="s">
        <v>10236</v>
      </c>
    </row>
    <row r="1559" spans="1:14">
      <c r="A1559" t="s">
        <v>29</v>
      </c>
      <c r="B1559" t="s">
        <v>1733</v>
      </c>
      <c r="C1559">
        <f>"CA13RV"</f>
        <v>0</v>
      </c>
      <c r="D1559">
        <v>1</v>
      </c>
      <c r="E1559">
        <v>26</v>
      </c>
      <c r="F1559" s="2">
        <v>0</v>
      </c>
      <c r="G1559">
        <v>104</v>
      </c>
      <c r="H1559">
        <v>1</v>
      </c>
      <c r="I1559">
        <v>0.1842335554910681</v>
      </c>
      <c r="J1559">
        <v>0</v>
      </c>
      <c r="K1559">
        <v>0</v>
      </c>
      <c r="L1559" s="2">
        <v>0</v>
      </c>
      <c r="M1559">
        <v>19.38</v>
      </c>
      <c r="N1559" t="s">
        <v>10236</v>
      </c>
    </row>
    <row r="1560" spans="1:14">
      <c r="A1560" t="s">
        <v>194</v>
      </c>
      <c r="B1560" t="s">
        <v>1734</v>
      </c>
      <c r="C1560">
        <f>"300100"</f>
        <v>0</v>
      </c>
      <c r="D1560">
        <v>14</v>
      </c>
      <c r="E1560">
        <v>4</v>
      </c>
      <c r="F1560" s="2">
        <v>7</v>
      </c>
      <c r="G1560">
        <v>1.14</v>
      </c>
      <c r="H1560">
        <v>3</v>
      </c>
      <c r="I1560">
        <v>0.1841125760648085</v>
      </c>
      <c r="J1560">
        <v>4</v>
      </c>
      <c r="K1560">
        <v>0</v>
      </c>
      <c r="L1560" s="2">
        <v>0</v>
      </c>
      <c r="M1560">
        <v>19.39</v>
      </c>
      <c r="N1560" t="s">
        <v>10235</v>
      </c>
    </row>
    <row r="1561" spans="1:14">
      <c r="A1561" t="s">
        <v>32</v>
      </c>
      <c r="B1561" t="s">
        <v>1735</v>
      </c>
      <c r="C1561">
        <f>"10194901"</f>
        <v>0</v>
      </c>
      <c r="D1561">
        <v>14</v>
      </c>
      <c r="E1561">
        <v>6</v>
      </c>
      <c r="F1561" s="2">
        <v>18</v>
      </c>
      <c r="G1561">
        <v>1.71</v>
      </c>
      <c r="H1561">
        <v>3</v>
      </c>
      <c r="I1561">
        <v>0.1841125760648085</v>
      </c>
      <c r="J1561">
        <v>4</v>
      </c>
      <c r="K1561">
        <v>0</v>
      </c>
      <c r="L1561" s="2">
        <v>0</v>
      </c>
      <c r="M1561">
        <v>19.4</v>
      </c>
      <c r="N1561" t="s">
        <v>10235</v>
      </c>
    </row>
    <row r="1562" spans="1:14">
      <c r="A1562" t="s">
        <v>24</v>
      </c>
      <c r="B1562" t="s">
        <v>1736</v>
      </c>
      <c r="C1562">
        <f>"CC1110201"</f>
        <v>0</v>
      </c>
      <c r="D1562">
        <v>14</v>
      </c>
      <c r="E1562">
        <v>8</v>
      </c>
      <c r="F1562" s="2">
        <v>3</v>
      </c>
      <c r="G1562">
        <v>2.29</v>
      </c>
      <c r="H1562">
        <v>2</v>
      </c>
      <c r="I1562">
        <v>0.1841125760648085</v>
      </c>
      <c r="J1562">
        <v>4</v>
      </c>
      <c r="K1562">
        <v>0</v>
      </c>
      <c r="L1562" s="2">
        <v>0</v>
      </c>
      <c r="M1562">
        <v>19.41</v>
      </c>
      <c r="N1562" t="s">
        <v>10235</v>
      </c>
    </row>
    <row r="1563" spans="1:14">
      <c r="A1563" t="s">
        <v>41</v>
      </c>
      <c r="B1563" t="s">
        <v>1737</v>
      </c>
      <c r="C1563">
        <f>"CA54877001"</f>
        <v>0</v>
      </c>
      <c r="D1563">
        <v>14</v>
      </c>
      <c r="E1563">
        <v>25</v>
      </c>
      <c r="F1563" s="2">
        <v>5</v>
      </c>
      <c r="G1563">
        <v>7.14</v>
      </c>
      <c r="H1563">
        <v>3</v>
      </c>
      <c r="I1563">
        <v>0.1841125760648085</v>
      </c>
      <c r="J1563">
        <v>4</v>
      </c>
      <c r="K1563">
        <v>0</v>
      </c>
      <c r="L1563" s="2">
        <v>0</v>
      </c>
      <c r="M1563">
        <v>19.42</v>
      </c>
      <c r="N1563" t="s">
        <v>10235</v>
      </c>
    </row>
    <row r="1564" spans="1:14">
      <c r="A1564" t="s">
        <v>208</v>
      </c>
      <c r="B1564" t="s">
        <v>1738</v>
      </c>
      <c r="C1564">
        <f>"500723"</f>
        <v>0</v>
      </c>
      <c r="D1564">
        <v>14</v>
      </c>
      <c r="E1564">
        <v>32</v>
      </c>
      <c r="F1564" s="2">
        <v>4</v>
      </c>
      <c r="G1564">
        <v>9.140000000000001</v>
      </c>
      <c r="H1564">
        <v>3</v>
      </c>
      <c r="I1564">
        <v>0.1841125760648085</v>
      </c>
      <c r="J1564">
        <v>4</v>
      </c>
      <c r="K1564">
        <v>0</v>
      </c>
      <c r="L1564" s="2">
        <v>0</v>
      </c>
      <c r="M1564">
        <v>19.43</v>
      </c>
      <c r="N1564" t="s">
        <v>10235</v>
      </c>
    </row>
    <row r="1565" spans="1:14">
      <c r="A1565" t="s">
        <v>39</v>
      </c>
      <c r="B1565" t="s">
        <v>1739</v>
      </c>
      <c r="C1565">
        <f>"VALIM01012"</f>
        <v>0</v>
      </c>
      <c r="D1565">
        <v>11</v>
      </c>
      <c r="E1565">
        <v>4</v>
      </c>
      <c r="F1565" s="2">
        <v>23</v>
      </c>
      <c r="G1565">
        <v>1.45</v>
      </c>
      <c r="H1565">
        <v>3</v>
      </c>
      <c r="I1565">
        <v>0.184032447116679</v>
      </c>
      <c r="J1565">
        <v>3</v>
      </c>
      <c r="K1565">
        <v>0</v>
      </c>
      <c r="L1565" s="2">
        <v>0</v>
      </c>
      <c r="M1565">
        <v>19.43</v>
      </c>
      <c r="N1565" t="s">
        <v>10235</v>
      </c>
    </row>
    <row r="1566" spans="1:14">
      <c r="A1566" t="s">
        <v>35</v>
      </c>
      <c r="B1566" t="s">
        <v>1740</v>
      </c>
      <c r="C1566">
        <f>"JWZ1033S"</f>
        <v>0</v>
      </c>
      <c r="D1566">
        <v>3</v>
      </c>
      <c r="E1566">
        <v>29</v>
      </c>
      <c r="F1566" s="2">
        <v>1</v>
      </c>
      <c r="G1566">
        <v>38.67</v>
      </c>
      <c r="H1566">
        <v>3</v>
      </c>
      <c r="I1566">
        <v>0.1838872790494561</v>
      </c>
      <c r="J1566">
        <v>1</v>
      </c>
      <c r="K1566">
        <v>0</v>
      </c>
      <c r="L1566" s="2">
        <v>0</v>
      </c>
      <c r="M1566">
        <v>19.44</v>
      </c>
      <c r="N1566" t="s">
        <v>10236</v>
      </c>
    </row>
    <row r="1567" spans="1:14">
      <c r="A1567" t="s">
        <v>31</v>
      </c>
      <c r="B1567" t="s">
        <v>1741</v>
      </c>
      <c r="C1567">
        <f>"1019649"</f>
        <v>0</v>
      </c>
      <c r="D1567">
        <v>13</v>
      </c>
      <c r="E1567">
        <v>4</v>
      </c>
      <c r="F1567" s="2">
        <v>7</v>
      </c>
      <c r="G1567">
        <v>1.23</v>
      </c>
      <c r="H1567">
        <v>3</v>
      </c>
      <c r="I1567">
        <v>0.1837869820340934</v>
      </c>
      <c r="J1567">
        <v>3</v>
      </c>
      <c r="K1567">
        <v>0</v>
      </c>
      <c r="L1567" s="2">
        <v>0</v>
      </c>
      <c r="M1567">
        <v>19.45</v>
      </c>
      <c r="N1567" t="s">
        <v>10235</v>
      </c>
    </row>
    <row r="1568" spans="1:14">
      <c r="A1568" t="s">
        <v>39</v>
      </c>
      <c r="B1568" t="s">
        <v>1742</v>
      </c>
      <c r="C1568">
        <f>"VALIM01030"</f>
        <v>0</v>
      </c>
      <c r="D1568">
        <v>12</v>
      </c>
      <c r="E1568">
        <v>24</v>
      </c>
      <c r="F1568" s="2">
        <v>21</v>
      </c>
      <c r="G1568">
        <v>8</v>
      </c>
      <c r="H1568">
        <v>4</v>
      </c>
      <c r="I1568">
        <v>0.1837728738045953</v>
      </c>
      <c r="J1568">
        <v>3</v>
      </c>
      <c r="K1568">
        <v>0</v>
      </c>
      <c r="L1568" s="2">
        <v>0</v>
      </c>
      <c r="M1568">
        <v>19.46</v>
      </c>
      <c r="N1568" t="s">
        <v>10235</v>
      </c>
    </row>
    <row r="1569" spans="1:14">
      <c r="A1569" t="s">
        <v>39</v>
      </c>
      <c r="B1569" t="s">
        <v>1743</v>
      </c>
      <c r="C1569">
        <f>"VALIM02037"</f>
        <v>0</v>
      </c>
      <c r="D1569">
        <v>13</v>
      </c>
      <c r="E1569">
        <v>8</v>
      </c>
      <c r="F1569" s="2">
        <v>19</v>
      </c>
      <c r="G1569">
        <v>2.46</v>
      </c>
      <c r="H1569">
        <v>4</v>
      </c>
      <c r="I1569">
        <v>0.1837516625614768</v>
      </c>
      <c r="J1569">
        <v>3</v>
      </c>
      <c r="K1569">
        <v>0</v>
      </c>
      <c r="L1569" s="2">
        <v>0</v>
      </c>
      <c r="M1569">
        <v>19.47</v>
      </c>
      <c r="N1569" t="s">
        <v>10235</v>
      </c>
    </row>
    <row r="1570" spans="1:14">
      <c r="A1570" t="s">
        <v>35</v>
      </c>
      <c r="B1570" t="s">
        <v>1744</v>
      </c>
      <c r="C1570">
        <f>"D053S"</f>
        <v>0</v>
      </c>
      <c r="D1570">
        <v>13</v>
      </c>
      <c r="E1570">
        <v>4</v>
      </c>
      <c r="F1570" s="2">
        <v>1</v>
      </c>
      <c r="G1570">
        <v>1.23</v>
      </c>
      <c r="H1570">
        <v>4</v>
      </c>
      <c r="I1570">
        <v>0.1836646950158379</v>
      </c>
      <c r="J1570">
        <v>3</v>
      </c>
      <c r="K1570">
        <v>0</v>
      </c>
      <c r="L1570" s="2">
        <v>0</v>
      </c>
      <c r="M1570">
        <v>19.48</v>
      </c>
      <c r="N1570" t="s">
        <v>10235</v>
      </c>
    </row>
    <row r="1571" spans="1:14">
      <c r="A1571" t="s">
        <v>38</v>
      </c>
      <c r="B1571" t="s">
        <v>1745</v>
      </c>
      <c r="C1571">
        <f>"BJLBP"</f>
        <v>0</v>
      </c>
      <c r="D1571">
        <v>12</v>
      </c>
      <c r="E1571">
        <v>3</v>
      </c>
      <c r="F1571" s="2">
        <v>49</v>
      </c>
      <c r="G1571">
        <v>1</v>
      </c>
      <c r="H1571">
        <v>4</v>
      </c>
      <c r="I1571">
        <v>0.1836548464212282</v>
      </c>
      <c r="J1571">
        <v>3</v>
      </c>
      <c r="K1571">
        <v>0</v>
      </c>
      <c r="L1571" s="2">
        <v>0</v>
      </c>
      <c r="M1571">
        <v>19.49</v>
      </c>
      <c r="N1571" t="s">
        <v>10235</v>
      </c>
    </row>
    <row r="1572" spans="1:14">
      <c r="A1572" t="s">
        <v>29</v>
      </c>
      <c r="B1572" t="s">
        <v>1746</v>
      </c>
      <c r="C1572">
        <f>"BAP1"</f>
        <v>0</v>
      </c>
      <c r="D1572">
        <v>13</v>
      </c>
      <c r="E1572">
        <v>12</v>
      </c>
      <c r="F1572" s="2">
        <v>0</v>
      </c>
      <c r="G1572">
        <v>3.69</v>
      </c>
      <c r="H1572">
        <v>2</v>
      </c>
      <c r="I1572">
        <v>0.1833982903505237</v>
      </c>
      <c r="J1572">
        <v>3</v>
      </c>
      <c r="K1572">
        <v>0</v>
      </c>
      <c r="L1572" s="2">
        <v>0</v>
      </c>
      <c r="M1572">
        <v>19.5</v>
      </c>
      <c r="N1572" t="s">
        <v>10235</v>
      </c>
    </row>
    <row r="1573" spans="1:14">
      <c r="A1573" t="s">
        <v>31</v>
      </c>
      <c r="B1573" t="s">
        <v>1747</v>
      </c>
      <c r="C1573">
        <f>"1019647"</f>
        <v>0</v>
      </c>
      <c r="D1573">
        <v>13</v>
      </c>
      <c r="E1573">
        <v>8</v>
      </c>
      <c r="F1573" s="2">
        <v>4</v>
      </c>
      <c r="G1573">
        <v>2.46</v>
      </c>
      <c r="H1573">
        <v>3</v>
      </c>
      <c r="I1573">
        <v>0.1833982903505237</v>
      </c>
      <c r="J1573">
        <v>3</v>
      </c>
      <c r="K1573">
        <v>0</v>
      </c>
      <c r="L1573" s="2">
        <v>0</v>
      </c>
      <c r="M1573">
        <v>19.51</v>
      </c>
      <c r="N1573" t="s">
        <v>10235</v>
      </c>
    </row>
    <row r="1574" spans="1:14">
      <c r="A1574" t="s">
        <v>25</v>
      </c>
      <c r="B1574" t="s">
        <v>1748</v>
      </c>
      <c r="C1574">
        <f>"ZVP2206"</f>
        <v>0</v>
      </c>
      <c r="D1574">
        <v>13</v>
      </c>
      <c r="E1574">
        <v>4</v>
      </c>
      <c r="F1574" s="2">
        <v>2</v>
      </c>
      <c r="G1574">
        <v>1.23</v>
      </c>
      <c r="H1574">
        <v>2</v>
      </c>
      <c r="I1574">
        <v>0.1833982903505237</v>
      </c>
      <c r="J1574">
        <v>3</v>
      </c>
      <c r="K1574">
        <v>0</v>
      </c>
      <c r="L1574" s="2">
        <v>0</v>
      </c>
      <c r="M1574">
        <v>19.52</v>
      </c>
      <c r="N1574" t="s">
        <v>10235</v>
      </c>
    </row>
    <row r="1575" spans="1:14">
      <c r="A1575" t="s">
        <v>35</v>
      </c>
      <c r="B1575" t="s">
        <v>1749</v>
      </c>
      <c r="C1575">
        <f>"3103V"</f>
        <v>0</v>
      </c>
      <c r="D1575">
        <v>13</v>
      </c>
      <c r="E1575">
        <v>6</v>
      </c>
      <c r="F1575" s="2">
        <v>8</v>
      </c>
      <c r="G1575">
        <v>1.85</v>
      </c>
      <c r="H1575">
        <v>3</v>
      </c>
      <c r="I1575">
        <v>0.1833982903505237</v>
      </c>
      <c r="J1575">
        <v>3</v>
      </c>
      <c r="K1575">
        <v>0</v>
      </c>
      <c r="L1575" s="2">
        <v>0</v>
      </c>
      <c r="M1575">
        <v>19.53</v>
      </c>
      <c r="N1575" t="s">
        <v>10235</v>
      </c>
    </row>
    <row r="1576" spans="1:14">
      <c r="A1576" t="s">
        <v>24</v>
      </c>
      <c r="B1576" t="s">
        <v>1750</v>
      </c>
      <c r="C1576">
        <f>"DPI205"</f>
        <v>0</v>
      </c>
      <c r="D1576">
        <v>13</v>
      </c>
      <c r="E1576">
        <v>9</v>
      </c>
      <c r="F1576" s="2">
        <v>7</v>
      </c>
      <c r="G1576">
        <v>2.77</v>
      </c>
      <c r="H1576">
        <v>3</v>
      </c>
      <c r="I1576">
        <v>0.1833982903505237</v>
      </c>
      <c r="J1576">
        <v>3</v>
      </c>
      <c r="K1576">
        <v>0</v>
      </c>
      <c r="L1576" s="2">
        <v>0</v>
      </c>
      <c r="M1576">
        <v>19.54</v>
      </c>
      <c r="N1576" t="s">
        <v>10235</v>
      </c>
    </row>
    <row r="1577" spans="1:14">
      <c r="A1577" t="s">
        <v>24</v>
      </c>
      <c r="B1577" t="s">
        <v>1751</v>
      </c>
      <c r="C1577">
        <f>"1112222"</f>
        <v>0</v>
      </c>
      <c r="D1577">
        <v>13</v>
      </c>
      <c r="E1577">
        <v>9</v>
      </c>
      <c r="F1577" s="2">
        <v>5</v>
      </c>
      <c r="G1577">
        <v>2.77</v>
      </c>
      <c r="H1577">
        <v>2</v>
      </c>
      <c r="I1577">
        <v>0.1833982903505237</v>
      </c>
      <c r="J1577">
        <v>3</v>
      </c>
      <c r="K1577">
        <v>0</v>
      </c>
      <c r="L1577" s="2">
        <v>0</v>
      </c>
      <c r="M1577">
        <v>19.55</v>
      </c>
      <c r="N1577" t="s">
        <v>10235</v>
      </c>
    </row>
    <row r="1578" spans="1:14">
      <c r="A1578" t="s">
        <v>34</v>
      </c>
      <c r="B1578" t="s">
        <v>1752</v>
      </c>
      <c r="C1578">
        <f>"14000151"</f>
        <v>0</v>
      </c>
      <c r="D1578">
        <v>13</v>
      </c>
      <c r="E1578">
        <v>6</v>
      </c>
      <c r="F1578" s="2">
        <v>42</v>
      </c>
      <c r="G1578">
        <v>1.85</v>
      </c>
      <c r="H1578">
        <v>2</v>
      </c>
      <c r="I1578">
        <v>0.1833982903505237</v>
      </c>
      <c r="J1578">
        <v>3</v>
      </c>
      <c r="K1578">
        <v>0</v>
      </c>
      <c r="L1578" s="2">
        <v>0</v>
      </c>
      <c r="M1578">
        <v>19.56</v>
      </c>
      <c r="N1578" t="s">
        <v>10235</v>
      </c>
    </row>
    <row r="1579" spans="1:14">
      <c r="A1579" t="s">
        <v>35</v>
      </c>
      <c r="B1579" t="s">
        <v>1753</v>
      </c>
      <c r="C1579">
        <f>"2512"</f>
        <v>0</v>
      </c>
      <c r="D1579">
        <v>12</v>
      </c>
      <c r="E1579">
        <v>5</v>
      </c>
      <c r="F1579" s="2">
        <v>1</v>
      </c>
      <c r="G1579">
        <v>1.67</v>
      </c>
      <c r="H1579">
        <v>3</v>
      </c>
      <c r="I1579">
        <v>0.1831641009851229</v>
      </c>
      <c r="J1579">
        <v>3</v>
      </c>
      <c r="K1579">
        <v>0</v>
      </c>
      <c r="L1579" s="2">
        <v>0</v>
      </c>
      <c r="M1579">
        <v>19.57</v>
      </c>
      <c r="N1579" t="s">
        <v>10235</v>
      </c>
    </row>
    <row r="1580" spans="1:14">
      <c r="A1580" t="s">
        <v>30</v>
      </c>
      <c r="B1580" t="s">
        <v>1754</v>
      </c>
      <c r="C1580">
        <f>"100738"</f>
        <v>0</v>
      </c>
      <c r="D1580">
        <v>11</v>
      </c>
      <c r="E1580">
        <v>4</v>
      </c>
      <c r="F1580" s="2">
        <v>29</v>
      </c>
      <c r="G1580">
        <v>1.45</v>
      </c>
      <c r="H1580">
        <v>4</v>
      </c>
      <c r="I1580">
        <v>0.1831514126339209</v>
      </c>
      <c r="J1580">
        <v>3</v>
      </c>
      <c r="K1580">
        <v>0</v>
      </c>
      <c r="L1580" s="2">
        <v>0</v>
      </c>
      <c r="M1580">
        <v>19.58</v>
      </c>
      <c r="N1580" t="s">
        <v>10235</v>
      </c>
    </row>
    <row r="1581" spans="1:14">
      <c r="A1581" t="s">
        <v>38</v>
      </c>
      <c r="B1581" t="s">
        <v>1755</v>
      </c>
      <c r="C1581">
        <f>"1003688"</f>
        <v>0</v>
      </c>
      <c r="D1581">
        <v>12</v>
      </c>
      <c r="E1581">
        <v>9</v>
      </c>
      <c r="F1581" s="2">
        <v>2</v>
      </c>
      <c r="G1581">
        <v>3</v>
      </c>
      <c r="H1581">
        <v>2</v>
      </c>
      <c r="I1581">
        <v>0.1831131628512487</v>
      </c>
      <c r="J1581">
        <v>3</v>
      </c>
      <c r="K1581">
        <v>0</v>
      </c>
      <c r="L1581" s="2">
        <v>0</v>
      </c>
      <c r="M1581">
        <v>19.59</v>
      </c>
      <c r="N1581" t="s">
        <v>10235</v>
      </c>
    </row>
    <row r="1582" spans="1:14">
      <c r="A1582" t="s">
        <v>34</v>
      </c>
      <c r="B1582" t="s">
        <v>1756</v>
      </c>
      <c r="C1582">
        <f>"14000164"</f>
        <v>0</v>
      </c>
      <c r="D1582">
        <v>12</v>
      </c>
      <c r="E1582">
        <v>11</v>
      </c>
      <c r="F1582" s="2">
        <v>21</v>
      </c>
      <c r="G1582">
        <v>3.67</v>
      </c>
      <c r="H1582">
        <v>3</v>
      </c>
      <c r="I1582">
        <v>0.1829344356707214</v>
      </c>
      <c r="J1582">
        <v>3</v>
      </c>
      <c r="K1582">
        <v>0</v>
      </c>
      <c r="L1582" s="2">
        <v>0</v>
      </c>
      <c r="M1582">
        <v>19.6</v>
      </c>
      <c r="N1582" t="s">
        <v>10235</v>
      </c>
    </row>
    <row r="1583" spans="1:14">
      <c r="A1583" t="s">
        <v>31</v>
      </c>
      <c r="B1583" t="s">
        <v>1757</v>
      </c>
      <c r="C1583">
        <f>"RCM026"</f>
        <v>0</v>
      </c>
      <c r="D1583">
        <v>11</v>
      </c>
      <c r="E1583">
        <v>13</v>
      </c>
      <c r="F1583" s="2">
        <v>8</v>
      </c>
      <c r="G1583">
        <v>4.73</v>
      </c>
      <c r="H1583">
        <v>3</v>
      </c>
      <c r="I1583">
        <v>0.1827822442769231</v>
      </c>
      <c r="J1583">
        <v>3</v>
      </c>
      <c r="K1583">
        <v>0</v>
      </c>
      <c r="L1583" s="2">
        <v>0</v>
      </c>
      <c r="M1583">
        <v>19.61</v>
      </c>
      <c r="N1583" t="s">
        <v>10235</v>
      </c>
    </row>
    <row r="1584" spans="1:14">
      <c r="A1584" t="s">
        <v>35</v>
      </c>
      <c r="B1584" t="s">
        <v>1758</v>
      </c>
      <c r="C1584">
        <f>"XDB453A"</f>
        <v>0</v>
      </c>
      <c r="D1584">
        <v>12</v>
      </c>
      <c r="E1584">
        <v>4</v>
      </c>
      <c r="F1584" s="2">
        <v>9</v>
      </c>
      <c r="G1584">
        <v>1.33</v>
      </c>
      <c r="H1584">
        <v>3</v>
      </c>
      <c r="I1584">
        <v>0.1826840046362388</v>
      </c>
      <c r="J1584">
        <v>3</v>
      </c>
      <c r="K1584">
        <v>0</v>
      </c>
      <c r="L1584" s="2">
        <v>0</v>
      </c>
      <c r="M1584">
        <v>19.62</v>
      </c>
      <c r="N1584" t="s">
        <v>10235</v>
      </c>
    </row>
    <row r="1585" spans="1:14">
      <c r="A1585" t="s">
        <v>36</v>
      </c>
      <c r="B1585" t="s">
        <v>1759</v>
      </c>
      <c r="C1585">
        <f>"87059553"</f>
        <v>0</v>
      </c>
      <c r="D1585">
        <v>12</v>
      </c>
      <c r="E1585">
        <v>12</v>
      </c>
      <c r="F1585" s="2">
        <v>6</v>
      </c>
      <c r="G1585">
        <v>4</v>
      </c>
      <c r="H1585">
        <v>2</v>
      </c>
      <c r="I1585">
        <v>0.1826840046362388</v>
      </c>
      <c r="J1585">
        <v>3</v>
      </c>
      <c r="K1585">
        <v>0</v>
      </c>
      <c r="L1585" s="2">
        <v>0</v>
      </c>
      <c r="M1585">
        <v>19.63</v>
      </c>
      <c r="N1585" t="s">
        <v>10235</v>
      </c>
    </row>
    <row r="1586" spans="1:14">
      <c r="A1586" t="s">
        <v>30</v>
      </c>
      <c r="B1586" t="s">
        <v>1760</v>
      </c>
      <c r="C1586">
        <f>"101103"</f>
        <v>0</v>
      </c>
      <c r="D1586">
        <v>12</v>
      </c>
      <c r="E1586">
        <v>12</v>
      </c>
      <c r="F1586" s="2">
        <v>4</v>
      </c>
      <c r="G1586">
        <v>4</v>
      </c>
      <c r="H1586">
        <v>2</v>
      </c>
      <c r="I1586">
        <v>0.1826840046362388</v>
      </c>
      <c r="J1586">
        <v>3</v>
      </c>
      <c r="K1586">
        <v>0</v>
      </c>
      <c r="L1586" s="2">
        <v>0</v>
      </c>
      <c r="M1586">
        <v>19.64</v>
      </c>
      <c r="N1586" t="s">
        <v>10235</v>
      </c>
    </row>
    <row r="1587" spans="1:14">
      <c r="A1587" t="s">
        <v>35</v>
      </c>
      <c r="B1587" t="s">
        <v>1761</v>
      </c>
      <c r="C1587">
        <f>"TF1023"</f>
        <v>0</v>
      </c>
      <c r="D1587">
        <v>12</v>
      </c>
      <c r="E1587">
        <v>12</v>
      </c>
      <c r="F1587" s="2">
        <v>2</v>
      </c>
      <c r="G1587">
        <v>4</v>
      </c>
      <c r="H1587">
        <v>3</v>
      </c>
      <c r="I1587">
        <v>0.1826840046362388</v>
      </c>
      <c r="J1587">
        <v>3</v>
      </c>
      <c r="K1587">
        <v>0</v>
      </c>
      <c r="L1587" s="2">
        <v>0</v>
      </c>
      <c r="M1587">
        <v>19.65</v>
      </c>
      <c r="N1587" t="s">
        <v>10235</v>
      </c>
    </row>
    <row r="1588" spans="1:14">
      <c r="A1588" t="s">
        <v>192</v>
      </c>
      <c r="B1588" t="s">
        <v>1762</v>
      </c>
      <c r="C1588">
        <f>"ZVP2307"</f>
        <v>0</v>
      </c>
      <c r="D1588">
        <v>12</v>
      </c>
      <c r="E1588">
        <v>10</v>
      </c>
      <c r="F1588" s="2">
        <v>1</v>
      </c>
      <c r="G1588">
        <v>3.33</v>
      </c>
      <c r="H1588">
        <v>2</v>
      </c>
      <c r="I1588">
        <v>0.1826840046362388</v>
      </c>
      <c r="J1588">
        <v>3</v>
      </c>
      <c r="K1588">
        <v>0</v>
      </c>
      <c r="L1588" s="2">
        <v>0</v>
      </c>
      <c r="M1588">
        <v>19.66</v>
      </c>
      <c r="N1588" t="s">
        <v>10235</v>
      </c>
    </row>
    <row r="1589" spans="1:14">
      <c r="A1589" t="s">
        <v>221</v>
      </c>
      <c r="B1589" t="s">
        <v>1763</v>
      </c>
      <c r="C1589">
        <f>"13779"</f>
        <v>0</v>
      </c>
      <c r="D1589">
        <v>12</v>
      </c>
      <c r="E1589">
        <v>4</v>
      </c>
      <c r="F1589" s="2">
        <v>28</v>
      </c>
      <c r="G1589">
        <v>1.33</v>
      </c>
      <c r="H1589">
        <v>2</v>
      </c>
      <c r="I1589">
        <v>0.1826840046362388</v>
      </c>
      <c r="J1589">
        <v>3</v>
      </c>
      <c r="K1589">
        <v>0</v>
      </c>
      <c r="L1589" s="2">
        <v>0</v>
      </c>
      <c r="M1589">
        <v>19.67</v>
      </c>
      <c r="N1589" t="s">
        <v>10235</v>
      </c>
    </row>
    <row r="1590" spans="1:14">
      <c r="A1590" t="s">
        <v>32</v>
      </c>
      <c r="B1590" t="s">
        <v>1764</v>
      </c>
      <c r="C1590">
        <f>"5000887"</f>
        <v>0</v>
      </c>
      <c r="D1590">
        <v>12</v>
      </c>
      <c r="E1590">
        <v>12</v>
      </c>
      <c r="F1590" s="2">
        <v>6</v>
      </c>
      <c r="G1590">
        <v>4</v>
      </c>
      <c r="H1590">
        <v>2</v>
      </c>
      <c r="I1590">
        <v>0.1826840046362388</v>
      </c>
      <c r="J1590">
        <v>3</v>
      </c>
      <c r="K1590">
        <v>0</v>
      </c>
      <c r="L1590" s="2">
        <v>0</v>
      </c>
      <c r="M1590">
        <v>19.68</v>
      </c>
      <c r="N1590" t="s">
        <v>10235</v>
      </c>
    </row>
    <row r="1591" spans="1:14">
      <c r="A1591" t="s">
        <v>193</v>
      </c>
      <c r="B1591" t="s">
        <v>1765</v>
      </c>
      <c r="C1591">
        <f>"671663"</f>
        <v>0</v>
      </c>
      <c r="D1591">
        <v>12</v>
      </c>
      <c r="E1591">
        <v>4</v>
      </c>
      <c r="F1591" s="2">
        <v>2</v>
      </c>
      <c r="G1591">
        <v>1.33</v>
      </c>
      <c r="H1591">
        <v>3</v>
      </c>
      <c r="I1591">
        <v>0.1826840046362388</v>
      </c>
      <c r="J1591">
        <v>3</v>
      </c>
      <c r="K1591">
        <v>0</v>
      </c>
      <c r="L1591" s="2">
        <v>0</v>
      </c>
      <c r="M1591">
        <v>19.69</v>
      </c>
      <c r="N1591" t="s">
        <v>10235</v>
      </c>
    </row>
    <row r="1592" spans="1:14">
      <c r="A1592" t="s">
        <v>35</v>
      </c>
      <c r="B1592" t="s">
        <v>1766</v>
      </c>
      <c r="C1592">
        <f>"CK1034"</f>
        <v>0</v>
      </c>
      <c r="D1592">
        <v>12</v>
      </c>
      <c r="E1592">
        <v>12</v>
      </c>
      <c r="F1592" s="2">
        <v>1</v>
      </c>
      <c r="G1592">
        <v>4</v>
      </c>
      <c r="H1592">
        <v>2</v>
      </c>
      <c r="I1592">
        <v>0.1826840046362388</v>
      </c>
      <c r="J1592">
        <v>3</v>
      </c>
      <c r="K1592">
        <v>0</v>
      </c>
      <c r="L1592" s="2">
        <v>0</v>
      </c>
      <c r="M1592">
        <v>19.7</v>
      </c>
      <c r="N1592" t="s">
        <v>10235</v>
      </c>
    </row>
    <row r="1593" spans="1:14">
      <c r="A1593" t="s">
        <v>35</v>
      </c>
      <c r="B1593" t="s">
        <v>1767</v>
      </c>
      <c r="C1593">
        <f>"100002"</f>
        <v>0</v>
      </c>
      <c r="D1593">
        <v>10</v>
      </c>
      <c r="E1593">
        <v>5</v>
      </c>
      <c r="F1593" s="2">
        <v>5</v>
      </c>
      <c r="G1593">
        <v>2</v>
      </c>
      <c r="H1593">
        <v>3</v>
      </c>
      <c r="I1593">
        <v>0.1826261482178103</v>
      </c>
      <c r="J1593">
        <v>2</v>
      </c>
      <c r="K1593">
        <v>0</v>
      </c>
      <c r="L1593" s="2">
        <v>0</v>
      </c>
      <c r="M1593">
        <v>19.71</v>
      </c>
      <c r="N1593" t="s">
        <v>10235</v>
      </c>
    </row>
    <row r="1594" spans="1:14">
      <c r="A1594" t="s">
        <v>35</v>
      </c>
      <c r="B1594" t="s">
        <v>1768</v>
      </c>
      <c r="C1594">
        <f>"XDB450G"</f>
        <v>0</v>
      </c>
      <c r="D1594">
        <v>3</v>
      </c>
      <c r="E1594">
        <v>1</v>
      </c>
      <c r="F1594" s="2">
        <v>112</v>
      </c>
      <c r="G1594">
        <v>1.33</v>
      </c>
      <c r="H1594">
        <v>2</v>
      </c>
      <c r="I1594">
        <v>0.1824674007533108</v>
      </c>
      <c r="J1594">
        <v>1</v>
      </c>
      <c r="K1594">
        <v>0</v>
      </c>
      <c r="L1594" s="2">
        <v>0</v>
      </c>
      <c r="M1594">
        <v>19.72</v>
      </c>
      <c r="N1594" t="s">
        <v>10236</v>
      </c>
    </row>
    <row r="1595" spans="1:14">
      <c r="A1595" t="s">
        <v>208</v>
      </c>
      <c r="B1595" t="s">
        <v>1769</v>
      </c>
      <c r="C1595">
        <f>"5007631"</f>
        <v>0</v>
      </c>
      <c r="D1595">
        <v>11</v>
      </c>
      <c r="E1595">
        <v>43</v>
      </c>
      <c r="F1595" s="2">
        <v>6</v>
      </c>
      <c r="G1595">
        <v>15.64</v>
      </c>
      <c r="H1595">
        <v>4</v>
      </c>
      <c r="I1595">
        <v>0.1824192878874709</v>
      </c>
      <c r="J1595">
        <v>3</v>
      </c>
      <c r="K1595">
        <v>0</v>
      </c>
      <c r="L1595" s="2">
        <v>0</v>
      </c>
      <c r="M1595">
        <v>19.73</v>
      </c>
      <c r="N1595" t="s">
        <v>10235</v>
      </c>
    </row>
    <row r="1596" spans="1:14">
      <c r="A1596" t="s">
        <v>31</v>
      </c>
      <c r="B1596" t="s">
        <v>1770</v>
      </c>
      <c r="C1596">
        <f>"1019648"</f>
        <v>0</v>
      </c>
      <c r="D1596">
        <v>11</v>
      </c>
      <c r="E1596">
        <v>7</v>
      </c>
      <c r="F1596" s="2">
        <v>5</v>
      </c>
      <c r="G1596">
        <v>2.55</v>
      </c>
      <c r="H1596">
        <v>3</v>
      </c>
      <c r="I1596">
        <v>0.1823891154736779</v>
      </c>
      <c r="J1596">
        <v>3</v>
      </c>
      <c r="K1596">
        <v>0</v>
      </c>
      <c r="L1596" s="2">
        <v>0</v>
      </c>
      <c r="M1596">
        <v>19.74</v>
      </c>
      <c r="N1596" t="s">
        <v>10235</v>
      </c>
    </row>
    <row r="1597" spans="1:14">
      <c r="A1597" t="s">
        <v>27</v>
      </c>
      <c r="B1597" t="s">
        <v>1771</v>
      </c>
      <c r="C1597">
        <f>"USA667"</f>
        <v>0</v>
      </c>
      <c r="D1597">
        <v>11</v>
      </c>
      <c r="E1597">
        <v>14</v>
      </c>
      <c r="F1597" s="2">
        <v>1</v>
      </c>
      <c r="G1597">
        <v>5.09</v>
      </c>
      <c r="H1597">
        <v>4</v>
      </c>
      <c r="I1597">
        <v>0.1822678933641444</v>
      </c>
      <c r="J1597">
        <v>3</v>
      </c>
      <c r="K1597">
        <v>0</v>
      </c>
      <c r="L1597" s="2">
        <v>0</v>
      </c>
      <c r="M1597">
        <v>19.74</v>
      </c>
      <c r="N1597" t="s">
        <v>10235</v>
      </c>
    </row>
    <row r="1598" spans="1:14">
      <c r="A1598" t="s">
        <v>24</v>
      </c>
      <c r="B1598" t="s">
        <v>1772</v>
      </c>
      <c r="C1598">
        <f>"DPI002"</f>
        <v>0</v>
      </c>
      <c r="D1598">
        <v>11</v>
      </c>
      <c r="E1598">
        <v>5</v>
      </c>
      <c r="F1598" s="2">
        <v>6</v>
      </c>
      <c r="G1598">
        <v>1.82</v>
      </c>
      <c r="H1598">
        <v>4</v>
      </c>
      <c r="I1598">
        <v>0.1822290241957875</v>
      </c>
      <c r="J1598">
        <v>3</v>
      </c>
      <c r="K1598">
        <v>0</v>
      </c>
      <c r="L1598" s="2">
        <v>0</v>
      </c>
      <c r="M1598">
        <v>19.75</v>
      </c>
      <c r="N1598" t="s">
        <v>10235</v>
      </c>
    </row>
    <row r="1599" spans="1:14">
      <c r="A1599" t="s">
        <v>32</v>
      </c>
      <c r="B1599" t="s">
        <v>1773</v>
      </c>
      <c r="C1599">
        <f>"5006754"</f>
        <v>0</v>
      </c>
      <c r="D1599">
        <v>8</v>
      </c>
      <c r="E1599">
        <v>3</v>
      </c>
      <c r="F1599" s="2">
        <v>20</v>
      </c>
      <c r="G1599">
        <v>1.5</v>
      </c>
      <c r="H1599">
        <v>2</v>
      </c>
      <c r="I1599">
        <v>0.1820489713125668</v>
      </c>
      <c r="J1599">
        <v>2</v>
      </c>
      <c r="K1599">
        <v>0</v>
      </c>
      <c r="L1599" s="2">
        <v>0</v>
      </c>
      <c r="M1599">
        <v>19.76</v>
      </c>
      <c r="N1599" t="s">
        <v>10235</v>
      </c>
    </row>
    <row r="1600" spans="1:14">
      <c r="A1600" t="s">
        <v>25</v>
      </c>
      <c r="B1600" t="s">
        <v>1774</v>
      </c>
      <c r="C1600">
        <f>"A47"</f>
        <v>0</v>
      </c>
      <c r="D1600">
        <v>2</v>
      </c>
      <c r="E1600">
        <v>1</v>
      </c>
      <c r="F1600" s="2">
        <v>207</v>
      </c>
      <c r="G1600">
        <v>2</v>
      </c>
      <c r="H1600">
        <v>2</v>
      </c>
      <c r="I1600">
        <v>0.1820039010430826</v>
      </c>
      <c r="J1600">
        <v>0</v>
      </c>
      <c r="K1600">
        <v>0</v>
      </c>
      <c r="L1600" s="2">
        <v>0</v>
      </c>
      <c r="M1600">
        <v>19.77</v>
      </c>
      <c r="N1600" t="s">
        <v>10236</v>
      </c>
    </row>
    <row r="1601" spans="1:14">
      <c r="A1601" t="s">
        <v>37</v>
      </c>
      <c r="B1601" t="s">
        <v>1775</v>
      </c>
      <c r="C1601">
        <f>"576080"</f>
        <v>0</v>
      </c>
      <c r="D1601">
        <v>11</v>
      </c>
      <c r="E1601">
        <v>4</v>
      </c>
      <c r="F1601" s="2">
        <v>1</v>
      </c>
      <c r="G1601">
        <v>1.45</v>
      </c>
      <c r="H1601">
        <v>3</v>
      </c>
      <c r="I1601">
        <v>0.1819697189219539</v>
      </c>
      <c r="J1601">
        <v>3</v>
      </c>
      <c r="K1601">
        <v>0</v>
      </c>
      <c r="L1601" s="2">
        <v>0</v>
      </c>
      <c r="M1601">
        <v>19.78</v>
      </c>
      <c r="N1601" t="s">
        <v>10235</v>
      </c>
    </row>
    <row r="1602" spans="1:14">
      <c r="A1602" t="s">
        <v>41</v>
      </c>
      <c r="B1602" t="s">
        <v>1776</v>
      </c>
      <c r="C1602">
        <f>"501933"</f>
        <v>0</v>
      </c>
      <c r="D1602">
        <v>11</v>
      </c>
      <c r="E1602">
        <v>33</v>
      </c>
      <c r="F1602" s="2">
        <v>1</v>
      </c>
      <c r="G1602">
        <v>12</v>
      </c>
      <c r="H1602">
        <v>3</v>
      </c>
      <c r="I1602">
        <v>0.1819697189219539</v>
      </c>
      <c r="J1602">
        <v>3</v>
      </c>
      <c r="K1602">
        <v>0</v>
      </c>
      <c r="L1602" s="2">
        <v>0</v>
      </c>
      <c r="M1602">
        <v>19.79</v>
      </c>
      <c r="N1602" t="s">
        <v>10235</v>
      </c>
    </row>
    <row r="1603" spans="1:14">
      <c r="A1603" t="s">
        <v>208</v>
      </c>
      <c r="B1603" t="s">
        <v>1777</v>
      </c>
      <c r="C1603">
        <f>"5002716"</f>
        <v>0</v>
      </c>
      <c r="D1603">
        <v>11</v>
      </c>
      <c r="E1603">
        <v>40</v>
      </c>
      <c r="F1603" s="2">
        <v>10</v>
      </c>
      <c r="G1603">
        <v>14.55</v>
      </c>
      <c r="H1603">
        <v>2</v>
      </c>
      <c r="I1603">
        <v>0.1819697189219539</v>
      </c>
      <c r="J1603">
        <v>3</v>
      </c>
      <c r="K1603">
        <v>0</v>
      </c>
      <c r="L1603" s="2">
        <v>0</v>
      </c>
      <c r="M1603">
        <v>19.8</v>
      </c>
      <c r="N1603" t="s">
        <v>10235</v>
      </c>
    </row>
    <row r="1604" spans="1:14">
      <c r="A1604" t="s">
        <v>35</v>
      </c>
      <c r="B1604" t="s">
        <v>1778</v>
      </c>
      <c r="C1604">
        <f>"ke4804"</f>
        <v>0</v>
      </c>
      <c r="D1604">
        <v>11</v>
      </c>
      <c r="E1604">
        <v>22</v>
      </c>
      <c r="F1604" s="2">
        <v>1</v>
      </c>
      <c r="G1604">
        <v>8</v>
      </c>
      <c r="H1604">
        <v>3</v>
      </c>
      <c r="I1604">
        <v>0.1819697189219539</v>
      </c>
      <c r="J1604">
        <v>3</v>
      </c>
      <c r="K1604">
        <v>0</v>
      </c>
      <c r="L1604" s="2">
        <v>0</v>
      </c>
      <c r="M1604">
        <v>19.81</v>
      </c>
      <c r="N1604" t="s">
        <v>10235</v>
      </c>
    </row>
    <row r="1605" spans="1:14">
      <c r="A1605" t="s">
        <v>30</v>
      </c>
      <c r="B1605" t="s">
        <v>1779</v>
      </c>
      <c r="C1605">
        <f>"100144"</f>
        <v>0</v>
      </c>
      <c r="D1605">
        <v>11</v>
      </c>
      <c r="E1605">
        <v>3</v>
      </c>
      <c r="F1605" s="2">
        <v>15</v>
      </c>
      <c r="G1605">
        <v>1.09</v>
      </c>
      <c r="H1605">
        <v>3</v>
      </c>
      <c r="I1605">
        <v>0.1819697189219539</v>
      </c>
      <c r="J1605">
        <v>3</v>
      </c>
      <c r="K1605">
        <v>0</v>
      </c>
      <c r="L1605" s="2">
        <v>0</v>
      </c>
      <c r="M1605">
        <v>19.82</v>
      </c>
      <c r="N1605" t="s">
        <v>10235</v>
      </c>
    </row>
    <row r="1606" spans="1:14">
      <c r="A1606" t="s">
        <v>192</v>
      </c>
      <c r="B1606" t="s">
        <v>1780</v>
      </c>
      <c r="C1606">
        <f>"MP012"</f>
        <v>0</v>
      </c>
      <c r="D1606">
        <v>11</v>
      </c>
      <c r="E1606">
        <v>6</v>
      </c>
      <c r="F1606" s="2">
        <v>1</v>
      </c>
      <c r="G1606">
        <v>2.18</v>
      </c>
      <c r="H1606">
        <v>3</v>
      </c>
      <c r="I1606">
        <v>0.1819697189219539</v>
      </c>
      <c r="J1606">
        <v>3</v>
      </c>
      <c r="K1606">
        <v>0</v>
      </c>
      <c r="L1606" s="2">
        <v>0</v>
      </c>
      <c r="M1606">
        <v>19.83</v>
      </c>
      <c r="N1606" t="s">
        <v>10235</v>
      </c>
    </row>
    <row r="1607" spans="1:14">
      <c r="A1607" t="s">
        <v>35</v>
      </c>
      <c r="B1607" t="s">
        <v>1781</v>
      </c>
      <c r="C1607">
        <f>"WD926929"</f>
        <v>0</v>
      </c>
      <c r="D1607">
        <v>1</v>
      </c>
      <c r="E1607">
        <v>13</v>
      </c>
      <c r="F1607" s="2">
        <v>2</v>
      </c>
      <c r="G1607">
        <v>52</v>
      </c>
      <c r="H1607">
        <v>1</v>
      </c>
      <c r="I1607">
        <v>0.1817487684728137</v>
      </c>
      <c r="J1607">
        <v>0</v>
      </c>
      <c r="K1607">
        <v>0</v>
      </c>
      <c r="L1607" s="2">
        <v>0</v>
      </c>
      <c r="M1607">
        <v>19.84</v>
      </c>
      <c r="N1607" t="s">
        <v>10236</v>
      </c>
    </row>
    <row r="1608" spans="1:14">
      <c r="A1608" t="s">
        <v>24</v>
      </c>
      <c r="B1608" t="s">
        <v>1782</v>
      </c>
      <c r="C1608">
        <f>"1015851"</f>
        <v>0</v>
      </c>
      <c r="D1608">
        <v>10</v>
      </c>
      <c r="E1608">
        <v>7</v>
      </c>
      <c r="F1608" s="2">
        <v>9</v>
      </c>
      <c r="G1608">
        <v>2.8</v>
      </c>
      <c r="H1608">
        <v>3</v>
      </c>
      <c r="I1608">
        <v>0.1817474210372834</v>
      </c>
      <c r="J1608">
        <v>2</v>
      </c>
      <c r="K1608">
        <v>0</v>
      </c>
      <c r="L1608" s="2">
        <v>0</v>
      </c>
      <c r="M1608">
        <v>19.85</v>
      </c>
      <c r="N1608" t="s">
        <v>10235</v>
      </c>
    </row>
    <row r="1609" spans="1:14">
      <c r="A1609" t="s">
        <v>35</v>
      </c>
      <c r="B1609" t="s">
        <v>1783</v>
      </c>
      <c r="C1609">
        <f>"KLMT1"</f>
        <v>0</v>
      </c>
      <c r="D1609">
        <v>10</v>
      </c>
      <c r="E1609">
        <v>5</v>
      </c>
      <c r="F1609" s="2">
        <v>2</v>
      </c>
      <c r="G1609">
        <v>2</v>
      </c>
      <c r="H1609">
        <v>3</v>
      </c>
      <c r="I1609">
        <v>0.1816309910169995</v>
      </c>
      <c r="J1609">
        <v>2</v>
      </c>
      <c r="K1609">
        <v>0</v>
      </c>
      <c r="L1609" s="2">
        <v>0</v>
      </c>
      <c r="M1609">
        <v>19.86</v>
      </c>
      <c r="N1609" t="s">
        <v>10235</v>
      </c>
    </row>
    <row r="1610" spans="1:14">
      <c r="A1610" t="s">
        <v>37</v>
      </c>
      <c r="B1610" t="s">
        <v>1784</v>
      </c>
      <c r="C1610">
        <f>"576070"</f>
        <v>0</v>
      </c>
      <c r="D1610">
        <v>10</v>
      </c>
      <c r="E1610">
        <v>14</v>
      </c>
      <c r="F1610" s="2">
        <v>1</v>
      </c>
      <c r="G1610">
        <v>5.6</v>
      </c>
      <c r="H1610">
        <v>4</v>
      </c>
      <c r="I1610">
        <v>0.1814620254997582</v>
      </c>
      <c r="J1610">
        <v>2</v>
      </c>
      <c r="K1610">
        <v>0</v>
      </c>
      <c r="L1610" s="2">
        <v>0</v>
      </c>
      <c r="M1610">
        <v>19.87</v>
      </c>
      <c r="N1610" t="s">
        <v>10235</v>
      </c>
    </row>
    <row r="1611" spans="1:14">
      <c r="A1611" t="s">
        <v>34</v>
      </c>
      <c r="B1611" t="s">
        <v>1785</v>
      </c>
      <c r="C1611">
        <f>"14000212"</f>
        <v>0</v>
      </c>
      <c r="D1611">
        <v>10</v>
      </c>
      <c r="E1611">
        <v>4</v>
      </c>
      <c r="F1611" s="2">
        <v>0</v>
      </c>
      <c r="G1611">
        <v>1.6</v>
      </c>
      <c r="H1611">
        <v>4</v>
      </c>
      <c r="I1611">
        <v>0.1812554332076691</v>
      </c>
      <c r="J1611">
        <v>2</v>
      </c>
      <c r="K1611">
        <v>0</v>
      </c>
      <c r="L1611" s="2">
        <v>0</v>
      </c>
      <c r="M1611">
        <v>19.88</v>
      </c>
      <c r="N1611" t="s">
        <v>10235</v>
      </c>
    </row>
    <row r="1612" spans="1:14">
      <c r="A1612" t="s">
        <v>35</v>
      </c>
      <c r="B1612" t="s">
        <v>1786</v>
      </c>
      <c r="C1612">
        <f>"6239252"</f>
        <v>0</v>
      </c>
      <c r="D1612">
        <v>10</v>
      </c>
      <c r="E1612">
        <v>149</v>
      </c>
      <c r="F1612" s="2">
        <v>0</v>
      </c>
      <c r="G1612">
        <v>59.6</v>
      </c>
      <c r="H1612">
        <v>1</v>
      </c>
      <c r="I1612">
        <v>0.1812554332076691</v>
      </c>
      <c r="J1612">
        <v>2</v>
      </c>
      <c r="K1612">
        <v>0</v>
      </c>
      <c r="L1612" s="2">
        <v>0</v>
      </c>
      <c r="M1612">
        <v>19.89</v>
      </c>
      <c r="N1612" t="s">
        <v>10236</v>
      </c>
    </row>
    <row r="1613" spans="1:14">
      <c r="A1613" t="s">
        <v>24</v>
      </c>
      <c r="B1613" t="s">
        <v>1787</v>
      </c>
      <c r="C1613">
        <f>"DPI027"</f>
        <v>0</v>
      </c>
      <c r="D1613">
        <v>10</v>
      </c>
      <c r="E1613">
        <v>3</v>
      </c>
      <c r="F1613" s="2">
        <v>4</v>
      </c>
      <c r="G1613">
        <v>1.2</v>
      </c>
      <c r="H1613">
        <v>3</v>
      </c>
      <c r="I1613">
        <v>0.1812554332076691</v>
      </c>
      <c r="J1613">
        <v>2</v>
      </c>
      <c r="K1613">
        <v>0</v>
      </c>
      <c r="L1613" s="2">
        <v>0</v>
      </c>
      <c r="M1613">
        <v>19.9</v>
      </c>
      <c r="N1613" t="s">
        <v>10235</v>
      </c>
    </row>
    <row r="1614" spans="1:14">
      <c r="A1614" t="s">
        <v>39</v>
      </c>
      <c r="B1614" t="s">
        <v>1788</v>
      </c>
      <c r="C1614">
        <f>"5005051"</f>
        <v>0</v>
      </c>
      <c r="D1614">
        <v>10</v>
      </c>
      <c r="E1614">
        <v>6</v>
      </c>
      <c r="F1614" s="2">
        <v>5</v>
      </c>
      <c r="G1614">
        <v>2.4</v>
      </c>
      <c r="H1614">
        <v>2</v>
      </c>
      <c r="I1614">
        <v>0.1812554332076691</v>
      </c>
      <c r="J1614">
        <v>2</v>
      </c>
      <c r="K1614">
        <v>0</v>
      </c>
      <c r="L1614" s="2">
        <v>0</v>
      </c>
      <c r="M1614">
        <v>19.91</v>
      </c>
      <c r="N1614" t="s">
        <v>10235</v>
      </c>
    </row>
    <row r="1615" spans="1:14">
      <c r="A1615" t="s">
        <v>35</v>
      </c>
      <c r="B1615" t="s">
        <v>1789</v>
      </c>
      <c r="C1615">
        <f>"CK1031"</f>
        <v>0</v>
      </c>
      <c r="D1615">
        <v>10</v>
      </c>
      <c r="E1615">
        <v>10</v>
      </c>
      <c r="F1615" s="2">
        <v>1</v>
      </c>
      <c r="G1615">
        <v>4</v>
      </c>
      <c r="H1615">
        <v>3</v>
      </c>
      <c r="I1615">
        <v>0.1812554332076691</v>
      </c>
      <c r="J1615">
        <v>2</v>
      </c>
      <c r="K1615">
        <v>0</v>
      </c>
      <c r="L1615" s="2">
        <v>0</v>
      </c>
      <c r="M1615">
        <v>19.92</v>
      </c>
      <c r="N1615" t="s">
        <v>10235</v>
      </c>
    </row>
    <row r="1616" spans="1:14">
      <c r="A1616" t="s">
        <v>192</v>
      </c>
      <c r="B1616" t="s">
        <v>1790</v>
      </c>
      <c r="C1616">
        <f>"MP001"</f>
        <v>0</v>
      </c>
      <c r="D1616">
        <v>10</v>
      </c>
      <c r="E1616">
        <v>6</v>
      </c>
      <c r="F1616" s="2">
        <v>1</v>
      </c>
      <c r="G1616">
        <v>2.4</v>
      </c>
      <c r="H1616">
        <v>3</v>
      </c>
      <c r="I1616">
        <v>0.1812554332076691</v>
      </c>
      <c r="J1616">
        <v>2</v>
      </c>
      <c r="K1616">
        <v>0</v>
      </c>
      <c r="L1616" s="2">
        <v>0</v>
      </c>
      <c r="M1616">
        <v>19.93</v>
      </c>
      <c r="N1616" t="s">
        <v>10235</v>
      </c>
    </row>
    <row r="1617" spans="1:14">
      <c r="A1617" t="s">
        <v>33</v>
      </c>
      <c r="B1617" t="s">
        <v>1791</v>
      </c>
      <c r="C1617">
        <f>"TOPK92151"</f>
        <v>0</v>
      </c>
      <c r="D1617">
        <v>10</v>
      </c>
      <c r="E1617">
        <v>29</v>
      </c>
      <c r="F1617" s="2">
        <v>8</v>
      </c>
      <c r="G1617">
        <v>11.6</v>
      </c>
      <c r="H1617">
        <v>3</v>
      </c>
      <c r="I1617">
        <v>0.1812554332076691</v>
      </c>
      <c r="J1617">
        <v>2</v>
      </c>
      <c r="K1617">
        <v>0</v>
      </c>
      <c r="L1617" s="2">
        <v>0</v>
      </c>
      <c r="M1617">
        <v>19.94</v>
      </c>
      <c r="N1617" t="s">
        <v>10235</v>
      </c>
    </row>
    <row r="1618" spans="1:14">
      <c r="A1618" t="s">
        <v>25</v>
      </c>
      <c r="B1618" t="s">
        <v>1792</v>
      </c>
      <c r="C1618">
        <f>"50562"</f>
        <v>0</v>
      </c>
      <c r="D1618">
        <v>10</v>
      </c>
      <c r="E1618">
        <v>6</v>
      </c>
      <c r="F1618" s="2">
        <v>4</v>
      </c>
      <c r="G1618">
        <v>2.4</v>
      </c>
      <c r="H1618">
        <v>3</v>
      </c>
      <c r="I1618">
        <v>0.1812554332076691</v>
      </c>
      <c r="J1618">
        <v>2</v>
      </c>
      <c r="K1618">
        <v>0</v>
      </c>
      <c r="L1618" s="2">
        <v>0</v>
      </c>
      <c r="M1618">
        <v>19.95</v>
      </c>
      <c r="N1618" t="s">
        <v>10235</v>
      </c>
    </row>
    <row r="1619" spans="1:14">
      <c r="A1619" t="s">
        <v>36</v>
      </c>
      <c r="B1619" t="s">
        <v>1793</v>
      </c>
      <c r="C1619">
        <f>"CA5456001CH"</f>
        <v>0</v>
      </c>
      <c r="D1619">
        <v>10</v>
      </c>
      <c r="E1619">
        <v>6</v>
      </c>
      <c r="F1619" s="2">
        <v>4</v>
      </c>
      <c r="G1619">
        <v>2.4</v>
      </c>
      <c r="H1619">
        <v>2</v>
      </c>
      <c r="I1619">
        <v>0.1812554332076691</v>
      </c>
      <c r="J1619">
        <v>2</v>
      </c>
      <c r="K1619">
        <v>0</v>
      </c>
      <c r="L1619" s="2">
        <v>0</v>
      </c>
      <c r="M1619">
        <v>19.96</v>
      </c>
      <c r="N1619" t="s">
        <v>10235</v>
      </c>
    </row>
    <row r="1620" spans="1:14">
      <c r="A1620" t="s">
        <v>41</v>
      </c>
      <c r="B1620" t="s">
        <v>1794</v>
      </c>
      <c r="C1620">
        <f>"501934"</f>
        <v>0</v>
      </c>
      <c r="D1620">
        <v>10</v>
      </c>
      <c r="E1620">
        <v>36</v>
      </c>
      <c r="F1620" s="2">
        <v>1</v>
      </c>
      <c r="G1620">
        <v>14.4</v>
      </c>
      <c r="H1620">
        <v>3</v>
      </c>
      <c r="I1620">
        <v>0.1812554332076691</v>
      </c>
      <c r="J1620">
        <v>2</v>
      </c>
      <c r="K1620">
        <v>0</v>
      </c>
      <c r="L1620" s="2">
        <v>0</v>
      </c>
      <c r="M1620">
        <v>19.97</v>
      </c>
      <c r="N1620" t="s">
        <v>10235</v>
      </c>
    </row>
    <row r="1621" spans="1:14">
      <c r="A1621" t="s">
        <v>41</v>
      </c>
      <c r="B1621" t="s">
        <v>1795</v>
      </c>
      <c r="C1621">
        <f>"501932"</f>
        <v>0</v>
      </c>
      <c r="D1621">
        <v>10</v>
      </c>
      <c r="E1621">
        <v>35</v>
      </c>
      <c r="F1621" s="2">
        <v>1</v>
      </c>
      <c r="G1621">
        <v>14</v>
      </c>
      <c r="H1621">
        <v>3</v>
      </c>
      <c r="I1621">
        <v>0.1812554332076691</v>
      </c>
      <c r="J1621">
        <v>2</v>
      </c>
      <c r="K1621">
        <v>0</v>
      </c>
      <c r="L1621" s="2">
        <v>0</v>
      </c>
      <c r="M1621">
        <v>19.98</v>
      </c>
      <c r="N1621" t="s">
        <v>10235</v>
      </c>
    </row>
    <row r="1622" spans="1:14">
      <c r="A1622" t="s">
        <v>41</v>
      </c>
      <c r="B1622" t="s">
        <v>1796</v>
      </c>
      <c r="C1622">
        <f>"PAHRG10"</f>
        <v>0</v>
      </c>
      <c r="D1622">
        <v>10</v>
      </c>
      <c r="E1622">
        <v>5</v>
      </c>
      <c r="F1622" s="2">
        <v>30</v>
      </c>
      <c r="G1622">
        <v>2</v>
      </c>
      <c r="H1622">
        <v>2</v>
      </c>
      <c r="I1622">
        <v>0.1812554332076691</v>
      </c>
      <c r="J1622">
        <v>2</v>
      </c>
      <c r="K1622">
        <v>0</v>
      </c>
      <c r="L1622" s="2">
        <v>0</v>
      </c>
      <c r="M1622">
        <v>19.99</v>
      </c>
      <c r="N1622" t="s">
        <v>10235</v>
      </c>
    </row>
    <row r="1623" spans="1:14">
      <c r="A1623" t="s">
        <v>24</v>
      </c>
      <c r="B1623" t="s">
        <v>1797</v>
      </c>
      <c r="C1623">
        <f>"6251756"</f>
        <v>0</v>
      </c>
      <c r="D1623">
        <v>10</v>
      </c>
      <c r="E1623">
        <v>20</v>
      </c>
      <c r="F1623" s="2">
        <v>11</v>
      </c>
      <c r="G1623">
        <v>8</v>
      </c>
      <c r="H1623">
        <v>1</v>
      </c>
      <c r="I1623">
        <v>0.1812554332076691</v>
      </c>
      <c r="J1623">
        <v>2</v>
      </c>
      <c r="K1623">
        <v>0</v>
      </c>
      <c r="L1623" s="2">
        <v>0</v>
      </c>
      <c r="M1623">
        <v>19.99</v>
      </c>
      <c r="N1623" t="s">
        <v>10236</v>
      </c>
    </row>
    <row r="1624" spans="1:14">
      <c r="A1624" t="s">
        <v>35</v>
      </c>
      <c r="B1624" t="s">
        <v>1798</v>
      </c>
      <c r="C1624">
        <f>"TF1033"</f>
        <v>0</v>
      </c>
      <c r="D1624">
        <v>10</v>
      </c>
      <c r="E1624">
        <v>4</v>
      </c>
      <c r="F1624" s="2">
        <v>1</v>
      </c>
      <c r="G1624">
        <v>1.6</v>
      </c>
      <c r="H1624">
        <v>3</v>
      </c>
      <c r="I1624">
        <v>0.1812554332076691</v>
      </c>
      <c r="J1624">
        <v>2</v>
      </c>
      <c r="K1624">
        <v>0</v>
      </c>
      <c r="L1624" s="2">
        <v>0</v>
      </c>
      <c r="M1624">
        <v>20</v>
      </c>
      <c r="N1624" t="s">
        <v>10235</v>
      </c>
    </row>
    <row r="1625" spans="1:14">
      <c r="A1625" t="s">
        <v>24</v>
      </c>
      <c r="B1625" t="s">
        <v>1799</v>
      </c>
      <c r="C1625">
        <f>"1113541"</f>
        <v>0</v>
      </c>
      <c r="D1625">
        <v>10</v>
      </c>
      <c r="E1625">
        <v>290</v>
      </c>
      <c r="F1625" s="2">
        <v>0</v>
      </c>
      <c r="G1625">
        <v>116</v>
      </c>
      <c r="H1625">
        <v>1</v>
      </c>
      <c r="I1625">
        <v>0.1812554332076691</v>
      </c>
      <c r="J1625">
        <v>2</v>
      </c>
      <c r="K1625">
        <v>0</v>
      </c>
      <c r="L1625" s="2">
        <v>0</v>
      </c>
      <c r="M1625">
        <v>20.01</v>
      </c>
      <c r="N1625" t="s">
        <v>10236</v>
      </c>
    </row>
    <row r="1626" spans="1:14">
      <c r="A1626" t="s">
        <v>39</v>
      </c>
      <c r="B1626" t="s">
        <v>1800</v>
      </c>
      <c r="C1626">
        <f>"VALIM01009"</f>
        <v>0</v>
      </c>
      <c r="D1626">
        <v>10</v>
      </c>
      <c r="E1626">
        <v>5</v>
      </c>
      <c r="F1626" s="2">
        <v>23</v>
      </c>
      <c r="G1626">
        <v>2</v>
      </c>
      <c r="H1626">
        <v>3</v>
      </c>
      <c r="I1626">
        <v>0.1812554332076691</v>
      </c>
      <c r="J1626">
        <v>2</v>
      </c>
      <c r="K1626">
        <v>0</v>
      </c>
      <c r="L1626" s="2">
        <v>0</v>
      </c>
      <c r="M1626">
        <v>20.02</v>
      </c>
      <c r="N1626" t="s">
        <v>10235</v>
      </c>
    </row>
    <row r="1627" spans="1:14">
      <c r="A1627" t="s">
        <v>24</v>
      </c>
      <c r="B1627" t="s">
        <v>1801</v>
      </c>
      <c r="C1627">
        <f>"DPI300"</f>
        <v>0</v>
      </c>
      <c r="D1627">
        <v>5</v>
      </c>
      <c r="E1627">
        <v>6</v>
      </c>
      <c r="F1627" s="2">
        <v>9</v>
      </c>
      <c r="G1627">
        <v>4.8</v>
      </c>
      <c r="H1627">
        <v>2</v>
      </c>
      <c r="I1627">
        <v>0.1811350188350259</v>
      </c>
      <c r="J1627">
        <v>1</v>
      </c>
      <c r="K1627">
        <v>0</v>
      </c>
      <c r="L1627" s="2">
        <v>0</v>
      </c>
      <c r="M1627">
        <v>20.03</v>
      </c>
      <c r="N1627" t="s">
        <v>10235</v>
      </c>
    </row>
    <row r="1628" spans="1:14">
      <c r="A1628" t="s">
        <v>34</v>
      </c>
      <c r="B1628" t="s">
        <v>1802</v>
      </c>
      <c r="C1628">
        <f>"14000153"</f>
        <v>0</v>
      </c>
      <c r="D1628">
        <v>8</v>
      </c>
      <c r="E1628">
        <v>2</v>
      </c>
      <c r="F1628" s="2">
        <v>40</v>
      </c>
      <c r="G1628">
        <v>1</v>
      </c>
      <c r="H1628">
        <v>4</v>
      </c>
      <c r="I1628">
        <v>0.1810493769920805</v>
      </c>
      <c r="J1628">
        <v>2</v>
      </c>
      <c r="K1628">
        <v>0</v>
      </c>
      <c r="L1628" s="2">
        <v>0</v>
      </c>
      <c r="M1628">
        <v>20.04</v>
      </c>
      <c r="N1628" t="s">
        <v>10235</v>
      </c>
    </row>
    <row r="1629" spans="1:14">
      <c r="A1629" t="s">
        <v>35</v>
      </c>
      <c r="B1629" t="s">
        <v>1803</v>
      </c>
      <c r="C1629">
        <f>"MF895"</f>
        <v>0</v>
      </c>
      <c r="D1629">
        <v>11</v>
      </c>
      <c r="E1629">
        <v>33</v>
      </c>
      <c r="F1629" s="2">
        <v>10</v>
      </c>
      <c r="G1629">
        <v>12</v>
      </c>
      <c r="H1629">
        <v>4</v>
      </c>
      <c r="I1629">
        <v>0.1809885830193175</v>
      </c>
      <c r="J1629">
        <v>3</v>
      </c>
      <c r="K1629">
        <v>0</v>
      </c>
      <c r="L1629" s="2">
        <v>0</v>
      </c>
      <c r="M1629">
        <v>20.05</v>
      </c>
      <c r="N1629" t="s">
        <v>10235</v>
      </c>
    </row>
    <row r="1630" spans="1:14">
      <c r="A1630" t="s">
        <v>35</v>
      </c>
      <c r="B1630" t="s">
        <v>1804</v>
      </c>
      <c r="C1630">
        <f>"KF6004A"</f>
        <v>0</v>
      </c>
      <c r="D1630">
        <v>4</v>
      </c>
      <c r="E1630">
        <v>4</v>
      </c>
      <c r="F1630" s="2">
        <v>41</v>
      </c>
      <c r="G1630">
        <v>4</v>
      </c>
      <c r="H1630">
        <v>2</v>
      </c>
      <c r="I1630">
        <v>0.1808413720659741</v>
      </c>
      <c r="J1630">
        <v>1</v>
      </c>
      <c r="K1630">
        <v>0</v>
      </c>
      <c r="L1630" s="2">
        <v>0</v>
      </c>
      <c r="M1630">
        <v>20.06</v>
      </c>
      <c r="N1630" t="s">
        <v>10236</v>
      </c>
    </row>
    <row r="1631" spans="1:14">
      <c r="A1631" t="s">
        <v>27</v>
      </c>
      <c r="B1631" t="s">
        <v>1805</v>
      </c>
      <c r="C1631">
        <f>"USA604"</f>
        <v>0</v>
      </c>
      <c r="D1631">
        <v>8</v>
      </c>
      <c r="E1631">
        <v>48</v>
      </c>
      <c r="F1631" s="2">
        <v>1</v>
      </c>
      <c r="G1631">
        <v>24</v>
      </c>
      <c r="H1631">
        <v>3</v>
      </c>
      <c r="I1631">
        <v>0.1808193567081049</v>
      </c>
      <c r="J1631">
        <v>2</v>
      </c>
      <c r="K1631">
        <v>0</v>
      </c>
      <c r="L1631" s="2">
        <v>0</v>
      </c>
      <c r="M1631">
        <v>20.07</v>
      </c>
      <c r="N1631" t="s">
        <v>10235</v>
      </c>
    </row>
    <row r="1632" spans="1:14">
      <c r="A1632" t="s">
        <v>35</v>
      </c>
      <c r="B1632" t="s">
        <v>1806</v>
      </c>
      <c r="C1632">
        <f>"MSP108V"</f>
        <v>0</v>
      </c>
      <c r="D1632">
        <v>9</v>
      </c>
      <c r="E1632">
        <v>5</v>
      </c>
      <c r="F1632" s="2">
        <v>11</v>
      </c>
      <c r="G1632">
        <v>2.22</v>
      </c>
      <c r="H1632">
        <v>4</v>
      </c>
      <c r="I1632">
        <v>0.1808013401911528</v>
      </c>
      <c r="J1632">
        <v>2</v>
      </c>
      <c r="K1632">
        <v>0</v>
      </c>
      <c r="L1632" s="2">
        <v>0</v>
      </c>
      <c r="M1632">
        <v>20.08</v>
      </c>
      <c r="N1632" t="s">
        <v>10235</v>
      </c>
    </row>
    <row r="1633" spans="1:14">
      <c r="A1633" t="s">
        <v>35</v>
      </c>
      <c r="B1633" t="s">
        <v>1807</v>
      </c>
      <c r="C1633">
        <f>"TPC50"</f>
        <v>0</v>
      </c>
      <c r="D1633">
        <v>8</v>
      </c>
      <c r="E1633">
        <v>4</v>
      </c>
      <c r="F1633" s="2">
        <v>6</v>
      </c>
      <c r="G1633">
        <v>2</v>
      </c>
      <c r="H1633">
        <v>3</v>
      </c>
      <c r="I1633">
        <v>0.1807975260793017</v>
      </c>
      <c r="J1633">
        <v>2</v>
      </c>
      <c r="K1633">
        <v>0</v>
      </c>
      <c r="L1633" s="2">
        <v>0</v>
      </c>
      <c r="M1633">
        <v>20.09</v>
      </c>
      <c r="N1633" t="s">
        <v>10235</v>
      </c>
    </row>
    <row r="1634" spans="1:14">
      <c r="A1634" t="s">
        <v>194</v>
      </c>
      <c r="B1634" t="s">
        <v>1808</v>
      </c>
      <c r="C1634">
        <f>"200200140"</f>
        <v>0</v>
      </c>
      <c r="D1634">
        <v>8</v>
      </c>
      <c r="E1634">
        <v>2</v>
      </c>
      <c r="F1634" s="2">
        <v>27</v>
      </c>
      <c r="G1634">
        <v>1</v>
      </c>
      <c r="H1634">
        <v>4</v>
      </c>
      <c r="I1634">
        <v>0.180625188351107</v>
      </c>
      <c r="J1634">
        <v>2</v>
      </c>
      <c r="K1634">
        <v>0</v>
      </c>
      <c r="L1634" s="2">
        <v>0</v>
      </c>
      <c r="M1634">
        <v>20.1</v>
      </c>
      <c r="N1634" t="s">
        <v>10235</v>
      </c>
    </row>
    <row r="1635" spans="1:14">
      <c r="A1635" t="s">
        <v>36</v>
      </c>
      <c r="B1635" t="s">
        <v>1809</v>
      </c>
      <c r="C1635">
        <f>"1018253"</f>
        <v>0</v>
      </c>
      <c r="D1635">
        <v>8</v>
      </c>
      <c r="E1635">
        <v>3</v>
      </c>
      <c r="F1635" s="2">
        <v>8</v>
      </c>
      <c r="G1635">
        <v>1.5</v>
      </c>
      <c r="H1635">
        <v>2</v>
      </c>
      <c r="I1635">
        <v>0.1806189763835614</v>
      </c>
      <c r="J1635">
        <v>2</v>
      </c>
      <c r="K1635">
        <v>0</v>
      </c>
      <c r="L1635" s="2">
        <v>0</v>
      </c>
      <c r="M1635">
        <v>20.11</v>
      </c>
      <c r="N1635" t="s">
        <v>10235</v>
      </c>
    </row>
    <row r="1636" spans="1:14">
      <c r="A1636" t="s">
        <v>35</v>
      </c>
      <c r="B1636" t="s">
        <v>1810</v>
      </c>
      <c r="C1636">
        <f>"TF1042"</f>
        <v>0</v>
      </c>
      <c r="D1636">
        <v>9</v>
      </c>
      <c r="E1636">
        <v>4</v>
      </c>
      <c r="F1636" s="2">
        <v>1</v>
      </c>
      <c r="G1636">
        <v>1.78</v>
      </c>
      <c r="H1636">
        <v>3</v>
      </c>
      <c r="I1636">
        <v>0.1805411474933842</v>
      </c>
      <c r="J1636">
        <v>2</v>
      </c>
      <c r="K1636">
        <v>0</v>
      </c>
      <c r="L1636" s="2">
        <v>0</v>
      </c>
      <c r="M1636">
        <v>20.12</v>
      </c>
      <c r="N1636" t="s">
        <v>10235</v>
      </c>
    </row>
    <row r="1637" spans="1:14">
      <c r="A1637" t="s">
        <v>194</v>
      </c>
      <c r="B1637" t="s">
        <v>1811</v>
      </c>
      <c r="C1637">
        <f>"2220100"</f>
        <v>0</v>
      </c>
      <c r="D1637">
        <v>9</v>
      </c>
      <c r="E1637">
        <v>4</v>
      </c>
      <c r="F1637" s="2">
        <v>7</v>
      </c>
      <c r="G1637">
        <v>1.78</v>
      </c>
      <c r="H1637">
        <v>2</v>
      </c>
      <c r="I1637">
        <v>0.1805411474933842</v>
      </c>
      <c r="J1637">
        <v>2</v>
      </c>
      <c r="K1637">
        <v>0</v>
      </c>
      <c r="L1637" s="2">
        <v>0</v>
      </c>
      <c r="M1637">
        <v>20.13</v>
      </c>
      <c r="N1637" t="s">
        <v>10235</v>
      </c>
    </row>
    <row r="1638" spans="1:14">
      <c r="A1638" t="s">
        <v>25</v>
      </c>
      <c r="B1638" t="s">
        <v>1812</v>
      </c>
      <c r="C1638">
        <f>"ZVP2556"</f>
        <v>0</v>
      </c>
      <c r="D1638">
        <v>9</v>
      </c>
      <c r="E1638">
        <v>6</v>
      </c>
      <c r="F1638" s="2">
        <v>1</v>
      </c>
      <c r="G1638">
        <v>2.67</v>
      </c>
      <c r="H1638">
        <v>3</v>
      </c>
      <c r="I1638">
        <v>0.1805411474933842</v>
      </c>
      <c r="J1638">
        <v>2</v>
      </c>
      <c r="K1638">
        <v>0</v>
      </c>
      <c r="L1638" s="2">
        <v>0</v>
      </c>
      <c r="M1638">
        <v>20.14</v>
      </c>
      <c r="N1638" t="s">
        <v>10235</v>
      </c>
    </row>
    <row r="1639" spans="1:14">
      <c r="A1639" t="s">
        <v>35</v>
      </c>
      <c r="B1639" t="s">
        <v>1813</v>
      </c>
      <c r="C1639">
        <f>"CN05"</f>
        <v>0</v>
      </c>
      <c r="D1639">
        <v>9</v>
      </c>
      <c r="E1639">
        <v>20</v>
      </c>
      <c r="F1639" s="2">
        <v>1</v>
      </c>
      <c r="G1639">
        <v>8.890000000000001</v>
      </c>
      <c r="H1639">
        <v>3</v>
      </c>
      <c r="I1639">
        <v>0.1805411474933842</v>
      </c>
      <c r="J1639">
        <v>2</v>
      </c>
      <c r="K1639">
        <v>0</v>
      </c>
      <c r="L1639" s="2">
        <v>0</v>
      </c>
      <c r="M1639">
        <v>20.15</v>
      </c>
      <c r="N1639" t="s">
        <v>10235</v>
      </c>
    </row>
    <row r="1640" spans="1:14">
      <c r="A1640" t="s">
        <v>193</v>
      </c>
      <c r="B1640" t="s">
        <v>1814</v>
      </c>
      <c r="C1640">
        <f>"300889"</f>
        <v>0</v>
      </c>
      <c r="D1640">
        <v>9</v>
      </c>
      <c r="E1640">
        <v>25</v>
      </c>
      <c r="F1640" s="2">
        <v>1</v>
      </c>
      <c r="G1640">
        <v>11.11</v>
      </c>
      <c r="H1640">
        <v>3</v>
      </c>
      <c r="I1640">
        <v>0.1805411474933842</v>
      </c>
      <c r="J1640">
        <v>2</v>
      </c>
      <c r="K1640">
        <v>0</v>
      </c>
      <c r="L1640" s="2">
        <v>0</v>
      </c>
      <c r="M1640">
        <v>20.16</v>
      </c>
      <c r="N1640" t="s">
        <v>10235</v>
      </c>
    </row>
    <row r="1641" spans="1:14">
      <c r="A1641" t="s">
        <v>26</v>
      </c>
      <c r="B1641" t="s">
        <v>1815</v>
      </c>
      <c r="C1641">
        <f>"NARP3KG"</f>
        <v>0</v>
      </c>
      <c r="D1641">
        <v>9</v>
      </c>
      <c r="E1641">
        <v>5</v>
      </c>
      <c r="F1641" s="2">
        <v>6</v>
      </c>
      <c r="G1641">
        <v>2.22</v>
      </c>
      <c r="H1641">
        <v>3</v>
      </c>
      <c r="I1641">
        <v>0.1805411474933842</v>
      </c>
      <c r="J1641">
        <v>2</v>
      </c>
      <c r="K1641">
        <v>0</v>
      </c>
      <c r="L1641" s="2">
        <v>0</v>
      </c>
      <c r="M1641">
        <v>20.17</v>
      </c>
      <c r="N1641" t="s">
        <v>10235</v>
      </c>
    </row>
    <row r="1642" spans="1:14">
      <c r="A1642" t="s">
        <v>35</v>
      </c>
      <c r="B1642" t="s">
        <v>1816</v>
      </c>
      <c r="C1642">
        <f>"RT3423B"</f>
        <v>0</v>
      </c>
      <c r="D1642">
        <v>9</v>
      </c>
      <c r="E1642">
        <v>3</v>
      </c>
      <c r="F1642" s="2">
        <v>3</v>
      </c>
      <c r="G1642">
        <v>1.33</v>
      </c>
      <c r="H1642">
        <v>2</v>
      </c>
      <c r="I1642">
        <v>0.1805411474933842</v>
      </c>
      <c r="J1642">
        <v>2</v>
      </c>
      <c r="K1642">
        <v>0</v>
      </c>
      <c r="L1642" s="2">
        <v>0</v>
      </c>
      <c r="M1642">
        <v>20.18</v>
      </c>
      <c r="N1642" t="s">
        <v>10235</v>
      </c>
    </row>
    <row r="1643" spans="1:14">
      <c r="A1643" t="s">
        <v>34</v>
      </c>
      <c r="B1643" t="s">
        <v>1817</v>
      </c>
      <c r="C1643">
        <f>"14000082"</f>
        <v>0</v>
      </c>
      <c r="D1643">
        <v>9</v>
      </c>
      <c r="E1643">
        <v>30</v>
      </c>
      <c r="F1643" s="2">
        <v>4</v>
      </c>
      <c r="G1643">
        <v>13.33</v>
      </c>
      <c r="H1643">
        <v>2</v>
      </c>
      <c r="I1643">
        <v>0.1805411474933842</v>
      </c>
      <c r="J1643">
        <v>2</v>
      </c>
      <c r="K1643">
        <v>0</v>
      </c>
      <c r="L1643" s="2">
        <v>0</v>
      </c>
      <c r="M1643">
        <v>20.19</v>
      </c>
      <c r="N1643" t="s">
        <v>10235</v>
      </c>
    </row>
    <row r="1644" spans="1:14">
      <c r="A1644" t="s">
        <v>24</v>
      </c>
      <c r="B1644" t="s">
        <v>1818</v>
      </c>
      <c r="C1644">
        <f>"1140151"</f>
        <v>0</v>
      </c>
      <c r="D1644">
        <v>9</v>
      </c>
      <c r="E1644">
        <v>3</v>
      </c>
      <c r="F1644" s="2">
        <v>9</v>
      </c>
      <c r="G1644">
        <v>1.33</v>
      </c>
      <c r="H1644">
        <v>3</v>
      </c>
      <c r="I1644">
        <v>0.1805411474933842</v>
      </c>
      <c r="J1644">
        <v>2</v>
      </c>
      <c r="K1644">
        <v>0</v>
      </c>
      <c r="L1644" s="2">
        <v>0</v>
      </c>
      <c r="M1644">
        <v>20.2</v>
      </c>
      <c r="N1644" t="s">
        <v>10235</v>
      </c>
    </row>
    <row r="1645" spans="1:14">
      <c r="A1645" t="s">
        <v>30</v>
      </c>
      <c r="B1645" t="s">
        <v>1819</v>
      </c>
      <c r="C1645">
        <f>"101105G"</f>
        <v>0</v>
      </c>
      <c r="D1645">
        <v>9</v>
      </c>
      <c r="E1645">
        <v>7</v>
      </c>
      <c r="F1645" s="2">
        <v>4</v>
      </c>
      <c r="G1645">
        <v>3.11</v>
      </c>
      <c r="H1645">
        <v>3</v>
      </c>
      <c r="I1645">
        <v>0.1805411474933842</v>
      </c>
      <c r="J1645">
        <v>2</v>
      </c>
      <c r="K1645">
        <v>0</v>
      </c>
      <c r="L1645" s="2">
        <v>0</v>
      </c>
      <c r="M1645">
        <v>20.21</v>
      </c>
      <c r="N1645" t="s">
        <v>10235</v>
      </c>
    </row>
    <row r="1646" spans="1:14">
      <c r="A1646" t="s">
        <v>40</v>
      </c>
      <c r="B1646" t="s">
        <v>1820</v>
      </c>
      <c r="C1646">
        <f>"V100837"</f>
        <v>0</v>
      </c>
      <c r="D1646">
        <v>6</v>
      </c>
      <c r="E1646">
        <v>2</v>
      </c>
      <c r="F1646" s="2">
        <v>38</v>
      </c>
      <c r="G1646">
        <v>1.33</v>
      </c>
      <c r="H1646">
        <v>3</v>
      </c>
      <c r="I1646">
        <v>0.1804855114458632</v>
      </c>
      <c r="J1646">
        <v>2</v>
      </c>
      <c r="K1646">
        <v>0</v>
      </c>
      <c r="L1646" s="2">
        <v>0</v>
      </c>
      <c r="M1646">
        <v>20.21</v>
      </c>
      <c r="N1646" t="s">
        <v>10235</v>
      </c>
    </row>
    <row r="1647" spans="1:14">
      <c r="A1647" t="s">
        <v>36</v>
      </c>
      <c r="B1647" t="s">
        <v>1821</v>
      </c>
      <c r="C1647">
        <f>"CA5456003CH"</f>
        <v>0</v>
      </c>
      <c r="D1647">
        <v>8</v>
      </c>
      <c r="E1647">
        <v>6</v>
      </c>
      <c r="F1647" s="2">
        <v>11</v>
      </c>
      <c r="G1647">
        <v>3</v>
      </c>
      <c r="H1647">
        <v>4</v>
      </c>
      <c r="I1647">
        <v>0.1803870037669286</v>
      </c>
      <c r="J1647">
        <v>2</v>
      </c>
      <c r="K1647">
        <v>0</v>
      </c>
      <c r="L1647" s="2">
        <v>0</v>
      </c>
      <c r="M1647">
        <v>20.22</v>
      </c>
      <c r="N1647" t="s">
        <v>10235</v>
      </c>
    </row>
    <row r="1648" spans="1:14">
      <c r="A1648" t="s">
        <v>24</v>
      </c>
      <c r="B1648" t="s">
        <v>1822</v>
      </c>
      <c r="C1648">
        <f>"1015850"</f>
        <v>0</v>
      </c>
      <c r="D1648">
        <v>9</v>
      </c>
      <c r="E1648">
        <v>8</v>
      </c>
      <c r="F1648" s="2">
        <v>7</v>
      </c>
      <c r="G1648">
        <v>3.56</v>
      </c>
      <c r="H1648">
        <v>3</v>
      </c>
      <c r="I1648">
        <v>0.1803191140248245</v>
      </c>
      <c r="J1648">
        <v>2</v>
      </c>
      <c r="K1648">
        <v>0</v>
      </c>
      <c r="L1648" s="2">
        <v>0</v>
      </c>
      <c r="M1648">
        <v>20.23</v>
      </c>
      <c r="N1648" t="s">
        <v>10235</v>
      </c>
    </row>
    <row r="1649" spans="1:14">
      <c r="A1649" t="s">
        <v>24</v>
      </c>
      <c r="B1649" t="s">
        <v>1823</v>
      </c>
      <c r="C1649">
        <f>"DPI076"</f>
        <v>0</v>
      </c>
      <c r="D1649">
        <v>8</v>
      </c>
      <c r="E1649">
        <v>18</v>
      </c>
      <c r="F1649" s="2">
        <v>5</v>
      </c>
      <c r="G1649">
        <v>9</v>
      </c>
      <c r="H1649">
        <v>2</v>
      </c>
      <c r="I1649">
        <v>0.1802856599535413</v>
      </c>
      <c r="J1649">
        <v>2</v>
      </c>
      <c r="K1649">
        <v>0</v>
      </c>
      <c r="L1649" s="2">
        <v>0</v>
      </c>
      <c r="M1649">
        <v>20.24</v>
      </c>
      <c r="N1649" t="s">
        <v>10235</v>
      </c>
    </row>
    <row r="1650" spans="1:14">
      <c r="A1650" t="s">
        <v>24</v>
      </c>
      <c r="B1650" t="s">
        <v>1824</v>
      </c>
      <c r="C1650">
        <f>"1012186"</f>
        <v>0</v>
      </c>
      <c r="D1650">
        <v>8</v>
      </c>
      <c r="E1650">
        <v>6</v>
      </c>
      <c r="F1650" s="2">
        <v>6</v>
      </c>
      <c r="G1650">
        <v>3</v>
      </c>
      <c r="H1650">
        <v>4</v>
      </c>
      <c r="I1650">
        <v>0.1802744784119591</v>
      </c>
      <c r="J1650">
        <v>2</v>
      </c>
      <c r="K1650">
        <v>0</v>
      </c>
      <c r="L1650" s="2">
        <v>0</v>
      </c>
      <c r="M1650">
        <v>20.25</v>
      </c>
      <c r="N1650" t="s">
        <v>10235</v>
      </c>
    </row>
    <row r="1651" spans="1:14">
      <c r="A1651" t="s">
        <v>30</v>
      </c>
      <c r="B1651" t="s">
        <v>1825</v>
      </c>
      <c r="C1651">
        <f>"100897"</f>
        <v>0</v>
      </c>
      <c r="D1651">
        <v>6</v>
      </c>
      <c r="E1651">
        <v>2</v>
      </c>
      <c r="F1651" s="2">
        <v>39</v>
      </c>
      <c r="G1651">
        <v>1.33</v>
      </c>
      <c r="H1651">
        <v>3</v>
      </c>
      <c r="I1651">
        <v>0.1801862720949506</v>
      </c>
      <c r="J1651">
        <v>2</v>
      </c>
      <c r="K1651">
        <v>0</v>
      </c>
      <c r="L1651" s="2">
        <v>0</v>
      </c>
      <c r="M1651">
        <v>20.26</v>
      </c>
      <c r="N1651" t="s">
        <v>10235</v>
      </c>
    </row>
    <row r="1652" spans="1:14">
      <c r="A1652" t="s">
        <v>37</v>
      </c>
      <c r="B1652" t="s">
        <v>1826</v>
      </c>
      <c r="C1652">
        <f>"576010"</f>
        <v>0</v>
      </c>
      <c r="D1652">
        <v>8</v>
      </c>
      <c r="E1652">
        <v>2</v>
      </c>
      <c r="F1652" s="2">
        <v>1</v>
      </c>
      <c r="G1652">
        <v>1</v>
      </c>
      <c r="H1652">
        <v>3</v>
      </c>
      <c r="I1652">
        <v>0.1800717907851844</v>
      </c>
      <c r="J1652">
        <v>2</v>
      </c>
      <c r="K1652">
        <v>0</v>
      </c>
      <c r="L1652" s="2">
        <v>0</v>
      </c>
      <c r="M1652">
        <v>20.27</v>
      </c>
      <c r="N1652" t="s">
        <v>10235</v>
      </c>
    </row>
    <row r="1653" spans="1:14">
      <c r="A1653" t="s">
        <v>202</v>
      </c>
      <c r="B1653" t="s">
        <v>1827</v>
      </c>
      <c r="C1653">
        <f>"11001059"</f>
        <v>0</v>
      </c>
      <c r="D1653">
        <v>6</v>
      </c>
      <c r="E1653">
        <v>3</v>
      </c>
      <c r="F1653" s="2">
        <v>17</v>
      </c>
      <c r="G1653">
        <v>2</v>
      </c>
      <c r="H1653">
        <v>3</v>
      </c>
      <c r="I1653">
        <v>0.179907088524971</v>
      </c>
      <c r="J1653">
        <v>2</v>
      </c>
      <c r="K1653">
        <v>0</v>
      </c>
      <c r="L1653" s="2">
        <v>0</v>
      </c>
      <c r="M1653">
        <v>20.28</v>
      </c>
      <c r="N1653" t="s">
        <v>10235</v>
      </c>
    </row>
    <row r="1654" spans="1:14">
      <c r="A1654" t="s">
        <v>35</v>
      </c>
      <c r="B1654" t="s">
        <v>1828</v>
      </c>
      <c r="C1654">
        <f>"28405"</f>
        <v>0</v>
      </c>
      <c r="D1654">
        <v>8</v>
      </c>
      <c r="E1654">
        <v>5</v>
      </c>
      <c r="F1654" s="2">
        <v>9</v>
      </c>
      <c r="G1654">
        <v>2.5</v>
      </c>
      <c r="H1654">
        <v>3</v>
      </c>
      <c r="I1654">
        <v>0.1798268617790993</v>
      </c>
      <c r="J1654">
        <v>2</v>
      </c>
      <c r="K1654">
        <v>0</v>
      </c>
      <c r="L1654" s="2">
        <v>0</v>
      </c>
      <c r="M1654">
        <v>20.29</v>
      </c>
      <c r="N1654" t="s">
        <v>10235</v>
      </c>
    </row>
    <row r="1655" spans="1:14">
      <c r="A1655" t="s">
        <v>35</v>
      </c>
      <c r="B1655" t="s">
        <v>1829</v>
      </c>
      <c r="C1655">
        <f>"CK1035"</f>
        <v>0</v>
      </c>
      <c r="D1655">
        <v>8</v>
      </c>
      <c r="E1655">
        <v>15</v>
      </c>
      <c r="F1655" s="2">
        <v>1</v>
      </c>
      <c r="G1655">
        <v>7.5</v>
      </c>
      <c r="H1655">
        <v>2</v>
      </c>
      <c r="I1655">
        <v>0.1798268617790993</v>
      </c>
      <c r="J1655">
        <v>2</v>
      </c>
      <c r="K1655">
        <v>0</v>
      </c>
      <c r="L1655" s="2">
        <v>0</v>
      </c>
      <c r="M1655">
        <v>20.3</v>
      </c>
      <c r="N1655" t="s">
        <v>10235</v>
      </c>
    </row>
    <row r="1656" spans="1:14">
      <c r="A1656" t="s">
        <v>34</v>
      </c>
      <c r="B1656" t="s">
        <v>1830</v>
      </c>
      <c r="C1656">
        <f>"14000111"</f>
        <v>0</v>
      </c>
      <c r="D1656">
        <v>8</v>
      </c>
      <c r="E1656">
        <v>7</v>
      </c>
      <c r="F1656" s="2">
        <v>11</v>
      </c>
      <c r="G1656">
        <v>3.5</v>
      </c>
      <c r="H1656">
        <v>3</v>
      </c>
      <c r="I1656">
        <v>0.1798268617790993</v>
      </c>
      <c r="J1656">
        <v>2</v>
      </c>
      <c r="K1656">
        <v>0</v>
      </c>
      <c r="L1656" s="2">
        <v>0</v>
      </c>
      <c r="M1656">
        <v>20.31</v>
      </c>
      <c r="N1656" t="s">
        <v>10235</v>
      </c>
    </row>
    <row r="1657" spans="1:14">
      <c r="A1657" t="s">
        <v>38</v>
      </c>
      <c r="B1657" t="s">
        <v>1831</v>
      </c>
      <c r="C1657">
        <f>"1003691"</f>
        <v>0</v>
      </c>
      <c r="D1657">
        <v>8</v>
      </c>
      <c r="E1657">
        <v>41</v>
      </c>
      <c r="F1657" s="2">
        <v>2</v>
      </c>
      <c r="G1657">
        <v>20.5</v>
      </c>
      <c r="H1657">
        <v>2</v>
      </c>
      <c r="I1657">
        <v>0.1798268617790993</v>
      </c>
      <c r="J1657">
        <v>2</v>
      </c>
      <c r="K1657">
        <v>0</v>
      </c>
      <c r="L1657" s="2">
        <v>0</v>
      </c>
      <c r="M1657">
        <v>20.32</v>
      </c>
      <c r="N1657" t="s">
        <v>10235</v>
      </c>
    </row>
    <row r="1658" spans="1:14">
      <c r="A1658" t="s">
        <v>31</v>
      </c>
      <c r="B1658" t="s">
        <v>1832</v>
      </c>
      <c r="C1658">
        <f>"1020892"</f>
        <v>0</v>
      </c>
      <c r="D1658">
        <v>8</v>
      </c>
      <c r="E1658">
        <v>11</v>
      </c>
      <c r="F1658" s="2">
        <v>9</v>
      </c>
      <c r="G1658">
        <v>5.5</v>
      </c>
      <c r="H1658">
        <v>2</v>
      </c>
      <c r="I1658">
        <v>0.1798268617790993</v>
      </c>
      <c r="J1658">
        <v>2</v>
      </c>
      <c r="K1658">
        <v>0</v>
      </c>
      <c r="L1658" s="2">
        <v>0</v>
      </c>
      <c r="M1658">
        <v>20.33</v>
      </c>
      <c r="N1658" t="s">
        <v>10235</v>
      </c>
    </row>
    <row r="1659" spans="1:14">
      <c r="A1659" t="s">
        <v>35</v>
      </c>
      <c r="B1659" t="s">
        <v>1833</v>
      </c>
      <c r="C1659">
        <f>"19481"</f>
        <v>0</v>
      </c>
      <c r="D1659">
        <v>8</v>
      </c>
      <c r="E1659">
        <v>9</v>
      </c>
      <c r="F1659" s="2">
        <v>0</v>
      </c>
      <c r="G1659">
        <v>4.5</v>
      </c>
      <c r="H1659">
        <v>2</v>
      </c>
      <c r="I1659">
        <v>0.1798268617790993</v>
      </c>
      <c r="J1659">
        <v>2</v>
      </c>
      <c r="K1659">
        <v>0</v>
      </c>
      <c r="L1659" s="2">
        <v>0</v>
      </c>
      <c r="M1659">
        <v>20.34</v>
      </c>
      <c r="N1659" t="s">
        <v>10235</v>
      </c>
    </row>
    <row r="1660" spans="1:14">
      <c r="A1660" t="s">
        <v>38</v>
      </c>
      <c r="B1660" t="s">
        <v>1834</v>
      </c>
      <c r="C1660">
        <f>"1001131"</f>
        <v>0</v>
      </c>
      <c r="D1660">
        <v>8</v>
      </c>
      <c r="E1660">
        <v>7</v>
      </c>
      <c r="F1660" s="2">
        <v>2</v>
      </c>
      <c r="G1660">
        <v>3.5</v>
      </c>
      <c r="H1660">
        <v>3</v>
      </c>
      <c r="I1660">
        <v>0.1798268617790993</v>
      </c>
      <c r="J1660">
        <v>2</v>
      </c>
      <c r="K1660">
        <v>0</v>
      </c>
      <c r="L1660" s="2">
        <v>0</v>
      </c>
      <c r="M1660">
        <v>20.35</v>
      </c>
      <c r="N1660" t="s">
        <v>10235</v>
      </c>
    </row>
    <row r="1661" spans="1:14">
      <c r="A1661" t="s">
        <v>30</v>
      </c>
      <c r="B1661" t="s">
        <v>1835</v>
      </c>
      <c r="C1661">
        <f>"101255"</f>
        <v>0</v>
      </c>
      <c r="D1661">
        <v>8</v>
      </c>
      <c r="E1661">
        <v>7</v>
      </c>
      <c r="F1661" s="2">
        <v>14</v>
      </c>
      <c r="G1661">
        <v>3.5</v>
      </c>
      <c r="H1661">
        <v>2</v>
      </c>
      <c r="I1661">
        <v>0.1798268617790993</v>
      </c>
      <c r="J1661">
        <v>2</v>
      </c>
      <c r="K1661">
        <v>0</v>
      </c>
      <c r="L1661" s="2">
        <v>0</v>
      </c>
      <c r="M1661">
        <v>20.36</v>
      </c>
      <c r="N1661" t="s">
        <v>10235</v>
      </c>
    </row>
    <row r="1662" spans="1:14">
      <c r="A1662" t="s">
        <v>27</v>
      </c>
      <c r="B1662" t="s">
        <v>1836</v>
      </c>
      <c r="C1662">
        <f>"USD622"</f>
        <v>0</v>
      </c>
      <c r="D1662">
        <v>8</v>
      </c>
      <c r="E1662">
        <v>5</v>
      </c>
      <c r="F1662" s="2">
        <v>3</v>
      </c>
      <c r="G1662">
        <v>2.5</v>
      </c>
      <c r="H1662">
        <v>1</v>
      </c>
      <c r="I1662">
        <v>0.1798268617790993</v>
      </c>
      <c r="J1662">
        <v>2</v>
      </c>
      <c r="K1662">
        <v>0</v>
      </c>
      <c r="L1662" s="2">
        <v>0</v>
      </c>
      <c r="M1662">
        <v>20.37</v>
      </c>
      <c r="N1662" t="s">
        <v>10236</v>
      </c>
    </row>
    <row r="1663" spans="1:14">
      <c r="A1663" t="s">
        <v>192</v>
      </c>
      <c r="B1663" t="s">
        <v>1837</v>
      </c>
      <c r="C1663">
        <f>"MP004"</f>
        <v>0</v>
      </c>
      <c r="D1663">
        <v>8</v>
      </c>
      <c r="E1663">
        <v>6</v>
      </c>
      <c r="F1663" s="2">
        <v>1</v>
      </c>
      <c r="G1663">
        <v>3</v>
      </c>
      <c r="H1663">
        <v>3</v>
      </c>
      <c r="I1663">
        <v>0.1798268617790993</v>
      </c>
      <c r="J1663">
        <v>2</v>
      </c>
      <c r="K1663">
        <v>0</v>
      </c>
      <c r="L1663" s="2">
        <v>0</v>
      </c>
      <c r="M1663">
        <v>20.38</v>
      </c>
      <c r="N1663" t="s">
        <v>10235</v>
      </c>
    </row>
    <row r="1664" spans="1:14">
      <c r="A1664" t="s">
        <v>24</v>
      </c>
      <c r="B1664" t="s">
        <v>1838</v>
      </c>
      <c r="C1664">
        <f>"1021073"</f>
        <v>0</v>
      </c>
      <c r="D1664">
        <v>8</v>
      </c>
      <c r="E1664">
        <v>4</v>
      </c>
      <c r="F1664" s="2">
        <v>4</v>
      </c>
      <c r="G1664">
        <v>2</v>
      </c>
      <c r="H1664">
        <v>2</v>
      </c>
      <c r="I1664">
        <v>0.1798268617790993</v>
      </c>
      <c r="J1664">
        <v>2</v>
      </c>
      <c r="K1664">
        <v>0</v>
      </c>
      <c r="L1664" s="2">
        <v>0</v>
      </c>
      <c r="M1664">
        <v>20.39</v>
      </c>
      <c r="N1664" t="s">
        <v>10235</v>
      </c>
    </row>
    <row r="1665" spans="1:14">
      <c r="A1665" t="s">
        <v>38</v>
      </c>
      <c r="B1665" t="s">
        <v>1839</v>
      </c>
      <c r="C1665">
        <f>"1001126"</f>
        <v>0</v>
      </c>
      <c r="D1665">
        <v>8</v>
      </c>
      <c r="E1665">
        <v>2</v>
      </c>
      <c r="F1665" s="2">
        <v>52</v>
      </c>
      <c r="G1665">
        <v>1</v>
      </c>
      <c r="H1665">
        <v>3</v>
      </c>
      <c r="I1665">
        <v>0.1798268617790993</v>
      </c>
      <c r="J1665">
        <v>2</v>
      </c>
      <c r="K1665">
        <v>0</v>
      </c>
      <c r="L1665" s="2">
        <v>0</v>
      </c>
      <c r="M1665">
        <v>20.4</v>
      </c>
      <c r="N1665" t="s">
        <v>10235</v>
      </c>
    </row>
    <row r="1666" spans="1:14">
      <c r="A1666" t="s">
        <v>221</v>
      </c>
      <c r="B1666" t="s">
        <v>1840</v>
      </c>
      <c r="C1666">
        <f>"21307"</f>
        <v>0</v>
      </c>
      <c r="D1666">
        <v>8</v>
      </c>
      <c r="E1666">
        <v>4</v>
      </c>
      <c r="F1666" s="2">
        <v>32</v>
      </c>
      <c r="G1666">
        <v>2</v>
      </c>
      <c r="H1666">
        <v>1</v>
      </c>
      <c r="I1666">
        <v>0.1798268617790993</v>
      </c>
      <c r="J1666">
        <v>2</v>
      </c>
      <c r="K1666">
        <v>0</v>
      </c>
      <c r="L1666" s="2">
        <v>0</v>
      </c>
      <c r="M1666">
        <v>20.41</v>
      </c>
      <c r="N1666" t="s">
        <v>10236</v>
      </c>
    </row>
    <row r="1667" spans="1:14">
      <c r="A1667" t="s">
        <v>41</v>
      </c>
      <c r="B1667" t="s">
        <v>1841</v>
      </c>
      <c r="C1667">
        <f>"CENTRAQUA"</f>
        <v>0</v>
      </c>
      <c r="D1667">
        <v>8</v>
      </c>
      <c r="E1667">
        <v>5</v>
      </c>
      <c r="F1667" s="2">
        <v>10</v>
      </c>
      <c r="G1667">
        <v>2.5</v>
      </c>
      <c r="H1667">
        <v>3</v>
      </c>
      <c r="I1667">
        <v>0.1798268617790993</v>
      </c>
      <c r="J1667">
        <v>2</v>
      </c>
      <c r="K1667">
        <v>0</v>
      </c>
      <c r="L1667" s="2">
        <v>0</v>
      </c>
      <c r="M1667">
        <v>20.42</v>
      </c>
      <c r="N1667" t="s">
        <v>10235</v>
      </c>
    </row>
    <row r="1668" spans="1:14">
      <c r="A1668" t="s">
        <v>29</v>
      </c>
      <c r="B1668" t="s">
        <v>1842</v>
      </c>
      <c r="C1668">
        <f>"BSL6"</f>
        <v>0</v>
      </c>
      <c r="D1668">
        <v>8</v>
      </c>
      <c r="E1668">
        <v>2</v>
      </c>
      <c r="F1668" s="2">
        <v>1</v>
      </c>
      <c r="G1668">
        <v>1</v>
      </c>
      <c r="H1668">
        <v>2</v>
      </c>
      <c r="I1668">
        <v>0.1798268617790993</v>
      </c>
      <c r="J1668">
        <v>2</v>
      </c>
      <c r="K1668">
        <v>0</v>
      </c>
      <c r="L1668" s="2">
        <v>0</v>
      </c>
      <c r="M1668">
        <v>20.42</v>
      </c>
      <c r="N1668" t="s">
        <v>10235</v>
      </c>
    </row>
    <row r="1669" spans="1:14">
      <c r="A1669" t="s">
        <v>30</v>
      </c>
      <c r="B1669" t="s">
        <v>1843</v>
      </c>
      <c r="C1669">
        <f>"100901"</f>
        <v>0</v>
      </c>
      <c r="D1669">
        <v>7</v>
      </c>
      <c r="E1669">
        <v>3</v>
      </c>
      <c r="F1669" s="2">
        <v>12</v>
      </c>
      <c r="G1669">
        <v>1.71</v>
      </c>
      <c r="H1669">
        <v>4</v>
      </c>
      <c r="I1669">
        <v>0.1798079614603516</v>
      </c>
      <c r="J1669">
        <v>2</v>
      </c>
      <c r="K1669">
        <v>0</v>
      </c>
      <c r="L1669" s="2">
        <v>0</v>
      </c>
      <c r="M1669">
        <v>20.43</v>
      </c>
      <c r="N1669" t="s">
        <v>10235</v>
      </c>
    </row>
    <row r="1670" spans="1:14">
      <c r="A1670" t="s">
        <v>35</v>
      </c>
      <c r="B1670" t="s">
        <v>1844</v>
      </c>
      <c r="C1670">
        <f>"3103LI"</f>
        <v>0</v>
      </c>
      <c r="D1670">
        <v>6</v>
      </c>
      <c r="E1670">
        <v>4</v>
      </c>
      <c r="F1670" s="2">
        <v>8</v>
      </c>
      <c r="G1670">
        <v>2.67</v>
      </c>
      <c r="H1670">
        <v>3</v>
      </c>
      <c r="I1670">
        <v>0.1797489495797378</v>
      </c>
      <c r="J1670">
        <v>2</v>
      </c>
      <c r="K1670">
        <v>0</v>
      </c>
      <c r="L1670" s="2">
        <v>0</v>
      </c>
      <c r="M1670">
        <v>20.44</v>
      </c>
      <c r="N1670" t="s">
        <v>10235</v>
      </c>
    </row>
    <row r="1671" spans="1:14">
      <c r="A1671" t="s">
        <v>32</v>
      </c>
      <c r="B1671" t="s">
        <v>292</v>
      </c>
      <c r="C1671">
        <f>"PFI077"</f>
        <v>0</v>
      </c>
      <c r="D1671">
        <v>7</v>
      </c>
      <c r="E1671">
        <v>11</v>
      </c>
      <c r="F1671" s="2">
        <v>5</v>
      </c>
      <c r="G1671">
        <v>6.29</v>
      </c>
      <c r="H1671">
        <v>4</v>
      </c>
      <c r="I1671">
        <v>0.1796272819471672</v>
      </c>
      <c r="J1671">
        <v>2</v>
      </c>
      <c r="K1671">
        <v>0</v>
      </c>
      <c r="L1671" s="2">
        <v>0</v>
      </c>
      <c r="M1671">
        <v>20.45</v>
      </c>
      <c r="N1671" t="s">
        <v>10235</v>
      </c>
    </row>
    <row r="1672" spans="1:14">
      <c r="A1672" t="s">
        <v>35</v>
      </c>
      <c r="B1672" t="s">
        <v>1845</v>
      </c>
      <c r="C1672">
        <f>"CAT001CA"</f>
        <v>0</v>
      </c>
      <c r="D1672">
        <v>5</v>
      </c>
      <c r="E1672">
        <v>6</v>
      </c>
      <c r="F1672" s="2">
        <v>18</v>
      </c>
      <c r="G1672">
        <v>4.8</v>
      </c>
      <c r="H1672">
        <v>2</v>
      </c>
      <c r="I1672">
        <v>0.1795974681250876</v>
      </c>
      <c r="J1672">
        <v>1</v>
      </c>
      <c r="K1672">
        <v>0</v>
      </c>
      <c r="L1672" s="2">
        <v>0</v>
      </c>
      <c r="M1672">
        <v>20.46</v>
      </c>
      <c r="N1672" t="s">
        <v>10235</v>
      </c>
    </row>
    <row r="1673" spans="1:14">
      <c r="A1673" t="s">
        <v>30</v>
      </c>
      <c r="B1673" t="s">
        <v>1846</v>
      </c>
      <c r="C1673">
        <f>"101316"</f>
        <v>0</v>
      </c>
      <c r="D1673">
        <v>7</v>
      </c>
      <c r="E1673">
        <v>7</v>
      </c>
      <c r="F1673" s="2">
        <v>4</v>
      </c>
      <c r="G1673">
        <v>4</v>
      </c>
      <c r="H1673">
        <v>2</v>
      </c>
      <c r="I1673">
        <v>0.1795967545638</v>
      </c>
      <c r="J1673">
        <v>2</v>
      </c>
      <c r="K1673">
        <v>0</v>
      </c>
      <c r="L1673" s="2">
        <v>0</v>
      </c>
      <c r="M1673">
        <v>20.47</v>
      </c>
      <c r="N1673" t="s">
        <v>10235</v>
      </c>
    </row>
    <row r="1674" spans="1:14">
      <c r="A1674" t="s">
        <v>35</v>
      </c>
      <c r="B1674" t="s">
        <v>1847</v>
      </c>
      <c r="C1674">
        <f>"852350"</f>
        <v>0</v>
      </c>
      <c r="D1674">
        <v>7</v>
      </c>
      <c r="E1674">
        <v>31</v>
      </c>
      <c r="F1674" s="2">
        <v>6</v>
      </c>
      <c r="G1674">
        <v>17.71</v>
      </c>
      <c r="H1674">
        <v>1</v>
      </c>
      <c r="I1674">
        <v>0.1794852941175526</v>
      </c>
      <c r="J1674">
        <v>2</v>
      </c>
      <c r="K1674">
        <v>0</v>
      </c>
      <c r="L1674" s="2">
        <v>0</v>
      </c>
      <c r="M1674">
        <v>20.48</v>
      </c>
      <c r="N1674" t="s">
        <v>10236</v>
      </c>
    </row>
    <row r="1675" spans="1:14">
      <c r="A1675" t="s">
        <v>35</v>
      </c>
      <c r="B1675" t="s">
        <v>1848</v>
      </c>
      <c r="C1675">
        <f>"8333SGA"</f>
        <v>0</v>
      </c>
      <c r="D1675">
        <v>4</v>
      </c>
      <c r="E1675">
        <v>2</v>
      </c>
      <c r="F1675" s="2">
        <v>18</v>
      </c>
      <c r="G1675">
        <v>2</v>
      </c>
      <c r="H1675">
        <v>1</v>
      </c>
      <c r="I1675">
        <v>0.1794571682120195</v>
      </c>
      <c r="J1675">
        <v>1</v>
      </c>
      <c r="K1675">
        <v>0</v>
      </c>
      <c r="L1675" s="2">
        <v>0</v>
      </c>
      <c r="M1675">
        <v>20.49</v>
      </c>
      <c r="N1675" t="s">
        <v>10236</v>
      </c>
    </row>
    <row r="1676" spans="1:14">
      <c r="A1676" t="s">
        <v>25</v>
      </c>
      <c r="B1676" t="s">
        <v>1849</v>
      </c>
      <c r="C1676">
        <f>"3531"</f>
        <v>0</v>
      </c>
      <c r="D1676">
        <v>7</v>
      </c>
      <c r="E1676">
        <v>4</v>
      </c>
      <c r="F1676" s="2">
        <v>4</v>
      </c>
      <c r="G1676">
        <v>2.29</v>
      </c>
      <c r="H1676">
        <v>4</v>
      </c>
      <c r="I1676">
        <v>0.1794535243406764</v>
      </c>
      <c r="J1676">
        <v>2</v>
      </c>
      <c r="K1676">
        <v>0</v>
      </c>
      <c r="L1676" s="2">
        <v>0</v>
      </c>
      <c r="M1676">
        <v>20.5</v>
      </c>
      <c r="N1676" t="s">
        <v>10235</v>
      </c>
    </row>
    <row r="1677" spans="1:14">
      <c r="A1677" t="s">
        <v>202</v>
      </c>
      <c r="B1677" t="s">
        <v>1850</v>
      </c>
      <c r="C1677">
        <f>"11001016"</f>
        <v>0</v>
      </c>
      <c r="D1677">
        <v>4</v>
      </c>
      <c r="E1677">
        <v>1</v>
      </c>
      <c r="F1677" s="2">
        <v>53</v>
      </c>
      <c r="G1677">
        <v>1</v>
      </c>
      <c r="H1677">
        <v>3</v>
      </c>
      <c r="I1677">
        <v>0.1794365799767254</v>
      </c>
      <c r="J1677">
        <v>1</v>
      </c>
      <c r="K1677">
        <v>0</v>
      </c>
      <c r="L1677" s="2">
        <v>0</v>
      </c>
      <c r="M1677">
        <v>20.51</v>
      </c>
      <c r="N1677" t="s">
        <v>10236</v>
      </c>
    </row>
    <row r="1678" spans="1:14">
      <c r="A1678" t="s">
        <v>33</v>
      </c>
      <c r="B1678" t="s">
        <v>1851</v>
      </c>
      <c r="C1678">
        <f>"TOPK92217"</f>
        <v>0</v>
      </c>
      <c r="D1678">
        <v>5</v>
      </c>
      <c r="E1678">
        <v>2</v>
      </c>
      <c r="F1678" s="2">
        <v>6</v>
      </c>
      <c r="G1678">
        <v>1.6</v>
      </c>
      <c r="H1678">
        <v>3</v>
      </c>
      <c r="I1678">
        <v>0.1793418900317814</v>
      </c>
      <c r="J1678">
        <v>1</v>
      </c>
      <c r="K1678">
        <v>0</v>
      </c>
      <c r="L1678" s="2">
        <v>0</v>
      </c>
      <c r="M1678">
        <v>20.52</v>
      </c>
      <c r="N1678" t="s">
        <v>10235</v>
      </c>
    </row>
    <row r="1679" spans="1:14">
      <c r="A1679" t="s">
        <v>193</v>
      </c>
      <c r="B1679" t="s">
        <v>1852</v>
      </c>
      <c r="C1679">
        <f>"675142"</f>
        <v>0</v>
      </c>
      <c r="D1679">
        <v>7</v>
      </c>
      <c r="E1679">
        <v>23</v>
      </c>
      <c r="F1679" s="2">
        <v>2</v>
      </c>
      <c r="G1679">
        <v>13.14</v>
      </c>
      <c r="H1679">
        <v>3</v>
      </c>
      <c r="I1679">
        <v>0.1793163286003113</v>
      </c>
      <c r="J1679">
        <v>2</v>
      </c>
      <c r="K1679">
        <v>0</v>
      </c>
      <c r="L1679" s="2">
        <v>0</v>
      </c>
      <c r="M1679">
        <v>20.53</v>
      </c>
      <c r="N1679" t="s">
        <v>10235</v>
      </c>
    </row>
    <row r="1680" spans="1:14">
      <c r="A1680" t="s">
        <v>25</v>
      </c>
      <c r="B1680" t="s">
        <v>1853</v>
      </c>
      <c r="C1680">
        <f>"NW33"</f>
        <v>0</v>
      </c>
      <c r="D1680">
        <v>7</v>
      </c>
      <c r="E1680">
        <v>52</v>
      </c>
      <c r="F1680" s="2">
        <v>1</v>
      </c>
      <c r="G1680">
        <v>29.71</v>
      </c>
      <c r="H1680">
        <v>2</v>
      </c>
      <c r="I1680">
        <v>0.1791125760648145</v>
      </c>
      <c r="J1680">
        <v>2</v>
      </c>
      <c r="K1680">
        <v>0</v>
      </c>
      <c r="L1680" s="2">
        <v>0</v>
      </c>
      <c r="M1680">
        <v>20.54</v>
      </c>
      <c r="N1680" t="s">
        <v>10235</v>
      </c>
    </row>
    <row r="1681" spans="1:14">
      <c r="A1681" t="s">
        <v>32</v>
      </c>
      <c r="B1681" t="s">
        <v>292</v>
      </c>
      <c r="C1681">
        <f>"1022555"</f>
        <v>0</v>
      </c>
      <c r="D1681">
        <v>7</v>
      </c>
      <c r="E1681">
        <v>5</v>
      </c>
      <c r="F1681" s="2">
        <v>18</v>
      </c>
      <c r="G1681">
        <v>2.86</v>
      </c>
      <c r="H1681">
        <v>3</v>
      </c>
      <c r="I1681">
        <v>0.1791125760648145</v>
      </c>
      <c r="J1681">
        <v>2</v>
      </c>
      <c r="K1681">
        <v>0</v>
      </c>
      <c r="L1681" s="2">
        <v>0</v>
      </c>
      <c r="M1681">
        <v>20.55</v>
      </c>
      <c r="N1681" t="s">
        <v>10235</v>
      </c>
    </row>
    <row r="1682" spans="1:14">
      <c r="A1682" t="s">
        <v>193</v>
      </c>
      <c r="B1682" t="s">
        <v>1854</v>
      </c>
      <c r="C1682">
        <f>"670154"</f>
        <v>0</v>
      </c>
      <c r="D1682">
        <v>7</v>
      </c>
      <c r="E1682">
        <v>8</v>
      </c>
      <c r="F1682" s="2">
        <v>2</v>
      </c>
      <c r="G1682">
        <v>4.57</v>
      </c>
      <c r="H1682">
        <v>2</v>
      </c>
      <c r="I1682">
        <v>0.1791125760648145</v>
      </c>
      <c r="J1682">
        <v>2</v>
      </c>
      <c r="K1682">
        <v>0</v>
      </c>
      <c r="L1682" s="2">
        <v>0</v>
      </c>
      <c r="M1682">
        <v>20.56</v>
      </c>
      <c r="N1682" t="s">
        <v>10235</v>
      </c>
    </row>
    <row r="1683" spans="1:14">
      <c r="A1683" t="s">
        <v>35</v>
      </c>
      <c r="B1683" t="s">
        <v>1855</v>
      </c>
      <c r="C1683">
        <f>"SA0115ROJ"</f>
        <v>0</v>
      </c>
      <c r="D1683">
        <v>7</v>
      </c>
      <c r="E1683">
        <v>2</v>
      </c>
      <c r="F1683" s="2">
        <v>0</v>
      </c>
      <c r="G1683">
        <v>1.14</v>
      </c>
      <c r="H1683">
        <v>2</v>
      </c>
      <c r="I1683">
        <v>0.1791125760648145</v>
      </c>
      <c r="J1683">
        <v>2</v>
      </c>
      <c r="K1683">
        <v>0</v>
      </c>
      <c r="L1683" s="2">
        <v>0</v>
      </c>
      <c r="M1683">
        <v>20.57</v>
      </c>
      <c r="N1683" t="s">
        <v>10235</v>
      </c>
    </row>
    <row r="1684" spans="1:14">
      <c r="A1684" t="s">
        <v>35</v>
      </c>
      <c r="B1684" t="s">
        <v>1856</v>
      </c>
      <c r="C1684">
        <f>"LY009"</f>
        <v>0</v>
      </c>
      <c r="D1684">
        <v>7</v>
      </c>
      <c r="E1684">
        <v>2</v>
      </c>
      <c r="F1684" s="2">
        <v>3</v>
      </c>
      <c r="G1684">
        <v>1.14</v>
      </c>
      <c r="H1684">
        <v>2</v>
      </c>
      <c r="I1684">
        <v>0.1791125760648145</v>
      </c>
      <c r="J1684">
        <v>2</v>
      </c>
      <c r="K1684">
        <v>0</v>
      </c>
      <c r="L1684" s="2">
        <v>0</v>
      </c>
      <c r="M1684">
        <v>20.58</v>
      </c>
      <c r="N1684" t="s">
        <v>10235</v>
      </c>
    </row>
    <row r="1685" spans="1:14">
      <c r="A1685" t="s">
        <v>40</v>
      </c>
      <c r="B1685" t="s">
        <v>1857</v>
      </c>
      <c r="C1685">
        <f>"V100857"</f>
        <v>0</v>
      </c>
      <c r="D1685">
        <v>7</v>
      </c>
      <c r="E1685">
        <v>10</v>
      </c>
      <c r="F1685" s="2">
        <v>2</v>
      </c>
      <c r="G1685">
        <v>5.71</v>
      </c>
      <c r="H1685">
        <v>2</v>
      </c>
      <c r="I1685">
        <v>0.1791125760648145</v>
      </c>
      <c r="J1685">
        <v>2</v>
      </c>
      <c r="K1685">
        <v>0</v>
      </c>
      <c r="L1685" s="2">
        <v>0</v>
      </c>
      <c r="M1685">
        <v>20.59</v>
      </c>
      <c r="N1685" t="s">
        <v>10235</v>
      </c>
    </row>
    <row r="1686" spans="1:14">
      <c r="A1686" t="s">
        <v>31</v>
      </c>
      <c r="B1686" t="s">
        <v>1858</v>
      </c>
      <c r="C1686">
        <f>"RCM057"</f>
        <v>0</v>
      </c>
      <c r="D1686">
        <v>7</v>
      </c>
      <c r="E1686">
        <v>6</v>
      </c>
      <c r="F1686" s="2">
        <v>19</v>
      </c>
      <c r="G1686">
        <v>3.43</v>
      </c>
      <c r="H1686">
        <v>3</v>
      </c>
      <c r="I1686">
        <v>0.1791125760648145</v>
      </c>
      <c r="J1686">
        <v>2</v>
      </c>
      <c r="K1686">
        <v>0</v>
      </c>
      <c r="L1686" s="2">
        <v>0</v>
      </c>
      <c r="M1686">
        <v>20.6</v>
      </c>
      <c r="N1686" t="s">
        <v>10235</v>
      </c>
    </row>
    <row r="1687" spans="1:14">
      <c r="A1687" t="s">
        <v>35</v>
      </c>
      <c r="B1687" t="s">
        <v>1859</v>
      </c>
      <c r="C1687">
        <f>"PCM12030R"</f>
        <v>0</v>
      </c>
      <c r="D1687">
        <v>7</v>
      </c>
      <c r="E1687">
        <v>2</v>
      </c>
      <c r="F1687" s="2">
        <v>7</v>
      </c>
      <c r="G1687">
        <v>1.14</v>
      </c>
      <c r="H1687">
        <v>1</v>
      </c>
      <c r="I1687">
        <v>0.1791125760648145</v>
      </c>
      <c r="J1687">
        <v>2</v>
      </c>
      <c r="K1687">
        <v>0</v>
      </c>
      <c r="L1687" s="2">
        <v>0</v>
      </c>
      <c r="M1687">
        <v>20.6</v>
      </c>
      <c r="N1687" t="s">
        <v>10236</v>
      </c>
    </row>
    <row r="1688" spans="1:14">
      <c r="A1688" t="s">
        <v>35</v>
      </c>
      <c r="B1688" t="s">
        <v>1860</v>
      </c>
      <c r="C1688">
        <f>"W2001"</f>
        <v>0</v>
      </c>
      <c r="D1688">
        <v>7</v>
      </c>
      <c r="E1688">
        <v>12</v>
      </c>
      <c r="F1688" s="2">
        <v>4</v>
      </c>
      <c r="G1688">
        <v>6.86</v>
      </c>
      <c r="H1688">
        <v>1</v>
      </c>
      <c r="I1688">
        <v>0.1791125760648145</v>
      </c>
      <c r="J1688">
        <v>2</v>
      </c>
      <c r="K1688">
        <v>0</v>
      </c>
      <c r="L1688" s="2">
        <v>0</v>
      </c>
      <c r="M1688">
        <v>20.61</v>
      </c>
      <c r="N1688" t="s">
        <v>10236</v>
      </c>
    </row>
    <row r="1689" spans="1:14">
      <c r="A1689" t="s">
        <v>35</v>
      </c>
      <c r="B1689" t="s">
        <v>1861</v>
      </c>
      <c r="C1689">
        <f>"KE3206P"</f>
        <v>0</v>
      </c>
      <c r="D1689">
        <v>7</v>
      </c>
      <c r="E1689">
        <v>47</v>
      </c>
      <c r="F1689" s="2">
        <v>2</v>
      </c>
      <c r="G1689">
        <v>26.86</v>
      </c>
      <c r="H1689">
        <v>1</v>
      </c>
      <c r="I1689">
        <v>0.1791125760648145</v>
      </c>
      <c r="J1689">
        <v>2</v>
      </c>
      <c r="K1689">
        <v>0</v>
      </c>
      <c r="L1689" s="2">
        <v>0</v>
      </c>
      <c r="M1689">
        <v>20.62</v>
      </c>
      <c r="N1689" t="s">
        <v>10236</v>
      </c>
    </row>
    <row r="1690" spans="1:14">
      <c r="A1690" t="s">
        <v>27</v>
      </c>
      <c r="B1690" t="s">
        <v>1862</v>
      </c>
      <c r="C1690">
        <f>"USD611"</f>
        <v>0</v>
      </c>
      <c r="D1690">
        <v>7</v>
      </c>
      <c r="E1690">
        <v>29</v>
      </c>
      <c r="F1690" s="2">
        <v>1</v>
      </c>
      <c r="G1690">
        <v>16.57</v>
      </c>
      <c r="H1690">
        <v>2</v>
      </c>
      <c r="I1690">
        <v>0.1791125760648145</v>
      </c>
      <c r="J1690">
        <v>2</v>
      </c>
      <c r="K1690">
        <v>0</v>
      </c>
      <c r="L1690" s="2">
        <v>0</v>
      </c>
      <c r="M1690">
        <v>20.63</v>
      </c>
      <c r="N1690" t="s">
        <v>10235</v>
      </c>
    </row>
    <row r="1691" spans="1:14">
      <c r="A1691" t="s">
        <v>36</v>
      </c>
      <c r="B1691" t="s">
        <v>1863</v>
      </c>
      <c r="C1691">
        <f>"CA5452001CH"</f>
        <v>0</v>
      </c>
      <c r="D1691">
        <v>7</v>
      </c>
      <c r="E1691">
        <v>13</v>
      </c>
      <c r="F1691" s="2">
        <v>3</v>
      </c>
      <c r="G1691">
        <v>7.43</v>
      </c>
      <c r="H1691">
        <v>3</v>
      </c>
      <c r="I1691">
        <v>0.1791125760648145</v>
      </c>
      <c r="J1691">
        <v>2</v>
      </c>
      <c r="K1691">
        <v>0</v>
      </c>
      <c r="L1691" s="2">
        <v>0</v>
      </c>
      <c r="M1691">
        <v>20.64</v>
      </c>
      <c r="N1691" t="s">
        <v>10235</v>
      </c>
    </row>
    <row r="1692" spans="1:14">
      <c r="A1692" t="s">
        <v>29</v>
      </c>
      <c r="B1692" t="s">
        <v>1864</v>
      </c>
      <c r="C1692">
        <f>"01143"</f>
        <v>0</v>
      </c>
      <c r="D1692">
        <v>7</v>
      </c>
      <c r="E1692">
        <v>4</v>
      </c>
      <c r="F1692" s="2">
        <v>4</v>
      </c>
      <c r="G1692">
        <v>2.29</v>
      </c>
      <c r="H1692">
        <v>2</v>
      </c>
      <c r="I1692">
        <v>0.1791125760648145</v>
      </c>
      <c r="J1692">
        <v>2</v>
      </c>
      <c r="K1692">
        <v>0</v>
      </c>
      <c r="L1692" s="2">
        <v>0</v>
      </c>
      <c r="M1692">
        <v>20.65</v>
      </c>
      <c r="N1692" t="s">
        <v>10235</v>
      </c>
    </row>
    <row r="1693" spans="1:14">
      <c r="A1693" t="s">
        <v>194</v>
      </c>
      <c r="B1693" t="s">
        <v>1865</v>
      </c>
      <c r="C1693">
        <f>"1400015"</f>
        <v>0</v>
      </c>
      <c r="D1693">
        <v>7</v>
      </c>
      <c r="E1693">
        <v>2</v>
      </c>
      <c r="F1693" s="2">
        <v>35</v>
      </c>
      <c r="G1693">
        <v>1.14</v>
      </c>
      <c r="H1693">
        <v>2</v>
      </c>
      <c r="I1693">
        <v>0.1791125760648145</v>
      </c>
      <c r="J1693">
        <v>2</v>
      </c>
      <c r="K1693">
        <v>0</v>
      </c>
      <c r="L1693" s="2">
        <v>0</v>
      </c>
      <c r="M1693">
        <v>20.66</v>
      </c>
      <c r="N1693" t="s">
        <v>10235</v>
      </c>
    </row>
    <row r="1694" spans="1:14">
      <c r="A1694" t="s">
        <v>192</v>
      </c>
      <c r="B1694" t="s">
        <v>1866</v>
      </c>
      <c r="C1694">
        <f>"LN010LROJ"</f>
        <v>0</v>
      </c>
      <c r="D1694">
        <v>7</v>
      </c>
      <c r="E1694">
        <v>3</v>
      </c>
      <c r="F1694" s="2">
        <v>0</v>
      </c>
      <c r="G1694">
        <v>1.71</v>
      </c>
      <c r="H1694">
        <v>3</v>
      </c>
      <c r="I1694">
        <v>0.1791125760648145</v>
      </c>
      <c r="J1694">
        <v>2</v>
      </c>
      <c r="K1694">
        <v>0</v>
      </c>
      <c r="L1694" s="2">
        <v>0</v>
      </c>
      <c r="M1694">
        <v>20.67</v>
      </c>
      <c r="N1694" t="s">
        <v>10235</v>
      </c>
    </row>
    <row r="1695" spans="1:14">
      <c r="A1695" t="s">
        <v>217</v>
      </c>
      <c r="B1695" t="s">
        <v>1867</v>
      </c>
      <c r="C1695">
        <f>"MCMX10"</f>
        <v>0</v>
      </c>
      <c r="D1695">
        <v>5</v>
      </c>
      <c r="E1695">
        <v>3</v>
      </c>
      <c r="F1695" s="2">
        <v>14</v>
      </c>
      <c r="G1695">
        <v>2.4</v>
      </c>
      <c r="H1695">
        <v>4</v>
      </c>
      <c r="I1695">
        <v>0.1790880867863454</v>
      </c>
      <c r="J1695">
        <v>1</v>
      </c>
      <c r="K1695">
        <v>0</v>
      </c>
      <c r="L1695" s="2">
        <v>0</v>
      </c>
      <c r="M1695">
        <v>20.68</v>
      </c>
      <c r="N1695" t="s">
        <v>10235</v>
      </c>
    </row>
    <row r="1696" spans="1:14">
      <c r="A1696" t="s">
        <v>30</v>
      </c>
      <c r="B1696" t="s">
        <v>1868</v>
      </c>
      <c r="C1696">
        <f>"101340"</f>
        <v>0</v>
      </c>
      <c r="D1696">
        <v>6</v>
      </c>
      <c r="E1696">
        <v>3</v>
      </c>
      <c r="F1696" s="2">
        <v>14</v>
      </c>
      <c r="G1696">
        <v>2</v>
      </c>
      <c r="H1696">
        <v>4</v>
      </c>
      <c r="I1696">
        <v>0.1788877933931257</v>
      </c>
      <c r="J1696">
        <v>2</v>
      </c>
      <c r="K1696">
        <v>0</v>
      </c>
      <c r="L1696" s="2">
        <v>0</v>
      </c>
      <c r="M1696">
        <v>20.69</v>
      </c>
      <c r="N1696" t="s">
        <v>10235</v>
      </c>
    </row>
    <row r="1697" spans="1:14">
      <c r="A1697" t="s">
        <v>32</v>
      </c>
      <c r="B1697" t="s">
        <v>292</v>
      </c>
      <c r="C1697">
        <f>"5000442"</f>
        <v>0</v>
      </c>
      <c r="D1697">
        <v>5</v>
      </c>
      <c r="E1697">
        <v>3</v>
      </c>
      <c r="F1697" s="2">
        <v>5</v>
      </c>
      <c r="G1697">
        <v>2.4</v>
      </c>
      <c r="H1697">
        <v>2</v>
      </c>
      <c r="I1697">
        <v>0.1788859316139317</v>
      </c>
      <c r="J1697">
        <v>1</v>
      </c>
      <c r="K1697">
        <v>0</v>
      </c>
      <c r="L1697" s="2">
        <v>0</v>
      </c>
      <c r="M1697">
        <v>20.7</v>
      </c>
      <c r="N1697" t="s">
        <v>10235</v>
      </c>
    </row>
    <row r="1698" spans="1:14">
      <c r="A1698" t="s">
        <v>25</v>
      </c>
      <c r="B1698" t="s">
        <v>1869</v>
      </c>
      <c r="C1698">
        <f>"R3ROS"</f>
        <v>0</v>
      </c>
      <c r="D1698">
        <v>2</v>
      </c>
      <c r="E1698">
        <v>1</v>
      </c>
      <c r="F1698" s="2">
        <v>23</v>
      </c>
      <c r="G1698">
        <v>2</v>
      </c>
      <c r="H1698">
        <v>2</v>
      </c>
      <c r="I1698">
        <v>0.1788597580410558</v>
      </c>
      <c r="J1698">
        <v>0</v>
      </c>
      <c r="K1698">
        <v>0</v>
      </c>
      <c r="L1698" s="2">
        <v>0</v>
      </c>
      <c r="M1698">
        <v>20.71</v>
      </c>
      <c r="N1698" t="s">
        <v>10236</v>
      </c>
    </row>
    <row r="1699" spans="1:14">
      <c r="A1699" t="s">
        <v>35</v>
      </c>
      <c r="B1699" t="s">
        <v>1870</v>
      </c>
      <c r="C1699">
        <f>"AR76"</f>
        <v>0</v>
      </c>
      <c r="D1699">
        <v>5</v>
      </c>
      <c r="E1699">
        <v>15</v>
      </c>
      <c r="F1699" s="2">
        <v>4</v>
      </c>
      <c r="G1699">
        <v>12</v>
      </c>
      <c r="H1699">
        <v>1</v>
      </c>
      <c r="I1699">
        <v>0.1787941719790434</v>
      </c>
      <c r="J1699">
        <v>1</v>
      </c>
      <c r="K1699">
        <v>0</v>
      </c>
      <c r="L1699" s="2">
        <v>0</v>
      </c>
      <c r="M1699">
        <v>20.72</v>
      </c>
      <c r="N1699" t="s">
        <v>10236</v>
      </c>
    </row>
    <row r="1700" spans="1:14">
      <c r="A1700" t="s">
        <v>39</v>
      </c>
      <c r="B1700" t="s">
        <v>1871</v>
      </c>
      <c r="C1700">
        <f>"VALIM02039"</f>
        <v>0</v>
      </c>
      <c r="D1700">
        <v>4</v>
      </c>
      <c r="E1700">
        <v>1</v>
      </c>
      <c r="F1700" s="2">
        <v>17</v>
      </c>
      <c r="G1700">
        <v>1</v>
      </c>
      <c r="H1700">
        <v>2</v>
      </c>
      <c r="I1700">
        <v>0.1787727868732774</v>
      </c>
      <c r="J1700">
        <v>1</v>
      </c>
      <c r="K1700">
        <v>0</v>
      </c>
      <c r="L1700" s="2">
        <v>0</v>
      </c>
      <c r="M1700">
        <v>20.73</v>
      </c>
      <c r="N1700" t="s">
        <v>10236</v>
      </c>
    </row>
    <row r="1701" spans="1:14">
      <c r="A1701" t="s">
        <v>36</v>
      </c>
      <c r="B1701" t="s">
        <v>1872</v>
      </c>
      <c r="C1701">
        <f>"87059472"</f>
        <v>0</v>
      </c>
      <c r="D1701">
        <v>6</v>
      </c>
      <c r="E1701">
        <v>5</v>
      </c>
      <c r="F1701" s="2">
        <v>9</v>
      </c>
      <c r="G1701">
        <v>3.33</v>
      </c>
      <c r="H1701">
        <v>3</v>
      </c>
      <c r="I1701">
        <v>0.1787647964357221</v>
      </c>
      <c r="J1701">
        <v>2</v>
      </c>
      <c r="K1701">
        <v>0</v>
      </c>
      <c r="L1701" s="2">
        <v>0</v>
      </c>
      <c r="M1701">
        <v>20.74</v>
      </c>
      <c r="N1701" t="s">
        <v>10235</v>
      </c>
    </row>
    <row r="1702" spans="1:14">
      <c r="A1702" t="s">
        <v>198</v>
      </c>
      <c r="B1702" t="s">
        <v>1873</v>
      </c>
      <c r="C1702">
        <f>"5006931"</f>
        <v>0</v>
      </c>
      <c r="D1702">
        <v>6</v>
      </c>
      <c r="E1702">
        <v>2</v>
      </c>
      <c r="F1702" s="2">
        <v>1</v>
      </c>
      <c r="G1702">
        <v>1.33</v>
      </c>
      <c r="H1702">
        <v>2</v>
      </c>
      <c r="I1702">
        <v>0.1786980621558033</v>
      </c>
      <c r="J1702">
        <v>2</v>
      </c>
      <c r="K1702">
        <v>0</v>
      </c>
      <c r="L1702" s="2">
        <v>0</v>
      </c>
      <c r="M1702">
        <v>20.75</v>
      </c>
      <c r="N1702" t="s">
        <v>10235</v>
      </c>
    </row>
    <row r="1703" spans="1:14">
      <c r="A1703" t="s">
        <v>35</v>
      </c>
      <c r="B1703" t="s">
        <v>1874</v>
      </c>
      <c r="C1703">
        <f>"PNSS"</f>
        <v>0</v>
      </c>
      <c r="D1703">
        <v>6</v>
      </c>
      <c r="E1703">
        <v>2</v>
      </c>
      <c r="F1703" s="2">
        <v>2</v>
      </c>
      <c r="G1703">
        <v>1.33</v>
      </c>
      <c r="H1703">
        <v>3</v>
      </c>
      <c r="I1703">
        <v>0.1786819110401846</v>
      </c>
      <c r="J1703">
        <v>2</v>
      </c>
      <c r="K1703">
        <v>0</v>
      </c>
      <c r="L1703" s="2">
        <v>0</v>
      </c>
      <c r="M1703">
        <v>20.76</v>
      </c>
      <c r="N1703" t="s">
        <v>10235</v>
      </c>
    </row>
    <row r="1704" spans="1:14">
      <c r="A1704" t="s">
        <v>24</v>
      </c>
      <c r="B1704" t="s">
        <v>1875</v>
      </c>
      <c r="C1704">
        <f>"1110922"</f>
        <v>0</v>
      </c>
      <c r="D1704">
        <v>6</v>
      </c>
      <c r="E1704">
        <v>5</v>
      </c>
      <c r="F1704" s="2">
        <v>3</v>
      </c>
      <c r="G1704">
        <v>3.33</v>
      </c>
      <c r="H1704">
        <v>3</v>
      </c>
      <c r="I1704">
        <v>0.1786815560706106</v>
      </c>
      <c r="J1704">
        <v>2</v>
      </c>
      <c r="K1704">
        <v>0</v>
      </c>
      <c r="L1704" s="2">
        <v>0</v>
      </c>
      <c r="M1704">
        <v>20.77</v>
      </c>
      <c r="N1704" t="s">
        <v>10235</v>
      </c>
    </row>
    <row r="1705" spans="1:14">
      <c r="A1705" t="s">
        <v>194</v>
      </c>
      <c r="B1705" t="s">
        <v>1876</v>
      </c>
      <c r="C1705">
        <f>"100800015"</f>
        <v>0</v>
      </c>
      <c r="D1705">
        <v>5</v>
      </c>
      <c r="E1705">
        <v>2</v>
      </c>
      <c r="F1705" s="2">
        <v>35</v>
      </c>
      <c r="G1705">
        <v>1.6</v>
      </c>
      <c r="H1705">
        <v>2</v>
      </c>
      <c r="I1705">
        <v>0.1786804042305647</v>
      </c>
      <c r="J1705">
        <v>1</v>
      </c>
      <c r="K1705">
        <v>0</v>
      </c>
      <c r="L1705" s="2">
        <v>0</v>
      </c>
      <c r="M1705">
        <v>20.78</v>
      </c>
      <c r="N1705" t="s">
        <v>10235</v>
      </c>
    </row>
    <row r="1706" spans="1:14">
      <c r="A1706" t="s">
        <v>213</v>
      </c>
      <c r="B1706" t="s">
        <v>1877</v>
      </c>
      <c r="C1706">
        <f>"50192828"</f>
        <v>0</v>
      </c>
      <c r="D1706">
        <v>5</v>
      </c>
      <c r="E1706">
        <v>10</v>
      </c>
      <c r="F1706" s="2">
        <v>7</v>
      </c>
      <c r="G1706">
        <v>8</v>
      </c>
      <c r="H1706">
        <v>3</v>
      </c>
      <c r="I1706">
        <v>0.1786745472325931</v>
      </c>
      <c r="J1706">
        <v>1</v>
      </c>
      <c r="K1706">
        <v>0</v>
      </c>
      <c r="L1706" s="2">
        <v>0</v>
      </c>
      <c r="M1706">
        <v>20.78</v>
      </c>
      <c r="N1706" t="s">
        <v>10235</v>
      </c>
    </row>
    <row r="1707" spans="1:14">
      <c r="A1707" t="s">
        <v>36</v>
      </c>
      <c r="B1707" t="s">
        <v>1878</v>
      </c>
      <c r="C1707">
        <f>"CA5454001CH"</f>
        <v>0</v>
      </c>
      <c r="D1707">
        <v>7</v>
      </c>
      <c r="E1707">
        <v>2</v>
      </c>
      <c r="F1707" s="2">
        <v>4</v>
      </c>
      <c r="G1707">
        <v>1.14</v>
      </c>
      <c r="H1707">
        <v>2</v>
      </c>
      <c r="I1707">
        <v>0.1786397565921981</v>
      </c>
      <c r="J1707">
        <v>2</v>
      </c>
      <c r="K1707">
        <v>0</v>
      </c>
      <c r="L1707" s="2">
        <v>0</v>
      </c>
      <c r="M1707">
        <v>20.79</v>
      </c>
      <c r="N1707" t="s">
        <v>10235</v>
      </c>
    </row>
    <row r="1708" spans="1:14">
      <c r="A1708" t="s">
        <v>35</v>
      </c>
      <c r="B1708" t="s">
        <v>1879</v>
      </c>
      <c r="C1708">
        <f>"KG1257"</f>
        <v>0</v>
      </c>
      <c r="D1708">
        <v>3</v>
      </c>
      <c r="E1708">
        <v>46</v>
      </c>
      <c r="F1708" s="2">
        <v>2</v>
      </c>
      <c r="G1708">
        <v>61.33</v>
      </c>
      <c r="H1708">
        <v>1</v>
      </c>
      <c r="I1708">
        <v>0.1785444545058483</v>
      </c>
      <c r="J1708">
        <v>1</v>
      </c>
      <c r="K1708">
        <v>0</v>
      </c>
      <c r="L1708" s="2">
        <v>0</v>
      </c>
      <c r="M1708">
        <v>20.8</v>
      </c>
      <c r="N1708" t="s">
        <v>10236</v>
      </c>
    </row>
    <row r="1709" spans="1:14">
      <c r="A1709" t="s">
        <v>202</v>
      </c>
      <c r="B1709" t="s">
        <v>1880</v>
      </c>
      <c r="C1709">
        <f>"21002074"</f>
        <v>0</v>
      </c>
      <c r="D1709">
        <v>4</v>
      </c>
      <c r="E1709">
        <v>1</v>
      </c>
      <c r="F1709" s="2">
        <v>12</v>
      </c>
      <c r="G1709">
        <v>1</v>
      </c>
      <c r="H1709">
        <v>2</v>
      </c>
      <c r="I1709">
        <v>0.1785170312951842</v>
      </c>
      <c r="J1709">
        <v>1</v>
      </c>
      <c r="K1709">
        <v>0</v>
      </c>
      <c r="L1709" s="2">
        <v>0</v>
      </c>
      <c r="M1709">
        <v>20.81</v>
      </c>
      <c r="N1709" t="s">
        <v>10236</v>
      </c>
    </row>
    <row r="1710" spans="1:14">
      <c r="A1710" t="s">
        <v>30</v>
      </c>
      <c r="B1710" t="s">
        <v>1881</v>
      </c>
      <c r="C1710">
        <f>"101239"</f>
        <v>0</v>
      </c>
      <c r="D1710">
        <v>4</v>
      </c>
      <c r="E1710">
        <v>2</v>
      </c>
      <c r="F1710" s="2">
        <v>45</v>
      </c>
      <c r="G1710">
        <v>2</v>
      </c>
      <c r="H1710">
        <v>3</v>
      </c>
      <c r="I1710">
        <v>0.1784882787596873</v>
      </c>
      <c r="J1710">
        <v>1</v>
      </c>
      <c r="K1710">
        <v>0</v>
      </c>
      <c r="L1710" s="2">
        <v>0</v>
      </c>
      <c r="M1710">
        <v>20.82</v>
      </c>
      <c r="N1710" t="s">
        <v>10236</v>
      </c>
    </row>
    <row r="1711" spans="1:14">
      <c r="A1711" t="s">
        <v>30</v>
      </c>
      <c r="B1711" t="s">
        <v>1882</v>
      </c>
      <c r="C1711">
        <f>"101397"</f>
        <v>0</v>
      </c>
      <c r="D1711">
        <v>6</v>
      </c>
      <c r="E1711">
        <v>2</v>
      </c>
      <c r="F1711" s="2">
        <v>36</v>
      </c>
      <c r="G1711">
        <v>1.33</v>
      </c>
      <c r="H1711">
        <v>1</v>
      </c>
      <c r="I1711">
        <v>0.1783982903505296</v>
      </c>
      <c r="J1711">
        <v>2</v>
      </c>
      <c r="K1711">
        <v>0</v>
      </c>
      <c r="L1711" s="2">
        <v>0</v>
      </c>
      <c r="M1711">
        <v>20.83</v>
      </c>
      <c r="N1711" t="s">
        <v>10236</v>
      </c>
    </row>
    <row r="1712" spans="1:14">
      <c r="A1712" t="s">
        <v>29</v>
      </c>
      <c r="B1712" t="s">
        <v>1883</v>
      </c>
      <c r="C1712">
        <f>"CA13AM"</f>
        <v>0</v>
      </c>
      <c r="D1712">
        <v>6</v>
      </c>
      <c r="E1712">
        <v>22</v>
      </c>
      <c r="F1712" s="2">
        <v>0</v>
      </c>
      <c r="G1712">
        <v>14.67</v>
      </c>
      <c r="H1712">
        <v>2</v>
      </c>
      <c r="I1712">
        <v>0.1783982903505296</v>
      </c>
      <c r="J1712">
        <v>2</v>
      </c>
      <c r="K1712">
        <v>0</v>
      </c>
      <c r="L1712" s="2">
        <v>0</v>
      </c>
      <c r="M1712">
        <v>20.84</v>
      </c>
      <c r="N1712" t="s">
        <v>10235</v>
      </c>
    </row>
    <row r="1713" spans="1:14">
      <c r="A1713" t="s">
        <v>39</v>
      </c>
      <c r="B1713" t="s">
        <v>1884</v>
      </c>
      <c r="C1713">
        <f>"VALIM01029"</f>
        <v>0</v>
      </c>
      <c r="D1713">
        <v>6</v>
      </c>
      <c r="E1713">
        <v>4</v>
      </c>
      <c r="F1713" s="2">
        <v>15</v>
      </c>
      <c r="G1713">
        <v>2.67</v>
      </c>
      <c r="H1713">
        <v>2</v>
      </c>
      <c r="I1713">
        <v>0.1783982903505296</v>
      </c>
      <c r="J1713">
        <v>2</v>
      </c>
      <c r="K1713">
        <v>0</v>
      </c>
      <c r="L1713" s="2">
        <v>0</v>
      </c>
      <c r="M1713">
        <v>20.85</v>
      </c>
      <c r="N1713" t="s">
        <v>10235</v>
      </c>
    </row>
    <row r="1714" spans="1:14">
      <c r="A1714" t="s">
        <v>35</v>
      </c>
      <c r="B1714" t="s">
        <v>1885</v>
      </c>
      <c r="C1714">
        <f>"YAT002"</f>
        <v>0</v>
      </c>
      <c r="D1714">
        <v>6</v>
      </c>
      <c r="E1714">
        <v>4</v>
      </c>
      <c r="F1714" s="2">
        <v>3</v>
      </c>
      <c r="G1714">
        <v>2.67</v>
      </c>
      <c r="H1714">
        <v>2</v>
      </c>
      <c r="I1714">
        <v>0.1783982903505296</v>
      </c>
      <c r="J1714">
        <v>2</v>
      </c>
      <c r="K1714">
        <v>0</v>
      </c>
      <c r="L1714" s="2">
        <v>0</v>
      </c>
      <c r="M1714">
        <v>20.86</v>
      </c>
      <c r="N1714" t="s">
        <v>10235</v>
      </c>
    </row>
    <row r="1715" spans="1:14">
      <c r="A1715" t="s">
        <v>33</v>
      </c>
      <c r="B1715" t="s">
        <v>1886</v>
      </c>
      <c r="C1715">
        <f>"TOPK92232"</f>
        <v>0</v>
      </c>
      <c r="D1715">
        <v>6</v>
      </c>
      <c r="E1715">
        <v>77</v>
      </c>
      <c r="F1715" s="2">
        <v>3</v>
      </c>
      <c r="G1715">
        <v>51.33</v>
      </c>
      <c r="H1715">
        <v>2</v>
      </c>
      <c r="I1715">
        <v>0.1783982903505296</v>
      </c>
      <c r="J1715">
        <v>2</v>
      </c>
      <c r="K1715">
        <v>0</v>
      </c>
      <c r="L1715" s="2">
        <v>0</v>
      </c>
      <c r="M1715">
        <v>20.87</v>
      </c>
      <c r="N1715" t="s">
        <v>10235</v>
      </c>
    </row>
    <row r="1716" spans="1:14">
      <c r="A1716" t="s">
        <v>35</v>
      </c>
      <c r="B1716" t="s">
        <v>1887</v>
      </c>
      <c r="C1716">
        <f>"1080GR"</f>
        <v>0</v>
      </c>
      <c r="D1716">
        <v>6</v>
      </c>
      <c r="E1716">
        <v>3</v>
      </c>
      <c r="F1716" s="2">
        <v>36</v>
      </c>
      <c r="G1716">
        <v>2</v>
      </c>
      <c r="H1716">
        <v>2</v>
      </c>
      <c r="I1716">
        <v>0.1783982903505296</v>
      </c>
      <c r="J1716">
        <v>2</v>
      </c>
      <c r="K1716">
        <v>0</v>
      </c>
      <c r="L1716" s="2">
        <v>0</v>
      </c>
      <c r="M1716">
        <v>20.88</v>
      </c>
      <c r="N1716" t="s">
        <v>10235</v>
      </c>
    </row>
    <row r="1717" spans="1:14">
      <c r="A1717" t="s">
        <v>35</v>
      </c>
      <c r="B1717" t="s">
        <v>1888</v>
      </c>
      <c r="C1717">
        <f>"KE4906"</f>
        <v>0</v>
      </c>
      <c r="D1717">
        <v>6</v>
      </c>
      <c r="E1717">
        <v>14</v>
      </c>
      <c r="F1717" s="2">
        <v>3</v>
      </c>
      <c r="G1717">
        <v>9.33</v>
      </c>
      <c r="H1717">
        <v>1</v>
      </c>
      <c r="I1717">
        <v>0.1783982903505296</v>
      </c>
      <c r="J1717">
        <v>2</v>
      </c>
      <c r="K1717">
        <v>0</v>
      </c>
      <c r="L1717" s="2">
        <v>0</v>
      </c>
      <c r="M1717">
        <v>20.89</v>
      </c>
      <c r="N1717" t="s">
        <v>10236</v>
      </c>
    </row>
    <row r="1718" spans="1:14">
      <c r="A1718" t="s">
        <v>29</v>
      </c>
      <c r="B1718" t="s">
        <v>1889</v>
      </c>
      <c r="C1718">
        <f>"NF003RV"</f>
        <v>0</v>
      </c>
      <c r="D1718">
        <v>6</v>
      </c>
      <c r="E1718">
        <v>22</v>
      </c>
      <c r="F1718" s="2">
        <v>0</v>
      </c>
      <c r="G1718">
        <v>14.67</v>
      </c>
      <c r="H1718">
        <v>1</v>
      </c>
      <c r="I1718">
        <v>0.1783982903505296</v>
      </c>
      <c r="J1718">
        <v>2</v>
      </c>
      <c r="K1718">
        <v>0</v>
      </c>
      <c r="L1718" s="2">
        <v>0</v>
      </c>
      <c r="M1718">
        <v>20.9</v>
      </c>
      <c r="N1718" t="s">
        <v>10236</v>
      </c>
    </row>
    <row r="1719" spans="1:14">
      <c r="A1719" t="s">
        <v>35</v>
      </c>
      <c r="B1719" t="s">
        <v>1890</v>
      </c>
      <c r="C1719">
        <f>"PS9031"</f>
        <v>0</v>
      </c>
      <c r="D1719">
        <v>6</v>
      </c>
      <c r="E1719">
        <v>2</v>
      </c>
      <c r="F1719" s="2">
        <v>2</v>
      </c>
      <c r="G1719">
        <v>1.33</v>
      </c>
      <c r="H1719">
        <v>2</v>
      </c>
      <c r="I1719">
        <v>0.1783982903505296</v>
      </c>
      <c r="J1719">
        <v>2</v>
      </c>
      <c r="K1719">
        <v>0</v>
      </c>
      <c r="L1719" s="2">
        <v>0</v>
      </c>
      <c r="M1719">
        <v>20.91</v>
      </c>
      <c r="N1719" t="s">
        <v>10235</v>
      </c>
    </row>
    <row r="1720" spans="1:14">
      <c r="A1720" t="s">
        <v>36</v>
      </c>
      <c r="B1720" t="s">
        <v>1891</v>
      </c>
      <c r="C1720">
        <f>"CA5454003CH"</f>
        <v>0</v>
      </c>
      <c r="D1720">
        <v>6</v>
      </c>
      <c r="E1720">
        <v>10</v>
      </c>
      <c r="F1720" s="2">
        <v>12</v>
      </c>
      <c r="G1720">
        <v>6.67</v>
      </c>
      <c r="H1720">
        <v>3</v>
      </c>
      <c r="I1720">
        <v>0.1783982903505296</v>
      </c>
      <c r="J1720">
        <v>2</v>
      </c>
      <c r="K1720">
        <v>0</v>
      </c>
      <c r="L1720" s="2">
        <v>0</v>
      </c>
      <c r="M1720">
        <v>20.92</v>
      </c>
      <c r="N1720" t="s">
        <v>10235</v>
      </c>
    </row>
    <row r="1721" spans="1:14">
      <c r="A1721" t="s">
        <v>35</v>
      </c>
      <c r="B1721" t="s">
        <v>1892</v>
      </c>
      <c r="C1721">
        <f>"19482"</f>
        <v>0</v>
      </c>
      <c r="D1721">
        <v>6</v>
      </c>
      <c r="E1721">
        <v>4</v>
      </c>
      <c r="F1721" s="2">
        <v>1</v>
      </c>
      <c r="G1721">
        <v>2.67</v>
      </c>
      <c r="H1721">
        <v>1</v>
      </c>
      <c r="I1721">
        <v>0.1783982903505296</v>
      </c>
      <c r="J1721">
        <v>2</v>
      </c>
      <c r="K1721">
        <v>0</v>
      </c>
      <c r="L1721" s="2">
        <v>0</v>
      </c>
      <c r="M1721">
        <v>20.93</v>
      </c>
      <c r="N1721" t="s">
        <v>10236</v>
      </c>
    </row>
    <row r="1722" spans="1:14">
      <c r="A1722" t="s">
        <v>205</v>
      </c>
      <c r="B1722" t="s">
        <v>1893</v>
      </c>
      <c r="C1722">
        <f>"PFGM015"</f>
        <v>0</v>
      </c>
      <c r="D1722">
        <v>6</v>
      </c>
      <c r="E1722">
        <v>45</v>
      </c>
      <c r="F1722" s="2">
        <v>0</v>
      </c>
      <c r="G1722">
        <v>30</v>
      </c>
      <c r="H1722">
        <v>2</v>
      </c>
      <c r="I1722">
        <v>0.1783982903505296</v>
      </c>
      <c r="J1722">
        <v>2</v>
      </c>
      <c r="K1722">
        <v>0</v>
      </c>
      <c r="L1722" s="2">
        <v>0</v>
      </c>
      <c r="M1722">
        <v>20.94</v>
      </c>
      <c r="N1722" t="s">
        <v>10235</v>
      </c>
    </row>
    <row r="1723" spans="1:14">
      <c r="A1723" t="s">
        <v>35</v>
      </c>
      <c r="B1723" t="s">
        <v>1874</v>
      </c>
      <c r="C1723">
        <f>"PNXL"</f>
        <v>0</v>
      </c>
      <c r="D1723">
        <v>6</v>
      </c>
      <c r="E1723">
        <v>5</v>
      </c>
      <c r="F1723" s="2">
        <v>3</v>
      </c>
      <c r="G1723">
        <v>3.33</v>
      </c>
      <c r="H1723">
        <v>2</v>
      </c>
      <c r="I1723">
        <v>0.1783982903505296</v>
      </c>
      <c r="J1723">
        <v>2</v>
      </c>
      <c r="K1723">
        <v>0</v>
      </c>
      <c r="L1723" s="2">
        <v>0</v>
      </c>
      <c r="M1723">
        <v>20.95</v>
      </c>
      <c r="N1723" t="s">
        <v>10235</v>
      </c>
    </row>
    <row r="1724" spans="1:14">
      <c r="A1724" t="s">
        <v>35</v>
      </c>
      <c r="B1724" t="s">
        <v>1894</v>
      </c>
      <c r="C1724">
        <f>"HH202"</f>
        <v>0</v>
      </c>
      <c r="D1724">
        <v>6</v>
      </c>
      <c r="E1724">
        <v>21</v>
      </c>
      <c r="F1724" s="2">
        <v>12</v>
      </c>
      <c r="G1724">
        <v>14</v>
      </c>
      <c r="H1724">
        <v>2</v>
      </c>
      <c r="I1724">
        <v>0.1783982903505296</v>
      </c>
      <c r="J1724">
        <v>2</v>
      </c>
      <c r="K1724">
        <v>0</v>
      </c>
      <c r="L1724" s="2">
        <v>0</v>
      </c>
      <c r="M1724">
        <v>20.95</v>
      </c>
      <c r="N1724" t="s">
        <v>10235</v>
      </c>
    </row>
    <row r="1725" spans="1:14">
      <c r="A1725" t="s">
        <v>217</v>
      </c>
      <c r="B1725" t="s">
        <v>1895</v>
      </c>
      <c r="C1725">
        <f>"BP0001"</f>
        <v>0</v>
      </c>
      <c r="D1725">
        <v>6</v>
      </c>
      <c r="E1725">
        <v>7</v>
      </c>
      <c r="F1725" s="2">
        <v>4</v>
      </c>
      <c r="G1725">
        <v>4.67</v>
      </c>
      <c r="H1725">
        <v>1</v>
      </c>
      <c r="I1725">
        <v>0.1783982903505296</v>
      </c>
      <c r="J1725">
        <v>2</v>
      </c>
      <c r="K1725">
        <v>0</v>
      </c>
      <c r="L1725" s="2">
        <v>0</v>
      </c>
      <c r="M1725">
        <v>20.96</v>
      </c>
      <c r="N1725" t="s">
        <v>10236</v>
      </c>
    </row>
    <row r="1726" spans="1:14">
      <c r="A1726" t="s">
        <v>25</v>
      </c>
      <c r="B1726" t="s">
        <v>1896</v>
      </c>
      <c r="C1726">
        <f>"6765149"</f>
        <v>0</v>
      </c>
      <c r="D1726">
        <v>6</v>
      </c>
      <c r="E1726">
        <v>4</v>
      </c>
      <c r="F1726" s="2">
        <v>1</v>
      </c>
      <c r="G1726">
        <v>2.67</v>
      </c>
      <c r="H1726">
        <v>2</v>
      </c>
      <c r="I1726">
        <v>0.1783982903505296</v>
      </c>
      <c r="J1726">
        <v>2</v>
      </c>
      <c r="K1726">
        <v>0</v>
      </c>
      <c r="L1726" s="2">
        <v>0</v>
      </c>
      <c r="M1726">
        <v>20.97</v>
      </c>
      <c r="N1726" t="s">
        <v>10235</v>
      </c>
    </row>
    <row r="1727" spans="1:14">
      <c r="A1727" t="s">
        <v>35</v>
      </c>
      <c r="B1727" t="s">
        <v>1897</v>
      </c>
      <c r="C1727">
        <f>"TN44051"</f>
        <v>0</v>
      </c>
      <c r="D1727">
        <v>6</v>
      </c>
      <c r="E1727">
        <v>3</v>
      </c>
      <c r="F1727" s="2">
        <v>1</v>
      </c>
      <c r="G1727">
        <v>2</v>
      </c>
      <c r="H1727">
        <v>2</v>
      </c>
      <c r="I1727">
        <v>0.1783982903505296</v>
      </c>
      <c r="J1727">
        <v>2</v>
      </c>
      <c r="K1727">
        <v>0</v>
      </c>
      <c r="L1727" s="2">
        <v>0</v>
      </c>
      <c r="M1727">
        <v>20.98</v>
      </c>
      <c r="N1727" t="s">
        <v>10235</v>
      </c>
    </row>
    <row r="1728" spans="1:14">
      <c r="A1728" t="s">
        <v>194</v>
      </c>
      <c r="B1728" t="s">
        <v>1898</v>
      </c>
      <c r="C1728">
        <f>"400100"</f>
        <v>0</v>
      </c>
      <c r="D1728">
        <v>6</v>
      </c>
      <c r="E1728">
        <v>4</v>
      </c>
      <c r="F1728" s="2">
        <v>7</v>
      </c>
      <c r="G1728">
        <v>2.67</v>
      </c>
      <c r="H1728">
        <v>3</v>
      </c>
      <c r="I1728">
        <v>0.1783982903505296</v>
      </c>
      <c r="J1728">
        <v>2</v>
      </c>
      <c r="K1728">
        <v>0</v>
      </c>
      <c r="L1728" s="2">
        <v>0</v>
      </c>
      <c r="M1728">
        <v>20.99</v>
      </c>
      <c r="N1728" t="s">
        <v>10235</v>
      </c>
    </row>
    <row r="1729" spans="1:14">
      <c r="A1729" t="s">
        <v>32</v>
      </c>
      <c r="B1729" t="s">
        <v>1899</v>
      </c>
      <c r="C1729">
        <f>"5000888"</f>
        <v>0</v>
      </c>
      <c r="D1729">
        <v>6</v>
      </c>
      <c r="E1729">
        <v>13</v>
      </c>
      <c r="F1729" s="2">
        <v>4</v>
      </c>
      <c r="G1729">
        <v>8.67</v>
      </c>
      <c r="H1729">
        <v>3</v>
      </c>
      <c r="I1729">
        <v>0.1783982903505296</v>
      </c>
      <c r="J1729">
        <v>2</v>
      </c>
      <c r="K1729">
        <v>0</v>
      </c>
      <c r="L1729" s="2">
        <v>0</v>
      </c>
      <c r="M1729">
        <v>21</v>
      </c>
      <c r="N1729" t="s">
        <v>10235</v>
      </c>
    </row>
    <row r="1730" spans="1:14">
      <c r="A1730" t="s">
        <v>32</v>
      </c>
      <c r="B1730" t="s">
        <v>1900</v>
      </c>
      <c r="C1730">
        <f>"5006756"</f>
        <v>0</v>
      </c>
      <c r="D1730">
        <v>6</v>
      </c>
      <c r="E1730">
        <v>10</v>
      </c>
      <c r="F1730" s="2">
        <v>25</v>
      </c>
      <c r="G1730">
        <v>6.67</v>
      </c>
      <c r="H1730">
        <v>2</v>
      </c>
      <c r="I1730">
        <v>0.1783982903505296</v>
      </c>
      <c r="J1730">
        <v>2</v>
      </c>
      <c r="K1730">
        <v>0</v>
      </c>
      <c r="L1730" s="2">
        <v>0</v>
      </c>
      <c r="M1730">
        <v>21.01</v>
      </c>
      <c r="N1730" t="s">
        <v>10235</v>
      </c>
    </row>
    <row r="1731" spans="1:14">
      <c r="A1731" t="s">
        <v>192</v>
      </c>
      <c r="B1731" t="s">
        <v>1901</v>
      </c>
      <c r="C1731">
        <f>"AB103"</f>
        <v>0</v>
      </c>
      <c r="D1731">
        <v>6</v>
      </c>
      <c r="E1731">
        <v>6</v>
      </c>
      <c r="F1731" s="2">
        <v>2</v>
      </c>
      <c r="G1731">
        <v>4</v>
      </c>
      <c r="H1731">
        <v>3</v>
      </c>
      <c r="I1731">
        <v>0.1783982903505296</v>
      </c>
      <c r="J1731">
        <v>2</v>
      </c>
      <c r="K1731">
        <v>0</v>
      </c>
      <c r="L1731" s="2">
        <v>0</v>
      </c>
      <c r="M1731">
        <v>21.02</v>
      </c>
      <c r="N1731" t="s">
        <v>10235</v>
      </c>
    </row>
    <row r="1732" spans="1:14">
      <c r="A1732" t="s">
        <v>24</v>
      </c>
      <c r="B1732" t="s">
        <v>1902</v>
      </c>
      <c r="C1732">
        <f>"1112332"</f>
        <v>0</v>
      </c>
      <c r="D1732">
        <v>6</v>
      </c>
      <c r="E1732">
        <v>2</v>
      </c>
      <c r="F1732" s="2">
        <v>4</v>
      </c>
      <c r="G1732">
        <v>1.33</v>
      </c>
      <c r="H1732">
        <v>2</v>
      </c>
      <c r="I1732">
        <v>0.1783982903505296</v>
      </c>
      <c r="J1732">
        <v>2</v>
      </c>
      <c r="K1732">
        <v>0</v>
      </c>
      <c r="L1732" s="2">
        <v>0</v>
      </c>
      <c r="M1732">
        <v>21.03</v>
      </c>
      <c r="N1732" t="s">
        <v>10235</v>
      </c>
    </row>
    <row r="1733" spans="1:14">
      <c r="A1733" t="s">
        <v>29</v>
      </c>
      <c r="B1733" t="s">
        <v>1903</v>
      </c>
      <c r="C1733">
        <f>"MDIF"</f>
        <v>0</v>
      </c>
      <c r="D1733">
        <v>6</v>
      </c>
      <c r="E1733">
        <v>200</v>
      </c>
      <c r="F1733" s="2">
        <v>0</v>
      </c>
      <c r="G1733">
        <v>133.33</v>
      </c>
      <c r="H1733">
        <v>2</v>
      </c>
      <c r="I1733">
        <v>0.1783982903505296</v>
      </c>
      <c r="J1733">
        <v>2</v>
      </c>
      <c r="K1733">
        <v>0</v>
      </c>
      <c r="L1733" s="2">
        <v>0</v>
      </c>
      <c r="M1733">
        <v>21.04</v>
      </c>
      <c r="N1733" t="s">
        <v>10235</v>
      </c>
    </row>
    <row r="1734" spans="1:14">
      <c r="A1734" t="s">
        <v>32</v>
      </c>
      <c r="B1734" t="s">
        <v>1904</v>
      </c>
      <c r="C1734">
        <f>"5006749"</f>
        <v>0</v>
      </c>
      <c r="D1734">
        <v>6</v>
      </c>
      <c r="E1734">
        <v>2</v>
      </c>
      <c r="F1734" s="2">
        <v>6</v>
      </c>
      <c r="G1734">
        <v>1.33</v>
      </c>
      <c r="H1734">
        <v>2</v>
      </c>
      <c r="I1734">
        <v>0.1783982903505296</v>
      </c>
      <c r="J1734">
        <v>2</v>
      </c>
      <c r="K1734">
        <v>0</v>
      </c>
      <c r="L1734" s="2">
        <v>0</v>
      </c>
      <c r="M1734">
        <v>21.05</v>
      </c>
      <c r="N1734" t="s">
        <v>10235</v>
      </c>
    </row>
    <row r="1735" spans="1:14">
      <c r="A1735" t="s">
        <v>40</v>
      </c>
      <c r="B1735" t="s">
        <v>1905</v>
      </c>
      <c r="C1735">
        <f>"V100803"</f>
        <v>0</v>
      </c>
      <c r="D1735">
        <v>6</v>
      </c>
      <c r="E1735">
        <v>14</v>
      </c>
      <c r="F1735" s="2">
        <v>32</v>
      </c>
      <c r="G1735">
        <v>9.33</v>
      </c>
      <c r="H1735">
        <v>3</v>
      </c>
      <c r="I1735">
        <v>0.1783982903505296</v>
      </c>
      <c r="J1735">
        <v>2</v>
      </c>
      <c r="K1735">
        <v>0</v>
      </c>
      <c r="L1735" s="2">
        <v>0</v>
      </c>
      <c r="M1735">
        <v>21.06</v>
      </c>
      <c r="N1735" t="s">
        <v>10235</v>
      </c>
    </row>
    <row r="1736" spans="1:14">
      <c r="A1736" t="s">
        <v>35</v>
      </c>
      <c r="B1736" t="s">
        <v>1906</v>
      </c>
      <c r="C1736">
        <f>"3103CE"</f>
        <v>0</v>
      </c>
      <c r="D1736">
        <v>6</v>
      </c>
      <c r="E1736">
        <v>2</v>
      </c>
      <c r="F1736" s="2">
        <v>10</v>
      </c>
      <c r="G1736">
        <v>1.33</v>
      </c>
      <c r="H1736">
        <v>2</v>
      </c>
      <c r="I1736">
        <v>0.1783982903505296</v>
      </c>
      <c r="J1736">
        <v>2</v>
      </c>
      <c r="K1736">
        <v>0</v>
      </c>
      <c r="L1736" s="2">
        <v>0</v>
      </c>
      <c r="M1736">
        <v>21.07</v>
      </c>
      <c r="N1736" t="s">
        <v>10235</v>
      </c>
    </row>
    <row r="1737" spans="1:14">
      <c r="A1737" t="s">
        <v>32</v>
      </c>
      <c r="B1737" t="s">
        <v>292</v>
      </c>
      <c r="C1737">
        <f>"5000438"</f>
        <v>0</v>
      </c>
      <c r="D1737">
        <v>5</v>
      </c>
      <c r="E1737">
        <v>5</v>
      </c>
      <c r="F1737" s="2">
        <v>8</v>
      </c>
      <c r="G1737">
        <v>4</v>
      </c>
      <c r="H1737">
        <v>4</v>
      </c>
      <c r="I1737">
        <v>0.1782182338451694</v>
      </c>
      <c r="J1737">
        <v>1</v>
      </c>
      <c r="K1737">
        <v>0</v>
      </c>
      <c r="L1737" s="2">
        <v>0</v>
      </c>
      <c r="M1737">
        <v>21.08</v>
      </c>
      <c r="N1737" t="s">
        <v>10235</v>
      </c>
    </row>
    <row r="1738" spans="1:14">
      <c r="A1738" t="s">
        <v>35</v>
      </c>
      <c r="B1738" t="s">
        <v>1874</v>
      </c>
      <c r="C1738">
        <f>"PNM"</f>
        <v>0</v>
      </c>
      <c r="D1738">
        <v>5</v>
      </c>
      <c r="E1738">
        <v>2</v>
      </c>
      <c r="F1738" s="2">
        <v>2</v>
      </c>
      <c r="G1738">
        <v>1.6</v>
      </c>
      <c r="H1738">
        <v>2</v>
      </c>
      <c r="I1738">
        <v>0.1780939944942567</v>
      </c>
      <c r="J1738">
        <v>1</v>
      </c>
      <c r="K1738">
        <v>0</v>
      </c>
      <c r="L1738" s="2">
        <v>0</v>
      </c>
      <c r="M1738">
        <v>21.09</v>
      </c>
      <c r="N1738" t="s">
        <v>10235</v>
      </c>
    </row>
    <row r="1739" spans="1:14">
      <c r="A1739" t="s">
        <v>24</v>
      </c>
      <c r="B1739" t="s">
        <v>1907</v>
      </c>
      <c r="C1739">
        <f>"1112212"</f>
        <v>0</v>
      </c>
      <c r="D1739">
        <v>5</v>
      </c>
      <c r="E1739">
        <v>3</v>
      </c>
      <c r="F1739" s="2">
        <v>5</v>
      </c>
      <c r="G1739">
        <v>2.4</v>
      </c>
      <c r="H1739">
        <v>3</v>
      </c>
      <c r="I1739">
        <v>0.1780687916545001</v>
      </c>
      <c r="J1739">
        <v>1</v>
      </c>
      <c r="K1739">
        <v>0</v>
      </c>
      <c r="L1739" s="2">
        <v>0</v>
      </c>
      <c r="M1739">
        <v>21.1</v>
      </c>
      <c r="N1739" t="s">
        <v>10235</v>
      </c>
    </row>
    <row r="1740" spans="1:14">
      <c r="A1740" t="s">
        <v>214</v>
      </c>
      <c r="B1740" t="s">
        <v>1908</v>
      </c>
      <c r="C1740">
        <f>"34025"</f>
        <v>0</v>
      </c>
      <c r="D1740">
        <v>3</v>
      </c>
      <c r="E1740">
        <v>3</v>
      </c>
      <c r="F1740" s="2">
        <v>6</v>
      </c>
      <c r="G1740">
        <v>4</v>
      </c>
      <c r="H1740">
        <v>1</v>
      </c>
      <c r="I1740">
        <v>0.1780498044044286</v>
      </c>
      <c r="J1740">
        <v>1</v>
      </c>
      <c r="K1740">
        <v>0</v>
      </c>
      <c r="L1740" s="2">
        <v>0</v>
      </c>
      <c r="M1740">
        <v>21.11</v>
      </c>
      <c r="N1740" t="s">
        <v>10236</v>
      </c>
    </row>
    <row r="1741" spans="1:14">
      <c r="A1741" t="s">
        <v>202</v>
      </c>
      <c r="B1741" t="s">
        <v>1909</v>
      </c>
      <c r="C1741">
        <f>"11001023"</f>
        <v>0</v>
      </c>
      <c r="D1741">
        <v>5</v>
      </c>
      <c r="E1741">
        <v>3</v>
      </c>
      <c r="F1741" s="2">
        <v>3</v>
      </c>
      <c r="G1741">
        <v>2.4</v>
      </c>
      <c r="H1741">
        <v>2</v>
      </c>
      <c r="I1741">
        <v>0.1779875036220458</v>
      </c>
      <c r="J1741">
        <v>1</v>
      </c>
      <c r="K1741">
        <v>0</v>
      </c>
      <c r="L1741" s="2">
        <v>0</v>
      </c>
      <c r="M1741">
        <v>21.12</v>
      </c>
      <c r="N1741" t="s">
        <v>10235</v>
      </c>
    </row>
    <row r="1742" spans="1:14">
      <c r="A1742" t="s">
        <v>24</v>
      </c>
      <c r="B1742" t="s">
        <v>1910</v>
      </c>
      <c r="C1742">
        <f>"1110001"</f>
        <v>0</v>
      </c>
      <c r="D1742">
        <v>5</v>
      </c>
      <c r="E1742">
        <v>5</v>
      </c>
      <c r="F1742" s="2">
        <v>10</v>
      </c>
      <c r="G1742">
        <v>4</v>
      </c>
      <c r="H1742">
        <v>4</v>
      </c>
      <c r="I1742">
        <v>0.1779072804983136</v>
      </c>
      <c r="J1742">
        <v>1</v>
      </c>
      <c r="K1742">
        <v>0</v>
      </c>
      <c r="L1742" s="2">
        <v>0</v>
      </c>
      <c r="M1742">
        <v>21.12</v>
      </c>
      <c r="N1742" t="s">
        <v>10235</v>
      </c>
    </row>
    <row r="1743" spans="1:14">
      <c r="A1743" t="s">
        <v>24</v>
      </c>
      <c r="B1743" t="s">
        <v>1911</v>
      </c>
      <c r="C1743">
        <f>"5000022"</f>
        <v>0</v>
      </c>
      <c r="D1743">
        <v>5</v>
      </c>
      <c r="E1743">
        <v>3</v>
      </c>
      <c r="F1743" s="2">
        <v>5</v>
      </c>
      <c r="G1743">
        <v>2.4</v>
      </c>
      <c r="H1743">
        <v>3</v>
      </c>
      <c r="I1743">
        <v>0.1779026658938511</v>
      </c>
      <c r="J1743">
        <v>1</v>
      </c>
      <c r="K1743">
        <v>0</v>
      </c>
      <c r="L1743" s="2">
        <v>0</v>
      </c>
      <c r="M1743">
        <v>21.13</v>
      </c>
      <c r="N1743" t="s">
        <v>10235</v>
      </c>
    </row>
    <row r="1744" spans="1:14">
      <c r="A1744" t="s">
        <v>35</v>
      </c>
      <c r="B1744" t="s">
        <v>1912</v>
      </c>
      <c r="C1744">
        <f>"XDB403A"</f>
        <v>0</v>
      </c>
      <c r="D1744">
        <v>5</v>
      </c>
      <c r="E1744">
        <v>3</v>
      </c>
      <c r="F1744" s="2">
        <v>32</v>
      </c>
      <c r="G1744">
        <v>2.4</v>
      </c>
      <c r="H1744">
        <v>1</v>
      </c>
      <c r="I1744">
        <v>0.1776840046362447</v>
      </c>
      <c r="J1744">
        <v>1</v>
      </c>
      <c r="K1744">
        <v>0</v>
      </c>
      <c r="L1744" s="2">
        <v>0</v>
      </c>
      <c r="M1744">
        <v>21.14</v>
      </c>
      <c r="N1744" t="s">
        <v>10236</v>
      </c>
    </row>
    <row r="1745" spans="1:14">
      <c r="A1745" t="s">
        <v>221</v>
      </c>
      <c r="B1745" t="s">
        <v>1913</v>
      </c>
      <c r="C1745">
        <f>"50600"</f>
        <v>0</v>
      </c>
      <c r="D1745">
        <v>5</v>
      </c>
      <c r="E1745">
        <v>2</v>
      </c>
      <c r="F1745" s="2">
        <v>15</v>
      </c>
      <c r="G1745">
        <v>1.6</v>
      </c>
      <c r="H1745">
        <v>3</v>
      </c>
      <c r="I1745">
        <v>0.1776840046362447</v>
      </c>
      <c r="J1745">
        <v>1</v>
      </c>
      <c r="K1745">
        <v>0</v>
      </c>
      <c r="L1745" s="2">
        <v>0</v>
      </c>
      <c r="M1745">
        <v>21.15</v>
      </c>
      <c r="N1745" t="s">
        <v>10235</v>
      </c>
    </row>
    <row r="1746" spans="1:14">
      <c r="A1746" t="s">
        <v>35</v>
      </c>
      <c r="B1746" t="s">
        <v>1914</v>
      </c>
      <c r="C1746">
        <f>"BRI9"</f>
        <v>0</v>
      </c>
      <c r="D1746">
        <v>5</v>
      </c>
      <c r="E1746">
        <v>2</v>
      </c>
      <c r="F1746" s="2">
        <v>2</v>
      </c>
      <c r="G1746">
        <v>1.6</v>
      </c>
      <c r="H1746">
        <v>2</v>
      </c>
      <c r="I1746">
        <v>0.1776840046362447</v>
      </c>
      <c r="J1746">
        <v>1</v>
      </c>
      <c r="K1746">
        <v>0</v>
      </c>
      <c r="L1746" s="2">
        <v>0</v>
      </c>
      <c r="M1746">
        <v>21.16</v>
      </c>
      <c r="N1746" t="s">
        <v>10235</v>
      </c>
    </row>
    <row r="1747" spans="1:14">
      <c r="A1747" t="s">
        <v>24</v>
      </c>
      <c r="B1747" t="s">
        <v>1915</v>
      </c>
      <c r="C1747">
        <f>"1113102"</f>
        <v>0</v>
      </c>
      <c r="D1747">
        <v>5</v>
      </c>
      <c r="E1747">
        <v>3</v>
      </c>
      <c r="F1747" s="2">
        <v>1</v>
      </c>
      <c r="G1747">
        <v>2.4</v>
      </c>
      <c r="H1747">
        <v>2</v>
      </c>
      <c r="I1747">
        <v>0.1776840046362447</v>
      </c>
      <c r="J1747">
        <v>1</v>
      </c>
      <c r="K1747">
        <v>0</v>
      </c>
      <c r="L1747" s="2">
        <v>0</v>
      </c>
      <c r="M1747">
        <v>21.17</v>
      </c>
      <c r="N1747" t="s">
        <v>10235</v>
      </c>
    </row>
    <row r="1748" spans="1:14">
      <c r="A1748" t="s">
        <v>24</v>
      </c>
      <c r="B1748" t="s">
        <v>1916</v>
      </c>
      <c r="C1748">
        <f>"1110171"</f>
        <v>0</v>
      </c>
      <c r="D1748">
        <v>5</v>
      </c>
      <c r="E1748">
        <v>3</v>
      </c>
      <c r="F1748" s="2">
        <v>3</v>
      </c>
      <c r="G1748">
        <v>2.4</v>
      </c>
      <c r="H1748">
        <v>2</v>
      </c>
      <c r="I1748">
        <v>0.1776840046362447</v>
      </c>
      <c r="J1748">
        <v>1</v>
      </c>
      <c r="K1748">
        <v>0</v>
      </c>
      <c r="L1748" s="2">
        <v>0</v>
      </c>
      <c r="M1748">
        <v>21.18</v>
      </c>
      <c r="N1748" t="s">
        <v>10235</v>
      </c>
    </row>
    <row r="1749" spans="1:14">
      <c r="A1749" t="s">
        <v>30</v>
      </c>
      <c r="B1749" t="s">
        <v>1917</v>
      </c>
      <c r="C1749">
        <f>"100502"</f>
        <v>0</v>
      </c>
      <c r="D1749">
        <v>5</v>
      </c>
      <c r="E1749">
        <v>12</v>
      </c>
      <c r="F1749" s="2">
        <v>3</v>
      </c>
      <c r="G1749">
        <v>9.6</v>
      </c>
      <c r="H1749">
        <v>2</v>
      </c>
      <c r="I1749">
        <v>0.1776840046362447</v>
      </c>
      <c r="J1749">
        <v>1</v>
      </c>
      <c r="K1749">
        <v>0</v>
      </c>
      <c r="L1749" s="2">
        <v>0</v>
      </c>
      <c r="M1749">
        <v>21.19</v>
      </c>
      <c r="N1749" t="s">
        <v>10235</v>
      </c>
    </row>
    <row r="1750" spans="1:14">
      <c r="A1750" t="s">
        <v>35</v>
      </c>
      <c r="B1750" t="s">
        <v>1918</v>
      </c>
      <c r="C1750">
        <f>"MQ080807LN"</f>
        <v>0</v>
      </c>
      <c r="D1750">
        <v>5</v>
      </c>
      <c r="E1750">
        <v>4</v>
      </c>
      <c r="F1750" s="2">
        <v>9</v>
      </c>
      <c r="G1750">
        <v>3.2</v>
      </c>
      <c r="H1750">
        <v>2</v>
      </c>
      <c r="I1750">
        <v>0.1776840046362447</v>
      </c>
      <c r="J1750">
        <v>1</v>
      </c>
      <c r="K1750">
        <v>0</v>
      </c>
      <c r="L1750" s="2">
        <v>0</v>
      </c>
      <c r="M1750">
        <v>21.2</v>
      </c>
      <c r="N1750" t="s">
        <v>10235</v>
      </c>
    </row>
    <row r="1751" spans="1:14">
      <c r="A1751" t="s">
        <v>193</v>
      </c>
      <c r="B1751" t="s">
        <v>1919</v>
      </c>
      <c r="C1751">
        <f>"672455"</f>
        <v>0</v>
      </c>
      <c r="D1751">
        <v>5</v>
      </c>
      <c r="E1751">
        <v>9</v>
      </c>
      <c r="F1751" s="2">
        <v>3</v>
      </c>
      <c r="G1751">
        <v>7.2</v>
      </c>
      <c r="H1751">
        <v>2</v>
      </c>
      <c r="I1751">
        <v>0.1776840046362447</v>
      </c>
      <c r="J1751">
        <v>1</v>
      </c>
      <c r="K1751">
        <v>0</v>
      </c>
      <c r="L1751" s="2">
        <v>0</v>
      </c>
      <c r="M1751">
        <v>21.21</v>
      </c>
      <c r="N1751" t="s">
        <v>10235</v>
      </c>
    </row>
    <row r="1752" spans="1:14">
      <c r="A1752" t="s">
        <v>35</v>
      </c>
      <c r="B1752" t="s">
        <v>1920</v>
      </c>
      <c r="C1752">
        <f>"C210CE"</f>
        <v>0</v>
      </c>
      <c r="D1752">
        <v>5</v>
      </c>
      <c r="E1752">
        <v>3</v>
      </c>
      <c r="F1752" s="2">
        <v>2</v>
      </c>
      <c r="G1752">
        <v>2.4</v>
      </c>
      <c r="H1752">
        <v>2</v>
      </c>
      <c r="I1752">
        <v>0.1776840046362447</v>
      </c>
      <c r="J1752">
        <v>1</v>
      </c>
      <c r="K1752">
        <v>0</v>
      </c>
      <c r="L1752" s="2">
        <v>0</v>
      </c>
      <c r="M1752">
        <v>21.22</v>
      </c>
      <c r="N1752" t="s">
        <v>10235</v>
      </c>
    </row>
    <row r="1753" spans="1:14">
      <c r="A1753" t="s">
        <v>25</v>
      </c>
      <c r="B1753" t="s">
        <v>1921</v>
      </c>
      <c r="C1753">
        <f>"YB0393"</f>
        <v>0</v>
      </c>
      <c r="D1753">
        <v>5</v>
      </c>
      <c r="E1753">
        <v>2</v>
      </c>
      <c r="F1753" s="2">
        <v>14</v>
      </c>
      <c r="G1753">
        <v>1.6</v>
      </c>
      <c r="H1753">
        <v>3</v>
      </c>
      <c r="I1753">
        <v>0.1776840046362447</v>
      </c>
      <c r="J1753">
        <v>1</v>
      </c>
      <c r="K1753">
        <v>0</v>
      </c>
      <c r="L1753" s="2">
        <v>0</v>
      </c>
      <c r="M1753">
        <v>21.23</v>
      </c>
      <c r="N1753" t="s">
        <v>10235</v>
      </c>
    </row>
    <row r="1754" spans="1:14">
      <c r="A1754" t="s">
        <v>29</v>
      </c>
      <c r="B1754" t="s">
        <v>1922</v>
      </c>
      <c r="C1754">
        <f>"GLASS12"</f>
        <v>0</v>
      </c>
      <c r="D1754">
        <v>5</v>
      </c>
      <c r="E1754">
        <v>225</v>
      </c>
      <c r="F1754" s="2">
        <v>0</v>
      </c>
      <c r="G1754">
        <v>180</v>
      </c>
      <c r="H1754">
        <v>2</v>
      </c>
      <c r="I1754">
        <v>0.1776840046362447</v>
      </c>
      <c r="J1754">
        <v>1</v>
      </c>
      <c r="K1754">
        <v>0</v>
      </c>
      <c r="L1754" s="2">
        <v>0</v>
      </c>
      <c r="M1754">
        <v>21.24</v>
      </c>
      <c r="N1754" t="s">
        <v>10235</v>
      </c>
    </row>
    <row r="1755" spans="1:14">
      <c r="A1755" t="s">
        <v>25</v>
      </c>
      <c r="B1755" t="s">
        <v>1923</v>
      </c>
      <c r="C1755">
        <f>"R1ROS"</f>
        <v>0</v>
      </c>
      <c r="D1755">
        <v>5</v>
      </c>
      <c r="E1755">
        <v>2</v>
      </c>
      <c r="F1755" s="2">
        <v>6</v>
      </c>
      <c r="G1755">
        <v>1.6</v>
      </c>
      <c r="H1755">
        <v>3</v>
      </c>
      <c r="I1755">
        <v>0.1776840046362447</v>
      </c>
      <c r="J1755">
        <v>1</v>
      </c>
      <c r="K1755">
        <v>0</v>
      </c>
      <c r="L1755" s="2">
        <v>0</v>
      </c>
      <c r="M1755">
        <v>21.25</v>
      </c>
      <c r="N1755" t="s">
        <v>10235</v>
      </c>
    </row>
    <row r="1756" spans="1:14">
      <c r="A1756" t="s">
        <v>35</v>
      </c>
      <c r="B1756" t="s">
        <v>1924</v>
      </c>
      <c r="C1756">
        <f>"XX252"</f>
        <v>0</v>
      </c>
      <c r="D1756">
        <v>5</v>
      </c>
      <c r="E1756">
        <v>3</v>
      </c>
      <c r="F1756" s="2">
        <v>3</v>
      </c>
      <c r="G1756">
        <v>2.4</v>
      </c>
      <c r="H1756">
        <v>3</v>
      </c>
      <c r="I1756">
        <v>0.1776840046362447</v>
      </c>
      <c r="J1756">
        <v>1</v>
      </c>
      <c r="K1756">
        <v>0</v>
      </c>
      <c r="L1756" s="2">
        <v>0</v>
      </c>
      <c r="M1756">
        <v>21.26</v>
      </c>
      <c r="N1756" t="s">
        <v>10235</v>
      </c>
    </row>
    <row r="1757" spans="1:14">
      <c r="A1757" t="s">
        <v>25</v>
      </c>
      <c r="B1757" t="s">
        <v>1925</v>
      </c>
      <c r="C1757">
        <f>"M113"</f>
        <v>0</v>
      </c>
      <c r="D1757">
        <v>5</v>
      </c>
      <c r="E1757">
        <v>10</v>
      </c>
      <c r="F1757" s="2">
        <v>6</v>
      </c>
      <c r="G1757">
        <v>8</v>
      </c>
      <c r="H1757">
        <v>1</v>
      </c>
      <c r="I1757">
        <v>0.1776840046362447</v>
      </c>
      <c r="J1757">
        <v>1</v>
      </c>
      <c r="K1757">
        <v>0</v>
      </c>
      <c r="L1757" s="2">
        <v>0</v>
      </c>
      <c r="M1757">
        <v>21.27</v>
      </c>
      <c r="N1757" t="s">
        <v>10236</v>
      </c>
    </row>
    <row r="1758" spans="1:14">
      <c r="A1758" t="s">
        <v>25</v>
      </c>
      <c r="B1758" t="s">
        <v>1926</v>
      </c>
      <c r="C1758">
        <f>"ZVP1140"</f>
        <v>0</v>
      </c>
      <c r="D1758">
        <v>5</v>
      </c>
      <c r="E1758">
        <v>2</v>
      </c>
      <c r="F1758" s="2">
        <v>1</v>
      </c>
      <c r="G1758">
        <v>1.6</v>
      </c>
      <c r="H1758">
        <v>2</v>
      </c>
      <c r="I1758">
        <v>0.1776840046362447</v>
      </c>
      <c r="J1758">
        <v>1</v>
      </c>
      <c r="K1758">
        <v>0</v>
      </c>
      <c r="L1758" s="2">
        <v>0</v>
      </c>
      <c r="M1758">
        <v>21.28</v>
      </c>
      <c r="N1758" t="s">
        <v>10235</v>
      </c>
    </row>
    <row r="1759" spans="1:14">
      <c r="A1759" t="s">
        <v>25</v>
      </c>
      <c r="B1759" t="s">
        <v>1927</v>
      </c>
      <c r="C1759">
        <f>"ZVP1109"</f>
        <v>0</v>
      </c>
      <c r="D1759">
        <v>5</v>
      </c>
      <c r="E1759">
        <v>6</v>
      </c>
      <c r="F1759" s="2">
        <v>1</v>
      </c>
      <c r="G1759">
        <v>4.8</v>
      </c>
      <c r="H1759">
        <v>3</v>
      </c>
      <c r="I1759">
        <v>0.1776840046362447</v>
      </c>
      <c r="J1759">
        <v>1</v>
      </c>
      <c r="K1759">
        <v>0</v>
      </c>
      <c r="L1759" s="2">
        <v>0</v>
      </c>
      <c r="M1759">
        <v>21.28</v>
      </c>
      <c r="N1759" t="s">
        <v>10235</v>
      </c>
    </row>
    <row r="1760" spans="1:14">
      <c r="A1760" t="s">
        <v>35</v>
      </c>
      <c r="B1760" t="s">
        <v>1928</v>
      </c>
      <c r="C1760">
        <f>"DC3105A"</f>
        <v>0</v>
      </c>
      <c r="D1760">
        <v>5</v>
      </c>
      <c r="E1760">
        <v>8</v>
      </c>
      <c r="F1760" s="2">
        <v>2</v>
      </c>
      <c r="G1760">
        <v>6.4</v>
      </c>
      <c r="H1760">
        <v>1</v>
      </c>
      <c r="I1760">
        <v>0.1776840046362447</v>
      </c>
      <c r="J1760">
        <v>1</v>
      </c>
      <c r="K1760">
        <v>0</v>
      </c>
      <c r="L1760" s="2">
        <v>0</v>
      </c>
      <c r="M1760">
        <v>21.29</v>
      </c>
      <c r="N1760" t="s">
        <v>10236</v>
      </c>
    </row>
    <row r="1761" spans="1:14">
      <c r="A1761" t="s">
        <v>35</v>
      </c>
      <c r="B1761" t="s">
        <v>1929</v>
      </c>
      <c r="C1761">
        <f>"W0059"</f>
        <v>0</v>
      </c>
      <c r="D1761">
        <v>5</v>
      </c>
      <c r="E1761">
        <v>5</v>
      </c>
      <c r="F1761" s="2">
        <v>3</v>
      </c>
      <c r="G1761">
        <v>4</v>
      </c>
      <c r="H1761">
        <v>2</v>
      </c>
      <c r="I1761">
        <v>0.1776840046362447</v>
      </c>
      <c r="J1761">
        <v>1</v>
      </c>
      <c r="K1761">
        <v>0</v>
      </c>
      <c r="L1761" s="2">
        <v>0</v>
      </c>
      <c r="M1761">
        <v>21.3</v>
      </c>
      <c r="N1761" t="s">
        <v>10235</v>
      </c>
    </row>
    <row r="1762" spans="1:14">
      <c r="A1762" t="s">
        <v>25</v>
      </c>
      <c r="B1762" t="s">
        <v>1930</v>
      </c>
      <c r="C1762">
        <f>"LN802"</f>
        <v>0</v>
      </c>
      <c r="D1762">
        <v>5</v>
      </c>
      <c r="E1762">
        <v>4</v>
      </c>
      <c r="F1762" s="2">
        <v>3</v>
      </c>
      <c r="G1762">
        <v>3.2</v>
      </c>
      <c r="H1762">
        <v>3</v>
      </c>
      <c r="I1762">
        <v>0.1776840046362447</v>
      </c>
      <c r="J1762">
        <v>1</v>
      </c>
      <c r="K1762">
        <v>0</v>
      </c>
      <c r="L1762" s="2">
        <v>0</v>
      </c>
      <c r="M1762">
        <v>21.31</v>
      </c>
      <c r="N1762" t="s">
        <v>10235</v>
      </c>
    </row>
    <row r="1763" spans="1:14">
      <c r="A1763" t="s">
        <v>35</v>
      </c>
      <c r="B1763" t="s">
        <v>1931</v>
      </c>
      <c r="C1763">
        <f>"ZJ15"</f>
        <v>0</v>
      </c>
      <c r="D1763">
        <v>5</v>
      </c>
      <c r="E1763">
        <v>66</v>
      </c>
      <c r="F1763" s="2">
        <v>1</v>
      </c>
      <c r="G1763">
        <v>52.8</v>
      </c>
      <c r="H1763">
        <v>2</v>
      </c>
      <c r="I1763">
        <v>0.1776840046362447</v>
      </c>
      <c r="J1763">
        <v>1</v>
      </c>
      <c r="K1763">
        <v>0</v>
      </c>
      <c r="L1763" s="2">
        <v>0</v>
      </c>
      <c r="M1763">
        <v>21.32</v>
      </c>
      <c r="N1763" t="s">
        <v>10235</v>
      </c>
    </row>
    <row r="1764" spans="1:14">
      <c r="A1764" t="s">
        <v>25</v>
      </c>
      <c r="B1764" t="s">
        <v>1932</v>
      </c>
      <c r="C1764">
        <f>"49020"</f>
        <v>0</v>
      </c>
      <c r="D1764">
        <v>5</v>
      </c>
      <c r="E1764">
        <v>6</v>
      </c>
      <c r="F1764" s="2">
        <v>4</v>
      </c>
      <c r="G1764">
        <v>4.8</v>
      </c>
      <c r="H1764">
        <v>2</v>
      </c>
      <c r="I1764">
        <v>0.1776840046362447</v>
      </c>
      <c r="J1764">
        <v>1</v>
      </c>
      <c r="K1764">
        <v>0</v>
      </c>
      <c r="L1764" s="2">
        <v>0</v>
      </c>
      <c r="M1764">
        <v>21.33</v>
      </c>
      <c r="N1764" t="s">
        <v>10235</v>
      </c>
    </row>
    <row r="1765" spans="1:14">
      <c r="A1765" t="s">
        <v>40</v>
      </c>
      <c r="B1765" t="s">
        <v>1933</v>
      </c>
      <c r="C1765">
        <f>"V100853"</f>
        <v>0</v>
      </c>
      <c r="D1765">
        <v>5</v>
      </c>
      <c r="E1765">
        <v>6</v>
      </c>
      <c r="F1765" s="2">
        <v>3</v>
      </c>
      <c r="G1765">
        <v>4.8</v>
      </c>
      <c r="H1765">
        <v>3</v>
      </c>
      <c r="I1765">
        <v>0.1776840046362447</v>
      </c>
      <c r="J1765">
        <v>1</v>
      </c>
      <c r="K1765">
        <v>0</v>
      </c>
      <c r="L1765" s="2">
        <v>0</v>
      </c>
      <c r="M1765">
        <v>21.34</v>
      </c>
      <c r="N1765" t="s">
        <v>10235</v>
      </c>
    </row>
    <row r="1766" spans="1:14">
      <c r="A1766" t="s">
        <v>30</v>
      </c>
      <c r="B1766" t="s">
        <v>1934</v>
      </c>
      <c r="C1766">
        <f>"101385"</f>
        <v>0</v>
      </c>
      <c r="D1766">
        <v>5</v>
      </c>
      <c r="E1766">
        <v>2</v>
      </c>
      <c r="F1766" s="2">
        <v>6</v>
      </c>
      <c r="G1766">
        <v>1.6</v>
      </c>
      <c r="H1766">
        <v>3</v>
      </c>
      <c r="I1766">
        <v>0.1776840046362447</v>
      </c>
      <c r="J1766">
        <v>1</v>
      </c>
      <c r="K1766">
        <v>0</v>
      </c>
      <c r="L1766" s="2">
        <v>0</v>
      </c>
      <c r="M1766">
        <v>21.35</v>
      </c>
      <c r="N1766" t="s">
        <v>10235</v>
      </c>
    </row>
    <row r="1767" spans="1:14">
      <c r="A1767" t="s">
        <v>25</v>
      </c>
      <c r="B1767" t="s">
        <v>1935</v>
      </c>
      <c r="C1767">
        <f>"CH9407"</f>
        <v>0</v>
      </c>
      <c r="D1767">
        <v>5</v>
      </c>
      <c r="E1767">
        <v>4</v>
      </c>
      <c r="F1767" s="2">
        <v>1</v>
      </c>
      <c r="G1767">
        <v>3.2</v>
      </c>
      <c r="H1767">
        <v>3</v>
      </c>
      <c r="I1767">
        <v>0.1776840046362447</v>
      </c>
      <c r="J1767">
        <v>1</v>
      </c>
      <c r="K1767">
        <v>0</v>
      </c>
      <c r="L1767" s="2">
        <v>0</v>
      </c>
      <c r="M1767">
        <v>21.36</v>
      </c>
      <c r="N1767" t="s">
        <v>10235</v>
      </c>
    </row>
    <row r="1768" spans="1:14">
      <c r="A1768" t="s">
        <v>25</v>
      </c>
      <c r="B1768" t="s">
        <v>1936</v>
      </c>
      <c r="C1768">
        <f>"S156L"</f>
        <v>0</v>
      </c>
      <c r="D1768">
        <v>5</v>
      </c>
      <c r="E1768">
        <v>4</v>
      </c>
      <c r="F1768" s="2">
        <v>1</v>
      </c>
      <c r="G1768">
        <v>3.2</v>
      </c>
      <c r="H1768">
        <v>3</v>
      </c>
      <c r="I1768">
        <v>0.1776840046362447</v>
      </c>
      <c r="J1768">
        <v>1</v>
      </c>
      <c r="K1768">
        <v>0</v>
      </c>
      <c r="L1768" s="2">
        <v>0</v>
      </c>
      <c r="M1768">
        <v>21.37</v>
      </c>
      <c r="N1768" t="s">
        <v>10235</v>
      </c>
    </row>
    <row r="1769" spans="1:14">
      <c r="A1769" t="s">
        <v>35</v>
      </c>
      <c r="B1769" t="s">
        <v>1937</v>
      </c>
      <c r="C1769">
        <f>"28403"</f>
        <v>0</v>
      </c>
      <c r="D1769">
        <v>5</v>
      </c>
      <c r="E1769">
        <v>6</v>
      </c>
      <c r="F1769" s="2">
        <v>6</v>
      </c>
      <c r="G1769">
        <v>4.8</v>
      </c>
      <c r="H1769">
        <v>1</v>
      </c>
      <c r="I1769">
        <v>0.1776840046362447</v>
      </c>
      <c r="J1769">
        <v>1</v>
      </c>
      <c r="K1769">
        <v>0</v>
      </c>
      <c r="L1769" s="2">
        <v>0</v>
      </c>
      <c r="M1769">
        <v>21.38</v>
      </c>
      <c r="N1769" t="s">
        <v>10236</v>
      </c>
    </row>
    <row r="1770" spans="1:14">
      <c r="A1770" t="s">
        <v>39</v>
      </c>
      <c r="B1770" t="s">
        <v>1938</v>
      </c>
      <c r="C1770">
        <f>"VALIM01034"</f>
        <v>0</v>
      </c>
      <c r="D1770">
        <v>4</v>
      </c>
      <c r="E1770">
        <v>2</v>
      </c>
      <c r="F1770" s="2">
        <v>15</v>
      </c>
      <c r="G1770">
        <v>2</v>
      </c>
      <c r="H1770">
        <v>3</v>
      </c>
      <c r="I1770">
        <v>0.1776587148651644</v>
      </c>
      <c r="J1770">
        <v>1</v>
      </c>
      <c r="K1770">
        <v>0</v>
      </c>
      <c r="L1770" s="2">
        <v>0</v>
      </c>
      <c r="M1770">
        <v>21.39</v>
      </c>
      <c r="N1770" t="s">
        <v>10236</v>
      </c>
    </row>
    <row r="1771" spans="1:14">
      <c r="A1771" t="s">
        <v>37</v>
      </c>
      <c r="B1771" t="s">
        <v>1939</v>
      </c>
      <c r="C1771">
        <f>"60120"</f>
        <v>0</v>
      </c>
      <c r="D1771">
        <v>4</v>
      </c>
      <c r="E1771">
        <v>1</v>
      </c>
      <c r="F1771" s="2">
        <v>7</v>
      </c>
      <c r="G1771">
        <v>1</v>
      </c>
      <c r="H1771">
        <v>2</v>
      </c>
      <c r="I1771">
        <v>0.1775287960010671</v>
      </c>
      <c r="J1771">
        <v>1</v>
      </c>
      <c r="K1771">
        <v>0</v>
      </c>
      <c r="L1771" s="2">
        <v>0</v>
      </c>
      <c r="M1771">
        <v>21.4</v>
      </c>
      <c r="N1771" t="s">
        <v>10236</v>
      </c>
    </row>
    <row r="1772" spans="1:14">
      <c r="A1772" t="s">
        <v>35</v>
      </c>
      <c r="B1772" t="s">
        <v>1940</v>
      </c>
      <c r="C1772">
        <f>"CP1314"</f>
        <v>0</v>
      </c>
      <c r="D1772">
        <v>3</v>
      </c>
      <c r="E1772">
        <v>2</v>
      </c>
      <c r="F1772" s="2">
        <v>4</v>
      </c>
      <c r="G1772">
        <v>2.67</v>
      </c>
      <c r="H1772">
        <v>2</v>
      </c>
      <c r="I1772">
        <v>0.177525869313151</v>
      </c>
      <c r="J1772">
        <v>1</v>
      </c>
      <c r="K1772">
        <v>0</v>
      </c>
      <c r="L1772" s="2">
        <v>0</v>
      </c>
      <c r="M1772">
        <v>21.41</v>
      </c>
      <c r="N1772" t="s">
        <v>10236</v>
      </c>
    </row>
    <row r="1773" spans="1:14">
      <c r="A1773" t="s">
        <v>34</v>
      </c>
      <c r="B1773" t="s">
        <v>1941</v>
      </c>
      <c r="C1773">
        <f>"11003499"</f>
        <v>0</v>
      </c>
      <c r="D1773">
        <v>5</v>
      </c>
      <c r="E1773">
        <v>10</v>
      </c>
      <c r="F1773" s="2">
        <v>1</v>
      </c>
      <c r="G1773">
        <v>8</v>
      </c>
      <c r="H1773">
        <v>3</v>
      </c>
      <c r="I1773">
        <v>0.1775065198492266</v>
      </c>
      <c r="J1773">
        <v>1</v>
      </c>
      <c r="K1773">
        <v>0</v>
      </c>
      <c r="L1773" s="2">
        <v>0</v>
      </c>
      <c r="M1773">
        <v>21.42</v>
      </c>
      <c r="N1773" t="s">
        <v>10235</v>
      </c>
    </row>
    <row r="1774" spans="1:14">
      <c r="A1774" t="s">
        <v>213</v>
      </c>
      <c r="B1774" t="s">
        <v>1942</v>
      </c>
      <c r="C1774">
        <f>"402048"</f>
        <v>0</v>
      </c>
      <c r="D1774">
        <v>4</v>
      </c>
      <c r="E1774">
        <v>1</v>
      </c>
      <c r="F1774" s="2">
        <v>8</v>
      </c>
      <c r="G1774">
        <v>1</v>
      </c>
      <c r="H1774">
        <v>3</v>
      </c>
      <c r="I1774">
        <v>0.1774753730801746</v>
      </c>
      <c r="J1774">
        <v>1</v>
      </c>
      <c r="K1774">
        <v>0</v>
      </c>
      <c r="L1774" s="2">
        <v>0</v>
      </c>
      <c r="M1774">
        <v>21.43</v>
      </c>
      <c r="N1774" t="s">
        <v>10236</v>
      </c>
    </row>
    <row r="1775" spans="1:14">
      <c r="A1775" t="s">
        <v>32</v>
      </c>
      <c r="B1775" t="s">
        <v>1943</v>
      </c>
      <c r="C1775">
        <f>"5005049"</f>
        <v>0</v>
      </c>
      <c r="D1775">
        <v>4</v>
      </c>
      <c r="E1775">
        <v>5</v>
      </c>
      <c r="F1775" s="2">
        <v>7</v>
      </c>
      <c r="G1775">
        <v>5</v>
      </c>
      <c r="H1775">
        <v>3</v>
      </c>
      <c r="I1775">
        <v>0.1774641915385925</v>
      </c>
      <c r="J1775">
        <v>1</v>
      </c>
      <c r="K1775">
        <v>0</v>
      </c>
      <c r="L1775" s="2">
        <v>0</v>
      </c>
      <c r="M1775">
        <v>21.44</v>
      </c>
      <c r="N1775" t="s">
        <v>10236</v>
      </c>
    </row>
    <row r="1776" spans="1:14">
      <c r="A1776" t="s">
        <v>36</v>
      </c>
      <c r="B1776" t="s">
        <v>1944</v>
      </c>
      <c r="C1776">
        <f>"CA5451003CH"</f>
        <v>0</v>
      </c>
      <c r="D1776">
        <v>4</v>
      </c>
      <c r="E1776">
        <v>8</v>
      </c>
      <c r="F1776" s="2">
        <v>17</v>
      </c>
      <c r="G1776">
        <v>8</v>
      </c>
      <c r="H1776">
        <v>2</v>
      </c>
      <c r="I1776">
        <v>0.1774407635467061</v>
      </c>
      <c r="J1776">
        <v>1</v>
      </c>
      <c r="K1776">
        <v>0</v>
      </c>
      <c r="L1776" s="2">
        <v>0</v>
      </c>
      <c r="M1776">
        <v>21.44</v>
      </c>
      <c r="N1776" t="s">
        <v>10236</v>
      </c>
    </row>
    <row r="1777" spans="1:14">
      <c r="A1777" t="s">
        <v>35</v>
      </c>
      <c r="B1777" t="s">
        <v>1945</v>
      </c>
      <c r="C1777">
        <f>"130043"</f>
        <v>0</v>
      </c>
      <c r="D1777">
        <v>4</v>
      </c>
      <c r="E1777">
        <v>1</v>
      </c>
      <c r="F1777" s="2">
        <v>2</v>
      </c>
      <c r="G1777">
        <v>1</v>
      </c>
      <c r="H1777">
        <v>1</v>
      </c>
      <c r="I1777">
        <v>0.1774347290639475</v>
      </c>
      <c r="J1777">
        <v>1</v>
      </c>
      <c r="K1777">
        <v>0</v>
      </c>
      <c r="L1777" s="2">
        <v>0</v>
      </c>
      <c r="M1777">
        <v>21.45</v>
      </c>
      <c r="N1777" t="s">
        <v>10236</v>
      </c>
    </row>
    <row r="1778" spans="1:14">
      <c r="A1778" t="s">
        <v>36</v>
      </c>
      <c r="B1778" t="s">
        <v>1946</v>
      </c>
      <c r="C1778">
        <f>"50000037"</f>
        <v>0</v>
      </c>
      <c r="D1778">
        <v>4</v>
      </c>
      <c r="E1778">
        <v>20</v>
      </c>
      <c r="F1778" s="2">
        <v>8</v>
      </c>
      <c r="G1778">
        <v>20</v>
      </c>
      <c r="H1778">
        <v>3</v>
      </c>
      <c r="I1778">
        <v>0.1773956824108035</v>
      </c>
      <c r="J1778">
        <v>1</v>
      </c>
      <c r="K1778">
        <v>0</v>
      </c>
      <c r="L1778" s="2">
        <v>0</v>
      </c>
      <c r="M1778">
        <v>21.46</v>
      </c>
      <c r="N1778" t="s">
        <v>10236</v>
      </c>
    </row>
    <row r="1779" spans="1:14">
      <c r="A1779" t="s">
        <v>35</v>
      </c>
      <c r="B1779" t="s">
        <v>1947</v>
      </c>
      <c r="C1779">
        <f>"CP9060"</f>
        <v>0</v>
      </c>
      <c r="D1779">
        <v>1</v>
      </c>
      <c r="E1779">
        <v>1</v>
      </c>
      <c r="F1779" s="2">
        <v>71</v>
      </c>
      <c r="G1779">
        <v>4</v>
      </c>
      <c r="H1779">
        <v>1</v>
      </c>
      <c r="I1779">
        <v>0.1773506954505036</v>
      </c>
      <c r="J1779">
        <v>0</v>
      </c>
      <c r="K1779">
        <v>0</v>
      </c>
      <c r="L1779" s="2">
        <v>0</v>
      </c>
      <c r="M1779">
        <v>21.47</v>
      </c>
      <c r="N1779" t="s">
        <v>10236</v>
      </c>
    </row>
    <row r="1780" spans="1:14">
      <c r="A1780" t="s">
        <v>35</v>
      </c>
      <c r="B1780" t="s">
        <v>1948</v>
      </c>
      <c r="C1780">
        <f>"D046S"</f>
        <v>0</v>
      </c>
      <c r="D1780">
        <v>4</v>
      </c>
      <c r="E1780">
        <v>2</v>
      </c>
      <c r="F1780" s="2">
        <v>1</v>
      </c>
      <c r="G1780">
        <v>2</v>
      </c>
      <c r="H1780">
        <v>4</v>
      </c>
      <c r="I1780">
        <v>0.1773332077657731</v>
      </c>
      <c r="J1780">
        <v>1</v>
      </c>
      <c r="K1780">
        <v>0</v>
      </c>
      <c r="L1780" s="2">
        <v>0</v>
      </c>
      <c r="M1780">
        <v>21.48</v>
      </c>
      <c r="N1780" t="s">
        <v>10236</v>
      </c>
    </row>
    <row r="1781" spans="1:14">
      <c r="A1781" t="s">
        <v>32</v>
      </c>
      <c r="B1781" t="s">
        <v>292</v>
      </c>
      <c r="C1781">
        <f>"1022551"</f>
        <v>0</v>
      </c>
      <c r="D1781">
        <v>4</v>
      </c>
      <c r="E1781">
        <v>3</v>
      </c>
      <c r="F1781" s="2">
        <v>9</v>
      </c>
      <c r="G1781">
        <v>3</v>
      </c>
      <c r="H1781">
        <v>2</v>
      </c>
      <c r="I1781">
        <v>0.1773285931613106</v>
      </c>
      <c r="J1781">
        <v>1</v>
      </c>
      <c r="K1781">
        <v>0</v>
      </c>
      <c r="L1781" s="2">
        <v>0</v>
      </c>
      <c r="M1781">
        <v>21.49</v>
      </c>
      <c r="N1781" t="s">
        <v>10236</v>
      </c>
    </row>
    <row r="1782" spans="1:14">
      <c r="A1782" t="s">
        <v>24</v>
      </c>
      <c r="B1782" t="s">
        <v>1949</v>
      </c>
      <c r="C1782">
        <f>"1012674"</f>
        <v>0</v>
      </c>
      <c r="D1782">
        <v>4</v>
      </c>
      <c r="E1782">
        <v>1</v>
      </c>
      <c r="F1782" s="2">
        <v>3</v>
      </c>
      <c r="G1782">
        <v>1</v>
      </c>
      <c r="H1782">
        <v>2</v>
      </c>
      <c r="I1782">
        <v>0.1773019704432579</v>
      </c>
      <c r="J1782">
        <v>1</v>
      </c>
      <c r="K1782">
        <v>0</v>
      </c>
      <c r="L1782" s="2">
        <v>0</v>
      </c>
      <c r="M1782">
        <v>21.5</v>
      </c>
      <c r="N1782" t="s">
        <v>10236</v>
      </c>
    </row>
    <row r="1783" spans="1:14">
      <c r="A1783" t="s">
        <v>221</v>
      </c>
      <c r="B1783" t="s">
        <v>1950</v>
      </c>
      <c r="C1783">
        <f>"70013"</f>
        <v>0</v>
      </c>
      <c r="D1783">
        <v>4</v>
      </c>
      <c r="E1783">
        <v>4</v>
      </c>
      <c r="F1783" s="2">
        <v>14</v>
      </c>
      <c r="G1783">
        <v>4</v>
      </c>
      <c r="H1783">
        <v>3</v>
      </c>
      <c r="I1783">
        <v>0.1772861742972133</v>
      </c>
      <c r="J1783">
        <v>1</v>
      </c>
      <c r="K1783">
        <v>0</v>
      </c>
      <c r="L1783" s="2">
        <v>0</v>
      </c>
      <c r="M1783">
        <v>21.51</v>
      </c>
      <c r="N1783" t="s">
        <v>10236</v>
      </c>
    </row>
    <row r="1784" spans="1:14">
      <c r="A1784" t="s">
        <v>213</v>
      </c>
      <c r="B1784" t="s">
        <v>1951</v>
      </c>
      <c r="C1784">
        <f>"500780"</f>
        <v>0</v>
      </c>
      <c r="D1784">
        <v>3</v>
      </c>
      <c r="E1784">
        <v>2</v>
      </c>
      <c r="F1784" s="2">
        <v>7</v>
      </c>
      <c r="G1784">
        <v>2.67</v>
      </c>
      <c r="H1784">
        <v>2</v>
      </c>
      <c r="I1784">
        <v>0.1772782780352607</v>
      </c>
      <c r="J1784">
        <v>1</v>
      </c>
      <c r="K1784">
        <v>0</v>
      </c>
      <c r="L1784" s="2">
        <v>0</v>
      </c>
      <c r="M1784">
        <v>21.52</v>
      </c>
      <c r="N1784" t="s">
        <v>10236</v>
      </c>
    </row>
    <row r="1785" spans="1:14">
      <c r="A1785" t="s">
        <v>39</v>
      </c>
      <c r="B1785" t="s">
        <v>1952</v>
      </c>
      <c r="C1785">
        <f>"980305"</f>
        <v>0</v>
      </c>
      <c r="D1785">
        <v>4</v>
      </c>
      <c r="E1785">
        <v>2</v>
      </c>
      <c r="F1785" s="2">
        <v>4</v>
      </c>
      <c r="G1785">
        <v>2</v>
      </c>
      <c r="H1785">
        <v>3</v>
      </c>
      <c r="I1785">
        <v>0.1772276043174973</v>
      </c>
      <c r="J1785">
        <v>1</v>
      </c>
      <c r="K1785">
        <v>0</v>
      </c>
      <c r="L1785" s="2">
        <v>0</v>
      </c>
      <c r="M1785">
        <v>21.53</v>
      </c>
      <c r="N1785" t="s">
        <v>10236</v>
      </c>
    </row>
    <row r="1786" spans="1:14">
      <c r="A1786" t="s">
        <v>35</v>
      </c>
      <c r="B1786" t="s">
        <v>1953</v>
      </c>
      <c r="C1786">
        <f>"1040MELI"</f>
        <v>0</v>
      </c>
      <c r="D1786">
        <v>4</v>
      </c>
      <c r="E1786">
        <v>6</v>
      </c>
      <c r="F1786" s="2">
        <v>8</v>
      </c>
      <c r="G1786">
        <v>6</v>
      </c>
      <c r="H1786">
        <v>3</v>
      </c>
      <c r="I1786">
        <v>0.1771727615183087</v>
      </c>
      <c r="J1786">
        <v>1</v>
      </c>
      <c r="K1786">
        <v>0</v>
      </c>
      <c r="L1786" s="2">
        <v>0</v>
      </c>
      <c r="M1786">
        <v>21.54</v>
      </c>
      <c r="N1786" t="s">
        <v>10236</v>
      </c>
    </row>
    <row r="1787" spans="1:14">
      <c r="A1787" t="s">
        <v>35</v>
      </c>
      <c r="B1787" t="s">
        <v>1954</v>
      </c>
      <c r="C1787">
        <f>"KE3205P"</f>
        <v>0</v>
      </c>
      <c r="D1787">
        <v>3</v>
      </c>
      <c r="E1787">
        <v>48</v>
      </c>
      <c r="F1787" s="2">
        <v>2</v>
      </c>
      <c r="G1787">
        <v>64</v>
      </c>
      <c r="H1787">
        <v>2</v>
      </c>
      <c r="I1787">
        <v>0.1771428571427658</v>
      </c>
      <c r="J1787">
        <v>1</v>
      </c>
      <c r="K1787">
        <v>0</v>
      </c>
      <c r="L1787" s="2">
        <v>0</v>
      </c>
      <c r="M1787">
        <v>21.55</v>
      </c>
      <c r="N1787" t="s">
        <v>10236</v>
      </c>
    </row>
    <row r="1788" spans="1:14">
      <c r="A1788" t="s">
        <v>35</v>
      </c>
      <c r="B1788" t="s">
        <v>1955</v>
      </c>
      <c r="C1788">
        <f>"8407"</f>
        <v>0</v>
      </c>
      <c r="D1788">
        <v>11</v>
      </c>
      <c r="E1788">
        <v>51</v>
      </c>
      <c r="F1788" s="2">
        <v>9</v>
      </c>
      <c r="G1788">
        <v>18.55</v>
      </c>
      <c r="H1788">
        <v>3</v>
      </c>
      <c r="I1788">
        <v>0.1770995363661755</v>
      </c>
      <c r="J1788">
        <v>3</v>
      </c>
      <c r="K1788">
        <v>0</v>
      </c>
      <c r="L1788" s="2">
        <v>0</v>
      </c>
      <c r="M1788">
        <v>21.56</v>
      </c>
      <c r="N1788" t="s">
        <v>10235</v>
      </c>
    </row>
    <row r="1789" spans="1:14">
      <c r="A1789" t="s">
        <v>32</v>
      </c>
      <c r="B1789" t="s">
        <v>1956</v>
      </c>
      <c r="C1789">
        <f>"5007617"</f>
        <v>0</v>
      </c>
      <c r="D1789">
        <v>3</v>
      </c>
      <c r="E1789">
        <v>2</v>
      </c>
      <c r="F1789" s="2">
        <v>11</v>
      </c>
      <c r="G1789">
        <v>2.67</v>
      </c>
      <c r="H1789">
        <v>3</v>
      </c>
      <c r="I1789">
        <v>0.1770296218486482</v>
      </c>
      <c r="J1789">
        <v>1</v>
      </c>
      <c r="K1789">
        <v>0</v>
      </c>
      <c r="L1789" s="2">
        <v>0</v>
      </c>
      <c r="M1789">
        <v>21.57</v>
      </c>
      <c r="N1789" t="s">
        <v>10236</v>
      </c>
    </row>
    <row r="1790" spans="1:14">
      <c r="A1790" t="s">
        <v>24</v>
      </c>
      <c r="B1790" t="s">
        <v>1957</v>
      </c>
      <c r="C1790">
        <f>"1526001"</f>
        <v>0</v>
      </c>
      <c r="D1790">
        <v>3</v>
      </c>
      <c r="E1790">
        <v>1</v>
      </c>
      <c r="F1790" s="2">
        <v>5</v>
      </c>
      <c r="G1790">
        <v>1.33</v>
      </c>
      <c r="H1790">
        <v>3</v>
      </c>
      <c r="I1790">
        <v>0.1770042415241047</v>
      </c>
      <c r="J1790">
        <v>1</v>
      </c>
      <c r="K1790">
        <v>0</v>
      </c>
      <c r="L1790" s="2">
        <v>0</v>
      </c>
      <c r="M1790">
        <v>21.58</v>
      </c>
      <c r="N1790" t="s">
        <v>10236</v>
      </c>
    </row>
    <row r="1791" spans="1:14">
      <c r="A1791" t="s">
        <v>39</v>
      </c>
      <c r="B1791" t="s">
        <v>1958</v>
      </c>
      <c r="C1791">
        <f>"VALIM01006"</f>
        <v>0</v>
      </c>
      <c r="D1791">
        <v>3</v>
      </c>
      <c r="E1791">
        <v>6</v>
      </c>
      <c r="F1791" s="2">
        <v>23</v>
      </c>
      <c r="G1791">
        <v>8</v>
      </c>
      <c r="H1791">
        <v>2</v>
      </c>
      <c r="I1791">
        <v>0.1769907526802913</v>
      </c>
      <c r="J1791">
        <v>1</v>
      </c>
      <c r="K1791">
        <v>0</v>
      </c>
      <c r="L1791" s="2">
        <v>0</v>
      </c>
      <c r="M1791">
        <v>21.59</v>
      </c>
      <c r="N1791" t="s">
        <v>10236</v>
      </c>
    </row>
    <row r="1792" spans="1:14">
      <c r="A1792" t="s">
        <v>35</v>
      </c>
      <c r="B1792" t="s">
        <v>1959</v>
      </c>
      <c r="C1792">
        <f>"3103A"</f>
        <v>0</v>
      </c>
      <c r="D1792">
        <v>4</v>
      </c>
      <c r="E1792">
        <v>4</v>
      </c>
      <c r="F1792" s="2">
        <v>8</v>
      </c>
      <c r="G1792">
        <v>4</v>
      </c>
      <c r="H1792">
        <v>1</v>
      </c>
      <c r="I1792">
        <v>0.1769697189219599</v>
      </c>
      <c r="J1792">
        <v>1</v>
      </c>
      <c r="K1792">
        <v>0</v>
      </c>
      <c r="L1792" s="2">
        <v>0</v>
      </c>
      <c r="M1792">
        <v>21.59</v>
      </c>
      <c r="N1792" t="s">
        <v>10236</v>
      </c>
    </row>
    <row r="1793" spans="1:14">
      <c r="A1793" t="s">
        <v>25</v>
      </c>
      <c r="B1793" t="s">
        <v>1960</v>
      </c>
      <c r="C1793">
        <f>"ZVP4343"</f>
        <v>0</v>
      </c>
      <c r="D1793">
        <v>4</v>
      </c>
      <c r="E1793">
        <v>1</v>
      </c>
      <c r="F1793" s="2">
        <v>2</v>
      </c>
      <c r="G1793">
        <v>1</v>
      </c>
      <c r="H1793">
        <v>2</v>
      </c>
      <c r="I1793">
        <v>0.1769697189219599</v>
      </c>
      <c r="J1793">
        <v>1</v>
      </c>
      <c r="K1793">
        <v>0</v>
      </c>
      <c r="L1793" s="2">
        <v>0</v>
      </c>
      <c r="M1793">
        <v>21.6</v>
      </c>
      <c r="N1793" t="s">
        <v>10236</v>
      </c>
    </row>
    <row r="1794" spans="1:14">
      <c r="A1794" t="s">
        <v>35</v>
      </c>
      <c r="B1794" t="s">
        <v>1961</v>
      </c>
      <c r="C1794">
        <f>"870149"</f>
        <v>0</v>
      </c>
      <c r="D1794">
        <v>4</v>
      </c>
      <c r="E1794">
        <v>14</v>
      </c>
      <c r="F1794" s="2">
        <v>2</v>
      </c>
      <c r="G1794">
        <v>14</v>
      </c>
      <c r="H1794">
        <v>3</v>
      </c>
      <c r="I1794">
        <v>0.1769697189219599</v>
      </c>
      <c r="J1794">
        <v>1</v>
      </c>
      <c r="K1794">
        <v>0</v>
      </c>
      <c r="L1794" s="2">
        <v>0</v>
      </c>
      <c r="M1794">
        <v>21.61</v>
      </c>
      <c r="N1794" t="s">
        <v>10236</v>
      </c>
    </row>
    <row r="1795" spans="1:14">
      <c r="A1795" t="s">
        <v>213</v>
      </c>
      <c r="B1795" t="s">
        <v>1962</v>
      </c>
      <c r="C1795">
        <f>"402034"</f>
        <v>0</v>
      </c>
      <c r="D1795">
        <v>4</v>
      </c>
      <c r="E1795">
        <v>2</v>
      </c>
      <c r="F1795" s="2">
        <v>4</v>
      </c>
      <c r="G1795">
        <v>2</v>
      </c>
      <c r="H1795">
        <v>2</v>
      </c>
      <c r="I1795">
        <v>0.1769697189219599</v>
      </c>
      <c r="J1795">
        <v>1</v>
      </c>
      <c r="K1795">
        <v>0</v>
      </c>
      <c r="L1795" s="2">
        <v>0</v>
      </c>
      <c r="M1795">
        <v>21.62</v>
      </c>
      <c r="N1795" t="s">
        <v>10236</v>
      </c>
    </row>
    <row r="1796" spans="1:14">
      <c r="A1796" t="s">
        <v>32</v>
      </c>
      <c r="B1796" t="s">
        <v>1963</v>
      </c>
      <c r="C1796">
        <f>"5009535"</f>
        <v>0</v>
      </c>
      <c r="D1796">
        <v>4</v>
      </c>
      <c r="E1796">
        <v>4</v>
      </c>
      <c r="F1796" s="2">
        <v>3</v>
      </c>
      <c r="G1796">
        <v>4</v>
      </c>
      <c r="H1796">
        <v>2</v>
      </c>
      <c r="I1796">
        <v>0.1769697189219599</v>
      </c>
      <c r="J1796">
        <v>1</v>
      </c>
      <c r="K1796">
        <v>0</v>
      </c>
      <c r="L1796" s="2">
        <v>0</v>
      </c>
      <c r="M1796">
        <v>21.63</v>
      </c>
      <c r="N1796" t="s">
        <v>10236</v>
      </c>
    </row>
    <row r="1797" spans="1:14">
      <c r="A1797" t="s">
        <v>194</v>
      </c>
      <c r="B1797" t="s">
        <v>1964</v>
      </c>
      <c r="C1797">
        <f>"910015"</f>
        <v>0</v>
      </c>
      <c r="D1797">
        <v>4</v>
      </c>
      <c r="E1797">
        <v>2</v>
      </c>
      <c r="F1797" s="2">
        <v>35</v>
      </c>
      <c r="G1797">
        <v>2</v>
      </c>
      <c r="H1797">
        <v>2</v>
      </c>
      <c r="I1797">
        <v>0.1769697189219599</v>
      </c>
      <c r="J1797">
        <v>1</v>
      </c>
      <c r="K1797">
        <v>0</v>
      </c>
      <c r="L1797" s="2">
        <v>0</v>
      </c>
      <c r="M1797">
        <v>21.64</v>
      </c>
      <c r="N1797" t="s">
        <v>10236</v>
      </c>
    </row>
    <row r="1798" spans="1:14">
      <c r="A1798" t="s">
        <v>194</v>
      </c>
      <c r="B1798" t="s">
        <v>1965</v>
      </c>
      <c r="C1798">
        <f>"ATACP14KG"</f>
        <v>0</v>
      </c>
      <c r="D1798">
        <v>4</v>
      </c>
      <c r="E1798">
        <v>2</v>
      </c>
      <c r="F1798" s="2">
        <v>31</v>
      </c>
      <c r="G1798">
        <v>2</v>
      </c>
      <c r="H1798">
        <v>3</v>
      </c>
      <c r="I1798">
        <v>0.1769697189219599</v>
      </c>
      <c r="J1798">
        <v>1</v>
      </c>
      <c r="K1798">
        <v>0</v>
      </c>
      <c r="L1798" s="2">
        <v>0</v>
      </c>
      <c r="M1798">
        <v>21.65</v>
      </c>
      <c r="N1798" t="s">
        <v>10236</v>
      </c>
    </row>
    <row r="1799" spans="1:14">
      <c r="A1799" t="s">
        <v>24</v>
      </c>
      <c r="B1799" t="s">
        <v>1966</v>
      </c>
      <c r="C1799">
        <f>"1112302"</f>
        <v>0</v>
      </c>
      <c r="D1799">
        <v>4</v>
      </c>
      <c r="E1799">
        <v>2</v>
      </c>
      <c r="F1799" s="2">
        <v>5</v>
      </c>
      <c r="G1799">
        <v>2</v>
      </c>
      <c r="H1799">
        <v>2</v>
      </c>
      <c r="I1799">
        <v>0.1769697189219599</v>
      </c>
      <c r="J1799">
        <v>1</v>
      </c>
      <c r="K1799">
        <v>0</v>
      </c>
      <c r="L1799" s="2">
        <v>0</v>
      </c>
      <c r="M1799">
        <v>21.66</v>
      </c>
      <c r="N1799" t="s">
        <v>10236</v>
      </c>
    </row>
    <row r="1800" spans="1:14">
      <c r="A1800" t="s">
        <v>192</v>
      </c>
      <c r="B1800" t="s">
        <v>1967</v>
      </c>
      <c r="C1800">
        <f>"B101"</f>
        <v>0</v>
      </c>
      <c r="D1800">
        <v>4</v>
      </c>
      <c r="E1800">
        <v>2</v>
      </c>
      <c r="F1800" s="2">
        <v>360</v>
      </c>
      <c r="G1800">
        <v>2</v>
      </c>
      <c r="H1800">
        <v>2</v>
      </c>
      <c r="I1800">
        <v>0.1769697189219599</v>
      </c>
      <c r="J1800">
        <v>1</v>
      </c>
      <c r="K1800">
        <v>0</v>
      </c>
      <c r="L1800" s="2">
        <v>0</v>
      </c>
      <c r="M1800">
        <v>21.67</v>
      </c>
      <c r="N1800" t="s">
        <v>10236</v>
      </c>
    </row>
    <row r="1801" spans="1:14">
      <c r="A1801" t="s">
        <v>203</v>
      </c>
      <c r="B1801" t="s">
        <v>1968</v>
      </c>
      <c r="C1801">
        <f>"756106"</f>
        <v>0</v>
      </c>
      <c r="D1801">
        <v>4</v>
      </c>
      <c r="E1801">
        <v>1</v>
      </c>
      <c r="F1801" s="2">
        <v>2</v>
      </c>
      <c r="G1801">
        <v>1</v>
      </c>
      <c r="H1801">
        <v>1</v>
      </c>
      <c r="I1801">
        <v>0.1769697189219599</v>
      </c>
      <c r="J1801">
        <v>1</v>
      </c>
      <c r="K1801">
        <v>0</v>
      </c>
      <c r="L1801" s="2">
        <v>0</v>
      </c>
      <c r="M1801">
        <v>21.68</v>
      </c>
      <c r="N1801" t="s">
        <v>10236</v>
      </c>
    </row>
    <row r="1802" spans="1:14">
      <c r="A1802" t="s">
        <v>30</v>
      </c>
      <c r="B1802" t="s">
        <v>1969</v>
      </c>
      <c r="C1802">
        <f>"101202"</f>
        <v>0</v>
      </c>
      <c r="D1802">
        <v>4</v>
      </c>
      <c r="E1802">
        <v>13</v>
      </c>
      <c r="F1802" s="2">
        <v>3</v>
      </c>
      <c r="G1802">
        <v>13</v>
      </c>
      <c r="H1802">
        <v>2</v>
      </c>
      <c r="I1802">
        <v>0.1769697189219599</v>
      </c>
      <c r="J1802">
        <v>1</v>
      </c>
      <c r="K1802">
        <v>0</v>
      </c>
      <c r="L1802" s="2">
        <v>0</v>
      </c>
      <c r="M1802">
        <v>21.69</v>
      </c>
      <c r="N1802" t="s">
        <v>10236</v>
      </c>
    </row>
    <row r="1803" spans="1:14">
      <c r="A1803" t="s">
        <v>35</v>
      </c>
      <c r="B1803" t="s">
        <v>1970</v>
      </c>
      <c r="C1803">
        <f>"CK1025"</f>
        <v>0</v>
      </c>
      <c r="D1803">
        <v>4</v>
      </c>
      <c r="E1803">
        <v>4</v>
      </c>
      <c r="F1803" s="2">
        <v>1</v>
      </c>
      <c r="G1803">
        <v>4</v>
      </c>
      <c r="H1803">
        <v>3</v>
      </c>
      <c r="I1803">
        <v>0.1769697189219599</v>
      </c>
      <c r="J1803">
        <v>1</v>
      </c>
      <c r="K1803">
        <v>0</v>
      </c>
      <c r="L1803" s="2">
        <v>0</v>
      </c>
      <c r="M1803">
        <v>21.7</v>
      </c>
      <c r="N1803" t="s">
        <v>10236</v>
      </c>
    </row>
    <row r="1804" spans="1:14">
      <c r="A1804" t="s">
        <v>32</v>
      </c>
      <c r="B1804" t="s">
        <v>1971</v>
      </c>
      <c r="C1804">
        <f>"5006752"</f>
        <v>0</v>
      </c>
      <c r="D1804">
        <v>4</v>
      </c>
      <c r="E1804">
        <v>11</v>
      </c>
      <c r="F1804" s="2">
        <v>13</v>
      </c>
      <c r="G1804">
        <v>11</v>
      </c>
      <c r="H1804">
        <v>1</v>
      </c>
      <c r="I1804">
        <v>0.1769697189219599</v>
      </c>
      <c r="J1804">
        <v>1</v>
      </c>
      <c r="K1804">
        <v>0</v>
      </c>
      <c r="L1804" s="2">
        <v>0</v>
      </c>
      <c r="M1804">
        <v>21.71</v>
      </c>
      <c r="N1804" t="s">
        <v>10236</v>
      </c>
    </row>
    <row r="1805" spans="1:14">
      <c r="A1805" t="s">
        <v>193</v>
      </c>
      <c r="B1805" t="s">
        <v>1972</v>
      </c>
      <c r="C1805">
        <f>"564950"</f>
        <v>0</v>
      </c>
      <c r="D1805">
        <v>4</v>
      </c>
      <c r="E1805">
        <v>2</v>
      </c>
      <c r="F1805" s="2">
        <v>5</v>
      </c>
      <c r="G1805">
        <v>2</v>
      </c>
      <c r="H1805">
        <v>2</v>
      </c>
      <c r="I1805">
        <v>0.1769697189219599</v>
      </c>
      <c r="J1805">
        <v>1</v>
      </c>
      <c r="K1805">
        <v>0</v>
      </c>
      <c r="L1805" s="2">
        <v>0</v>
      </c>
      <c r="M1805">
        <v>21.72</v>
      </c>
      <c r="N1805" t="s">
        <v>10236</v>
      </c>
    </row>
    <row r="1806" spans="1:14">
      <c r="A1806" t="s">
        <v>24</v>
      </c>
      <c r="B1806" t="s">
        <v>1973</v>
      </c>
      <c r="C1806">
        <f>"DPI075"</f>
        <v>0</v>
      </c>
      <c r="D1806">
        <v>4</v>
      </c>
      <c r="E1806">
        <v>16</v>
      </c>
      <c r="F1806" s="2">
        <v>4</v>
      </c>
      <c r="G1806">
        <v>16</v>
      </c>
      <c r="H1806">
        <v>3</v>
      </c>
      <c r="I1806">
        <v>0.1769697189219599</v>
      </c>
      <c r="J1806">
        <v>1</v>
      </c>
      <c r="K1806">
        <v>0</v>
      </c>
      <c r="L1806" s="2">
        <v>0</v>
      </c>
      <c r="M1806">
        <v>21.73</v>
      </c>
      <c r="N1806" t="s">
        <v>10236</v>
      </c>
    </row>
    <row r="1807" spans="1:14">
      <c r="A1807" t="s">
        <v>192</v>
      </c>
      <c r="B1807" t="s">
        <v>1974</v>
      </c>
      <c r="C1807">
        <f>"6459"</f>
        <v>0</v>
      </c>
      <c r="D1807">
        <v>4</v>
      </c>
      <c r="E1807">
        <v>2</v>
      </c>
      <c r="F1807" s="2">
        <v>495</v>
      </c>
      <c r="G1807">
        <v>2</v>
      </c>
      <c r="H1807">
        <v>2</v>
      </c>
      <c r="I1807">
        <v>0.1769697189219599</v>
      </c>
      <c r="J1807">
        <v>1</v>
      </c>
      <c r="K1807">
        <v>0</v>
      </c>
      <c r="L1807" s="2">
        <v>0</v>
      </c>
      <c r="M1807">
        <v>21.74</v>
      </c>
      <c r="N1807" t="s">
        <v>10236</v>
      </c>
    </row>
    <row r="1808" spans="1:14">
      <c r="A1808" t="s">
        <v>27</v>
      </c>
      <c r="B1808" t="s">
        <v>1975</v>
      </c>
      <c r="C1808">
        <f>"USD605"</f>
        <v>0</v>
      </c>
      <c r="D1808">
        <v>4</v>
      </c>
      <c r="E1808">
        <v>7</v>
      </c>
      <c r="F1808" s="2">
        <v>3</v>
      </c>
      <c r="G1808">
        <v>7</v>
      </c>
      <c r="H1808">
        <v>2</v>
      </c>
      <c r="I1808">
        <v>0.1769697189219599</v>
      </c>
      <c r="J1808">
        <v>1</v>
      </c>
      <c r="K1808">
        <v>0</v>
      </c>
      <c r="L1808" s="2">
        <v>0</v>
      </c>
      <c r="M1808">
        <v>21.74</v>
      </c>
      <c r="N1808" t="s">
        <v>10236</v>
      </c>
    </row>
    <row r="1809" spans="1:14">
      <c r="A1809" t="s">
        <v>38</v>
      </c>
      <c r="B1809" t="s">
        <v>1976</v>
      </c>
      <c r="C1809">
        <f>"1001130"</f>
        <v>0</v>
      </c>
      <c r="D1809">
        <v>4</v>
      </c>
      <c r="E1809">
        <v>27</v>
      </c>
      <c r="F1809" s="2">
        <v>2</v>
      </c>
      <c r="G1809">
        <v>27</v>
      </c>
      <c r="H1809">
        <v>3</v>
      </c>
      <c r="I1809">
        <v>0.1769697189219599</v>
      </c>
      <c r="J1809">
        <v>1</v>
      </c>
      <c r="K1809">
        <v>0</v>
      </c>
      <c r="L1809" s="2">
        <v>0</v>
      </c>
      <c r="M1809">
        <v>21.75</v>
      </c>
      <c r="N1809" t="s">
        <v>10236</v>
      </c>
    </row>
    <row r="1810" spans="1:14">
      <c r="A1810" t="s">
        <v>192</v>
      </c>
      <c r="B1810" t="s">
        <v>1977</v>
      </c>
      <c r="C1810">
        <f>"MP011"</f>
        <v>0</v>
      </c>
      <c r="D1810">
        <v>4</v>
      </c>
      <c r="E1810">
        <v>6</v>
      </c>
      <c r="F1810" s="2">
        <v>2</v>
      </c>
      <c r="G1810">
        <v>6</v>
      </c>
      <c r="H1810">
        <v>2</v>
      </c>
      <c r="I1810">
        <v>0.1769697189219599</v>
      </c>
      <c r="J1810">
        <v>1</v>
      </c>
      <c r="K1810">
        <v>0</v>
      </c>
      <c r="L1810" s="2">
        <v>0</v>
      </c>
      <c r="M1810">
        <v>21.76</v>
      </c>
      <c r="N1810" t="s">
        <v>10236</v>
      </c>
    </row>
    <row r="1811" spans="1:14">
      <c r="A1811" t="s">
        <v>27</v>
      </c>
      <c r="B1811" t="s">
        <v>1978</v>
      </c>
      <c r="C1811">
        <f>"USA611"</f>
        <v>0</v>
      </c>
      <c r="D1811">
        <v>4</v>
      </c>
      <c r="E1811">
        <v>9</v>
      </c>
      <c r="F1811" s="2">
        <v>4</v>
      </c>
      <c r="G1811">
        <v>9</v>
      </c>
      <c r="H1811">
        <v>2</v>
      </c>
      <c r="I1811">
        <v>0.1769697189219599</v>
      </c>
      <c r="J1811">
        <v>1</v>
      </c>
      <c r="K1811">
        <v>0</v>
      </c>
      <c r="L1811" s="2">
        <v>0</v>
      </c>
      <c r="M1811">
        <v>21.77</v>
      </c>
      <c r="N1811" t="s">
        <v>10236</v>
      </c>
    </row>
    <row r="1812" spans="1:14">
      <c r="A1812" t="s">
        <v>35</v>
      </c>
      <c r="B1812" t="s">
        <v>1979</v>
      </c>
      <c r="C1812">
        <f>"sdr114"</f>
        <v>0</v>
      </c>
      <c r="D1812">
        <v>4</v>
      </c>
      <c r="E1812">
        <v>18</v>
      </c>
      <c r="F1812" s="2">
        <v>1</v>
      </c>
      <c r="G1812">
        <v>18</v>
      </c>
      <c r="H1812">
        <v>2</v>
      </c>
      <c r="I1812">
        <v>0.1769697189219599</v>
      </c>
      <c r="J1812">
        <v>1</v>
      </c>
      <c r="K1812">
        <v>0</v>
      </c>
      <c r="L1812" s="2">
        <v>0</v>
      </c>
      <c r="M1812">
        <v>21.78</v>
      </c>
      <c r="N1812" t="s">
        <v>10236</v>
      </c>
    </row>
    <row r="1813" spans="1:14">
      <c r="A1813" t="s">
        <v>26</v>
      </c>
      <c r="B1813" t="s">
        <v>1980</v>
      </c>
      <c r="C1813">
        <f>"NC3KG"</f>
        <v>0</v>
      </c>
      <c r="D1813">
        <v>4</v>
      </c>
      <c r="E1813">
        <v>4</v>
      </c>
      <c r="F1813" s="2">
        <v>8</v>
      </c>
      <c r="G1813">
        <v>4</v>
      </c>
      <c r="H1813">
        <v>2</v>
      </c>
      <c r="I1813">
        <v>0.1769697189219599</v>
      </c>
      <c r="J1813">
        <v>1</v>
      </c>
      <c r="K1813">
        <v>0</v>
      </c>
      <c r="L1813" s="2">
        <v>0</v>
      </c>
      <c r="M1813">
        <v>21.79</v>
      </c>
      <c r="N1813" t="s">
        <v>10236</v>
      </c>
    </row>
    <row r="1814" spans="1:14">
      <c r="A1814" t="s">
        <v>25</v>
      </c>
      <c r="B1814" t="s">
        <v>1981</v>
      </c>
      <c r="C1814">
        <f>"LS111AM"</f>
        <v>0</v>
      </c>
      <c r="D1814">
        <v>4</v>
      </c>
      <c r="E1814">
        <v>3</v>
      </c>
      <c r="F1814" s="2">
        <v>1</v>
      </c>
      <c r="G1814">
        <v>3</v>
      </c>
      <c r="H1814">
        <v>2</v>
      </c>
      <c r="I1814">
        <v>0.1769697189219599</v>
      </c>
      <c r="J1814">
        <v>1</v>
      </c>
      <c r="K1814">
        <v>0</v>
      </c>
      <c r="L1814" s="2">
        <v>0</v>
      </c>
      <c r="M1814">
        <v>21.8</v>
      </c>
      <c r="N1814" t="s">
        <v>10236</v>
      </c>
    </row>
    <row r="1815" spans="1:14">
      <c r="A1815" t="s">
        <v>29</v>
      </c>
      <c r="B1815" t="s">
        <v>1982</v>
      </c>
      <c r="C1815">
        <f>"CH10026"</f>
        <v>0</v>
      </c>
      <c r="D1815">
        <v>4</v>
      </c>
      <c r="E1815">
        <v>2</v>
      </c>
      <c r="F1815" s="2">
        <v>4</v>
      </c>
      <c r="G1815">
        <v>2</v>
      </c>
      <c r="H1815">
        <v>1</v>
      </c>
      <c r="I1815">
        <v>0.1769697189219599</v>
      </c>
      <c r="J1815">
        <v>1</v>
      </c>
      <c r="K1815">
        <v>0</v>
      </c>
      <c r="L1815" s="2">
        <v>0</v>
      </c>
      <c r="M1815">
        <v>21.81</v>
      </c>
      <c r="N1815" t="s">
        <v>10236</v>
      </c>
    </row>
    <row r="1816" spans="1:14">
      <c r="A1816" t="s">
        <v>35</v>
      </c>
      <c r="B1816" t="s">
        <v>1983</v>
      </c>
      <c r="C1816">
        <f>"LWT0110"</f>
        <v>0</v>
      </c>
      <c r="D1816">
        <v>4</v>
      </c>
      <c r="E1816">
        <v>9</v>
      </c>
      <c r="F1816" s="2">
        <v>2</v>
      </c>
      <c r="G1816">
        <v>9</v>
      </c>
      <c r="H1816">
        <v>2</v>
      </c>
      <c r="I1816">
        <v>0.1769697189219599</v>
      </c>
      <c r="J1816">
        <v>1</v>
      </c>
      <c r="K1816">
        <v>0</v>
      </c>
      <c r="L1816" s="2">
        <v>0</v>
      </c>
      <c r="M1816">
        <v>21.82</v>
      </c>
      <c r="N1816" t="s">
        <v>10236</v>
      </c>
    </row>
    <row r="1817" spans="1:14">
      <c r="A1817" t="s">
        <v>35</v>
      </c>
      <c r="B1817" t="s">
        <v>1984</v>
      </c>
      <c r="C1817">
        <f>"DT641LG"</f>
        <v>0</v>
      </c>
      <c r="D1817">
        <v>4</v>
      </c>
      <c r="E1817">
        <v>43</v>
      </c>
      <c r="F1817" s="2">
        <v>3</v>
      </c>
      <c r="G1817">
        <v>43</v>
      </c>
      <c r="H1817">
        <v>3</v>
      </c>
      <c r="I1817">
        <v>0.1769697189219599</v>
      </c>
      <c r="J1817">
        <v>1</v>
      </c>
      <c r="K1817">
        <v>0</v>
      </c>
      <c r="L1817" s="2">
        <v>0</v>
      </c>
      <c r="M1817">
        <v>21.83</v>
      </c>
      <c r="N1817" t="s">
        <v>10236</v>
      </c>
    </row>
    <row r="1818" spans="1:14">
      <c r="A1818" t="s">
        <v>24</v>
      </c>
      <c r="B1818" t="s">
        <v>1985</v>
      </c>
      <c r="C1818">
        <f>"1111201"</f>
        <v>0</v>
      </c>
      <c r="D1818">
        <v>4</v>
      </c>
      <c r="E1818">
        <v>2</v>
      </c>
      <c r="F1818" s="2">
        <v>6</v>
      </c>
      <c r="G1818">
        <v>2</v>
      </c>
      <c r="H1818">
        <v>1</v>
      </c>
      <c r="I1818">
        <v>0.1769697189219599</v>
      </c>
      <c r="J1818">
        <v>1</v>
      </c>
      <c r="K1818">
        <v>0</v>
      </c>
      <c r="L1818" s="2">
        <v>0</v>
      </c>
      <c r="M1818">
        <v>21.84</v>
      </c>
      <c r="N1818" t="s">
        <v>10236</v>
      </c>
    </row>
    <row r="1819" spans="1:14">
      <c r="A1819" t="s">
        <v>29</v>
      </c>
      <c r="B1819" t="s">
        <v>1986</v>
      </c>
      <c r="C1819">
        <f>"77175"</f>
        <v>0</v>
      </c>
      <c r="D1819">
        <v>4</v>
      </c>
      <c r="E1819">
        <v>4</v>
      </c>
      <c r="F1819" s="2">
        <v>5</v>
      </c>
      <c r="G1819">
        <v>4</v>
      </c>
      <c r="H1819">
        <v>3</v>
      </c>
      <c r="I1819">
        <v>0.1769697189219599</v>
      </c>
      <c r="J1819">
        <v>1</v>
      </c>
      <c r="K1819">
        <v>0</v>
      </c>
      <c r="L1819" s="2">
        <v>0</v>
      </c>
      <c r="M1819">
        <v>21.85</v>
      </c>
      <c r="N1819" t="s">
        <v>10236</v>
      </c>
    </row>
    <row r="1820" spans="1:14">
      <c r="A1820" t="s">
        <v>27</v>
      </c>
      <c r="B1820" t="s">
        <v>1987</v>
      </c>
      <c r="C1820">
        <f>"ALUC07"</f>
        <v>0</v>
      </c>
      <c r="D1820">
        <v>4</v>
      </c>
      <c r="E1820">
        <v>5</v>
      </c>
      <c r="F1820" s="2">
        <v>6</v>
      </c>
      <c r="G1820">
        <v>5</v>
      </c>
      <c r="H1820">
        <v>3</v>
      </c>
      <c r="I1820">
        <v>0.1769697189219599</v>
      </c>
      <c r="J1820">
        <v>1</v>
      </c>
      <c r="K1820">
        <v>0</v>
      </c>
      <c r="L1820" s="2">
        <v>0</v>
      </c>
      <c r="M1820">
        <v>21.86</v>
      </c>
      <c r="N1820" t="s">
        <v>10236</v>
      </c>
    </row>
    <row r="1821" spans="1:14">
      <c r="A1821" t="s">
        <v>35</v>
      </c>
      <c r="B1821" t="s">
        <v>1988</v>
      </c>
      <c r="C1821">
        <f>"TQ077C"</f>
        <v>0</v>
      </c>
      <c r="D1821">
        <v>4</v>
      </c>
      <c r="E1821">
        <v>18</v>
      </c>
      <c r="F1821" s="2">
        <v>0</v>
      </c>
      <c r="G1821">
        <v>18</v>
      </c>
      <c r="H1821">
        <v>3</v>
      </c>
      <c r="I1821">
        <v>0.1769697189219599</v>
      </c>
      <c r="J1821">
        <v>1</v>
      </c>
      <c r="K1821">
        <v>0</v>
      </c>
      <c r="L1821" s="2">
        <v>0</v>
      </c>
      <c r="M1821">
        <v>21.87</v>
      </c>
      <c r="N1821" t="s">
        <v>10236</v>
      </c>
    </row>
    <row r="1822" spans="1:14">
      <c r="A1822" t="s">
        <v>30</v>
      </c>
      <c r="B1822" t="s">
        <v>1989</v>
      </c>
      <c r="C1822">
        <f>"100737"</f>
        <v>0</v>
      </c>
      <c r="D1822">
        <v>4</v>
      </c>
      <c r="E1822">
        <v>5</v>
      </c>
      <c r="F1822" s="2">
        <v>27</v>
      </c>
      <c r="G1822">
        <v>5</v>
      </c>
      <c r="H1822">
        <v>2</v>
      </c>
      <c r="I1822">
        <v>0.1769697189219599</v>
      </c>
      <c r="J1822">
        <v>1</v>
      </c>
      <c r="K1822">
        <v>0</v>
      </c>
      <c r="L1822" s="2">
        <v>0</v>
      </c>
      <c r="M1822">
        <v>21.88</v>
      </c>
      <c r="N1822" t="s">
        <v>10236</v>
      </c>
    </row>
    <row r="1823" spans="1:14">
      <c r="A1823" t="s">
        <v>29</v>
      </c>
      <c r="B1823" t="s">
        <v>1990</v>
      </c>
      <c r="C1823">
        <f>"PMF100"</f>
        <v>0</v>
      </c>
      <c r="D1823">
        <v>4</v>
      </c>
      <c r="E1823">
        <v>2</v>
      </c>
      <c r="F1823" s="2">
        <v>1</v>
      </c>
      <c r="G1823">
        <v>2</v>
      </c>
      <c r="H1823">
        <v>1</v>
      </c>
      <c r="I1823">
        <v>0.1769697189219599</v>
      </c>
      <c r="J1823">
        <v>1</v>
      </c>
      <c r="K1823">
        <v>0</v>
      </c>
      <c r="L1823" s="2">
        <v>0</v>
      </c>
      <c r="M1823">
        <v>21.89</v>
      </c>
      <c r="N1823" t="s">
        <v>10236</v>
      </c>
    </row>
    <row r="1824" spans="1:14">
      <c r="A1824" t="s">
        <v>35</v>
      </c>
      <c r="B1824" t="s">
        <v>1991</v>
      </c>
      <c r="C1824">
        <f>"ZSQ02"</f>
        <v>0</v>
      </c>
      <c r="D1824">
        <v>4</v>
      </c>
      <c r="E1824">
        <v>2</v>
      </c>
      <c r="F1824" s="2">
        <v>1</v>
      </c>
      <c r="G1824">
        <v>2</v>
      </c>
      <c r="H1824">
        <v>3</v>
      </c>
      <c r="I1824">
        <v>0.1769697189219599</v>
      </c>
      <c r="J1824">
        <v>1</v>
      </c>
      <c r="K1824">
        <v>0</v>
      </c>
      <c r="L1824" s="2">
        <v>0</v>
      </c>
      <c r="M1824">
        <v>21.89</v>
      </c>
      <c r="N1824" t="s">
        <v>10236</v>
      </c>
    </row>
    <row r="1825" spans="1:14">
      <c r="A1825" t="s">
        <v>29</v>
      </c>
      <c r="B1825" t="s">
        <v>1992</v>
      </c>
      <c r="C1825">
        <f>"MC110"</f>
        <v>0</v>
      </c>
      <c r="D1825">
        <v>4</v>
      </c>
      <c r="E1825">
        <v>4</v>
      </c>
      <c r="F1825" s="2">
        <v>1</v>
      </c>
      <c r="G1825">
        <v>4</v>
      </c>
      <c r="H1825">
        <v>2</v>
      </c>
      <c r="I1825">
        <v>0.1769697189219599</v>
      </c>
      <c r="J1825">
        <v>1</v>
      </c>
      <c r="K1825">
        <v>0</v>
      </c>
      <c r="L1825" s="2">
        <v>0</v>
      </c>
      <c r="M1825">
        <v>21.9</v>
      </c>
      <c r="N1825" t="s">
        <v>10236</v>
      </c>
    </row>
    <row r="1826" spans="1:14">
      <c r="A1826" t="s">
        <v>25</v>
      </c>
      <c r="B1826" t="s">
        <v>1993</v>
      </c>
      <c r="C1826">
        <f>"M020"</f>
        <v>0</v>
      </c>
      <c r="D1826">
        <v>4</v>
      </c>
      <c r="E1826">
        <v>2</v>
      </c>
      <c r="F1826" s="2">
        <v>12</v>
      </c>
      <c r="G1826">
        <v>2</v>
      </c>
      <c r="H1826">
        <v>2</v>
      </c>
      <c r="I1826">
        <v>0.1769697189219599</v>
      </c>
      <c r="J1826">
        <v>1</v>
      </c>
      <c r="K1826">
        <v>0</v>
      </c>
      <c r="L1826" s="2">
        <v>0</v>
      </c>
      <c r="M1826">
        <v>21.91</v>
      </c>
      <c r="N1826" t="s">
        <v>10236</v>
      </c>
    </row>
    <row r="1827" spans="1:14">
      <c r="A1827" t="s">
        <v>24</v>
      </c>
      <c r="B1827" t="s">
        <v>1994</v>
      </c>
      <c r="C1827">
        <f>"DPI097"</f>
        <v>0</v>
      </c>
      <c r="D1827">
        <v>4</v>
      </c>
      <c r="E1827">
        <v>3</v>
      </c>
      <c r="F1827" s="2">
        <v>4</v>
      </c>
      <c r="G1827">
        <v>3</v>
      </c>
      <c r="H1827">
        <v>3</v>
      </c>
      <c r="I1827">
        <v>0.1769697189219599</v>
      </c>
      <c r="J1827">
        <v>1</v>
      </c>
      <c r="K1827">
        <v>0</v>
      </c>
      <c r="L1827" s="2">
        <v>0</v>
      </c>
      <c r="M1827">
        <v>21.92</v>
      </c>
      <c r="N1827" t="s">
        <v>10236</v>
      </c>
    </row>
    <row r="1828" spans="1:14">
      <c r="A1828" t="s">
        <v>194</v>
      </c>
      <c r="B1828" t="s">
        <v>1995</v>
      </c>
      <c r="C1828">
        <f>"123121"</f>
        <v>0</v>
      </c>
      <c r="D1828">
        <v>4</v>
      </c>
      <c r="E1828">
        <v>3</v>
      </c>
      <c r="F1828" s="2">
        <v>15</v>
      </c>
      <c r="G1828">
        <v>3</v>
      </c>
      <c r="H1828">
        <v>2</v>
      </c>
      <c r="I1828">
        <v>0.1769697189219599</v>
      </c>
      <c r="J1828">
        <v>1</v>
      </c>
      <c r="K1828">
        <v>0</v>
      </c>
      <c r="L1828" s="2">
        <v>0</v>
      </c>
      <c r="M1828">
        <v>21.93</v>
      </c>
      <c r="N1828" t="s">
        <v>10236</v>
      </c>
    </row>
    <row r="1829" spans="1:14">
      <c r="A1829" t="s">
        <v>38</v>
      </c>
      <c r="B1829" t="s">
        <v>1996</v>
      </c>
      <c r="C1829">
        <f>"1003763"</f>
        <v>0</v>
      </c>
      <c r="D1829">
        <v>4</v>
      </c>
      <c r="E1829">
        <v>2</v>
      </c>
      <c r="F1829" s="2">
        <v>4</v>
      </c>
      <c r="G1829">
        <v>2</v>
      </c>
      <c r="H1829">
        <v>2</v>
      </c>
      <c r="I1829">
        <v>0.1769697189219599</v>
      </c>
      <c r="J1829">
        <v>1</v>
      </c>
      <c r="K1829">
        <v>0</v>
      </c>
      <c r="L1829" s="2">
        <v>0</v>
      </c>
      <c r="M1829">
        <v>21.94</v>
      </c>
      <c r="N1829" t="s">
        <v>10236</v>
      </c>
    </row>
    <row r="1830" spans="1:14">
      <c r="A1830" t="s">
        <v>221</v>
      </c>
      <c r="B1830" t="s">
        <v>1997</v>
      </c>
      <c r="C1830">
        <f>"132134"</f>
        <v>0</v>
      </c>
      <c r="D1830">
        <v>4</v>
      </c>
      <c r="E1830">
        <v>12</v>
      </c>
      <c r="F1830" s="2">
        <v>2</v>
      </c>
      <c r="G1830">
        <v>12</v>
      </c>
      <c r="H1830">
        <v>1</v>
      </c>
      <c r="I1830">
        <v>0.1769697189219599</v>
      </c>
      <c r="J1830">
        <v>1</v>
      </c>
      <c r="K1830">
        <v>0</v>
      </c>
      <c r="L1830" s="2">
        <v>0</v>
      </c>
      <c r="M1830">
        <v>21.95</v>
      </c>
      <c r="N1830" t="s">
        <v>10236</v>
      </c>
    </row>
    <row r="1831" spans="1:14">
      <c r="A1831" t="s">
        <v>38</v>
      </c>
      <c r="B1831" t="s">
        <v>1998</v>
      </c>
      <c r="C1831">
        <f>"BJRFF"</f>
        <v>0</v>
      </c>
      <c r="D1831">
        <v>4</v>
      </c>
      <c r="E1831">
        <v>3</v>
      </c>
      <c r="F1831" s="2">
        <v>12</v>
      </c>
      <c r="G1831">
        <v>3</v>
      </c>
      <c r="H1831">
        <v>2</v>
      </c>
      <c r="I1831">
        <v>0.1769697189219599</v>
      </c>
      <c r="J1831">
        <v>1</v>
      </c>
      <c r="K1831">
        <v>0</v>
      </c>
      <c r="L1831" s="2">
        <v>0</v>
      </c>
      <c r="M1831">
        <v>21.96</v>
      </c>
      <c r="N1831" t="s">
        <v>10236</v>
      </c>
    </row>
    <row r="1832" spans="1:14">
      <c r="A1832" t="s">
        <v>24</v>
      </c>
      <c r="B1832" t="s">
        <v>1999</v>
      </c>
      <c r="C1832">
        <f>"1142001"</f>
        <v>0</v>
      </c>
      <c r="D1832">
        <v>4</v>
      </c>
      <c r="E1832">
        <v>7</v>
      </c>
      <c r="F1832" s="2">
        <v>5</v>
      </c>
      <c r="G1832">
        <v>7</v>
      </c>
      <c r="H1832">
        <v>3</v>
      </c>
      <c r="I1832">
        <v>0.1769697189219599</v>
      </c>
      <c r="J1832">
        <v>1</v>
      </c>
      <c r="K1832">
        <v>0</v>
      </c>
      <c r="L1832" s="2">
        <v>0</v>
      </c>
      <c r="M1832">
        <v>21.97</v>
      </c>
      <c r="N1832" t="s">
        <v>10236</v>
      </c>
    </row>
    <row r="1833" spans="1:14">
      <c r="A1833" t="s">
        <v>35</v>
      </c>
      <c r="B1833" t="s">
        <v>2000</v>
      </c>
      <c r="C1833">
        <f>"NO46FECA"</f>
        <v>0</v>
      </c>
      <c r="D1833">
        <v>4</v>
      </c>
      <c r="E1833">
        <v>1</v>
      </c>
      <c r="F1833" s="2">
        <v>765</v>
      </c>
      <c r="G1833">
        <v>1</v>
      </c>
      <c r="H1833">
        <v>2</v>
      </c>
      <c r="I1833">
        <v>0.1769697189219599</v>
      </c>
      <c r="J1833">
        <v>1</v>
      </c>
      <c r="K1833">
        <v>0</v>
      </c>
      <c r="L1833" s="2">
        <v>0</v>
      </c>
      <c r="M1833">
        <v>21.98</v>
      </c>
      <c r="N1833" t="s">
        <v>10236</v>
      </c>
    </row>
    <row r="1834" spans="1:14">
      <c r="A1834" t="s">
        <v>25</v>
      </c>
      <c r="B1834" t="s">
        <v>2001</v>
      </c>
      <c r="C1834">
        <f>"LN104"</f>
        <v>0</v>
      </c>
      <c r="D1834">
        <v>4</v>
      </c>
      <c r="E1834">
        <v>4</v>
      </c>
      <c r="F1834" s="2">
        <v>2</v>
      </c>
      <c r="G1834">
        <v>4</v>
      </c>
      <c r="H1834">
        <v>3</v>
      </c>
      <c r="I1834">
        <v>0.1769697189219599</v>
      </c>
      <c r="J1834">
        <v>1</v>
      </c>
      <c r="K1834">
        <v>0</v>
      </c>
      <c r="L1834" s="2">
        <v>0</v>
      </c>
      <c r="M1834">
        <v>21.99</v>
      </c>
      <c r="N1834" t="s">
        <v>10236</v>
      </c>
    </row>
    <row r="1835" spans="1:14">
      <c r="A1835" t="s">
        <v>25</v>
      </c>
      <c r="B1835" t="s">
        <v>2002</v>
      </c>
      <c r="C1835">
        <f>"AYCS200"</f>
        <v>0</v>
      </c>
      <c r="D1835">
        <v>4</v>
      </c>
      <c r="E1835">
        <v>26</v>
      </c>
      <c r="F1835" s="2">
        <v>3</v>
      </c>
      <c r="G1835">
        <v>26</v>
      </c>
      <c r="H1835">
        <v>1</v>
      </c>
      <c r="I1835">
        <v>0.1769697189219599</v>
      </c>
      <c r="J1835">
        <v>1</v>
      </c>
      <c r="K1835">
        <v>0</v>
      </c>
      <c r="L1835" s="2">
        <v>0</v>
      </c>
      <c r="M1835">
        <v>22</v>
      </c>
      <c r="N1835" t="s">
        <v>10236</v>
      </c>
    </row>
    <row r="1836" spans="1:14">
      <c r="A1836" t="s">
        <v>202</v>
      </c>
      <c r="B1836" t="s">
        <v>2003</v>
      </c>
      <c r="C1836">
        <f>"11004033"</f>
        <v>0</v>
      </c>
      <c r="D1836">
        <v>4</v>
      </c>
      <c r="E1836">
        <v>4</v>
      </c>
      <c r="F1836" s="2">
        <v>3</v>
      </c>
      <c r="G1836">
        <v>4</v>
      </c>
      <c r="H1836">
        <v>1</v>
      </c>
      <c r="I1836">
        <v>0.1769697189219599</v>
      </c>
      <c r="J1836">
        <v>1</v>
      </c>
      <c r="K1836">
        <v>0</v>
      </c>
      <c r="L1836" s="2">
        <v>0</v>
      </c>
      <c r="M1836">
        <v>22.01</v>
      </c>
      <c r="N1836" t="s">
        <v>10236</v>
      </c>
    </row>
    <row r="1837" spans="1:14">
      <c r="A1837" t="s">
        <v>35</v>
      </c>
      <c r="B1837" t="s">
        <v>2004</v>
      </c>
      <c r="C1837">
        <f>"W0055"</f>
        <v>0</v>
      </c>
      <c r="D1837">
        <v>4</v>
      </c>
      <c r="E1837">
        <v>3</v>
      </c>
      <c r="F1837" s="2">
        <v>3</v>
      </c>
      <c r="G1837">
        <v>3</v>
      </c>
      <c r="H1837">
        <v>2</v>
      </c>
      <c r="I1837">
        <v>0.1769697189219599</v>
      </c>
      <c r="J1837">
        <v>1</v>
      </c>
      <c r="K1837">
        <v>0</v>
      </c>
      <c r="L1837" s="2">
        <v>0</v>
      </c>
      <c r="M1837">
        <v>22.02</v>
      </c>
      <c r="N1837" t="s">
        <v>10236</v>
      </c>
    </row>
    <row r="1838" spans="1:14">
      <c r="A1838" t="s">
        <v>24</v>
      </c>
      <c r="B1838" t="s">
        <v>2005</v>
      </c>
      <c r="C1838">
        <f>"1111601"</f>
        <v>0</v>
      </c>
      <c r="D1838">
        <v>4</v>
      </c>
      <c r="E1838">
        <v>2</v>
      </c>
      <c r="F1838" s="2">
        <v>4</v>
      </c>
      <c r="G1838">
        <v>2</v>
      </c>
      <c r="H1838">
        <v>2</v>
      </c>
      <c r="I1838">
        <v>0.1769697189219599</v>
      </c>
      <c r="J1838">
        <v>1</v>
      </c>
      <c r="K1838">
        <v>0</v>
      </c>
      <c r="L1838" s="2">
        <v>0</v>
      </c>
      <c r="M1838">
        <v>22.03</v>
      </c>
      <c r="N1838" t="s">
        <v>10236</v>
      </c>
    </row>
    <row r="1839" spans="1:14">
      <c r="A1839" t="s">
        <v>37</v>
      </c>
      <c r="B1839" t="s">
        <v>2006</v>
      </c>
      <c r="C1839">
        <f>"573805"</f>
        <v>0</v>
      </c>
      <c r="D1839">
        <v>4</v>
      </c>
      <c r="E1839">
        <v>1</v>
      </c>
      <c r="F1839" s="2">
        <v>2</v>
      </c>
      <c r="G1839">
        <v>1</v>
      </c>
      <c r="H1839">
        <v>1</v>
      </c>
      <c r="I1839">
        <v>0.1769697189219599</v>
      </c>
      <c r="J1839">
        <v>1</v>
      </c>
      <c r="K1839">
        <v>0</v>
      </c>
      <c r="L1839" s="2">
        <v>0</v>
      </c>
      <c r="M1839">
        <v>22.03</v>
      </c>
      <c r="N1839" t="s">
        <v>10236</v>
      </c>
    </row>
    <row r="1840" spans="1:14">
      <c r="A1840" t="s">
        <v>25</v>
      </c>
      <c r="B1840" t="s">
        <v>2007</v>
      </c>
      <c r="C1840">
        <f>"YB0761"</f>
        <v>0</v>
      </c>
      <c r="D1840">
        <v>4</v>
      </c>
      <c r="E1840">
        <v>1</v>
      </c>
      <c r="F1840" s="2">
        <v>21</v>
      </c>
      <c r="G1840">
        <v>1</v>
      </c>
      <c r="H1840">
        <v>1</v>
      </c>
      <c r="I1840">
        <v>0.1769697189219599</v>
      </c>
      <c r="J1840">
        <v>1</v>
      </c>
      <c r="K1840">
        <v>0</v>
      </c>
      <c r="L1840" s="2">
        <v>0</v>
      </c>
      <c r="M1840">
        <v>22.04</v>
      </c>
      <c r="N1840" t="s">
        <v>10236</v>
      </c>
    </row>
    <row r="1841" spans="1:14">
      <c r="A1841" t="s">
        <v>36</v>
      </c>
      <c r="B1841" t="s">
        <v>2008</v>
      </c>
      <c r="C1841">
        <f>"87059596"</f>
        <v>0</v>
      </c>
      <c r="D1841">
        <v>4</v>
      </c>
      <c r="E1841">
        <v>6</v>
      </c>
      <c r="F1841" s="2">
        <v>7</v>
      </c>
      <c r="G1841">
        <v>6</v>
      </c>
      <c r="H1841">
        <v>1</v>
      </c>
      <c r="I1841">
        <v>0.1769697189219599</v>
      </c>
      <c r="J1841">
        <v>1</v>
      </c>
      <c r="K1841">
        <v>0</v>
      </c>
      <c r="L1841" s="2">
        <v>0</v>
      </c>
      <c r="M1841">
        <v>22.05</v>
      </c>
      <c r="N1841" t="s">
        <v>10236</v>
      </c>
    </row>
    <row r="1842" spans="1:14">
      <c r="A1842" t="s">
        <v>36</v>
      </c>
      <c r="B1842" t="s">
        <v>2009</v>
      </c>
      <c r="C1842">
        <f>"CA5458001CH"</f>
        <v>0</v>
      </c>
      <c r="D1842">
        <v>4</v>
      </c>
      <c r="E1842">
        <v>5</v>
      </c>
      <c r="F1842" s="2">
        <v>4</v>
      </c>
      <c r="G1842">
        <v>5</v>
      </c>
      <c r="H1842">
        <v>2</v>
      </c>
      <c r="I1842">
        <v>0.1769697189219599</v>
      </c>
      <c r="J1842">
        <v>1</v>
      </c>
      <c r="K1842">
        <v>0</v>
      </c>
      <c r="L1842" s="2">
        <v>0</v>
      </c>
      <c r="M1842">
        <v>22.06</v>
      </c>
      <c r="N1842" t="s">
        <v>10236</v>
      </c>
    </row>
    <row r="1843" spans="1:14">
      <c r="A1843" t="s">
        <v>33</v>
      </c>
      <c r="B1843" t="s">
        <v>2010</v>
      </c>
      <c r="C1843">
        <f>"TOPK92152"</f>
        <v>0</v>
      </c>
      <c r="D1843">
        <v>4</v>
      </c>
      <c r="E1843">
        <v>3</v>
      </c>
      <c r="F1843" s="2">
        <v>8</v>
      </c>
      <c r="G1843">
        <v>3</v>
      </c>
      <c r="H1843">
        <v>2</v>
      </c>
      <c r="I1843">
        <v>0.1769697189219599</v>
      </c>
      <c r="J1843">
        <v>1</v>
      </c>
      <c r="K1843">
        <v>0</v>
      </c>
      <c r="L1843" s="2">
        <v>0</v>
      </c>
      <c r="M1843">
        <v>22.07</v>
      </c>
      <c r="N1843" t="s">
        <v>10236</v>
      </c>
    </row>
    <row r="1844" spans="1:14">
      <c r="A1844" t="s">
        <v>25</v>
      </c>
      <c r="B1844" t="s">
        <v>2011</v>
      </c>
      <c r="C1844">
        <f>"S102VE"</f>
        <v>0</v>
      </c>
      <c r="D1844">
        <v>4</v>
      </c>
      <c r="E1844">
        <v>2</v>
      </c>
      <c r="F1844" s="2">
        <v>6</v>
      </c>
      <c r="G1844">
        <v>2</v>
      </c>
      <c r="H1844">
        <v>3</v>
      </c>
      <c r="I1844">
        <v>0.1769697189219599</v>
      </c>
      <c r="J1844">
        <v>1</v>
      </c>
      <c r="K1844">
        <v>0</v>
      </c>
      <c r="L1844" s="2">
        <v>0</v>
      </c>
      <c r="M1844">
        <v>22.08</v>
      </c>
      <c r="N1844" t="s">
        <v>10236</v>
      </c>
    </row>
    <row r="1845" spans="1:14">
      <c r="A1845" t="s">
        <v>35</v>
      </c>
      <c r="B1845" t="s">
        <v>2012</v>
      </c>
      <c r="C1845">
        <f>"YD4535"</f>
        <v>0</v>
      </c>
      <c r="D1845">
        <v>4</v>
      </c>
      <c r="E1845">
        <v>1</v>
      </c>
      <c r="F1845" s="2">
        <v>9</v>
      </c>
      <c r="G1845">
        <v>1</v>
      </c>
      <c r="H1845">
        <v>2</v>
      </c>
      <c r="I1845">
        <v>0.1769697189219599</v>
      </c>
      <c r="J1845">
        <v>1</v>
      </c>
      <c r="K1845">
        <v>0</v>
      </c>
      <c r="L1845" s="2">
        <v>0</v>
      </c>
      <c r="M1845">
        <v>22.09</v>
      </c>
      <c r="N1845" t="s">
        <v>10236</v>
      </c>
    </row>
    <row r="1846" spans="1:14">
      <c r="A1846" t="s">
        <v>29</v>
      </c>
      <c r="B1846" t="s">
        <v>2013</v>
      </c>
      <c r="C1846">
        <f>"RS2001"</f>
        <v>0</v>
      </c>
      <c r="D1846">
        <v>4</v>
      </c>
      <c r="E1846">
        <v>1</v>
      </c>
      <c r="F1846" s="2">
        <v>4</v>
      </c>
      <c r="G1846">
        <v>1</v>
      </c>
      <c r="H1846">
        <v>3</v>
      </c>
      <c r="I1846">
        <v>0.1769697189219599</v>
      </c>
      <c r="J1846">
        <v>1</v>
      </c>
      <c r="K1846">
        <v>0</v>
      </c>
      <c r="L1846" s="2">
        <v>0</v>
      </c>
      <c r="M1846">
        <v>22.1</v>
      </c>
      <c r="N1846" t="s">
        <v>10236</v>
      </c>
    </row>
    <row r="1847" spans="1:14">
      <c r="A1847" t="s">
        <v>25</v>
      </c>
      <c r="B1847" t="s">
        <v>2014</v>
      </c>
      <c r="C1847">
        <f>"NV0105"</f>
        <v>0</v>
      </c>
      <c r="D1847">
        <v>4</v>
      </c>
      <c r="E1847">
        <v>52</v>
      </c>
      <c r="F1847" s="2">
        <v>2</v>
      </c>
      <c r="G1847">
        <v>52</v>
      </c>
      <c r="H1847">
        <v>1</v>
      </c>
      <c r="I1847">
        <v>0.1769697189219599</v>
      </c>
      <c r="J1847">
        <v>1</v>
      </c>
      <c r="K1847">
        <v>0</v>
      </c>
      <c r="L1847" s="2">
        <v>0</v>
      </c>
      <c r="M1847">
        <v>22.11</v>
      </c>
      <c r="N1847" t="s">
        <v>10236</v>
      </c>
    </row>
    <row r="1848" spans="1:14">
      <c r="A1848" t="s">
        <v>35</v>
      </c>
      <c r="B1848" t="s">
        <v>2015</v>
      </c>
      <c r="C1848">
        <f>"PX0977"</f>
        <v>0</v>
      </c>
      <c r="D1848">
        <v>4</v>
      </c>
      <c r="E1848">
        <v>2</v>
      </c>
      <c r="F1848" s="2">
        <v>2</v>
      </c>
      <c r="G1848">
        <v>2</v>
      </c>
      <c r="H1848">
        <v>1</v>
      </c>
      <c r="I1848">
        <v>0.1769697189219599</v>
      </c>
      <c r="J1848">
        <v>1</v>
      </c>
      <c r="K1848">
        <v>0</v>
      </c>
      <c r="L1848" s="2">
        <v>0</v>
      </c>
      <c r="M1848">
        <v>22.12</v>
      </c>
      <c r="N1848" t="s">
        <v>10236</v>
      </c>
    </row>
    <row r="1849" spans="1:14">
      <c r="A1849" t="s">
        <v>27</v>
      </c>
      <c r="B1849" t="s">
        <v>2016</v>
      </c>
      <c r="C1849">
        <f>"USD721"</f>
        <v>0</v>
      </c>
      <c r="D1849">
        <v>4</v>
      </c>
      <c r="E1849">
        <v>5</v>
      </c>
      <c r="F1849" s="2">
        <v>4</v>
      </c>
      <c r="G1849">
        <v>5</v>
      </c>
      <c r="H1849">
        <v>2</v>
      </c>
      <c r="I1849">
        <v>0.1769697189219599</v>
      </c>
      <c r="J1849">
        <v>1</v>
      </c>
      <c r="K1849">
        <v>0</v>
      </c>
      <c r="L1849" s="2">
        <v>0</v>
      </c>
      <c r="M1849">
        <v>22.13</v>
      </c>
      <c r="N1849" t="s">
        <v>10236</v>
      </c>
    </row>
    <row r="1850" spans="1:14">
      <c r="A1850" t="s">
        <v>27</v>
      </c>
      <c r="B1850" t="s">
        <v>2017</v>
      </c>
      <c r="C1850">
        <f>"USA602"</f>
        <v>0</v>
      </c>
      <c r="D1850">
        <v>4</v>
      </c>
      <c r="E1850">
        <v>16</v>
      </c>
      <c r="F1850" s="2">
        <v>1</v>
      </c>
      <c r="G1850">
        <v>16</v>
      </c>
      <c r="H1850">
        <v>2</v>
      </c>
      <c r="I1850">
        <v>0.1769697189219599</v>
      </c>
      <c r="J1850">
        <v>1</v>
      </c>
      <c r="K1850">
        <v>0</v>
      </c>
      <c r="L1850" s="2">
        <v>0</v>
      </c>
      <c r="M1850">
        <v>22.14</v>
      </c>
      <c r="N1850" t="s">
        <v>10236</v>
      </c>
    </row>
    <row r="1851" spans="1:14">
      <c r="A1851" t="s">
        <v>27</v>
      </c>
      <c r="B1851" t="s">
        <v>2018</v>
      </c>
      <c r="C1851">
        <f>"USD743"</f>
        <v>0</v>
      </c>
      <c r="D1851">
        <v>4</v>
      </c>
      <c r="E1851">
        <v>10</v>
      </c>
      <c r="F1851" s="2">
        <v>4</v>
      </c>
      <c r="G1851">
        <v>10</v>
      </c>
      <c r="H1851">
        <v>3</v>
      </c>
      <c r="I1851">
        <v>0.1769697189219599</v>
      </c>
      <c r="J1851">
        <v>1</v>
      </c>
      <c r="K1851">
        <v>0</v>
      </c>
      <c r="L1851" s="2">
        <v>0</v>
      </c>
      <c r="M1851">
        <v>22.15</v>
      </c>
      <c r="N1851" t="s">
        <v>10236</v>
      </c>
    </row>
    <row r="1852" spans="1:14">
      <c r="A1852" t="s">
        <v>35</v>
      </c>
      <c r="B1852" t="s">
        <v>2019</v>
      </c>
      <c r="C1852">
        <f>"CTB61"</f>
        <v>0</v>
      </c>
      <c r="D1852">
        <v>4</v>
      </c>
      <c r="E1852">
        <v>2</v>
      </c>
      <c r="F1852" s="2">
        <v>1</v>
      </c>
      <c r="G1852">
        <v>2</v>
      </c>
      <c r="H1852">
        <v>2</v>
      </c>
      <c r="I1852">
        <v>0.1769697189219599</v>
      </c>
      <c r="J1852">
        <v>1</v>
      </c>
      <c r="K1852">
        <v>0</v>
      </c>
      <c r="L1852" s="2">
        <v>0</v>
      </c>
      <c r="M1852">
        <v>22.16</v>
      </c>
      <c r="N1852" t="s">
        <v>10236</v>
      </c>
    </row>
    <row r="1853" spans="1:14">
      <c r="A1853" t="s">
        <v>27</v>
      </c>
      <c r="B1853" t="s">
        <v>2020</v>
      </c>
      <c r="C1853">
        <f>"USD602"</f>
        <v>0</v>
      </c>
      <c r="D1853">
        <v>4</v>
      </c>
      <c r="E1853">
        <v>7</v>
      </c>
      <c r="F1853" s="2">
        <v>3</v>
      </c>
      <c r="G1853">
        <v>7</v>
      </c>
      <c r="H1853">
        <v>2</v>
      </c>
      <c r="I1853">
        <v>0.1769697189219599</v>
      </c>
      <c r="J1853">
        <v>1</v>
      </c>
      <c r="K1853">
        <v>0</v>
      </c>
      <c r="L1853" s="2">
        <v>0</v>
      </c>
      <c r="M1853">
        <v>22.17</v>
      </c>
      <c r="N1853" t="s">
        <v>10236</v>
      </c>
    </row>
    <row r="1854" spans="1:14">
      <c r="A1854" t="s">
        <v>29</v>
      </c>
      <c r="B1854" t="s">
        <v>2021</v>
      </c>
      <c r="C1854">
        <f>"34366"</f>
        <v>0</v>
      </c>
      <c r="D1854">
        <v>4</v>
      </c>
      <c r="E1854">
        <v>1</v>
      </c>
      <c r="F1854" s="2">
        <v>8</v>
      </c>
      <c r="G1854">
        <v>1</v>
      </c>
      <c r="H1854">
        <v>1</v>
      </c>
      <c r="I1854">
        <v>0.1769697189219599</v>
      </c>
      <c r="J1854">
        <v>1</v>
      </c>
      <c r="K1854">
        <v>0</v>
      </c>
      <c r="L1854" s="2">
        <v>0</v>
      </c>
      <c r="M1854">
        <v>22.18</v>
      </c>
      <c r="N1854" t="s">
        <v>10236</v>
      </c>
    </row>
    <row r="1855" spans="1:14">
      <c r="A1855" t="s">
        <v>208</v>
      </c>
      <c r="B1855" t="s">
        <v>2022</v>
      </c>
      <c r="C1855">
        <f>"50072323"</f>
        <v>0</v>
      </c>
      <c r="D1855">
        <v>4</v>
      </c>
      <c r="E1855">
        <v>46</v>
      </c>
      <c r="F1855" s="2">
        <v>10</v>
      </c>
      <c r="G1855">
        <v>46</v>
      </c>
      <c r="H1855">
        <v>2</v>
      </c>
      <c r="I1855">
        <v>0.1769697189219599</v>
      </c>
      <c r="J1855">
        <v>1</v>
      </c>
      <c r="K1855">
        <v>0</v>
      </c>
      <c r="L1855" s="2">
        <v>0</v>
      </c>
      <c r="M1855">
        <v>22.18</v>
      </c>
      <c r="N1855" t="s">
        <v>10236</v>
      </c>
    </row>
    <row r="1856" spans="1:14">
      <c r="A1856" t="s">
        <v>25</v>
      </c>
      <c r="B1856" t="s">
        <v>2023</v>
      </c>
      <c r="C1856">
        <f>"ZVP4344"</f>
        <v>0</v>
      </c>
      <c r="D1856">
        <v>4</v>
      </c>
      <c r="E1856">
        <v>1</v>
      </c>
      <c r="F1856" s="2">
        <v>2</v>
      </c>
      <c r="G1856">
        <v>1</v>
      </c>
      <c r="H1856">
        <v>1</v>
      </c>
      <c r="I1856">
        <v>0.1769697189219599</v>
      </c>
      <c r="J1856">
        <v>1</v>
      </c>
      <c r="K1856">
        <v>0</v>
      </c>
      <c r="L1856" s="2">
        <v>0</v>
      </c>
      <c r="M1856">
        <v>22.19</v>
      </c>
      <c r="N1856" t="s">
        <v>10236</v>
      </c>
    </row>
    <row r="1857" spans="1:14">
      <c r="A1857" t="s">
        <v>35</v>
      </c>
      <c r="B1857" t="s">
        <v>2024</v>
      </c>
      <c r="C1857">
        <f>"LZ1CAFCLA"</f>
        <v>0</v>
      </c>
      <c r="D1857">
        <v>4</v>
      </c>
      <c r="E1857">
        <v>3</v>
      </c>
      <c r="F1857" s="2">
        <v>5</v>
      </c>
      <c r="G1857">
        <v>3</v>
      </c>
      <c r="H1857">
        <v>2</v>
      </c>
      <c r="I1857">
        <v>0.1769697189219599</v>
      </c>
      <c r="J1857">
        <v>1</v>
      </c>
      <c r="K1857">
        <v>0</v>
      </c>
      <c r="L1857" s="2">
        <v>0</v>
      </c>
      <c r="M1857">
        <v>22.2</v>
      </c>
      <c r="N1857" t="s">
        <v>10236</v>
      </c>
    </row>
    <row r="1858" spans="1:14">
      <c r="A1858" t="s">
        <v>35</v>
      </c>
      <c r="B1858" t="s">
        <v>2025</v>
      </c>
      <c r="C1858">
        <f>"KFS04"</f>
        <v>0</v>
      </c>
      <c r="D1858">
        <v>4</v>
      </c>
      <c r="E1858">
        <v>5</v>
      </c>
      <c r="F1858" s="2">
        <v>7</v>
      </c>
      <c r="G1858">
        <v>5</v>
      </c>
      <c r="H1858">
        <v>3</v>
      </c>
      <c r="I1858">
        <v>0.1769697189219599</v>
      </c>
      <c r="J1858">
        <v>1</v>
      </c>
      <c r="K1858">
        <v>0</v>
      </c>
      <c r="L1858" s="2">
        <v>0</v>
      </c>
      <c r="M1858">
        <v>22.21</v>
      </c>
      <c r="N1858" t="s">
        <v>10236</v>
      </c>
    </row>
    <row r="1859" spans="1:14">
      <c r="A1859" t="s">
        <v>29</v>
      </c>
      <c r="B1859" t="s">
        <v>2026</v>
      </c>
      <c r="C1859">
        <f>"LBL16"</f>
        <v>0</v>
      </c>
      <c r="D1859">
        <v>4</v>
      </c>
      <c r="E1859">
        <v>122</v>
      </c>
      <c r="F1859" s="2">
        <v>1</v>
      </c>
      <c r="G1859">
        <v>122</v>
      </c>
      <c r="H1859">
        <v>1</v>
      </c>
      <c r="I1859">
        <v>0.1769697189219599</v>
      </c>
      <c r="J1859">
        <v>1</v>
      </c>
      <c r="K1859">
        <v>0</v>
      </c>
      <c r="L1859" s="2">
        <v>0</v>
      </c>
      <c r="M1859">
        <v>22.22</v>
      </c>
      <c r="N1859" t="s">
        <v>10236</v>
      </c>
    </row>
    <row r="1860" spans="1:14">
      <c r="A1860" t="s">
        <v>29</v>
      </c>
      <c r="B1860" t="s">
        <v>2027</v>
      </c>
      <c r="C1860">
        <f>"AF015"</f>
        <v>0</v>
      </c>
      <c r="D1860">
        <v>4</v>
      </c>
      <c r="E1860">
        <v>4</v>
      </c>
      <c r="F1860" s="2">
        <v>11</v>
      </c>
      <c r="G1860">
        <v>4</v>
      </c>
      <c r="H1860">
        <v>3</v>
      </c>
      <c r="I1860">
        <v>0.1769697189219599</v>
      </c>
      <c r="J1860">
        <v>1</v>
      </c>
      <c r="K1860">
        <v>0</v>
      </c>
      <c r="L1860" s="2">
        <v>0</v>
      </c>
      <c r="M1860">
        <v>22.23</v>
      </c>
      <c r="N1860" t="s">
        <v>10236</v>
      </c>
    </row>
    <row r="1861" spans="1:14">
      <c r="A1861" t="s">
        <v>35</v>
      </c>
      <c r="B1861" t="s">
        <v>2028</v>
      </c>
      <c r="C1861">
        <f>"PS9023"</f>
        <v>0</v>
      </c>
      <c r="D1861">
        <v>4</v>
      </c>
      <c r="E1861">
        <v>3</v>
      </c>
      <c r="F1861" s="2">
        <v>3</v>
      </c>
      <c r="G1861">
        <v>3</v>
      </c>
      <c r="H1861">
        <v>2</v>
      </c>
      <c r="I1861">
        <v>0.1769697189219599</v>
      </c>
      <c r="J1861">
        <v>1</v>
      </c>
      <c r="K1861">
        <v>0</v>
      </c>
      <c r="L1861" s="2">
        <v>0</v>
      </c>
      <c r="M1861">
        <v>22.24</v>
      </c>
      <c r="N1861" t="s">
        <v>10236</v>
      </c>
    </row>
    <row r="1862" spans="1:14">
      <c r="A1862" t="s">
        <v>193</v>
      </c>
      <c r="B1862" t="s">
        <v>2029</v>
      </c>
      <c r="C1862">
        <f>"365282"</f>
        <v>0</v>
      </c>
      <c r="D1862">
        <v>4</v>
      </c>
      <c r="E1862">
        <v>55</v>
      </c>
      <c r="F1862" s="2">
        <v>2</v>
      </c>
      <c r="G1862">
        <v>55</v>
      </c>
      <c r="H1862">
        <v>2</v>
      </c>
      <c r="I1862">
        <v>0.1769697189219599</v>
      </c>
      <c r="J1862">
        <v>1</v>
      </c>
      <c r="K1862">
        <v>0</v>
      </c>
      <c r="L1862" s="2">
        <v>0</v>
      </c>
      <c r="M1862">
        <v>22.25</v>
      </c>
      <c r="N1862" t="s">
        <v>10236</v>
      </c>
    </row>
    <row r="1863" spans="1:14">
      <c r="A1863" t="s">
        <v>36</v>
      </c>
      <c r="B1863" t="s">
        <v>2030</v>
      </c>
      <c r="C1863">
        <f>"1018251"</f>
        <v>0</v>
      </c>
      <c r="D1863">
        <v>4</v>
      </c>
      <c r="E1863">
        <v>8</v>
      </c>
      <c r="F1863" s="2">
        <v>5</v>
      </c>
      <c r="G1863">
        <v>8</v>
      </c>
      <c r="H1863">
        <v>1</v>
      </c>
      <c r="I1863">
        <v>0.1769697189219599</v>
      </c>
      <c r="J1863">
        <v>1</v>
      </c>
      <c r="K1863">
        <v>0</v>
      </c>
      <c r="L1863" s="2">
        <v>0</v>
      </c>
      <c r="M1863">
        <v>22.26</v>
      </c>
      <c r="N1863" t="s">
        <v>10236</v>
      </c>
    </row>
    <row r="1864" spans="1:14">
      <c r="A1864" t="s">
        <v>35</v>
      </c>
      <c r="B1864" t="s">
        <v>2031</v>
      </c>
      <c r="C1864">
        <f>"10851"</f>
        <v>0</v>
      </c>
      <c r="D1864">
        <v>4</v>
      </c>
      <c r="E1864">
        <v>1</v>
      </c>
      <c r="F1864" s="2">
        <v>1</v>
      </c>
      <c r="G1864">
        <v>1</v>
      </c>
      <c r="H1864">
        <v>2</v>
      </c>
      <c r="I1864">
        <v>0.1769697189219599</v>
      </c>
      <c r="J1864">
        <v>1</v>
      </c>
      <c r="K1864">
        <v>0</v>
      </c>
      <c r="L1864" s="2">
        <v>0</v>
      </c>
      <c r="M1864">
        <v>22.27</v>
      </c>
      <c r="N1864" t="s">
        <v>10236</v>
      </c>
    </row>
    <row r="1865" spans="1:14">
      <c r="A1865" t="s">
        <v>30</v>
      </c>
      <c r="B1865" t="s">
        <v>2032</v>
      </c>
      <c r="C1865">
        <f>"101121"</f>
        <v>0</v>
      </c>
      <c r="D1865">
        <v>4</v>
      </c>
      <c r="E1865">
        <v>2</v>
      </c>
      <c r="F1865" s="2">
        <v>11</v>
      </c>
      <c r="G1865">
        <v>2</v>
      </c>
      <c r="H1865">
        <v>1</v>
      </c>
      <c r="I1865">
        <v>0.1769697189219599</v>
      </c>
      <c r="J1865">
        <v>1</v>
      </c>
      <c r="K1865">
        <v>0</v>
      </c>
      <c r="L1865" s="2">
        <v>0</v>
      </c>
      <c r="M1865">
        <v>22.28</v>
      </c>
      <c r="N1865" t="s">
        <v>10236</v>
      </c>
    </row>
    <row r="1866" spans="1:14">
      <c r="A1866" t="s">
        <v>35</v>
      </c>
      <c r="B1866" t="s">
        <v>2033</v>
      </c>
      <c r="C1866">
        <f>"TC2049"</f>
        <v>0</v>
      </c>
      <c r="D1866">
        <v>4</v>
      </c>
      <c r="E1866">
        <v>1</v>
      </c>
      <c r="F1866" s="2">
        <v>405</v>
      </c>
      <c r="G1866">
        <v>1</v>
      </c>
      <c r="H1866">
        <v>2</v>
      </c>
      <c r="I1866">
        <v>0.1769697189219599</v>
      </c>
      <c r="J1866">
        <v>1</v>
      </c>
      <c r="K1866">
        <v>0</v>
      </c>
      <c r="L1866" s="2">
        <v>0</v>
      </c>
      <c r="M1866">
        <v>22.29</v>
      </c>
      <c r="N1866" t="s">
        <v>10236</v>
      </c>
    </row>
    <row r="1867" spans="1:14">
      <c r="A1867" t="s">
        <v>35</v>
      </c>
      <c r="B1867" t="s">
        <v>2034</v>
      </c>
      <c r="C1867">
        <f>"TC0100CE"</f>
        <v>0</v>
      </c>
      <c r="D1867">
        <v>4</v>
      </c>
      <c r="E1867">
        <v>1</v>
      </c>
      <c r="F1867" s="2">
        <v>770</v>
      </c>
      <c r="G1867">
        <v>1</v>
      </c>
      <c r="H1867">
        <v>3</v>
      </c>
      <c r="I1867">
        <v>0.1769697189219599</v>
      </c>
      <c r="J1867">
        <v>1</v>
      </c>
      <c r="K1867">
        <v>0</v>
      </c>
      <c r="L1867" s="2">
        <v>0</v>
      </c>
      <c r="M1867">
        <v>22.3</v>
      </c>
      <c r="N1867" t="s">
        <v>10236</v>
      </c>
    </row>
    <row r="1868" spans="1:14">
      <c r="A1868" t="s">
        <v>27</v>
      </c>
      <c r="B1868" t="s">
        <v>2035</v>
      </c>
      <c r="C1868">
        <f>"USA904"</f>
        <v>0</v>
      </c>
      <c r="D1868">
        <v>4</v>
      </c>
      <c r="E1868">
        <v>7</v>
      </c>
      <c r="F1868" s="2">
        <v>1</v>
      </c>
      <c r="G1868">
        <v>7</v>
      </c>
      <c r="H1868">
        <v>2</v>
      </c>
      <c r="I1868">
        <v>0.1769697189219599</v>
      </c>
      <c r="J1868">
        <v>1</v>
      </c>
      <c r="K1868">
        <v>0</v>
      </c>
      <c r="L1868" s="2">
        <v>0</v>
      </c>
      <c r="M1868">
        <v>22.31</v>
      </c>
      <c r="N1868" t="s">
        <v>10236</v>
      </c>
    </row>
    <row r="1869" spans="1:14">
      <c r="A1869" t="s">
        <v>41</v>
      </c>
      <c r="B1869" t="s">
        <v>2036</v>
      </c>
      <c r="C1869">
        <f>"502051"</f>
        <v>0</v>
      </c>
      <c r="D1869">
        <v>3</v>
      </c>
      <c r="E1869">
        <v>1</v>
      </c>
      <c r="F1869" s="2">
        <v>1</v>
      </c>
      <c r="G1869">
        <v>1.33</v>
      </c>
      <c r="H1869">
        <v>1</v>
      </c>
      <c r="I1869">
        <v>0.1768031512604131</v>
      </c>
      <c r="J1869">
        <v>1</v>
      </c>
      <c r="K1869">
        <v>0</v>
      </c>
      <c r="L1869" s="2">
        <v>0</v>
      </c>
      <c r="M1869">
        <v>22.32</v>
      </c>
      <c r="N1869" t="s">
        <v>10236</v>
      </c>
    </row>
    <row r="1870" spans="1:14">
      <c r="A1870" t="s">
        <v>29</v>
      </c>
      <c r="B1870" t="s">
        <v>2037</v>
      </c>
      <c r="C1870">
        <f>"SB1"</f>
        <v>0</v>
      </c>
      <c r="D1870">
        <v>5</v>
      </c>
      <c r="E1870">
        <v>115</v>
      </c>
      <c r="F1870" s="2">
        <v>3</v>
      </c>
      <c r="G1870">
        <v>92</v>
      </c>
      <c r="H1870">
        <v>2</v>
      </c>
      <c r="I1870">
        <v>0.1767554042305657</v>
      </c>
      <c r="J1870">
        <v>1</v>
      </c>
      <c r="K1870">
        <v>0</v>
      </c>
      <c r="L1870" s="2">
        <v>0</v>
      </c>
      <c r="M1870">
        <v>22.33</v>
      </c>
      <c r="N1870" t="s">
        <v>10235</v>
      </c>
    </row>
    <row r="1871" spans="1:14">
      <c r="A1871" t="s">
        <v>205</v>
      </c>
      <c r="B1871" t="s">
        <v>2038</v>
      </c>
      <c r="C1871">
        <f>"PFGM017"</f>
        <v>0</v>
      </c>
      <c r="D1871">
        <v>3</v>
      </c>
      <c r="E1871">
        <v>7</v>
      </c>
      <c r="F1871" s="2">
        <v>2</v>
      </c>
      <c r="G1871">
        <v>9.33</v>
      </c>
      <c r="H1871">
        <v>2</v>
      </c>
      <c r="I1871">
        <v>0.176743693856762</v>
      </c>
      <c r="J1871">
        <v>1</v>
      </c>
      <c r="K1871">
        <v>0</v>
      </c>
      <c r="L1871" s="2">
        <v>0</v>
      </c>
      <c r="M1871">
        <v>22.33</v>
      </c>
      <c r="N1871" t="s">
        <v>10236</v>
      </c>
    </row>
    <row r="1872" spans="1:14">
      <c r="A1872" t="s">
        <v>41</v>
      </c>
      <c r="B1872" t="s">
        <v>2039</v>
      </c>
      <c r="C1872">
        <f>"501935"</f>
        <v>0</v>
      </c>
      <c r="D1872">
        <v>2</v>
      </c>
      <c r="E1872">
        <v>2</v>
      </c>
      <c r="F1872" s="2">
        <v>10</v>
      </c>
      <c r="G1872">
        <v>4</v>
      </c>
      <c r="H1872">
        <v>1</v>
      </c>
      <c r="I1872">
        <v>0.1767342002317263</v>
      </c>
      <c r="J1872">
        <v>0</v>
      </c>
      <c r="K1872">
        <v>0</v>
      </c>
      <c r="L1872" s="2">
        <v>0</v>
      </c>
      <c r="M1872">
        <v>22.34</v>
      </c>
      <c r="N1872" t="s">
        <v>10236</v>
      </c>
    </row>
    <row r="1873" spans="1:14">
      <c r="A1873" t="s">
        <v>34</v>
      </c>
      <c r="B1873" t="s">
        <v>2040</v>
      </c>
      <c r="C1873">
        <f>"14000166"</f>
        <v>0</v>
      </c>
      <c r="D1873">
        <v>3</v>
      </c>
      <c r="E1873">
        <v>1</v>
      </c>
      <c r="F1873" s="2">
        <v>8</v>
      </c>
      <c r="G1873">
        <v>1.33</v>
      </c>
      <c r="H1873">
        <v>2</v>
      </c>
      <c r="I1873">
        <v>0.1766414626194395</v>
      </c>
      <c r="J1873">
        <v>1</v>
      </c>
      <c r="K1873">
        <v>0</v>
      </c>
      <c r="L1873" s="2">
        <v>0</v>
      </c>
      <c r="M1873">
        <v>22.35</v>
      </c>
      <c r="N1873" t="s">
        <v>10236</v>
      </c>
    </row>
    <row r="1874" spans="1:14">
      <c r="A1874" t="s">
        <v>24</v>
      </c>
      <c r="B1874" t="s">
        <v>2041</v>
      </c>
      <c r="C1874">
        <f>"1015853"</f>
        <v>0</v>
      </c>
      <c r="D1874">
        <v>2</v>
      </c>
      <c r="E1874">
        <v>2</v>
      </c>
      <c r="F1874" s="2">
        <v>8</v>
      </c>
      <c r="G1874">
        <v>4</v>
      </c>
      <c r="H1874">
        <v>2</v>
      </c>
      <c r="I1874">
        <v>0.1765733990146878</v>
      </c>
      <c r="J1874">
        <v>0</v>
      </c>
      <c r="K1874">
        <v>0</v>
      </c>
      <c r="L1874" s="2">
        <v>0</v>
      </c>
      <c r="M1874">
        <v>22.36</v>
      </c>
      <c r="N1874" t="s">
        <v>10236</v>
      </c>
    </row>
    <row r="1875" spans="1:14">
      <c r="A1875" t="s">
        <v>41</v>
      </c>
      <c r="B1875" t="s">
        <v>2042</v>
      </c>
      <c r="C1875">
        <f>"KF8028CF"</f>
        <v>0</v>
      </c>
      <c r="D1875">
        <v>1</v>
      </c>
      <c r="E1875">
        <v>1</v>
      </c>
      <c r="F1875" s="2">
        <v>31</v>
      </c>
      <c r="G1875">
        <v>4</v>
      </c>
      <c r="H1875">
        <v>1</v>
      </c>
      <c r="I1875">
        <v>0.1765552086350882</v>
      </c>
      <c r="J1875">
        <v>0</v>
      </c>
      <c r="K1875">
        <v>0</v>
      </c>
      <c r="L1875" s="2">
        <v>0</v>
      </c>
      <c r="M1875">
        <v>22.37</v>
      </c>
      <c r="N1875" t="s">
        <v>10236</v>
      </c>
    </row>
    <row r="1876" spans="1:14">
      <c r="A1876" t="s">
        <v>31</v>
      </c>
      <c r="B1876" t="s">
        <v>2043</v>
      </c>
      <c r="C1876">
        <f>"1020298"</f>
        <v>0</v>
      </c>
      <c r="D1876">
        <v>3</v>
      </c>
      <c r="E1876">
        <v>1</v>
      </c>
      <c r="F1876" s="2">
        <v>7</v>
      </c>
      <c r="G1876">
        <v>1.33</v>
      </c>
      <c r="H1876">
        <v>2</v>
      </c>
      <c r="I1876">
        <v>0.1765142060271475</v>
      </c>
      <c r="J1876">
        <v>1</v>
      </c>
      <c r="K1876">
        <v>0</v>
      </c>
      <c r="L1876" s="2">
        <v>0</v>
      </c>
      <c r="M1876">
        <v>22.38</v>
      </c>
      <c r="N1876" t="s">
        <v>10236</v>
      </c>
    </row>
    <row r="1877" spans="1:14">
      <c r="A1877" t="s">
        <v>25</v>
      </c>
      <c r="B1877" t="s">
        <v>2044</v>
      </c>
      <c r="C1877">
        <f>"TR061"</f>
        <v>0</v>
      </c>
      <c r="D1877">
        <v>3</v>
      </c>
      <c r="E1877">
        <v>1</v>
      </c>
      <c r="F1877" s="2">
        <v>4</v>
      </c>
      <c r="G1877">
        <v>1.33</v>
      </c>
      <c r="H1877">
        <v>2</v>
      </c>
      <c r="I1877">
        <v>0.1765115437553422</v>
      </c>
      <c r="J1877">
        <v>1</v>
      </c>
      <c r="K1877">
        <v>0</v>
      </c>
      <c r="L1877" s="2">
        <v>0</v>
      </c>
      <c r="M1877">
        <v>22.39</v>
      </c>
      <c r="N1877" t="s">
        <v>10236</v>
      </c>
    </row>
    <row r="1878" spans="1:14">
      <c r="A1878" t="s">
        <v>39</v>
      </c>
      <c r="B1878" t="s">
        <v>2045</v>
      </c>
      <c r="C1878">
        <f>"VALIM01018"</f>
        <v>0</v>
      </c>
      <c r="D1878">
        <v>3</v>
      </c>
      <c r="E1878">
        <v>22</v>
      </c>
      <c r="F1878" s="2">
        <v>15</v>
      </c>
      <c r="G1878">
        <v>29.33</v>
      </c>
      <c r="H1878">
        <v>2</v>
      </c>
      <c r="I1878">
        <v>0.1765081715443889</v>
      </c>
      <c r="J1878">
        <v>1</v>
      </c>
      <c r="K1878">
        <v>0</v>
      </c>
      <c r="L1878" s="2">
        <v>0</v>
      </c>
      <c r="M1878">
        <v>22.4</v>
      </c>
      <c r="N1878" t="s">
        <v>10236</v>
      </c>
    </row>
    <row r="1879" spans="1:14">
      <c r="A1879" t="s">
        <v>30</v>
      </c>
      <c r="B1879" t="s">
        <v>2046</v>
      </c>
      <c r="C1879">
        <f>"100603"</f>
        <v>0</v>
      </c>
      <c r="D1879">
        <v>1</v>
      </c>
      <c r="E1879">
        <v>1</v>
      </c>
      <c r="F1879" s="2">
        <v>39</v>
      </c>
      <c r="G1879">
        <v>4</v>
      </c>
      <c r="H1879">
        <v>1</v>
      </c>
      <c r="I1879">
        <v>0.1765016082294087</v>
      </c>
      <c r="J1879">
        <v>0</v>
      </c>
      <c r="K1879">
        <v>0</v>
      </c>
      <c r="L1879" s="2">
        <v>0</v>
      </c>
      <c r="M1879">
        <v>22.41</v>
      </c>
      <c r="N1879" t="s">
        <v>10236</v>
      </c>
    </row>
    <row r="1880" spans="1:14">
      <c r="A1880" t="s">
        <v>32</v>
      </c>
      <c r="B1880" t="s">
        <v>2047</v>
      </c>
      <c r="C1880">
        <f>"5006746"</f>
        <v>0</v>
      </c>
      <c r="D1880">
        <v>3</v>
      </c>
      <c r="E1880">
        <v>11</v>
      </c>
      <c r="F1880" s="2">
        <v>11</v>
      </c>
      <c r="G1880">
        <v>14.67</v>
      </c>
      <c r="H1880">
        <v>2</v>
      </c>
      <c r="I1880">
        <v>0.1764634453780603</v>
      </c>
      <c r="J1880">
        <v>1</v>
      </c>
      <c r="K1880">
        <v>0</v>
      </c>
      <c r="L1880" s="2">
        <v>0</v>
      </c>
      <c r="M1880">
        <v>22.42</v>
      </c>
      <c r="N1880" t="s">
        <v>10236</v>
      </c>
    </row>
    <row r="1881" spans="1:14">
      <c r="A1881" t="s">
        <v>32</v>
      </c>
      <c r="B1881" t="s">
        <v>2048</v>
      </c>
      <c r="C1881">
        <f>"RCM027"</f>
        <v>0</v>
      </c>
      <c r="D1881">
        <v>4</v>
      </c>
      <c r="E1881">
        <v>1</v>
      </c>
      <c r="F1881" s="2">
        <v>6</v>
      </c>
      <c r="G1881">
        <v>1</v>
      </c>
      <c r="H1881">
        <v>2</v>
      </c>
      <c r="I1881">
        <v>0.176453415676524</v>
      </c>
      <c r="J1881">
        <v>1</v>
      </c>
      <c r="K1881">
        <v>0</v>
      </c>
      <c r="L1881" s="2">
        <v>0</v>
      </c>
      <c r="M1881">
        <v>22.43</v>
      </c>
      <c r="N1881" t="s">
        <v>10236</v>
      </c>
    </row>
    <row r="1882" spans="1:14">
      <c r="A1882" t="s">
        <v>32</v>
      </c>
      <c r="B1882" t="s">
        <v>2049</v>
      </c>
      <c r="C1882">
        <f>"5003519"</f>
        <v>0</v>
      </c>
      <c r="D1882">
        <v>3</v>
      </c>
      <c r="E1882">
        <v>12</v>
      </c>
      <c r="F1882" s="2">
        <v>15</v>
      </c>
      <c r="G1882">
        <v>16</v>
      </c>
      <c r="H1882">
        <v>2</v>
      </c>
      <c r="I1882">
        <v>0.1764513764125431</v>
      </c>
      <c r="J1882">
        <v>1</v>
      </c>
      <c r="K1882">
        <v>0</v>
      </c>
      <c r="L1882" s="2">
        <v>0</v>
      </c>
      <c r="M1882">
        <v>22.44</v>
      </c>
      <c r="N1882" t="s">
        <v>10236</v>
      </c>
    </row>
    <row r="1883" spans="1:14">
      <c r="A1883" t="s">
        <v>202</v>
      </c>
      <c r="B1883" t="s">
        <v>2050</v>
      </c>
      <c r="C1883">
        <f>"11001015"</f>
        <v>0</v>
      </c>
      <c r="D1883">
        <v>2</v>
      </c>
      <c r="E1883">
        <v>4</v>
      </c>
      <c r="F1883" s="2">
        <v>12</v>
      </c>
      <c r="G1883">
        <v>8</v>
      </c>
      <c r="H1883">
        <v>2</v>
      </c>
      <c r="I1883">
        <v>0.1763149811647894</v>
      </c>
      <c r="J1883">
        <v>0</v>
      </c>
      <c r="K1883">
        <v>0</v>
      </c>
      <c r="L1883" s="2">
        <v>0</v>
      </c>
      <c r="M1883">
        <v>22.45</v>
      </c>
      <c r="N1883" t="s">
        <v>10236</v>
      </c>
    </row>
    <row r="1884" spans="1:14">
      <c r="A1884" t="s">
        <v>35</v>
      </c>
      <c r="B1884" t="s">
        <v>2051</v>
      </c>
      <c r="C1884">
        <f>"SPG04"</f>
        <v>0</v>
      </c>
      <c r="D1884">
        <v>2</v>
      </c>
      <c r="E1884">
        <v>1</v>
      </c>
      <c r="F1884" s="2">
        <v>6</v>
      </c>
      <c r="G1884">
        <v>2</v>
      </c>
      <c r="H1884">
        <v>2</v>
      </c>
      <c r="I1884">
        <v>0.1762869385684405</v>
      </c>
      <c r="J1884">
        <v>0</v>
      </c>
      <c r="K1884">
        <v>0</v>
      </c>
      <c r="L1884" s="2">
        <v>0</v>
      </c>
      <c r="M1884">
        <v>22.46</v>
      </c>
      <c r="N1884" t="s">
        <v>10236</v>
      </c>
    </row>
    <row r="1885" spans="1:14">
      <c r="A1885" t="s">
        <v>25</v>
      </c>
      <c r="B1885" t="s">
        <v>2052</v>
      </c>
      <c r="C1885">
        <f>"LF011"</f>
        <v>0</v>
      </c>
      <c r="D1885">
        <v>3</v>
      </c>
      <c r="E1885">
        <v>1</v>
      </c>
      <c r="F1885" s="2">
        <v>3</v>
      </c>
      <c r="G1885">
        <v>1.33</v>
      </c>
      <c r="H1885">
        <v>1</v>
      </c>
      <c r="I1885">
        <v>0.176255433207675</v>
      </c>
      <c r="J1885">
        <v>1</v>
      </c>
      <c r="K1885">
        <v>0</v>
      </c>
      <c r="L1885" s="2">
        <v>0</v>
      </c>
      <c r="M1885">
        <v>22.47</v>
      </c>
      <c r="N1885" t="s">
        <v>10236</v>
      </c>
    </row>
    <row r="1886" spans="1:14">
      <c r="A1886" t="s">
        <v>194</v>
      </c>
      <c r="B1886" t="s">
        <v>2053</v>
      </c>
      <c r="C1886">
        <f>"1132911"</f>
        <v>0</v>
      </c>
      <c r="D1886">
        <v>3</v>
      </c>
      <c r="E1886">
        <v>2</v>
      </c>
      <c r="F1886" s="2">
        <v>24</v>
      </c>
      <c r="G1886">
        <v>2.67</v>
      </c>
      <c r="H1886">
        <v>2</v>
      </c>
      <c r="I1886">
        <v>0.176255433207675</v>
      </c>
      <c r="J1886">
        <v>1</v>
      </c>
      <c r="K1886">
        <v>0</v>
      </c>
      <c r="L1886" s="2">
        <v>0</v>
      </c>
      <c r="M1886">
        <v>22.47</v>
      </c>
      <c r="N1886" t="s">
        <v>10236</v>
      </c>
    </row>
    <row r="1887" spans="1:14">
      <c r="A1887" t="s">
        <v>32</v>
      </c>
      <c r="B1887" t="s">
        <v>2054</v>
      </c>
      <c r="C1887">
        <f>"1006554"</f>
        <v>0</v>
      </c>
      <c r="D1887">
        <v>3</v>
      </c>
      <c r="E1887">
        <v>1</v>
      </c>
      <c r="F1887" s="2">
        <v>2</v>
      </c>
      <c r="G1887">
        <v>1.33</v>
      </c>
      <c r="H1887">
        <v>2</v>
      </c>
      <c r="I1887">
        <v>0.176255433207675</v>
      </c>
      <c r="J1887">
        <v>1</v>
      </c>
      <c r="K1887">
        <v>0</v>
      </c>
      <c r="L1887" s="2">
        <v>0</v>
      </c>
      <c r="M1887">
        <v>22.48</v>
      </c>
      <c r="N1887" t="s">
        <v>10236</v>
      </c>
    </row>
    <row r="1888" spans="1:14">
      <c r="A1888" t="s">
        <v>27</v>
      </c>
      <c r="B1888" t="s">
        <v>2055</v>
      </c>
      <c r="C1888">
        <f>"USA704"</f>
        <v>0</v>
      </c>
      <c r="D1888">
        <v>3</v>
      </c>
      <c r="E1888">
        <v>5</v>
      </c>
      <c r="F1888" s="2">
        <v>1</v>
      </c>
      <c r="G1888">
        <v>6.67</v>
      </c>
      <c r="H1888">
        <v>2</v>
      </c>
      <c r="I1888">
        <v>0.176255433207675</v>
      </c>
      <c r="J1888">
        <v>1</v>
      </c>
      <c r="K1888">
        <v>0</v>
      </c>
      <c r="L1888" s="2">
        <v>0</v>
      </c>
      <c r="M1888">
        <v>22.49</v>
      </c>
      <c r="N1888" t="s">
        <v>10236</v>
      </c>
    </row>
    <row r="1889" spans="1:14">
      <c r="A1889" t="s">
        <v>35</v>
      </c>
      <c r="B1889" t="s">
        <v>2056</v>
      </c>
      <c r="C1889">
        <f>"TC0072VE"</f>
        <v>0</v>
      </c>
      <c r="D1889">
        <v>3</v>
      </c>
      <c r="E1889">
        <v>1</v>
      </c>
      <c r="F1889" s="2">
        <v>765</v>
      </c>
      <c r="G1889">
        <v>1.33</v>
      </c>
      <c r="H1889">
        <v>1</v>
      </c>
      <c r="I1889">
        <v>0.176255433207675</v>
      </c>
      <c r="J1889">
        <v>1</v>
      </c>
      <c r="K1889">
        <v>0</v>
      </c>
      <c r="L1889" s="2">
        <v>0</v>
      </c>
      <c r="M1889">
        <v>22.5</v>
      </c>
      <c r="N1889" t="s">
        <v>10236</v>
      </c>
    </row>
    <row r="1890" spans="1:14">
      <c r="A1890" t="s">
        <v>39</v>
      </c>
      <c r="B1890" t="s">
        <v>2057</v>
      </c>
      <c r="C1890">
        <f>"VALIM01016"</f>
        <v>0</v>
      </c>
      <c r="D1890">
        <v>3</v>
      </c>
      <c r="E1890">
        <v>2</v>
      </c>
      <c r="F1890" s="2">
        <v>17</v>
      </c>
      <c r="G1890">
        <v>2.67</v>
      </c>
      <c r="H1890">
        <v>2</v>
      </c>
      <c r="I1890">
        <v>0.176255433207675</v>
      </c>
      <c r="J1890">
        <v>1</v>
      </c>
      <c r="K1890">
        <v>0</v>
      </c>
      <c r="L1890" s="2">
        <v>0</v>
      </c>
      <c r="M1890">
        <v>22.51</v>
      </c>
      <c r="N1890" t="s">
        <v>10236</v>
      </c>
    </row>
    <row r="1891" spans="1:14">
      <c r="A1891" t="s">
        <v>33</v>
      </c>
      <c r="B1891" t="s">
        <v>2058</v>
      </c>
      <c r="C1891">
        <f>"TOPK92207"</f>
        <v>0</v>
      </c>
      <c r="D1891">
        <v>3</v>
      </c>
      <c r="E1891">
        <v>3</v>
      </c>
      <c r="F1891" s="2">
        <v>1</v>
      </c>
      <c r="G1891">
        <v>4</v>
      </c>
      <c r="H1891">
        <v>1</v>
      </c>
      <c r="I1891">
        <v>0.176255433207675</v>
      </c>
      <c r="J1891">
        <v>1</v>
      </c>
      <c r="K1891">
        <v>0</v>
      </c>
      <c r="L1891" s="2">
        <v>0</v>
      </c>
      <c r="M1891">
        <v>22.52</v>
      </c>
      <c r="N1891" t="s">
        <v>10236</v>
      </c>
    </row>
    <row r="1892" spans="1:14">
      <c r="A1892" t="s">
        <v>35</v>
      </c>
      <c r="B1892" t="s">
        <v>2059</v>
      </c>
      <c r="C1892">
        <f>"YSRJ08"</f>
        <v>0</v>
      </c>
      <c r="D1892">
        <v>3</v>
      </c>
      <c r="E1892">
        <v>2</v>
      </c>
      <c r="F1892" s="2">
        <v>1</v>
      </c>
      <c r="G1892">
        <v>2.67</v>
      </c>
      <c r="H1892">
        <v>1</v>
      </c>
      <c r="I1892">
        <v>0.176255433207675</v>
      </c>
      <c r="J1892">
        <v>1</v>
      </c>
      <c r="K1892">
        <v>0</v>
      </c>
      <c r="L1892" s="2">
        <v>0</v>
      </c>
      <c r="M1892">
        <v>22.53</v>
      </c>
      <c r="N1892" t="s">
        <v>10236</v>
      </c>
    </row>
    <row r="1893" spans="1:14">
      <c r="A1893" t="s">
        <v>35</v>
      </c>
      <c r="B1893" t="s">
        <v>2060</v>
      </c>
      <c r="C1893">
        <f>"W0060"</f>
        <v>0</v>
      </c>
      <c r="D1893">
        <v>3</v>
      </c>
      <c r="E1893">
        <v>12</v>
      </c>
      <c r="F1893" s="2">
        <v>3</v>
      </c>
      <c r="G1893">
        <v>16</v>
      </c>
      <c r="H1893">
        <v>2</v>
      </c>
      <c r="I1893">
        <v>0.176255433207675</v>
      </c>
      <c r="J1893">
        <v>1</v>
      </c>
      <c r="K1893">
        <v>0</v>
      </c>
      <c r="L1893" s="2">
        <v>0</v>
      </c>
      <c r="M1893">
        <v>22.54</v>
      </c>
      <c r="N1893" t="s">
        <v>10236</v>
      </c>
    </row>
    <row r="1894" spans="1:14">
      <c r="A1894" t="s">
        <v>25</v>
      </c>
      <c r="B1894" t="s">
        <v>2061</v>
      </c>
      <c r="C1894">
        <f>"BEP20A"</f>
        <v>0</v>
      </c>
      <c r="D1894">
        <v>3</v>
      </c>
      <c r="E1894">
        <v>1</v>
      </c>
      <c r="F1894" s="2">
        <v>2</v>
      </c>
      <c r="G1894">
        <v>1.33</v>
      </c>
      <c r="H1894">
        <v>1</v>
      </c>
      <c r="I1894">
        <v>0.176255433207675</v>
      </c>
      <c r="J1894">
        <v>1</v>
      </c>
      <c r="K1894">
        <v>0</v>
      </c>
      <c r="L1894" s="2">
        <v>0</v>
      </c>
      <c r="M1894">
        <v>22.55</v>
      </c>
      <c r="N1894" t="s">
        <v>10236</v>
      </c>
    </row>
    <row r="1895" spans="1:14">
      <c r="A1895" t="s">
        <v>29</v>
      </c>
      <c r="B1895" t="s">
        <v>2062</v>
      </c>
      <c r="C1895">
        <f>"TDI830"</f>
        <v>0</v>
      </c>
      <c r="D1895">
        <v>3</v>
      </c>
      <c r="E1895">
        <v>1</v>
      </c>
      <c r="F1895" s="2">
        <v>621</v>
      </c>
      <c r="G1895">
        <v>1.33</v>
      </c>
      <c r="H1895">
        <v>3</v>
      </c>
      <c r="I1895">
        <v>0.176255433207675</v>
      </c>
      <c r="J1895">
        <v>1</v>
      </c>
      <c r="K1895">
        <v>0</v>
      </c>
      <c r="L1895" s="2">
        <v>0</v>
      </c>
      <c r="M1895">
        <v>22.56</v>
      </c>
      <c r="N1895" t="s">
        <v>10236</v>
      </c>
    </row>
    <row r="1896" spans="1:14">
      <c r="A1896" t="s">
        <v>29</v>
      </c>
      <c r="B1896" t="s">
        <v>2063</v>
      </c>
      <c r="C1896">
        <f>"34334"</f>
        <v>0</v>
      </c>
      <c r="D1896">
        <v>3</v>
      </c>
      <c r="E1896">
        <v>4</v>
      </c>
      <c r="F1896" s="2">
        <v>3</v>
      </c>
      <c r="G1896">
        <v>5.33</v>
      </c>
      <c r="H1896">
        <v>1</v>
      </c>
      <c r="I1896">
        <v>0.176255433207675</v>
      </c>
      <c r="J1896">
        <v>1</v>
      </c>
      <c r="K1896">
        <v>0</v>
      </c>
      <c r="L1896" s="2">
        <v>0</v>
      </c>
      <c r="M1896">
        <v>22.57</v>
      </c>
      <c r="N1896" t="s">
        <v>10236</v>
      </c>
    </row>
    <row r="1897" spans="1:14">
      <c r="A1897" t="s">
        <v>29</v>
      </c>
      <c r="B1897" t="s">
        <v>2064</v>
      </c>
      <c r="C1897">
        <f>"RS50W"</f>
        <v>0</v>
      </c>
      <c r="D1897">
        <v>3</v>
      </c>
      <c r="E1897">
        <v>3</v>
      </c>
      <c r="F1897" s="2">
        <v>2</v>
      </c>
      <c r="G1897">
        <v>4</v>
      </c>
      <c r="H1897">
        <v>2</v>
      </c>
      <c r="I1897">
        <v>0.176255433207675</v>
      </c>
      <c r="J1897">
        <v>1</v>
      </c>
      <c r="K1897">
        <v>0</v>
      </c>
      <c r="L1897" s="2">
        <v>0</v>
      </c>
      <c r="M1897">
        <v>22.58</v>
      </c>
      <c r="N1897" t="s">
        <v>10236</v>
      </c>
    </row>
    <row r="1898" spans="1:14">
      <c r="A1898" t="s">
        <v>202</v>
      </c>
      <c r="B1898" t="s">
        <v>2065</v>
      </c>
      <c r="C1898">
        <f>"11001113"</f>
        <v>0</v>
      </c>
      <c r="D1898">
        <v>3</v>
      </c>
      <c r="E1898">
        <v>5</v>
      </c>
      <c r="F1898" s="2">
        <v>3</v>
      </c>
      <c r="G1898">
        <v>6.67</v>
      </c>
      <c r="H1898">
        <v>1</v>
      </c>
      <c r="I1898">
        <v>0.176255433207675</v>
      </c>
      <c r="J1898">
        <v>1</v>
      </c>
      <c r="K1898">
        <v>0</v>
      </c>
      <c r="L1898" s="2">
        <v>0</v>
      </c>
      <c r="M1898">
        <v>22.59</v>
      </c>
      <c r="N1898" t="s">
        <v>10236</v>
      </c>
    </row>
    <row r="1899" spans="1:14">
      <c r="A1899" t="s">
        <v>35</v>
      </c>
      <c r="B1899" t="s">
        <v>2066</v>
      </c>
      <c r="C1899">
        <f>"XX215"</f>
        <v>0</v>
      </c>
      <c r="D1899">
        <v>3</v>
      </c>
      <c r="E1899">
        <v>2</v>
      </c>
      <c r="F1899" s="2">
        <v>2</v>
      </c>
      <c r="G1899">
        <v>2.67</v>
      </c>
      <c r="H1899">
        <v>2</v>
      </c>
      <c r="I1899">
        <v>0.176255433207675</v>
      </c>
      <c r="J1899">
        <v>1</v>
      </c>
      <c r="K1899">
        <v>0</v>
      </c>
      <c r="L1899" s="2">
        <v>0</v>
      </c>
      <c r="M1899">
        <v>22.6</v>
      </c>
      <c r="N1899" t="s">
        <v>10236</v>
      </c>
    </row>
    <row r="1900" spans="1:14">
      <c r="A1900" t="s">
        <v>35</v>
      </c>
      <c r="B1900" t="s">
        <v>2067</v>
      </c>
      <c r="C1900">
        <f>"HP071M"</f>
        <v>0</v>
      </c>
      <c r="D1900">
        <v>3</v>
      </c>
      <c r="E1900">
        <v>16</v>
      </c>
      <c r="F1900" s="2">
        <v>4</v>
      </c>
      <c r="G1900">
        <v>21.33</v>
      </c>
      <c r="H1900">
        <v>2</v>
      </c>
      <c r="I1900">
        <v>0.176255433207675</v>
      </c>
      <c r="J1900">
        <v>1</v>
      </c>
      <c r="K1900">
        <v>0</v>
      </c>
      <c r="L1900" s="2">
        <v>0</v>
      </c>
      <c r="M1900">
        <v>22.61</v>
      </c>
      <c r="N1900" t="s">
        <v>10236</v>
      </c>
    </row>
    <row r="1901" spans="1:14">
      <c r="A1901" t="s">
        <v>35</v>
      </c>
      <c r="B1901" t="s">
        <v>2068</v>
      </c>
      <c r="C1901">
        <f>"C304"</f>
        <v>0</v>
      </c>
      <c r="D1901">
        <v>3</v>
      </c>
      <c r="E1901">
        <v>17</v>
      </c>
      <c r="F1901" s="2">
        <v>4</v>
      </c>
      <c r="G1901">
        <v>22.67</v>
      </c>
      <c r="H1901">
        <v>2</v>
      </c>
      <c r="I1901">
        <v>0.176255433207675</v>
      </c>
      <c r="J1901">
        <v>1</v>
      </c>
      <c r="K1901">
        <v>0</v>
      </c>
      <c r="L1901" s="2">
        <v>0</v>
      </c>
      <c r="M1901">
        <v>22.61</v>
      </c>
      <c r="N1901" t="s">
        <v>10236</v>
      </c>
    </row>
    <row r="1902" spans="1:14">
      <c r="A1902" t="s">
        <v>25</v>
      </c>
      <c r="B1902" t="s">
        <v>2069</v>
      </c>
      <c r="C1902">
        <f>"LN084"</f>
        <v>0</v>
      </c>
      <c r="D1902">
        <v>3</v>
      </c>
      <c r="E1902">
        <v>1</v>
      </c>
      <c r="F1902" s="2">
        <v>2</v>
      </c>
      <c r="G1902">
        <v>1.33</v>
      </c>
      <c r="H1902">
        <v>1</v>
      </c>
      <c r="I1902">
        <v>0.176255433207675</v>
      </c>
      <c r="J1902">
        <v>1</v>
      </c>
      <c r="K1902">
        <v>0</v>
      </c>
      <c r="L1902" s="2">
        <v>0</v>
      </c>
      <c r="M1902">
        <v>22.62</v>
      </c>
      <c r="N1902" t="s">
        <v>10236</v>
      </c>
    </row>
    <row r="1903" spans="1:14">
      <c r="A1903" t="s">
        <v>35</v>
      </c>
      <c r="B1903" t="s">
        <v>2070</v>
      </c>
      <c r="C1903">
        <f>"PS9019B"</f>
        <v>0</v>
      </c>
      <c r="D1903">
        <v>3</v>
      </c>
      <c r="E1903">
        <v>1</v>
      </c>
      <c r="F1903" s="2">
        <v>3</v>
      </c>
      <c r="G1903">
        <v>1.33</v>
      </c>
      <c r="H1903">
        <v>2</v>
      </c>
      <c r="I1903">
        <v>0.176255433207675</v>
      </c>
      <c r="J1903">
        <v>1</v>
      </c>
      <c r="K1903">
        <v>0</v>
      </c>
      <c r="L1903" s="2">
        <v>0</v>
      </c>
      <c r="M1903">
        <v>22.63</v>
      </c>
      <c r="N1903" t="s">
        <v>10236</v>
      </c>
    </row>
    <row r="1904" spans="1:14">
      <c r="A1904" t="s">
        <v>194</v>
      </c>
      <c r="B1904" t="s">
        <v>2071</v>
      </c>
      <c r="C1904">
        <f>"201100070"</f>
        <v>0</v>
      </c>
      <c r="D1904">
        <v>3</v>
      </c>
      <c r="E1904">
        <v>2</v>
      </c>
      <c r="F1904" s="2">
        <v>18</v>
      </c>
      <c r="G1904">
        <v>2.67</v>
      </c>
      <c r="H1904">
        <v>2</v>
      </c>
      <c r="I1904">
        <v>0.176255433207675</v>
      </c>
      <c r="J1904">
        <v>1</v>
      </c>
      <c r="K1904">
        <v>0</v>
      </c>
      <c r="L1904" s="2">
        <v>0</v>
      </c>
      <c r="M1904">
        <v>22.64</v>
      </c>
      <c r="N1904" t="s">
        <v>10236</v>
      </c>
    </row>
    <row r="1905" spans="1:14">
      <c r="A1905" t="s">
        <v>35</v>
      </c>
      <c r="B1905" t="s">
        <v>2072</v>
      </c>
      <c r="C1905">
        <f>"HP071L"</f>
        <v>0</v>
      </c>
      <c r="D1905">
        <v>3</v>
      </c>
      <c r="E1905">
        <v>9</v>
      </c>
      <c r="F1905" s="2">
        <v>5</v>
      </c>
      <c r="G1905">
        <v>12</v>
      </c>
      <c r="H1905">
        <v>1</v>
      </c>
      <c r="I1905">
        <v>0.176255433207675</v>
      </c>
      <c r="J1905">
        <v>1</v>
      </c>
      <c r="K1905">
        <v>0</v>
      </c>
      <c r="L1905" s="2">
        <v>0</v>
      </c>
      <c r="M1905">
        <v>22.65</v>
      </c>
      <c r="N1905" t="s">
        <v>10236</v>
      </c>
    </row>
    <row r="1906" spans="1:14">
      <c r="A1906" t="s">
        <v>35</v>
      </c>
      <c r="B1906" t="s">
        <v>320</v>
      </c>
      <c r="C1906">
        <f>"BL816L"</f>
        <v>0</v>
      </c>
      <c r="D1906">
        <v>3</v>
      </c>
      <c r="E1906">
        <v>12</v>
      </c>
      <c r="F1906" s="2">
        <v>2</v>
      </c>
      <c r="G1906">
        <v>16</v>
      </c>
      <c r="H1906">
        <v>2</v>
      </c>
      <c r="I1906">
        <v>0.176255433207675</v>
      </c>
      <c r="J1906">
        <v>1</v>
      </c>
      <c r="K1906">
        <v>0</v>
      </c>
      <c r="L1906" s="2">
        <v>0</v>
      </c>
      <c r="M1906">
        <v>22.66</v>
      </c>
      <c r="N1906" t="s">
        <v>10236</v>
      </c>
    </row>
    <row r="1907" spans="1:14">
      <c r="A1907" t="s">
        <v>35</v>
      </c>
      <c r="B1907" t="s">
        <v>2073</v>
      </c>
      <c r="C1907">
        <f>"DC3105C"</f>
        <v>0</v>
      </c>
      <c r="D1907">
        <v>3</v>
      </c>
      <c r="E1907">
        <v>5</v>
      </c>
      <c r="F1907" s="2">
        <v>2</v>
      </c>
      <c r="G1907">
        <v>6.67</v>
      </c>
      <c r="H1907">
        <v>2</v>
      </c>
      <c r="I1907">
        <v>0.176255433207675</v>
      </c>
      <c r="J1907">
        <v>1</v>
      </c>
      <c r="K1907">
        <v>0</v>
      </c>
      <c r="L1907" s="2">
        <v>0</v>
      </c>
      <c r="M1907">
        <v>22.67</v>
      </c>
      <c r="N1907" t="s">
        <v>10236</v>
      </c>
    </row>
    <row r="1908" spans="1:14">
      <c r="A1908" t="s">
        <v>27</v>
      </c>
      <c r="B1908" t="s">
        <v>2074</v>
      </c>
      <c r="C1908">
        <f>"usa612"</f>
        <v>0</v>
      </c>
      <c r="D1908">
        <v>3</v>
      </c>
      <c r="E1908">
        <v>7</v>
      </c>
      <c r="F1908" s="2">
        <v>3</v>
      </c>
      <c r="G1908">
        <v>9.33</v>
      </c>
      <c r="H1908">
        <v>2</v>
      </c>
      <c r="I1908">
        <v>0.176255433207675</v>
      </c>
      <c r="J1908">
        <v>1</v>
      </c>
      <c r="K1908">
        <v>0</v>
      </c>
      <c r="L1908" s="2">
        <v>0</v>
      </c>
      <c r="M1908">
        <v>22.68</v>
      </c>
      <c r="N1908" t="s">
        <v>10236</v>
      </c>
    </row>
    <row r="1909" spans="1:14">
      <c r="A1909" t="s">
        <v>39</v>
      </c>
      <c r="B1909" t="s">
        <v>2075</v>
      </c>
      <c r="C1909">
        <f>"VALIM02055"</f>
        <v>0</v>
      </c>
      <c r="D1909">
        <v>3</v>
      </c>
      <c r="E1909">
        <v>2</v>
      </c>
      <c r="F1909" s="2">
        <v>59</v>
      </c>
      <c r="G1909">
        <v>2.67</v>
      </c>
      <c r="H1909">
        <v>2</v>
      </c>
      <c r="I1909">
        <v>0.176255433207675</v>
      </c>
      <c r="J1909">
        <v>1</v>
      </c>
      <c r="K1909">
        <v>0</v>
      </c>
      <c r="L1909" s="2">
        <v>0</v>
      </c>
      <c r="M1909">
        <v>22.69</v>
      </c>
      <c r="N1909" t="s">
        <v>10236</v>
      </c>
    </row>
    <row r="1910" spans="1:14">
      <c r="A1910" t="s">
        <v>35</v>
      </c>
      <c r="B1910" t="s">
        <v>2076</v>
      </c>
      <c r="C1910">
        <f>"X1341SROS"</f>
        <v>0</v>
      </c>
      <c r="D1910">
        <v>3</v>
      </c>
      <c r="E1910">
        <v>20</v>
      </c>
      <c r="F1910" s="2">
        <v>3</v>
      </c>
      <c r="G1910">
        <v>26.67</v>
      </c>
      <c r="H1910">
        <v>2</v>
      </c>
      <c r="I1910">
        <v>0.176255433207675</v>
      </c>
      <c r="J1910">
        <v>1</v>
      </c>
      <c r="K1910">
        <v>0</v>
      </c>
      <c r="L1910" s="2">
        <v>0</v>
      </c>
      <c r="M1910">
        <v>22.7</v>
      </c>
      <c r="N1910" t="s">
        <v>10236</v>
      </c>
    </row>
    <row r="1911" spans="1:14">
      <c r="A1911" t="s">
        <v>35</v>
      </c>
      <c r="B1911" t="s">
        <v>2077</v>
      </c>
      <c r="C1911">
        <f>"MCW105"</f>
        <v>0</v>
      </c>
      <c r="D1911">
        <v>3</v>
      </c>
      <c r="E1911">
        <v>1</v>
      </c>
      <c r="F1911" s="2">
        <v>585</v>
      </c>
      <c r="G1911">
        <v>1.33</v>
      </c>
      <c r="H1911">
        <v>2</v>
      </c>
      <c r="I1911">
        <v>0.176255433207675</v>
      </c>
      <c r="J1911">
        <v>1</v>
      </c>
      <c r="K1911">
        <v>0</v>
      </c>
      <c r="L1911" s="2">
        <v>0</v>
      </c>
      <c r="M1911">
        <v>22.71</v>
      </c>
      <c r="N1911" t="s">
        <v>10236</v>
      </c>
    </row>
    <row r="1912" spans="1:14">
      <c r="A1912" t="s">
        <v>35</v>
      </c>
      <c r="B1912" t="s">
        <v>2078</v>
      </c>
      <c r="C1912">
        <f>"45656MN"</f>
        <v>0</v>
      </c>
      <c r="D1912">
        <v>3</v>
      </c>
      <c r="E1912">
        <v>86</v>
      </c>
      <c r="F1912" s="2">
        <v>1</v>
      </c>
      <c r="G1912">
        <v>114.67</v>
      </c>
      <c r="H1912">
        <v>2</v>
      </c>
      <c r="I1912">
        <v>0.176255433207675</v>
      </c>
      <c r="J1912">
        <v>1</v>
      </c>
      <c r="K1912">
        <v>0</v>
      </c>
      <c r="L1912" s="2">
        <v>0</v>
      </c>
      <c r="M1912">
        <v>22.72</v>
      </c>
      <c r="N1912" t="s">
        <v>10236</v>
      </c>
    </row>
    <row r="1913" spans="1:14">
      <c r="A1913" t="s">
        <v>194</v>
      </c>
      <c r="B1913" t="s">
        <v>2079</v>
      </c>
      <c r="C1913">
        <f>"113212"</f>
        <v>0</v>
      </c>
      <c r="D1913">
        <v>3</v>
      </c>
      <c r="E1913">
        <v>1</v>
      </c>
      <c r="F1913" s="2">
        <v>19</v>
      </c>
      <c r="G1913">
        <v>1.33</v>
      </c>
      <c r="H1913">
        <v>2</v>
      </c>
      <c r="I1913">
        <v>0.176255433207675</v>
      </c>
      <c r="J1913">
        <v>1</v>
      </c>
      <c r="K1913">
        <v>0</v>
      </c>
      <c r="L1913" s="2">
        <v>0</v>
      </c>
      <c r="M1913">
        <v>22.73</v>
      </c>
      <c r="N1913" t="s">
        <v>10236</v>
      </c>
    </row>
    <row r="1914" spans="1:14">
      <c r="A1914" t="s">
        <v>25</v>
      </c>
      <c r="B1914" t="s">
        <v>2080</v>
      </c>
      <c r="C1914">
        <f>"YT150"</f>
        <v>0</v>
      </c>
      <c r="D1914">
        <v>3</v>
      </c>
      <c r="E1914">
        <v>1</v>
      </c>
      <c r="F1914" s="2">
        <v>2</v>
      </c>
      <c r="G1914">
        <v>1.33</v>
      </c>
      <c r="H1914">
        <v>1</v>
      </c>
      <c r="I1914">
        <v>0.176255433207675</v>
      </c>
      <c r="J1914">
        <v>1</v>
      </c>
      <c r="K1914">
        <v>0</v>
      </c>
      <c r="L1914" s="2">
        <v>0</v>
      </c>
      <c r="M1914">
        <v>22.74</v>
      </c>
      <c r="N1914" t="s">
        <v>10236</v>
      </c>
    </row>
    <row r="1915" spans="1:14">
      <c r="A1915" t="s">
        <v>32</v>
      </c>
      <c r="B1915" t="s">
        <v>2081</v>
      </c>
      <c r="C1915">
        <f>"5008723"</f>
        <v>0</v>
      </c>
      <c r="D1915">
        <v>3</v>
      </c>
      <c r="E1915">
        <v>19</v>
      </c>
      <c r="F1915" s="2">
        <v>4</v>
      </c>
      <c r="G1915">
        <v>25.33</v>
      </c>
      <c r="H1915">
        <v>1</v>
      </c>
      <c r="I1915">
        <v>0.176255433207675</v>
      </c>
      <c r="J1915">
        <v>1</v>
      </c>
      <c r="K1915">
        <v>0</v>
      </c>
      <c r="L1915" s="2">
        <v>0</v>
      </c>
      <c r="M1915">
        <v>22.75</v>
      </c>
      <c r="N1915" t="s">
        <v>10236</v>
      </c>
    </row>
    <row r="1916" spans="1:14">
      <c r="A1916" t="s">
        <v>35</v>
      </c>
      <c r="B1916" t="s">
        <v>2082</v>
      </c>
      <c r="C1916">
        <f>"DN37"</f>
        <v>0</v>
      </c>
      <c r="D1916">
        <v>3</v>
      </c>
      <c r="E1916">
        <v>9</v>
      </c>
      <c r="F1916" s="2">
        <v>1</v>
      </c>
      <c r="G1916">
        <v>12</v>
      </c>
      <c r="H1916">
        <v>1</v>
      </c>
      <c r="I1916">
        <v>0.176255433207675</v>
      </c>
      <c r="J1916">
        <v>1</v>
      </c>
      <c r="K1916">
        <v>0</v>
      </c>
      <c r="L1916" s="2">
        <v>0</v>
      </c>
      <c r="M1916">
        <v>22.75</v>
      </c>
      <c r="N1916" t="s">
        <v>10236</v>
      </c>
    </row>
    <row r="1917" spans="1:14">
      <c r="A1917" t="s">
        <v>35</v>
      </c>
      <c r="B1917" t="s">
        <v>2083</v>
      </c>
      <c r="C1917">
        <f>"HDD042SC"</f>
        <v>0</v>
      </c>
      <c r="D1917">
        <v>3</v>
      </c>
      <c r="E1917">
        <v>2</v>
      </c>
      <c r="F1917" s="2">
        <v>1</v>
      </c>
      <c r="G1917">
        <v>2.67</v>
      </c>
      <c r="H1917">
        <v>1</v>
      </c>
      <c r="I1917">
        <v>0.176255433207675</v>
      </c>
      <c r="J1917">
        <v>1</v>
      </c>
      <c r="K1917">
        <v>0</v>
      </c>
      <c r="L1917" s="2">
        <v>0</v>
      </c>
      <c r="M1917">
        <v>22.76</v>
      </c>
      <c r="N1917" t="s">
        <v>10236</v>
      </c>
    </row>
    <row r="1918" spans="1:14">
      <c r="A1918" t="s">
        <v>35</v>
      </c>
      <c r="B1918" t="s">
        <v>2084</v>
      </c>
      <c r="C1918">
        <f>"HDD119C"</f>
        <v>0</v>
      </c>
      <c r="D1918">
        <v>3</v>
      </c>
      <c r="E1918">
        <v>3</v>
      </c>
      <c r="F1918" s="2">
        <v>1</v>
      </c>
      <c r="G1918">
        <v>4</v>
      </c>
      <c r="H1918">
        <v>2</v>
      </c>
      <c r="I1918">
        <v>0.176255433207675</v>
      </c>
      <c r="J1918">
        <v>1</v>
      </c>
      <c r="K1918">
        <v>0</v>
      </c>
      <c r="L1918" s="2">
        <v>0</v>
      </c>
      <c r="M1918">
        <v>22.77</v>
      </c>
      <c r="N1918" t="s">
        <v>10236</v>
      </c>
    </row>
    <row r="1919" spans="1:14">
      <c r="A1919" t="s">
        <v>192</v>
      </c>
      <c r="B1919" t="s">
        <v>2085</v>
      </c>
      <c r="C1919">
        <f>"6513"</f>
        <v>0</v>
      </c>
      <c r="D1919">
        <v>3</v>
      </c>
      <c r="E1919">
        <v>2</v>
      </c>
      <c r="F1919" s="2">
        <v>1</v>
      </c>
      <c r="G1919">
        <v>2.67</v>
      </c>
      <c r="H1919">
        <v>2</v>
      </c>
      <c r="I1919">
        <v>0.176255433207675</v>
      </c>
      <c r="J1919">
        <v>1</v>
      </c>
      <c r="K1919">
        <v>0</v>
      </c>
      <c r="L1919" s="2">
        <v>0</v>
      </c>
      <c r="M1919">
        <v>22.78</v>
      </c>
      <c r="N1919" t="s">
        <v>10236</v>
      </c>
    </row>
    <row r="1920" spans="1:14">
      <c r="A1920" t="s">
        <v>25</v>
      </c>
      <c r="B1920" t="s">
        <v>2086</v>
      </c>
      <c r="C1920">
        <f>"D140VE"</f>
        <v>0</v>
      </c>
      <c r="D1920">
        <v>3</v>
      </c>
      <c r="E1920">
        <v>115</v>
      </c>
      <c r="F1920" s="2">
        <v>0</v>
      </c>
      <c r="G1920">
        <v>153.33</v>
      </c>
      <c r="H1920">
        <v>2</v>
      </c>
      <c r="I1920">
        <v>0.176255433207675</v>
      </c>
      <c r="J1920">
        <v>1</v>
      </c>
      <c r="K1920">
        <v>0</v>
      </c>
      <c r="L1920" s="2">
        <v>0</v>
      </c>
      <c r="M1920">
        <v>22.79</v>
      </c>
      <c r="N1920" t="s">
        <v>10236</v>
      </c>
    </row>
    <row r="1921" spans="1:14">
      <c r="A1921" t="s">
        <v>25</v>
      </c>
      <c r="B1921" t="s">
        <v>2087</v>
      </c>
      <c r="C1921">
        <f>"D146FUC"</f>
        <v>0</v>
      </c>
      <c r="D1921">
        <v>3</v>
      </c>
      <c r="E1921">
        <v>38</v>
      </c>
      <c r="F1921" s="2">
        <v>0</v>
      </c>
      <c r="G1921">
        <v>50.67</v>
      </c>
      <c r="H1921">
        <v>2</v>
      </c>
      <c r="I1921">
        <v>0.176255433207675</v>
      </c>
      <c r="J1921">
        <v>1</v>
      </c>
      <c r="K1921">
        <v>0</v>
      </c>
      <c r="L1921" s="2">
        <v>0</v>
      </c>
      <c r="M1921">
        <v>22.8</v>
      </c>
      <c r="N1921" t="s">
        <v>10236</v>
      </c>
    </row>
    <row r="1922" spans="1:14">
      <c r="A1922" t="s">
        <v>35</v>
      </c>
      <c r="B1922" t="s">
        <v>2088</v>
      </c>
      <c r="C1922">
        <f>"SDR113"</f>
        <v>0</v>
      </c>
      <c r="D1922">
        <v>3</v>
      </c>
      <c r="E1922">
        <v>2</v>
      </c>
      <c r="F1922" s="2">
        <v>1</v>
      </c>
      <c r="G1922">
        <v>2.67</v>
      </c>
      <c r="H1922">
        <v>2</v>
      </c>
      <c r="I1922">
        <v>0.176255433207675</v>
      </c>
      <c r="J1922">
        <v>1</v>
      </c>
      <c r="K1922">
        <v>0</v>
      </c>
      <c r="L1922" s="2">
        <v>0</v>
      </c>
      <c r="M1922">
        <v>22.81</v>
      </c>
      <c r="N1922" t="s">
        <v>10236</v>
      </c>
    </row>
    <row r="1923" spans="1:14">
      <c r="A1923" t="s">
        <v>35</v>
      </c>
      <c r="B1923" t="s">
        <v>2089</v>
      </c>
      <c r="C1923">
        <f>"LS1"</f>
        <v>0</v>
      </c>
      <c r="D1923">
        <v>3</v>
      </c>
      <c r="E1923">
        <v>1</v>
      </c>
      <c r="F1923" s="2">
        <v>4</v>
      </c>
      <c r="G1923">
        <v>1.33</v>
      </c>
      <c r="H1923">
        <v>2</v>
      </c>
      <c r="I1923">
        <v>0.176255433207675</v>
      </c>
      <c r="J1923">
        <v>1</v>
      </c>
      <c r="K1923">
        <v>0</v>
      </c>
      <c r="L1923" s="2">
        <v>0</v>
      </c>
      <c r="M1923">
        <v>22.82</v>
      </c>
      <c r="N1923" t="s">
        <v>10236</v>
      </c>
    </row>
    <row r="1924" spans="1:14">
      <c r="A1924" t="s">
        <v>24</v>
      </c>
      <c r="B1924" t="s">
        <v>2090</v>
      </c>
      <c r="C1924">
        <f>"1520001"</f>
        <v>0</v>
      </c>
      <c r="D1924">
        <v>3</v>
      </c>
      <c r="E1924">
        <v>7</v>
      </c>
      <c r="F1924" s="2">
        <v>2</v>
      </c>
      <c r="G1924">
        <v>9.33</v>
      </c>
      <c r="H1924">
        <v>2</v>
      </c>
      <c r="I1924">
        <v>0.176255433207675</v>
      </c>
      <c r="J1924">
        <v>1</v>
      </c>
      <c r="K1924">
        <v>0</v>
      </c>
      <c r="L1924" s="2">
        <v>0</v>
      </c>
      <c r="M1924">
        <v>22.83</v>
      </c>
      <c r="N1924" t="s">
        <v>10236</v>
      </c>
    </row>
    <row r="1925" spans="1:14">
      <c r="A1925" t="s">
        <v>35</v>
      </c>
      <c r="B1925" t="s">
        <v>2091</v>
      </c>
      <c r="C1925">
        <f>"SDR115"</f>
        <v>0</v>
      </c>
      <c r="D1925">
        <v>3</v>
      </c>
      <c r="E1925">
        <v>1</v>
      </c>
      <c r="F1925" s="2">
        <v>2</v>
      </c>
      <c r="G1925">
        <v>1.33</v>
      </c>
      <c r="H1925">
        <v>1</v>
      </c>
      <c r="I1925">
        <v>0.176255433207675</v>
      </c>
      <c r="J1925">
        <v>1</v>
      </c>
      <c r="K1925">
        <v>0</v>
      </c>
      <c r="L1925" s="2">
        <v>0</v>
      </c>
      <c r="M1925">
        <v>22.84</v>
      </c>
      <c r="N1925" t="s">
        <v>10236</v>
      </c>
    </row>
    <row r="1926" spans="1:14">
      <c r="A1926" t="s">
        <v>35</v>
      </c>
      <c r="B1926" t="s">
        <v>2092</v>
      </c>
      <c r="C1926">
        <f>"SDR111"</f>
        <v>0</v>
      </c>
      <c r="D1926">
        <v>3</v>
      </c>
      <c r="E1926">
        <v>3</v>
      </c>
      <c r="F1926" s="2">
        <v>1</v>
      </c>
      <c r="G1926">
        <v>4</v>
      </c>
      <c r="H1926">
        <v>1</v>
      </c>
      <c r="I1926">
        <v>0.176255433207675</v>
      </c>
      <c r="J1926">
        <v>1</v>
      </c>
      <c r="K1926">
        <v>0</v>
      </c>
      <c r="L1926" s="2">
        <v>0</v>
      </c>
      <c r="M1926">
        <v>22.85</v>
      </c>
      <c r="N1926" t="s">
        <v>10236</v>
      </c>
    </row>
    <row r="1927" spans="1:14">
      <c r="A1927" t="s">
        <v>213</v>
      </c>
      <c r="B1927" t="s">
        <v>2093</v>
      </c>
      <c r="C1927">
        <f>"50192626"</f>
        <v>0</v>
      </c>
      <c r="D1927">
        <v>3</v>
      </c>
      <c r="E1927">
        <v>12</v>
      </c>
      <c r="F1927" s="2">
        <v>5</v>
      </c>
      <c r="G1927">
        <v>16</v>
      </c>
      <c r="H1927">
        <v>1</v>
      </c>
      <c r="I1927">
        <v>0.176255433207675</v>
      </c>
      <c r="J1927">
        <v>1</v>
      </c>
      <c r="K1927">
        <v>0</v>
      </c>
      <c r="L1927" s="2">
        <v>0</v>
      </c>
      <c r="M1927">
        <v>22.86</v>
      </c>
      <c r="N1927" t="s">
        <v>10236</v>
      </c>
    </row>
    <row r="1928" spans="1:14">
      <c r="A1928" t="s">
        <v>35</v>
      </c>
      <c r="B1928" t="s">
        <v>2094</v>
      </c>
      <c r="C1928">
        <f>"PCM5065S"</f>
        <v>0</v>
      </c>
      <c r="D1928">
        <v>3</v>
      </c>
      <c r="E1928">
        <v>18</v>
      </c>
      <c r="F1928" s="2">
        <v>6</v>
      </c>
      <c r="G1928">
        <v>24</v>
      </c>
      <c r="H1928">
        <v>1</v>
      </c>
      <c r="I1928">
        <v>0.176255433207675</v>
      </c>
      <c r="J1928">
        <v>1</v>
      </c>
      <c r="K1928">
        <v>0</v>
      </c>
      <c r="L1928" s="2">
        <v>0</v>
      </c>
      <c r="M1928">
        <v>22.87</v>
      </c>
      <c r="N1928" t="s">
        <v>10236</v>
      </c>
    </row>
    <row r="1929" spans="1:14">
      <c r="A1929" t="s">
        <v>213</v>
      </c>
      <c r="B1929" t="s">
        <v>2095</v>
      </c>
      <c r="C1929">
        <f>"50192727"</f>
        <v>0</v>
      </c>
      <c r="D1929">
        <v>3</v>
      </c>
      <c r="E1929">
        <v>20</v>
      </c>
      <c r="F1929" s="2">
        <v>6</v>
      </c>
      <c r="G1929">
        <v>26.67</v>
      </c>
      <c r="H1929">
        <v>1</v>
      </c>
      <c r="I1929">
        <v>0.176255433207675</v>
      </c>
      <c r="J1929">
        <v>1</v>
      </c>
      <c r="K1929">
        <v>0</v>
      </c>
      <c r="L1929" s="2">
        <v>0</v>
      </c>
      <c r="M1929">
        <v>22.88</v>
      </c>
      <c r="N1929" t="s">
        <v>10236</v>
      </c>
    </row>
    <row r="1930" spans="1:14">
      <c r="A1930" t="s">
        <v>24</v>
      </c>
      <c r="B1930" t="s">
        <v>2096</v>
      </c>
      <c r="C1930">
        <f>"1113801"</f>
        <v>0</v>
      </c>
      <c r="D1930">
        <v>3</v>
      </c>
      <c r="E1930">
        <v>3</v>
      </c>
      <c r="F1930" s="2">
        <v>2</v>
      </c>
      <c r="G1930">
        <v>4</v>
      </c>
      <c r="H1930">
        <v>1</v>
      </c>
      <c r="I1930">
        <v>0.176255433207675</v>
      </c>
      <c r="J1930">
        <v>1</v>
      </c>
      <c r="K1930">
        <v>0</v>
      </c>
      <c r="L1930" s="2">
        <v>0</v>
      </c>
      <c r="M1930">
        <v>22.89</v>
      </c>
      <c r="N1930" t="s">
        <v>10236</v>
      </c>
    </row>
    <row r="1931" spans="1:14">
      <c r="A1931" t="s">
        <v>25</v>
      </c>
      <c r="B1931" t="s">
        <v>2097</v>
      </c>
      <c r="C1931">
        <f>"11624"</f>
        <v>0</v>
      </c>
      <c r="D1931">
        <v>3</v>
      </c>
      <c r="E1931">
        <v>2</v>
      </c>
      <c r="F1931" s="2">
        <v>3</v>
      </c>
      <c r="G1931">
        <v>2.67</v>
      </c>
      <c r="H1931">
        <v>1</v>
      </c>
      <c r="I1931">
        <v>0.176255433207675</v>
      </c>
      <c r="J1931">
        <v>1</v>
      </c>
      <c r="K1931">
        <v>0</v>
      </c>
      <c r="L1931" s="2">
        <v>0</v>
      </c>
      <c r="M1931">
        <v>22.89</v>
      </c>
      <c r="N1931" t="s">
        <v>10236</v>
      </c>
    </row>
    <row r="1932" spans="1:14">
      <c r="A1932" t="s">
        <v>29</v>
      </c>
      <c r="B1932" t="s">
        <v>2098</v>
      </c>
      <c r="C1932">
        <f>"P504"</f>
        <v>0</v>
      </c>
      <c r="D1932">
        <v>3</v>
      </c>
      <c r="E1932">
        <v>4</v>
      </c>
      <c r="F1932" s="2">
        <v>0</v>
      </c>
      <c r="G1932">
        <v>5.33</v>
      </c>
      <c r="H1932">
        <v>2</v>
      </c>
      <c r="I1932">
        <v>0.176255433207675</v>
      </c>
      <c r="J1932">
        <v>1</v>
      </c>
      <c r="K1932">
        <v>0</v>
      </c>
      <c r="L1932" s="2">
        <v>0</v>
      </c>
      <c r="M1932">
        <v>22.9</v>
      </c>
      <c r="N1932" t="s">
        <v>10236</v>
      </c>
    </row>
    <row r="1933" spans="1:14">
      <c r="A1933" t="s">
        <v>25</v>
      </c>
      <c r="B1933" t="s">
        <v>2099</v>
      </c>
      <c r="C1933">
        <f>"S308AZ"</f>
        <v>0</v>
      </c>
      <c r="D1933">
        <v>3</v>
      </c>
      <c r="E1933">
        <v>2</v>
      </c>
      <c r="F1933" s="2">
        <v>3</v>
      </c>
      <c r="G1933">
        <v>2.67</v>
      </c>
      <c r="H1933">
        <v>2</v>
      </c>
      <c r="I1933">
        <v>0.176255433207675</v>
      </c>
      <c r="J1933">
        <v>1</v>
      </c>
      <c r="K1933">
        <v>0</v>
      </c>
      <c r="L1933" s="2">
        <v>0</v>
      </c>
      <c r="M1933">
        <v>22.91</v>
      </c>
      <c r="N1933" t="s">
        <v>10236</v>
      </c>
    </row>
    <row r="1934" spans="1:14">
      <c r="A1934" t="s">
        <v>25</v>
      </c>
      <c r="B1934" t="s">
        <v>2100</v>
      </c>
      <c r="C1934">
        <f>"S308ROS"</f>
        <v>0</v>
      </c>
      <c r="D1934">
        <v>3</v>
      </c>
      <c r="E1934">
        <v>2</v>
      </c>
      <c r="F1934" s="2">
        <v>3</v>
      </c>
      <c r="G1934">
        <v>2.67</v>
      </c>
      <c r="H1934">
        <v>3</v>
      </c>
      <c r="I1934">
        <v>0.176255433207675</v>
      </c>
      <c r="J1934">
        <v>1</v>
      </c>
      <c r="K1934">
        <v>0</v>
      </c>
      <c r="L1934" s="2">
        <v>0</v>
      </c>
      <c r="M1934">
        <v>22.92</v>
      </c>
      <c r="N1934" t="s">
        <v>10236</v>
      </c>
    </row>
    <row r="1935" spans="1:14">
      <c r="A1935" t="s">
        <v>35</v>
      </c>
      <c r="B1935" t="s">
        <v>2101</v>
      </c>
      <c r="C1935">
        <f>"ER073"</f>
        <v>0</v>
      </c>
      <c r="D1935">
        <v>3</v>
      </c>
      <c r="E1935">
        <v>28</v>
      </c>
      <c r="F1935" s="2">
        <v>0</v>
      </c>
      <c r="G1935">
        <v>37.33</v>
      </c>
      <c r="H1935">
        <v>1</v>
      </c>
      <c r="I1935">
        <v>0.176255433207675</v>
      </c>
      <c r="J1935">
        <v>1</v>
      </c>
      <c r="K1935">
        <v>0</v>
      </c>
      <c r="L1935" s="2">
        <v>0</v>
      </c>
      <c r="M1935">
        <v>22.93</v>
      </c>
      <c r="N1935" t="s">
        <v>10236</v>
      </c>
    </row>
    <row r="1936" spans="1:14">
      <c r="A1936" t="s">
        <v>24</v>
      </c>
      <c r="B1936" t="s">
        <v>2102</v>
      </c>
      <c r="C1936">
        <f>"1015477"</f>
        <v>0</v>
      </c>
      <c r="D1936">
        <v>3</v>
      </c>
      <c r="E1936">
        <v>2</v>
      </c>
      <c r="F1936" s="2">
        <v>4</v>
      </c>
      <c r="G1936">
        <v>2.67</v>
      </c>
      <c r="H1936">
        <v>2</v>
      </c>
      <c r="I1936">
        <v>0.176255433207675</v>
      </c>
      <c r="J1936">
        <v>1</v>
      </c>
      <c r="K1936">
        <v>0</v>
      </c>
      <c r="L1936" s="2">
        <v>0</v>
      </c>
      <c r="M1936">
        <v>22.94</v>
      </c>
      <c r="N1936" t="s">
        <v>10236</v>
      </c>
    </row>
    <row r="1937" spans="1:14">
      <c r="A1937" t="s">
        <v>35</v>
      </c>
      <c r="B1937" t="s">
        <v>2103</v>
      </c>
      <c r="C1937">
        <f>"KF8040G"</f>
        <v>0</v>
      </c>
      <c r="D1937">
        <v>3</v>
      </c>
      <c r="E1937">
        <v>2</v>
      </c>
      <c r="F1937" s="2">
        <v>4</v>
      </c>
      <c r="G1937">
        <v>2.67</v>
      </c>
      <c r="H1937">
        <v>2</v>
      </c>
      <c r="I1937">
        <v>0.176255433207675</v>
      </c>
      <c r="J1937">
        <v>1</v>
      </c>
      <c r="K1937">
        <v>0</v>
      </c>
      <c r="L1937" s="2">
        <v>0</v>
      </c>
      <c r="M1937">
        <v>22.95</v>
      </c>
      <c r="N1937" t="s">
        <v>10236</v>
      </c>
    </row>
    <row r="1938" spans="1:14">
      <c r="A1938" t="s">
        <v>24</v>
      </c>
      <c r="B1938" t="s">
        <v>2104</v>
      </c>
      <c r="C1938">
        <f>"1018500"</f>
        <v>0</v>
      </c>
      <c r="D1938">
        <v>3</v>
      </c>
      <c r="E1938">
        <v>2</v>
      </c>
      <c r="F1938" s="2">
        <v>2</v>
      </c>
      <c r="G1938">
        <v>2.67</v>
      </c>
      <c r="H1938">
        <v>1</v>
      </c>
      <c r="I1938">
        <v>0.176255433207675</v>
      </c>
      <c r="J1938">
        <v>1</v>
      </c>
      <c r="K1938">
        <v>0</v>
      </c>
      <c r="L1938" s="2">
        <v>0</v>
      </c>
      <c r="M1938">
        <v>22.96</v>
      </c>
      <c r="N1938" t="s">
        <v>10236</v>
      </c>
    </row>
    <row r="1939" spans="1:14">
      <c r="A1939" t="s">
        <v>24</v>
      </c>
      <c r="B1939" t="s">
        <v>2105</v>
      </c>
      <c r="C1939">
        <f>"SP200"</f>
        <v>0</v>
      </c>
      <c r="D1939">
        <v>3</v>
      </c>
      <c r="E1939">
        <v>3</v>
      </c>
      <c r="F1939" s="2">
        <v>5</v>
      </c>
      <c r="G1939">
        <v>4</v>
      </c>
      <c r="H1939">
        <v>2</v>
      </c>
      <c r="I1939">
        <v>0.176255433207675</v>
      </c>
      <c r="J1939">
        <v>1</v>
      </c>
      <c r="K1939">
        <v>0</v>
      </c>
      <c r="L1939" s="2">
        <v>0</v>
      </c>
      <c r="M1939">
        <v>22.97</v>
      </c>
      <c r="N1939" t="s">
        <v>10236</v>
      </c>
    </row>
    <row r="1940" spans="1:14">
      <c r="A1940" t="s">
        <v>25</v>
      </c>
      <c r="B1940" t="s">
        <v>2106</v>
      </c>
      <c r="C1940">
        <f>"YB0395"</f>
        <v>0</v>
      </c>
      <c r="D1940">
        <v>3</v>
      </c>
      <c r="E1940">
        <v>1</v>
      </c>
      <c r="F1940" s="2">
        <v>32</v>
      </c>
      <c r="G1940">
        <v>1.33</v>
      </c>
      <c r="H1940">
        <v>3</v>
      </c>
      <c r="I1940">
        <v>0.176255433207675</v>
      </c>
      <c r="J1940">
        <v>1</v>
      </c>
      <c r="K1940">
        <v>0</v>
      </c>
      <c r="L1940" s="2">
        <v>0</v>
      </c>
      <c r="M1940">
        <v>22.98</v>
      </c>
      <c r="N1940" t="s">
        <v>10236</v>
      </c>
    </row>
    <row r="1941" spans="1:14">
      <c r="A1941" t="s">
        <v>32</v>
      </c>
      <c r="B1941" t="s">
        <v>2107</v>
      </c>
      <c r="C1941">
        <f>"5009531"</f>
        <v>0</v>
      </c>
      <c r="D1941">
        <v>3</v>
      </c>
      <c r="E1941">
        <v>3</v>
      </c>
      <c r="F1941" s="2">
        <v>1</v>
      </c>
      <c r="G1941">
        <v>4</v>
      </c>
      <c r="H1941">
        <v>2</v>
      </c>
      <c r="I1941">
        <v>0.176255433207675</v>
      </c>
      <c r="J1941">
        <v>1</v>
      </c>
      <c r="K1941">
        <v>0</v>
      </c>
      <c r="L1941" s="2">
        <v>0</v>
      </c>
      <c r="M1941">
        <v>22.99</v>
      </c>
      <c r="N1941" t="s">
        <v>10236</v>
      </c>
    </row>
    <row r="1942" spans="1:14">
      <c r="A1942" t="s">
        <v>25</v>
      </c>
      <c r="B1942" t="s">
        <v>2108</v>
      </c>
      <c r="C1942">
        <f>"6764999"</f>
        <v>0</v>
      </c>
      <c r="D1942">
        <v>3</v>
      </c>
      <c r="E1942">
        <v>1</v>
      </c>
      <c r="F1942" s="2">
        <v>1</v>
      </c>
      <c r="G1942">
        <v>1.33</v>
      </c>
      <c r="H1942">
        <v>2</v>
      </c>
      <c r="I1942">
        <v>0.176255433207675</v>
      </c>
      <c r="J1942">
        <v>1</v>
      </c>
      <c r="K1942">
        <v>0</v>
      </c>
      <c r="L1942" s="2">
        <v>0</v>
      </c>
      <c r="M1942">
        <v>23</v>
      </c>
      <c r="N1942" t="s">
        <v>10236</v>
      </c>
    </row>
    <row r="1943" spans="1:14">
      <c r="A1943" t="s">
        <v>35</v>
      </c>
      <c r="B1943" t="s">
        <v>2109</v>
      </c>
      <c r="C1943">
        <f>"KE3204P"</f>
        <v>0</v>
      </c>
      <c r="D1943">
        <v>3</v>
      </c>
      <c r="E1943">
        <v>44</v>
      </c>
      <c r="F1943" s="2">
        <v>2</v>
      </c>
      <c r="G1943">
        <v>58.67</v>
      </c>
      <c r="H1943">
        <v>2</v>
      </c>
      <c r="I1943">
        <v>0.176255433207675</v>
      </c>
      <c r="J1943">
        <v>1</v>
      </c>
      <c r="K1943">
        <v>0</v>
      </c>
      <c r="L1943" s="2">
        <v>0</v>
      </c>
      <c r="M1943">
        <v>23.01</v>
      </c>
      <c r="N1943" t="s">
        <v>10236</v>
      </c>
    </row>
    <row r="1944" spans="1:14">
      <c r="A1944" t="s">
        <v>35</v>
      </c>
      <c r="B1944" t="s">
        <v>2110</v>
      </c>
      <c r="C1944">
        <f>"er015"</f>
        <v>0</v>
      </c>
      <c r="D1944">
        <v>3</v>
      </c>
      <c r="E1944">
        <v>4</v>
      </c>
      <c r="F1944" s="2">
        <v>3</v>
      </c>
      <c r="G1944">
        <v>5.33</v>
      </c>
      <c r="H1944">
        <v>2</v>
      </c>
      <c r="I1944">
        <v>0.176255433207675</v>
      </c>
      <c r="J1944">
        <v>1</v>
      </c>
      <c r="K1944">
        <v>0</v>
      </c>
      <c r="L1944" s="2">
        <v>0</v>
      </c>
      <c r="M1944">
        <v>23.02</v>
      </c>
      <c r="N1944" t="s">
        <v>10236</v>
      </c>
    </row>
    <row r="1945" spans="1:14">
      <c r="A1945" t="s">
        <v>27</v>
      </c>
      <c r="B1945" t="s">
        <v>2111</v>
      </c>
      <c r="C1945">
        <f>"USD603"</f>
        <v>0</v>
      </c>
      <c r="D1945">
        <v>3</v>
      </c>
      <c r="E1945">
        <v>13</v>
      </c>
      <c r="F1945" s="2">
        <v>3</v>
      </c>
      <c r="G1945">
        <v>17.33</v>
      </c>
      <c r="H1945">
        <v>1</v>
      </c>
      <c r="I1945">
        <v>0.176255433207675</v>
      </c>
      <c r="J1945">
        <v>1</v>
      </c>
      <c r="K1945">
        <v>0</v>
      </c>
      <c r="L1945" s="2">
        <v>0</v>
      </c>
      <c r="M1945">
        <v>23.03</v>
      </c>
      <c r="N1945" t="s">
        <v>10236</v>
      </c>
    </row>
    <row r="1946" spans="1:14">
      <c r="A1946" t="s">
        <v>41</v>
      </c>
      <c r="B1946" t="s">
        <v>2112</v>
      </c>
      <c r="C1946">
        <f>"LEGDERMA01"</f>
        <v>0</v>
      </c>
      <c r="D1946">
        <v>3</v>
      </c>
      <c r="E1946">
        <v>2</v>
      </c>
      <c r="F1946" s="2">
        <v>11</v>
      </c>
      <c r="G1946">
        <v>2.67</v>
      </c>
      <c r="H1946">
        <v>2</v>
      </c>
      <c r="I1946">
        <v>0.176255433207675</v>
      </c>
      <c r="J1946">
        <v>1</v>
      </c>
      <c r="K1946">
        <v>0</v>
      </c>
      <c r="L1946" s="2">
        <v>0</v>
      </c>
      <c r="M1946">
        <v>23.03</v>
      </c>
      <c r="N1946" t="s">
        <v>10236</v>
      </c>
    </row>
    <row r="1947" spans="1:14">
      <c r="A1947" t="s">
        <v>35</v>
      </c>
      <c r="B1947" t="s">
        <v>2113</v>
      </c>
      <c r="C1947">
        <f>"2135"</f>
        <v>0</v>
      </c>
      <c r="D1947">
        <v>3</v>
      </c>
      <c r="E1947">
        <v>1</v>
      </c>
      <c r="F1947" s="2">
        <v>1</v>
      </c>
      <c r="G1947">
        <v>1.33</v>
      </c>
      <c r="H1947">
        <v>2</v>
      </c>
      <c r="I1947">
        <v>0.176255433207675</v>
      </c>
      <c r="J1947">
        <v>1</v>
      </c>
      <c r="K1947">
        <v>0</v>
      </c>
      <c r="L1947" s="2">
        <v>0</v>
      </c>
      <c r="M1947">
        <v>23.04</v>
      </c>
      <c r="N1947" t="s">
        <v>10236</v>
      </c>
    </row>
    <row r="1948" spans="1:14">
      <c r="A1948" t="s">
        <v>194</v>
      </c>
      <c r="B1948" t="s">
        <v>2114</v>
      </c>
      <c r="C1948">
        <f>"100700015"</f>
        <v>0</v>
      </c>
      <c r="D1948">
        <v>3</v>
      </c>
      <c r="E1948">
        <v>6</v>
      </c>
      <c r="F1948" s="2">
        <v>37</v>
      </c>
      <c r="G1948">
        <v>8</v>
      </c>
      <c r="H1948">
        <v>1</v>
      </c>
      <c r="I1948">
        <v>0.176255433207675</v>
      </c>
      <c r="J1948">
        <v>1</v>
      </c>
      <c r="K1948">
        <v>0</v>
      </c>
      <c r="L1948" s="2">
        <v>0</v>
      </c>
      <c r="M1948">
        <v>23.05</v>
      </c>
      <c r="N1948" t="s">
        <v>10236</v>
      </c>
    </row>
    <row r="1949" spans="1:14">
      <c r="A1949" t="s">
        <v>194</v>
      </c>
      <c r="B1949" t="s">
        <v>2115</v>
      </c>
      <c r="C1949">
        <f>"100130250"</f>
        <v>0</v>
      </c>
      <c r="D1949">
        <v>3</v>
      </c>
      <c r="E1949">
        <v>5</v>
      </c>
      <c r="F1949" s="2">
        <v>14</v>
      </c>
      <c r="G1949">
        <v>6.67</v>
      </c>
      <c r="H1949">
        <v>1</v>
      </c>
      <c r="I1949">
        <v>0.176255433207675</v>
      </c>
      <c r="J1949">
        <v>1</v>
      </c>
      <c r="K1949">
        <v>0</v>
      </c>
      <c r="L1949" s="2">
        <v>0</v>
      </c>
      <c r="M1949">
        <v>23.06</v>
      </c>
      <c r="N1949" t="s">
        <v>10236</v>
      </c>
    </row>
    <row r="1950" spans="1:14">
      <c r="A1950" t="s">
        <v>35</v>
      </c>
      <c r="B1950" t="s">
        <v>2116</v>
      </c>
      <c r="C1950">
        <f>"JQ1500"</f>
        <v>0</v>
      </c>
      <c r="D1950">
        <v>3</v>
      </c>
      <c r="E1950">
        <v>2</v>
      </c>
      <c r="F1950" s="2">
        <v>7</v>
      </c>
      <c r="G1950">
        <v>2.67</v>
      </c>
      <c r="H1950">
        <v>1</v>
      </c>
      <c r="I1950">
        <v>0.176255433207675</v>
      </c>
      <c r="J1950">
        <v>1</v>
      </c>
      <c r="K1950">
        <v>0</v>
      </c>
      <c r="L1950" s="2">
        <v>0</v>
      </c>
      <c r="M1950">
        <v>23.07</v>
      </c>
      <c r="N1950" t="s">
        <v>10236</v>
      </c>
    </row>
    <row r="1951" spans="1:14">
      <c r="A1951" t="s">
        <v>32</v>
      </c>
      <c r="B1951" t="s">
        <v>2117</v>
      </c>
      <c r="C1951">
        <f>"1019331"</f>
        <v>0</v>
      </c>
      <c r="D1951">
        <v>3</v>
      </c>
      <c r="E1951">
        <v>1</v>
      </c>
      <c r="F1951" s="2">
        <v>9</v>
      </c>
      <c r="G1951">
        <v>1.33</v>
      </c>
      <c r="H1951">
        <v>2</v>
      </c>
      <c r="I1951">
        <v>0.176255433207675</v>
      </c>
      <c r="J1951">
        <v>1</v>
      </c>
      <c r="K1951">
        <v>0</v>
      </c>
      <c r="L1951" s="2">
        <v>0</v>
      </c>
      <c r="M1951">
        <v>23.08</v>
      </c>
      <c r="N1951" t="s">
        <v>10236</v>
      </c>
    </row>
    <row r="1952" spans="1:14">
      <c r="A1952" t="s">
        <v>217</v>
      </c>
      <c r="B1952" t="s">
        <v>2118</v>
      </c>
      <c r="C1952">
        <f>"MT0100"</f>
        <v>0</v>
      </c>
      <c r="D1952">
        <v>3</v>
      </c>
      <c r="E1952">
        <v>3</v>
      </c>
      <c r="F1952" s="2">
        <v>7</v>
      </c>
      <c r="G1952">
        <v>4</v>
      </c>
      <c r="H1952">
        <v>2</v>
      </c>
      <c r="I1952">
        <v>0.176255433207675</v>
      </c>
      <c r="J1952">
        <v>1</v>
      </c>
      <c r="K1952">
        <v>0</v>
      </c>
      <c r="L1952" s="2">
        <v>0</v>
      </c>
      <c r="M1952">
        <v>23.09</v>
      </c>
      <c r="N1952" t="s">
        <v>10236</v>
      </c>
    </row>
    <row r="1953" spans="1:14">
      <c r="A1953" t="s">
        <v>194</v>
      </c>
      <c r="B1953" t="s">
        <v>2119</v>
      </c>
      <c r="C1953">
        <f>"555015"</f>
        <v>0</v>
      </c>
      <c r="D1953">
        <v>3</v>
      </c>
      <c r="E1953">
        <v>3</v>
      </c>
      <c r="F1953" s="2">
        <v>47</v>
      </c>
      <c r="G1953">
        <v>4</v>
      </c>
      <c r="H1953">
        <v>2</v>
      </c>
      <c r="I1953">
        <v>0.176255433207675</v>
      </c>
      <c r="J1953">
        <v>1</v>
      </c>
      <c r="K1953">
        <v>0</v>
      </c>
      <c r="L1953" s="2">
        <v>0</v>
      </c>
      <c r="M1953">
        <v>23.1</v>
      </c>
      <c r="N1953" t="s">
        <v>10236</v>
      </c>
    </row>
    <row r="1954" spans="1:14">
      <c r="A1954" t="s">
        <v>35</v>
      </c>
      <c r="B1954" t="s">
        <v>2120</v>
      </c>
      <c r="C1954">
        <f>"BRI2"</f>
        <v>0</v>
      </c>
      <c r="D1954">
        <v>3</v>
      </c>
      <c r="E1954">
        <v>1</v>
      </c>
      <c r="F1954" s="2">
        <v>1</v>
      </c>
      <c r="G1954">
        <v>1.33</v>
      </c>
      <c r="H1954">
        <v>1</v>
      </c>
      <c r="I1954">
        <v>0.176255433207675</v>
      </c>
      <c r="J1954">
        <v>1</v>
      </c>
      <c r="K1954">
        <v>0</v>
      </c>
      <c r="L1954" s="2">
        <v>0</v>
      </c>
      <c r="M1954">
        <v>23.11</v>
      </c>
      <c r="N1954" t="s">
        <v>10236</v>
      </c>
    </row>
    <row r="1955" spans="1:14">
      <c r="A1955" t="s">
        <v>35</v>
      </c>
      <c r="B1955" t="s">
        <v>2121</v>
      </c>
      <c r="C1955">
        <f>"BRI6"</f>
        <v>0</v>
      </c>
      <c r="D1955">
        <v>3</v>
      </c>
      <c r="E1955">
        <v>1</v>
      </c>
      <c r="F1955" s="2">
        <v>2</v>
      </c>
      <c r="G1955">
        <v>1.33</v>
      </c>
      <c r="H1955">
        <v>2</v>
      </c>
      <c r="I1955">
        <v>0.176255433207675</v>
      </c>
      <c r="J1955">
        <v>1</v>
      </c>
      <c r="K1955">
        <v>0</v>
      </c>
      <c r="L1955" s="2">
        <v>0</v>
      </c>
      <c r="M1955">
        <v>23.12</v>
      </c>
      <c r="N1955" t="s">
        <v>10236</v>
      </c>
    </row>
    <row r="1956" spans="1:14">
      <c r="A1956" t="s">
        <v>35</v>
      </c>
      <c r="B1956" t="s">
        <v>2122</v>
      </c>
      <c r="C1956">
        <f>"BRI5"</f>
        <v>0</v>
      </c>
      <c r="D1956">
        <v>3</v>
      </c>
      <c r="E1956">
        <v>1</v>
      </c>
      <c r="F1956" s="2">
        <v>2</v>
      </c>
      <c r="G1956">
        <v>1.33</v>
      </c>
      <c r="H1956">
        <v>2</v>
      </c>
      <c r="I1956">
        <v>0.176255433207675</v>
      </c>
      <c r="J1956">
        <v>1</v>
      </c>
      <c r="K1956">
        <v>0</v>
      </c>
      <c r="L1956" s="2">
        <v>0</v>
      </c>
      <c r="M1956">
        <v>23.13</v>
      </c>
      <c r="N1956" t="s">
        <v>10236</v>
      </c>
    </row>
    <row r="1957" spans="1:14">
      <c r="A1957" t="s">
        <v>31</v>
      </c>
      <c r="B1957" t="s">
        <v>2123</v>
      </c>
      <c r="C1957">
        <f>"18900"</f>
        <v>0</v>
      </c>
      <c r="D1957">
        <v>3</v>
      </c>
      <c r="E1957">
        <v>21</v>
      </c>
      <c r="F1957" s="2">
        <v>9</v>
      </c>
      <c r="G1957">
        <v>28</v>
      </c>
      <c r="H1957">
        <v>3</v>
      </c>
      <c r="I1957">
        <v>0.176255433207675</v>
      </c>
      <c r="J1957">
        <v>1</v>
      </c>
      <c r="K1957">
        <v>0</v>
      </c>
      <c r="L1957" s="2">
        <v>0</v>
      </c>
      <c r="M1957">
        <v>23.14</v>
      </c>
      <c r="N1957" t="s">
        <v>10236</v>
      </c>
    </row>
    <row r="1958" spans="1:14">
      <c r="A1958" t="s">
        <v>37</v>
      </c>
      <c r="B1958" t="s">
        <v>2124</v>
      </c>
      <c r="C1958">
        <f>"560440"</f>
        <v>0</v>
      </c>
      <c r="D1958">
        <v>3</v>
      </c>
      <c r="E1958">
        <v>3</v>
      </c>
      <c r="F1958" s="2">
        <v>2</v>
      </c>
      <c r="G1958">
        <v>4</v>
      </c>
      <c r="H1958">
        <v>2</v>
      </c>
      <c r="I1958">
        <v>0.176255433207675</v>
      </c>
      <c r="J1958">
        <v>1</v>
      </c>
      <c r="K1958">
        <v>0</v>
      </c>
      <c r="L1958" s="2">
        <v>0</v>
      </c>
      <c r="M1958">
        <v>23.15</v>
      </c>
      <c r="N1958" t="s">
        <v>10236</v>
      </c>
    </row>
    <row r="1959" spans="1:14">
      <c r="A1959" t="s">
        <v>25</v>
      </c>
      <c r="B1959" t="s">
        <v>2125</v>
      </c>
      <c r="C1959">
        <f>"MS003"</f>
        <v>0</v>
      </c>
      <c r="D1959">
        <v>3</v>
      </c>
      <c r="E1959">
        <v>1</v>
      </c>
      <c r="F1959" s="2">
        <v>2</v>
      </c>
      <c r="G1959">
        <v>1.33</v>
      </c>
      <c r="H1959">
        <v>2</v>
      </c>
      <c r="I1959">
        <v>0.176255433207675</v>
      </c>
      <c r="J1959">
        <v>1</v>
      </c>
      <c r="K1959">
        <v>0</v>
      </c>
      <c r="L1959" s="2">
        <v>0</v>
      </c>
      <c r="M1959">
        <v>23.16</v>
      </c>
      <c r="N1959" t="s">
        <v>10236</v>
      </c>
    </row>
    <row r="1960" spans="1:14">
      <c r="A1960" t="s">
        <v>37</v>
      </c>
      <c r="B1960" t="s">
        <v>2126</v>
      </c>
      <c r="C1960">
        <f>"576030"</f>
        <v>0</v>
      </c>
      <c r="D1960">
        <v>3</v>
      </c>
      <c r="E1960">
        <v>3</v>
      </c>
      <c r="F1960" s="2">
        <v>1</v>
      </c>
      <c r="G1960">
        <v>4</v>
      </c>
      <c r="H1960">
        <v>2</v>
      </c>
      <c r="I1960">
        <v>0.176255433207675</v>
      </c>
      <c r="J1960">
        <v>1</v>
      </c>
      <c r="K1960">
        <v>0</v>
      </c>
      <c r="L1960" s="2">
        <v>0</v>
      </c>
      <c r="M1960">
        <v>23.17</v>
      </c>
      <c r="N1960" t="s">
        <v>10236</v>
      </c>
    </row>
    <row r="1961" spans="1:14">
      <c r="A1961" t="s">
        <v>35</v>
      </c>
      <c r="B1961" t="s">
        <v>2127</v>
      </c>
      <c r="C1961">
        <f>"TQ073V"</f>
        <v>0</v>
      </c>
      <c r="D1961">
        <v>3</v>
      </c>
      <c r="E1961">
        <v>2</v>
      </c>
      <c r="F1961" s="2">
        <v>342</v>
      </c>
      <c r="G1961">
        <v>2.67</v>
      </c>
      <c r="H1961">
        <v>2</v>
      </c>
      <c r="I1961">
        <v>0.176255433207675</v>
      </c>
      <c r="J1961">
        <v>1</v>
      </c>
      <c r="K1961">
        <v>0</v>
      </c>
      <c r="L1961" s="2">
        <v>0</v>
      </c>
      <c r="M1961">
        <v>23.17</v>
      </c>
      <c r="N1961" t="s">
        <v>10236</v>
      </c>
    </row>
    <row r="1962" spans="1:14">
      <c r="A1962" t="s">
        <v>192</v>
      </c>
      <c r="B1962" t="s">
        <v>2128</v>
      </c>
      <c r="C1962">
        <f>"LN010SROJ"</f>
        <v>0</v>
      </c>
      <c r="D1962">
        <v>3</v>
      </c>
      <c r="E1962">
        <v>2</v>
      </c>
      <c r="F1962" s="2">
        <v>1</v>
      </c>
      <c r="G1962">
        <v>2.67</v>
      </c>
      <c r="H1962">
        <v>1</v>
      </c>
      <c r="I1962">
        <v>0.176255433207675</v>
      </c>
      <c r="J1962">
        <v>1</v>
      </c>
      <c r="K1962">
        <v>0</v>
      </c>
      <c r="L1962" s="2">
        <v>0</v>
      </c>
      <c r="M1962">
        <v>23.18</v>
      </c>
      <c r="N1962" t="s">
        <v>10236</v>
      </c>
    </row>
    <row r="1963" spans="1:14">
      <c r="A1963" t="s">
        <v>35</v>
      </c>
      <c r="B1963" t="s">
        <v>2129</v>
      </c>
      <c r="C1963">
        <f>"C210BE"</f>
        <v>0</v>
      </c>
      <c r="D1963">
        <v>3</v>
      </c>
      <c r="E1963">
        <v>7</v>
      </c>
      <c r="F1963" s="2">
        <v>2</v>
      </c>
      <c r="G1963">
        <v>9.33</v>
      </c>
      <c r="H1963">
        <v>3</v>
      </c>
      <c r="I1963">
        <v>0.176255433207675</v>
      </c>
      <c r="J1963">
        <v>1</v>
      </c>
      <c r="K1963">
        <v>0</v>
      </c>
      <c r="L1963" s="2">
        <v>0</v>
      </c>
      <c r="M1963">
        <v>23.19</v>
      </c>
      <c r="N1963" t="s">
        <v>10236</v>
      </c>
    </row>
    <row r="1964" spans="1:14">
      <c r="A1964" t="s">
        <v>35</v>
      </c>
      <c r="B1964" t="s">
        <v>2130</v>
      </c>
      <c r="C1964">
        <f>"bri141"</f>
        <v>0</v>
      </c>
      <c r="D1964">
        <v>3</v>
      </c>
      <c r="E1964">
        <v>2</v>
      </c>
      <c r="F1964" s="2">
        <v>2</v>
      </c>
      <c r="G1964">
        <v>2.67</v>
      </c>
      <c r="H1964">
        <v>2</v>
      </c>
      <c r="I1964">
        <v>0.176255433207675</v>
      </c>
      <c r="J1964">
        <v>1</v>
      </c>
      <c r="K1964">
        <v>0</v>
      </c>
      <c r="L1964" s="2">
        <v>0</v>
      </c>
      <c r="M1964">
        <v>23.2</v>
      </c>
      <c r="N1964" t="s">
        <v>10236</v>
      </c>
    </row>
    <row r="1965" spans="1:14">
      <c r="A1965" t="s">
        <v>37</v>
      </c>
      <c r="B1965" t="s">
        <v>2131</v>
      </c>
      <c r="C1965">
        <f>"560479"</f>
        <v>0</v>
      </c>
      <c r="D1965">
        <v>3</v>
      </c>
      <c r="E1965">
        <v>1</v>
      </c>
      <c r="F1965" s="2">
        <v>5</v>
      </c>
      <c r="G1965">
        <v>1.33</v>
      </c>
      <c r="H1965">
        <v>2</v>
      </c>
      <c r="I1965">
        <v>0.176255433207675</v>
      </c>
      <c r="J1965">
        <v>1</v>
      </c>
      <c r="K1965">
        <v>0</v>
      </c>
      <c r="L1965" s="2">
        <v>0</v>
      </c>
      <c r="M1965">
        <v>23.21</v>
      </c>
      <c r="N1965" t="s">
        <v>10236</v>
      </c>
    </row>
    <row r="1966" spans="1:14">
      <c r="A1966" t="s">
        <v>35</v>
      </c>
      <c r="B1966" t="s">
        <v>2132</v>
      </c>
      <c r="C1966">
        <f>"TQ077V"</f>
        <v>0</v>
      </c>
      <c r="D1966">
        <v>3</v>
      </c>
      <c r="E1966">
        <v>20</v>
      </c>
      <c r="F1966" s="2">
        <v>0</v>
      </c>
      <c r="G1966">
        <v>26.67</v>
      </c>
      <c r="H1966">
        <v>2</v>
      </c>
      <c r="I1966">
        <v>0.176255433207675</v>
      </c>
      <c r="J1966">
        <v>1</v>
      </c>
      <c r="K1966">
        <v>0</v>
      </c>
      <c r="L1966" s="2">
        <v>0</v>
      </c>
      <c r="M1966">
        <v>23.22</v>
      </c>
      <c r="N1966" t="s">
        <v>10236</v>
      </c>
    </row>
    <row r="1967" spans="1:14">
      <c r="A1967" t="s">
        <v>35</v>
      </c>
      <c r="B1967" t="s">
        <v>2133</v>
      </c>
      <c r="C1967">
        <f>"MQ080807LV"</f>
        <v>0</v>
      </c>
      <c r="D1967">
        <v>3</v>
      </c>
      <c r="E1967">
        <v>18</v>
      </c>
      <c r="F1967" s="2">
        <v>9</v>
      </c>
      <c r="G1967">
        <v>24</v>
      </c>
      <c r="H1967">
        <v>2</v>
      </c>
      <c r="I1967">
        <v>0.176255433207675</v>
      </c>
      <c r="J1967">
        <v>1</v>
      </c>
      <c r="K1967">
        <v>0</v>
      </c>
      <c r="L1967" s="2">
        <v>0</v>
      </c>
      <c r="M1967">
        <v>23.23</v>
      </c>
      <c r="N1967" t="s">
        <v>10236</v>
      </c>
    </row>
    <row r="1968" spans="1:14">
      <c r="A1968" t="s">
        <v>193</v>
      </c>
      <c r="B1968" t="s">
        <v>2134</v>
      </c>
      <c r="C1968">
        <f>"564370"</f>
        <v>0</v>
      </c>
      <c r="D1968">
        <v>3</v>
      </c>
      <c r="E1968">
        <v>1</v>
      </c>
      <c r="F1968" s="2">
        <v>31</v>
      </c>
      <c r="G1968">
        <v>1.33</v>
      </c>
      <c r="H1968">
        <v>2</v>
      </c>
      <c r="I1968">
        <v>0.176255433207675</v>
      </c>
      <c r="J1968">
        <v>1</v>
      </c>
      <c r="K1968">
        <v>0</v>
      </c>
      <c r="L1968" s="2">
        <v>0</v>
      </c>
      <c r="M1968">
        <v>23.24</v>
      </c>
      <c r="N1968" t="s">
        <v>10236</v>
      </c>
    </row>
    <row r="1969" spans="1:14">
      <c r="A1969" t="s">
        <v>25</v>
      </c>
      <c r="B1969" t="s">
        <v>2135</v>
      </c>
      <c r="C1969">
        <f>"M022B"</f>
        <v>0</v>
      </c>
      <c r="D1969">
        <v>3</v>
      </c>
      <c r="E1969">
        <v>2</v>
      </c>
      <c r="F1969" s="2">
        <v>16</v>
      </c>
      <c r="G1969">
        <v>2.67</v>
      </c>
      <c r="H1969">
        <v>1</v>
      </c>
      <c r="I1969">
        <v>0.176255433207675</v>
      </c>
      <c r="J1969">
        <v>1</v>
      </c>
      <c r="K1969">
        <v>0</v>
      </c>
      <c r="L1969" s="2">
        <v>0</v>
      </c>
      <c r="M1969">
        <v>23.25</v>
      </c>
      <c r="N1969" t="s">
        <v>10236</v>
      </c>
    </row>
    <row r="1970" spans="1:14">
      <c r="A1970" t="s">
        <v>25</v>
      </c>
      <c r="B1970" t="s">
        <v>2136</v>
      </c>
      <c r="C1970">
        <f>"BEP22A"</f>
        <v>0</v>
      </c>
      <c r="D1970">
        <v>3</v>
      </c>
      <c r="E1970">
        <v>14</v>
      </c>
      <c r="F1970" s="2">
        <v>1</v>
      </c>
      <c r="G1970">
        <v>18.67</v>
      </c>
      <c r="H1970">
        <v>1</v>
      </c>
      <c r="I1970">
        <v>0.176255433207675</v>
      </c>
      <c r="J1970">
        <v>1</v>
      </c>
      <c r="K1970">
        <v>0</v>
      </c>
      <c r="L1970" s="2">
        <v>0</v>
      </c>
      <c r="M1970">
        <v>23.26</v>
      </c>
      <c r="N1970" t="s">
        <v>10236</v>
      </c>
    </row>
    <row r="1971" spans="1:14">
      <c r="A1971" t="s">
        <v>34</v>
      </c>
      <c r="B1971" t="s">
        <v>2137</v>
      </c>
      <c r="C1971">
        <f>"14000172"</f>
        <v>0</v>
      </c>
      <c r="D1971">
        <v>3</v>
      </c>
      <c r="E1971">
        <v>3</v>
      </c>
      <c r="F1971" s="2">
        <v>35</v>
      </c>
      <c r="G1971">
        <v>4</v>
      </c>
      <c r="H1971">
        <v>2</v>
      </c>
      <c r="I1971">
        <v>0.176255433207675</v>
      </c>
      <c r="J1971">
        <v>1</v>
      </c>
      <c r="K1971">
        <v>0</v>
      </c>
      <c r="L1971" s="2">
        <v>0</v>
      </c>
      <c r="M1971">
        <v>23.27</v>
      </c>
      <c r="N1971" t="s">
        <v>10236</v>
      </c>
    </row>
    <row r="1972" spans="1:14">
      <c r="A1972" t="s">
        <v>194</v>
      </c>
      <c r="B1972" t="s">
        <v>2138</v>
      </c>
      <c r="C1972">
        <f>"200700140"</f>
        <v>0</v>
      </c>
      <c r="D1972">
        <v>3</v>
      </c>
      <c r="E1972">
        <v>1</v>
      </c>
      <c r="F1972" s="2">
        <v>27</v>
      </c>
      <c r="G1972">
        <v>1.33</v>
      </c>
      <c r="H1972">
        <v>2</v>
      </c>
      <c r="I1972">
        <v>0.176255433207675</v>
      </c>
      <c r="J1972">
        <v>1</v>
      </c>
      <c r="K1972">
        <v>0</v>
      </c>
      <c r="L1972" s="2">
        <v>0</v>
      </c>
      <c r="M1972">
        <v>23.28</v>
      </c>
      <c r="N1972" t="s">
        <v>10236</v>
      </c>
    </row>
    <row r="1973" spans="1:14">
      <c r="A1973" t="s">
        <v>194</v>
      </c>
      <c r="B1973" t="s">
        <v>2139</v>
      </c>
      <c r="C1973">
        <f>"1220620"</f>
        <v>0</v>
      </c>
      <c r="D1973">
        <v>3</v>
      </c>
      <c r="E1973">
        <v>4</v>
      </c>
      <c r="F1973" s="2">
        <v>36</v>
      </c>
      <c r="G1973">
        <v>5.33</v>
      </c>
      <c r="H1973">
        <v>2</v>
      </c>
      <c r="I1973">
        <v>0.176255433207675</v>
      </c>
      <c r="J1973">
        <v>1</v>
      </c>
      <c r="K1973">
        <v>0</v>
      </c>
      <c r="L1973" s="2">
        <v>0</v>
      </c>
      <c r="M1973">
        <v>23.29</v>
      </c>
      <c r="N1973" t="s">
        <v>10236</v>
      </c>
    </row>
    <row r="1974" spans="1:14">
      <c r="A1974" t="s">
        <v>24</v>
      </c>
      <c r="B1974" t="s">
        <v>2140</v>
      </c>
      <c r="C1974">
        <f>"1110161"</f>
        <v>0</v>
      </c>
      <c r="D1974">
        <v>3</v>
      </c>
      <c r="E1974">
        <v>7</v>
      </c>
      <c r="F1974" s="2">
        <v>2</v>
      </c>
      <c r="G1974">
        <v>9.33</v>
      </c>
      <c r="H1974">
        <v>2</v>
      </c>
      <c r="I1974">
        <v>0.176255433207675</v>
      </c>
      <c r="J1974">
        <v>1</v>
      </c>
      <c r="K1974">
        <v>0</v>
      </c>
      <c r="L1974" s="2">
        <v>0</v>
      </c>
      <c r="M1974">
        <v>23.3</v>
      </c>
      <c r="N1974" t="s">
        <v>10236</v>
      </c>
    </row>
    <row r="1975" spans="1:14">
      <c r="A1975" t="s">
        <v>24</v>
      </c>
      <c r="B1975" t="s">
        <v>2141</v>
      </c>
      <c r="C1975">
        <f>"1113042"</f>
        <v>0</v>
      </c>
      <c r="D1975">
        <v>2</v>
      </c>
      <c r="E1975">
        <v>4</v>
      </c>
      <c r="F1975" s="2">
        <v>6</v>
      </c>
      <c r="G1975">
        <v>8</v>
      </c>
      <c r="H1975">
        <v>2</v>
      </c>
      <c r="I1975">
        <v>0.176213992320976</v>
      </c>
      <c r="J1975">
        <v>0</v>
      </c>
      <c r="K1975">
        <v>0</v>
      </c>
      <c r="L1975" s="2">
        <v>0</v>
      </c>
      <c r="M1975">
        <v>23.31</v>
      </c>
      <c r="N1975" t="s">
        <v>10236</v>
      </c>
    </row>
    <row r="1976" spans="1:14">
      <c r="A1976" t="s">
        <v>34</v>
      </c>
      <c r="B1976" t="s">
        <v>2142</v>
      </c>
      <c r="C1976">
        <f>"15000482"</f>
        <v>0</v>
      </c>
      <c r="D1976">
        <v>1</v>
      </c>
      <c r="E1976">
        <v>1</v>
      </c>
      <c r="F1976" s="2">
        <v>8</v>
      </c>
      <c r="G1976">
        <v>4</v>
      </c>
      <c r="H1976">
        <v>1</v>
      </c>
      <c r="I1976">
        <v>0.1762029013328571</v>
      </c>
      <c r="J1976">
        <v>0</v>
      </c>
      <c r="K1976">
        <v>0</v>
      </c>
      <c r="L1976" s="2">
        <v>0</v>
      </c>
      <c r="M1976">
        <v>23.31</v>
      </c>
      <c r="N1976" t="s">
        <v>10236</v>
      </c>
    </row>
    <row r="1977" spans="1:14">
      <c r="A1977" t="s">
        <v>40</v>
      </c>
      <c r="B1977" t="s">
        <v>2143</v>
      </c>
      <c r="C1977">
        <f>"v101250"</f>
        <v>0</v>
      </c>
      <c r="D1977">
        <v>2</v>
      </c>
      <c r="E1977">
        <v>2</v>
      </c>
      <c r="F1977" s="2">
        <v>9</v>
      </c>
      <c r="G1977">
        <v>4</v>
      </c>
      <c r="H1977">
        <v>2</v>
      </c>
      <c r="I1977">
        <v>0.1760893980004893</v>
      </c>
      <c r="J1977">
        <v>0</v>
      </c>
      <c r="K1977">
        <v>0</v>
      </c>
      <c r="L1977" s="2">
        <v>0</v>
      </c>
      <c r="M1977">
        <v>23.32</v>
      </c>
      <c r="N1977" t="s">
        <v>10236</v>
      </c>
    </row>
    <row r="1978" spans="1:14">
      <c r="A1978" t="s">
        <v>197</v>
      </c>
      <c r="B1978" t="s">
        <v>2144</v>
      </c>
      <c r="C1978">
        <f>"5000380"</f>
        <v>0</v>
      </c>
      <c r="D1978">
        <v>2</v>
      </c>
      <c r="E1978">
        <v>5</v>
      </c>
      <c r="F1978" s="2">
        <v>2</v>
      </c>
      <c r="G1978">
        <v>10</v>
      </c>
      <c r="H1978">
        <v>1</v>
      </c>
      <c r="I1978">
        <v>0.1760320704142824</v>
      </c>
      <c r="J1978">
        <v>0</v>
      </c>
      <c r="K1978">
        <v>0</v>
      </c>
      <c r="L1978" s="2">
        <v>0</v>
      </c>
      <c r="M1978">
        <v>23.33</v>
      </c>
      <c r="N1978" t="s">
        <v>10236</v>
      </c>
    </row>
    <row r="1979" spans="1:14">
      <c r="A1979" t="s">
        <v>40</v>
      </c>
      <c r="B1979" t="s">
        <v>2145</v>
      </c>
      <c r="C1979">
        <f>"V100831"</f>
        <v>0</v>
      </c>
      <c r="D1979">
        <v>1</v>
      </c>
      <c r="E1979">
        <v>7</v>
      </c>
      <c r="F1979" s="2">
        <v>38</v>
      </c>
      <c r="G1979">
        <v>28</v>
      </c>
      <c r="H1979">
        <v>1</v>
      </c>
      <c r="I1979">
        <v>0.1759913394667315</v>
      </c>
      <c r="J1979">
        <v>0</v>
      </c>
      <c r="K1979">
        <v>0</v>
      </c>
      <c r="L1979" s="2">
        <v>0</v>
      </c>
      <c r="M1979">
        <v>23.34</v>
      </c>
      <c r="N1979" t="s">
        <v>10236</v>
      </c>
    </row>
    <row r="1980" spans="1:14">
      <c r="A1980" t="s">
        <v>35</v>
      </c>
      <c r="B1980" t="s">
        <v>2146</v>
      </c>
      <c r="C1980">
        <f>"ZYD02"</f>
        <v>0</v>
      </c>
      <c r="D1980">
        <v>2</v>
      </c>
      <c r="E1980">
        <v>1</v>
      </c>
      <c r="F1980" s="2">
        <v>6</v>
      </c>
      <c r="G1980">
        <v>2</v>
      </c>
      <c r="H1980">
        <v>1</v>
      </c>
      <c r="I1980">
        <v>0.1759564618950127</v>
      </c>
      <c r="J1980">
        <v>0</v>
      </c>
      <c r="K1980">
        <v>0</v>
      </c>
      <c r="L1980" s="2">
        <v>0</v>
      </c>
      <c r="M1980">
        <v>23.35</v>
      </c>
      <c r="N1980" t="s">
        <v>10236</v>
      </c>
    </row>
    <row r="1981" spans="1:14">
      <c r="A1981" t="s">
        <v>35</v>
      </c>
      <c r="B1981" t="s">
        <v>2147</v>
      </c>
      <c r="C1981">
        <f>"8386M"</f>
        <v>0</v>
      </c>
      <c r="D1981">
        <v>2</v>
      </c>
      <c r="E1981">
        <v>2</v>
      </c>
      <c r="F1981" s="2">
        <v>12</v>
      </c>
      <c r="G1981">
        <v>4</v>
      </c>
      <c r="H1981">
        <v>2</v>
      </c>
      <c r="I1981">
        <v>0.1759532671688463</v>
      </c>
      <c r="J1981">
        <v>0</v>
      </c>
      <c r="K1981">
        <v>0</v>
      </c>
      <c r="L1981" s="2">
        <v>0</v>
      </c>
      <c r="M1981">
        <v>23.36</v>
      </c>
      <c r="N1981" t="s">
        <v>10236</v>
      </c>
    </row>
    <row r="1982" spans="1:14">
      <c r="A1982" t="s">
        <v>24</v>
      </c>
      <c r="B1982" t="s">
        <v>2148</v>
      </c>
      <c r="C1982">
        <f>"1110932"</f>
        <v>0</v>
      </c>
      <c r="D1982">
        <v>2</v>
      </c>
      <c r="E1982">
        <v>3</v>
      </c>
      <c r="F1982" s="2">
        <v>7</v>
      </c>
      <c r="G1982">
        <v>6</v>
      </c>
      <c r="H1982">
        <v>2</v>
      </c>
      <c r="I1982">
        <v>0.1759145754852764</v>
      </c>
      <c r="J1982">
        <v>0</v>
      </c>
      <c r="K1982">
        <v>0</v>
      </c>
      <c r="L1982" s="2">
        <v>0</v>
      </c>
      <c r="M1982">
        <v>23.37</v>
      </c>
      <c r="N1982" t="s">
        <v>10236</v>
      </c>
    </row>
    <row r="1983" spans="1:14">
      <c r="A1983" t="s">
        <v>41</v>
      </c>
      <c r="B1983" t="s">
        <v>2149</v>
      </c>
      <c r="C1983">
        <f>"501822"</f>
        <v>0</v>
      </c>
      <c r="D1983">
        <v>1</v>
      </c>
      <c r="E1983">
        <v>1</v>
      </c>
      <c r="F1983" s="2">
        <v>8</v>
      </c>
      <c r="G1983">
        <v>4</v>
      </c>
      <c r="H1983">
        <v>1</v>
      </c>
      <c r="I1983">
        <v>0.175878814111762</v>
      </c>
      <c r="J1983">
        <v>0</v>
      </c>
      <c r="K1983">
        <v>0</v>
      </c>
      <c r="L1983" s="2">
        <v>0</v>
      </c>
      <c r="M1983">
        <v>23.38</v>
      </c>
      <c r="N1983" t="s">
        <v>10236</v>
      </c>
    </row>
    <row r="1984" spans="1:14">
      <c r="A1984" t="s">
        <v>29</v>
      </c>
      <c r="B1984" t="s">
        <v>2150</v>
      </c>
      <c r="C1984">
        <f>"77326"</f>
        <v>0</v>
      </c>
      <c r="D1984">
        <v>2</v>
      </c>
      <c r="E1984">
        <v>1</v>
      </c>
      <c r="F1984" s="2">
        <v>12</v>
      </c>
      <c r="G1984">
        <v>2</v>
      </c>
      <c r="H1984">
        <v>1</v>
      </c>
      <c r="I1984">
        <v>0.1758783685887247</v>
      </c>
      <c r="J1984">
        <v>0</v>
      </c>
      <c r="K1984">
        <v>0</v>
      </c>
      <c r="L1984" s="2">
        <v>0</v>
      </c>
      <c r="M1984">
        <v>23.39</v>
      </c>
      <c r="N1984" t="s">
        <v>10236</v>
      </c>
    </row>
    <row r="1985" spans="1:14">
      <c r="A1985" t="s">
        <v>35</v>
      </c>
      <c r="B1985" t="s">
        <v>2151</v>
      </c>
      <c r="C1985">
        <f>"FEP70B"</f>
        <v>0</v>
      </c>
      <c r="D1985">
        <v>2</v>
      </c>
      <c r="E1985">
        <v>5</v>
      </c>
      <c r="F1985" s="2">
        <v>10</v>
      </c>
      <c r="G1985">
        <v>10</v>
      </c>
      <c r="H1985">
        <v>2</v>
      </c>
      <c r="I1985">
        <v>0.1758760612864934</v>
      </c>
      <c r="J1985">
        <v>0</v>
      </c>
      <c r="K1985">
        <v>0</v>
      </c>
      <c r="L1985" s="2">
        <v>0</v>
      </c>
      <c r="M1985">
        <v>23.4</v>
      </c>
      <c r="N1985" t="s">
        <v>10236</v>
      </c>
    </row>
    <row r="1986" spans="1:14">
      <c r="A1986" t="s">
        <v>41</v>
      </c>
      <c r="B1986" t="s">
        <v>2152</v>
      </c>
      <c r="C1986">
        <f>"502050"</f>
        <v>0</v>
      </c>
      <c r="D1986">
        <v>2</v>
      </c>
      <c r="E1986">
        <v>2</v>
      </c>
      <c r="F1986" s="2">
        <v>2</v>
      </c>
      <c r="G1986">
        <v>4</v>
      </c>
      <c r="H1986">
        <v>1</v>
      </c>
      <c r="I1986">
        <v>0.1758561829903474</v>
      </c>
      <c r="J1986">
        <v>0</v>
      </c>
      <c r="K1986">
        <v>0</v>
      </c>
      <c r="L1986" s="2">
        <v>0</v>
      </c>
      <c r="M1986">
        <v>23.41</v>
      </c>
      <c r="N1986" t="s">
        <v>10236</v>
      </c>
    </row>
    <row r="1987" spans="1:14">
      <c r="A1987" t="s">
        <v>34</v>
      </c>
      <c r="B1987" t="s">
        <v>2153</v>
      </c>
      <c r="C1987">
        <f>"15000432"</f>
        <v>0</v>
      </c>
      <c r="D1987">
        <v>1</v>
      </c>
      <c r="E1987">
        <v>6</v>
      </c>
      <c r="F1987" s="2">
        <v>11</v>
      </c>
      <c r="G1987">
        <v>24</v>
      </c>
      <c r="H1987">
        <v>1</v>
      </c>
      <c r="I1987">
        <v>0.1758546761807275</v>
      </c>
      <c r="J1987">
        <v>0</v>
      </c>
      <c r="K1987">
        <v>0</v>
      </c>
      <c r="L1987" s="2">
        <v>0</v>
      </c>
      <c r="M1987">
        <v>23.42</v>
      </c>
      <c r="N1987" t="s">
        <v>10236</v>
      </c>
    </row>
    <row r="1988" spans="1:14">
      <c r="A1988" t="s">
        <v>41</v>
      </c>
      <c r="B1988" t="s">
        <v>2154</v>
      </c>
      <c r="C1988">
        <f>"502049"</f>
        <v>0</v>
      </c>
      <c r="D1988">
        <v>2</v>
      </c>
      <c r="E1988">
        <v>1</v>
      </c>
      <c r="F1988" s="2">
        <v>2</v>
      </c>
      <c r="G1988">
        <v>2</v>
      </c>
      <c r="H1988">
        <v>1</v>
      </c>
      <c r="I1988">
        <v>0.1758041799477511</v>
      </c>
      <c r="J1988">
        <v>0</v>
      </c>
      <c r="K1988">
        <v>0</v>
      </c>
      <c r="L1988" s="2">
        <v>0</v>
      </c>
      <c r="M1988">
        <v>23.43</v>
      </c>
      <c r="N1988" t="s">
        <v>10236</v>
      </c>
    </row>
    <row r="1989" spans="1:14">
      <c r="A1989" t="s">
        <v>35</v>
      </c>
      <c r="B1989" t="s">
        <v>2155</v>
      </c>
      <c r="C1989">
        <f>"PD20008L"</f>
        <v>0</v>
      </c>
      <c r="D1989">
        <v>2</v>
      </c>
      <c r="E1989">
        <v>29</v>
      </c>
      <c r="F1989" s="2">
        <v>4</v>
      </c>
      <c r="G1989">
        <v>58</v>
      </c>
      <c r="H1989">
        <v>1</v>
      </c>
      <c r="I1989">
        <v>0.1757857215299012</v>
      </c>
      <c r="J1989">
        <v>0</v>
      </c>
      <c r="K1989">
        <v>0</v>
      </c>
      <c r="L1989" s="2">
        <v>0</v>
      </c>
      <c r="M1989">
        <v>23.44</v>
      </c>
      <c r="N1989" t="s">
        <v>10236</v>
      </c>
    </row>
    <row r="1990" spans="1:14">
      <c r="A1990" t="s">
        <v>35</v>
      </c>
      <c r="B1990" t="s">
        <v>2156</v>
      </c>
      <c r="C1990">
        <f>"LS209CB"</f>
        <v>0</v>
      </c>
      <c r="D1990">
        <v>2</v>
      </c>
      <c r="E1990">
        <v>1</v>
      </c>
      <c r="F1990" s="2">
        <v>7</v>
      </c>
      <c r="G1990">
        <v>2</v>
      </c>
      <c r="H1990">
        <v>2</v>
      </c>
      <c r="I1990">
        <v>0.1757807519558647</v>
      </c>
      <c r="J1990">
        <v>0</v>
      </c>
      <c r="K1990">
        <v>0</v>
      </c>
      <c r="L1990" s="2">
        <v>0</v>
      </c>
      <c r="M1990">
        <v>23.44</v>
      </c>
      <c r="N1990" t="s">
        <v>10236</v>
      </c>
    </row>
    <row r="1991" spans="1:14">
      <c r="A1991" t="s">
        <v>30</v>
      </c>
      <c r="B1991" t="s">
        <v>2157</v>
      </c>
      <c r="C1991">
        <f>"100289"</f>
        <v>0</v>
      </c>
      <c r="D1991">
        <v>2</v>
      </c>
      <c r="E1991">
        <v>3</v>
      </c>
      <c r="F1991" s="2">
        <v>6</v>
      </c>
      <c r="G1991">
        <v>6</v>
      </c>
      <c r="H1991">
        <v>2</v>
      </c>
      <c r="I1991">
        <v>0.1757599862357835</v>
      </c>
      <c r="J1991">
        <v>0</v>
      </c>
      <c r="K1991">
        <v>0</v>
      </c>
      <c r="L1991" s="2">
        <v>0</v>
      </c>
      <c r="M1991">
        <v>23.45</v>
      </c>
      <c r="N1991" t="s">
        <v>10236</v>
      </c>
    </row>
    <row r="1992" spans="1:14">
      <c r="A1992" t="s">
        <v>25</v>
      </c>
      <c r="B1992" t="s">
        <v>2158</v>
      </c>
      <c r="C1992">
        <f>"M027"</f>
        <v>0</v>
      </c>
      <c r="D1992">
        <v>2</v>
      </c>
      <c r="E1992">
        <v>2</v>
      </c>
      <c r="F1992" s="2">
        <v>14</v>
      </c>
      <c r="G1992">
        <v>4</v>
      </c>
      <c r="H1992">
        <v>1</v>
      </c>
      <c r="I1992">
        <v>0.1755411474933901</v>
      </c>
      <c r="J1992">
        <v>0</v>
      </c>
      <c r="K1992">
        <v>0</v>
      </c>
      <c r="L1992" s="2">
        <v>0</v>
      </c>
      <c r="M1992">
        <v>23.46</v>
      </c>
      <c r="N1992" t="s">
        <v>10236</v>
      </c>
    </row>
    <row r="1993" spans="1:14">
      <c r="A1993" t="s">
        <v>25</v>
      </c>
      <c r="B1993" t="s">
        <v>2159</v>
      </c>
      <c r="C1993">
        <f>"NX17"</f>
        <v>0</v>
      </c>
      <c r="D1993">
        <v>2</v>
      </c>
      <c r="E1993">
        <v>2</v>
      </c>
      <c r="F1993" s="2">
        <v>62</v>
      </c>
      <c r="G1993">
        <v>4</v>
      </c>
      <c r="H1993">
        <v>2</v>
      </c>
      <c r="I1993">
        <v>0.1755411474933901</v>
      </c>
      <c r="J1993">
        <v>0</v>
      </c>
      <c r="K1993">
        <v>0</v>
      </c>
      <c r="L1993" s="2">
        <v>0</v>
      </c>
      <c r="M1993">
        <v>23.47</v>
      </c>
      <c r="N1993" t="s">
        <v>10236</v>
      </c>
    </row>
    <row r="1994" spans="1:14">
      <c r="A1994" t="s">
        <v>25</v>
      </c>
      <c r="B1994" t="s">
        <v>2160</v>
      </c>
      <c r="C1994">
        <f>"QW201"</f>
        <v>0</v>
      </c>
      <c r="D1994">
        <v>2</v>
      </c>
      <c r="E1994">
        <v>2</v>
      </c>
      <c r="F1994" s="2">
        <v>1</v>
      </c>
      <c r="G1994">
        <v>4</v>
      </c>
      <c r="H1994">
        <v>1</v>
      </c>
      <c r="I1994">
        <v>0.1755411474933901</v>
      </c>
      <c r="J1994">
        <v>0</v>
      </c>
      <c r="K1994">
        <v>0</v>
      </c>
      <c r="L1994" s="2">
        <v>0</v>
      </c>
      <c r="M1994">
        <v>23.48</v>
      </c>
      <c r="N1994" t="s">
        <v>10236</v>
      </c>
    </row>
    <row r="1995" spans="1:14">
      <c r="A1995" t="s">
        <v>27</v>
      </c>
      <c r="B1995" t="s">
        <v>2161</v>
      </c>
      <c r="C1995">
        <f>"USA605"</f>
        <v>0</v>
      </c>
      <c r="D1995">
        <v>2</v>
      </c>
      <c r="E1995">
        <v>4</v>
      </c>
      <c r="F1995" s="2">
        <v>1</v>
      </c>
      <c r="G1995">
        <v>8</v>
      </c>
      <c r="H1995">
        <v>1</v>
      </c>
      <c r="I1995">
        <v>0.1755411474933901</v>
      </c>
      <c r="J1995">
        <v>0</v>
      </c>
      <c r="K1995">
        <v>0</v>
      </c>
      <c r="L1995" s="2">
        <v>0</v>
      </c>
      <c r="M1995">
        <v>23.49</v>
      </c>
      <c r="N1995" t="s">
        <v>10236</v>
      </c>
    </row>
    <row r="1996" spans="1:14">
      <c r="A1996" t="s">
        <v>40</v>
      </c>
      <c r="B1996" t="s">
        <v>2162</v>
      </c>
      <c r="C1996">
        <f>"V100776"</f>
        <v>0</v>
      </c>
      <c r="D1996">
        <v>2</v>
      </c>
      <c r="E1996">
        <v>11</v>
      </c>
      <c r="F1996" s="2">
        <v>16</v>
      </c>
      <c r="G1996">
        <v>22</v>
      </c>
      <c r="H1996">
        <v>1</v>
      </c>
      <c r="I1996">
        <v>0.1755411474933901</v>
      </c>
      <c r="J1996">
        <v>0</v>
      </c>
      <c r="K1996">
        <v>0</v>
      </c>
      <c r="L1996" s="2">
        <v>0</v>
      </c>
      <c r="M1996">
        <v>23.5</v>
      </c>
      <c r="N1996" t="s">
        <v>10236</v>
      </c>
    </row>
    <row r="1997" spans="1:14">
      <c r="A1997" t="s">
        <v>35</v>
      </c>
      <c r="B1997" t="s">
        <v>2163</v>
      </c>
      <c r="C1997">
        <f>"MQ080807XLV"</f>
        <v>0</v>
      </c>
      <c r="D1997">
        <v>2</v>
      </c>
      <c r="E1997">
        <v>22</v>
      </c>
      <c r="F1997" s="2">
        <v>9</v>
      </c>
      <c r="G1997">
        <v>44</v>
      </c>
      <c r="H1997">
        <v>1</v>
      </c>
      <c r="I1997">
        <v>0.1755411474933901</v>
      </c>
      <c r="J1997">
        <v>0</v>
      </c>
      <c r="K1997">
        <v>0</v>
      </c>
      <c r="L1997" s="2">
        <v>0</v>
      </c>
      <c r="M1997">
        <v>23.51</v>
      </c>
      <c r="N1997" t="s">
        <v>10236</v>
      </c>
    </row>
    <row r="1998" spans="1:14">
      <c r="A1998" t="s">
        <v>35</v>
      </c>
      <c r="B1998" t="s">
        <v>2164</v>
      </c>
      <c r="C1998">
        <f>"MQ080807MC"</f>
        <v>0</v>
      </c>
      <c r="D1998">
        <v>2</v>
      </c>
      <c r="E1998">
        <v>17</v>
      </c>
      <c r="F1998" s="2">
        <v>8</v>
      </c>
      <c r="G1998">
        <v>34</v>
      </c>
      <c r="H1998">
        <v>1</v>
      </c>
      <c r="I1998">
        <v>0.1755411474933901</v>
      </c>
      <c r="J1998">
        <v>0</v>
      </c>
      <c r="K1998">
        <v>0</v>
      </c>
      <c r="L1998" s="2">
        <v>0</v>
      </c>
      <c r="M1998">
        <v>23.52</v>
      </c>
      <c r="N1998" t="s">
        <v>10236</v>
      </c>
    </row>
    <row r="1999" spans="1:14">
      <c r="A1999" t="s">
        <v>35</v>
      </c>
      <c r="B1999" t="s">
        <v>2165</v>
      </c>
      <c r="C1999">
        <f>"XX73"</f>
        <v>0</v>
      </c>
      <c r="D1999">
        <v>2</v>
      </c>
      <c r="E1999">
        <v>4</v>
      </c>
      <c r="F1999" s="2">
        <v>2</v>
      </c>
      <c r="G1999">
        <v>8</v>
      </c>
      <c r="H1999">
        <v>2</v>
      </c>
      <c r="I1999">
        <v>0.1755411474933901</v>
      </c>
      <c r="J1999">
        <v>0</v>
      </c>
      <c r="K1999">
        <v>0</v>
      </c>
      <c r="L1999" s="2">
        <v>0</v>
      </c>
      <c r="M1999">
        <v>23.53</v>
      </c>
      <c r="N1999" t="s">
        <v>10236</v>
      </c>
    </row>
    <row r="2000" spans="1:14">
      <c r="A2000" t="s">
        <v>35</v>
      </c>
      <c r="B2000" t="s">
        <v>2166</v>
      </c>
      <c r="C2000">
        <f>"ER060"</f>
        <v>0</v>
      </c>
      <c r="D2000">
        <v>2</v>
      </c>
      <c r="E2000">
        <v>14</v>
      </c>
      <c r="F2000" s="2">
        <v>3</v>
      </c>
      <c r="G2000">
        <v>28</v>
      </c>
      <c r="H2000">
        <v>1</v>
      </c>
      <c r="I2000">
        <v>0.1755411474933901</v>
      </c>
      <c r="J2000">
        <v>0</v>
      </c>
      <c r="K2000">
        <v>0</v>
      </c>
      <c r="L2000" s="2">
        <v>0</v>
      </c>
      <c r="M2000">
        <v>23.54</v>
      </c>
      <c r="N2000" t="s">
        <v>10236</v>
      </c>
    </row>
    <row r="2001" spans="1:14">
      <c r="A2001" t="s">
        <v>35</v>
      </c>
      <c r="B2001" t="s">
        <v>2167</v>
      </c>
      <c r="C2001">
        <f>"SDR242"</f>
        <v>0</v>
      </c>
      <c r="D2001">
        <v>2</v>
      </c>
      <c r="E2001">
        <v>1</v>
      </c>
      <c r="F2001" s="2">
        <v>2</v>
      </c>
      <c r="G2001">
        <v>2</v>
      </c>
      <c r="H2001">
        <v>1</v>
      </c>
      <c r="I2001">
        <v>0.1755411474933901</v>
      </c>
      <c r="J2001">
        <v>0</v>
      </c>
      <c r="K2001">
        <v>0</v>
      </c>
      <c r="L2001" s="2">
        <v>0</v>
      </c>
      <c r="M2001">
        <v>23.55</v>
      </c>
      <c r="N2001" t="s">
        <v>10236</v>
      </c>
    </row>
    <row r="2002" spans="1:14">
      <c r="A2002" t="s">
        <v>35</v>
      </c>
      <c r="B2002" t="s">
        <v>2168</v>
      </c>
      <c r="C2002">
        <f>"MQ080807LC"</f>
        <v>0</v>
      </c>
      <c r="D2002">
        <v>2</v>
      </c>
      <c r="E2002">
        <v>16</v>
      </c>
      <c r="F2002" s="2">
        <v>9</v>
      </c>
      <c r="G2002">
        <v>32</v>
      </c>
      <c r="H2002">
        <v>2</v>
      </c>
      <c r="I2002">
        <v>0.1755411474933901</v>
      </c>
      <c r="J2002">
        <v>0</v>
      </c>
      <c r="K2002">
        <v>0</v>
      </c>
      <c r="L2002" s="2">
        <v>0</v>
      </c>
      <c r="M2002">
        <v>23.56</v>
      </c>
      <c r="N2002" t="s">
        <v>10236</v>
      </c>
    </row>
    <row r="2003" spans="1:14">
      <c r="A2003" t="s">
        <v>24</v>
      </c>
      <c r="B2003" t="s">
        <v>2169</v>
      </c>
      <c r="C2003">
        <f>"1015852"</f>
        <v>0</v>
      </c>
      <c r="D2003">
        <v>2</v>
      </c>
      <c r="E2003">
        <v>11</v>
      </c>
      <c r="F2003" s="2">
        <v>4</v>
      </c>
      <c r="G2003">
        <v>22</v>
      </c>
      <c r="H2003">
        <v>2</v>
      </c>
      <c r="I2003">
        <v>0.1755411474933901</v>
      </c>
      <c r="J2003">
        <v>0</v>
      </c>
      <c r="K2003">
        <v>0</v>
      </c>
      <c r="L2003" s="2">
        <v>0</v>
      </c>
      <c r="M2003">
        <v>23.57</v>
      </c>
      <c r="N2003" t="s">
        <v>10236</v>
      </c>
    </row>
    <row r="2004" spans="1:14">
      <c r="A2004" t="s">
        <v>24</v>
      </c>
      <c r="B2004" t="s">
        <v>2170</v>
      </c>
      <c r="C2004">
        <f>"FP4060"</f>
        <v>0</v>
      </c>
      <c r="D2004">
        <v>2</v>
      </c>
      <c r="E2004">
        <v>2</v>
      </c>
      <c r="F2004" s="2">
        <v>5</v>
      </c>
      <c r="G2004">
        <v>4</v>
      </c>
      <c r="H2004">
        <v>2</v>
      </c>
      <c r="I2004">
        <v>0.1755411474933901</v>
      </c>
      <c r="J2004">
        <v>0</v>
      </c>
      <c r="K2004">
        <v>0</v>
      </c>
      <c r="L2004" s="2">
        <v>0</v>
      </c>
      <c r="M2004">
        <v>23.58</v>
      </c>
      <c r="N2004" t="s">
        <v>10236</v>
      </c>
    </row>
    <row r="2005" spans="1:14">
      <c r="A2005" t="s">
        <v>25</v>
      </c>
      <c r="B2005" t="s">
        <v>2171</v>
      </c>
      <c r="C2005">
        <f>"S305ROJ"</f>
        <v>0</v>
      </c>
      <c r="D2005">
        <v>2</v>
      </c>
      <c r="E2005">
        <v>1</v>
      </c>
      <c r="F2005" s="2">
        <v>7</v>
      </c>
      <c r="G2005">
        <v>2</v>
      </c>
      <c r="H2005">
        <v>1</v>
      </c>
      <c r="I2005">
        <v>0.1755411474933901</v>
      </c>
      <c r="J2005">
        <v>0</v>
      </c>
      <c r="K2005">
        <v>0</v>
      </c>
      <c r="L2005" s="2">
        <v>0</v>
      </c>
      <c r="M2005">
        <v>23.58</v>
      </c>
      <c r="N2005" t="s">
        <v>10236</v>
      </c>
    </row>
    <row r="2006" spans="1:14">
      <c r="A2006" t="s">
        <v>193</v>
      </c>
      <c r="B2006" t="s">
        <v>2172</v>
      </c>
      <c r="C2006">
        <f>"564172"</f>
        <v>0</v>
      </c>
      <c r="D2006">
        <v>2</v>
      </c>
      <c r="E2006">
        <v>5</v>
      </c>
      <c r="F2006" s="2">
        <v>24</v>
      </c>
      <c r="G2006">
        <v>10</v>
      </c>
      <c r="H2006">
        <v>2</v>
      </c>
      <c r="I2006">
        <v>0.1755411474933901</v>
      </c>
      <c r="J2006">
        <v>0</v>
      </c>
      <c r="K2006">
        <v>0</v>
      </c>
      <c r="L2006" s="2">
        <v>0</v>
      </c>
      <c r="M2006">
        <v>23.59</v>
      </c>
      <c r="N2006" t="s">
        <v>10236</v>
      </c>
    </row>
    <row r="2007" spans="1:14">
      <c r="A2007" t="s">
        <v>30</v>
      </c>
      <c r="B2007" t="s">
        <v>2173</v>
      </c>
      <c r="C2007">
        <f>"100548"</f>
        <v>0</v>
      </c>
      <c r="D2007">
        <v>2</v>
      </c>
      <c r="E2007">
        <v>1</v>
      </c>
      <c r="F2007" s="2">
        <v>11</v>
      </c>
      <c r="G2007">
        <v>2</v>
      </c>
      <c r="H2007">
        <v>2</v>
      </c>
      <c r="I2007">
        <v>0.1755411474933901</v>
      </c>
      <c r="J2007">
        <v>0</v>
      </c>
      <c r="K2007">
        <v>0</v>
      </c>
      <c r="L2007" s="2">
        <v>0</v>
      </c>
      <c r="M2007">
        <v>23.6</v>
      </c>
      <c r="N2007" t="s">
        <v>10236</v>
      </c>
    </row>
    <row r="2008" spans="1:14">
      <c r="A2008" t="s">
        <v>30</v>
      </c>
      <c r="B2008" t="s">
        <v>2174</v>
      </c>
      <c r="C2008">
        <f>"100545"</f>
        <v>0</v>
      </c>
      <c r="D2008">
        <v>2</v>
      </c>
      <c r="E2008">
        <v>4</v>
      </c>
      <c r="F2008" s="2">
        <v>8</v>
      </c>
      <c r="G2008">
        <v>8</v>
      </c>
      <c r="H2008">
        <v>1</v>
      </c>
      <c r="I2008">
        <v>0.1755411474933901</v>
      </c>
      <c r="J2008">
        <v>0</v>
      </c>
      <c r="K2008">
        <v>0</v>
      </c>
      <c r="L2008" s="2">
        <v>0</v>
      </c>
      <c r="M2008">
        <v>23.61</v>
      </c>
      <c r="N2008" t="s">
        <v>10236</v>
      </c>
    </row>
    <row r="2009" spans="1:14">
      <c r="A2009" t="s">
        <v>35</v>
      </c>
      <c r="B2009" t="s">
        <v>2175</v>
      </c>
      <c r="C2009">
        <f>"BRI11"</f>
        <v>0</v>
      </c>
      <c r="D2009">
        <v>2</v>
      </c>
      <c r="E2009">
        <v>4</v>
      </c>
      <c r="F2009" s="2">
        <v>2</v>
      </c>
      <c r="G2009">
        <v>8</v>
      </c>
      <c r="H2009">
        <v>1</v>
      </c>
      <c r="I2009">
        <v>0.1755411474933901</v>
      </c>
      <c r="J2009">
        <v>0</v>
      </c>
      <c r="K2009">
        <v>0</v>
      </c>
      <c r="L2009" s="2">
        <v>0</v>
      </c>
      <c r="M2009">
        <v>23.62</v>
      </c>
      <c r="N2009" t="s">
        <v>10236</v>
      </c>
    </row>
    <row r="2010" spans="1:14">
      <c r="A2010" t="s">
        <v>25</v>
      </c>
      <c r="B2010" t="s">
        <v>2176</v>
      </c>
      <c r="C2010">
        <f>"234903"</f>
        <v>0</v>
      </c>
      <c r="D2010">
        <v>2</v>
      </c>
      <c r="E2010">
        <v>3</v>
      </c>
      <c r="F2010" s="2">
        <v>2</v>
      </c>
      <c r="G2010">
        <v>6</v>
      </c>
      <c r="H2010">
        <v>2</v>
      </c>
      <c r="I2010">
        <v>0.1755411474933901</v>
      </c>
      <c r="J2010">
        <v>0</v>
      </c>
      <c r="K2010">
        <v>0</v>
      </c>
      <c r="L2010" s="2">
        <v>0</v>
      </c>
      <c r="M2010">
        <v>23.63</v>
      </c>
      <c r="N2010" t="s">
        <v>10236</v>
      </c>
    </row>
    <row r="2011" spans="1:14">
      <c r="A2011" t="s">
        <v>35</v>
      </c>
      <c r="B2011" t="s">
        <v>2177</v>
      </c>
      <c r="C2011">
        <f>"BRI8"</f>
        <v>0</v>
      </c>
      <c r="D2011">
        <v>2</v>
      </c>
      <c r="E2011">
        <v>3</v>
      </c>
      <c r="F2011" s="2">
        <v>2</v>
      </c>
      <c r="G2011">
        <v>6</v>
      </c>
      <c r="H2011">
        <v>1</v>
      </c>
      <c r="I2011">
        <v>0.1755411474933901</v>
      </c>
      <c r="J2011">
        <v>0</v>
      </c>
      <c r="K2011">
        <v>0</v>
      </c>
      <c r="L2011" s="2">
        <v>0</v>
      </c>
      <c r="M2011">
        <v>23.64</v>
      </c>
      <c r="N2011" t="s">
        <v>10236</v>
      </c>
    </row>
    <row r="2012" spans="1:14">
      <c r="A2012" t="s">
        <v>35</v>
      </c>
      <c r="B2012" t="s">
        <v>2178</v>
      </c>
      <c r="C2012">
        <f>"BRI17"</f>
        <v>0</v>
      </c>
      <c r="D2012">
        <v>2</v>
      </c>
      <c r="E2012">
        <v>1</v>
      </c>
      <c r="F2012" s="2">
        <v>2</v>
      </c>
      <c r="G2012">
        <v>2</v>
      </c>
      <c r="H2012">
        <v>2</v>
      </c>
      <c r="I2012">
        <v>0.1755411474933901</v>
      </c>
      <c r="J2012">
        <v>0</v>
      </c>
      <c r="K2012">
        <v>0</v>
      </c>
      <c r="L2012" s="2">
        <v>0</v>
      </c>
      <c r="M2012">
        <v>23.65</v>
      </c>
      <c r="N2012" t="s">
        <v>10236</v>
      </c>
    </row>
    <row r="2013" spans="1:14">
      <c r="A2013" t="s">
        <v>34</v>
      </c>
      <c r="B2013" t="s">
        <v>2179</v>
      </c>
      <c r="C2013">
        <f>"14000168"</f>
        <v>0</v>
      </c>
      <c r="D2013">
        <v>2</v>
      </c>
      <c r="E2013">
        <v>4</v>
      </c>
      <c r="F2013" s="2">
        <v>7</v>
      </c>
      <c r="G2013">
        <v>8</v>
      </c>
      <c r="H2013">
        <v>2</v>
      </c>
      <c r="I2013">
        <v>0.1755411474933901</v>
      </c>
      <c r="J2013">
        <v>0</v>
      </c>
      <c r="K2013">
        <v>0</v>
      </c>
      <c r="L2013" s="2">
        <v>0</v>
      </c>
      <c r="M2013">
        <v>23.66</v>
      </c>
      <c r="N2013" t="s">
        <v>10236</v>
      </c>
    </row>
    <row r="2014" spans="1:14">
      <c r="A2014" t="s">
        <v>209</v>
      </c>
      <c r="B2014" t="s">
        <v>2180</v>
      </c>
      <c r="C2014">
        <f>"5PE29001"</f>
        <v>0</v>
      </c>
      <c r="D2014">
        <v>2</v>
      </c>
      <c r="E2014">
        <v>9</v>
      </c>
      <c r="F2014" s="2">
        <v>2</v>
      </c>
      <c r="G2014">
        <v>18</v>
      </c>
      <c r="H2014">
        <v>1</v>
      </c>
      <c r="I2014">
        <v>0.1755411474933901</v>
      </c>
      <c r="J2014">
        <v>0</v>
      </c>
      <c r="K2014">
        <v>0</v>
      </c>
      <c r="L2014" s="2">
        <v>0</v>
      </c>
      <c r="M2014">
        <v>23.67</v>
      </c>
      <c r="N2014" t="s">
        <v>10236</v>
      </c>
    </row>
    <row r="2015" spans="1:14">
      <c r="A2015" t="s">
        <v>192</v>
      </c>
      <c r="B2015" t="s">
        <v>2181</v>
      </c>
      <c r="C2015">
        <f>"605ACEL"</f>
        <v>0</v>
      </c>
      <c r="D2015">
        <v>2</v>
      </c>
      <c r="E2015">
        <v>1</v>
      </c>
      <c r="F2015" s="2">
        <v>16</v>
      </c>
      <c r="G2015">
        <v>2</v>
      </c>
      <c r="H2015">
        <v>2</v>
      </c>
      <c r="I2015">
        <v>0.1755411474933901</v>
      </c>
      <c r="J2015">
        <v>0</v>
      </c>
      <c r="K2015">
        <v>0</v>
      </c>
      <c r="L2015" s="2">
        <v>0</v>
      </c>
      <c r="M2015">
        <v>23.68</v>
      </c>
      <c r="N2015" t="s">
        <v>10236</v>
      </c>
    </row>
    <row r="2016" spans="1:14">
      <c r="A2016" t="s">
        <v>35</v>
      </c>
      <c r="B2016" t="s">
        <v>2182</v>
      </c>
      <c r="C2016">
        <f>"WPS018"</f>
        <v>0</v>
      </c>
      <c r="D2016">
        <v>2</v>
      </c>
      <c r="E2016">
        <v>12</v>
      </c>
      <c r="F2016" s="2">
        <v>1</v>
      </c>
      <c r="G2016">
        <v>24</v>
      </c>
      <c r="H2016">
        <v>1</v>
      </c>
      <c r="I2016">
        <v>0.1755411474933901</v>
      </c>
      <c r="J2016">
        <v>0</v>
      </c>
      <c r="K2016">
        <v>0</v>
      </c>
      <c r="L2016" s="2">
        <v>0</v>
      </c>
      <c r="M2016">
        <v>23.69</v>
      </c>
      <c r="N2016" t="s">
        <v>10236</v>
      </c>
    </row>
    <row r="2017" spans="1:14">
      <c r="A2017" t="s">
        <v>35</v>
      </c>
      <c r="B2017" t="s">
        <v>2183</v>
      </c>
      <c r="C2017">
        <f>"TC0100ROS"</f>
        <v>0</v>
      </c>
      <c r="D2017">
        <v>2</v>
      </c>
      <c r="E2017">
        <v>2</v>
      </c>
      <c r="F2017" s="2">
        <v>1</v>
      </c>
      <c r="G2017">
        <v>4</v>
      </c>
      <c r="H2017">
        <v>2</v>
      </c>
      <c r="I2017">
        <v>0.1755411474933901</v>
      </c>
      <c r="J2017">
        <v>0</v>
      </c>
      <c r="K2017">
        <v>0</v>
      </c>
      <c r="L2017" s="2">
        <v>0</v>
      </c>
      <c r="M2017">
        <v>23.7</v>
      </c>
      <c r="N2017" t="s">
        <v>10236</v>
      </c>
    </row>
    <row r="2018" spans="1:14">
      <c r="A2018" t="s">
        <v>30</v>
      </c>
      <c r="B2018" t="s">
        <v>2184</v>
      </c>
      <c r="C2018">
        <f>"100975"</f>
        <v>0</v>
      </c>
      <c r="D2018">
        <v>2</v>
      </c>
      <c r="E2018">
        <v>7</v>
      </c>
      <c r="F2018" s="2">
        <v>1</v>
      </c>
      <c r="G2018">
        <v>14</v>
      </c>
      <c r="H2018">
        <v>1</v>
      </c>
      <c r="I2018">
        <v>0.1755411474933901</v>
      </c>
      <c r="J2018">
        <v>0</v>
      </c>
      <c r="K2018">
        <v>0</v>
      </c>
      <c r="L2018" s="2">
        <v>0</v>
      </c>
      <c r="M2018">
        <v>23.71</v>
      </c>
      <c r="N2018" t="s">
        <v>10236</v>
      </c>
    </row>
    <row r="2019" spans="1:14">
      <c r="A2019" t="s">
        <v>35</v>
      </c>
      <c r="B2019" t="s">
        <v>2185</v>
      </c>
      <c r="C2019">
        <f>"TC0018ROS"</f>
        <v>0</v>
      </c>
      <c r="D2019">
        <v>2</v>
      </c>
      <c r="E2019">
        <v>1</v>
      </c>
      <c r="F2019" s="2">
        <v>585</v>
      </c>
      <c r="G2019">
        <v>2</v>
      </c>
      <c r="H2019">
        <v>1</v>
      </c>
      <c r="I2019">
        <v>0.1755411474933901</v>
      </c>
      <c r="J2019">
        <v>0</v>
      </c>
      <c r="K2019">
        <v>0</v>
      </c>
      <c r="L2019" s="2">
        <v>0</v>
      </c>
      <c r="M2019">
        <v>23.71</v>
      </c>
      <c r="N2019" t="s">
        <v>10236</v>
      </c>
    </row>
    <row r="2020" spans="1:14">
      <c r="A2020" t="s">
        <v>35</v>
      </c>
      <c r="B2020" t="s">
        <v>2186</v>
      </c>
      <c r="C2020">
        <f>"TC0018AM"</f>
        <v>0</v>
      </c>
      <c r="D2020">
        <v>2</v>
      </c>
      <c r="E2020">
        <v>4</v>
      </c>
      <c r="F2020" s="2">
        <v>1</v>
      </c>
      <c r="G2020">
        <v>8</v>
      </c>
      <c r="H2020">
        <v>2</v>
      </c>
      <c r="I2020">
        <v>0.1755411474933901</v>
      </c>
      <c r="J2020">
        <v>0</v>
      </c>
      <c r="K2020">
        <v>0</v>
      </c>
      <c r="L2020" s="2">
        <v>0</v>
      </c>
      <c r="M2020">
        <v>23.72</v>
      </c>
      <c r="N2020" t="s">
        <v>10236</v>
      </c>
    </row>
    <row r="2021" spans="1:14">
      <c r="A2021" t="s">
        <v>214</v>
      </c>
      <c r="B2021" t="s">
        <v>2187</v>
      </c>
      <c r="C2021">
        <f>"40675"</f>
        <v>0</v>
      </c>
      <c r="D2021">
        <v>2</v>
      </c>
      <c r="E2021">
        <v>1</v>
      </c>
      <c r="F2021" s="2">
        <v>4</v>
      </c>
      <c r="G2021">
        <v>2</v>
      </c>
      <c r="H2021">
        <v>2</v>
      </c>
      <c r="I2021">
        <v>0.1755411474933901</v>
      </c>
      <c r="J2021">
        <v>0</v>
      </c>
      <c r="K2021">
        <v>0</v>
      </c>
      <c r="L2021" s="2">
        <v>0</v>
      </c>
      <c r="M2021">
        <v>23.73</v>
      </c>
      <c r="N2021" t="s">
        <v>10236</v>
      </c>
    </row>
    <row r="2022" spans="1:14">
      <c r="A2022" t="s">
        <v>32</v>
      </c>
      <c r="B2022" t="s">
        <v>2188</v>
      </c>
      <c r="C2022">
        <f>"500836"</f>
        <v>0</v>
      </c>
      <c r="D2022">
        <v>2</v>
      </c>
      <c r="E2022">
        <v>10</v>
      </c>
      <c r="F2022" s="2">
        <v>7</v>
      </c>
      <c r="G2022">
        <v>20</v>
      </c>
      <c r="H2022">
        <v>2</v>
      </c>
      <c r="I2022">
        <v>0.1755411474933901</v>
      </c>
      <c r="J2022">
        <v>0</v>
      </c>
      <c r="K2022">
        <v>0</v>
      </c>
      <c r="L2022" s="2">
        <v>0</v>
      </c>
      <c r="M2022">
        <v>23.74</v>
      </c>
      <c r="N2022" t="s">
        <v>10236</v>
      </c>
    </row>
    <row r="2023" spans="1:14">
      <c r="A2023" t="s">
        <v>35</v>
      </c>
      <c r="B2023" t="s">
        <v>2189</v>
      </c>
      <c r="C2023">
        <f>"MSP108AA"</f>
        <v>0</v>
      </c>
      <c r="D2023">
        <v>2</v>
      </c>
      <c r="E2023">
        <v>1</v>
      </c>
      <c r="F2023" s="2">
        <v>9</v>
      </c>
      <c r="G2023">
        <v>2</v>
      </c>
      <c r="H2023">
        <v>2</v>
      </c>
      <c r="I2023">
        <v>0.1755411474933901</v>
      </c>
      <c r="J2023">
        <v>0</v>
      </c>
      <c r="K2023">
        <v>0</v>
      </c>
      <c r="L2023" s="2">
        <v>0</v>
      </c>
      <c r="M2023">
        <v>23.75</v>
      </c>
      <c r="N2023" t="s">
        <v>10236</v>
      </c>
    </row>
    <row r="2024" spans="1:14">
      <c r="A2024" t="s">
        <v>25</v>
      </c>
      <c r="B2024" t="s">
        <v>2190</v>
      </c>
      <c r="C2024">
        <f>"RJ308"</f>
        <v>0</v>
      </c>
      <c r="D2024">
        <v>2</v>
      </c>
      <c r="E2024">
        <v>2</v>
      </c>
      <c r="F2024" s="2">
        <v>5</v>
      </c>
      <c r="G2024">
        <v>4</v>
      </c>
      <c r="H2024">
        <v>1</v>
      </c>
      <c r="I2024">
        <v>0.1755411474933901</v>
      </c>
      <c r="J2024">
        <v>0</v>
      </c>
      <c r="K2024">
        <v>0</v>
      </c>
      <c r="L2024" s="2">
        <v>0</v>
      </c>
      <c r="M2024">
        <v>23.76</v>
      </c>
      <c r="N2024" t="s">
        <v>10236</v>
      </c>
    </row>
    <row r="2025" spans="1:14">
      <c r="A2025" t="s">
        <v>25</v>
      </c>
      <c r="B2025" t="s">
        <v>2191</v>
      </c>
      <c r="C2025">
        <f>"RY29SRO"</f>
        <v>0</v>
      </c>
      <c r="D2025">
        <v>2</v>
      </c>
      <c r="E2025">
        <v>1</v>
      </c>
      <c r="F2025" s="2">
        <v>1</v>
      </c>
      <c r="G2025">
        <v>2</v>
      </c>
      <c r="H2025">
        <v>2</v>
      </c>
      <c r="I2025">
        <v>0.1755411474933901</v>
      </c>
      <c r="J2025">
        <v>0</v>
      </c>
      <c r="K2025">
        <v>0</v>
      </c>
      <c r="L2025" s="2">
        <v>0</v>
      </c>
      <c r="M2025">
        <v>23.77</v>
      </c>
      <c r="N2025" t="s">
        <v>10236</v>
      </c>
    </row>
    <row r="2026" spans="1:14">
      <c r="A2026" t="s">
        <v>35</v>
      </c>
      <c r="B2026" t="s">
        <v>2192</v>
      </c>
      <c r="C2026">
        <f>"D42XL"</f>
        <v>0</v>
      </c>
      <c r="D2026">
        <v>2</v>
      </c>
      <c r="E2026">
        <v>25</v>
      </c>
      <c r="F2026" s="2">
        <v>2</v>
      </c>
      <c r="G2026">
        <v>50</v>
      </c>
      <c r="H2026">
        <v>1</v>
      </c>
      <c r="I2026">
        <v>0.1755411474933901</v>
      </c>
      <c r="J2026">
        <v>0</v>
      </c>
      <c r="K2026">
        <v>0</v>
      </c>
      <c r="L2026" s="2">
        <v>0</v>
      </c>
      <c r="M2026">
        <v>23.78</v>
      </c>
      <c r="N2026" t="s">
        <v>10236</v>
      </c>
    </row>
    <row r="2027" spans="1:14">
      <c r="A2027" t="s">
        <v>35</v>
      </c>
      <c r="B2027" t="s">
        <v>2193</v>
      </c>
      <c r="C2027">
        <f>"ER132"</f>
        <v>0</v>
      </c>
      <c r="D2027">
        <v>2</v>
      </c>
      <c r="E2027">
        <v>6</v>
      </c>
      <c r="F2027" s="2">
        <v>3</v>
      </c>
      <c r="G2027">
        <v>12</v>
      </c>
      <c r="H2027">
        <v>2</v>
      </c>
      <c r="I2027">
        <v>0.1755411474933901</v>
      </c>
      <c r="J2027">
        <v>0</v>
      </c>
      <c r="K2027">
        <v>0</v>
      </c>
      <c r="L2027" s="2">
        <v>0</v>
      </c>
      <c r="M2027">
        <v>23.79</v>
      </c>
      <c r="N2027" t="s">
        <v>10236</v>
      </c>
    </row>
    <row r="2028" spans="1:14">
      <c r="A2028" t="s">
        <v>24</v>
      </c>
      <c r="B2028" t="s">
        <v>2194</v>
      </c>
      <c r="C2028">
        <f>"1010237"</f>
        <v>0</v>
      </c>
      <c r="D2028">
        <v>2</v>
      </c>
      <c r="E2028">
        <v>30</v>
      </c>
      <c r="F2028" s="2">
        <v>2</v>
      </c>
      <c r="G2028">
        <v>60</v>
      </c>
      <c r="H2028">
        <v>2</v>
      </c>
      <c r="I2028">
        <v>0.1755411474933901</v>
      </c>
      <c r="J2028">
        <v>0</v>
      </c>
      <c r="K2028">
        <v>0</v>
      </c>
      <c r="L2028" s="2">
        <v>0</v>
      </c>
      <c r="M2028">
        <v>23.8</v>
      </c>
      <c r="N2028" t="s">
        <v>10236</v>
      </c>
    </row>
    <row r="2029" spans="1:14">
      <c r="A2029" t="s">
        <v>25</v>
      </c>
      <c r="B2029" t="s">
        <v>2195</v>
      </c>
      <c r="C2029">
        <f>"TR066"</f>
        <v>0</v>
      </c>
      <c r="D2029">
        <v>2</v>
      </c>
      <c r="E2029">
        <v>1</v>
      </c>
      <c r="F2029" s="2">
        <v>2</v>
      </c>
      <c r="G2029">
        <v>2</v>
      </c>
      <c r="H2029">
        <v>2</v>
      </c>
      <c r="I2029">
        <v>0.1755411474933901</v>
      </c>
      <c r="J2029">
        <v>0</v>
      </c>
      <c r="K2029">
        <v>0</v>
      </c>
      <c r="L2029" s="2">
        <v>0</v>
      </c>
      <c r="M2029">
        <v>23.81</v>
      </c>
      <c r="N2029" t="s">
        <v>10236</v>
      </c>
    </row>
    <row r="2030" spans="1:14">
      <c r="A2030" t="s">
        <v>25</v>
      </c>
      <c r="B2030" t="s">
        <v>2196</v>
      </c>
      <c r="C2030">
        <f>"MI13"</f>
        <v>0</v>
      </c>
      <c r="D2030">
        <v>2</v>
      </c>
      <c r="E2030">
        <v>3</v>
      </c>
      <c r="F2030" s="2">
        <v>4</v>
      </c>
      <c r="G2030">
        <v>6</v>
      </c>
      <c r="H2030">
        <v>2</v>
      </c>
      <c r="I2030">
        <v>0.1755411474933901</v>
      </c>
      <c r="J2030">
        <v>0</v>
      </c>
      <c r="K2030">
        <v>0</v>
      </c>
      <c r="L2030" s="2">
        <v>0</v>
      </c>
      <c r="M2030">
        <v>23.82</v>
      </c>
      <c r="N2030" t="s">
        <v>10236</v>
      </c>
    </row>
    <row r="2031" spans="1:14">
      <c r="A2031" t="s">
        <v>35</v>
      </c>
      <c r="B2031" t="s">
        <v>2197</v>
      </c>
      <c r="C2031">
        <f>"PA40803"</f>
        <v>0</v>
      </c>
      <c r="D2031">
        <v>2</v>
      </c>
      <c r="E2031">
        <v>2</v>
      </c>
      <c r="F2031" s="2">
        <v>3</v>
      </c>
      <c r="G2031">
        <v>4</v>
      </c>
      <c r="H2031">
        <v>1</v>
      </c>
      <c r="I2031">
        <v>0.1755411474933901</v>
      </c>
      <c r="J2031">
        <v>0</v>
      </c>
      <c r="K2031">
        <v>0</v>
      </c>
      <c r="L2031" s="2">
        <v>0</v>
      </c>
      <c r="M2031">
        <v>23.83</v>
      </c>
      <c r="N2031" t="s">
        <v>10236</v>
      </c>
    </row>
    <row r="2032" spans="1:14">
      <c r="A2032" t="s">
        <v>30</v>
      </c>
      <c r="B2032" t="s">
        <v>2198</v>
      </c>
      <c r="C2032">
        <f>"100596"</f>
        <v>0</v>
      </c>
      <c r="D2032">
        <v>2</v>
      </c>
      <c r="E2032">
        <v>6</v>
      </c>
      <c r="F2032" s="2">
        <v>12</v>
      </c>
      <c r="G2032">
        <v>12</v>
      </c>
      <c r="H2032">
        <v>2</v>
      </c>
      <c r="I2032">
        <v>0.1755411474933901</v>
      </c>
      <c r="J2032">
        <v>0</v>
      </c>
      <c r="K2032">
        <v>0</v>
      </c>
      <c r="L2032" s="2">
        <v>0</v>
      </c>
      <c r="M2032">
        <v>23.84</v>
      </c>
      <c r="N2032" t="s">
        <v>10236</v>
      </c>
    </row>
    <row r="2033" spans="1:14">
      <c r="A2033" t="s">
        <v>25</v>
      </c>
      <c r="B2033" t="s">
        <v>2199</v>
      </c>
      <c r="C2033">
        <f>"MS002"</f>
        <v>0</v>
      </c>
      <c r="D2033">
        <v>2</v>
      </c>
      <c r="E2033">
        <v>1</v>
      </c>
      <c r="F2033" s="2">
        <v>2</v>
      </c>
      <c r="G2033">
        <v>2</v>
      </c>
      <c r="H2033">
        <v>1</v>
      </c>
      <c r="I2033">
        <v>0.1755411474933901</v>
      </c>
      <c r="J2033">
        <v>0</v>
      </c>
      <c r="K2033">
        <v>0</v>
      </c>
      <c r="L2033" s="2">
        <v>0</v>
      </c>
      <c r="M2033">
        <v>23.84</v>
      </c>
      <c r="N2033" t="s">
        <v>10236</v>
      </c>
    </row>
    <row r="2034" spans="1:14">
      <c r="A2034" t="s">
        <v>35</v>
      </c>
      <c r="B2034" t="s">
        <v>2200</v>
      </c>
      <c r="C2034">
        <f>"TQ073ROS"</f>
        <v>0</v>
      </c>
      <c r="D2034">
        <v>2</v>
      </c>
      <c r="E2034">
        <v>4</v>
      </c>
      <c r="F2034" s="2">
        <v>0</v>
      </c>
      <c r="G2034">
        <v>8</v>
      </c>
      <c r="H2034">
        <v>2</v>
      </c>
      <c r="I2034">
        <v>0.1755411474933901</v>
      </c>
      <c r="J2034">
        <v>0</v>
      </c>
      <c r="K2034">
        <v>0</v>
      </c>
      <c r="L2034" s="2">
        <v>0</v>
      </c>
      <c r="M2034">
        <v>23.85</v>
      </c>
      <c r="N2034" t="s">
        <v>10236</v>
      </c>
    </row>
    <row r="2035" spans="1:14">
      <c r="A2035" t="s">
        <v>27</v>
      </c>
      <c r="B2035" t="s">
        <v>2201</v>
      </c>
      <c r="C2035">
        <f>"ALUV15"</f>
        <v>0</v>
      </c>
      <c r="D2035">
        <v>2</v>
      </c>
      <c r="E2035">
        <v>3</v>
      </c>
      <c r="F2035" s="2">
        <v>13</v>
      </c>
      <c r="G2035">
        <v>6</v>
      </c>
      <c r="H2035">
        <v>1</v>
      </c>
      <c r="I2035">
        <v>0.1755411474933901</v>
      </c>
      <c r="J2035">
        <v>0</v>
      </c>
      <c r="K2035">
        <v>0</v>
      </c>
      <c r="L2035" s="2">
        <v>0</v>
      </c>
      <c r="M2035">
        <v>23.86</v>
      </c>
      <c r="N2035" t="s">
        <v>10236</v>
      </c>
    </row>
    <row r="2036" spans="1:14">
      <c r="A2036" t="s">
        <v>24</v>
      </c>
      <c r="B2036" t="s">
        <v>2202</v>
      </c>
      <c r="C2036">
        <f>"1113001"</f>
        <v>0</v>
      </c>
      <c r="D2036">
        <v>2</v>
      </c>
      <c r="E2036">
        <v>2</v>
      </c>
      <c r="F2036" s="2">
        <v>3</v>
      </c>
      <c r="G2036">
        <v>4</v>
      </c>
      <c r="H2036">
        <v>1</v>
      </c>
      <c r="I2036">
        <v>0.1755411474933901</v>
      </c>
      <c r="J2036">
        <v>0</v>
      </c>
      <c r="K2036">
        <v>0</v>
      </c>
      <c r="L2036" s="2">
        <v>0</v>
      </c>
      <c r="M2036">
        <v>23.87</v>
      </c>
      <c r="N2036" t="s">
        <v>10236</v>
      </c>
    </row>
    <row r="2037" spans="1:14">
      <c r="A2037" t="s">
        <v>213</v>
      </c>
      <c r="B2037" t="s">
        <v>2203</v>
      </c>
      <c r="C2037">
        <f>"401450"</f>
        <v>0</v>
      </c>
      <c r="D2037">
        <v>2</v>
      </c>
      <c r="E2037">
        <v>3</v>
      </c>
      <c r="F2037" s="2">
        <v>7</v>
      </c>
      <c r="G2037">
        <v>6</v>
      </c>
      <c r="H2037">
        <v>2</v>
      </c>
      <c r="I2037">
        <v>0.1755411474933901</v>
      </c>
      <c r="J2037">
        <v>0</v>
      </c>
      <c r="K2037">
        <v>0</v>
      </c>
      <c r="L2037" s="2">
        <v>0</v>
      </c>
      <c r="M2037">
        <v>23.88</v>
      </c>
      <c r="N2037" t="s">
        <v>10236</v>
      </c>
    </row>
    <row r="2038" spans="1:14">
      <c r="A2038" t="s">
        <v>192</v>
      </c>
      <c r="B2038" t="s">
        <v>2204</v>
      </c>
      <c r="C2038">
        <f>"YY36"</f>
        <v>0</v>
      </c>
      <c r="D2038">
        <v>2</v>
      </c>
      <c r="E2038">
        <v>1</v>
      </c>
      <c r="F2038" s="2">
        <v>2</v>
      </c>
      <c r="G2038">
        <v>2</v>
      </c>
      <c r="H2038">
        <v>2</v>
      </c>
      <c r="I2038">
        <v>0.1755411474933901</v>
      </c>
      <c r="J2038">
        <v>0</v>
      </c>
      <c r="K2038">
        <v>0</v>
      </c>
      <c r="L2038" s="2">
        <v>0</v>
      </c>
      <c r="M2038">
        <v>23.89</v>
      </c>
      <c r="N2038" t="s">
        <v>10236</v>
      </c>
    </row>
    <row r="2039" spans="1:14">
      <c r="A2039" t="s">
        <v>25</v>
      </c>
      <c r="B2039" t="s">
        <v>2205</v>
      </c>
      <c r="C2039">
        <f>"S498"</f>
        <v>0</v>
      </c>
      <c r="D2039">
        <v>2</v>
      </c>
      <c r="E2039">
        <v>1</v>
      </c>
      <c r="F2039" s="2">
        <v>2</v>
      </c>
      <c r="G2039">
        <v>2</v>
      </c>
      <c r="H2039">
        <v>2</v>
      </c>
      <c r="I2039">
        <v>0.1755411474933901</v>
      </c>
      <c r="J2039">
        <v>0</v>
      </c>
      <c r="K2039">
        <v>0</v>
      </c>
      <c r="L2039" s="2">
        <v>0</v>
      </c>
      <c r="M2039">
        <v>23.9</v>
      </c>
      <c r="N2039" t="s">
        <v>10236</v>
      </c>
    </row>
    <row r="2040" spans="1:14">
      <c r="A2040" t="s">
        <v>35</v>
      </c>
      <c r="B2040" t="s">
        <v>2206</v>
      </c>
      <c r="C2040">
        <f>"TQ107R"</f>
        <v>0</v>
      </c>
      <c r="D2040">
        <v>2</v>
      </c>
      <c r="E2040">
        <v>2</v>
      </c>
      <c r="F2040" s="2">
        <v>423</v>
      </c>
      <c r="G2040">
        <v>4</v>
      </c>
      <c r="H2040">
        <v>1</v>
      </c>
      <c r="I2040">
        <v>0.1755411474933901</v>
      </c>
      <c r="J2040">
        <v>0</v>
      </c>
      <c r="K2040">
        <v>0</v>
      </c>
      <c r="L2040" s="2">
        <v>0</v>
      </c>
      <c r="M2040">
        <v>23.91</v>
      </c>
      <c r="N2040" t="s">
        <v>10236</v>
      </c>
    </row>
    <row r="2041" spans="1:14">
      <c r="A2041" t="s">
        <v>35</v>
      </c>
      <c r="B2041" t="s">
        <v>2207</v>
      </c>
      <c r="C2041">
        <f>"FURLL"</f>
        <v>0</v>
      </c>
      <c r="D2041">
        <v>2</v>
      </c>
      <c r="E2041">
        <v>1</v>
      </c>
      <c r="F2041" s="2">
        <v>4</v>
      </c>
      <c r="G2041">
        <v>2</v>
      </c>
      <c r="H2041">
        <v>1</v>
      </c>
      <c r="I2041">
        <v>0.1755411474933901</v>
      </c>
      <c r="J2041">
        <v>0</v>
      </c>
      <c r="K2041">
        <v>0</v>
      </c>
      <c r="L2041" s="2">
        <v>0</v>
      </c>
      <c r="M2041">
        <v>23.92</v>
      </c>
      <c r="N2041" t="s">
        <v>10236</v>
      </c>
    </row>
    <row r="2042" spans="1:14">
      <c r="A2042" t="s">
        <v>194</v>
      </c>
      <c r="B2042" t="s">
        <v>2208</v>
      </c>
      <c r="C2042">
        <f>"20080750"</f>
        <v>0</v>
      </c>
      <c r="D2042">
        <v>2</v>
      </c>
      <c r="E2042">
        <v>2</v>
      </c>
      <c r="F2042" s="2">
        <v>26</v>
      </c>
      <c r="G2042">
        <v>4</v>
      </c>
      <c r="H2042">
        <v>2</v>
      </c>
      <c r="I2042">
        <v>0.1755411474933901</v>
      </c>
      <c r="J2042">
        <v>0</v>
      </c>
      <c r="K2042">
        <v>0</v>
      </c>
      <c r="L2042" s="2">
        <v>0</v>
      </c>
      <c r="M2042">
        <v>23.93</v>
      </c>
      <c r="N2042" t="s">
        <v>10236</v>
      </c>
    </row>
    <row r="2043" spans="1:14">
      <c r="A2043" t="s">
        <v>35</v>
      </c>
      <c r="B2043" t="s">
        <v>2209</v>
      </c>
      <c r="C2043">
        <f>"KE3206PS"</f>
        <v>0</v>
      </c>
      <c r="D2043">
        <v>2</v>
      </c>
      <c r="E2043">
        <v>1</v>
      </c>
      <c r="F2043" s="2">
        <v>2</v>
      </c>
      <c r="G2043">
        <v>2</v>
      </c>
      <c r="H2043">
        <v>1</v>
      </c>
      <c r="I2043">
        <v>0.1755411474933901</v>
      </c>
      <c r="J2043">
        <v>0</v>
      </c>
      <c r="K2043">
        <v>0</v>
      </c>
      <c r="L2043" s="2">
        <v>0</v>
      </c>
      <c r="M2043">
        <v>23.94</v>
      </c>
      <c r="N2043" t="s">
        <v>10236</v>
      </c>
    </row>
    <row r="2044" spans="1:14">
      <c r="A2044" t="s">
        <v>35</v>
      </c>
      <c r="B2044" t="s">
        <v>2210</v>
      </c>
      <c r="C2044">
        <f>"ke4806"</f>
        <v>0</v>
      </c>
      <c r="D2044">
        <v>2</v>
      </c>
      <c r="E2044">
        <v>54</v>
      </c>
      <c r="F2044" s="2">
        <v>2</v>
      </c>
      <c r="G2044">
        <v>108</v>
      </c>
      <c r="H2044">
        <v>2</v>
      </c>
      <c r="I2044">
        <v>0.1755411474933901</v>
      </c>
      <c r="J2044">
        <v>0</v>
      </c>
      <c r="K2044">
        <v>0</v>
      </c>
      <c r="L2044" s="2">
        <v>0</v>
      </c>
      <c r="M2044">
        <v>23.95</v>
      </c>
      <c r="N2044" t="s">
        <v>10236</v>
      </c>
    </row>
    <row r="2045" spans="1:14">
      <c r="A2045" t="s">
        <v>35</v>
      </c>
      <c r="B2045" t="s">
        <v>2211</v>
      </c>
      <c r="C2045">
        <f>"BO3062"</f>
        <v>0</v>
      </c>
      <c r="D2045">
        <v>2</v>
      </c>
      <c r="E2045">
        <v>2</v>
      </c>
      <c r="F2045" s="2">
        <v>2</v>
      </c>
      <c r="G2045">
        <v>4</v>
      </c>
      <c r="H2045">
        <v>2</v>
      </c>
      <c r="I2045">
        <v>0.1755411474933901</v>
      </c>
      <c r="J2045">
        <v>0</v>
      </c>
      <c r="K2045">
        <v>0</v>
      </c>
      <c r="L2045" s="2">
        <v>0</v>
      </c>
      <c r="M2045">
        <v>23.96</v>
      </c>
      <c r="N2045" t="s">
        <v>10236</v>
      </c>
    </row>
    <row r="2046" spans="1:14">
      <c r="A2046" t="s">
        <v>35</v>
      </c>
      <c r="B2046" t="s">
        <v>2212</v>
      </c>
      <c r="C2046">
        <f>"LS147A"</f>
        <v>0</v>
      </c>
      <c r="D2046">
        <v>2</v>
      </c>
      <c r="E2046">
        <v>1</v>
      </c>
      <c r="F2046" s="2">
        <v>4</v>
      </c>
      <c r="G2046">
        <v>2</v>
      </c>
      <c r="H2046">
        <v>2</v>
      </c>
      <c r="I2046">
        <v>0.1755411474933901</v>
      </c>
      <c r="J2046">
        <v>0</v>
      </c>
      <c r="K2046">
        <v>0</v>
      </c>
      <c r="L2046" s="2">
        <v>0</v>
      </c>
      <c r="M2046">
        <v>23.97</v>
      </c>
      <c r="N2046" t="s">
        <v>10236</v>
      </c>
    </row>
    <row r="2047" spans="1:14">
      <c r="A2047" t="s">
        <v>35</v>
      </c>
      <c r="B2047" t="s">
        <v>2213</v>
      </c>
      <c r="C2047">
        <f>"PS06067"</f>
        <v>0</v>
      </c>
      <c r="D2047">
        <v>2</v>
      </c>
      <c r="E2047">
        <v>11</v>
      </c>
      <c r="F2047" s="2">
        <v>3</v>
      </c>
      <c r="G2047">
        <v>22</v>
      </c>
      <c r="H2047">
        <v>1</v>
      </c>
      <c r="I2047">
        <v>0.1755411474933901</v>
      </c>
      <c r="J2047">
        <v>0</v>
      </c>
      <c r="K2047">
        <v>0</v>
      </c>
      <c r="L2047" s="2">
        <v>0</v>
      </c>
      <c r="M2047">
        <v>23.97</v>
      </c>
      <c r="N2047" t="s">
        <v>10236</v>
      </c>
    </row>
    <row r="2048" spans="1:14">
      <c r="A2048" t="s">
        <v>25</v>
      </c>
      <c r="B2048" t="s">
        <v>2214</v>
      </c>
      <c r="C2048">
        <f>"60812"</f>
        <v>0</v>
      </c>
      <c r="D2048">
        <v>2</v>
      </c>
      <c r="E2048">
        <v>1</v>
      </c>
      <c r="F2048" s="2">
        <v>3</v>
      </c>
      <c r="G2048">
        <v>2</v>
      </c>
      <c r="H2048">
        <v>2</v>
      </c>
      <c r="I2048">
        <v>0.1755411474933901</v>
      </c>
      <c r="J2048">
        <v>0</v>
      </c>
      <c r="K2048">
        <v>0</v>
      </c>
      <c r="L2048" s="2">
        <v>0</v>
      </c>
      <c r="M2048">
        <v>23.98</v>
      </c>
      <c r="N2048" t="s">
        <v>10236</v>
      </c>
    </row>
    <row r="2049" spans="1:14">
      <c r="A2049" t="s">
        <v>29</v>
      </c>
      <c r="B2049" t="s">
        <v>2215</v>
      </c>
      <c r="C2049">
        <f>"BSSTAR"</f>
        <v>0</v>
      </c>
      <c r="D2049">
        <v>2</v>
      </c>
      <c r="E2049">
        <v>27</v>
      </c>
      <c r="F2049" s="2">
        <v>1</v>
      </c>
      <c r="G2049">
        <v>54</v>
      </c>
      <c r="H2049">
        <v>2</v>
      </c>
      <c r="I2049">
        <v>0.1755411474933901</v>
      </c>
      <c r="J2049">
        <v>0</v>
      </c>
      <c r="K2049">
        <v>0</v>
      </c>
      <c r="L2049" s="2">
        <v>0</v>
      </c>
      <c r="M2049">
        <v>23.99</v>
      </c>
      <c r="N2049" t="s">
        <v>10236</v>
      </c>
    </row>
    <row r="2050" spans="1:14">
      <c r="A2050" t="s">
        <v>29</v>
      </c>
      <c r="B2050" t="s">
        <v>2216</v>
      </c>
      <c r="C2050">
        <f>"BSL2"</f>
        <v>0</v>
      </c>
      <c r="D2050">
        <v>2</v>
      </c>
      <c r="E2050">
        <v>6</v>
      </c>
      <c r="F2050" s="2">
        <v>0</v>
      </c>
      <c r="G2050">
        <v>12</v>
      </c>
      <c r="H2050">
        <v>1</v>
      </c>
      <c r="I2050">
        <v>0.1755411474933901</v>
      </c>
      <c r="J2050">
        <v>0</v>
      </c>
      <c r="K2050">
        <v>0</v>
      </c>
      <c r="L2050" s="2">
        <v>0</v>
      </c>
      <c r="M2050">
        <v>24</v>
      </c>
      <c r="N2050" t="s">
        <v>10236</v>
      </c>
    </row>
    <row r="2051" spans="1:14">
      <c r="A2051" t="s">
        <v>35</v>
      </c>
      <c r="B2051" t="s">
        <v>2217</v>
      </c>
      <c r="C2051">
        <f>"C406"</f>
        <v>0</v>
      </c>
      <c r="D2051">
        <v>2</v>
      </c>
      <c r="E2051">
        <v>9</v>
      </c>
      <c r="F2051" s="2">
        <v>7</v>
      </c>
      <c r="G2051">
        <v>18</v>
      </c>
      <c r="H2051">
        <v>2</v>
      </c>
      <c r="I2051">
        <v>0.1755411474933901</v>
      </c>
      <c r="J2051">
        <v>0</v>
      </c>
      <c r="K2051">
        <v>0</v>
      </c>
      <c r="L2051" s="2">
        <v>0</v>
      </c>
      <c r="M2051">
        <v>24.01</v>
      </c>
      <c r="N2051" t="s">
        <v>10236</v>
      </c>
    </row>
    <row r="2052" spans="1:14">
      <c r="A2052" t="s">
        <v>25</v>
      </c>
      <c r="B2052" t="s">
        <v>2218</v>
      </c>
      <c r="C2052">
        <f>"53136"</f>
        <v>0</v>
      </c>
      <c r="D2052">
        <v>2</v>
      </c>
      <c r="E2052">
        <v>6</v>
      </c>
      <c r="F2052" s="2">
        <v>8</v>
      </c>
      <c r="G2052">
        <v>12</v>
      </c>
      <c r="H2052">
        <v>1</v>
      </c>
      <c r="I2052">
        <v>0.1755411474933901</v>
      </c>
      <c r="J2052">
        <v>0</v>
      </c>
      <c r="K2052">
        <v>0</v>
      </c>
      <c r="L2052" s="2">
        <v>0</v>
      </c>
      <c r="M2052">
        <v>24.02</v>
      </c>
      <c r="N2052" t="s">
        <v>10236</v>
      </c>
    </row>
    <row r="2053" spans="1:14">
      <c r="A2053" t="s">
        <v>41</v>
      </c>
      <c r="B2053" t="s">
        <v>2219</v>
      </c>
      <c r="C2053">
        <f>"LEGDAFO"</f>
        <v>0</v>
      </c>
      <c r="D2053">
        <v>2</v>
      </c>
      <c r="E2053">
        <v>4</v>
      </c>
      <c r="F2053" s="2">
        <v>13</v>
      </c>
      <c r="G2053">
        <v>8</v>
      </c>
      <c r="H2053">
        <v>1</v>
      </c>
      <c r="I2053">
        <v>0.1755411474933901</v>
      </c>
      <c r="J2053">
        <v>0</v>
      </c>
      <c r="K2053">
        <v>0</v>
      </c>
      <c r="L2053" s="2">
        <v>0</v>
      </c>
      <c r="M2053">
        <v>24.03</v>
      </c>
      <c r="N2053" t="s">
        <v>10236</v>
      </c>
    </row>
    <row r="2054" spans="1:14">
      <c r="A2054" t="s">
        <v>30</v>
      </c>
      <c r="B2054" t="s">
        <v>2220</v>
      </c>
      <c r="C2054">
        <f>"100533"</f>
        <v>0</v>
      </c>
      <c r="D2054">
        <v>2</v>
      </c>
      <c r="E2054">
        <v>1</v>
      </c>
      <c r="F2054" s="2">
        <v>41</v>
      </c>
      <c r="G2054">
        <v>2</v>
      </c>
      <c r="H2054">
        <v>2</v>
      </c>
      <c r="I2054">
        <v>0.1755411474933901</v>
      </c>
      <c r="J2054">
        <v>0</v>
      </c>
      <c r="K2054">
        <v>0</v>
      </c>
      <c r="L2054" s="2">
        <v>0</v>
      </c>
      <c r="M2054">
        <v>24.04</v>
      </c>
      <c r="N2054" t="s">
        <v>10236</v>
      </c>
    </row>
    <row r="2055" spans="1:14">
      <c r="A2055" t="s">
        <v>35</v>
      </c>
      <c r="B2055" t="s">
        <v>2221</v>
      </c>
      <c r="C2055">
        <f>"DM40060L"</f>
        <v>0</v>
      </c>
      <c r="D2055">
        <v>2</v>
      </c>
      <c r="E2055">
        <v>12</v>
      </c>
      <c r="F2055" s="2">
        <v>1</v>
      </c>
      <c r="G2055">
        <v>24</v>
      </c>
      <c r="H2055">
        <v>2</v>
      </c>
      <c r="I2055">
        <v>0.1755411474933901</v>
      </c>
      <c r="J2055">
        <v>0</v>
      </c>
      <c r="K2055">
        <v>0</v>
      </c>
      <c r="L2055" s="2">
        <v>0</v>
      </c>
      <c r="M2055">
        <v>24.05</v>
      </c>
      <c r="N2055" t="s">
        <v>10236</v>
      </c>
    </row>
    <row r="2056" spans="1:14">
      <c r="A2056" t="s">
        <v>194</v>
      </c>
      <c r="B2056" t="s">
        <v>2222</v>
      </c>
      <c r="C2056">
        <f>"20080150"</f>
        <v>0</v>
      </c>
      <c r="D2056">
        <v>2</v>
      </c>
      <c r="E2056">
        <v>2</v>
      </c>
      <c r="F2056" s="2">
        <v>7</v>
      </c>
      <c r="G2056">
        <v>4</v>
      </c>
      <c r="H2056">
        <v>1</v>
      </c>
      <c r="I2056">
        <v>0.1755411474933901</v>
      </c>
      <c r="J2056">
        <v>0</v>
      </c>
      <c r="K2056">
        <v>0</v>
      </c>
      <c r="L2056" s="2">
        <v>0</v>
      </c>
      <c r="M2056">
        <v>24.06</v>
      </c>
      <c r="N2056" t="s">
        <v>10236</v>
      </c>
    </row>
    <row r="2057" spans="1:14">
      <c r="A2057" t="s">
        <v>30</v>
      </c>
      <c r="B2057" t="s">
        <v>2223</v>
      </c>
      <c r="C2057">
        <f>"1011081"</f>
        <v>0</v>
      </c>
      <c r="D2057">
        <v>2</v>
      </c>
      <c r="E2057">
        <v>1</v>
      </c>
      <c r="F2057" s="2">
        <v>4</v>
      </c>
      <c r="G2057">
        <v>2</v>
      </c>
      <c r="H2057">
        <v>2</v>
      </c>
      <c r="I2057">
        <v>0.1755411474933901</v>
      </c>
      <c r="J2057">
        <v>0</v>
      </c>
      <c r="K2057">
        <v>0</v>
      </c>
      <c r="L2057" s="2">
        <v>0</v>
      </c>
      <c r="M2057">
        <v>24.07</v>
      </c>
      <c r="N2057" t="s">
        <v>10236</v>
      </c>
    </row>
    <row r="2058" spans="1:14">
      <c r="A2058" t="s">
        <v>32</v>
      </c>
      <c r="B2058" t="s">
        <v>2224</v>
      </c>
      <c r="C2058">
        <f>"5003516"</f>
        <v>0</v>
      </c>
      <c r="D2058">
        <v>2</v>
      </c>
      <c r="E2058">
        <v>6</v>
      </c>
      <c r="F2058" s="2">
        <v>21</v>
      </c>
      <c r="G2058">
        <v>12</v>
      </c>
      <c r="H2058">
        <v>2</v>
      </c>
      <c r="I2058">
        <v>0.1755411474933901</v>
      </c>
      <c r="J2058">
        <v>0</v>
      </c>
      <c r="K2058">
        <v>0</v>
      </c>
      <c r="L2058" s="2">
        <v>0</v>
      </c>
      <c r="M2058">
        <v>24.08</v>
      </c>
      <c r="N2058" t="s">
        <v>10236</v>
      </c>
    </row>
    <row r="2059" spans="1:14">
      <c r="A2059" t="s">
        <v>35</v>
      </c>
      <c r="B2059" t="s">
        <v>2225</v>
      </c>
      <c r="C2059">
        <f>"KF2008A"</f>
        <v>0</v>
      </c>
      <c r="D2059">
        <v>2</v>
      </c>
      <c r="E2059">
        <v>1</v>
      </c>
      <c r="F2059" s="2">
        <v>8</v>
      </c>
      <c r="G2059">
        <v>2</v>
      </c>
      <c r="H2059">
        <v>1</v>
      </c>
      <c r="I2059">
        <v>0.1755411474933901</v>
      </c>
      <c r="J2059">
        <v>0</v>
      </c>
      <c r="K2059">
        <v>0</v>
      </c>
      <c r="L2059" s="2">
        <v>0</v>
      </c>
      <c r="M2059">
        <v>24.09</v>
      </c>
      <c r="N2059" t="s">
        <v>10236</v>
      </c>
    </row>
    <row r="2060" spans="1:14">
      <c r="A2060" t="s">
        <v>35</v>
      </c>
      <c r="B2060" t="s">
        <v>2226</v>
      </c>
      <c r="C2060">
        <f>"9401B"</f>
        <v>0</v>
      </c>
      <c r="D2060">
        <v>2</v>
      </c>
      <c r="E2060">
        <v>46</v>
      </c>
      <c r="F2060" s="2">
        <v>1</v>
      </c>
      <c r="G2060">
        <v>92</v>
      </c>
      <c r="H2060">
        <v>2</v>
      </c>
      <c r="I2060">
        <v>0.1755411474933901</v>
      </c>
      <c r="J2060">
        <v>0</v>
      </c>
      <c r="K2060">
        <v>0</v>
      </c>
      <c r="L2060" s="2">
        <v>0</v>
      </c>
      <c r="M2060">
        <v>24.1</v>
      </c>
      <c r="N2060" t="s">
        <v>10236</v>
      </c>
    </row>
    <row r="2061" spans="1:14">
      <c r="A2061" t="s">
        <v>35</v>
      </c>
      <c r="B2061" t="s">
        <v>2227</v>
      </c>
      <c r="C2061">
        <f>"JDC18"</f>
        <v>0</v>
      </c>
      <c r="D2061">
        <v>2</v>
      </c>
      <c r="E2061">
        <v>5</v>
      </c>
      <c r="F2061" s="2">
        <v>2</v>
      </c>
      <c r="G2061">
        <v>10</v>
      </c>
      <c r="H2061">
        <v>1</v>
      </c>
      <c r="I2061">
        <v>0.1755411474933901</v>
      </c>
      <c r="J2061">
        <v>0</v>
      </c>
      <c r="K2061">
        <v>0</v>
      </c>
      <c r="L2061" s="2">
        <v>0</v>
      </c>
      <c r="M2061">
        <v>24.1</v>
      </c>
      <c r="N2061" t="s">
        <v>10236</v>
      </c>
    </row>
    <row r="2062" spans="1:14">
      <c r="A2062" t="s">
        <v>35</v>
      </c>
      <c r="B2062" t="s">
        <v>2228</v>
      </c>
      <c r="C2062">
        <f>"TR068"</f>
        <v>0</v>
      </c>
      <c r="D2062">
        <v>2</v>
      </c>
      <c r="E2062">
        <v>1</v>
      </c>
      <c r="F2062" s="2">
        <v>1</v>
      </c>
      <c r="G2062">
        <v>2</v>
      </c>
      <c r="H2062">
        <v>2</v>
      </c>
      <c r="I2062">
        <v>0.1755411474933901</v>
      </c>
      <c r="J2062">
        <v>0</v>
      </c>
      <c r="K2062">
        <v>0</v>
      </c>
      <c r="L2062" s="2">
        <v>0</v>
      </c>
      <c r="M2062">
        <v>24.11</v>
      </c>
      <c r="N2062" t="s">
        <v>10236</v>
      </c>
    </row>
    <row r="2063" spans="1:14">
      <c r="A2063" t="s">
        <v>32</v>
      </c>
      <c r="B2063" t="s">
        <v>2229</v>
      </c>
      <c r="C2063">
        <f>"5008190"</f>
        <v>0</v>
      </c>
      <c r="D2063">
        <v>2</v>
      </c>
      <c r="E2063">
        <v>4</v>
      </c>
      <c r="F2063" s="2">
        <v>10</v>
      </c>
      <c r="G2063">
        <v>8</v>
      </c>
      <c r="H2063">
        <v>2</v>
      </c>
      <c r="I2063">
        <v>0.1755411474933901</v>
      </c>
      <c r="J2063">
        <v>0</v>
      </c>
      <c r="K2063">
        <v>0</v>
      </c>
      <c r="L2063" s="2">
        <v>0</v>
      </c>
      <c r="M2063">
        <v>24.12</v>
      </c>
      <c r="N2063" t="s">
        <v>10236</v>
      </c>
    </row>
    <row r="2064" spans="1:14">
      <c r="A2064" t="s">
        <v>32</v>
      </c>
      <c r="B2064" t="s">
        <v>2230</v>
      </c>
      <c r="C2064">
        <f>"10021520"</f>
        <v>0</v>
      </c>
      <c r="D2064">
        <v>2</v>
      </c>
      <c r="E2064">
        <v>6</v>
      </c>
      <c r="F2064" s="2">
        <v>6</v>
      </c>
      <c r="G2064">
        <v>12</v>
      </c>
      <c r="H2064">
        <v>2</v>
      </c>
      <c r="I2064">
        <v>0.1755411474933901</v>
      </c>
      <c r="J2064">
        <v>0</v>
      </c>
      <c r="K2064">
        <v>0</v>
      </c>
      <c r="L2064" s="2">
        <v>0</v>
      </c>
      <c r="M2064">
        <v>24.13</v>
      </c>
      <c r="N2064" t="s">
        <v>10236</v>
      </c>
    </row>
    <row r="2065" spans="1:14">
      <c r="A2065" t="s">
        <v>25</v>
      </c>
      <c r="B2065" t="s">
        <v>2231</v>
      </c>
      <c r="C2065">
        <f>"TR067"</f>
        <v>0</v>
      </c>
      <c r="D2065">
        <v>2</v>
      </c>
      <c r="E2065">
        <v>1</v>
      </c>
      <c r="F2065" s="2">
        <v>2</v>
      </c>
      <c r="G2065">
        <v>2</v>
      </c>
      <c r="H2065">
        <v>2</v>
      </c>
      <c r="I2065">
        <v>0.1755411474933901</v>
      </c>
      <c r="J2065">
        <v>0</v>
      </c>
      <c r="K2065">
        <v>0</v>
      </c>
      <c r="L2065" s="2">
        <v>0</v>
      </c>
      <c r="M2065">
        <v>24.14</v>
      </c>
      <c r="N2065" t="s">
        <v>10236</v>
      </c>
    </row>
    <row r="2066" spans="1:14">
      <c r="A2066" t="s">
        <v>36</v>
      </c>
      <c r="B2066" t="s">
        <v>2232</v>
      </c>
      <c r="C2066">
        <f>"CA5458003CH"</f>
        <v>0</v>
      </c>
      <c r="D2066">
        <v>2</v>
      </c>
      <c r="E2066">
        <v>10</v>
      </c>
      <c r="F2066" s="2">
        <v>10</v>
      </c>
      <c r="G2066">
        <v>20</v>
      </c>
      <c r="H2066">
        <v>2</v>
      </c>
      <c r="I2066">
        <v>0.1755411474933901</v>
      </c>
      <c r="J2066">
        <v>0</v>
      </c>
      <c r="K2066">
        <v>0</v>
      </c>
      <c r="L2066" s="2">
        <v>0</v>
      </c>
      <c r="M2066">
        <v>24.15</v>
      </c>
      <c r="N2066" t="s">
        <v>10236</v>
      </c>
    </row>
    <row r="2067" spans="1:14">
      <c r="A2067" t="s">
        <v>25</v>
      </c>
      <c r="B2067" t="s">
        <v>2233</v>
      </c>
      <c r="C2067">
        <f>"11ABL"</f>
        <v>0</v>
      </c>
      <c r="D2067">
        <v>2</v>
      </c>
      <c r="E2067">
        <v>1</v>
      </c>
      <c r="F2067" s="2">
        <v>8</v>
      </c>
      <c r="G2067">
        <v>2</v>
      </c>
      <c r="H2067">
        <v>2</v>
      </c>
      <c r="I2067">
        <v>0.1755411474933901</v>
      </c>
      <c r="J2067">
        <v>0</v>
      </c>
      <c r="K2067">
        <v>0</v>
      </c>
      <c r="L2067" s="2">
        <v>0</v>
      </c>
      <c r="M2067">
        <v>24.16</v>
      </c>
      <c r="N2067" t="s">
        <v>10236</v>
      </c>
    </row>
    <row r="2068" spans="1:14">
      <c r="A2068" t="s">
        <v>25</v>
      </c>
      <c r="B2068" t="s">
        <v>2234</v>
      </c>
      <c r="C2068">
        <f>"S645"</f>
        <v>0</v>
      </c>
      <c r="D2068">
        <v>2</v>
      </c>
      <c r="E2068">
        <v>1</v>
      </c>
      <c r="F2068" s="2">
        <v>12</v>
      </c>
      <c r="G2068">
        <v>2</v>
      </c>
      <c r="H2068">
        <v>2</v>
      </c>
      <c r="I2068">
        <v>0.1755411474933901</v>
      </c>
      <c r="J2068">
        <v>0</v>
      </c>
      <c r="K2068">
        <v>0</v>
      </c>
      <c r="L2068" s="2">
        <v>0</v>
      </c>
      <c r="M2068">
        <v>24.17</v>
      </c>
      <c r="N2068" t="s">
        <v>10236</v>
      </c>
    </row>
    <row r="2069" spans="1:14">
      <c r="A2069" t="s">
        <v>32</v>
      </c>
      <c r="B2069" t="s">
        <v>292</v>
      </c>
      <c r="C2069">
        <f>"PFI076"</f>
        <v>0</v>
      </c>
      <c r="D2069">
        <v>2</v>
      </c>
      <c r="E2069">
        <v>6</v>
      </c>
      <c r="F2069" s="2">
        <v>4</v>
      </c>
      <c r="G2069">
        <v>12</v>
      </c>
      <c r="H2069">
        <v>2</v>
      </c>
      <c r="I2069">
        <v>0.1755411474933901</v>
      </c>
      <c r="J2069">
        <v>0</v>
      </c>
      <c r="K2069">
        <v>0</v>
      </c>
      <c r="L2069" s="2">
        <v>0</v>
      </c>
      <c r="M2069">
        <v>24.18</v>
      </c>
      <c r="N2069" t="s">
        <v>10236</v>
      </c>
    </row>
    <row r="2070" spans="1:14">
      <c r="A2070" t="s">
        <v>217</v>
      </c>
      <c r="B2070" t="s">
        <v>2235</v>
      </c>
      <c r="C2070">
        <f>"SH0120"</f>
        <v>0</v>
      </c>
      <c r="D2070">
        <v>2</v>
      </c>
      <c r="E2070">
        <v>2</v>
      </c>
      <c r="F2070" s="2">
        <v>7</v>
      </c>
      <c r="G2070">
        <v>4</v>
      </c>
      <c r="H2070">
        <v>2</v>
      </c>
      <c r="I2070">
        <v>0.1755411474933901</v>
      </c>
      <c r="J2070">
        <v>0</v>
      </c>
      <c r="K2070">
        <v>0</v>
      </c>
      <c r="L2070" s="2">
        <v>0</v>
      </c>
      <c r="M2070">
        <v>24.19</v>
      </c>
      <c r="N2070" t="s">
        <v>10236</v>
      </c>
    </row>
    <row r="2071" spans="1:14">
      <c r="A2071" t="s">
        <v>24</v>
      </c>
      <c r="B2071" t="s">
        <v>2236</v>
      </c>
      <c r="C2071">
        <f>"1113701"</f>
        <v>0</v>
      </c>
      <c r="D2071">
        <v>2</v>
      </c>
      <c r="E2071">
        <v>5</v>
      </c>
      <c r="F2071" s="2">
        <v>2</v>
      </c>
      <c r="G2071">
        <v>10</v>
      </c>
      <c r="H2071">
        <v>2</v>
      </c>
      <c r="I2071">
        <v>0.1755411474933901</v>
      </c>
      <c r="J2071">
        <v>0</v>
      </c>
      <c r="K2071">
        <v>0</v>
      </c>
      <c r="L2071" s="2">
        <v>0</v>
      </c>
      <c r="M2071">
        <v>24.2</v>
      </c>
      <c r="N2071" t="s">
        <v>10236</v>
      </c>
    </row>
    <row r="2072" spans="1:14">
      <c r="A2072" t="s">
        <v>196</v>
      </c>
      <c r="B2072" t="s">
        <v>2237</v>
      </c>
      <c r="C2072">
        <f>"2233"</f>
        <v>0</v>
      </c>
      <c r="D2072">
        <v>2</v>
      </c>
      <c r="E2072">
        <v>1</v>
      </c>
      <c r="F2072" s="2">
        <v>2</v>
      </c>
      <c r="G2072">
        <v>2</v>
      </c>
      <c r="H2072">
        <v>1</v>
      </c>
      <c r="I2072">
        <v>0.1755411474933901</v>
      </c>
      <c r="J2072">
        <v>0</v>
      </c>
      <c r="K2072">
        <v>0</v>
      </c>
      <c r="L2072" s="2">
        <v>0</v>
      </c>
      <c r="M2072">
        <v>24.21</v>
      </c>
      <c r="N2072" t="s">
        <v>10236</v>
      </c>
    </row>
    <row r="2073" spans="1:14">
      <c r="A2073" t="s">
        <v>38</v>
      </c>
      <c r="B2073" t="s">
        <v>2238</v>
      </c>
      <c r="C2073">
        <f>"BJPS"</f>
        <v>0</v>
      </c>
      <c r="D2073">
        <v>2</v>
      </c>
      <c r="E2073">
        <v>1</v>
      </c>
      <c r="F2073" s="2">
        <v>14</v>
      </c>
      <c r="G2073">
        <v>2</v>
      </c>
      <c r="H2073">
        <v>2</v>
      </c>
      <c r="I2073">
        <v>0.1755411474933901</v>
      </c>
      <c r="J2073">
        <v>0</v>
      </c>
      <c r="K2073">
        <v>0</v>
      </c>
      <c r="L2073" s="2">
        <v>0</v>
      </c>
      <c r="M2073">
        <v>24.22</v>
      </c>
      <c r="N2073" t="s">
        <v>10236</v>
      </c>
    </row>
    <row r="2074" spans="1:14">
      <c r="A2074" t="s">
        <v>35</v>
      </c>
      <c r="B2074" t="s">
        <v>2239</v>
      </c>
      <c r="C2074">
        <f>"830250"</f>
        <v>0</v>
      </c>
      <c r="D2074">
        <v>2</v>
      </c>
      <c r="E2074">
        <v>32</v>
      </c>
      <c r="F2074" s="2">
        <v>5</v>
      </c>
      <c r="G2074">
        <v>64</v>
      </c>
      <c r="H2074">
        <v>1</v>
      </c>
      <c r="I2074">
        <v>0.1755411474933901</v>
      </c>
      <c r="J2074">
        <v>0</v>
      </c>
      <c r="K2074">
        <v>0</v>
      </c>
      <c r="L2074" s="2">
        <v>0</v>
      </c>
      <c r="M2074">
        <v>24.23</v>
      </c>
      <c r="N2074" t="s">
        <v>10236</v>
      </c>
    </row>
    <row r="2075" spans="1:14">
      <c r="A2075" t="s">
        <v>35</v>
      </c>
      <c r="B2075" t="s">
        <v>2240</v>
      </c>
      <c r="C2075">
        <f>"10216"</f>
        <v>0</v>
      </c>
      <c r="D2075">
        <v>2</v>
      </c>
      <c r="E2075">
        <v>1</v>
      </c>
      <c r="F2075" s="2">
        <v>74</v>
      </c>
      <c r="G2075">
        <v>2</v>
      </c>
      <c r="H2075">
        <v>2</v>
      </c>
      <c r="I2075">
        <v>0.1755411474933901</v>
      </c>
      <c r="J2075">
        <v>0</v>
      </c>
      <c r="K2075">
        <v>0</v>
      </c>
      <c r="L2075" s="2">
        <v>0</v>
      </c>
      <c r="M2075">
        <v>24.23</v>
      </c>
      <c r="N2075" t="s">
        <v>10236</v>
      </c>
    </row>
    <row r="2076" spans="1:14">
      <c r="A2076" t="s">
        <v>35</v>
      </c>
      <c r="B2076" t="s">
        <v>2241</v>
      </c>
      <c r="C2076">
        <f>"D075"</f>
        <v>0</v>
      </c>
      <c r="D2076">
        <v>2</v>
      </c>
      <c r="E2076">
        <v>1</v>
      </c>
      <c r="F2076" s="2">
        <v>2</v>
      </c>
      <c r="G2076">
        <v>2</v>
      </c>
      <c r="H2076">
        <v>2</v>
      </c>
      <c r="I2076">
        <v>0.1755411474933901</v>
      </c>
      <c r="J2076">
        <v>0</v>
      </c>
      <c r="K2076">
        <v>0</v>
      </c>
      <c r="L2076" s="2">
        <v>0</v>
      </c>
      <c r="M2076">
        <v>24.24</v>
      </c>
      <c r="N2076" t="s">
        <v>10236</v>
      </c>
    </row>
    <row r="2077" spans="1:14">
      <c r="A2077" t="s">
        <v>193</v>
      </c>
      <c r="B2077" t="s">
        <v>2242</v>
      </c>
      <c r="C2077">
        <f>"2GA321"</f>
        <v>0</v>
      </c>
      <c r="D2077">
        <v>2</v>
      </c>
      <c r="E2077">
        <v>25</v>
      </c>
      <c r="F2077" s="2">
        <v>24</v>
      </c>
      <c r="G2077">
        <v>50</v>
      </c>
      <c r="H2077">
        <v>2</v>
      </c>
      <c r="I2077">
        <v>0.1755411474933901</v>
      </c>
      <c r="J2077">
        <v>0</v>
      </c>
      <c r="K2077">
        <v>0</v>
      </c>
      <c r="L2077" s="2">
        <v>0</v>
      </c>
      <c r="M2077">
        <v>24.25</v>
      </c>
      <c r="N2077" t="s">
        <v>10236</v>
      </c>
    </row>
    <row r="2078" spans="1:14">
      <c r="A2078" t="s">
        <v>196</v>
      </c>
      <c r="B2078" t="s">
        <v>2243</v>
      </c>
      <c r="C2078">
        <f>"2028"</f>
        <v>0</v>
      </c>
      <c r="D2078">
        <v>2</v>
      </c>
      <c r="E2078">
        <v>1</v>
      </c>
      <c r="F2078" s="2">
        <v>4</v>
      </c>
      <c r="G2078">
        <v>2</v>
      </c>
      <c r="H2078">
        <v>1</v>
      </c>
      <c r="I2078">
        <v>0.1755411474933901</v>
      </c>
      <c r="J2078">
        <v>0</v>
      </c>
      <c r="K2078">
        <v>0</v>
      </c>
      <c r="L2078" s="2">
        <v>0</v>
      </c>
      <c r="M2078">
        <v>24.26</v>
      </c>
      <c r="N2078" t="s">
        <v>10236</v>
      </c>
    </row>
    <row r="2079" spans="1:14">
      <c r="A2079" t="s">
        <v>29</v>
      </c>
      <c r="B2079" t="s">
        <v>2244</v>
      </c>
      <c r="C2079">
        <f>"BB12"</f>
        <v>0</v>
      </c>
      <c r="D2079">
        <v>2</v>
      </c>
      <c r="E2079">
        <v>1</v>
      </c>
      <c r="F2079" s="2">
        <v>2</v>
      </c>
      <c r="G2079">
        <v>2</v>
      </c>
      <c r="H2079">
        <v>1</v>
      </c>
      <c r="I2079">
        <v>0.1755411474933901</v>
      </c>
      <c r="J2079">
        <v>0</v>
      </c>
      <c r="K2079">
        <v>0</v>
      </c>
      <c r="L2079" s="2">
        <v>0</v>
      </c>
      <c r="M2079">
        <v>24.27</v>
      </c>
      <c r="N2079" t="s">
        <v>10236</v>
      </c>
    </row>
    <row r="2080" spans="1:14">
      <c r="A2080" t="s">
        <v>35</v>
      </c>
      <c r="B2080" t="s">
        <v>2245</v>
      </c>
      <c r="C2080">
        <f>"CK1027"</f>
        <v>0</v>
      </c>
      <c r="D2080">
        <v>2</v>
      </c>
      <c r="E2080">
        <v>9</v>
      </c>
      <c r="F2080" s="2">
        <v>1</v>
      </c>
      <c r="G2080">
        <v>18</v>
      </c>
      <c r="H2080">
        <v>2</v>
      </c>
      <c r="I2080">
        <v>0.1755411474933901</v>
      </c>
      <c r="J2080">
        <v>0</v>
      </c>
      <c r="K2080">
        <v>0</v>
      </c>
      <c r="L2080" s="2">
        <v>0</v>
      </c>
      <c r="M2080">
        <v>24.28</v>
      </c>
      <c r="N2080" t="s">
        <v>10236</v>
      </c>
    </row>
    <row r="2081" spans="1:14">
      <c r="A2081" t="s">
        <v>35</v>
      </c>
      <c r="B2081" t="s">
        <v>2246</v>
      </c>
      <c r="C2081">
        <f>"FURSLP"</f>
        <v>0</v>
      </c>
      <c r="D2081">
        <v>2</v>
      </c>
      <c r="E2081">
        <v>15</v>
      </c>
      <c r="F2081" s="2">
        <v>0</v>
      </c>
      <c r="G2081">
        <v>30</v>
      </c>
      <c r="H2081">
        <v>1</v>
      </c>
      <c r="I2081">
        <v>0.1755411474933901</v>
      </c>
      <c r="J2081">
        <v>0</v>
      </c>
      <c r="K2081">
        <v>0</v>
      </c>
      <c r="L2081" s="2">
        <v>0</v>
      </c>
      <c r="M2081">
        <v>24.29</v>
      </c>
      <c r="N2081" t="s">
        <v>10236</v>
      </c>
    </row>
    <row r="2082" spans="1:14">
      <c r="A2082" t="s">
        <v>196</v>
      </c>
      <c r="B2082" t="s">
        <v>2247</v>
      </c>
      <c r="C2082">
        <f>"2426"</f>
        <v>0</v>
      </c>
      <c r="D2082">
        <v>2</v>
      </c>
      <c r="E2082">
        <v>1</v>
      </c>
      <c r="F2082" s="2">
        <v>3</v>
      </c>
      <c r="G2082">
        <v>2</v>
      </c>
      <c r="H2082">
        <v>1</v>
      </c>
      <c r="I2082">
        <v>0.1755411474933901</v>
      </c>
      <c r="J2082">
        <v>0</v>
      </c>
      <c r="K2082">
        <v>0</v>
      </c>
      <c r="L2082" s="2">
        <v>0</v>
      </c>
      <c r="M2082">
        <v>24.3</v>
      </c>
      <c r="N2082" t="s">
        <v>10236</v>
      </c>
    </row>
    <row r="2083" spans="1:14">
      <c r="A2083" t="s">
        <v>35</v>
      </c>
      <c r="B2083" t="s">
        <v>2248</v>
      </c>
      <c r="C2083">
        <f>"FURSLPG"</f>
        <v>0</v>
      </c>
      <c r="D2083">
        <v>2</v>
      </c>
      <c r="E2083">
        <v>12</v>
      </c>
      <c r="F2083" s="2">
        <v>4</v>
      </c>
      <c r="G2083">
        <v>24</v>
      </c>
      <c r="H2083">
        <v>1</v>
      </c>
      <c r="I2083">
        <v>0.1755411474933901</v>
      </c>
      <c r="J2083">
        <v>0</v>
      </c>
      <c r="K2083">
        <v>0</v>
      </c>
      <c r="L2083" s="2">
        <v>0</v>
      </c>
      <c r="M2083">
        <v>24.31</v>
      </c>
      <c r="N2083" t="s">
        <v>10236</v>
      </c>
    </row>
    <row r="2084" spans="1:14">
      <c r="A2084" t="s">
        <v>35</v>
      </c>
      <c r="B2084" t="s">
        <v>2249</v>
      </c>
      <c r="C2084">
        <f>"DN29"</f>
        <v>0</v>
      </c>
      <c r="D2084">
        <v>2</v>
      </c>
      <c r="E2084">
        <v>6</v>
      </c>
      <c r="F2084" s="2">
        <v>2</v>
      </c>
      <c r="G2084">
        <v>12</v>
      </c>
      <c r="H2084">
        <v>2</v>
      </c>
      <c r="I2084">
        <v>0.1755411474933901</v>
      </c>
      <c r="J2084">
        <v>0</v>
      </c>
      <c r="K2084">
        <v>0</v>
      </c>
      <c r="L2084" s="2">
        <v>0</v>
      </c>
      <c r="M2084">
        <v>24.32</v>
      </c>
      <c r="N2084" t="s">
        <v>10236</v>
      </c>
    </row>
    <row r="2085" spans="1:14">
      <c r="A2085" t="s">
        <v>35</v>
      </c>
      <c r="B2085" t="s">
        <v>2250</v>
      </c>
      <c r="C2085">
        <f>"154409"</f>
        <v>0</v>
      </c>
      <c r="D2085">
        <v>2</v>
      </c>
      <c r="E2085">
        <v>2</v>
      </c>
      <c r="F2085" s="2">
        <v>2</v>
      </c>
      <c r="G2085">
        <v>4</v>
      </c>
      <c r="H2085">
        <v>2</v>
      </c>
      <c r="I2085">
        <v>0.1755411474933901</v>
      </c>
      <c r="J2085">
        <v>0</v>
      </c>
      <c r="K2085">
        <v>0</v>
      </c>
      <c r="L2085" s="2">
        <v>0</v>
      </c>
      <c r="M2085">
        <v>24.33</v>
      </c>
      <c r="N2085" t="s">
        <v>10236</v>
      </c>
    </row>
    <row r="2086" spans="1:14">
      <c r="A2086" t="s">
        <v>35</v>
      </c>
      <c r="B2086" t="s">
        <v>2251</v>
      </c>
      <c r="C2086">
        <f>"y251"</f>
        <v>0</v>
      </c>
      <c r="D2086">
        <v>2</v>
      </c>
      <c r="E2086">
        <v>1</v>
      </c>
      <c r="F2086" s="2">
        <v>13</v>
      </c>
      <c r="G2086">
        <v>2</v>
      </c>
      <c r="H2086">
        <v>2</v>
      </c>
      <c r="I2086">
        <v>0.1755411474933901</v>
      </c>
      <c r="J2086">
        <v>0</v>
      </c>
      <c r="K2086">
        <v>0</v>
      </c>
      <c r="L2086" s="2">
        <v>0</v>
      </c>
      <c r="M2086">
        <v>24.34</v>
      </c>
      <c r="N2086" t="s">
        <v>10236</v>
      </c>
    </row>
    <row r="2087" spans="1:14">
      <c r="A2087" t="s">
        <v>200</v>
      </c>
      <c r="B2087" t="s">
        <v>2252</v>
      </c>
      <c r="C2087">
        <f>"W0005"</f>
        <v>0</v>
      </c>
      <c r="D2087">
        <v>2</v>
      </c>
      <c r="E2087">
        <v>1</v>
      </c>
      <c r="F2087" s="2">
        <v>2</v>
      </c>
      <c r="G2087">
        <v>2</v>
      </c>
      <c r="H2087">
        <v>1</v>
      </c>
      <c r="I2087">
        <v>0.1755411474933901</v>
      </c>
      <c r="J2087">
        <v>0</v>
      </c>
      <c r="K2087">
        <v>0</v>
      </c>
      <c r="L2087" s="2">
        <v>0</v>
      </c>
      <c r="M2087">
        <v>24.35</v>
      </c>
      <c r="N2087" t="s">
        <v>10236</v>
      </c>
    </row>
    <row r="2088" spans="1:14">
      <c r="A2088" t="s">
        <v>24</v>
      </c>
      <c r="B2088" t="s">
        <v>2253</v>
      </c>
      <c r="C2088">
        <f>"1019753"</f>
        <v>0</v>
      </c>
      <c r="D2088">
        <v>2</v>
      </c>
      <c r="E2088">
        <v>1</v>
      </c>
      <c r="F2088" s="2">
        <v>1</v>
      </c>
      <c r="G2088">
        <v>2</v>
      </c>
      <c r="H2088">
        <v>1</v>
      </c>
      <c r="I2088">
        <v>0.1755411474933901</v>
      </c>
      <c r="J2088">
        <v>0</v>
      </c>
      <c r="K2088">
        <v>0</v>
      </c>
      <c r="L2088" s="2">
        <v>0</v>
      </c>
      <c r="M2088">
        <v>24.36</v>
      </c>
      <c r="N2088" t="s">
        <v>10236</v>
      </c>
    </row>
    <row r="2089" spans="1:14">
      <c r="A2089" t="s">
        <v>194</v>
      </c>
      <c r="B2089" t="s">
        <v>2254</v>
      </c>
      <c r="C2089">
        <f>"845010"</f>
        <v>0</v>
      </c>
      <c r="D2089">
        <v>2</v>
      </c>
      <c r="E2089">
        <v>1</v>
      </c>
      <c r="F2089" s="2">
        <v>37</v>
      </c>
      <c r="G2089">
        <v>2</v>
      </c>
      <c r="H2089">
        <v>2</v>
      </c>
      <c r="I2089">
        <v>0.1755411474933901</v>
      </c>
      <c r="J2089">
        <v>0</v>
      </c>
      <c r="K2089">
        <v>0</v>
      </c>
      <c r="L2089" s="2">
        <v>0</v>
      </c>
      <c r="M2089">
        <v>24.36</v>
      </c>
      <c r="N2089" t="s">
        <v>10236</v>
      </c>
    </row>
    <row r="2090" spans="1:14">
      <c r="A2090" t="s">
        <v>192</v>
      </c>
      <c r="B2090" t="s">
        <v>2255</v>
      </c>
      <c r="C2090">
        <f>"GJ007"</f>
        <v>0</v>
      </c>
      <c r="D2090">
        <v>2</v>
      </c>
      <c r="E2090">
        <v>1</v>
      </c>
      <c r="F2090" s="2">
        <v>531</v>
      </c>
      <c r="G2090">
        <v>2</v>
      </c>
      <c r="H2090">
        <v>2</v>
      </c>
      <c r="I2090">
        <v>0.1755411474933901</v>
      </c>
      <c r="J2090">
        <v>0</v>
      </c>
      <c r="K2090">
        <v>0</v>
      </c>
      <c r="L2090" s="2">
        <v>0</v>
      </c>
      <c r="M2090">
        <v>24.37</v>
      </c>
      <c r="N2090" t="s">
        <v>10236</v>
      </c>
    </row>
    <row r="2091" spans="1:14">
      <c r="A2091" t="s">
        <v>192</v>
      </c>
      <c r="B2091" t="s">
        <v>2256</v>
      </c>
      <c r="C2091">
        <f>"AB146"</f>
        <v>0</v>
      </c>
      <c r="D2091">
        <v>2</v>
      </c>
      <c r="E2091">
        <v>1</v>
      </c>
      <c r="F2091" s="2">
        <v>1</v>
      </c>
      <c r="G2091">
        <v>2</v>
      </c>
      <c r="H2091">
        <v>2</v>
      </c>
      <c r="I2091">
        <v>0.1755411474933901</v>
      </c>
      <c r="J2091">
        <v>0</v>
      </c>
      <c r="K2091">
        <v>0</v>
      </c>
      <c r="L2091" s="2">
        <v>0</v>
      </c>
      <c r="M2091">
        <v>24.38</v>
      </c>
      <c r="N2091" t="s">
        <v>10236</v>
      </c>
    </row>
    <row r="2092" spans="1:14">
      <c r="A2092" t="s">
        <v>192</v>
      </c>
      <c r="B2092" t="s">
        <v>2257</v>
      </c>
      <c r="C2092">
        <f>"6508"</f>
        <v>0</v>
      </c>
      <c r="D2092">
        <v>2</v>
      </c>
      <c r="E2092">
        <v>2</v>
      </c>
      <c r="F2092" s="2">
        <v>1</v>
      </c>
      <c r="G2092">
        <v>4</v>
      </c>
      <c r="H2092">
        <v>1</v>
      </c>
      <c r="I2092">
        <v>0.1755411474933901</v>
      </c>
      <c r="J2092">
        <v>0</v>
      </c>
      <c r="K2092">
        <v>0</v>
      </c>
      <c r="L2092" s="2">
        <v>0</v>
      </c>
      <c r="M2092">
        <v>24.39</v>
      </c>
      <c r="N2092" t="s">
        <v>10236</v>
      </c>
    </row>
    <row r="2093" spans="1:14">
      <c r="A2093" t="s">
        <v>32</v>
      </c>
      <c r="B2093" t="s">
        <v>2258</v>
      </c>
      <c r="C2093">
        <f>"5009530"</f>
        <v>0</v>
      </c>
      <c r="D2093">
        <v>2</v>
      </c>
      <c r="E2093">
        <v>7</v>
      </c>
      <c r="F2093" s="2">
        <v>1</v>
      </c>
      <c r="G2093">
        <v>14</v>
      </c>
      <c r="H2093">
        <v>2</v>
      </c>
      <c r="I2093">
        <v>0.1755411474933901</v>
      </c>
      <c r="J2093">
        <v>0</v>
      </c>
      <c r="K2093">
        <v>0</v>
      </c>
      <c r="L2093" s="2">
        <v>0</v>
      </c>
      <c r="M2093">
        <v>24.4</v>
      </c>
      <c r="N2093" t="s">
        <v>10236</v>
      </c>
    </row>
    <row r="2094" spans="1:14">
      <c r="A2094" t="s">
        <v>25</v>
      </c>
      <c r="B2094" t="s">
        <v>2259</v>
      </c>
      <c r="C2094">
        <f>"RJ539"</f>
        <v>0</v>
      </c>
      <c r="D2094">
        <v>2</v>
      </c>
      <c r="E2094">
        <v>1</v>
      </c>
      <c r="F2094" s="2">
        <v>2</v>
      </c>
      <c r="G2094">
        <v>2</v>
      </c>
      <c r="H2094">
        <v>2</v>
      </c>
      <c r="I2094">
        <v>0.1755411474933901</v>
      </c>
      <c r="J2094">
        <v>0</v>
      </c>
      <c r="K2094">
        <v>0</v>
      </c>
      <c r="L2094" s="2">
        <v>0</v>
      </c>
      <c r="M2094">
        <v>24.41</v>
      </c>
      <c r="N2094" t="s">
        <v>10236</v>
      </c>
    </row>
    <row r="2095" spans="1:14">
      <c r="A2095" t="s">
        <v>32</v>
      </c>
      <c r="B2095" t="s">
        <v>2260</v>
      </c>
      <c r="C2095">
        <f>"5006751"</f>
        <v>0</v>
      </c>
      <c r="D2095">
        <v>2</v>
      </c>
      <c r="E2095">
        <v>3</v>
      </c>
      <c r="F2095" s="2">
        <v>5</v>
      </c>
      <c r="G2095">
        <v>6</v>
      </c>
      <c r="H2095">
        <v>1</v>
      </c>
      <c r="I2095">
        <v>0.1755411474933901</v>
      </c>
      <c r="J2095">
        <v>0</v>
      </c>
      <c r="K2095">
        <v>0</v>
      </c>
      <c r="L2095" s="2">
        <v>0</v>
      </c>
      <c r="M2095">
        <v>24.42</v>
      </c>
      <c r="N2095" t="s">
        <v>10236</v>
      </c>
    </row>
    <row r="2096" spans="1:14">
      <c r="A2096" t="s">
        <v>35</v>
      </c>
      <c r="B2096" t="s">
        <v>2261</v>
      </c>
      <c r="C2096">
        <f>"AK4"</f>
        <v>0</v>
      </c>
      <c r="D2096">
        <v>2</v>
      </c>
      <c r="E2096">
        <v>14</v>
      </c>
      <c r="F2096" s="2">
        <v>3</v>
      </c>
      <c r="G2096">
        <v>28</v>
      </c>
      <c r="H2096">
        <v>1</v>
      </c>
      <c r="I2096">
        <v>0.1755411474933901</v>
      </c>
      <c r="J2096">
        <v>0</v>
      </c>
      <c r="K2096">
        <v>0</v>
      </c>
      <c r="L2096" s="2">
        <v>0</v>
      </c>
      <c r="M2096">
        <v>24.43</v>
      </c>
      <c r="N2096" t="s">
        <v>10236</v>
      </c>
    </row>
    <row r="2097" spans="1:14">
      <c r="A2097" t="s">
        <v>35</v>
      </c>
      <c r="B2097" t="s">
        <v>2262</v>
      </c>
      <c r="C2097">
        <f>"SDR120"</f>
        <v>0</v>
      </c>
      <c r="D2097">
        <v>2</v>
      </c>
      <c r="E2097">
        <v>2</v>
      </c>
      <c r="F2097" s="2">
        <v>1</v>
      </c>
      <c r="G2097">
        <v>4</v>
      </c>
      <c r="H2097">
        <v>2</v>
      </c>
      <c r="I2097">
        <v>0.1755411474933901</v>
      </c>
      <c r="J2097">
        <v>0</v>
      </c>
      <c r="K2097">
        <v>0</v>
      </c>
      <c r="L2097" s="2">
        <v>0</v>
      </c>
      <c r="M2097">
        <v>24.44</v>
      </c>
      <c r="N2097" t="s">
        <v>10236</v>
      </c>
    </row>
    <row r="2098" spans="1:14">
      <c r="A2098" t="s">
        <v>35</v>
      </c>
      <c r="B2098" t="s">
        <v>2263</v>
      </c>
      <c r="C2098">
        <f>"JWZ1017XL"</f>
        <v>0</v>
      </c>
      <c r="D2098">
        <v>2</v>
      </c>
      <c r="E2098">
        <v>42</v>
      </c>
      <c r="F2098" s="2">
        <v>1</v>
      </c>
      <c r="G2098">
        <v>84</v>
      </c>
      <c r="H2098">
        <v>2</v>
      </c>
      <c r="I2098">
        <v>0.1755411474933901</v>
      </c>
      <c r="J2098">
        <v>0</v>
      </c>
      <c r="K2098">
        <v>0</v>
      </c>
      <c r="L2098" s="2">
        <v>0</v>
      </c>
      <c r="M2098">
        <v>24.45</v>
      </c>
      <c r="N2098" t="s">
        <v>10236</v>
      </c>
    </row>
    <row r="2099" spans="1:14">
      <c r="A2099" t="s">
        <v>35</v>
      </c>
      <c r="B2099" t="s">
        <v>2264</v>
      </c>
      <c r="C2099">
        <f>"LMM"</f>
        <v>0</v>
      </c>
      <c r="D2099">
        <v>2</v>
      </c>
      <c r="E2099">
        <v>2</v>
      </c>
      <c r="F2099" s="2">
        <v>4</v>
      </c>
      <c r="G2099">
        <v>4</v>
      </c>
      <c r="H2099">
        <v>1</v>
      </c>
      <c r="I2099">
        <v>0.1755411474933901</v>
      </c>
      <c r="J2099">
        <v>0</v>
      </c>
      <c r="K2099">
        <v>0</v>
      </c>
      <c r="L2099" s="2">
        <v>0</v>
      </c>
      <c r="M2099">
        <v>24.46</v>
      </c>
      <c r="N2099" t="s">
        <v>10236</v>
      </c>
    </row>
    <row r="2100" spans="1:14">
      <c r="A2100" t="s">
        <v>25</v>
      </c>
      <c r="B2100" t="s">
        <v>2265</v>
      </c>
      <c r="C2100">
        <f>"JS015MJ"</f>
        <v>0</v>
      </c>
      <c r="D2100">
        <v>2</v>
      </c>
      <c r="E2100">
        <v>7</v>
      </c>
      <c r="F2100" s="2">
        <v>3</v>
      </c>
      <c r="G2100">
        <v>14</v>
      </c>
      <c r="H2100">
        <v>1</v>
      </c>
      <c r="I2100">
        <v>0.1755411474933901</v>
      </c>
      <c r="J2100">
        <v>0</v>
      </c>
      <c r="K2100">
        <v>0</v>
      </c>
      <c r="L2100" s="2">
        <v>0</v>
      </c>
      <c r="M2100">
        <v>24.47</v>
      </c>
      <c r="N2100" t="s">
        <v>10236</v>
      </c>
    </row>
    <row r="2101" spans="1:14">
      <c r="A2101" t="s">
        <v>196</v>
      </c>
      <c r="B2101" t="s">
        <v>2266</v>
      </c>
      <c r="C2101">
        <f>"2332"</f>
        <v>0</v>
      </c>
      <c r="D2101">
        <v>2</v>
      </c>
      <c r="E2101">
        <v>1</v>
      </c>
      <c r="F2101" s="2">
        <v>296</v>
      </c>
      <c r="G2101">
        <v>2</v>
      </c>
      <c r="H2101">
        <v>1</v>
      </c>
      <c r="I2101">
        <v>0.1755411474933901</v>
      </c>
      <c r="J2101">
        <v>0</v>
      </c>
      <c r="K2101">
        <v>0</v>
      </c>
      <c r="L2101" s="2">
        <v>0</v>
      </c>
      <c r="M2101">
        <v>24.48</v>
      </c>
      <c r="N2101" t="s">
        <v>10236</v>
      </c>
    </row>
    <row r="2102" spans="1:14">
      <c r="A2102" t="s">
        <v>29</v>
      </c>
      <c r="B2102" t="s">
        <v>2267</v>
      </c>
      <c r="C2102">
        <f>"CH11027"</f>
        <v>0</v>
      </c>
      <c r="D2102">
        <v>2</v>
      </c>
      <c r="E2102">
        <v>6</v>
      </c>
      <c r="F2102" s="2">
        <v>5</v>
      </c>
      <c r="G2102">
        <v>12</v>
      </c>
      <c r="H2102">
        <v>2</v>
      </c>
      <c r="I2102">
        <v>0.1755411474933901</v>
      </c>
      <c r="J2102">
        <v>0</v>
      </c>
      <c r="K2102">
        <v>0</v>
      </c>
      <c r="L2102" s="2">
        <v>0</v>
      </c>
      <c r="M2102">
        <v>24.49</v>
      </c>
      <c r="N2102" t="s">
        <v>10236</v>
      </c>
    </row>
    <row r="2103" spans="1:14">
      <c r="A2103" t="s">
        <v>24</v>
      </c>
      <c r="B2103" t="s">
        <v>2268</v>
      </c>
      <c r="C2103">
        <f>"1570001"</f>
        <v>0</v>
      </c>
      <c r="D2103">
        <v>2</v>
      </c>
      <c r="E2103">
        <v>1</v>
      </c>
      <c r="F2103" s="2">
        <v>4</v>
      </c>
      <c r="G2103">
        <v>2</v>
      </c>
      <c r="H2103">
        <v>2</v>
      </c>
      <c r="I2103">
        <v>0.1755411474933901</v>
      </c>
      <c r="J2103">
        <v>0</v>
      </c>
      <c r="K2103">
        <v>0</v>
      </c>
      <c r="L2103" s="2">
        <v>0</v>
      </c>
      <c r="M2103">
        <v>24.5</v>
      </c>
      <c r="N2103" t="s">
        <v>10236</v>
      </c>
    </row>
    <row r="2104" spans="1:14">
      <c r="A2104" t="s">
        <v>32</v>
      </c>
      <c r="B2104" t="s">
        <v>2269</v>
      </c>
      <c r="C2104">
        <f>"5006753"</f>
        <v>0</v>
      </c>
      <c r="D2104">
        <v>2</v>
      </c>
      <c r="E2104">
        <v>5</v>
      </c>
      <c r="F2104" s="2">
        <v>8</v>
      </c>
      <c r="G2104">
        <v>10</v>
      </c>
      <c r="H2104">
        <v>2</v>
      </c>
      <c r="I2104">
        <v>0.1755411474933901</v>
      </c>
      <c r="J2104">
        <v>0</v>
      </c>
      <c r="K2104">
        <v>0</v>
      </c>
      <c r="L2104" s="2">
        <v>0</v>
      </c>
      <c r="M2104">
        <v>24.5</v>
      </c>
      <c r="N2104" t="s">
        <v>10236</v>
      </c>
    </row>
    <row r="2105" spans="1:14">
      <c r="A2105" t="s">
        <v>35</v>
      </c>
      <c r="B2105" t="s">
        <v>2270</v>
      </c>
      <c r="C2105">
        <f>"HDD145A"</f>
        <v>0</v>
      </c>
      <c r="D2105">
        <v>2</v>
      </c>
      <c r="E2105">
        <v>1</v>
      </c>
      <c r="F2105" s="2">
        <v>711</v>
      </c>
      <c r="G2105">
        <v>2</v>
      </c>
      <c r="H2105">
        <v>1</v>
      </c>
      <c r="I2105">
        <v>0.1755411474933901</v>
      </c>
      <c r="J2105">
        <v>0</v>
      </c>
      <c r="K2105">
        <v>0</v>
      </c>
      <c r="L2105" s="2">
        <v>0</v>
      </c>
      <c r="M2105">
        <v>24.51</v>
      </c>
      <c r="N2105" t="s">
        <v>10236</v>
      </c>
    </row>
    <row r="2106" spans="1:14">
      <c r="A2106" t="s">
        <v>35</v>
      </c>
      <c r="B2106" t="s">
        <v>2271</v>
      </c>
      <c r="C2106">
        <f>"ER115"</f>
        <v>0</v>
      </c>
      <c r="D2106">
        <v>2</v>
      </c>
      <c r="E2106">
        <v>6</v>
      </c>
      <c r="F2106" s="2">
        <v>3</v>
      </c>
      <c r="G2106">
        <v>12</v>
      </c>
      <c r="H2106">
        <v>2</v>
      </c>
      <c r="I2106">
        <v>0.1755411474933901</v>
      </c>
      <c r="J2106">
        <v>0</v>
      </c>
      <c r="K2106">
        <v>0</v>
      </c>
      <c r="L2106" s="2">
        <v>0</v>
      </c>
      <c r="M2106">
        <v>24.52</v>
      </c>
      <c r="N2106" t="s">
        <v>10236</v>
      </c>
    </row>
    <row r="2107" spans="1:14">
      <c r="A2107" t="s">
        <v>29</v>
      </c>
      <c r="B2107" t="s">
        <v>2272</v>
      </c>
      <c r="C2107">
        <f>"20622"</f>
        <v>0</v>
      </c>
      <c r="D2107">
        <v>2</v>
      </c>
      <c r="E2107">
        <v>2</v>
      </c>
      <c r="F2107" s="2">
        <v>4</v>
      </c>
      <c r="G2107">
        <v>4</v>
      </c>
      <c r="H2107">
        <v>2</v>
      </c>
      <c r="I2107">
        <v>0.1755411474933901</v>
      </c>
      <c r="J2107">
        <v>0</v>
      </c>
      <c r="K2107">
        <v>0</v>
      </c>
      <c r="L2107" s="2">
        <v>0</v>
      </c>
      <c r="M2107">
        <v>24.53</v>
      </c>
      <c r="N2107" t="s">
        <v>10236</v>
      </c>
    </row>
    <row r="2108" spans="1:14">
      <c r="A2108" t="s">
        <v>35</v>
      </c>
      <c r="B2108" t="s">
        <v>2273</v>
      </c>
      <c r="C2108">
        <f>"SK3012"</f>
        <v>0</v>
      </c>
      <c r="D2108">
        <v>2</v>
      </c>
      <c r="E2108">
        <v>23</v>
      </c>
      <c r="F2108" s="2">
        <v>5</v>
      </c>
      <c r="G2108">
        <v>46</v>
      </c>
      <c r="H2108">
        <v>2</v>
      </c>
      <c r="I2108">
        <v>0.1755411474933901</v>
      </c>
      <c r="J2108">
        <v>0</v>
      </c>
      <c r="K2108">
        <v>0</v>
      </c>
      <c r="L2108" s="2">
        <v>0</v>
      </c>
      <c r="M2108">
        <v>24.54</v>
      </c>
      <c r="N2108" t="s">
        <v>10236</v>
      </c>
    </row>
    <row r="2109" spans="1:14">
      <c r="A2109" t="s">
        <v>35</v>
      </c>
      <c r="B2109" t="s">
        <v>2274</v>
      </c>
      <c r="C2109">
        <f>"SPP05"</f>
        <v>0</v>
      </c>
      <c r="D2109">
        <v>2</v>
      </c>
      <c r="E2109">
        <v>2</v>
      </c>
      <c r="F2109" s="2">
        <v>6</v>
      </c>
      <c r="G2109">
        <v>4</v>
      </c>
      <c r="H2109">
        <v>1</v>
      </c>
      <c r="I2109">
        <v>0.1755411474933901</v>
      </c>
      <c r="J2109">
        <v>0</v>
      </c>
      <c r="K2109">
        <v>0</v>
      </c>
      <c r="L2109" s="2">
        <v>0</v>
      </c>
      <c r="M2109">
        <v>24.55</v>
      </c>
      <c r="N2109" t="s">
        <v>10236</v>
      </c>
    </row>
    <row r="2110" spans="1:14">
      <c r="A2110" t="s">
        <v>25</v>
      </c>
      <c r="B2110" t="s">
        <v>2275</v>
      </c>
      <c r="C2110">
        <f>"LS111ROS"</f>
        <v>0</v>
      </c>
      <c r="D2110">
        <v>2</v>
      </c>
      <c r="E2110">
        <v>2</v>
      </c>
      <c r="F2110" s="2">
        <v>1</v>
      </c>
      <c r="G2110">
        <v>4</v>
      </c>
      <c r="H2110">
        <v>1</v>
      </c>
      <c r="I2110">
        <v>0.1755411474933901</v>
      </c>
      <c r="J2110">
        <v>0</v>
      </c>
      <c r="K2110">
        <v>0</v>
      </c>
      <c r="L2110" s="2">
        <v>0</v>
      </c>
      <c r="M2110">
        <v>24.56</v>
      </c>
      <c r="N2110" t="s">
        <v>10236</v>
      </c>
    </row>
    <row r="2111" spans="1:14">
      <c r="A2111" t="s">
        <v>35</v>
      </c>
      <c r="B2111" t="s">
        <v>2276</v>
      </c>
      <c r="C2111">
        <f>"JWZ1012M"</f>
        <v>0</v>
      </c>
      <c r="D2111">
        <v>2</v>
      </c>
      <c r="E2111">
        <v>34</v>
      </c>
      <c r="F2111" s="2">
        <v>1</v>
      </c>
      <c r="G2111">
        <v>68</v>
      </c>
      <c r="H2111">
        <v>2</v>
      </c>
      <c r="I2111">
        <v>0.1755411474933901</v>
      </c>
      <c r="J2111">
        <v>0</v>
      </c>
      <c r="K2111">
        <v>0</v>
      </c>
      <c r="L2111" s="2">
        <v>0</v>
      </c>
      <c r="M2111">
        <v>24.57</v>
      </c>
      <c r="N2111" t="s">
        <v>10236</v>
      </c>
    </row>
    <row r="2112" spans="1:14">
      <c r="A2112" t="s">
        <v>35</v>
      </c>
      <c r="B2112" t="s">
        <v>2277</v>
      </c>
      <c r="C2112">
        <f>"YSRJ07"</f>
        <v>0</v>
      </c>
      <c r="D2112">
        <v>2</v>
      </c>
      <c r="E2112">
        <v>2</v>
      </c>
      <c r="F2112" s="2">
        <v>1</v>
      </c>
      <c r="G2112">
        <v>4</v>
      </c>
      <c r="H2112">
        <v>1</v>
      </c>
      <c r="I2112">
        <v>0.1755411474933901</v>
      </c>
      <c r="J2112">
        <v>0</v>
      </c>
      <c r="K2112">
        <v>0</v>
      </c>
      <c r="L2112" s="2">
        <v>0</v>
      </c>
      <c r="M2112">
        <v>24.58</v>
      </c>
      <c r="N2112" t="s">
        <v>10236</v>
      </c>
    </row>
    <row r="2113" spans="1:14">
      <c r="A2113" t="s">
        <v>35</v>
      </c>
      <c r="B2113" t="s">
        <v>2278</v>
      </c>
      <c r="C2113">
        <f>"HXC73"</f>
        <v>0</v>
      </c>
      <c r="D2113">
        <v>2</v>
      </c>
      <c r="E2113">
        <v>5</v>
      </c>
      <c r="F2113" s="2">
        <v>1</v>
      </c>
      <c r="G2113">
        <v>10</v>
      </c>
      <c r="H2113">
        <v>2</v>
      </c>
      <c r="I2113">
        <v>0.1755411474933901</v>
      </c>
      <c r="J2113">
        <v>0</v>
      </c>
      <c r="K2113">
        <v>0</v>
      </c>
      <c r="L2113" s="2">
        <v>0</v>
      </c>
      <c r="M2113">
        <v>24.59</v>
      </c>
      <c r="N2113" t="s">
        <v>10236</v>
      </c>
    </row>
    <row r="2114" spans="1:14">
      <c r="A2114" t="s">
        <v>35</v>
      </c>
      <c r="B2114" t="s">
        <v>2279</v>
      </c>
      <c r="C2114">
        <f>"JWZ1011S"</f>
        <v>0</v>
      </c>
      <c r="D2114">
        <v>2</v>
      </c>
      <c r="E2114">
        <v>15</v>
      </c>
      <c r="F2114" s="2">
        <v>1</v>
      </c>
      <c r="G2114">
        <v>30</v>
      </c>
      <c r="H2114">
        <v>2</v>
      </c>
      <c r="I2114">
        <v>0.1755411474933901</v>
      </c>
      <c r="J2114">
        <v>0</v>
      </c>
      <c r="K2114">
        <v>0</v>
      </c>
      <c r="L2114" s="2">
        <v>0</v>
      </c>
      <c r="M2114">
        <v>24.6</v>
      </c>
      <c r="N2114" t="s">
        <v>10236</v>
      </c>
    </row>
    <row r="2115" spans="1:14">
      <c r="A2115" t="s">
        <v>35</v>
      </c>
      <c r="B2115" t="s">
        <v>2280</v>
      </c>
      <c r="C2115">
        <f>"HDD180BC"</f>
        <v>0</v>
      </c>
      <c r="D2115">
        <v>2</v>
      </c>
      <c r="E2115">
        <v>9</v>
      </c>
      <c r="F2115" s="2">
        <v>0</v>
      </c>
      <c r="G2115">
        <v>18</v>
      </c>
      <c r="H2115">
        <v>1</v>
      </c>
      <c r="I2115">
        <v>0.1755411474933901</v>
      </c>
      <c r="J2115">
        <v>0</v>
      </c>
      <c r="K2115">
        <v>0</v>
      </c>
      <c r="L2115" s="2">
        <v>0</v>
      </c>
      <c r="M2115">
        <v>24.61</v>
      </c>
      <c r="N2115" t="s">
        <v>10236</v>
      </c>
    </row>
    <row r="2116" spans="1:14">
      <c r="A2116" t="s">
        <v>35</v>
      </c>
      <c r="B2116" t="s">
        <v>2281</v>
      </c>
      <c r="C2116">
        <f>"MCW142"</f>
        <v>0</v>
      </c>
      <c r="D2116">
        <v>2</v>
      </c>
      <c r="E2116">
        <v>4</v>
      </c>
      <c r="F2116" s="2">
        <v>1</v>
      </c>
      <c r="G2116">
        <v>8</v>
      </c>
      <c r="H2116">
        <v>1</v>
      </c>
      <c r="I2116">
        <v>0.1755411474933901</v>
      </c>
      <c r="J2116">
        <v>0</v>
      </c>
      <c r="K2116">
        <v>0</v>
      </c>
      <c r="L2116" s="2">
        <v>0</v>
      </c>
      <c r="M2116">
        <v>24.62</v>
      </c>
      <c r="N2116" t="s">
        <v>10236</v>
      </c>
    </row>
    <row r="2117" spans="1:14">
      <c r="A2117" t="s">
        <v>35</v>
      </c>
      <c r="B2117" t="s">
        <v>2282</v>
      </c>
      <c r="C2117">
        <f>"G17"</f>
        <v>0</v>
      </c>
      <c r="D2117">
        <v>2</v>
      </c>
      <c r="E2117">
        <v>7</v>
      </c>
      <c r="F2117" s="2">
        <v>5</v>
      </c>
      <c r="G2117">
        <v>14</v>
      </c>
      <c r="H2117">
        <v>1</v>
      </c>
      <c r="I2117">
        <v>0.1755411474933901</v>
      </c>
      <c r="J2117">
        <v>0</v>
      </c>
      <c r="K2117">
        <v>0</v>
      </c>
      <c r="L2117" s="2">
        <v>0</v>
      </c>
      <c r="M2117">
        <v>24.63</v>
      </c>
      <c r="N2117" t="s">
        <v>10236</v>
      </c>
    </row>
    <row r="2118" spans="1:14">
      <c r="A2118" t="s">
        <v>35</v>
      </c>
      <c r="B2118" t="s">
        <v>2283</v>
      </c>
      <c r="C2118">
        <f>"G19"</f>
        <v>0</v>
      </c>
      <c r="D2118">
        <v>2</v>
      </c>
      <c r="E2118">
        <v>27</v>
      </c>
      <c r="F2118" s="2">
        <v>4</v>
      </c>
      <c r="G2118">
        <v>54</v>
      </c>
      <c r="H2118">
        <v>2</v>
      </c>
      <c r="I2118">
        <v>0.1755411474933901</v>
      </c>
      <c r="J2118">
        <v>0</v>
      </c>
      <c r="K2118">
        <v>0</v>
      </c>
      <c r="L2118" s="2">
        <v>0</v>
      </c>
      <c r="M2118">
        <v>24.63</v>
      </c>
      <c r="N2118" t="s">
        <v>10236</v>
      </c>
    </row>
    <row r="2119" spans="1:14">
      <c r="A2119" t="s">
        <v>25</v>
      </c>
      <c r="B2119" t="s">
        <v>2284</v>
      </c>
      <c r="C2119">
        <f>"AYCS025"</f>
        <v>0</v>
      </c>
      <c r="D2119">
        <v>2</v>
      </c>
      <c r="E2119">
        <v>5</v>
      </c>
      <c r="F2119" s="2">
        <v>1</v>
      </c>
      <c r="G2119">
        <v>10</v>
      </c>
      <c r="H2119">
        <v>1</v>
      </c>
      <c r="I2119">
        <v>0.1755411474933901</v>
      </c>
      <c r="J2119">
        <v>0</v>
      </c>
      <c r="K2119">
        <v>0</v>
      </c>
      <c r="L2119" s="2">
        <v>0</v>
      </c>
      <c r="M2119">
        <v>24.64</v>
      </c>
      <c r="N2119" t="s">
        <v>10236</v>
      </c>
    </row>
    <row r="2120" spans="1:14">
      <c r="A2120" t="s">
        <v>35</v>
      </c>
      <c r="B2120" t="s">
        <v>2285</v>
      </c>
      <c r="C2120">
        <f>"EK3004NE"</f>
        <v>0</v>
      </c>
      <c r="D2120">
        <v>2</v>
      </c>
      <c r="E2120">
        <v>6</v>
      </c>
      <c r="F2120" s="2">
        <v>2</v>
      </c>
      <c r="G2120">
        <v>12</v>
      </c>
      <c r="H2120">
        <v>2</v>
      </c>
      <c r="I2120">
        <v>0.1755411474933901</v>
      </c>
      <c r="J2120">
        <v>0</v>
      </c>
      <c r="K2120">
        <v>0</v>
      </c>
      <c r="L2120" s="2">
        <v>0</v>
      </c>
      <c r="M2120">
        <v>24.65</v>
      </c>
      <c r="N2120" t="s">
        <v>10236</v>
      </c>
    </row>
    <row r="2121" spans="1:14">
      <c r="A2121" t="s">
        <v>25</v>
      </c>
      <c r="B2121" t="s">
        <v>2286</v>
      </c>
      <c r="C2121">
        <f>"53126"</f>
        <v>0</v>
      </c>
      <c r="D2121">
        <v>2</v>
      </c>
      <c r="E2121">
        <v>6</v>
      </c>
      <c r="F2121" s="2">
        <v>9</v>
      </c>
      <c r="G2121">
        <v>12</v>
      </c>
      <c r="H2121">
        <v>2</v>
      </c>
      <c r="I2121">
        <v>0.1755411474933901</v>
      </c>
      <c r="J2121">
        <v>0</v>
      </c>
      <c r="K2121">
        <v>0</v>
      </c>
      <c r="L2121" s="2">
        <v>0</v>
      </c>
      <c r="M2121">
        <v>24.66</v>
      </c>
      <c r="N2121" t="s">
        <v>10236</v>
      </c>
    </row>
    <row r="2122" spans="1:14">
      <c r="A2122" t="s">
        <v>30</v>
      </c>
      <c r="B2122" t="s">
        <v>2287</v>
      </c>
      <c r="C2122">
        <f>"100531"</f>
        <v>0</v>
      </c>
      <c r="D2122">
        <v>2</v>
      </c>
      <c r="E2122">
        <v>3</v>
      </c>
      <c r="F2122" s="2">
        <v>42</v>
      </c>
      <c r="G2122">
        <v>6</v>
      </c>
      <c r="H2122">
        <v>2</v>
      </c>
      <c r="I2122">
        <v>0.1755411474933901</v>
      </c>
      <c r="J2122">
        <v>0</v>
      </c>
      <c r="K2122">
        <v>0</v>
      </c>
      <c r="L2122" s="2">
        <v>0</v>
      </c>
      <c r="M2122">
        <v>24.67</v>
      </c>
      <c r="N2122" t="s">
        <v>10236</v>
      </c>
    </row>
    <row r="2123" spans="1:14">
      <c r="A2123" t="s">
        <v>221</v>
      </c>
      <c r="B2123" t="s">
        <v>2288</v>
      </c>
      <c r="C2123">
        <f>"40300"</f>
        <v>0</v>
      </c>
      <c r="D2123">
        <v>2</v>
      </c>
      <c r="E2123">
        <v>2</v>
      </c>
      <c r="F2123" s="2">
        <v>13</v>
      </c>
      <c r="G2123">
        <v>4</v>
      </c>
      <c r="H2123">
        <v>1</v>
      </c>
      <c r="I2123">
        <v>0.1755411474933901</v>
      </c>
      <c r="J2123">
        <v>0</v>
      </c>
      <c r="K2123">
        <v>0</v>
      </c>
      <c r="L2123" s="2">
        <v>0</v>
      </c>
      <c r="M2123">
        <v>24.68</v>
      </c>
      <c r="N2123" t="s">
        <v>10236</v>
      </c>
    </row>
    <row r="2124" spans="1:14">
      <c r="A2124" t="s">
        <v>41</v>
      </c>
      <c r="B2124" t="s">
        <v>2289</v>
      </c>
      <c r="C2124">
        <f>"PACMTB0"</f>
        <v>0</v>
      </c>
      <c r="D2124">
        <v>2</v>
      </c>
      <c r="E2124">
        <v>1</v>
      </c>
      <c r="F2124" s="2">
        <v>53</v>
      </c>
      <c r="G2124">
        <v>2</v>
      </c>
      <c r="H2124">
        <v>2</v>
      </c>
      <c r="I2124">
        <v>0.1755411474933901</v>
      </c>
      <c r="J2124">
        <v>0</v>
      </c>
      <c r="K2124">
        <v>0</v>
      </c>
      <c r="L2124" s="2">
        <v>0</v>
      </c>
      <c r="M2124">
        <v>24.69</v>
      </c>
      <c r="N2124" t="s">
        <v>10236</v>
      </c>
    </row>
    <row r="2125" spans="1:14">
      <c r="A2125" t="s">
        <v>35</v>
      </c>
      <c r="B2125" t="s">
        <v>2290</v>
      </c>
      <c r="C2125">
        <f>"JWZ2009N"</f>
        <v>0</v>
      </c>
      <c r="D2125">
        <v>2</v>
      </c>
      <c r="E2125">
        <v>9</v>
      </c>
      <c r="F2125" s="2">
        <v>0</v>
      </c>
      <c r="G2125">
        <v>18</v>
      </c>
      <c r="H2125">
        <v>2</v>
      </c>
      <c r="I2125">
        <v>0.1755411474933901</v>
      </c>
      <c r="J2125">
        <v>0</v>
      </c>
      <c r="K2125">
        <v>0</v>
      </c>
      <c r="L2125" s="2">
        <v>0</v>
      </c>
      <c r="M2125">
        <v>24.7</v>
      </c>
      <c r="N2125" t="s">
        <v>10236</v>
      </c>
    </row>
    <row r="2126" spans="1:14">
      <c r="A2126" t="s">
        <v>29</v>
      </c>
      <c r="B2126" t="s">
        <v>2291</v>
      </c>
      <c r="C2126">
        <f>"34335"</f>
        <v>0</v>
      </c>
      <c r="D2126">
        <v>2</v>
      </c>
      <c r="E2126">
        <v>1</v>
      </c>
      <c r="F2126" s="2">
        <v>6</v>
      </c>
      <c r="G2126">
        <v>2</v>
      </c>
      <c r="H2126">
        <v>2</v>
      </c>
      <c r="I2126">
        <v>0.1755411474933901</v>
      </c>
      <c r="J2126">
        <v>0</v>
      </c>
      <c r="K2126">
        <v>0</v>
      </c>
      <c r="L2126" s="2">
        <v>0</v>
      </c>
      <c r="M2126">
        <v>24.71</v>
      </c>
      <c r="N2126" t="s">
        <v>10236</v>
      </c>
    </row>
    <row r="2127" spans="1:14">
      <c r="A2127" t="s">
        <v>35</v>
      </c>
      <c r="B2127" t="s">
        <v>2292</v>
      </c>
      <c r="C2127">
        <f>"JW50543"</f>
        <v>0</v>
      </c>
      <c r="D2127">
        <v>2</v>
      </c>
      <c r="E2127">
        <v>16</v>
      </c>
      <c r="F2127" s="2">
        <v>1</v>
      </c>
      <c r="G2127">
        <v>32</v>
      </c>
      <c r="H2127">
        <v>2</v>
      </c>
      <c r="I2127">
        <v>0.1755411474933901</v>
      </c>
      <c r="J2127">
        <v>0</v>
      </c>
      <c r="K2127">
        <v>0</v>
      </c>
      <c r="L2127" s="2">
        <v>0</v>
      </c>
      <c r="M2127">
        <v>24.72</v>
      </c>
      <c r="N2127" t="s">
        <v>10236</v>
      </c>
    </row>
    <row r="2128" spans="1:14">
      <c r="A2128" t="s">
        <v>35</v>
      </c>
      <c r="B2128" t="s">
        <v>2293</v>
      </c>
      <c r="C2128">
        <f>"LQC17A"</f>
        <v>0</v>
      </c>
      <c r="D2128">
        <v>2</v>
      </c>
      <c r="E2128">
        <v>3</v>
      </c>
      <c r="F2128" s="2">
        <v>1</v>
      </c>
      <c r="G2128">
        <v>6</v>
      </c>
      <c r="H2128">
        <v>1</v>
      </c>
      <c r="I2128">
        <v>0.1755411474933901</v>
      </c>
      <c r="J2128">
        <v>0</v>
      </c>
      <c r="K2128">
        <v>0</v>
      </c>
      <c r="L2128" s="2">
        <v>0</v>
      </c>
      <c r="M2128">
        <v>24.73</v>
      </c>
      <c r="N2128" t="s">
        <v>10236</v>
      </c>
    </row>
    <row r="2129" spans="1:14">
      <c r="A2129" t="s">
        <v>35</v>
      </c>
      <c r="B2129" t="s">
        <v>2294</v>
      </c>
      <c r="C2129">
        <f>"LQC05A"</f>
        <v>0</v>
      </c>
      <c r="D2129">
        <v>2</v>
      </c>
      <c r="E2129">
        <v>1</v>
      </c>
      <c r="F2129" s="2">
        <v>585</v>
      </c>
      <c r="G2129">
        <v>2</v>
      </c>
      <c r="H2129">
        <v>2</v>
      </c>
      <c r="I2129">
        <v>0.1755411474933901</v>
      </c>
      <c r="J2129">
        <v>0</v>
      </c>
      <c r="K2129">
        <v>0</v>
      </c>
      <c r="L2129" s="2">
        <v>0</v>
      </c>
      <c r="M2129">
        <v>24.74</v>
      </c>
      <c r="N2129" t="s">
        <v>10236</v>
      </c>
    </row>
    <row r="2130" spans="1:14">
      <c r="A2130" t="s">
        <v>35</v>
      </c>
      <c r="B2130" t="s">
        <v>2295</v>
      </c>
      <c r="C2130">
        <f>"FPC06"</f>
        <v>0</v>
      </c>
      <c r="D2130">
        <v>2</v>
      </c>
      <c r="E2130">
        <v>11</v>
      </c>
      <c r="F2130" s="2">
        <v>1</v>
      </c>
      <c r="G2130">
        <v>22</v>
      </c>
      <c r="H2130">
        <v>1</v>
      </c>
      <c r="I2130">
        <v>0.1755411474933901</v>
      </c>
      <c r="J2130">
        <v>0</v>
      </c>
      <c r="K2130">
        <v>0</v>
      </c>
      <c r="L2130" s="2">
        <v>0</v>
      </c>
      <c r="M2130">
        <v>24.75</v>
      </c>
      <c r="N2130" t="s">
        <v>10236</v>
      </c>
    </row>
    <row r="2131" spans="1:14">
      <c r="A2131" t="s">
        <v>25</v>
      </c>
      <c r="B2131" t="s">
        <v>2296</v>
      </c>
      <c r="C2131">
        <f>"S101VE"</f>
        <v>0</v>
      </c>
      <c r="D2131">
        <v>2</v>
      </c>
      <c r="E2131">
        <v>1</v>
      </c>
      <c r="F2131" s="2">
        <v>4</v>
      </c>
      <c r="G2131">
        <v>2</v>
      </c>
      <c r="H2131">
        <v>2</v>
      </c>
      <c r="I2131">
        <v>0.1755411474933901</v>
      </c>
      <c r="J2131">
        <v>0</v>
      </c>
      <c r="K2131">
        <v>0</v>
      </c>
      <c r="L2131" s="2">
        <v>0</v>
      </c>
      <c r="M2131">
        <v>24.76</v>
      </c>
      <c r="N2131" t="s">
        <v>10236</v>
      </c>
    </row>
    <row r="2132" spans="1:14">
      <c r="A2132" t="s">
        <v>25</v>
      </c>
      <c r="B2132" t="s">
        <v>2297</v>
      </c>
      <c r="C2132">
        <f>"5103VE"</f>
        <v>0</v>
      </c>
      <c r="D2132">
        <v>2</v>
      </c>
      <c r="E2132">
        <v>1</v>
      </c>
      <c r="F2132" s="2">
        <v>9</v>
      </c>
      <c r="G2132">
        <v>2</v>
      </c>
      <c r="H2132">
        <v>2</v>
      </c>
      <c r="I2132">
        <v>0.1755411474933901</v>
      </c>
      <c r="J2132">
        <v>0</v>
      </c>
      <c r="K2132">
        <v>0</v>
      </c>
      <c r="L2132" s="2">
        <v>0</v>
      </c>
      <c r="M2132">
        <v>24.76</v>
      </c>
      <c r="N2132" t="s">
        <v>10236</v>
      </c>
    </row>
    <row r="2133" spans="1:14">
      <c r="A2133" t="s">
        <v>35</v>
      </c>
      <c r="B2133" t="s">
        <v>2298</v>
      </c>
      <c r="C2133">
        <f>"RT3421B"</f>
        <v>0</v>
      </c>
      <c r="D2133">
        <v>2</v>
      </c>
      <c r="E2133">
        <v>4</v>
      </c>
      <c r="F2133" s="2">
        <v>1</v>
      </c>
      <c r="G2133">
        <v>8</v>
      </c>
      <c r="H2133">
        <v>1</v>
      </c>
      <c r="I2133">
        <v>0.1755411474933901</v>
      </c>
      <c r="J2133">
        <v>0</v>
      </c>
      <c r="K2133">
        <v>0</v>
      </c>
      <c r="L2133" s="2">
        <v>0</v>
      </c>
      <c r="M2133">
        <v>24.77</v>
      </c>
      <c r="N2133" t="s">
        <v>10236</v>
      </c>
    </row>
    <row r="2134" spans="1:14">
      <c r="A2134" t="s">
        <v>35</v>
      </c>
      <c r="B2134" t="s">
        <v>2299</v>
      </c>
      <c r="C2134">
        <f>"DC3106A"</f>
        <v>0</v>
      </c>
      <c r="D2134">
        <v>2</v>
      </c>
      <c r="E2134">
        <v>16</v>
      </c>
      <c r="F2134" s="2">
        <v>3</v>
      </c>
      <c r="G2134">
        <v>32</v>
      </c>
      <c r="H2134">
        <v>1</v>
      </c>
      <c r="I2134">
        <v>0.1755411474933901</v>
      </c>
      <c r="J2134">
        <v>0</v>
      </c>
      <c r="K2134">
        <v>0</v>
      </c>
      <c r="L2134" s="2">
        <v>0</v>
      </c>
      <c r="M2134">
        <v>24.78</v>
      </c>
      <c r="N2134" t="s">
        <v>10236</v>
      </c>
    </row>
    <row r="2135" spans="1:14">
      <c r="A2135" t="s">
        <v>202</v>
      </c>
      <c r="B2135" t="s">
        <v>2300</v>
      </c>
      <c r="C2135">
        <f>"11001058"</f>
        <v>0</v>
      </c>
      <c r="D2135">
        <v>2</v>
      </c>
      <c r="E2135">
        <v>12</v>
      </c>
      <c r="F2135" s="2">
        <v>2</v>
      </c>
      <c r="G2135">
        <v>24</v>
      </c>
      <c r="H2135">
        <v>1</v>
      </c>
      <c r="I2135">
        <v>0.1755411474933901</v>
      </c>
      <c r="J2135">
        <v>0</v>
      </c>
      <c r="K2135">
        <v>0</v>
      </c>
      <c r="L2135" s="2">
        <v>0</v>
      </c>
      <c r="M2135">
        <v>24.79</v>
      </c>
      <c r="N2135" t="s">
        <v>10236</v>
      </c>
    </row>
    <row r="2136" spans="1:14">
      <c r="A2136" t="s">
        <v>202</v>
      </c>
      <c r="B2136" t="s">
        <v>2301</v>
      </c>
      <c r="C2136">
        <f>"21002001"</f>
        <v>0</v>
      </c>
      <c r="D2136">
        <v>2</v>
      </c>
      <c r="E2136">
        <v>3</v>
      </c>
      <c r="F2136" s="2">
        <v>12</v>
      </c>
      <c r="G2136">
        <v>6</v>
      </c>
      <c r="H2136">
        <v>2</v>
      </c>
      <c r="I2136">
        <v>0.1755411474933901</v>
      </c>
      <c r="J2136">
        <v>0</v>
      </c>
      <c r="K2136">
        <v>0</v>
      </c>
      <c r="L2136" s="2">
        <v>0</v>
      </c>
      <c r="M2136">
        <v>24.8</v>
      </c>
      <c r="N2136" t="s">
        <v>10236</v>
      </c>
    </row>
    <row r="2137" spans="1:14">
      <c r="A2137" t="s">
        <v>202</v>
      </c>
      <c r="B2137" t="s">
        <v>2302</v>
      </c>
      <c r="C2137">
        <f>"21001090"</f>
        <v>0</v>
      </c>
      <c r="D2137">
        <v>2</v>
      </c>
      <c r="E2137">
        <v>4</v>
      </c>
      <c r="F2137" s="2">
        <v>17</v>
      </c>
      <c r="G2137">
        <v>8</v>
      </c>
      <c r="H2137">
        <v>1</v>
      </c>
      <c r="I2137">
        <v>0.1755411474933901</v>
      </c>
      <c r="J2137">
        <v>0</v>
      </c>
      <c r="K2137">
        <v>0</v>
      </c>
      <c r="L2137" s="2">
        <v>0</v>
      </c>
      <c r="M2137">
        <v>24.81</v>
      </c>
      <c r="N2137" t="s">
        <v>10236</v>
      </c>
    </row>
    <row r="2138" spans="1:14">
      <c r="A2138" t="s">
        <v>35</v>
      </c>
      <c r="B2138" t="s">
        <v>2303</v>
      </c>
      <c r="C2138">
        <f>"HP152MR"</f>
        <v>0</v>
      </c>
      <c r="D2138">
        <v>2</v>
      </c>
      <c r="E2138">
        <v>4</v>
      </c>
      <c r="F2138" s="2">
        <v>5</v>
      </c>
      <c r="G2138">
        <v>8</v>
      </c>
      <c r="H2138">
        <v>2</v>
      </c>
      <c r="I2138">
        <v>0.1755411474933901</v>
      </c>
      <c r="J2138">
        <v>0</v>
      </c>
      <c r="K2138">
        <v>0</v>
      </c>
      <c r="L2138" s="2">
        <v>0</v>
      </c>
      <c r="M2138">
        <v>24.82</v>
      </c>
      <c r="N2138" t="s">
        <v>10236</v>
      </c>
    </row>
    <row r="2139" spans="1:14">
      <c r="A2139" t="s">
        <v>35</v>
      </c>
      <c r="B2139" t="s">
        <v>2304</v>
      </c>
      <c r="C2139">
        <f>"D701"</f>
        <v>0</v>
      </c>
      <c r="D2139">
        <v>2</v>
      </c>
      <c r="E2139">
        <v>3</v>
      </c>
      <c r="F2139" s="2">
        <v>5</v>
      </c>
      <c r="G2139">
        <v>6</v>
      </c>
      <c r="H2139">
        <v>1</v>
      </c>
      <c r="I2139">
        <v>0.1755411474933901</v>
      </c>
      <c r="J2139">
        <v>0</v>
      </c>
      <c r="K2139">
        <v>0</v>
      </c>
      <c r="L2139" s="2">
        <v>0</v>
      </c>
      <c r="M2139">
        <v>24.83</v>
      </c>
      <c r="N2139" t="s">
        <v>10236</v>
      </c>
    </row>
    <row r="2140" spans="1:14">
      <c r="A2140" t="s">
        <v>29</v>
      </c>
      <c r="B2140" t="s">
        <v>2305</v>
      </c>
      <c r="C2140">
        <f>"180CAM"</f>
        <v>0</v>
      </c>
      <c r="D2140">
        <v>2</v>
      </c>
      <c r="E2140">
        <v>1</v>
      </c>
      <c r="F2140" s="2">
        <v>666</v>
      </c>
      <c r="G2140">
        <v>2</v>
      </c>
      <c r="H2140">
        <v>1</v>
      </c>
      <c r="I2140">
        <v>0.1755411474933901</v>
      </c>
      <c r="J2140">
        <v>0</v>
      </c>
      <c r="K2140">
        <v>0</v>
      </c>
      <c r="L2140" s="2">
        <v>0</v>
      </c>
      <c r="M2140">
        <v>24.84</v>
      </c>
      <c r="N2140" t="s">
        <v>10236</v>
      </c>
    </row>
    <row r="2141" spans="1:14">
      <c r="A2141" t="s">
        <v>33</v>
      </c>
      <c r="B2141" t="s">
        <v>2306</v>
      </c>
      <c r="C2141">
        <f>"TOPK92233"</f>
        <v>0</v>
      </c>
      <c r="D2141">
        <v>2</v>
      </c>
      <c r="E2141">
        <v>40</v>
      </c>
      <c r="F2141" s="2">
        <v>3</v>
      </c>
      <c r="G2141">
        <v>80</v>
      </c>
      <c r="H2141">
        <v>2</v>
      </c>
      <c r="I2141">
        <v>0.1755411474933901</v>
      </c>
      <c r="J2141">
        <v>0</v>
      </c>
      <c r="K2141">
        <v>0</v>
      </c>
      <c r="L2141" s="2">
        <v>0</v>
      </c>
      <c r="M2141">
        <v>24.85</v>
      </c>
      <c r="N2141" t="s">
        <v>10236</v>
      </c>
    </row>
    <row r="2142" spans="1:14">
      <c r="A2142" t="s">
        <v>35</v>
      </c>
      <c r="B2142" t="s">
        <v>2307</v>
      </c>
      <c r="C2142">
        <f>"SP011"</f>
        <v>0</v>
      </c>
      <c r="D2142">
        <v>2</v>
      </c>
      <c r="E2142">
        <v>8</v>
      </c>
      <c r="F2142" s="2">
        <v>4</v>
      </c>
      <c r="G2142">
        <v>16</v>
      </c>
      <c r="H2142">
        <v>2</v>
      </c>
      <c r="I2142">
        <v>0.1755411474933901</v>
      </c>
      <c r="J2142">
        <v>0</v>
      </c>
      <c r="K2142">
        <v>0</v>
      </c>
      <c r="L2142" s="2">
        <v>0</v>
      </c>
      <c r="M2142">
        <v>24.86</v>
      </c>
      <c r="N2142" t="s">
        <v>10236</v>
      </c>
    </row>
    <row r="2143" spans="1:14">
      <c r="A2143" t="s">
        <v>35</v>
      </c>
      <c r="B2143" t="s">
        <v>2308</v>
      </c>
      <c r="C2143">
        <f>"RJ816R"</f>
        <v>0</v>
      </c>
      <c r="D2143">
        <v>2</v>
      </c>
      <c r="E2143">
        <v>11</v>
      </c>
      <c r="F2143" s="2">
        <v>5</v>
      </c>
      <c r="G2143">
        <v>22</v>
      </c>
      <c r="H2143">
        <v>2</v>
      </c>
      <c r="I2143">
        <v>0.1755411474933901</v>
      </c>
      <c r="J2143">
        <v>0</v>
      </c>
      <c r="K2143">
        <v>0</v>
      </c>
      <c r="L2143" s="2">
        <v>0</v>
      </c>
      <c r="M2143">
        <v>24.87</v>
      </c>
      <c r="N2143" t="s">
        <v>10236</v>
      </c>
    </row>
    <row r="2144" spans="1:14">
      <c r="A2144" t="s">
        <v>35</v>
      </c>
      <c r="B2144" t="s">
        <v>2309</v>
      </c>
      <c r="C2144">
        <f>"DGA4XL"</f>
        <v>0</v>
      </c>
      <c r="D2144">
        <v>2</v>
      </c>
      <c r="E2144">
        <v>19</v>
      </c>
      <c r="F2144" s="2">
        <v>4</v>
      </c>
      <c r="G2144">
        <v>38</v>
      </c>
      <c r="H2144">
        <v>1</v>
      </c>
      <c r="I2144">
        <v>0.1755411474933901</v>
      </c>
      <c r="J2144">
        <v>0</v>
      </c>
      <c r="K2144">
        <v>0</v>
      </c>
      <c r="L2144" s="2">
        <v>0</v>
      </c>
      <c r="M2144">
        <v>24.88</v>
      </c>
      <c r="N2144" t="s">
        <v>10236</v>
      </c>
    </row>
    <row r="2145" spans="1:14">
      <c r="A2145" t="s">
        <v>40</v>
      </c>
      <c r="B2145" t="s">
        <v>2310</v>
      </c>
      <c r="C2145">
        <f>"V100854"</f>
        <v>0</v>
      </c>
      <c r="D2145">
        <v>2</v>
      </c>
      <c r="E2145">
        <v>13</v>
      </c>
      <c r="F2145" s="2">
        <v>2</v>
      </c>
      <c r="G2145">
        <v>26</v>
      </c>
      <c r="H2145">
        <v>1</v>
      </c>
      <c r="I2145">
        <v>0.1755411474933901</v>
      </c>
      <c r="J2145">
        <v>0</v>
      </c>
      <c r="K2145">
        <v>0</v>
      </c>
      <c r="L2145" s="2">
        <v>0</v>
      </c>
      <c r="M2145">
        <v>24.89</v>
      </c>
      <c r="N2145" t="s">
        <v>10236</v>
      </c>
    </row>
    <row r="2146" spans="1:14">
      <c r="A2146" t="s">
        <v>35</v>
      </c>
      <c r="B2146" t="s">
        <v>2311</v>
      </c>
      <c r="C2146">
        <f>"1040MEVC"</f>
        <v>0</v>
      </c>
      <c r="D2146">
        <v>2</v>
      </c>
      <c r="E2146">
        <v>8</v>
      </c>
      <c r="F2146" s="2">
        <v>8</v>
      </c>
      <c r="G2146">
        <v>16</v>
      </c>
      <c r="H2146">
        <v>2</v>
      </c>
      <c r="I2146">
        <v>0.1755411474933901</v>
      </c>
      <c r="J2146">
        <v>0</v>
      </c>
      <c r="K2146">
        <v>0</v>
      </c>
      <c r="L2146" s="2">
        <v>0</v>
      </c>
      <c r="M2146">
        <v>24.89</v>
      </c>
      <c r="N2146" t="s">
        <v>10236</v>
      </c>
    </row>
    <row r="2147" spans="1:14">
      <c r="A2147" t="s">
        <v>27</v>
      </c>
      <c r="B2147" t="s">
        <v>2312</v>
      </c>
      <c r="C2147">
        <f>"USA608"</f>
        <v>0</v>
      </c>
      <c r="D2147">
        <v>2</v>
      </c>
      <c r="E2147">
        <v>17</v>
      </c>
      <c r="F2147" s="2">
        <v>1</v>
      </c>
      <c r="G2147">
        <v>34</v>
      </c>
      <c r="H2147">
        <v>2</v>
      </c>
      <c r="I2147">
        <v>0.1755411474933901</v>
      </c>
      <c r="J2147">
        <v>0</v>
      </c>
      <c r="K2147">
        <v>0</v>
      </c>
      <c r="L2147" s="2">
        <v>0</v>
      </c>
      <c r="M2147">
        <v>24.9</v>
      </c>
      <c r="N2147" t="s">
        <v>10236</v>
      </c>
    </row>
    <row r="2148" spans="1:14">
      <c r="A2148" t="s">
        <v>27</v>
      </c>
      <c r="B2148" t="s">
        <v>2313</v>
      </c>
      <c r="C2148">
        <f>"USD614"</f>
        <v>0</v>
      </c>
      <c r="D2148">
        <v>2</v>
      </c>
      <c r="E2148">
        <v>8</v>
      </c>
      <c r="F2148" s="2">
        <v>1</v>
      </c>
      <c r="G2148">
        <v>16</v>
      </c>
      <c r="H2148">
        <v>2</v>
      </c>
      <c r="I2148">
        <v>0.1755411474933901</v>
      </c>
      <c r="J2148">
        <v>0</v>
      </c>
      <c r="K2148">
        <v>0</v>
      </c>
      <c r="L2148" s="2">
        <v>0</v>
      </c>
      <c r="M2148">
        <v>24.91</v>
      </c>
      <c r="N2148" t="s">
        <v>10236</v>
      </c>
    </row>
    <row r="2149" spans="1:14">
      <c r="A2149" t="s">
        <v>35</v>
      </c>
      <c r="B2149" t="s">
        <v>2314</v>
      </c>
      <c r="C2149">
        <f>"MF904"</f>
        <v>0</v>
      </c>
      <c r="D2149">
        <v>2</v>
      </c>
      <c r="E2149">
        <v>3</v>
      </c>
      <c r="F2149" s="2">
        <v>3</v>
      </c>
      <c r="G2149">
        <v>6</v>
      </c>
      <c r="H2149">
        <v>1</v>
      </c>
      <c r="I2149">
        <v>0.1755411474933901</v>
      </c>
      <c r="J2149">
        <v>0</v>
      </c>
      <c r="K2149">
        <v>0</v>
      </c>
      <c r="L2149" s="2">
        <v>0</v>
      </c>
      <c r="M2149">
        <v>24.92</v>
      </c>
      <c r="N2149" t="s">
        <v>10236</v>
      </c>
    </row>
    <row r="2150" spans="1:14">
      <c r="A2150" t="s">
        <v>35</v>
      </c>
      <c r="B2150" t="s">
        <v>2315</v>
      </c>
      <c r="C2150">
        <f>"HD25S"</f>
        <v>0</v>
      </c>
      <c r="D2150">
        <v>2</v>
      </c>
      <c r="E2150">
        <v>8</v>
      </c>
      <c r="F2150" s="2">
        <v>3</v>
      </c>
      <c r="G2150">
        <v>16</v>
      </c>
      <c r="H2150">
        <v>1</v>
      </c>
      <c r="I2150">
        <v>0.1755411474933901</v>
      </c>
      <c r="J2150">
        <v>0</v>
      </c>
      <c r="K2150">
        <v>0</v>
      </c>
      <c r="L2150" s="2">
        <v>0</v>
      </c>
      <c r="M2150">
        <v>24.93</v>
      </c>
      <c r="N2150" t="s">
        <v>10236</v>
      </c>
    </row>
    <row r="2151" spans="1:14">
      <c r="A2151" t="s">
        <v>35</v>
      </c>
      <c r="B2151" t="s">
        <v>2316</v>
      </c>
      <c r="C2151">
        <f>"Q9001"</f>
        <v>0</v>
      </c>
      <c r="D2151">
        <v>2</v>
      </c>
      <c r="E2151">
        <v>22</v>
      </c>
      <c r="F2151" s="2">
        <v>2</v>
      </c>
      <c r="G2151">
        <v>44</v>
      </c>
      <c r="H2151">
        <v>2</v>
      </c>
      <c r="I2151">
        <v>0.1755411474933901</v>
      </c>
      <c r="J2151">
        <v>0</v>
      </c>
      <c r="K2151">
        <v>0</v>
      </c>
      <c r="L2151" s="2">
        <v>0</v>
      </c>
      <c r="M2151">
        <v>24.94</v>
      </c>
      <c r="N2151" t="s">
        <v>10236</v>
      </c>
    </row>
    <row r="2152" spans="1:14">
      <c r="A2152" t="s">
        <v>213</v>
      </c>
      <c r="B2152" t="s">
        <v>2317</v>
      </c>
      <c r="C2152">
        <f>"500831"</f>
        <v>0</v>
      </c>
      <c r="D2152">
        <v>2</v>
      </c>
      <c r="E2152">
        <v>3</v>
      </c>
      <c r="F2152" s="2">
        <v>10</v>
      </c>
      <c r="G2152">
        <v>6</v>
      </c>
      <c r="H2152">
        <v>1</v>
      </c>
      <c r="I2152">
        <v>0.1755411474933901</v>
      </c>
      <c r="J2152">
        <v>0</v>
      </c>
      <c r="K2152">
        <v>0</v>
      </c>
      <c r="L2152" s="2">
        <v>0</v>
      </c>
      <c r="M2152">
        <v>24.95</v>
      </c>
      <c r="N2152" t="s">
        <v>10236</v>
      </c>
    </row>
    <row r="2153" spans="1:14">
      <c r="A2153" t="s">
        <v>196</v>
      </c>
      <c r="B2153" t="s">
        <v>2318</v>
      </c>
      <c r="C2153">
        <f>"20451"</f>
        <v>0</v>
      </c>
      <c r="D2153">
        <v>2</v>
      </c>
      <c r="E2153">
        <v>3</v>
      </c>
      <c r="F2153" s="2">
        <v>2</v>
      </c>
      <c r="G2153">
        <v>6</v>
      </c>
      <c r="H2153">
        <v>2</v>
      </c>
      <c r="I2153">
        <v>0.1755411474933901</v>
      </c>
      <c r="J2153">
        <v>0</v>
      </c>
      <c r="K2153">
        <v>0</v>
      </c>
      <c r="L2153" s="2">
        <v>0</v>
      </c>
      <c r="M2153">
        <v>24.96</v>
      </c>
      <c r="N2153" t="s">
        <v>10236</v>
      </c>
    </row>
    <row r="2154" spans="1:14">
      <c r="A2154" t="s">
        <v>35</v>
      </c>
      <c r="B2154" t="s">
        <v>2319</v>
      </c>
      <c r="C2154">
        <f>"XB09072AM"</f>
        <v>0</v>
      </c>
      <c r="D2154">
        <v>2</v>
      </c>
      <c r="E2154">
        <v>1</v>
      </c>
      <c r="F2154" s="2">
        <v>5</v>
      </c>
      <c r="G2154">
        <v>2</v>
      </c>
      <c r="H2154">
        <v>1</v>
      </c>
      <c r="I2154">
        <v>0.1755411474933901</v>
      </c>
      <c r="J2154">
        <v>0</v>
      </c>
      <c r="K2154">
        <v>0</v>
      </c>
      <c r="L2154" s="2">
        <v>0</v>
      </c>
      <c r="M2154">
        <v>24.97</v>
      </c>
      <c r="N2154" t="s">
        <v>10236</v>
      </c>
    </row>
    <row r="2155" spans="1:14">
      <c r="A2155" t="s">
        <v>204</v>
      </c>
      <c r="B2155" t="s">
        <v>2320</v>
      </c>
      <c r="C2155">
        <f>"12453683"</f>
        <v>0</v>
      </c>
      <c r="D2155">
        <v>1</v>
      </c>
      <c r="E2155">
        <v>5</v>
      </c>
      <c r="F2155" s="2">
        <v>30</v>
      </c>
      <c r="G2155">
        <v>20</v>
      </c>
      <c r="H2155">
        <v>1</v>
      </c>
      <c r="I2155">
        <v>0.1754782309474619</v>
      </c>
      <c r="J2155">
        <v>0</v>
      </c>
      <c r="K2155">
        <v>0</v>
      </c>
      <c r="L2155" s="2">
        <v>0</v>
      </c>
      <c r="M2155">
        <v>24.98</v>
      </c>
      <c r="N2155" t="s">
        <v>10236</v>
      </c>
    </row>
    <row r="2156" spans="1:14">
      <c r="A2156" t="s">
        <v>32</v>
      </c>
      <c r="B2156" t="s">
        <v>2321</v>
      </c>
      <c r="C2156">
        <f>"1022236"</f>
        <v>0</v>
      </c>
      <c r="D2156">
        <v>1</v>
      </c>
      <c r="E2156">
        <v>1</v>
      </c>
      <c r="F2156" s="2">
        <v>12</v>
      </c>
      <c r="G2156">
        <v>4</v>
      </c>
      <c r="H2156">
        <v>1</v>
      </c>
      <c r="I2156">
        <v>0.1754776984931009</v>
      </c>
      <c r="J2156">
        <v>0</v>
      </c>
      <c r="K2156">
        <v>0</v>
      </c>
      <c r="L2156" s="2">
        <v>0</v>
      </c>
      <c r="M2156">
        <v>24.99</v>
      </c>
      <c r="N2156" t="s">
        <v>10236</v>
      </c>
    </row>
    <row r="2157" spans="1:14">
      <c r="A2157" t="s">
        <v>32</v>
      </c>
      <c r="B2157" t="s">
        <v>2322</v>
      </c>
      <c r="C2157">
        <f>"1009449"</f>
        <v>0</v>
      </c>
      <c r="D2157">
        <v>1</v>
      </c>
      <c r="E2157">
        <v>1</v>
      </c>
      <c r="F2157" s="2">
        <v>13</v>
      </c>
      <c r="G2157">
        <v>4</v>
      </c>
      <c r="H2157">
        <v>1</v>
      </c>
      <c r="I2157">
        <v>0.1754308425093281</v>
      </c>
      <c r="J2157">
        <v>0</v>
      </c>
      <c r="K2157">
        <v>0</v>
      </c>
      <c r="L2157" s="2">
        <v>0</v>
      </c>
      <c r="M2157">
        <v>25</v>
      </c>
      <c r="N2157" t="s">
        <v>10236</v>
      </c>
    </row>
    <row r="2158" spans="1:14">
      <c r="A2158" t="s">
        <v>32</v>
      </c>
      <c r="B2158" t="s">
        <v>2323</v>
      </c>
      <c r="C2158">
        <f>"500775"</f>
        <v>0</v>
      </c>
      <c r="D2158">
        <v>1</v>
      </c>
      <c r="E2158">
        <v>1</v>
      </c>
      <c r="F2158" s="2">
        <v>9</v>
      </c>
      <c r="G2158">
        <v>4</v>
      </c>
      <c r="H2158">
        <v>1</v>
      </c>
      <c r="I2158">
        <v>0.1753815017385371</v>
      </c>
      <c r="J2158">
        <v>0</v>
      </c>
      <c r="K2158">
        <v>0</v>
      </c>
      <c r="L2158" s="2">
        <v>0</v>
      </c>
      <c r="M2158">
        <v>25.01</v>
      </c>
      <c r="N2158" t="s">
        <v>10236</v>
      </c>
    </row>
    <row r="2159" spans="1:14">
      <c r="A2159" t="s">
        <v>25</v>
      </c>
      <c r="B2159" t="s">
        <v>2324</v>
      </c>
      <c r="C2159">
        <f>"425B"</f>
        <v>0</v>
      </c>
      <c r="D2159">
        <v>2</v>
      </c>
      <c r="E2159">
        <v>8</v>
      </c>
      <c r="F2159" s="2">
        <v>14</v>
      </c>
      <c r="G2159">
        <v>16</v>
      </c>
      <c r="H2159">
        <v>2</v>
      </c>
      <c r="I2159">
        <v>0.175354433497447</v>
      </c>
      <c r="J2159">
        <v>0</v>
      </c>
      <c r="K2159">
        <v>0</v>
      </c>
      <c r="L2159" s="2">
        <v>0</v>
      </c>
      <c r="M2159">
        <v>25.02</v>
      </c>
      <c r="N2159" t="s">
        <v>10236</v>
      </c>
    </row>
    <row r="2160" spans="1:14">
      <c r="A2160" t="s">
        <v>35</v>
      </c>
      <c r="B2160" t="s">
        <v>2325</v>
      </c>
      <c r="C2160">
        <f>"31300001"</f>
        <v>0</v>
      </c>
      <c r="D2160">
        <v>2</v>
      </c>
      <c r="E2160">
        <v>17</v>
      </c>
      <c r="F2160" s="2">
        <v>4</v>
      </c>
      <c r="G2160">
        <v>34</v>
      </c>
      <c r="H2160">
        <v>2</v>
      </c>
      <c r="I2160">
        <v>0.1753331353230048</v>
      </c>
      <c r="J2160">
        <v>0</v>
      </c>
      <c r="K2160">
        <v>0</v>
      </c>
      <c r="L2160" s="2">
        <v>0</v>
      </c>
      <c r="M2160">
        <v>25.02</v>
      </c>
      <c r="N2160" t="s">
        <v>10236</v>
      </c>
    </row>
    <row r="2161" spans="1:14">
      <c r="A2161" t="s">
        <v>213</v>
      </c>
      <c r="B2161" t="s">
        <v>2326</v>
      </c>
      <c r="C2161">
        <f>"VQM022"</f>
        <v>0</v>
      </c>
      <c r="D2161">
        <v>1</v>
      </c>
      <c r="E2161">
        <v>4</v>
      </c>
      <c r="F2161" s="2">
        <v>6</v>
      </c>
      <c r="G2161">
        <v>16</v>
      </c>
      <c r="H2161">
        <v>1</v>
      </c>
      <c r="I2161">
        <v>0.1753131700955351</v>
      </c>
      <c r="J2161">
        <v>0</v>
      </c>
      <c r="K2161">
        <v>0</v>
      </c>
      <c r="L2161" s="2">
        <v>0</v>
      </c>
      <c r="M2161">
        <v>25.03</v>
      </c>
      <c r="N2161" t="s">
        <v>10236</v>
      </c>
    </row>
    <row r="2162" spans="1:14">
      <c r="A2162" t="s">
        <v>196</v>
      </c>
      <c r="B2162" t="s">
        <v>2327</v>
      </c>
      <c r="C2162">
        <f>"2542"</f>
        <v>0</v>
      </c>
      <c r="D2162">
        <v>1</v>
      </c>
      <c r="E2162">
        <v>1</v>
      </c>
      <c r="F2162" s="2">
        <v>1</v>
      </c>
      <c r="G2162">
        <v>4</v>
      </c>
      <c r="H2162">
        <v>1</v>
      </c>
      <c r="I2162">
        <v>0.1752968414951294</v>
      </c>
      <c r="J2162">
        <v>0</v>
      </c>
      <c r="K2162">
        <v>0</v>
      </c>
      <c r="L2162" s="2">
        <v>0</v>
      </c>
      <c r="M2162">
        <v>25.04</v>
      </c>
      <c r="N2162" t="s">
        <v>10236</v>
      </c>
    </row>
    <row r="2163" spans="1:14">
      <c r="A2163" t="s">
        <v>33</v>
      </c>
      <c r="B2163" t="s">
        <v>2328</v>
      </c>
      <c r="C2163">
        <f>"TOPK92224"</f>
        <v>0</v>
      </c>
      <c r="D2163">
        <v>1</v>
      </c>
      <c r="E2163">
        <v>3</v>
      </c>
      <c r="F2163" s="2">
        <v>7</v>
      </c>
      <c r="G2163">
        <v>12</v>
      </c>
      <c r="H2163">
        <v>1</v>
      </c>
      <c r="I2163">
        <v>0.1752354317588211</v>
      </c>
      <c r="J2163">
        <v>0</v>
      </c>
      <c r="K2163">
        <v>0</v>
      </c>
      <c r="L2163" s="2">
        <v>0</v>
      </c>
      <c r="M2163">
        <v>25.05</v>
      </c>
      <c r="N2163" t="s">
        <v>10236</v>
      </c>
    </row>
    <row r="2164" spans="1:14">
      <c r="A2164" t="s">
        <v>24</v>
      </c>
      <c r="B2164" t="s">
        <v>2329</v>
      </c>
      <c r="C2164">
        <f>"1526501"</f>
        <v>0</v>
      </c>
      <c r="D2164">
        <v>2</v>
      </c>
      <c r="E2164">
        <v>2</v>
      </c>
      <c r="F2164" s="2">
        <v>7</v>
      </c>
      <c r="G2164">
        <v>4</v>
      </c>
      <c r="H2164">
        <v>2</v>
      </c>
      <c r="I2164">
        <v>0.1752220298463315</v>
      </c>
      <c r="J2164">
        <v>0</v>
      </c>
      <c r="K2164">
        <v>0</v>
      </c>
      <c r="L2164" s="2">
        <v>0</v>
      </c>
      <c r="M2164">
        <v>25.06</v>
      </c>
      <c r="N2164" t="s">
        <v>10236</v>
      </c>
    </row>
    <row r="2165" spans="1:14">
      <c r="A2165" t="s">
        <v>35</v>
      </c>
      <c r="B2165" t="s">
        <v>1874</v>
      </c>
      <c r="C2165">
        <f>"PNL"</f>
        <v>0</v>
      </c>
      <c r="D2165">
        <v>1</v>
      </c>
      <c r="E2165">
        <v>4</v>
      </c>
      <c r="F2165" s="2">
        <v>3</v>
      </c>
      <c r="G2165">
        <v>16</v>
      </c>
      <c r="H2165">
        <v>1</v>
      </c>
      <c r="I2165">
        <v>0.175214843523527</v>
      </c>
      <c r="J2165">
        <v>0</v>
      </c>
      <c r="K2165">
        <v>0</v>
      </c>
      <c r="L2165" s="2">
        <v>0</v>
      </c>
      <c r="M2165">
        <v>25.07</v>
      </c>
      <c r="N2165" t="s">
        <v>10236</v>
      </c>
    </row>
    <row r="2166" spans="1:14">
      <c r="A2166" t="s">
        <v>32</v>
      </c>
      <c r="B2166" t="s">
        <v>2330</v>
      </c>
      <c r="C2166">
        <f>"5009495"</f>
        <v>0</v>
      </c>
      <c r="D2166">
        <v>1</v>
      </c>
      <c r="E2166">
        <v>1</v>
      </c>
      <c r="F2166" s="2">
        <v>6</v>
      </c>
      <c r="G2166">
        <v>4</v>
      </c>
      <c r="H2166">
        <v>1</v>
      </c>
      <c r="I2166">
        <v>0.1751983374383343</v>
      </c>
      <c r="J2166">
        <v>0</v>
      </c>
      <c r="K2166">
        <v>0</v>
      </c>
      <c r="L2166" s="2">
        <v>0</v>
      </c>
      <c r="M2166">
        <v>25.08</v>
      </c>
      <c r="N2166" t="s">
        <v>10236</v>
      </c>
    </row>
    <row r="2167" spans="1:14">
      <c r="A2167" t="s">
        <v>35</v>
      </c>
      <c r="B2167" t="s">
        <v>2331</v>
      </c>
      <c r="C2167">
        <f>"DC3106B"</f>
        <v>0</v>
      </c>
      <c r="D2167">
        <v>1</v>
      </c>
      <c r="E2167">
        <v>30</v>
      </c>
      <c r="F2167" s="2">
        <v>2</v>
      </c>
      <c r="G2167">
        <v>120</v>
      </c>
      <c r="H2167">
        <v>1</v>
      </c>
      <c r="I2167">
        <v>0.1751797015356974</v>
      </c>
      <c r="J2167">
        <v>0</v>
      </c>
      <c r="K2167">
        <v>0</v>
      </c>
      <c r="L2167" s="2">
        <v>0</v>
      </c>
      <c r="M2167">
        <v>25.09</v>
      </c>
      <c r="N2167" t="s">
        <v>10236</v>
      </c>
    </row>
    <row r="2168" spans="1:14">
      <c r="A2168" t="s">
        <v>25</v>
      </c>
      <c r="B2168" t="s">
        <v>2332</v>
      </c>
      <c r="C2168">
        <f>"00275"</f>
        <v>0</v>
      </c>
      <c r="D2168">
        <v>1</v>
      </c>
      <c r="E2168">
        <v>1</v>
      </c>
      <c r="F2168" s="2">
        <v>2</v>
      </c>
      <c r="G2168">
        <v>4</v>
      </c>
      <c r="H2168">
        <v>1</v>
      </c>
      <c r="I2168">
        <v>0.175137105186813</v>
      </c>
      <c r="J2168">
        <v>0</v>
      </c>
      <c r="K2168">
        <v>0</v>
      </c>
      <c r="L2168" s="2">
        <v>0</v>
      </c>
      <c r="M2168">
        <v>25.1</v>
      </c>
      <c r="N2168" t="s">
        <v>10236</v>
      </c>
    </row>
    <row r="2169" spans="1:14">
      <c r="A2169" t="s">
        <v>35</v>
      </c>
      <c r="B2169" t="s">
        <v>2333</v>
      </c>
      <c r="C2169">
        <f>"DB821ROM"</f>
        <v>0</v>
      </c>
      <c r="D2169">
        <v>1</v>
      </c>
      <c r="E2169">
        <v>1</v>
      </c>
      <c r="F2169" s="2">
        <v>9</v>
      </c>
      <c r="G2169">
        <v>4</v>
      </c>
      <c r="H2169">
        <v>1</v>
      </c>
      <c r="I2169">
        <v>0.1751321356127765</v>
      </c>
      <c r="J2169">
        <v>0</v>
      </c>
      <c r="K2169">
        <v>0</v>
      </c>
      <c r="L2169" s="2">
        <v>0</v>
      </c>
      <c r="M2169">
        <v>25.11</v>
      </c>
      <c r="N2169" t="s">
        <v>10236</v>
      </c>
    </row>
    <row r="2170" spans="1:14">
      <c r="A2170" t="s">
        <v>25</v>
      </c>
      <c r="B2170" t="s">
        <v>2334</v>
      </c>
      <c r="C2170">
        <f>"M018"</f>
        <v>0</v>
      </c>
      <c r="D2170">
        <v>1</v>
      </c>
      <c r="E2170">
        <v>6</v>
      </c>
      <c r="F2170" s="2">
        <v>11</v>
      </c>
      <c r="G2170">
        <v>24</v>
      </c>
      <c r="H2170">
        <v>1</v>
      </c>
      <c r="I2170">
        <v>0.1751197116776853</v>
      </c>
      <c r="J2170">
        <v>0</v>
      </c>
      <c r="K2170">
        <v>0</v>
      </c>
      <c r="L2170" s="2">
        <v>0</v>
      </c>
      <c r="M2170">
        <v>25.12</v>
      </c>
      <c r="N2170" t="s">
        <v>10236</v>
      </c>
    </row>
    <row r="2171" spans="1:14">
      <c r="A2171" t="s">
        <v>25</v>
      </c>
      <c r="B2171" t="s">
        <v>2335</v>
      </c>
      <c r="C2171">
        <f>"NJ12"</f>
        <v>0</v>
      </c>
      <c r="D2171">
        <v>1</v>
      </c>
      <c r="E2171">
        <v>3</v>
      </c>
      <c r="F2171" s="2">
        <v>6</v>
      </c>
      <c r="G2171">
        <v>12</v>
      </c>
      <c r="H2171">
        <v>1</v>
      </c>
      <c r="I2171">
        <v>0.1751127897709915</v>
      </c>
      <c r="J2171">
        <v>0</v>
      </c>
      <c r="K2171">
        <v>0</v>
      </c>
      <c r="L2171" s="2">
        <v>0</v>
      </c>
      <c r="M2171">
        <v>25.13</v>
      </c>
      <c r="N2171" t="s">
        <v>10236</v>
      </c>
    </row>
    <row r="2172" spans="1:14">
      <c r="A2172" t="s">
        <v>35</v>
      </c>
      <c r="B2172" t="s">
        <v>2336</v>
      </c>
      <c r="C2172">
        <f>"FB6733XLR"</f>
        <v>0</v>
      </c>
      <c r="D2172">
        <v>1</v>
      </c>
      <c r="E2172">
        <v>4</v>
      </c>
      <c r="F2172" s="2">
        <v>6</v>
      </c>
      <c r="G2172">
        <v>16</v>
      </c>
      <c r="H2172">
        <v>1</v>
      </c>
      <c r="I2172">
        <v>0.1751099500143992</v>
      </c>
      <c r="J2172">
        <v>0</v>
      </c>
      <c r="K2172">
        <v>0</v>
      </c>
      <c r="L2172" s="2">
        <v>0</v>
      </c>
      <c r="M2172">
        <v>25.14</v>
      </c>
      <c r="N2172" t="s">
        <v>10236</v>
      </c>
    </row>
    <row r="2173" spans="1:14">
      <c r="A2173" t="s">
        <v>35</v>
      </c>
      <c r="B2173" t="s">
        <v>2337</v>
      </c>
      <c r="C2173">
        <f>"MSP108N"</f>
        <v>0</v>
      </c>
      <c r="D2173">
        <v>1</v>
      </c>
      <c r="E2173">
        <v>4</v>
      </c>
      <c r="F2173" s="2">
        <v>10</v>
      </c>
      <c r="G2173">
        <v>16</v>
      </c>
      <c r="H2173">
        <v>1</v>
      </c>
      <c r="I2173">
        <v>0.1750870544768739</v>
      </c>
      <c r="J2173">
        <v>0</v>
      </c>
      <c r="K2173">
        <v>0</v>
      </c>
      <c r="L2173" s="2">
        <v>0</v>
      </c>
      <c r="M2173">
        <v>25.15</v>
      </c>
      <c r="N2173" t="s">
        <v>10236</v>
      </c>
    </row>
    <row r="2174" spans="1:14">
      <c r="A2174" t="s">
        <v>35</v>
      </c>
      <c r="B2174" t="s">
        <v>2338</v>
      </c>
      <c r="C2174">
        <f>"J07"</f>
        <v>0</v>
      </c>
      <c r="D2174">
        <v>1</v>
      </c>
      <c r="E2174">
        <v>6</v>
      </c>
      <c r="F2174" s="2">
        <v>1</v>
      </c>
      <c r="G2174">
        <v>24</v>
      </c>
      <c r="H2174">
        <v>1</v>
      </c>
      <c r="I2174">
        <v>0.1750838597507076</v>
      </c>
      <c r="J2174">
        <v>0</v>
      </c>
      <c r="K2174">
        <v>0</v>
      </c>
      <c r="L2174" s="2">
        <v>0</v>
      </c>
      <c r="M2174">
        <v>25.15</v>
      </c>
      <c r="N2174" t="s">
        <v>10236</v>
      </c>
    </row>
    <row r="2175" spans="1:14">
      <c r="A2175" t="s">
        <v>24</v>
      </c>
      <c r="B2175" t="s">
        <v>2339</v>
      </c>
      <c r="C2175">
        <f>"1158701"</f>
        <v>0</v>
      </c>
      <c r="D2175">
        <v>2</v>
      </c>
      <c r="E2175">
        <v>1</v>
      </c>
      <c r="F2175" s="2">
        <v>4</v>
      </c>
      <c r="G2175">
        <v>2</v>
      </c>
      <c r="H2175">
        <v>2</v>
      </c>
      <c r="I2175">
        <v>0.1750775572296987</v>
      </c>
      <c r="J2175">
        <v>0</v>
      </c>
      <c r="K2175">
        <v>0</v>
      </c>
      <c r="L2175" s="2">
        <v>0</v>
      </c>
      <c r="M2175">
        <v>25.16</v>
      </c>
      <c r="N2175" t="s">
        <v>10236</v>
      </c>
    </row>
    <row r="2176" spans="1:14">
      <c r="A2176" t="s">
        <v>35</v>
      </c>
      <c r="B2176" t="s">
        <v>2340</v>
      </c>
      <c r="C2176">
        <f>"970309"</f>
        <v>0</v>
      </c>
      <c r="D2176">
        <v>1</v>
      </c>
      <c r="E2176">
        <v>1</v>
      </c>
      <c r="F2176" s="2">
        <v>3</v>
      </c>
      <c r="G2176">
        <v>4</v>
      </c>
      <c r="H2176">
        <v>1</v>
      </c>
      <c r="I2176">
        <v>0.1750551072152106</v>
      </c>
      <c r="J2176">
        <v>0</v>
      </c>
      <c r="K2176">
        <v>0</v>
      </c>
      <c r="L2176" s="2">
        <v>0</v>
      </c>
      <c r="M2176">
        <v>25.17</v>
      </c>
      <c r="N2176" t="s">
        <v>10236</v>
      </c>
    </row>
    <row r="2177" spans="1:14">
      <c r="A2177" t="s">
        <v>35</v>
      </c>
      <c r="B2177" t="s">
        <v>2341</v>
      </c>
      <c r="C2177">
        <f>"1881FBS"</f>
        <v>0</v>
      </c>
      <c r="D2177">
        <v>1</v>
      </c>
      <c r="E2177">
        <v>1</v>
      </c>
      <c r="F2177" s="2">
        <v>6</v>
      </c>
      <c r="G2177">
        <v>4</v>
      </c>
      <c r="H2177">
        <v>1</v>
      </c>
      <c r="I2177">
        <v>0.1750409084322492</v>
      </c>
      <c r="J2177">
        <v>0</v>
      </c>
      <c r="K2177">
        <v>0</v>
      </c>
      <c r="L2177" s="2">
        <v>0</v>
      </c>
      <c r="M2177">
        <v>25.18</v>
      </c>
      <c r="N2177" t="s">
        <v>10236</v>
      </c>
    </row>
    <row r="2178" spans="1:14">
      <c r="A2178" t="s">
        <v>214</v>
      </c>
      <c r="B2178" t="s">
        <v>2342</v>
      </c>
      <c r="C2178">
        <f>"66423"</f>
        <v>0</v>
      </c>
      <c r="D2178">
        <v>1</v>
      </c>
      <c r="E2178">
        <v>1</v>
      </c>
      <c r="F2178" s="2">
        <v>3</v>
      </c>
      <c r="G2178">
        <v>4</v>
      </c>
      <c r="H2178">
        <v>1</v>
      </c>
      <c r="I2178">
        <v>0.1750348739494906</v>
      </c>
      <c r="J2178">
        <v>0</v>
      </c>
      <c r="K2178">
        <v>0</v>
      </c>
      <c r="L2178" s="2">
        <v>0</v>
      </c>
      <c r="M2178">
        <v>25.19</v>
      </c>
      <c r="N2178" t="s">
        <v>10236</v>
      </c>
    </row>
    <row r="2179" spans="1:14">
      <c r="A2179" t="s">
        <v>35</v>
      </c>
      <c r="B2179" t="s">
        <v>2343</v>
      </c>
      <c r="C2179">
        <f>"DM2042"</f>
        <v>0</v>
      </c>
      <c r="D2179">
        <v>1</v>
      </c>
      <c r="E2179">
        <v>7</v>
      </c>
      <c r="F2179" s="2">
        <v>6</v>
      </c>
      <c r="G2179">
        <v>28</v>
      </c>
      <c r="H2179">
        <v>1</v>
      </c>
      <c r="I2179">
        <v>0.1750345189799165</v>
      </c>
      <c r="J2179">
        <v>0</v>
      </c>
      <c r="K2179">
        <v>0</v>
      </c>
      <c r="L2179" s="2">
        <v>0</v>
      </c>
      <c r="M2179">
        <v>25.2</v>
      </c>
      <c r="N2179" t="s">
        <v>10236</v>
      </c>
    </row>
    <row r="2180" spans="1:14">
      <c r="A2180" t="s">
        <v>35</v>
      </c>
      <c r="B2180" t="s">
        <v>2344</v>
      </c>
      <c r="C2180">
        <f>"HCJ011LGRIS"</f>
        <v>0</v>
      </c>
      <c r="D2180">
        <v>1</v>
      </c>
      <c r="E2180">
        <v>1</v>
      </c>
      <c r="F2180" s="2">
        <v>0</v>
      </c>
      <c r="G2180">
        <v>4</v>
      </c>
      <c r="H2180">
        <v>1</v>
      </c>
      <c r="I2180">
        <v>0.175019255288233</v>
      </c>
      <c r="J2180">
        <v>0</v>
      </c>
      <c r="K2180">
        <v>0</v>
      </c>
      <c r="L2180" s="2">
        <v>0</v>
      </c>
      <c r="M2180">
        <v>25.21</v>
      </c>
      <c r="N2180" t="s">
        <v>10236</v>
      </c>
    </row>
    <row r="2181" spans="1:14">
      <c r="A2181" t="s">
        <v>41</v>
      </c>
      <c r="B2181" t="s">
        <v>2345</v>
      </c>
      <c r="C2181">
        <f>"502052"</f>
        <v>0</v>
      </c>
      <c r="D2181">
        <v>1</v>
      </c>
      <c r="E2181">
        <v>3</v>
      </c>
      <c r="F2181" s="2">
        <v>1</v>
      </c>
      <c r="G2181">
        <v>12</v>
      </c>
      <c r="H2181">
        <v>1</v>
      </c>
      <c r="I2181">
        <v>0.175009493624947</v>
      </c>
      <c r="J2181">
        <v>0</v>
      </c>
      <c r="K2181">
        <v>0</v>
      </c>
      <c r="L2181" s="2">
        <v>0</v>
      </c>
      <c r="M2181">
        <v>25.22</v>
      </c>
      <c r="N2181" t="s">
        <v>10236</v>
      </c>
    </row>
    <row r="2182" spans="1:14">
      <c r="A2182" t="s">
        <v>35</v>
      </c>
      <c r="B2182" t="s">
        <v>2346</v>
      </c>
      <c r="C2182">
        <f>"CT1261"</f>
        <v>0</v>
      </c>
      <c r="D2182">
        <v>1</v>
      </c>
      <c r="E2182">
        <v>4</v>
      </c>
      <c r="F2182" s="2">
        <v>1</v>
      </c>
      <c r="G2182">
        <v>16</v>
      </c>
      <c r="H2182">
        <v>1</v>
      </c>
      <c r="I2182">
        <v>0.1748268617791053</v>
      </c>
      <c r="J2182">
        <v>0</v>
      </c>
      <c r="K2182">
        <v>0</v>
      </c>
      <c r="L2182" s="2">
        <v>0</v>
      </c>
      <c r="M2182">
        <v>25.23</v>
      </c>
      <c r="N2182" t="s">
        <v>10236</v>
      </c>
    </row>
    <row r="2183" spans="1:14">
      <c r="A2183" t="s">
        <v>35</v>
      </c>
      <c r="B2183" t="s">
        <v>2347</v>
      </c>
      <c r="C2183">
        <f>"TC0058ROS"</f>
        <v>0</v>
      </c>
      <c r="D2183">
        <v>1</v>
      </c>
      <c r="E2183">
        <v>1</v>
      </c>
      <c r="F2183" s="2">
        <v>675</v>
      </c>
      <c r="G2183">
        <v>4</v>
      </c>
      <c r="H2183">
        <v>1</v>
      </c>
      <c r="I2183">
        <v>0.1748268617791053</v>
      </c>
      <c r="J2183">
        <v>0</v>
      </c>
      <c r="K2183">
        <v>0</v>
      </c>
      <c r="L2183" s="2">
        <v>0</v>
      </c>
      <c r="M2183">
        <v>25.24</v>
      </c>
      <c r="N2183" t="s">
        <v>10236</v>
      </c>
    </row>
    <row r="2184" spans="1:14">
      <c r="A2184" t="s">
        <v>35</v>
      </c>
      <c r="B2184" t="s">
        <v>2348</v>
      </c>
      <c r="C2184">
        <f>"TC0058MO"</f>
        <v>0</v>
      </c>
      <c r="D2184">
        <v>1</v>
      </c>
      <c r="E2184">
        <v>1</v>
      </c>
      <c r="F2184" s="2">
        <v>675</v>
      </c>
      <c r="G2184">
        <v>4</v>
      </c>
      <c r="H2184">
        <v>1</v>
      </c>
      <c r="I2184">
        <v>0.1748268617791053</v>
      </c>
      <c r="J2184">
        <v>0</v>
      </c>
      <c r="K2184">
        <v>0</v>
      </c>
      <c r="L2184" s="2">
        <v>0</v>
      </c>
      <c r="M2184">
        <v>25.25</v>
      </c>
      <c r="N2184" t="s">
        <v>10236</v>
      </c>
    </row>
    <row r="2185" spans="1:14">
      <c r="A2185" t="s">
        <v>25</v>
      </c>
      <c r="B2185" t="s">
        <v>2349</v>
      </c>
      <c r="C2185">
        <f>"TR065"</f>
        <v>0</v>
      </c>
      <c r="D2185">
        <v>1</v>
      </c>
      <c r="E2185">
        <v>2</v>
      </c>
      <c r="F2185" s="2">
        <v>2</v>
      </c>
      <c r="G2185">
        <v>8</v>
      </c>
      <c r="H2185">
        <v>1</v>
      </c>
      <c r="I2185">
        <v>0.1748268617791053</v>
      </c>
      <c r="J2185">
        <v>0</v>
      </c>
      <c r="K2185">
        <v>0</v>
      </c>
      <c r="L2185" s="2">
        <v>0</v>
      </c>
      <c r="M2185">
        <v>25.26</v>
      </c>
      <c r="N2185" t="s">
        <v>10236</v>
      </c>
    </row>
    <row r="2186" spans="1:14">
      <c r="A2186" t="s">
        <v>29</v>
      </c>
      <c r="B2186" t="s">
        <v>2350</v>
      </c>
      <c r="C2186">
        <f>"PMF50"</f>
        <v>0</v>
      </c>
      <c r="D2186">
        <v>1</v>
      </c>
      <c r="E2186">
        <v>2</v>
      </c>
      <c r="F2186" s="2">
        <v>3</v>
      </c>
      <c r="G2186">
        <v>8</v>
      </c>
      <c r="H2186">
        <v>1</v>
      </c>
      <c r="I2186">
        <v>0.1748268617791053</v>
      </c>
      <c r="J2186">
        <v>0</v>
      </c>
      <c r="K2186">
        <v>0</v>
      </c>
      <c r="L2186" s="2">
        <v>0</v>
      </c>
      <c r="M2186">
        <v>25.27</v>
      </c>
      <c r="N2186" t="s">
        <v>10236</v>
      </c>
    </row>
    <row r="2187" spans="1:14">
      <c r="A2187" t="s">
        <v>35</v>
      </c>
      <c r="B2187" t="s">
        <v>2351</v>
      </c>
      <c r="C2187">
        <f>"NBGG01M"</f>
        <v>0</v>
      </c>
      <c r="D2187">
        <v>1</v>
      </c>
      <c r="E2187">
        <v>3</v>
      </c>
      <c r="F2187" s="2">
        <v>6</v>
      </c>
      <c r="G2187">
        <v>12</v>
      </c>
      <c r="H2187">
        <v>1</v>
      </c>
      <c r="I2187">
        <v>0.1748268617791053</v>
      </c>
      <c r="J2187">
        <v>0</v>
      </c>
      <c r="K2187">
        <v>0</v>
      </c>
      <c r="L2187" s="2">
        <v>0</v>
      </c>
      <c r="M2187">
        <v>25.27</v>
      </c>
      <c r="N2187" t="s">
        <v>10236</v>
      </c>
    </row>
    <row r="2188" spans="1:14">
      <c r="A2188" t="s">
        <v>35</v>
      </c>
      <c r="B2188" t="s">
        <v>2352</v>
      </c>
      <c r="C2188">
        <f>"H015XL"</f>
        <v>0</v>
      </c>
      <c r="D2188">
        <v>1</v>
      </c>
      <c r="E2188">
        <v>2</v>
      </c>
      <c r="F2188" s="2">
        <v>4</v>
      </c>
      <c r="G2188">
        <v>8</v>
      </c>
      <c r="H2188">
        <v>1</v>
      </c>
      <c r="I2188">
        <v>0.1748268617791053</v>
      </c>
      <c r="J2188">
        <v>0</v>
      </c>
      <c r="K2188">
        <v>0</v>
      </c>
      <c r="L2188" s="2">
        <v>0</v>
      </c>
      <c r="M2188">
        <v>25.28</v>
      </c>
      <c r="N2188" t="s">
        <v>10236</v>
      </c>
    </row>
    <row r="2189" spans="1:14">
      <c r="A2189" t="s">
        <v>35</v>
      </c>
      <c r="B2189" t="s">
        <v>2353</v>
      </c>
      <c r="C2189">
        <f>"kf8238"</f>
        <v>0</v>
      </c>
      <c r="D2189">
        <v>1</v>
      </c>
      <c r="E2189">
        <v>1</v>
      </c>
      <c r="F2189" s="2">
        <v>58</v>
      </c>
      <c r="G2189">
        <v>4</v>
      </c>
      <c r="H2189">
        <v>1</v>
      </c>
      <c r="I2189">
        <v>0.1748268617791053</v>
      </c>
      <c r="J2189">
        <v>0</v>
      </c>
      <c r="K2189">
        <v>0</v>
      </c>
      <c r="L2189" s="2">
        <v>0</v>
      </c>
      <c r="M2189">
        <v>25.29</v>
      </c>
      <c r="N2189" t="s">
        <v>10236</v>
      </c>
    </row>
    <row r="2190" spans="1:14">
      <c r="A2190" t="s">
        <v>35</v>
      </c>
      <c r="B2190" t="s">
        <v>2354</v>
      </c>
      <c r="C2190">
        <f>"NBGG01L"</f>
        <v>0</v>
      </c>
      <c r="D2190">
        <v>1</v>
      </c>
      <c r="E2190">
        <v>7</v>
      </c>
      <c r="F2190" s="2">
        <v>8</v>
      </c>
      <c r="G2190">
        <v>28</v>
      </c>
      <c r="H2190">
        <v>1</v>
      </c>
      <c r="I2190">
        <v>0.1748268617791053</v>
      </c>
      <c r="J2190">
        <v>0</v>
      </c>
      <c r="K2190">
        <v>0</v>
      </c>
      <c r="L2190" s="2">
        <v>0</v>
      </c>
      <c r="M2190">
        <v>25.3</v>
      </c>
      <c r="N2190" t="s">
        <v>10236</v>
      </c>
    </row>
    <row r="2191" spans="1:14">
      <c r="A2191" t="s">
        <v>35</v>
      </c>
      <c r="B2191" t="s">
        <v>2355</v>
      </c>
      <c r="C2191">
        <f>"JWZ1042S"</f>
        <v>0</v>
      </c>
      <c r="D2191">
        <v>1</v>
      </c>
      <c r="E2191">
        <v>7</v>
      </c>
      <c r="F2191" s="2">
        <v>1</v>
      </c>
      <c r="G2191">
        <v>28</v>
      </c>
      <c r="H2191">
        <v>1</v>
      </c>
      <c r="I2191">
        <v>0.1748268617791053</v>
      </c>
      <c r="J2191">
        <v>0</v>
      </c>
      <c r="K2191">
        <v>0</v>
      </c>
      <c r="L2191" s="2">
        <v>0</v>
      </c>
      <c r="M2191">
        <v>25.31</v>
      </c>
      <c r="N2191" t="s">
        <v>10236</v>
      </c>
    </row>
    <row r="2192" spans="1:14">
      <c r="A2192" t="s">
        <v>35</v>
      </c>
      <c r="B2192" t="s">
        <v>2356</v>
      </c>
      <c r="C2192">
        <f>"DM2044"</f>
        <v>0</v>
      </c>
      <c r="D2192">
        <v>1</v>
      </c>
      <c r="E2192">
        <v>1</v>
      </c>
      <c r="F2192" s="2">
        <v>3</v>
      </c>
      <c r="G2192">
        <v>4</v>
      </c>
      <c r="H2192">
        <v>1</v>
      </c>
      <c r="I2192">
        <v>0.1748268617791053</v>
      </c>
      <c r="J2192">
        <v>0</v>
      </c>
      <c r="K2192">
        <v>0</v>
      </c>
      <c r="L2192" s="2">
        <v>0</v>
      </c>
      <c r="M2192">
        <v>25.32</v>
      </c>
      <c r="N2192" t="s">
        <v>10236</v>
      </c>
    </row>
    <row r="2193" spans="1:14">
      <c r="A2193" t="s">
        <v>35</v>
      </c>
      <c r="B2193" t="s">
        <v>2357</v>
      </c>
      <c r="C2193">
        <f>"JWZ1060S"</f>
        <v>0</v>
      </c>
      <c r="D2193">
        <v>1</v>
      </c>
      <c r="E2193">
        <v>14</v>
      </c>
      <c r="F2193" s="2">
        <v>1</v>
      </c>
      <c r="G2193">
        <v>56</v>
      </c>
      <c r="H2193">
        <v>1</v>
      </c>
      <c r="I2193">
        <v>0.1748268617791053</v>
      </c>
      <c r="J2193">
        <v>0</v>
      </c>
      <c r="K2193">
        <v>0</v>
      </c>
      <c r="L2193" s="2">
        <v>0</v>
      </c>
      <c r="M2193">
        <v>25.33</v>
      </c>
      <c r="N2193" t="s">
        <v>10236</v>
      </c>
    </row>
    <row r="2194" spans="1:14">
      <c r="A2194" t="s">
        <v>35</v>
      </c>
      <c r="B2194" t="s">
        <v>2358</v>
      </c>
      <c r="C2194">
        <f>"TC0072MO"</f>
        <v>0</v>
      </c>
      <c r="D2194">
        <v>1</v>
      </c>
      <c r="E2194">
        <v>1</v>
      </c>
      <c r="F2194" s="2">
        <v>765</v>
      </c>
      <c r="G2194">
        <v>4</v>
      </c>
      <c r="H2194">
        <v>1</v>
      </c>
      <c r="I2194">
        <v>0.1748268617791053</v>
      </c>
      <c r="J2194">
        <v>0</v>
      </c>
      <c r="K2194">
        <v>0</v>
      </c>
      <c r="L2194" s="2">
        <v>0</v>
      </c>
      <c r="M2194">
        <v>25.34</v>
      </c>
      <c r="N2194" t="s">
        <v>10236</v>
      </c>
    </row>
    <row r="2195" spans="1:14">
      <c r="A2195" t="s">
        <v>25</v>
      </c>
      <c r="B2195" t="s">
        <v>2359</v>
      </c>
      <c r="C2195">
        <f>"JS015XSRO"</f>
        <v>0</v>
      </c>
      <c r="D2195">
        <v>1</v>
      </c>
      <c r="E2195">
        <v>1</v>
      </c>
      <c r="F2195" s="2">
        <v>2</v>
      </c>
      <c r="G2195">
        <v>4</v>
      </c>
      <c r="H2195">
        <v>1</v>
      </c>
      <c r="I2195">
        <v>0.1748268617791053</v>
      </c>
      <c r="J2195">
        <v>0</v>
      </c>
      <c r="K2195">
        <v>0</v>
      </c>
      <c r="L2195" s="2">
        <v>0</v>
      </c>
      <c r="M2195">
        <v>25.35</v>
      </c>
      <c r="N2195" t="s">
        <v>10236</v>
      </c>
    </row>
    <row r="2196" spans="1:14">
      <c r="A2196" t="s">
        <v>35</v>
      </c>
      <c r="B2196" t="s">
        <v>2360</v>
      </c>
      <c r="C2196">
        <f>"KX5049"</f>
        <v>0</v>
      </c>
      <c r="D2196">
        <v>1</v>
      </c>
      <c r="E2196">
        <v>9</v>
      </c>
      <c r="F2196" s="2">
        <v>2</v>
      </c>
      <c r="G2196">
        <v>36</v>
      </c>
      <c r="H2196">
        <v>1</v>
      </c>
      <c r="I2196">
        <v>0.1748268617791053</v>
      </c>
      <c r="J2196">
        <v>0</v>
      </c>
      <c r="K2196">
        <v>0</v>
      </c>
      <c r="L2196" s="2">
        <v>0</v>
      </c>
      <c r="M2196">
        <v>25.36</v>
      </c>
      <c r="N2196" t="s">
        <v>10236</v>
      </c>
    </row>
    <row r="2197" spans="1:14">
      <c r="A2197" t="s">
        <v>35</v>
      </c>
      <c r="B2197" t="s">
        <v>2361</v>
      </c>
      <c r="C2197">
        <f>"PP150CAM"</f>
        <v>0</v>
      </c>
      <c r="D2197">
        <v>1</v>
      </c>
      <c r="E2197">
        <v>1</v>
      </c>
      <c r="F2197" s="2">
        <v>37</v>
      </c>
      <c r="G2197">
        <v>4</v>
      </c>
      <c r="H2197">
        <v>1</v>
      </c>
      <c r="I2197">
        <v>0.1748268617791053</v>
      </c>
      <c r="J2197">
        <v>0</v>
      </c>
      <c r="K2197">
        <v>0</v>
      </c>
      <c r="L2197" s="2">
        <v>0</v>
      </c>
      <c r="M2197">
        <v>25.37</v>
      </c>
      <c r="N2197" t="s">
        <v>10236</v>
      </c>
    </row>
    <row r="2198" spans="1:14">
      <c r="A2198" t="s">
        <v>35</v>
      </c>
      <c r="B2198" t="s">
        <v>2362</v>
      </c>
      <c r="C2198">
        <f>"KF8055BE"</f>
        <v>0</v>
      </c>
      <c r="D2198">
        <v>1</v>
      </c>
      <c r="E2198">
        <v>3</v>
      </c>
      <c r="F2198" s="2">
        <v>18</v>
      </c>
      <c r="G2198">
        <v>12</v>
      </c>
      <c r="H2198">
        <v>1</v>
      </c>
      <c r="I2198">
        <v>0.1748268617791053</v>
      </c>
      <c r="J2198">
        <v>0</v>
      </c>
      <c r="K2198">
        <v>0</v>
      </c>
      <c r="L2198" s="2">
        <v>0</v>
      </c>
      <c r="M2198">
        <v>25.38</v>
      </c>
      <c r="N2198" t="s">
        <v>10236</v>
      </c>
    </row>
    <row r="2199" spans="1:14">
      <c r="A2199" t="s">
        <v>30</v>
      </c>
      <c r="B2199" t="s">
        <v>2363</v>
      </c>
      <c r="C2199">
        <f>"100999"</f>
        <v>0</v>
      </c>
      <c r="D2199">
        <v>1</v>
      </c>
      <c r="E2199">
        <v>2</v>
      </c>
      <c r="F2199" s="2">
        <v>6</v>
      </c>
      <c r="G2199">
        <v>8</v>
      </c>
      <c r="H2199">
        <v>1</v>
      </c>
      <c r="I2199">
        <v>0.1748268617791053</v>
      </c>
      <c r="J2199">
        <v>0</v>
      </c>
      <c r="K2199">
        <v>0</v>
      </c>
      <c r="L2199" s="2">
        <v>0</v>
      </c>
      <c r="M2199">
        <v>25.39</v>
      </c>
      <c r="N2199" t="s">
        <v>10236</v>
      </c>
    </row>
    <row r="2200" spans="1:14">
      <c r="A2200" t="s">
        <v>40</v>
      </c>
      <c r="B2200" t="s">
        <v>2364</v>
      </c>
      <c r="C2200">
        <f>"V100832"</f>
        <v>0</v>
      </c>
      <c r="D2200">
        <v>1</v>
      </c>
      <c r="E2200">
        <v>5</v>
      </c>
      <c r="F2200" s="2">
        <v>50</v>
      </c>
      <c r="G2200">
        <v>20</v>
      </c>
      <c r="H2200">
        <v>1</v>
      </c>
      <c r="I2200">
        <v>0.1748268617791053</v>
      </c>
      <c r="J2200">
        <v>0</v>
      </c>
      <c r="K2200">
        <v>0</v>
      </c>
      <c r="L2200" s="2">
        <v>0</v>
      </c>
      <c r="M2200">
        <v>25.4</v>
      </c>
      <c r="N2200" t="s">
        <v>10236</v>
      </c>
    </row>
    <row r="2201" spans="1:14">
      <c r="A2201" t="s">
        <v>35</v>
      </c>
      <c r="B2201" t="s">
        <v>2365</v>
      </c>
      <c r="C2201">
        <f>"W0057"</f>
        <v>0</v>
      </c>
      <c r="D2201">
        <v>1</v>
      </c>
      <c r="E2201">
        <v>4</v>
      </c>
      <c r="F2201" s="2">
        <v>2</v>
      </c>
      <c r="G2201">
        <v>16</v>
      </c>
      <c r="H2201">
        <v>1</v>
      </c>
      <c r="I2201">
        <v>0.1748268617791053</v>
      </c>
      <c r="J2201">
        <v>0</v>
      </c>
      <c r="K2201">
        <v>0</v>
      </c>
      <c r="L2201" s="2">
        <v>0</v>
      </c>
      <c r="M2201">
        <v>25.4</v>
      </c>
      <c r="N2201" t="s">
        <v>10236</v>
      </c>
    </row>
    <row r="2202" spans="1:14">
      <c r="A2202" t="s">
        <v>35</v>
      </c>
      <c r="B2202" t="s">
        <v>2366</v>
      </c>
      <c r="C2202">
        <f>"KL11"</f>
        <v>0</v>
      </c>
      <c r="D2202">
        <v>1</v>
      </c>
      <c r="E2202">
        <v>2</v>
      </c>
      <c r="F2202" s="2">
        <v>1</v>
      </c>
      <c r="G2202">
        <v>8</v>
      </c>
      <c r="H2202">
        <v>1</v>
      </c>
      <c r="I2202">
        <v>0.1748268617791053</v>
      </c>
      <c r="J2202">
        <v>0</v>
      </c>
      <c r="K2202">
        <v>0</v>
      </c>
      <c r="L2202" s="2">
        <v>0</v>
      </c>
      <c r="M2202">
        <v>25.41</v>
      </c>
      <c r="N2202" t="s">
        <v>10236</v>
      </c>
    </row>
    <row r="2203" spans="1:14">
      <c r="A2203" t="s">
        <v>196</v>
      </c>
      <c r="B2203" t="s">
        <v>2367</v>
      </c>
      <c r="C2203">
        <f>"2133"</f>
        <v>0</v>
      </c>
      <c r="D2203">
        <v>1</v>
      </c>
      <c r="E2203">
        <v>3</v>
      </c>
      <c r="F2203" s="2">
        <v>1</v>
      </c>
      <c r="G2203">
        <v>12</v>
      </c>
      <c r="H2203">
        <v>1</v>
      </c>
      <c r="I2203">
        <v>0.1748268617791053</v>
      </c>
      <c r="J2203">
        <v>0</v>
      </c>
      <c r="K2203">
        <v>0</v>
      </c>
      <c r="L2203" s="2">
        <v>0</v>
      </c>
      <c r="M2203">
        <v>25.42</v>
      </c>
      <c r="N2203" t="s">
        <v>10236</v>
      </c>
    </row>
    <row r="2204" spans="1:14">
      <c r="A2204" t="s">
        <v>35</v>
      </c>
      <c r="B2204" t="s">
        <v>2368</v>
      </c>
      <c r="C2204">
        <f>"23010"</f>
        <v>0</v>
      </c>
      <c r="D2204">
        <v>1</v>
      </c>
      <c r="E2204">
        <v>2</v>
      </c>
      <c r="F2204" s="2">
        <v>6</v>
      </c>
      <c r="G2204">
        <v>8</v>
      </c>
      <c r="H2204">
        <v>1</v>
      </c>
      <c r="I2204">
        <v>0.1748268617791053</v>
      </c>
      <c r="J2204">
        <v>0</v>
      </c>
      <c r="K2204">
        <v>0</v>
      </c>
      <c r="L2204" s="2">
        <v>0</v>
      </c>
      <c r="M2204">
        <v>25.43</v>
      </c>
      <c r="N2204" t="s">
        <v>10236</v>
      </c>
    </row>
    <row r="2205" spans="1:14">
      <c r="A2205" t="s">
        <v>35</v>
      </c>
      <c r="B2205" t="s">
        <v>2369</v>
      </c>
      <c r="C2205">
        <f>"PQ016"</f>
        <v>0</v>
      </c>
      <c r="D2205">
        <v>1</v>
      </c>
      <c r="E2205">
        <v>7</v>
      </c>
      <c r="F2205" s="2">
        <v>2</v>
      </c>
      <c r="G2205">
        <v>28</v>
      </c>
      <c r="H2205">
        <v>1</v>
      </c>
      <c r="I2205">
        <v>0.1748268617791053</v>
      </c>
      <c r="J2205">
        <v>0</v>
      </c>
      <c r="K2205">
        <v>0</v>
      </c>
      <c r="L2205" s="2">
        <v>0</v>
      </c>
      <c r="M2205">
        <v>25.44</v>
      </c>
      <c r="N2205" t="s">
        <v>10236</v>
      </c>
    </row>
    <row r="2206" spans="1:14">
      <c r="A2206" t="s">
        <v>35</v>
      </c>
      <c r="B2206" t="s">
        <v>2370</v>
      </c>
      <c r="C2206">
        <f>"TC0029FU"</f>
        <v>0</v>
      </c>
      <c r="D2206">
        <v>1</v>
      </c>
      <c r="E2206">
        <v>2</v>
      </c>
      <c r="F2206" s="2">
        <v>1</v>
      </c>
      <c r="G2206">
        <v>8</v>
      </c>
      <c r="H2206">
        <v>1</v>
      </c>
      <c r="I2206">
        <v>0.1748268617791053</v>
      </c>
      <c r="J2206">
        <v>0</v>
      </c>
      <c r="K2206">
        <v>0</v>
      </c>
      <c r="L2206" s="2">
        <v>0</v>
      </c>
      <c r="M2206">
        <v>25.45</v>
      </c>
      <c r="N2206" t="s">
        <v>10236</v>
      </c>
    </row>
    <row r="2207" spans="1:14">
      <c r="A2207" t="s">
        <v>24</v>
      </c>
      <c r="B2207" t="s">
        <v>2371</v>
      </c>
      <c r="C2207">
        <f>"1158601"</f>
        <v>0</v>
      </c>
      <c r="D2207">
        <v>1</v>
      </c>
      <c r="E2207">
        <v>2</v>
      </c>
      <c r="F2207" s="2">
        <v>6</v>
      </c>
      <c r="G2207">
        <v>8</v>
      </c>
      <c r="H2207">
        <v>1</v>
      </c>
      <c r="I2207">
        <v>0.1748268617791053</v>
      </c>
      <c r="J2207">
        <v>0</v>
      </c>
      <c r="K2207">
        <v>0</v>
      </c>
      <c r="L2207" s="2">
        <v>0</v>
      </c>
      <c r="M2207">
        <v>25.46</v>
      </c>
      <c r="N2207" t="s">
        <v>10236</v>
      </c>
    </row>
    <row r="2208" spans="1:14">
      <c r="A2208" t="s">
        <v>36</v>
      </c>
      <c r="B2208" t="s">
        <v>2372</v>
      </c>
      <c r="C2208">
        <f>"CA5452003CH"</f>
        <v>0</v>
      </c>
      <c r="D2208">
        <v>1</v>
      </c>
      <c r="E2208">
        <v>11</v>
      </c>
      <c r="F2208" s="2">
        <v>9</v>
      </c>
      <c r="G2208">
        <v>44</v>
      </c>
      <c r="H2208">
        <v>1</v>
      </c>
      <c r="I2208">
        <v>0.1748268617791053</v>
      </c>
      <c r="J2208">
        <v>0</v>
      </c>
      <c r="K2208">
        <v>0</v>
      </c>
      <c r="L2208" s="2">
        <v>0</v>
      </c>
      <c r="M2208">
        <v>25.47</v>
      </c>
      <c r="N2208" t="s">
        <v>10236</v>
      </c>
    </row>
    <row r="2209" spans="1:14">
      <c r="A2209" t="s">
        <v>35</v>
      </c>
      <c r="B2209" t="s">
        <v>2373</v>
      </c>
      <c r="C2209">
        <f>"1055MB"</f>
        <v>0</v>
      </c>
      <c r="D2209">
        <v>1</v>
      </c>
      <c r="E2209">
        <v>2</v>
      </c>
      <c r="F2209" s="2">
        <v>14</v>
      </c>
      <c r="G2209">
        <v>8</v>
      </c>
      <c r="H2209">
        <v>1</v>
      </c>
      <c r="I2209">
        <v>0.1748268617791053</v>
      </c>
      <c r="J2209">
        <v>0</v>
      </c>
      <c r="K2209">
        <v>0</v>
      </c>
      <c r="L2209" s="2">
        <v>0</v>
      </c>
      <c r="M2209">
        <v>25.48</v>
      </c>
      <c r="N2209" t="s">
        <v>10236</v>
      </c>
    </row>
    <row r="2210" spans="1:14">
      <c r="A2210" t="s">
        <v>29</v>
      </c>
      <c r="B2210" t="s">
        <v>2374</v>
      </c>
      <c r="C2210">
        <f>"BCM"</f>
        <v>0</v>
      </c>
      <c r="D2210">
        <v>1</v>
      </c>
      <c r="E2210">
        <v>3</v>
      </c>
      <c r="F2210" s="2">
        <v>1</v>
      </c>
      <c r="G2210">
        <v>12</v>
      </c>
      <c r="H2210">
        <v>1</v>
      </c>
      <c r="I2210">
        <v>0.1748268617791053</v>
      </c>
      <c r="J2210">
        <v>0</v>
      </c>
      <c r="K2210">
        <v>0</v>
      </c>
      <c r="L2210" s="2">
        <v>0</v>
      </c>
      <c r="M2210">
        <v>25.49</v>
      </c>
      <c r="N2210" t="s">
        <v>10236</v>
      </c>
    </row>
    <row r="2211" spans="1:14">
      <c r="A2211" t="s">
        <v>35</v>
      </c>
      <c r="B2211" t="s">
        <v>2375</v>
      </c>
      <c r="C2211">
        <f>"TC2040"</f>
        <v>0</v>
      </c>
      <c r="D2211">
        <v>1</v>
      </c>
      <c r="E2211">
        <v>10</v>
      </c>
      <c r="F2211" s="2">
        <v>1</v>
      </c>
      <c r="G2211">
        <v>40</v>
      </c>
      <c r="H2211">
        <v>1</v>
      </c>
      <c r="I2211">
        <v>0.1748268617791053</v>
      </c>
      <c r="J2211">
        <v>0</v>
      </c>
      <c r="K2211">
        <v>0</v>
      </c>
      <c r="L2211" s="2">
        <v>0</v>
      </c>
      <c r="M2211">
        <v>25.5</v>
      </c>
      <c r="N2211" t="s">
        <v>10236</v>
      </c>
    </row>
    <row r="2212" spans="1:14">
      <c r="A2212" t="s">
        <v>30</v>
      </c>
      <c r="B2212" t="s">
        <v>2376</v>
      </c>
      <c r="C2212">
        <f>"100202"</f>
        <v>0</v>
      </c>
      <c r="D2212">
        <v>1</v>
      </c>
      <c r="E2212">
        <v>5</v>
      </c>
      <c r="F2212" s="2">
        <v>7</v>
      </c>
      <c r="G2212">
        <v>20</v>
      </c>
      <c r="H2212">
        <v>1</v>
      </c>
      <c r="I2212">
        <v>0.1748268617791053</v>
      </c>
      <c r="J2212">
        <v>0</v>
      </c>
      <c r="K2212">
        <v>0</v>
      </c>
      <c r="L2212" s="2">
        <v>0</v>
      </c>
      <c r="M2212">
        <v>25.51</v>
      </c>
      <c r="N2212" t="s">
        <v>10236</v>
      </c>
    </row>
    <row r="2213" spans="1:14">
      <c r="A2213" t="s">
        <v>35</v>
      </c>
      <c r="B2213" t="s">
        <v>2377</v>
      </c>
      <c r="C2213">
        <f>"ER138"</f>
        <v>0</v>
      </c>
      <c r="D2213">
        <v>1</v>
      </c>
      <c r="E2213">
        <v>4</v>
      </c>
      <c r="F2213" s="2">
        <v>3</v>
      </c>
      <c r="G2213">
        <v>16</v>
      </c>
      <c r="H2213">
        <v>1</v>
      </c>
      <c r="I2213">
        <v>0.1748268617791053</v>
      </c>
      <c r="J2213">
        <v>0</v>
      </c>
      <c r="K2213">
        <v>0</v>
      </c>
      <c r="L2213" s="2">
        <v>0</v>
      </c>
      <c r="M2213">
        <v>25.52</v>
      </c>
      <c r="N2213" t="s">
        <v>10236</v>
      </c>
    </row>
    <row r="2214" spans="1:14">
      <c r="A2214" t="s">
        <v>35</v>
      </c>
      <c r="B2214" t="s">
        <v>2378</v>
      </c>
      <c r="C2214">
        <f>"TC0028VE"</f>
        <v>0</v>
      </c>
      <c r="D2214">
        <v>1</v>
      </c>
      <c r="E2214">
        <v>1</v>
      </c>
      <c r="F2214" s="2">
        <v>981</v>
      </c>
      <c r="G2214">
        <v>4</v>
      </c>
      <c r="H2214">
        <v>1</v>
      </c>
      <c r="I2214">
        <v>0.1748268617791053</v>
      </c>
      <c r="J2214">
        <v>0</v>
      </c>
      <c r="K2214">
        <v>0</v>
      </c>
      <c r="L2214" s="2">
        <v>0</v>
      </c>
      <c r="M2214">
        <v>25.52</v>
      </c>
      <c r="N2214" t="s">
        <v>10236</v>
      </c>
    </row>
    <row r="2215" spans="1:14">
      <c r="A2215" t="s">
        <v>25</v>
      </c>
      <c r="B2215" t="s">
        <v>2379</v>
      </c>
      <c r="C2215">
        <f>"NFF03"</f>
        <v>0</v>
      </c>
      <c r="D2215">
        <v>1</v>
      </c>
      <c r="E2215">
        <v>2</v>
      </c>
      <c r="F2215" s="2">
        <v>9</v>
      </c>
      <c r="G2215">
        <v>8</v>
      </c>
      <c r="H2215">
        <v>1</v>
      </c>
      <c r="I2215">
        <v>0.1748268617791053</v>
      </c>
      <c r="J2215">
        <v>0</v>
      </c>
      <c r="K2215">
        <v>0</v>
      </c>
      <c r="L2215" s="2">
        <v>0</v>
      </c>
      <c r="M2215">
        <v>25.53</v>
      </c>
      <c r="N2215" t="s">
        <v>10236</v>
      </c>
    </row>
    <row r="2216" spans="1:14">
      <c r="A2216" t="s">
        <v>35</v>
      </c>
      <c r="B2216" t="s">
        <v>2380</v>
      </c>
      <c r="C2216">
        <f>"AK5"</f>
        <v>0</v>
      </c>
      <c r="D2216">
        <v>1</v>
      </c>
      <c r="E2216">
        <v>1</v>
      </c>
      <c r="F2216" s="2">
        <v>4</v>
      </c>
      <c r="G2216">
        <v>4</v>
      </c>
      <c r="H2216">
        <v>1</v>
      </c>
      <c r="I2216">
        <v>0.1748268617791053</v>
      </c>
      <c r="J2216">
        <v>0</v>
      </c>
      <c r="K2216">
        <v>0</v>
      </c>
      <c r="L2216" s="2">
        <v>0</v>
      </c>
      <c r="M2216">
        <v>25.54</v>
      </c>
      <c r="N2216" t="s">
        <v>10236</v>
      </c>
    </row>
    <row r="2217" spans="1:14">
      <c r="A2217" t="s">
        <v>40</v>
      </c>
      <c r="B2217" t="s">
        <v>2381</v>
      </c>
      <c r="C2217">
        <f>"V100811"</f>
        <v>0</v>
      </c>
      <c r="D2217">
        <v>1</v>
      </c>
      <c r="E2217">
        <v>3</v>
      </c>
      <c r="F2217" s="2">
        <v>13</v>
      </c>
      <c r="G2217">
        <v>12</v>
      </c>
      <c r="H2217">
        <v>1</v>
      </c>
      <c r="I2217">
        <v>0.1748268617791053</v>
      </c>
      <c r="J2217">
        <v>0</v>
      </c>
      <c r="K2217">
        <v>0</v>
      </c>
      <c r="L2217" s="2">
        <v>0</v>
      </c>
      <c r="M2217">
        <v>25.55</v>
      </c>
      <c r="N2217" t="s">
        <v>10236</v>
      </c>
    </row>
    <row r="2218" spans="1:14">
      <c r="A2218" t="s">
        <v>192</v>
      </c>
      <c r="B2218" t="s">
        <v>2382</v>
      </c>
      <c r="C2218">
        <f>"613BL"</f>
        <v>0</v>
      </c>
      <c r="D2218">
        <v>1</v>
      </c>
      <c r="E2218">
        <v>1</v>
      </c>
      <c r="F2218" s="2">
        <v>18</v>
      </c>
      <c r="G2218">
        <v>4</v>
      </c>
      <c r="H2218">
        <v>1</v>
      </c>
      <c r="I2218">
        <v>0.1748268617791053</v>
      </c>
      <c r="J2218">
        <v>0</v>
      </c>
      <c r="K2218">
        <v>0</v>
      </c>
      <c r="L2218" s="2">
        <v>0</v>
      </c>
      <c r="M2218">
        <v>25.56</v>
      </c>
      <c r="N2218" t="s">
        <v>10236</v>
      </c>
    </row>
    <row r="2219" spans="1:14">
      <c r="A2219" t="s">
        <v>35</v>
      </c>
      <c r="B2219" t="s">
        <v>2383</v>
      </c>
      <c r="C2219">
        <f>"TC2016"</f>
        <v>0</v>
      </c>
      <c r="D2219">
        <v>1</v>
      </c>
      <c r="E2219">
        <v>6</v>
      </c>
      <c r="F2219" s="2">
        <v>1</v>
      </c>
      <c r="G2219">
        <v>24</v>
      </c>
      <c r="H2219">
        <v>1</v>
      </c>
      <c r="I2219">
        <v>0.1748268617791053</v>
      </c>
      <c r="J2219">
        <v>0</v>
      </c>
      <c r="K2219">
        <v>0</v>
      </c>
      <c r="L2219" s="2">
        <v>0</v>
      </c>
      <c r="M2219">
        <v>25.57</v>
      </c>
      <c r="N2219" t="s">
        <v>10236</v>
      </c>
    </row>
    <row r="2220" spans="1:14">
      <c r="A2220" t="s">
        <v>35</v>
      </c>
      <c r="B2220" t="s">
        <v>2384</v>
      </c>
      <c r="C2220">
        <f>"YXCM"</f>
        <v>0</v>
      </c>
      <c r="D2220">
        <v>1</v>
      </c>
      <c r="E2220">
        <v>2</v>
      </c>
      <c r="F2220" s="2">
        <v>4</v>
      </c>
      <c r="G2220">
        <v>8</v>
      </c>
      <c r="H2220">
        <v>1</v>
      </c>
      <c r="I2220">
        <v>0.1748268617791053</v>
      </c>
      <c r="J2220">
        <v>0</v>
      </c>
      <c r="K2220">
        <v>0</v>
      </c>
      <c r="L2220" s="2">
        <v>0</v>
      </c>
      <c r="M2220">
        <v>25.58</v>
      </c>
      <c r="N2220" t="s">
        <v>10236</v>
      </c>
    </row>
    <row r="2221" spans="1:14">
      <c r="A2221" t="s">
        <v>35</v>
      </c>
      <c r="B2221" t="s">
        <v>2385</v>
      </c>
      <c r="C2221">
        <f>"TQ077ROS"</f>
        <v>0</v>
      </c>
      <c r="D2221">
        <v>1</v>
      </c>
      <c r="E2221">
        <v>19</v>
      </c>
      <c r="F2221" s="2">
        <v>0</v>
      </c>
      <c r="G2221">
        <v>76</v>
      </c>
      <c r="H2221">
        <v>1</v>
      </c>
      <c r="I2221">
        <v>0.1748268617791053</v>
      </c>
      <c r="J2221">
        <v>0</v>
      </c>
      <c r="K2221">
        <v>0</v>
      </c>
      <c r="L2221" s="2">
        <v>0</v>
      </c>
      <c r="M2221">
        <v>25.59</v>
      </c>
      <c r="N2221" t="s">
        <v>10236</v>
      </c>
    </row>
    <row r="2222" spans="1:14">
      <c r="A2222" t="s">
        <v>35</v>
      </c>
      <c r="B2222" t="s">
        <v>2386</v>
      </c>
      <c r="C2222">
        <f>"HXC80"</f>
        <v>0</v>
      </c>
      <c r="D2222">
        <v>1</v>
      </c>
      <c r="E2222">
        <v>3</v>
      </c>
      <c r="F2222" s="2">
        <v>2</v>
      </c>
      <c r="G2222">
        <v>12</v>
      </c>
      <c r="H2222">
        <v>1</v>
      </c>
      <c r="I2222">
        <v>0.1748268617791053</v>
      </c>
      <c r="J2222">
        <v>0</v>
      </c>
      <c r="K2222">
        <v>0</v>
      </c>
      <c r="L2222" s="2">
        <v>0</v>
      </c>
      <c r="M2222">
        <v>25.6</v>
      </c>
      <c r="N2222" t="s">
        <v>10236</v>
      </c>
    </row>
    <row r="2223" spans="1:14">
      <c r="A2223" t="s">
        <v>35</v>
      </c>
      <c r="B2223" t="s">
        <v>2387</v>
      </c>
      <c r="C2223">
        <f>"FEP70RC"</f>
        <v>0</v>
      </c>
      <c r="D2223">
        <v>1</v>
      </c>
      <c r="E2223">
        <v>5</v>
      </c>
      <c r="F2223" s="2">
        <v>11</v>
      </c>
      <c r="G2223">
        <v>20</v>
      </c>
      <c r="H2223">
        <v>1</v>
      </c>
      <c r="I2223">
        <v>0.1748268617791053</v>
      </c>
      <c r="J2223">
        <v>0</v>
      </c>
      <c r="K2223">
        <v>0</v>
      </c>
      <c r="L2223" s="2">
        <v>0</v>
      </c>
      <c r="M2223">
        <v>25.61</v>
      </c>
      <c r="N2223" t="s">
        <v>10236</v>
      </c>
    </row>
    <row r="2224" spans="1:14">
      <c r="A2224" t="s">
        <v>35</v>
      </c>
      <c r="B2224" t="s">
        <v>2388</v>
      </c>
      <c r="C2224">
        <f>"WBC008XS"</f>
        <v>0</v>
      </c>
      <c r="D2224">
        <v>1</v>
      </c>
      <c r="E2224">
        <v>13</v>
      </c>
      <c r="F2224" s="2">
        <v>4</v>
      </c>
      <c r="G2224">
        <v>52</v>
      </c>
      <c r="H2224">
        <v>1</v>
      </c>
      <c r="I2224">
        <v>0.1748268617791053</v>
      </c>
      <c r="J2224">
        <v>0</v>
      </c>
      <c r="K2224">
        <v>0</v>
      </c>
      <c r="L2224" s="2">
        <v>0</v>
      </c>
      <c r="M2224">
        <v>25.62</v>
      </c>
      <c r="N2224" t="s">
        <v>10236</v>
      </c>
    </row>
    <row r="2225" spans="1:14">
      <c r="A2225" t="s">
        <v>35</v>
      </c>
      <c r="B2225" t="s">
        <v>2389</v>
      </c>
      <c r="C2225">
        <f>"WBC008S"</f>
        <v>0</v>
      </c>
      <c r="D2225">
        <v>1</v>
      </c>
      <c r="E2225">
        <v>3</v>
      </c>
      <c r="F2225" s="2">
        <v>4</v>
      </c>
      <c r="G2225">
        <v>12</v>
      </c>
      <c r="H2225">
        <v>1</v>
      </c>
      <c r="I2225">
        <v>0.1748268617791053</v>
      </c>
      <c r="J2225">
        <v>0</v>
      </c>
      <c r="K2225">
        <v>0</v>
      </c>
      <c r="L2225" s="2">
        <v>0</v>
      </c>
      <c r="M2225">
        <v>25.63</v>
      </c>
      <c r="N2225" t="s">
        <v>10236</v>
      </c>
    </row>
    <row r="2226" spans="1:14">
      <c r="A2226" t="s">
        <v>35</v>
      </c>
      <c r="B2226" t="s">
        <v>2390</v>
      </c>
      <c r="C2226">
        <f>"DT641SG"</f>
        <v>0</v>
      </c>
      <c r="D2226">
        <v>1</v>
      </c>
      <c r="E2226">
        <v>57</v>
      </c>
      <c r="F2226" s="2">
        <v>3</v>
      </c>
      <c r="G2226">
        <v>228</v>
      </c>
      <c r="H2226">
        <v>1</v>
      </c>
      <c r="I2226">
        <v>0.1748268617791053</v>
      </c>
      <c r="J2226">
        <v>0</v>
      </c>
      <c r="K2226">
        <v>0</v>
      </c>
      <c r="L2226" s="2">
        <v>0</v>
      </c>
      <c r="M2226">
        <v>25.64</v>
      </c>
      <c r="N2226" t="s">
        <v>10236</v>
      </c>
    </row>
    <row r="2227" spans="1:14">
      <c r="A2227" t="s">
        <v>35</v>
      </c>
      <c r="B2227" t="s">
        <v>2391</v>
      </c>
      <c r="C2227">
        <f>"C608MO"</f>
        <v>0</v>
      </c>
      <c r="D2227">
        <v>1</v>
      </c>
      <c r="E2227">
        <v>1</v>
      </c>
      <c r="F2227" s="2">
        <v>0</v>
      </c>
      <c r="G2227">
        <v>4</v>
      </c>
      <c r="H2227">
        <v>1</v>
      </c>
      <c r="I2227">
        <v>0.1748268617791053</v>
      </c>
      <c r="J2227">
        <v>0</v>
      </c>
      <c r="K2227">
        <v>0</v>
      </c>
      <c r="L2227" s="2">
        <v>0</v>
      </c>
      <c r="M2227">
        <v>25.65</v>
      </c>
      <c r="N2227" t="s">
        <v>10236</v>
      </c>
    </row>
    <row r="2228" spans="1:14">
      <c r="A2228" t="s">
        <v>35</v>
      </c>
      <c r="B2228" t="s">
        <v>2392</v>
      </c>
      <c r="C2228">
        <f>"ER130"</f>
        <v>0</v>
      </c>
      <c r="D2228">
        <v>1</v>
      </c>
      <c r="E2228">
        <v>2</v>
      </c>
      <c r="F2228" s="2">
        <v>4</v>
      </c>
      <c r="G2228">
        <v>8</v>
      </c>
      <c r="H2228">
        <v>1</v>
      </c>
      <c r="I2228">
        <v>0.1748268617791053</v>
      </c>
      <c r="J2228">
        <v>0</v>
      </c>
      <c r="K2228">
        <v>0</v>
      </c>
      <c r="L2228" s="2">
        <v>0</v>
      </c>
      <c r="M2228">
        <v>25.65</v>
      </c>
      <c r="N2228" t="s">
        <v>10236</v>
      </c>
    </row>
    <row r="2229" spans="1:14">
      <c r="A2229" t="s">
        <v>35</v>
      </c>
      <c r="B2229" t="s">
        <v>2393</v>
      </c>
      <c r="C2229">
        <f>"LS199C"</f>
        <v>0</v>
      </c>
      <c r="D2229">
        <v>1</v>
      </c>
      <c r="E2229">
        <v>5</v>
      </c>
      <c r="F2229" s="2">
        <v>5</v>
      </c>
      <c r="G2229">
        <v>20</v>
      </c>
      <c r="H2229">
        <v>1</v>
      </c>
      <c r="I2229">
        <v>0.1748268617791053</v>
      </c>
      <c r="J2229">
        <v>0</v>
      </c>
      <c r="K2229">
        <v>0</v>
      </c>
      <c r="L2229" s="2">
        <v>0</v>
      </c>
      <c r="M2229">
        <v>25.66</v>
      </c>
      <c r="N2229" t="s">
        <v>10236</v>
      </c>
    </row>
    <row r="2230" spans="1:14">
      <c r="A2230" t="s">
        <v>35</v>
      </c>
      <c r="B2230" t="s">
        <v>2394</v>
      </c>
      <c r="C2230">
        <f>"PCM12030A"</f>
        <v>0</v>
      </c>
      <c r="D2230">
        <v>1</v>
      </c>
      <c r="E2230">
        <v>3</v>
      </c>
      <c r="F2230" s="2">
        <v>14</v>
      </c>
      <c r="G2230">
        <v>12</v>
      </c>
      <c r="H2230">
        <v>1</v>
      </c>
      <c r="I2230">
        <v>0.1748268617791053</v>
      </c>
      <c r="J2230">
        <v>0</v>
      </c>
      <c r="K2230">
        <v>0</v>
      </c>
      <c r="L2230" s="2">
        <v>0</v>
      </c>
      <c r="M2230">
        <v>25.67</v>
      </c>
      <c r="N2230" t="s">
        <v>10236</v>
      </c>
    </row>
    <row r="2231" spans="1:14">
      <c r="A2231" t="s">
        <v>217</v>
      </c>
      <c r="B2231" t="s">
        <v>2395</v>
      </c>
      <c r="C2231">
        <f>"MXT012"</f>
        <v>0</v>
      </c>
      <c r="D2231">
        <v>1</v>
      </c>
      <c r="E2231">
        <v>3</v>
      </c>
      <c r="F2231" s="2">
        <v>7</v>
      </c>
      <c r="G2231">
        <v>12</v>
      </c>
      <c r="H2231">
        <v>1</v>
      </c>
      <c r="I2231">
        <v>0.1748268617791053</v>
      </c>
      <c r="J2231">
        <v>0</v>
      </c>
      <c r="K2231">
        <v>0</v>
      </c>
      <c r="L2231" s="2">
        <v>0</v>
      </c>
      <c r="M2231">
        <v>25.68</v>
      </c>
      <c r="N2231" t="s">
        <v>10236</v>
      </c>
    </row>
    <row r="2232" spans="1:14">
      <c r="A2232" t="s">
        <v>35</v>
      </c>
      <c r="B2232" t="s">
        <v>2396</v>
      </c>
      <c r="C2232">
        <f>"TC0057ROS"</f>
        <v>0</v>
      </c>
      <c r="D2232">
        <v>1</v>
      </c>
      <c r="E2232">
        <v>1</v>
      </c>
      <c r="F2232" s="2">
        <v>855</v>
      </c>
      <c r="G2232">
        <v>4</v>
      </c>
      <c r="H2232">
        <v>1</v>
      </c>
      <c r="I2232">
        <v>0.1748268617791053</v>
      </c>
      <c r="J2232">
        <v>0</v>
      </c>
      <c r="K2232">
        <v>0</v>
      </c>
      <c r="L2232" s="2">
        <v>0</v>
      </c>
      <c r="M2232">
        <v>25.69</v>
      </c>
      <c r="N2232" t="s">
        <v>10236</v>
      </c>
    </row>
    <row r="2233" spans="1:14">
      <c r="A2233" t="s">
        <v>35</v>
      </c>
      <c r="B2233" t="s">
        <v>2397</v>
      </c>
      <c r="C2233">
        <f>"DT641MG"</f>
        <v>0</v>
      </c>
      <c r="D2233">
        <v>1</v>
      </c>
      <c r="E2233">
        <v>50</v>
      </c>
      <c r="F2233" s="2">
        <v>3</v>
      </c>
      <c r="G2233">
        <v>200</v>
      </c>
      <c r="H2233">
        <v>1</v>
      </c>
      <c r="I2233">
        <v>0.1748268617791053</v>
      </c>
      <c r="J2233">
        <v>0</v>
      </c>
      <c r="K2233">
        <v>0</v>
      </c>
      <c r="L2233" s="2">
        <v>0</v>
      </c>
      <c r="M2233">
        <v>25.7</v>
      </c>
      <c r="N2233" t="s">
        <v>10236</v>
      </c>
    </row>
    <row r="2234" spans="1:14">
      <c r="A2234" t="s">
        <v>35</v>
      </c>
      <c r="B2234" t="s">
        <v>2398</v>
      </c>
      <c r="C2234">
        <f>"92804NS"</f>
        <v>0</v>
      </c>
      <c r="D2234">
        <v>1</v>
      </c>
      <c r="E2234">
        <v>1</v>
      </c>
      <c r="F2234" s="2">
        <v>12</v>
      </c>
      <c r="G2234">
        <v>4</v>
      </c>
      <c r="H2234">
        <v>1</v>
      </c>
      <c r="I2234">
        <v>0.1748268617791053</v>
      </c>
      <c r="J2234">
        <v>0</v>
      </c>
      <c r="K2234">
        <v>0</v>
      </c>
      <c r="L2234" s="2">
        <v>0</v>
      </c>
      <c r="M2234">
        <v>25.71</v>
      </c>
      <c r="N2234" t="s">
        <v>10236</v>
      </c>
    </row>
    <row r="2235" spans="1:14">
      <c r="A2235" t="s">
        <v>35</v>
      </c>
      <c r="B2235" t="s">
        <v>2399</v>
      </c>
      <c r="C2235">
        <f>"ER001"</f>
        <v>0</v>
      </c>
      <c r="D2235">
        <v>1</v>
      </c>
      <c r="E2235">
        <v>4</v>
      </c>
      <c r="F2235" s="2">
        <v>2</v>
      </c>
      <c r="G2235">
        <v>16</v>
      </c>
      <c r="H2235">
        <v>1</v>
      </c>
      <c r="I2235">
        <v>0.1748268617791053</v>
      </c>
      <c r="J2235">
        <v>0</v>
      </c>
      <c r="K2235">
        <v>0</v>
      </c>
      <c r="L2235" s="2">
        <v>0</v>
      </c>
      <c r="M2235">
        <v>25.72</v>
      </c>
      <c r="N2235" t="s">
        <v>10236</v>
      </c>
    </row>
    <row r="2236" spans="1:14">
      <c r="A2236" t="s">
        <v>35</v>
      </c>
      <c r="B2236" t="s">
        <v>2400</v>
      </c>
      <c r="C2236">
        <f>"PX0911"</f>
        <v>0</v>
      </c>
      <c r="D2236">
        <v>1</v>
      </c>
      <c r="E2236">
        <v>6</v>
      </c>
      <c r="F2236" s="2">
        <v>3</v>
      </c>
      <c r="G2236">
        <v>24</v>
      </c>
      <c r="H2236">
        <v>1</v>
      </c>
      <c r="I2236">
        <v>0.1748268617791053</v>
      </c>
      <c r="J2236">
        <v>0</v>
      </c>
      <c r="K2236">
        <v>0</v>
      </c>
      <c r="L2236" s="2">
        <v>0</v>
      </c>
      <c r="M2236">
        <v>25.73</v>
      </c>
      <c r="N2236" t="s">
        <v>10236</v>
      </c>
    </row>
    <row r="2237" spans="1:14">
      <c r="A2237" t="s">
        <v>29</v>
      </c>
      <c r="B2237" t="s">
        <v>2401</v>
      </c>
      <c r="C2237">
        <f>"CH11216"</f>
        <v>0</v>
      </c>
      <c r="D2237">
        <v>1</v>
      </c>
      <c r="E2237">
        <v>2</v>
      </c>
      <c r="F2237" s="2">
        <v>9</v>
      </c>
      <c r="G2237">
        <v>8</v>
      </c>
      <c r="H2237">
        <v>1</v>
      </c>
      <c r="I2237">
        <v>0.1748268617791053</v>
      </c>
      <c r="J2237">
        <v>0</v>
      </c>
      <c r="K2237">
        <v>0</v>
      </c>
      <c r="L2237" s="2">
        <v>0</v>
      </c>
      <c r="M2237">
        <v>25.74</v>
      </c>
      <c r="N2237" t="s">
        <v>10236</v>
      </c>
    </row>
    <row r="2238" spans="1:14">
      <c r="A2238" t="s">
        <v>29</v>
      </c>
      <c r="B2238" t="s">
        <v>2402</v>
      </c>
      <c r="C2238">
        <f>"LBL13"</f>
        <v>0</v>
      </c>
      <c r="D2238">
        <v>1</v>
      </c>
      <c r="E2238">
        <v>2</v>
      </c>
      <c r="F2238" s="2">
        <v>1</v>
      </c>
      <c r="G2238">
        <v>8</v>
      </c>
      <c r="H2238">
        <v>1</v>
      </c>
      <c r="I2238">
        <v>0.1748268617791053</v>
      </c>
      <c r="J2238">
        <v>0</v>
      </c>
      <c r="K2238">
        <v>0</v>
      </c>
      <c r="L2238" s="2">
        <v>0</v>
      </c>
      <c r="M2238">
        <v>25.75</v>
      </c>
      <c r="N2238" t="s">
        <v>10236</v>
      </c>
    </row>
    <row r="2239" spans="1:14">
      <c r="A2239" t="s">
        <v>35</v>
      </c>
      <c r="B2239" t="s">
        <v>2403</v>
      </c>
      <c r="C2239">
        <f>"SLL10310M"</f>
        <v>0</v>
      </c>
      <c r="D2239">
        <v>1</v>
      </c>
      <c r="E2239">
        <v>10</v>
      </c>
      <c r="F2239" s="2">
        <v>2</v>
      </c>
      <c r="G2239">
        <v>40</v>
      </c>
      <c r="H2239">
        <v>1</v>
      </c>
      <c r="I2239">
        <v>0.1748268617791053</v>
      </c>
      <c r="J2239">
        <v>0</v>
      </c>
      <c r="K2239">
        <v>0</v>
      </c>
      <c r="L2239" s="2">
        <v>0</v>
      </c>
      <c r="M2239">
        <v>25.76</v>
      </c>
      <c r="N2239" t="s">
        <v>10236</v>
      </c>
    </row>
    <row r="2240" spans="1:14">
      <c r="A2240" t="s">
        <v>35</v>
      </c>
      <c r="B2240" t="s">
        <v>2404</v>
      </c>
      <c r="C2240">
        <f>"SLL10310L"</f>
        <v>0</v>
      </c>
      <c r="D2240">
        <v>1</v>
      </c>
      <c r="E2240">
        <v>8</v>
      </c>
      <c r="F2240" s="2">
        <v>3</v>
      </c>
      <c r="G2240">
        <v>32</v>
      </c>
      <c r="H2240">
        <v>1</v>
      </c>
      <c r="I2240">
        <v>0.1748268617791053</v>
      </c>
      <c r="J2240">
        <v>0</v>
      </c>
      <c r="K2240">
        <v>0</v>
      </c>
      <c r="L2240" s="2">
        <v>0</v>
      </c>
      <c r="M2240">
        <v>25.77</v>
      </c>
      <c r="N2240" t="s">
        <v>10236</v>
      </c>
    </row>
    <row r="2241" spans="1:14">
      <c r="A2241" t="s">
        <v>29</v>
      </c>
      <c r="B2241" t="s">
        <v>2405</v>
      </c>
      <c r="C2241">
        <f>"BSSHELL"</f>
        <v>0</v>
      </c>
      <c r="D2241">
        <v>1</v>
      </c>
      <c r="E2241">
        <v>48</v>
      </c>
      <c r="F2241" s="2">
        <v>1</v>
      </c>
      <c r="G2241">
        <v>192</v>
      </c>
      <c r="H2241">
        <v>1</v>
      </c>
      <c r="I2241">
        <v>0.1748268617791053</v>
      </c>
      <c r="J2241">
        <v>0</v>
      </c>
      <c r="K2241">
        <v>0</v>
      </c>
      <c r="L2241" s="2">
        <v>0</v>
      </c>
      <c r="M2241">
        <v>25.77</v>
      </c>
      <c r="N2241" t="s">
        <v>10236</v>
      </c>
    </row>
    <row r="2242" spans="1:14">
      <c r="A2242" t="s">
        <v>35</v>
      </c>
      <c r="B2242" t="s">
        <v>2406</v>
      </c>
      <c r="C2242">
        <f>"sdr113a"</f>
        <v>0</v>
      </c>
      <c r="D2242">
        <v>1</v>
      </c>
      <c r="E2242">
        <v>3</v>
      </c>
      <c r="F2242" s="2">
        <v>1</v>
      </c>
      <c r="G2242">
        <v>12</v>
      </c>
      <c r="H2242">
        <v>1</v>
      </c>
      <c r="I2242">
        <v>0.1748268617791053</v>
      </c>
      <c r="J2242">
        <v>0</v>
      </c>
      <c r="K2242">
        <v>0</v>
      </c>
      <c r="L2242" s="2">
        <v>0</v>
      </c>
      <c r="M2242">
        <v>25.78</v>
      </c>
      <c r="N2242" t="s">
        <v>10236</v>
      </c>
    </row>
    <row r="2243" spans="1:14">
      <c r="A2243" t="s">
        <v>35</v>
      </c>
      <c r="B2243" t="s">
        <v>2407</v>
      </c>
      <c r="C2243">
        <f>"PS1018"</f>
        <v>0</v>
      </c>
      <c r="D2243">
        <v>1</v>
      </c>
      <c r="E2243">
        <v>4</v>
      </c>
      <c r="F2243" s="2">
        <v>2</v>
      </c>
      <c r="G2243">
        <v>16</v>
      </c>
      <c r="H2243">
        <v>1</v>
      </c>
      <c r="I2243">
        <v>0.1748268617791053</v>
      </c>
      <c r="J2243">
        <v>0</v>
      </c>
      <c r="K2243">
        <v>0</v>
      </c>
      <c r="L2243" s="2">
        <v>0</v>
      </c>
      <c r="M2243">
        <v>25.79</v>
      </c>
      <c r="N2243" t="s">
        <v>10236</v>
      </c>
    </row>
    <row r="2244" spans="1:14">
      <c r="A2244" t="s">
        <v>25</v>
      </c>
      <c r="B2244" t="s">
        <v>2408</v>
      </c>
      <c r="C2244">
        <f>"5103AM"</f>
        <v>0</v>
      </c>
      <c r="D2244">
        <v>1</v>
      </c>
      <c r="E2244">
        <v>1</v>
      </c>
      <c r="F2244" s="2">
        <v>10</v>
      </c>
      <c r="G2244">
        <v>4</v>
      </c>
      <c r="H2244">
        <v>1</v>
      </c>
      <c r="I2244">
        <v>0.1748268617791053</v>
      </c>
      <c r="J2244">
        <v>0</v>
      </c>
      <c r="K2244">
        <v>0</v>
      </c>
      <c r="L2244" s="2">
        <v>0</v>
      </c>
      <c r="M2244">
        <v>25.8</v>
      </c>
      <c r="N2244" t="s">
        <v>10236</v>
      </c>
    </row>
    <row r="2245" spans="1:14">
      <c r="A2245" t="s">
        <v>35</v>
      </c>
      <c r="B2245" t="s">
        <v>2409</v>
      </c>
      <c r="C2245">
        <f>"YL06"</f>
        <v>0</v>
      </c>
      <c r="D2245">
        <v>1</v>
      </c>
      <c r="E2245">
        <v>12</v>
      </c>
      <c r="F2245" s="2">
        <v>1</v>
      </c>
      <c r="G2245">
        <v>48</v>
      </c>
      <c r="H2245">
        <v>1</v>
      </c>
      <c r="I2245">
        <v>0.1748268617791053</v>
      </c>
      <c r="J2245">
        <v>0</v>
      </c>
      <c r="K2245">
        <v>0</v>
      </c>
      <c r="L2245" s="2">
        <v>0</v>
      </c>
      <c r="M2245">
        <v>25.81</v>
      </c>
      <c r="N2245" t="s">
        <v>10236</v>
      </c>
    </row>
    <row r="2246" spans="1:14">
      <c r="A2246" t="s">
        <v>196</v>
      </c>
      <c r="B2246" t="s">
        <v>2410</v>
      </c>
      <c r="C2246">
        <f>"2023"</f>
        <v>0</v>
      </c>
      <c r="D2246">
        <v>1</v>
      </c>
      <c r="E2246">
        <v>15</v>
      </c>
      <c r="F2246" s="2">
        <v>3</v>
      </c>
      <c r="G2246">
        <v>60</v>
      </c>
      <c r="H2246">
        <v>1</v>
      </c>
      <c r="I2246">
        <v>0.1748268617791053</v>
      </c>
      <c r="J2246">
        <v>0</v>
      </c>
      <c r="K2246">
        <v>0</v>
      </c>
      <c r="L2246" s="2">
        <v>0</v>
      </c>
      <c r="M2246">
        <v>25.82</v>
      </c>
      <c r="N2246" t="s">
        <v>10236</v>
      </c>
    </row>
    <row r="2247" spans="1:14">
      <c r="A2247" t="s">
        <v>29</v>
      </c>
      <c r="B2247" t="s">
        <v>2411</v>
      </c>
      <c r="C2247">
        <f>"NF003RR"</f>
        <v>0</v>
      </c>
      <c r="D2247">
        <v>1</v>
      </c>
      <c r="E2247">
        <v>21</v>
      </c>
      <c r="F2247" s="2">
        <v>0</v>
      </c>
      <c r="G2247">
        <v>84</v>
      </c>
      <c r="H2247">
        <v>1</v>
      </c>
      <c r="I2247">
        <v>0.1748268617791053</v>
      </c>
      <c r="J2247">
        <v>0</v>
      </c>
      <c r="K2247">
        <v>0</v>
      </c>
      <c r="L2247" s="2">
        <v>0</v>
      </c>
      <c r="M2247">
        <v>25.83</v>
      </c>
      <c r="N2247" t="s">
        <v>10236</v>
      </c>
    </row>
    <row r="2248" spans="1:14">
      <c r="A2248" t="s">
        <v>29</v>
      </c>
      <c r="B2248" t="s">
        <v>2412</v>
      </c>
      <c r="C2248">
        <f>"HA118"</f>
        <v>0</v>
      </c>
      <c r="D2248">
        <v>1</v>
      </c>
      <c r="E2248">
        <v>2</v>
      </c>
      <c r="F2248" s="2">
        <v>1</v>
      </c>
      <c r="G2248">
        <v>8</v>
      </c>
      <c r="H2248">
        <v>1</v>
      </c>
      <c r="I2248">
        <v>0.1748268617791053</v>
      </c>
      <c r="J2248">
        <v>0</v>
      </c>
      <c r="K2248">
        <v>0</v>
      </c>
      <c r="L2248" s="2">
        <v>0</v>
      </c>
      <c r="M2248">
        <v>25.84</v>
      </c>
      <c r="N2248" t="s">
        <v>10236</v>
      </c>
    </row>
    <row r="2249" spans="1:14">
      <c r="A2249" t="s">
        <v>35</v>
      </c>
      <c r="B2249" t="s">
        <v>2413</v>
      </c>
      <c r="C2249">
        <f>"JWZ1018S"</f>
        <v>0</v>
      </c>
      <c r="D2249">
        <v>1</v>
      </c>
      <c r="E2249">
        <v>12</v>
      </c>
      <c r="F2249" s="2">
        <v>1</v>
      </c>
      <c r="G2249">
        <v>48</v>
      </c>
      <c r="H2249">
        <v>1</v>
      </c>
      <c r="I2249">
        <v>0.1748268617791053</v>
      </c>
      <c r="J2249">
        <v>0</v>
      </c>
      <c r="K2249">
        <v>0</v>
      </c>
      <c r="L2249" s="2">
        <v>0</v>
      </c>
      <c r="M2249">
        <v>25.85</v>
      </c>
      <c r="N2249" t="s">
        <v>10236</v>
      </c>
    </row>
    <row r="2250" spans="1:14">
      <c r="A2250" t="s">
        <v>206</v>
      </c>
      <c r="B2250" t="s">
        <v>2414</v>
      </c>
      <c r="C2250">
        <f>"36179"</f>
        <v>0</v>
      </c>
      <c r="D2250">
        <v>1</v>
      </c>
      <c r="E2250">
        <v>5</v>
      </c>
      <c r="F2250" s="2">
        <v>9</v>
      </c>
      <c r="G2250">
        <v>20</v>
      </c>
      <c r="H2250">
        <v>1</v>
      </c>
      <c r="I2250">
        <v>0.1748268617791053</v>
      </c>
      <c r="J2250">
        <v>0</v>
      </c>
      <c r="K2250">
        <v>0</v>
      </c>
      <c r="L2250" s="2">
        <v>0</v>
      </c>
      <c r="M2250">
        <v>25.86</v>
      </c>
      <c r="N2250" t="s">
        <v>10236</v>
      </c>
    </row>
    <row r="2251" spans="1:14">
      <c r="A2251" t="s">
        <v>35</v>
      </c>
      <c r="B2251" t="s">
        <v>2415</v>
      </c>
      <c r="C2251">
        <f>"PR26"</f>
        <v>0</v>
      </c>
      <c r="D2251">
        <v>1</v>
      </c>
      <c r="E2251">
        <v>2</v>
      </c>
      <c r="F2251" s="2">
        <v>3</v>
      </c>
      <c r="G2251">
        <v>8</v>
      </c>
      <c r="H2251">
        <v>1</v>
      </c>
      <c r="I2251">
        <v>0.1748268617791053</v>
      </c>
      <c r="J2251">
        <v>0</v>
      </c>
      <c r="K2251">
        <v>0</v>
      </c>
      <c r="L2251" s="2">
        <v>0</v>
      </c>
      <c r="M2251">
        <v>25.87</v>
      </c>
      <c r="N2251" t="s">
        <v>10236</v>
      </c>
    </row>
    <row r="2252" spans="1:14">
      <c r="A2252" t="s">
        <v>35</v>
      </c>
      <c r="B2252" t="s">
        <v>2416</v>
      </c>
      <c r="C2252">
        <f>"JWZ1058M"</f>
        <v>0</v>
      </c>
      <c r="D2252">
        <v>1</v>
      </c>
      <c r="E2252">
        <v>2</v>
      </c>
      <c r="F2252" s="2">
        <v>1</v>
      </c>
      <c r="G2252">
        <v>8</v>
      </c>
      <c r="H2252">
        <v>1</v>
      </c>
      <c r="I2252">
        <v>0.1748268617791053</v>
      </c>
      <c r="J2252">
        <v>0</v>
      </c>
      <c r="K2252">
        <v>0</v>
      </c>
      <c r="L2252" s="2">
        <v>0</v>
      </c>
      <c r="M2252">
        <v>25.88</v>
      </c>
      <c r="N2252" t="s">
        <v>10236</v>
      </c>
    </row>
    <row r="2253" spans="1:14">
      <c r="A2253" t="s">
        <v>35</v>
      </c>
      <c r="B2253" t="s">
        <v>2417</v>
      </c>
      <c r="C2253">
        <f>"DR124R"</f>
        <v>0</v>
      </c>
      <c r="D2253">
        <v>1</v>
      </c>
      <c r="E2253">
        <v>10</v>
      </c>
      <c r="F2253" s="2">
        <v>2</v>
      </c>
      <c r="G2253">
        <v>40</v>
      </c>
      <c r="H2253">
        <v>1</v>
      </c>
      <c r="I2253">
        <v>0.1748268617791053</v>
      </c>
      <c r="J2253">
        <v>0</v>
      </c>
      <c r="K2253">
        <v>0</v>
      </c>
      <c r="L2253" s="2">
        <v>0</v>
      </c>
      <c r="M2253">
        <v>25.89</v>
      </c>
      <c r="N2253" t="s">
        <v>10236</v>
      </c>
    </row>
    <row r="2254" spans="1:14">
      <c r="A2254" t="s">
        <v>35</v>
      </c>
      <c r="B2254" t="s">
        <v>2418</v>
      </c>
      <c r="C2254">
        <f>"JWZ1060M"</f>
        <v>0</v>
      </c>
      <c r="D2254">
        <v>1</v>
      </c>
      <c r="E2254">
        <v>7</v>
      </c>
      <c r="F2254" s="2">
        <v>1</v>
      </c>
      <c r="G2254">
        <v>28</v>
      </c>
      <c r="H2254">
        <v>1</v>
      </c>
      <c r="I2254">
        <v>0.1748268617791053</v>
      </c>
      <c r="J2254">
        <v>0</v>
      </c>
      <c r="K2254">
        <v>0</v>
      </c>
      <c r="L2254" s="2">
        <v>0</v>
      </c>
      <c r="M2254">
        <v>25.89</v>
      </c>
      <c r="N2254" t="s">
        <v>10236</v>
      </c>
    </row>
    <row r="2255" spans="1:14">
      <c r="A2255" t="s">
        <v>35</v>
      </c>
      <c r="B2255" t="s">
        <v>2419</v>
      </c>
      <c r="C2255">
        <f>"SDR224"</f>
        <v>0</v>
      </c>
      <c r="D2255">
        <v>1</v>
      </c>
      <c r="E2255">
        <v>2</v>
      </c>
      <c r="F2255" s="2">
        <v>2</v>
      </c>
      <c r="G2255">
        <v>8</v>
      </c>
      <c r="H2255">
        <v>1</v>
      </c>
      <c r="I2255">
        <v>0.1748268617791053</v>
      </c>
      <c r="J2255">
        <v>0</v>
      </c>
      <c r="K2255">
        <v>0</v>
      </c>
      <c r="L2255" s="2">
        <v>0</v>
      </c>
      <c r="M2255">
        <v>25.9</v>
      </c>
      <c r="N2255" t="s">
        <v>10236</v>
      </c>
    </row>
    <row r="2256" spans="1:14">
      <c r="A2256" t="s">
        <v>29</v>
      </c>
      <c r="B2256" t="s">
        <v>2420</v>
      </c>
      <c r="C2256">
        <f>"D0601C"</f>
        <v>0</v>
      </c>
      <c r="D2256">
        <v>1</v>
      </c>
      <c r="E2256">
        <v>1</v>
      </c>
      <c r="F2256" s="2">
        <v>18</v>
      </c>
      <c r="G2256">
        <v>4</v>
      </c>
      <c r="H2256">
        <v>1</v>
      </c>
      <c r="I2256">
        <v>0.1748268617791053</v>
      </c>
      <c r="J2256">
        <v>0</v>
      </c>
      <c r="K2256">
        <v>0</v>
      </c>
      <c r="L2256" s="2">
        <v>0</v>
      </c>
      <c r="M2256">
        <v>25.91</v>
      </c>
      <c r="N2256" t="s">
        <v>10236</v>
      </c>
    </row>
    <row r="2257" spans="1:14">
      <c r="A2257" t="s">
        <v>35</v>
      </c>
      <c r="B2257" t="s">
        <v>2421</v>
      </c>
      <c r="C2257">
        <f>"ER161"</f>
        <v>0</v>
      </c>
      <c r="D2257">
        <v>1</v>
      </c>
      <c r="E2257">
        <v>1</v>
      </c>
      <c r="F2257" s="2">
        <v>4</v>
      </c>
      <c r="G2257">
        <v>4</v>
      </c>
      <c r="H2257">
        <v>1</v>
      </c>
      <c r="I2257">
        <v>0.1748268617791053</v>
      </c>
      <c r="J2257">
        <v>0</v>
      </c>
      <c r="K2257">
        <v>0</v>
      </c>
      <c r="L2257" s="2">
        <v>0</v>
      </c>
      <c r="M2257">
        <v>25.92</v>
      </c>
      <c r="N2257" t="s">
        <v>10236</v>
      </c>
    </row>
    <row r="2258" spans="1:14">
      <c r="A2258" t="s">
        <v>39</v>
      </c>
      <c r="B2258" t="s">
        <v>2422</v>
      </c>
      <c r="C2258">
        <f>"VALIM01035"</f>
        <v>0</v>
      </c>
      <c r="D2258">
        <v>1</v>
      </c>
      <c r="E2258">
        <v>2</v>
      </c>
      <c r="F2258" s="2">
        <v>25</v>
      </c>
      <c r="G2258">
        <v>8</v>
      </c>
      <c r="H2258">
        <v>1</v>
      </c>
      <c r="I2258">
        <v>0.1748268617791053</v>
      </c>
      <c r="J2258">
        <v>0</v>
      </c>
      <c r="K2258">
        <v>0</v>
      </c>
      <c r="L2258" s="2">
        <v>0</v>
      </c>
      <c r="M2258">
        <v>25.93</v>
      </c>
      <c r="N2258" t="s">
        <v>10236</v>
      </c>
    </row>
    <row r="2259" spans="1:14">
      <c r="A2259" t="s">
        <v>39</v>
      </c>
      <c r="B2259" t="s">
        <v>2423</v>
      </c>
      <c r="C2259">
        <f>"VALIM02056"</f>
        <v>0</v>
      </c>
      <c r="D2259">
        <v>1</v>
      </c>
      <c r="E2259">
        <v>3</v>
      </c>
      <c r="F2259" s="2">
        <v>27</v>
      </c>
      <c r="G2259">
        <v>12</v>
      </c>
      <c r="H2259">
        <v>1</v>
      </c>
      <c r="I2259">
        <v>0.1748268617791053</v>
      </c>
      <c r="J2259">
        <v>0</v>
      </c>
      <c r="K2259">
        <v>0</v>
      </c>
      <c r="L2259" s="2">
        <v>0</v>
      </c>
      <c r="M2259">
        <v>25.94</v>
      </c>
      <c r="N2259" t="s">
        <v>10236</v>
      </c>
    </row>
    <row r="2260" spans="1:14">
      <c r="A2260" t="s">
        <v>29</v>
      </c>
      <c r="B2260" t="s">
        <v>2424</v>
      </c>
      <c r="C2260">
        <f>"970F"</f>
        <v>0</v>
      </c>
      <c r="D2260">
        <v>1</v>
      </c>
      <c r="E2260">
        <v>1</v>
      </c>
      <c r="F2260" s="2">
        <v>12</v>
      </c>
      <c r="G2260">
        <v>4</v>
      </c>
      <c r="H2260">
        <v>1</v>
      </c>
      <c r="I2260">
        <v>0.1748268617791053</v>
      </c>
      <c r="J2260">
        <v>0</v>
      </c>
      <c r="K2260">
        <v>0</v>
      </c>
      <c r="L2260" s="2">
        <v>0</v>
      </c>
      <c r="M2260">
        <v>25.95</v>
      </c>
      <c r="N2260" t="s">
        <v>10236</v>
      </c>
    </row>
    <row r="2261" spans="1:14">
      <c r="A2261" t="s">
        <v>35</v>
      </c>
      <c r="B2261" t="s">
        <v>2425</v>
      </c>
      <c r="C2261">
        <f>"DS41"</f>
        <v>0</v>
      </c>
      <c r="D2261">
        <v>1</v>
      </c>
      <c r="E2261">
        <v>2</v>
      </c>
      <c r="F2261" s="2">
        <v>4</v>
      </c>
      <c r="G2261">
        <v>8</v>
      </c>
      <c r="H2261">
        <v>1</v>
      </c>
      <c r="I2261">
        <v>0.1748268617791053</v>
      </c>
      <c r="J2261">
        <v>0</v>
      </c>
      <c r="K2261">
        <v>0</v>
      </c>
      <c r="L2261" s="2">
        <v>0</v>
      </c>
      <c r="M2261">
        <v>25.96</v>
      </c>
      <c r="N2261" t="s">
        <v>10236</v>
      </c>
    </row>
    <row r="2262" spans="1:14">
      <c r="A2262" t="s">
        <v>35</v>
      </c>
      <c r="B2262" t="s">
        <v>2426</v>
      </c>
      <c r="C2262">
        <f>"970307"</f>
        <v>0</v>
      </c>
      <c r="D2262">
        <v>1</v>
      </c>
      <c r="E2262">
        <v>5</v>
      </c>
      <c r="F2262" s="2">
        <v>3</v>
      </c>
      <c r="G2262">
        <v>20</v>
      </c>
      <c r="H2262">
        <v>1</v>
      </c>
      <c r="I2262">
        <v>0.1748268617791053</v>
      </c>
      <c r="J2262">
        <v>0</v>
      </c>
      <c r="K2262">
        <v>0</v>
      </c>
      <c r="L2262" s="2">
        <v>0</v>
      </c>
      <c r="M2262">
        <v>25.97</v>
      </c>
      <c r="N2262" t="s">
        <v>10236</v>
      </c>
    </row>
    <row r="2263" spans="1:14">
      <c r="A2263" t="s">
        <v>35</v>
      </c>
      <c r="B2263" t="s">
        <v>2427</v>
      </c>
      <c r="C2263">
        <f>"SDR241"</f>
        <v>0</v>
      </c>
      <c r="D2263">
        <v>1</v>
      </c>
      <c r="E2263">
        <v>1</v>
      </c>
      <c r="F2263" s="2">
        <v>2</v>
      </c>
      <c r="G2263">
        <v>4</v>
      </c>
      <c r="H2263">
        <v>1</v>
      </c>
      <c r="I2263">
        <v>0.1748268617791053</v>
      </c>
      <c r="J2263">
        <v>0</v>
      </c>
      <c r="K2263">
        <v>0</v>
      </c>
      <c r="L2263" s="2">
        <v>0</v>
      </c>
      <c r="M2263">
        <v>25.98</v>
      </c>
      <c r="N2263" t="s">
        <v>10236</v>
      </c>
    </row>
    <row r="2264" spans="1:14">
      <c r="A2264" t="s">
        <v>35</v>
      </c>
      <c r="B2264" t="s">
        <v>2428</v>
      </c>
      <c r="C2264">
        <f>"KE3206PD"</f>
        <v>0</v>
      </c>
      <c r="D2264">
        <v>1</v>
      </c>
      <c r="E2264">
        <v>41</v>
      </c>
      <c r="F2264" s="2">
        <v>2</v>
      </c>
      <c r="G2264">
        <v>164</v>
      </c>
      <c r="H2264">
        <v>1</v>
      </c>
      <c r="I2264">
        <v>0.1748268617791053</v>
      </c>
      <c r="J2264">
        <v>0</v>
      </c>
      <c r="K2264">
        <v>0</v>
      </c>
      <c r="L2264" s="2">
        <v>0</v>
      </c>
      <c r="M2264">
        <v>25.99</v>
      </c>
      <c r="N2264" t="s">
        <v>10236</v>
      </c>
    </row>
    <row r="2265" spans="1:14">
      <c r="A2265" t="s">
        <v>35</v>
      </c>
      <c r="B2265" t="s">
        <v>2429</v>
      </c>
      <c r="C2265">
        <f>"PS06068"</f>
        <v>0</v>
      </c>
      <c r="D2265">
        <v>1</v>
      </c>
      <c r="E2265">
        <v>7</v>
      </c>
      <c r="F2265" s="2">
        <v>4</v>
      </c>
      <c r="G2265">
        <v>28</v>
      </c>
      <c r="H2265">
        <v>1</v>
      </c>
      <c r="I2265">
        <v>0.1748268617791053</v>
      </c>
      <c r="J2265">
        <v>0</v>
      </c>
      <c r="K2265">
        <v>0</v>
      </c>
      <c r="L2265" s="2">
        <v>0</v>
      </c>
      <c r="M2265">
        <v>26</v>
      </c>
      <c r="N2265" t="s">
        <v>10236</v>
      </c>
    </row>
    <row r="2266" spans="1:14">
      <c r="A2266" t="s">
        <v>32</v>
      </c>
      <c r="B2266" t="s">
        <v>2430</v>
      </c>
      <c r="C2266">
        <f>"5004844"</f>
        <v>0</v>
      </c>
      <c r="D2266">
        <v>1</v>
      </c>
      <c r="E2266">
        <v>4</v>
      </c>
      <c r="F2266" s="2">
        <v>5</v>
      </c>
      <c r="G2266">
        <v>16</v>
      </c>
      <c r="H2266">
        <v>1</v>
      </c>
      <c r="I2266">
        <v>0.1748268617791053</v>
      </c>
      <c r="J2266">
        <v>0</v>
      </c>
      <c r="K2266">
        <v>0</v>
      </c>
      <c r="L2266" s="2">
        <v>0</v>
      </c>
      <c r="M2266">
        <v>26.01</v>
      </c>
      <c r="N2266" t="s">
        <v>10236</v>
      </c>
    </row>
    <row r="2267" spans="1:14">
      <c r="A2267" t="s">
        <v>35</v>
      </c>
      <c r="B2267" t="s">
        <v>2431</v>
      </c>
      <c r="C2267">
        <f>"FEP80VIN"</f>
        <v>0</v>
      </c>
      <c r="D2267">
        <v>1</v>
      </c>
      <c r="E2267">
        <v>11</v>
      </c>
      <c r="F2267" s="2">
        <v>15</v>
      </c>
      <c r="G2267">
        <v>44</v>
      </c>
      <c r="H2267">
        <v>1</v>
      </c>
      <c r="I2267">
        <v>0.1748268617791053</v>
      </c>
      <c r="J2267">
        <v>0</v>
      </c>
      <c r="K2267">
        <v>0</v>
      </c>
      <c r="L2267" s="2">
        <v>0</v>
      </c>
      <c r="M2267">
        <v>26.02</v>
      </c>
      <c r="N2267" t="s">
        <v>10236</v>
      </c>
    </row>
    <row r="2268" spans="1:14">
      <c r="A2268" t="s">
        <v>35</v>
      </c>
      <c r="B2268" t="s">
        <v>2432</v>
      </c>
      <c r="C2268">
        <f>"45656SN"</f>
        <v>0</v>
      </c>
      <c r="D2268">
        <v>1</v>
      </c>
      <c r="E2268">
        <v>70</v>
      </c>
      <c r="F2268" s="2">
        <v>1</v>
      </c>
      <c r="G2268">
        <v>280</v>
      </c>
      <c r="H2268">
        <v>1</v>
      </c>
      <c r="I2268">
        <v>0.1748268617791053</v>
      </c>
      <c r="J2268">
        <v>0</v>
      </c>
      <c r="K2268">
        <v>0</v>
      </c>
      <c r="L2268" s="2">
        <v>0</v>
      </c>
      <c r="M2268">
        <v>26.02</v>
      </c>
      <c r="N2268" t="s">
        <v>10236</v>
      </c>
    </row>
    <row r="2269" spans="1:14">
      <c r="A2269" t="s">
        <v>35</v>
      </c>
      <c r="B2269" t="s">
        <v>2433</v>
      </c>
      <c r="C2269">
        <f>"SDR118"</f>
        <v>0</v>
      </c>
      <c r="D2269">
        <v>1</v>
      </c>
      <c r="E2269">
        <v>4</v>
      </c>
      <c r="F2269" s="2">
        <v>4</v>
      </c>
      <c r="G2269">
        <v>16</v>
      </c>
      <c r="H2269">
        <v>1</v>
      </c>
      <c r="I2269">
        <v>0.1748268617791053</v>
      </c>
      <c r="J2269">
        <v>0</v>
      </c>
      <c r="K2269">
        <v>0</v>
      </c>
      <c r="L2269" s="2">
        <v>0</v>
      </c>
      <c r="M2269">
        <v>26.03</v>
      </c>
      <c r="N2269" t="s">
        <v>10236</v>
      </c>
    </row>
    <row r="2270" spans="1:14">
      <c r="A2270" t="s">
        <v>35</v>
      </c>
      <c r="B2270" t="s">
        <v>2434</v>
      </c>
      <c r="C2270">
        <f>"TC2010"</f>
        <v>0</v>
      </c>
      <c r="D2270">
        <v>1</v>
      </c>
      <c r="E2270">
        <v>5</v>
      </c>
      <c r="F2270" s="2">
        <v>1</v>
      </c>
      <c r="G2270">
        <v>20</v>
      </c>
      <c r="H2270">
        <v>1</v>
      </c>
      <c r="I2270">
        <v>0.1748268617791053</v>
      </c>
      <c r="J2270">
        <v>0</v>
      </c>
      <c r="K2270">
        <v>0</v>
      </c>
      <c r="L2270" s="2">
        <v>0</v>
      </c>
      <c r="M2270">
        <v>26.04</v>
      </c>
      <c r="N2270" t="s">
        <v>10236</v>
      </c>
    </row>
    <row r="2271" spans="1:14">
      <c r="A2271" t="s">
        <v>35</v>
      </c>
      <c r="B2271" t="s">
        <v>2435</v>
      </c>
      <c r="C2271">
        <f>"SK3055"</f>
        <v>0</v>
      </c>
      <c r="D2271">
        <v>1</v>
      </c>
      <c r="E2271">
        <v>7</v>
      </c>
      <c r="F2271" s="2">
        <v>6</v>
      </c>
      <c r="G2271">
        <v>28</v>
      </c>
      <c r="H2271">
        <v>1</v>
      </c>
      <c r="I2271">
        <v>0.1748268617791053</v>
      </c>
      <c r="J2271">
        <v>0</v>
      </c>
      <c r="K2271">
        <v>0</v>
      </c>
      <c r="L2271" s="2">
        <v>0</v>
      </c>
      <c r="M2271">
        <v>26.05</v>
      </c>
      <c r="N2271" t="s">
        <v>10236</v>
      </c>
    </row>
    <row r="2272" spans="1:14">
      <c r="A2272" t="s">
        <v>35</v>
      </c>
      <c r="B2272" t="s">
        <v>2436</v>
      </c>
      <c r="C2272">
        <f>"DT641MA"</f>
        <v>0</v>
      </c>
      <c r="D2272">
        <v>1</v>
      </c>
      <c r="E2272">
        <v>52</v>
      </c>
      <c r="F2272" s="2">
        <v>3</v>
      </c>
      <c r="G2272">
        <v>208</v>
      </c>
      <c r="H2272">
        <v>1</v>
      </c>
      <c r="I2272">
        <v>0.1748268617791053</v>
      </c>
      <c r="J2272">
        <v>0</v>
      </c>
      <c r="K2272">
        <v>0</v>
      </c>
      <c r="L2272" s="2">
        <v>0</v>
      </c>
      <c r="M2272">
        <v>26.06</v>
      </c>
      <c r="N2272" t="s">
        <v>10236</v>
      </c>
    </row>
    <row r="2273" spans="1:14">
      <c r="A2273" t="s">
        <v>29</v>
      </c>
      <c r="B2273" t="s">
        <v>2437</v>
      </c>
      <c r="C2273">
        <f>"E268"</f>
        <v>0</v>
      </c>
      <c r="D2273">
        <v>1</v>
      </c>
      <c r="E2273">
        <v>1</v>
      </c>
      <c r="F2273" s="2">
        <v>4</v>
      </c>
      <c r="G2273">
        <v>4</v>
      </c>
      <c r="H2273">
        <v>1</v>
      </c>
      <c r="I2273">
        <v>0.1748268617791053</v>
      </c>
      <c r="J2273">
        <v>0</v>
      </c>
      <c r="K2273">
        <v>0</v>
      </c>
      <c r="L2273" s="2">
        <v>0</v>
      </c>
      <c r="M2273">
        <v>26.07</v>
      </c>
      <c r="N2273" t="s">
        <v>10236</v>
      </c>
    </row>
    <row r="2274" spans="1:14">
      <c r="A2274" t="s">
        <v>196</v>
      </c>
      <c r="B2274" t="s">
        <v>2438</v>
      </c>
      <c r="C2274">
        <f>"2094"</f>
        <v>0</v>
      </c>
      <c r="D2274">
        <v>1</v>
      </c>
      <c r="E2274">
        <v>2</v>
      </c>
      <c r="F2274" s="2">
        <v>3</v>
      </c>
      <c r="G2274">
        <v>8</v>
      </c>
      <c r="H2274">
        <v>1</v>
      </c>
      <c r="I2274">
        <v>0.1748268617791053</v>
      </c>
      <c r="J2274">
        <v>0</v>
      </c>
      <c r="K2274">
        <v>0</v>
      </c>
      <c r="L2274" s="2">
        <v>0</v>
      </c>
      <c r="M2274">
        <v>26.08</v>
      </c>
      <c r="N2274" t="s">
        <v>10236</v>
      </c>
    </row>
    <row r="2275" spans="1:14">
      <c r="A2275" t="s">
        <v>35</v>
      </c>
      <c r="B2275" t="s">
        <v>2439</v>
      </c>
      <c r="C2275">
        <f>"TC2063CEL"</f>
        <v>0</v>
      </c>
      <c r="D2275">
        <v>1</v>
      </c>
      <c r="E2275">
        <v>1</v>
      </c>
      <c r="F2275" s="2">
        <v>621</v>
      </c>
      <c r="G2275">
        <v>4</v>
      </c>
      <c r="H2275">
        <v>1</v>
      </c>
      <c r="I2275">
        <v>0.1748268617791053</v>
      </c>
      <c r="J2275">
        <v>0</v>
      </c>
      <c r="K2275">
        <v>0</v>
      </c>
      <c r="L2275" s="2">
        <v>0</v>
      </c>
      <c r="M2275">
        <v>26.09</v>
      </c>
      <c r="N2275" t="s">
        <v>10236</v>
      </c>
    </row>
    <row r="2276" spans="1:14">
      <c r="A2276" t="s">
        <v>25</v>
      </c>
      <c r="B2276" t="s">
        <v>2440</v>
      </c>
      <c r="C2276">
        <f>"YB092MORVE"</f>
        <v>0</v>
      </c>
      <c r="D2276">
        <v>1</v>
      </c>
      <c r="E2276">
        <v>1</v>
      </c>
      <c r="F2276" s="2">
        <v>20</v>
      </c>
      <c r="G2276">
        <v>4</v>
      </c>
      <c r="H2276">
        <v>1</v>
      </c>
      <c r="I2276">
        <v>0.1748268617791053</v>
      </c>
      <c r="J2276">
        <v>0</v>
      </c>
      <c r="K2276">
        <v>0</v>
      </c>
      <c r="L2276" s="2">
        <v>0</v>
      </c>
      <c r="M2276">
        <v>26.1</v>
      </c>
      <c r="N2276" t="s">
        <v>10236</v>
      </c>
    </row>
    <row r="2277" spans="1:14">
      <c r="A2277" t="s">
        <v>35</v>
      </c>
      <c r="B2277" t="s">
        <v>2441</v>
      </c>
      <c r="C2277">
        <f>"JWL1007M"</f>
        <v>0</v>
      </c>
      <c r="D2277">
        <v>1</v>
      </c>
      <c r="E2277">
        <v>23</v>
      </c>
      <c r="F2277" s="2">
        <v>1</v>
      </c>
      <c r="G2277">
        <v>92</v>
      </c>
      <c r="H2277">
        <v>1</v>
      </c>
      <c r="I2277">
        <v>0.1748268617791053</v>
      </c>
      <c r="J2277">
        <v>0</v>
      </c>
      <c r="K2277">
        <v>0</v>
      </c>
      <c r="L2277" s="2">
        <v>0</v>
      </c>
      <c r="M2277">
        <v>26.11</v>
      </c>
      <c r="N2277" t="s">
        <v>10236</v>
      </c>
    </row>
    <row r="2278" spans="1:14">
      <c r="A2278" t="s">
        <v>35</v>
      </c>
      <c r="B2278" t="s">
        <v>2442</v>
      </c>
      <c r="C2278">
        <f>"DN84"</f>
        <v>0</v>
      </c>
      <c r="D2278">
        <v>1</v>
      </c>
      <c r="E2278">
        <v>1</v>
      </c>
      <c r="F2278" s="2">
        <v>2</v>
      </c>
      <c r="G2278">
        <v>4</v>
      </c>
      <c r="H2278">
        <v>1</v>
      </c>
      <c r="I2278">
        <v>0.1748268617791053</v>
      </c>
      <c r="J2278">
        <v>0</v>
      </c>
      <c r="K2278">
        <v>0</v>
      </c>
      <c r="L2278" s="2">
        <v>0</v>
      </c>
      <c r="M2278">
        <v>26.12</v>
      </c>
      <c r="N2278" t="s">
        <v>10236</v>
      </c>
    </row>
    <row r="2279" spans="1:14">
      <c r="A2279" t="s">
        <v>35</v>
      </c>
      <c r="B2279" t="s">
        <v>2443</v>
      </c>
      <c r="C2279">
        <f>"KF8039G"</f>
        <v>0</v>
      </c>
      <c r="D2279">
        <v>1</v>
      </c>
      <c r="E2279">
        <v>6</v>
      </c>
      <c r="F2279" s="2">
        <v>4</v>
      </c>
      <c r="G2279">
        <v>24</v>
      </c>
      <c r="H2279">
        <v>1</v>
      </c>
      <c r="I2279">
        <v>0.1748268617791053</v>
      </c>
      <c r="J2279">
        <v>0</v>
      </c>
      <c r="K2279">
        <v>0</v>
      </c>
      <c r="L2279" s="2">
        <v>0</v>
      </c>
      <c r="M2279">
        <v>26.13</v>
      </c>
      <c r="N2279" t="s">
        <v>10236</v>
      </c>
    </row>
    <row r="2280" spans="1:14">
      <c r="A2280" t="s">
        <v>35</v>
      </c>
      <c r="B2280" t="s">
        <v>2444</v>
      </c>
      <c r="C2280">
        <f>"TQ073C"</f>
        <v>0</v>
      </c>
      <c r="D2280">
        <v>1</v>
      </c>
      <c r="E2280">
        <v>1</v>
      </c>
      <c r="F2280" s="2">
        <v>342</v>
      </c>
      <c r="G2280">
        <v>4</v>
      </c>
      <c r="H2280">
        <v>1</v>
      </c>
      <c r="I2280">
        <v>0.1748268617791053</v>
      </c>
      <c r="J2280">
        <v>0</v>
      </c>
      <c r="K2280">
        <v>0</v>
      </c>
      <c r="L2280" s="2">
        <v>0</v>
      </c>
      <c r="M2280">
        <v>26.14</v>
      </c>
      <c r="N2280" t="s">
        <v>10236</v>
      </c>
    </row>
    <row r="2281" spans="1:14">
      <c r="A2281" t="s">
        <v>35</v>
      </c>
      <c r="B2281" t="s">
        <v>2445</v>
      </c>
      <c r="C2281">
        <f>"HP111XL"</f>
        <v>0</v>
      </c>
      <c r="D2281">
        <v>1</v>
      </c>
      <c r="E2281">
        <v>2</v>
      </c>
      <c r="F2281" s="2">
        <v>3</v>
      </c>
      <c r="G2281">
        <v>8</v>
      </c>
      <c r="H2281">
        <v>1</v>
      </c>
      <c r="I2281">
        <v>0.1748268617791053</v>
      </c>
      <c r="J2281">
        <v>0</v>
      </c>
      <c r="K2281">
        <v>0</v>
      </c>
      <c r="L2281" s="2">
        <v>0</v>
      </c>
      <c r="M2281">
        <v>26.14</v>
      </c>
      <c r="N2281" t="s">
        <v>10236</v>
      </c>
    </row>
    <row r="2282" spans="1:14">
      <c r="A2282" t="s">
        <v>27</v>
      </c>
      <c r="B2282" t="s">
        <v>2446</v>
      </c>
      <c r="C2282">
        <f>"ALSC07"</f>
        <v>0</v>
      </c>
      <c r="D2282">
        <v>1</v>
      </c>
      <c r="E2282">
        <v>4</v>
      </c>
      <c r="F2282" s="2">
        <v>7</v>
      </c>
      <c r="G2282">
        <v>16</v>
      </c>
      <c r="H2282">
        <v>1</v>
      </c>
      <c r="I2282">
        <v>0.1748268617791053</v>
      </c>
      <c r="J2282">
        <v>0</v>
      </c>
      <c r="K2282">
        <v>0</v>
      </c>
      <c r="L2282" s="2">
        <v>0</v>
      </c>
      <c r="M2282">
        <v>26.15</v>
      </c>
      <c r="N2282" t="s">
        <v>10236</v>
      </c>
    </row>
    <row r="2283" spans="1:14">
      <c r="A2283" t="s">
        <v>35</v>
      </c>
      <c r="B2283" t="s">
        <v>2447</v>
      </c>
      <c r="C2283">
        <f>"HP152XLCR"</f>
        <v>0</v>
      </c>
      <c r="D2283">
        <v>1</v>
      </c>
      <c r="E2283">
        <v>7</v>
      </c>
      <c r="F2283" s="2">
        <v>5</v>
      </c>
      <c r="G2283">
        <v>28</v>
      </c>
      <c r="H2283">
        <v>1</v>
      </c>
      <c r="I2283">
        <v>0.1748268617791053</v>
      </c>
      <c r="J2283">
        <v>0</v>
      </c>
      <c r="K2283">
        <v>0</v>
      </c>
      <c r="L2283" s="2">
        <v>0</v>
      </c>
      <c r="M2283">
        <v>26.16</v>
      </c>
      <c r="N2283" t="s">
        <v>10236</v>
      </c>
    </row>
    <row r="2284" spans="1:14">
      <c r="A2284" t="s">
        <v>192</v>
      </c>
      <c r="B2284" t="s">
        <v>2448</v>
      </c>
      <c r="C2284">
        <f>"B4001"</f>
        <v>0</v>
      </c>
      <c r="D2284">
        <v>1</v>
      </c>
      <c r="E2284">
        <v>1</v>
      </c>
      <c r="F2284" s="2">
        <v>63</v>
      </c>
      <c r="G2284">
        <v>4</v>
      </c>
      <c r="H2284">
        <v>1</v>
      </c>
      <c r="I2284">
        <v>0.1748268617791053</v>
      </c>
      <c r="J2284">
        <v>0</v>
      </c>
      <c r="K2284">
        <v>0</v>
      </c>
      <c r="L2284" s="2">
        <v>0</v>
      </c>
      <c r="M2284">
        <v>26.17</v>
      </c>
      <c r="N2284" t="s">
        <v>10236</v>
      </c>
    </row>
    <row r="2285" spans="1:14">
      <c r="A2285" t="s">
        <v>30</v>
      </c>
      <c r="B2285" t="s">
        <v>2449</v>
      </c>
      <c r="C2285">
        <f>"100600"</f>
        <v>0</v>
      </c>
      <c r="D2285">
        <v>1</v>
      </c>
      <c r="E2285">
        <v>3</v>
      </c>
      <c r="F2285" s="2">
        <v>11</v>
      </c>
      <c r="G2285">
        <v>12</v>
      </c>
      <c r="H2285">
        <v>1</v>
      </c>
      <c r="I2285">
        <v>0.1748268617791053</v>
      </c>
      <c r="J2285">
        <v>0</v>
      </c>
      <c r="K2285">
        <v>0</v>
      </c>
      <c r="L2285" s="2">
        <v>0</v>
      </c>
      <c r="M2285">
        <v>26.18</v>
      </c>
      <c r="N2285" t="s">
        <v>10236</v>
      </c>
    </row>
    <row r="2286" spans="1:14">
      <c r="A2286" t="s">
        <v>29</v>
      </c>
      <c r="B2286" t="s">
        <v>2450</v>
      </c>
      <c r="C2286">
        <f>"360533"</f>
        <v>0</v>
      </c>
      <c r="D2286">
        <v>1</v>
      </c>
      <c r="E2286">
        <v>26</v>
      </c>
      <c r="F2286" s="2">
        <v>3</v>
      </c>
      <c r="G2286">
        <v>104</v>
      </c>
      <c r="H2286">
        <v>1</v>
      </c>
      <c r="I2286">
        <v>0.1748268617791053</v>
      </c>
      <c r="J2286">
        <v>0</v>
      </c>
      <c r="K2286">
        <v>0</v>
      </c>
      <c r="L2286" s="2">
        <v>0</v>
      </c>
      <c r="M2286">
        <v>26.19</v>
      </c>
      <c r="N2286" t="s">
        <v>10236</v>
      </c>
    </row>
    <row r="2287" spans="1:14">
      <c r="A2287" t="s">
        <v>35</v>
      </c>
      <c r="B2287" t="s">
        <v>2451</v>
      </c>
      <c r="C2287">
        <f>"BA046MA"</f>
        <v>0</v>
      </c>
      <c r="D2287">
        <v>1</v>
      </c>
      <c r="E2287">
        <v>1</v>
      </c>
      <c r="F2287" s="2">
        <v>945</v>
      </c>
      <c r="G2287">
        <v>4</v>
      </c>
      <c r="H2287">
        <v>1</v>
      </c>
      <c r="I2287">
        <v>0.1748268617791053</v>
      </c>
      <c r="J2287">
        <v>0</v>
      </c>
      <c r="K2287">
        <v>0</v>
      </c>
      <c r="L2287" s="2">
        <v>0</v>
      </c>
      <c r="M2287">
        <v>26.2</v>
      </c>
      <c r="N2287" t="s">
        <v>10236</v>
      </c>
    </row>
    <row r="2288" spans="1:14">
      <c r="A2288" t="s">
        <v>35</v>
      </c>
      <c r="B2288" t="s">
        <v>2452</v>
      </c>
      <c r="C2288">
        <f>"LYC08033N"</f>
        <v>0</v>
      </c>
      <c r="D2288">
        <v>1</v>
      </c>
      <c r="E2288">
        <v>1</v>
      </c>
      <c r="F2288" s="2">
        <v>20</v>
      </c>
      <c r="G2288">
        <v>4</v>
      </c>
      <c r="H2288">
        <v>1</v>
      </c>
      <c r="I2288">
        <v>0.1748268617791053</v>
      </c>
      <c r="J2288">
        <v>0</v>
      </c>
      <c r="K2288">
        <v>0</v>
      </c>
      <c r="L2288" s="2">
        <v>0</v>
      </c>
      <c r="M2288">
        <v>26.21</v>
      </c>
      <c r="N2288" t="s">
        <v>10236</v>
      </c>
    </row>
    <row r="2289" spans="1:14">
      <c r="A2289" t="s">
        <v>30</v>
      </c>
      <c r="B2289" t="s">
        <v>2453</v>
      </c>
      <c r="C2289">
        <f>"1290485672351"</f>
        <v>0</v>
      </c>
      <c r="D2289">
        <v>1</v>
      </c>
      <c r="E2289">
        <v>31</v>
      </c>
      <c r="F2289" s="2">
        <v>4</v>
      </c>
      <c r="G2289">
        <v>124</v>
      </c>
      <c r="H2289">
        <v>1</v>
      </c>
      <c r="I2289">
        <v>0.1748268617791053</v>
      </c>
      <c r="J2289">
        <v>0</v>
      </c>
      <c r="K2289">
        <v>0</v>
      </c>
      <c r="L2289" s="2">
        <v>0</v>
      </c>
      <c r="M2289">
        <v>26.22</v>
      </c>
      <c r="N2289" t="s">
        <v>10236</v>
      </c>
    </row>
    <row r="2290" spans="1:14">
      <c r="A2290" t="s">
        <v>35</v>
      </c>
      <c r="B2290" t="s">
        <v>2454</v>
      </c>
      <c r="C2290">
        <f>"MSP008ROSC"</f>
        <v>0</v>
      </c>
      <c r="D2290">
        <v>1</v>
      </c>
      <c r="E2290">
        <v>2</v>
      </c>
      <c r="F2290" s="2">
        <v>18</v>
      </c>
      <c r="G2290">
        <v>8</v>
      </c>
      <c r="H2290">
        <v>1</v>
      </c>
      <c r="I2290">
        <v>0.1748268617791053</v>
      </c>
      <c r="J2290">
        <v>0</v>
      </c>
      <c r="K2290">
        <v>0</v>
      </c>
      <c r="L2290" s="2">
        <v>0</v>
      </c>
      <c r="M2290">
        <v>26.23</v>
      </c>
      <c r="N2290" t="s">
        <v>10236</v>
      </c>
    </row>
    <row r="2291" spans="1:14">
      <c r="A2291" t="s">
        <v>25</v>
      </c>
      <c r="B2291" t="s">
        <v>2455</v>
      </c>
      <c r="C2291">
        <f>"TD05"</f>
        <v>0</v>
      </c>
      <c r="D2291">
        <v>1</v>
      </c>
      <c r="E2291">
        <v>3</v>
      </c>
      <c r="F2291" s="2">
        <v>5</v>
      </c>
      <c r="G2291">
        <v>12</v>
      </c>
      <c r="H2291">
        <v>1</v>
      </c>
      <c r="I2291">
        <v>0.1748268617791053</v>
      </c>
      <c r="J2291">
        <v>0</v>
      </c>
      <c r="K2291">
        <v>0</v>
      </c>
      <c r="L2291" s="2">
        <v>0</v>
      </c>
      <c r="M2291">
        <v>26.24</v>
      </c>
      <c r="N2291" t="s">
        <v>10236</v>
      </c>
    </row>
    <row r="2292" spans="1:14">
      <c r="A2292" t="s">
        <v>37</v>
      </c>
      <c r="B2292" t="s">
        <v>2456</v>
      </c>
      <c r="C2292">
        <f>"55213222"</f>
        <v>0</v>
      </c>
      <c r="D2292">
        <v>1</v>
      </c>
      <c r="E2292">
        <v>1</v>
      </c>
      <c r="F2292" s="2">
        <v>0</v>
      </c>
      <c r="G2292">
        <v>4</v>
      </c>
      <c r="H2292">
        <v>1</v>
      </c>
      <c r="I2292">
        <v>0.1748268617791053</v>
      </c>
      <c r="J2292">
        <v>0</v>
      </c>
      <c r="K2292">
        <v>0</v>
      </c>
      <c r="L2292" s="2">
        <v>0</v>
      </c>
      <c r="M2292">
        <v>26.25</v>
      </c>
      <c r="N2292" t="s">
        <v>10236</v>
      </c>
    </row>
    <row r="2293" spans="1:14">
      <c r="A2293" t="s">
        <v>35</v>
      </c>
      <c r="B2293" t="s">
        <v>2457</v>
      </c>
      <c r="C2293">
        <f>"LYC040541"</f>
        <v>0</v>
      </c>
      <c r="D2293">
        <v>1</v>
      </c>
      <c r="E2293">
        <v>10</v>
      </c>
      <c r="F2293" s="2">
        <v>13</v>
      </c>
      <c r="G2293">
        <v>40</v>
      </c>
      <c r="H2293">
        <v>1</v>
      </c>
      <c r="I2293">
        <v>0.1748268617791053</v>
      </c>
      <c r="J2293">
        <v>0</v>
      </c>
      <c r="K2293">
        <v>0</v>
      </c>
      <c r="L2293" s="2">
        <v>0</v>
      </c>
      <c r="M2293">
        <v>26.26</v>
      </c>
      <c r="N2293" t="s">
        <v>10236</v>
      </c>
    </row>
    <row r="2294" spans="1:14">
      <c r="A2294" t="s">
        <v>29</v>
      </c>
      <c r="B2294" t="s">
        <v>2458</v>
      </c>
      <c r="C2294">
        <f>"CA12R"</f>
        <v>0</v>
      </c>
      <c r="D2294">
        <v>1</v>
      </c>
      <c r="E2294">
        <v>263</v>
      </c>
      <c r="F2294" s="2">
        <v>0</v>
      </c>
      <c r="G2294">
        <v>1052</v>
      </c>
      <c r="H2294">
        <v>1</v>
      </c>
      <c r="I2294">
        <v>0.1748268617791053</v>
      </c>
      <c r="J2294">
        <v>0</v>
      </c>
      <c r="K2294">
        <v>0</v>
      </c>
      <c r="L2294" s="2">
        <v>0</v>
      </c>
      <c r="M2294">
        <v>26.27</v>
      </c>
      <c r="N2294" t="s">
        <v>10236</v>
      </c>
    </row>
    <row r="2295" spans="1:14">
      <c r="A2295" t="s">
        <v>29</v>
      </c>
      <c r="B2295" t="s">
        <v>2459</v>
      </c>
      <c r="C2295">
        <f>"NF003M"</f>
        <v>0</v>
      </c>
      <c r="D2295">
        <v>1</v>
      </c>
      <c r="E2295">
        <v>19</v>
      </c>
      <c r="F2295" s="2">
        <v>0</v>
      </c>
      <c r="G2295">
        <v>76</v>
      </c>
      <c r="H2295">
        <v>1</v>
      </c>
      <c r="I2295">
        <v>0.1748268617791053</v>
      </c>
      <c r="J2295">
        <v>0</v>
      </c>
      <c r="K2295">
        <v>0</v>
      </c>
      <c r="L2295" s="2">
        <v>0</v>
      </c>
      <c r="M2295">
        <v>26.27</v>
      </c>
      <c r="N2295" t="s">
        <v>10236</v>
      </c>
    </row>
    <row r="2296" spans="1:14">
      <c r="A2296" t="s">
        <v>35</v>
      </c>
      <c r="B2296" t="s">
        <v>1874</v>
      </c>
      <c r="C2296">
        <f>"PNS"</f>
        <v>0</v>
      </c>
      <c r="D2296">
        <v>1</v>
      </c>
      <c r="E2296">
        <v>5</v>
      </c>
      <c r="F2296" s="2">
        <v>2</v>
      </c>
      <c r="G2296">
        <v>20</v>
      </c>
      <c r="H2296">
        <v>1</v>
      </c>
      <c r="I2296">
        <v>0.1748268617791053</v>
      </c>
      <c r="J2296">
        <v>0</v>
      </c>
      <c r="K2296">
        <v>0</v>
      </c>
      <c r="L2296" s="2">
        <v>0</v>
      </c>
      <c r="M2296">
        <v>26.28</v>
      </c>
      <c r="N2296" t="s">
        <v>10236</v>
      </c>
    </row>
    <row r="2297" spans="1:14">
      <c r="A2297" t="s">
        <v>35</v>
      </c>
      <c r="B2297" t="s">
        <v>2460</v>
      </c>
      <c r="C2297">
        <f>"EK3002CA"</f>
        <v>0</v>
      </c>
      <c r="D2297">
        <v>1</v>
      </c>
      <c r="E2297">
        <v>3</v>
      </c>
      <c r="F2297" s="2">
        <v>1</v>
      </c>
      <c r="G2297">
        <v>12</v>
      </c>
      <c r="H2297">
        <v>1</v>
      </c>
      <c r="I2297">
        <v>0.1748268617791053</v>
      </c>
      <c r="J2297">
        <v>0</v>
      </c>
      <c r="K2297">
        <v>0</v>
      </c>
      <c r="L2297" s="2">
        <v>0</v>
      </c>
      <c r="M2297">
        <v>26.29</v>
      </c>
      <c r="N2297" t="s">
        <v>10236</v>
      </c>
    </row>
    <row r="2298" spans="1:14">
      <c r="A2298" t="s">
        <v>35</v>
      </c>
      <c r="B2298" t="s">
        <v>2461</v>
      </c>
      <c r="C2298">
        <f>"MSP008ROSO"</f>
        <v>0</v>
      </c>
      <c r="D2298">
        <v>1</v>
      </c>
      <c r="E2298">
        <v>3</v>
      </c>
      <c r="F2298" s="2">
        <v>16</v>
      </c>
      <c r="G2298">
        <v>12</v>
      </c>
      <c r="H2298">
        <v>1</v>
      </c>
      <c r="I2298">
        <v>0.1748268617791053</v>
      </c>
      <c r="J2298">
        <v>0</v>
      </c>
      <c r="K2298">
        <v>0</v>
      </c>
      <c r="L2298" s="2">
        <v>0</v>
      </c>
      <c r="M2298">
        <v>26.3</v>
      </c>
      <c r="N2298" t="s">
        <v>10236</v>
      </c>
    </row>
    <row r="2299" spans="1:14">
      <c r="A2299" t="s">
        <v>35</v>
      </c>
      <c r="B2299" t="s">
        <v>2462</v>
      </c>
      <c r="C2299">
        <f>"ER018"</f>
        <v>0</v>
      </c>
      <c r="D2299">
        <v>1</v>
      </c>
      <c r="E2299">
        <v>1</v>
      </c>
      <c r="F2299" s="2">
        <v>3</v>
      </c>
      <c r="G2299">
        <v>4</v>
      </c>
      <c r="H2299">
        <v>1</v>
      </c>
      <c r="I2299">
        <v>0.1748268617791053</v>
      </c>
      <c r="J2299">
        <v>0</v>
      </c>
      <c r="K2299">
        <v>0</v>
      </c>
      <c r="L2299" s="2">
        <v>0</v>
      </c>
      <c r="M2299">
        <v>26.31</v>
      </c>
      <c r="N2299" t="s">
        <v>10236</v>
      </c>
    </row>
    <row r="2300" spans="1:14">
      <c r="A2300" t="s">
        <v>35</v>
      </c>
      <c r="B2300" t="s">
        <v>2463</v>
      </c>
      <c r="C2300">
        <f>"D14S"</f>
        <v>0</v>
      </c>
      <c r="D2300">
        <v>1</v>
      </c>
      <c r="E2300">
        <v>2</v>
      </c>
      <c r="F2300" s="2">
        <v>4</v>
      </c>
      <c r="G2300">
        <v>8</v>
      </c>
      <c r="H2300">
        <v>1</v>
      </c>
      <c r="I2300">
        <v>0.1748268617791053</v>
      </c>
      <c r="J2300">
        <v>0</v>
      </c>
      <c r="K2300">
        <v>0</v>
      </c>
      <c r="L2300" s="2">
        <v>0</v>
      </c>
      <c r="M2300">
        <v>26.32</v>
      </c>
      <c r="N2300" t="s">
        <v>10236</v>
      </c>
    </row>
    <row r="2301" spans="1:14">
      <c r="A2301" t="s">
        <v>213</v>
      </c>
      <c r="B2301" t="s">
        <v>2464</v>
      </c>
      <c r="C2301">
        <f>"500822"</f>
        <v>0</v>
      </c>
      <c r="D2301">
        <v>1</v>
      </c>
      <c r="E2301">
        <v>1</v>
      </c>
      <c r="F2301" s="2">
        <v>6</v>
      </c>
      <c r="G2301">
        <v>4</v>
      </c>
      <c r="H2301">
        <v>1</v>
      </c>
      <c r="I2301">
        <v>0.1748268617791053</v>
      </c>
      <c r="J2301">
        <v>0</v>
      </c>
      <c r="K2301">
        <v>0</v>
      </c>
      <c r="L2301" s="2">
        <v>0</v>
      </c>
      <c r="M2301">
        <v>26.33</v>
      </c>
      <c r="N2301" t="s">
        <v>10236</v>
      </c>
    </row>
    <row r="2302" spans="1:14">
      <c r="A2302" t="s">
        <v>214</v>
      </c>
      <c r="B2302" t="s">
        <v>2465</v>
      </c>
      <c r="C2302">
        <f>"60474"</f>
        <v>0</v>
      </c>
      <c r="D2302">
        <v>1</v>
      </c>
      <c r="E2302">
        <v>1</v>
      </c>
      <c r="F2302" s="2">
        <v>4</v>
      </c>
      <c r="G2302">
        <v>4</v>
      </c>
      <c r="H2302">
        <v>1</v>
      </c>
      <c r="I2302">
        <v>0.1748268617791053</v>
      </c>
      <c r="J2302">
        <v>0</v>
      </c>
      <c r="K2302">
        <v>0</v>
      </c>
      <c r="L2302" s="2">
        <v>0</v>
      </c>
      <c r="M2302">
        <v>26.34</v>
      </c>
      <c r="N2302" t="s">
        <v>10236</v>
      </c>
    </row>
    <row r="2303" spans="1:14">
      <c r="A2303" t="s">
        <v>26</v>
      </c>
      <c r="B2303" t="s">
        <v>2466</v>
      </c>
      <c r="C2303">
        <f>"NA3KG"</f>
        <v>0</v>
      </c>
      <c r="D2303">
        <v>1</v>
      </c>
      <c r="E2303">
        <v>10</v>
      </c>
      <c r="F2303" s="2">
        <v>6</v>
      </c>
      <c r="G2303">
        <v>40</v>
      </c>
      <c r="H2303">
        <v>1</v>
      </c>
      <c r="I2303">
        <v>0.1748268617791053</v>
      </c>
      <c r="J2303">
        <v>0</v>
      </c>
      <c r="K2303">
        <v>0</v>
      </c>
      <c r="L2303" s="2">
        <v>0</v>
      </c>
      <c r="M2303">
        <v>26.35</v>
      </c>
      <c r="N2303" t="s">
        <v>10236</v>
      </c>
    </row>
    <row r="2304" spans="1:14">
      <c r="A2304" t="s">
        <v>30</v>
      </c>
      <c r="B2304" t="s">
        <v>2467</v>
      </c>
      <c r="C2304">
        <f>"100028"</f>
        <v>0</v>
      </c>
      <c r="D2304">
        <v>1</v>
      </c>
      <c r="E2304">
        <v>3</v>
      </c>
      <c r="F2304" s="2">
        <v>11</v>
      </c>
      <c r="G2304">
        <v>12</v>
      </c>
      <c r="H2304">
        <v>1</v>
      </c>
      <c r="I2304">
        <v>0.1748268617791053</v>
      </c>
      <c r="J2304">
        <v>0</v>
      </c>
      <c r="K2304">
        <v>0</v>
      </c>
      <c r="L2304" s="2">
        <v>0</v>
      </c>
      <c r="M2304">
        <v>26.36</v>
      </c>
      <c r="N2304" t="s">
        <v>10236</v>
      </c>
    </row>
    <row r="2305" spans="1:14">
      <c r="A2305" t="s">
        <v>35</v>
      </c>
      <c r="B2305" t="s">
        <v>2468</v>
      </c>
      <c r="C2305">
        <f>"92804RXL"</f>
        <v>0</v>
      </c>
      <c r="D2305">
        <v>1</v>
      </c>
      <c r="E2305">
        <v>3</v>
      </c>
      <c r="F2305" s="2">
        <v>17</v>
      </c>
      <c r="G2305">
        <v>12</v>
      </c>
      <c r="H2305">
        <v>1</v>
      </c>
      <c r="I2305">
        <v>0.1748268617791053</v>
      </c>
      <c r="J2305">
        <v>0</v>
      </c>
      <c r="K2305">
        <v>0</v>
      </c>
      <c r="L2305" s="2">
        <v>0</v>
      </c>
      <c r="M2305">
        <v>26.37</v>
      </c>
      <c r="N2305" t="s">
        <v>10236</v>
      </c>
    </row>
    <row r="2306" spans="1:14">
      <c r="A2306" t="s">
        <v>35</v>
      </c>
      <c r="B2306" t="s">
        <v>2469</v>
      </c>
      <c r="C2306">
        <f>"HH088MV"</f>
        <v>0</v>
      </c>
      <c r="D2306">
        <v>1</v>
      </c>
      <c r="E2306">
        <v>2</v>
      </c>
      <c r="F2306" s="2">
        <v>9</v>
      </c>
      <c r="G2306">
        <v>8</v>
      </c>
      <c r="H2306">
        <v>1</v>
      </c>
      <c r="I2306">
        <v>0.1748268617791053</v>
      </c>
      <c r="J2306">
        <v>0</v>
      </c>
      <c r="K2306">
        <v>0</v>
      </c>
      <c r="L2306" s="2">
        <v>0</v>
      </c>
      <c r="M2306">
        <v>26.38</v>
      </c>
      <c r="N2306" t="s">
        <v>10236</v>
      </c>
    </row>
    <row r="2307" spans="1:14">
      <c r="A2307" t="s">
        <v>35</v>
      </c>
      <c r="B2307" t="s">
        <v>2470</v>
      </c>
      <c r="C2307">
        <f>"TP50L"</f>
        <v>0</v>
      </c>
      <c r="D2307">
        <v>1</v>
      </c>
      <c r="E2307">
        <v>4</v>
      </c>
      <c r="F2307" s="2">
        <v>7</v>
      </c>
      <c r="G2307">
        <v>16</v>
      </c>
      <c r="H2307">
        <v>1</v>
      </c>
      <c r="I2307">
        <v>0.1748268617791053</v>
      </c>
      <c r="J2307">
        <v>0</v>
      </c>
      <c r="K2307">
        <v>0</v>
      </c>
      <c r="L2307" s="2">
        <v>0</v>
      </c>
      <c r="M2307">
        <v>26.39</v>
      </c>
      <c r="N2307" t="s">
        <v>10236</v>
      </c>
    </row>
    <row r="2308" spans="1:14">
      <c r="A2308" t="s">
        <v>29</v>
      </c>
      <c r="B2308" t="s">
        <v>2471</v>
      </c>
      <c r="C2308">
        <f>"PMN100"</f>
        <v>0</v>
      </c>
      <c r="D2308">
        <v>1</v>
      </c>
      <c r="E2308">
        <v>1</v>
      </c>
      <c r="F2308" s="2">
        <v>4</v>
      </c>
      <c r="G2308">
        <v>4</v>
      </c>
      <c r="H2308">
        <v>1</v>
      </c>
      <c r="I2308">
        <v>0.1748268617791053</v>
      </c>
      <c r="J2308">
        <v>0</v>
      </c>
      <c r="K2308">
        <v>0</v>
      </c>
      <c r="L2308" s="2">
        <v>0</v>
      </c>
      <c r="M2308">
        <v>26.39</v>
      </c>
      <c r="N2308" t="s">
        <v>10236</v>
      </c>
    </row>
    <row r="2309" spans="1:14">
      <c r="A2309" t="s">
        <v>35</v>
      </c>
      <c r="B2309" t="s">
        <v>2472</v>
      </c>
      <c r="C2309">
        <f>"DB821VCM"</f>
        <v>0</v>
      </c>
      <c r="D2309">
        <v>1</v>
      </c>
      <c r="E2309">
        <v>3</v>
      </c>
      <c r="F2309" s="2">
        <v>9</v>
      </c>
      <c r="G2309">
        <v>12</v>
      </c>
      <c r="H2309">
        <v>1</v>
      </c>
      <c r="I2309">
        <v>0.1748268617791053</v>
      </c>
      <c r="J2309">
        <v>0</v>
      </c>
      <c r="K2309">
        <v>0</v>
      </c>
      <c r="L2309" s="2">
        <v>0</v>
      </c>
      <c r="M2309">
        <v>26.4</v>
      </c>
      <c r="N2309" t="s">
        <v>10236</v>
      </c>
    </row>
    <row r="2310" spans="1:14">
      <c r="A2310" t="s">
        <v>35</v>
      </c>
      <c r="B2310" t="s">
        <v>2473</v>
      </c>
      <c r="C2310">
        <f>"WPS287NA"</f>
        <v>0</v>
      </c>
      <c r="D2310">
        <v>1</v>
      </c>
      <c r="E2310">
        <v>1</v>
      </c>
      <c r="F2310" s="2">
        <v>2</v>
      </c>
      <c r="G2310">
        <v>4</v>
      </c>
      <c r="H2310">
        <v>1</v>
      </c>
      <c r="I2310">
        <v>0.1748268617791053</v>
      </c>
      <c r="J2310">
        <v>0</v>
      </c>
      <c r="K2310">
        <v>0</v>
      </c>
      <c r="L2310" s="2">
        <v>0</v>
      </c>
      <c r="M2310">
        <v>26.41</v>
      </c>
      <c r="N2310" t="s">
        <v>10236</v>
      </c>
    </row>
    <row r="2311" spans="1:14">
      <c r="A2311" t="s">
        <v>24</v>
      </c>
      <c r="B2311" t="s">
        <v>2474</v>
      </c>
      <c r="C2311">
        <f>"1569001"</f>
        <v>0</v>
      </c>
      <c r="D2311">
        <v>1</v>
      </c>
      <c r="E2311">
        <v>5</v>
      </c>
      <c r="F2311" s="2">
        <v>5</v>
      </c>
      <c r="G2311">
        <v>20</v>
      </c>
      <c r="H2311">
        <v>1</v>
      </c>
      <c r="I2311">
        <v>0.1748268617791053</v>
      </c>
      <c r="J2311">
        <v>0</v>
      </c>
      <c r="K2311">
        <v>0</v>
      </c>
      <c r="L2311" s="2">
        <v>0</v>
      </c>
      <c r="M2311">
        <v>26.42</v>
      </c>
      <c r="N2311" t="s">
        <v>10236</v>
      </c>
    </row>
    <row r="2312" spans="1:14">
      <c r="A2312" t="s">
        <v>35</v>
      </c>
      <c r="B2312" t="s">
        <v>2475</v>
      </c>
      <c r="C2312">
        <f>"DC3102C"</f>
        <v>0</v>
      </c>
      <c r="D2312">
        <v>1</v>
      </c>
      <c r="E2312">
        <v>7</v>
      </c>
      <c r="F2312" s="2">
        <v>3</v>
      </c>
      <c r="G2312">
        <v>28</v>
      </c>
      <c r="H2312">
        <v>1</v>
      </c>
      <c r="I2312">
        <v>0.1748268617791053</v>
      </c>
      <c r="J2312">
        <v>0</v>
      </c>
      <c r="K2312">
        <v>0</v>
      </c>
      <c r="L2312" s="2">
        <v>0</v>
      </c>
      <c r="M2312">
        <v>26.43</v>
      </c>
      <c r="N2312" t="s">
        <v>10236</v>
      </c>
    </row>
    <row r="2313" spans="1:14">
      <c r="A2313" t="s">
        <v>35</v>
      </c>
      <c r="B2313" t="s">
        <v>2476</v>
      </c>
      <c r="C2313">
        <f>"CT455"</f>
        <v>0</v>
      </c>
      <c r="D2313">
        <v>1</v>
      </c>
      <c r="E2313">
        <v>1</v>
      </c>
      <c r="F2313" s="2">
        <v>675</v>
      </c>
      <c r="G2313">
        <v>4</v>
      </c>
      <c r="H2313">
        <v>1</v>
      </c>
      <c r="I2313">
        <v>0.1748268617791053</v>
      </c>
      <c r="J2313">
        <v>0</v>
      </c>
      <c r="K2313">
        <v>0</v>
      </c>
      <c r="L2313" s="2">
        <v>0</v>
      </c>
      <c r="M2313">
        <v>26.44</v>
      </c>
      <c r="N2313" t="s">
        <v>10236</v>
      </c>
    </row>
    <row r="2314" spans="1:14">
      <c r="A2314" t="s">
        <v>25</v>
      </c>
      <c r="B2314" t="s">
        <v>2477</v>
      </c>
      <c r="C2314">
        <f>"6765064"</f>
        <v>0</v>
      </c>
      <c r="D2314">
        <v>1</v>
      </c>
      <c r="E2314">
        <v>1</v>
      </c>
      <c r="F2314" s="2">
        <v>2</v>
      </c>
      <c r="G2314">
        <v>4</v>
      </c>
      <c r="H2314">
        <v>1</v>
      </c>
      <c r="I2314">
        <v>0.1748268617791053</v>
      </c>
      <c r="J2314">
        <v>0</v>
      </c>
      <c r="K2314">
        <v>0</v>
      </c>
      <c r="L2314" s="2">
        <v>0</v>
      </c>
      <c r="M2314">
        <v>26.45</v>
      </c>
      <c r="N2314" t="s">
        <v>10236</v>
      </c>
    </row>
    <row r="2315" spans="1:14">
      <c r="A2315" t="s">
        <v>29</v>
      </c>
      <c r="B2315" t="s">
        <v>2478</v>
      </c>
      <c r="C2315">
        <f>"34064"</f>
        <v>0</v>
      </c>
      <c r="D2315">
        <v>1</v>
      </c>
      <c r="E2315">
        <v>3</v>
      </c>
      <c r="F2315" s="2">
        <v>4</v>
      </c>
      <c r="G2315">
        <v>12</v>
      </c>
      <c r="H2315">
        <v>1</v>
      </c>
      <c r="I2315">
        <v>0.1748268617791053</v>
      </c>
      <c r="J2315">
        <v>0</v>
      </c>
      <c r="K2315">
        <v>0</v>
      </c>
      <c r="L2315" s="2">
        <v>0</v>
      </c>
      <c r="M2315">
        <v>26.46</v>
      </c>
      <c r="N2315" t="s">
        <v>10236</v>
      </c>
    </row>
    <row r="2316" spans="1:14">
      <c r="A2316" t="s">
        <v>35</v>
      </c>
      <c r="B2316" t="s">
        <v>2479</v>
      </c>
      <c r="C2316">
        <f>"XB1813NM"</f>
        <v>0</v>
      </c>
      <c r="D2316">
        <v>1</v>
      </c>
      <c r="E2316">
        <v>2</v>
      </c>
      <c r="F2316" s="2">
        <v>8</v>
      </c>
      <c r="G2316">
        <v>8</v>
      </c>
      <c r="H2316">
        <v>1</v>
      </c>
      <c r="I2316">
        <v>0.1748268617791053</v>
      </c>
      <c r="J2316">
        <v>0</v>
      </c>
      <c r="K2316">
        <v>0</v>
      </c>
      <c r="L2316" s="2">
        <v>0</v>
      </c>
      <c r="M2316">
        <v>26.47</v>
      </c>
      <c r="N2316" t="s">
        <v>10236</v>
      </c>
    </row>
    <row r="2317" spans="1:14">
      <c r="A2317" t="s">
        <v>35</v>
      </c>
      <c r="B2317" t="s">
        <v>2480</v>
      </c>
      <c r="C2317">
        <f>"1250"</f>
        <v>0</v>
      </c>
      <c r="D2317">
        <v>1</v>
      </c>
      <c r="E2317">
        <v>1</v>
      </c>
      <c r="F2317" s="2">
        <v>36</v>
      </c>
      <c r="G2317">
        <v>4</v>
      </c>
      <c r="H2317">
        <v>1</v>
      </c>
      <c r="I2317">
        <v>0.1748268617791053</v>
      </c>
      <c r="J2317">
        <v>0</v>
      </c>
      <c r="K2317">
        <v>0</v>
      </c>
      <c r="L2317" s="2">
        <v>0</v>
      </c>
      <c r="M2317">
        <v>26.48</v>
      </c>
      <c r="N2317" t="s">
        <v>10236</v>
      </c>
    </row>
    <row r="2318" spans="1:14">
      <c r="A2318" t="s">
        <v>25</v>
      </c>
      <c r="B2318" t="s">
        <v>2481</v>
      </c>
      <c r="C2318">
        <f>"BEP21T"</f>
        <v>0</v>
      </c>
      <c r="D2318">
        <v>1</v>
      </c>
      <c r="E2318">
        <v>1</v>
      </c>
      <c r="F2318" s="2">
        <v>0</v>
      </c>
      <c r="G2318">
        <v>4</v>
      </c>
      <c r="H2318">
        <v>1</v>
      </c>
      <c r="I2318">
        <v>0.1748268617791053</v>
      </c>
      <c r="J2318">
        <v>0</v>
      </c>
      <c r="K2318">
        <v>0</v>
      </c>
      <c r="L2318" s="2">
        <v>0</v>
      </c>
      <c r="M2318">
        <v>26.49</v>
      </c>
      <c r="N2318" t="s">
        <v>10236</v>
      </c>
    </row>
    <row r="2319" spans="1:14">
      <c r="A2319" t="s">
        <v>35</v>
      </c>
      <c r="B2319" t="s">
        <v>2482</v>
      </c>
      <c r="C2319">
        <f>"XB1813AZXL"</f>
        <v>0</v>
      </c>
      <c r="D2319">
        <v>1</v>
      </c>
      <c r="E2319">
        <v>3</v>
      </c>
      <c r="F2319" s="2">
        <v>8</v>
      </c>
      <c r="G2319">
        <v>12</v>
      </c>
      <c r="H2319">
        <v>1</v>
      </c>
      <c r="I2319">
        <v>0.1748268617791053</v>
      </c>
      <c r="J2319">
        <v>0</v>
      </c>
      <c r="K2319">
        <v>0</v>
      </c>
      <c r="L2319" s="2">
        <v>0</v>
      </c>
      <c r="M2319">
        <v>26.5</v>
      </c>
      <c r="N2319" t="s">
        <v>10236</v>
      </c>
    </row>
    <row r="2320" spans="1:14">
      <c r="A2320" t="s">
        <v>35</v>
      </c>
      <c r="B2320" t="s">
        <v>2483</v>
      </c>
      <c r="C2320">
        <f>"HD23S"</f>
        <v>0</v>
      </c>
      <c r="D2320">
        <v>1</v>
      </c>
      <c r="E2320">
        <v>3</v>
      </c>
      <c r="F2320" s="2">
        <v>3</v>
      </c>
      <c r="G2320">
        <v>12</v>
      </c>
      <c r="H2320">
        <v>1</v>
      </c>
      <c r="I2320">
        <v>0.1748268617791053</v>
      </c>
      <c r="J2320">
        <v>0</v>
      </c>
      <c r="K2320">
        <v>0</v>
      </c>
      <c r="L2320" s="2">
        <v>0</v>
      </c>
      <c r="M2320">
        <v>26.51</v>
      </c>
      <c r="N2320" t="s">
        <v>10236</v>
      </c>
    </row>
    <row r="2321" spans="1:14">
      <c r="A2321" t="s">
        <v>214</v>
      </c>
      <c r="B2321" t="s">
        <v>2484</v>
      </c>
      <c r="C2321">
        <f>"61441"</f>
        <v>0</v>
      </c>
      <c r="D2321">
        <v>1</v>
      </c>
      <c r="E2321">
        <v>2</v>
      </c>
      <c r="F2321" s="2">
        <v>1</v>
      </c>
      <c r="G2321">
        <v>8</v>
      </c>
      <c r="H2321">
        <v>1</v>
      </c>
      <c r="I2321">
        <v>0.1748268617791053</v>
      </c>
      <c r="J2321">
        <v>0</v>
      </c>
      <c r="K2321">
        <v>0</v>
      </c>
      <c r="L2321" s="2">
        <v>0</v>
      </c>
      <c r="M2321">
        <v>26.52</v>
      </c>
      <c r="N2321" t="s">
        <v>10236</v>
      </c>
    </row>
    <row r="2322" spans="1:14">
      <c r="A2322" t="s">
        <v>194</v>
      </c>
      <c r="B2322" t="s">
        <v>2485</v>
      </c>
      <c r="C2322">
        <f>"113151"</f>
        <v>0</v>
      </c>
      <c r="D2322">
        <v>1</v>
      </c>
      <c r="E2322">
        <v>1</v>
      </c>
      <c r="F2322" s="2">
        <v>15</v>
      </c>
      <c r="G2322">
        <v>4</v>
      </c>
      <c r="H2322">
        <v>1</v>
      </c>
      <c r="I2322">
        <v>0.1748268617791053</v>
      </c>
      <c r="J2322">
        <v>0</v>
      </c>
      <c r="K2322">
        <v>0</v>
      </c>
      <c r="L2322" s="2">
        <v>0</v>
      </c>
      <c r="M2322">
        <v>26.52</v>
      </c>
      <c r="N2322" t="s">
        <v>10236</v>
      </c>
    </row>
    <row r="2323" spans="1:14">
      <c r="A2323" t="s">
        <v>32</v>
      </c>
      <c r="B2323" t="s">
        <v>2486</v>
      </c>
      <c r="C2323">
        <f>"1012942"</f>
        <v>0</v>
      </c>
      <c r="D2323">
        <v>1</v>
      </c>
      <c r="E2323">
        <v>4</v>
      </c>
      <c r="F2323" s="2">
        <v>2</v>
      </c>
      <c r="G2323">
        <v>16</v>
      </c>
      <c r="H2323">
        <v>1</v>
      </c>
      <c r="I2323">
        <v>0.1748268617791053</v>
      </c>
      <c r="J2323">
        <v>0</v>
      </c>
      <c r="K2323">
        <v>0</v>
      </c>
      <c r="L2323" s="2">
        <v>0</v>
      </c>
      <c r="M2323">
        <v>26.53</v>
      </c>
      <c r="N2323" t="s">
        <v>10236</v>
      </c>
    </row>
    <row r="2324" spans="1:14">
      <c r="A2324" t="s">
        <v>35</v>
      </c>
      <c r="B2324" t="s">
        <v>2487</v>
      </c>
      <c r="C2324">
        <f>"FURMLP"</f>
        <v>0</v>
      </c>
      <c r="D2324">
        <v>1</v>
      </c>
      <c r="E2324">
        <v>17</v>
      </c>
      <c r="F2324" s="2">
        <v>4</v>
      </c>
      <c r="G2324">
        <v>68</v>
      </c>
      <c r="H2324">
        <v>1</v>
      </c>
      <c r="I2324">
        <v>0.1748268617791053</v>
      </c>
      <c r="J2324">
        <v>0</v>
      </c>
      <c r="K2324">
        <v>0</v>
      </c>
      <c r="L2324" s="2">
        <v>0</v>
      </c>
      <c r="M2324">
        <v>26.54</v>
      </c>
      <c r="N2324" t="s">
        <v>10236</v>
      </c>
    </row>
    <row r="2325" spans="1:14">
      <c r="A2325" t="s">
        <v>35</v>
      </c>
      <c r="B2325" t="s">
        <v>2488</v>
      </c>
      <c r="C2325">
        <f>"COO2841S"</f>
        <v>0</v>
      </c>
      <c r="D2325">
        <v>1</v>
      </c>
      <c r="E2325">
        <v>4</v>
      </c>
      <c r="F2325" s="2">
        <v>14</v>
      </c>
      <c r="G2325">
        <v>16</v>
      </c>
      <c r="H2325">
        <v>1</v>
      </c>
      <c r="I2325">
        <v>0.1748268617791053</v>
      </c>
      <c r="J2325">
        <v>0</v>
      </c>
      <c r="K2325">
        <v>0</v>
      </c>
      <c r="L2325" s="2">
        <v>0</v>
      </c>
      <c r="M2325">
        <v>26.55</v>
      </c>
      <c r="N2325" t="s">
        <v>10236</v>
      </c>
    </row>
    <row r="2326" spans="1:14">
      <c r="A2326" t="s">
        <v>29</v>
      </c>
      <c r="B2326" t="s">
        <v>2489</v>
      </c>
      <c r="C2326">
        <f>"33125"</f>
        <v>0</v>
      </c>
      <c r="D2326">
        <v>1</v>
      </c>
      <c r="E2326">
        <v>1</v>
      </c>
      <c r="F2326" s="2">
        <v>6</v>
      </c>
      <c r="G2326">
        <v>4</v>
      </c>
      <c r="H2326">
        <v>1</v>
      </c>
      <c r="I2326">
        <v>0.1748268617791053</v>
      </c>
      <c r="J2326">
        <v>0</v>
      </c>
      <c r="K2326">
        <v>0</v>
      </c>
      <c r="L2326" s="2">
        <v>0</v>
      </c>
      <c r="M2326">
        <v>26.56</v>
      </c>
      <c r="N2326" t="s">
        <v>10236</v>
      </c>
    </row>
    <row r="2327" spans="1:14">
      <c r="A2327" t="s">
        <v>196</v>
      </c>
      <c r="B2327" t="s">
        <v>2490</v>
      </c>
      <c r="C2327">
        <f>"2293"</f>
        <v>0</v>
      </c>
      <c r="D2327">
        <v>1</v>
      </c>
      <c r="E2327">
        <v>1</v>
      </c>
      <c r="F2327" s="2">
        <v>3</v>
      </c>
      <c r="G2327">
        <v>4</v>
      </c>
      <c r="H2327">
        <v>1</v>
      </c>
      <c r="I2327">
        <v>0.1748268617791053</v>
      </c>
      <c r="J2327">
        <v>0</v>
      </c>
      <c r="K2327">
        <v>0</v>
      </c>
      <c r="L2327" s="2">
        <v>0</v>
      </c>
      <c r="M2327">
        <v>26.57</v>
      </c>
      <c r="N2327" t="s">
        <v>10236</v>
      </c>
    </row>
    <row r="2328" spans="1:14">
      <c r="A2328" t="s">
        <v>35</v>
      </c>
      <c r="B2328" t="s">
        <v>2491</v>
      </c>
      <c r="C2328">
        <f>"MQ080807MN"</f>
        <v>0</v>
      </c>
      <c r="D2328">
        <v>1</v>
      </c>
      <c r="E2328">
        <v>14</v>
      </c>
      <c r="F2328" s="2">
        <v>8</v>
      </c>
      <c r="G2328">
        <v>56</v>
      </c>
      <c r="H2328">
        <v>1</v>
      </c>
      <c r="I2328">
        <v>0.1748268617791053</v>
      </c>
      <c r="J2328">
        <v>0</v>
      </c>
      <c r="K2328">
        <v>0</v>
      </c>
      <c r="L2328" s="2">
        <v>0</v>
      </c>
      <c r="M2328">
        <v>26.58</v>
      </c>
      <c r="N2328" t="s">
        <v>10236</v>
      </c>
    </row>
    <row r="2329" spans="1:14">
      <c r="A2329" t="s">
        <v>25</v>
      </c>
      <c r="B2329" t="s">
        <v>2492</v>
      </c>
      <c r="C2329">
        <f>"6765125"</f>
        <v>0</v>
      </c>
      <c r="D2329">
        <v>1</v>
      </c>
      <c r="E2329">
        <v>10</v>
      </c>
      <c r="F2329" s="2">
        <v>1</v>
      </c>
      <c r="G2329">
        <v>40</v>
      </c>
      <c r="H2329">
        <v>1</v>
      </c>
      <c r="I2329">
        <v>0.1748268617791053</v>
      </c>
      <c r="J2329">
        <v>0</v>
      </c>
      <c r="K2329">
        <v>0</v>
      </c>
      <c r="L2329" s="2">
        <v>0</v>
      </c>
      <c r="M2329">
        <v>26.59</v>
      </c>
      <c r="N2329" t="s">
        <v>10236</v>
      </c>
    </row>
    <row r="2330" spans="1:14">
      <c r="A2330" t="s">
        <v>35</v>
      </c>
      <c r="B2330" t="s">
        <v>2493</v>
      </c>
      <c r="C2330">
        <f>"MQ080807XLN"</f>
        <v>0</v>
      </c>
      <c r="D2330">
        <v>1</v>
      </c>
      <c r="E2330">
        <v>11</v>
      </c>
      <c r="F2330" s="2">
        <v>9</v>
      </c>
      <c r="G2330">
        <v>44</v>
      </c>
      <c r="H2330">
        <v>1</v>
      </c>
      <c r="I2330">
        <v>0.1748268617791053</v>
      </c>
      <c r="J2330">
        <v>0</v>
      </c>
      <c r="K2330">
        <v>0</v>
      </c>
      <c r="L2330" s="2">
        <v>0</v>
      </c>
      <c r="M2330">
        <v>26.6</v>
      </c>
      <c r="N2330" t="s">
        <v>10236</v>
      </c>
    </row>
    <row r="2331" spans="1:14">
      <c r="A2331" t="s">
        <v>32</v>
      </c>
      <c r="B2331" t="s">
        <v>2494</v>
      </c>
      <c r="C2331">
        <f>"1012928"</f>
        <v>0</v>
      </c>
      <c r="D2331">
        <v>1</v>
      </c>
      <c r="E2331">
        <v>1</v>
      </c>
      <c r="F2331" s="2">
        <v>2</v>
      </c>
      <c r="G2331">
        <v>4</v>
      </c>
      <c r="H2331">
        <v>1</v>
      </c>
      <c r="I2331">
        <v>0.1748268617791053</v>
      </c>
      <c r="J2331">
        <v>0</v>
      </c>
      <c r="K2331">
        <v>0</v>
      </c>
      <c r="L2331" s="2">
        <v>0</v>
      </c>
      <c r="M2331">
        <v>26.61</v>
      </c>
      <c r="N2331" t="s">
        <v>10236</v>
      </c>
    </row>
    <row r="2332" spans="1:14">
      <c r="A2332" t="s">
        <v>35</v>
      </c>
      <c r="B2332" t="s">
        <v>2495</v>
      </c>
      <c r="C2332">
        <f>"10214"</f>
        <v>0</v>
      </c>
      <c r="D2332">
        <v>1</v>
      </c>
      <c r="E2332">
        <v>1</v>
      </c>
      <c r="F2332" s="2">
        <v>49</v>
      </c>
      <c r="G2332">
        <v>4</v>
      </c>
      <c r="H2332">
        <v>1</v>
      </c>
      <c r="I2332">
        <v>0.1748268617791053</v>
      </c>
      <c r="J2332">
        <v>0</v>
      </c>
      <c r="K2332">
        <v>0</v>
      </c>
      <c r="L2332" s="2">
        <v>0</v>
      </c>
      <c r="M2332">
        <v>26.62</v>
      </c>
      <c r="N2332" t="s">
        <v>10236</v>
      </c>
    </row>
    <row r="2333" spans="1:14">
      <c r="A2333" t="s">
        <v>35</v>
      </c>
      <c r="B2333" t="s">
        <v>2496</v>
      </c>
      <c r="C2333">
        <f>"ER193"</f>
        <v>0</v>
      </c>
      <c r="D2333">
        <v>1</v>
      </c>
      <c r="E2333">
        <v>1</v>
      </c>
      <c r="F2333" s="2">
        <v>7</v>
      </c>
      <c r="G2333">
        <v>4</v>
      </c>
      <c r="H2333">
        <v>1</v>
      </c>
      <c r="I2333">
        <v>0.1748268617791053</v>
      </c>
      <c r="J2333">
        <v>0</v>
      </c>
      <c r="K2333">
        <v>0</v>
      </c>
      <c r="L2333" s="2">
        <v>0</v>
      </c>
      <c r="M2333">
        <v>26.63</v>
      </c>
      <c r="N2333" t="s">
        <v>10236</v>
      </c>
    </row>
    <row r="2334" spans="1:14">
      <c r="A2334" t="s">
        <v>35</v>
      </c>
      <c r="B2334" t="s">
        <v>2497</v>
      </c>
      <c r="C2334">
        <f>"KHSG0077"</f>
        <v>0</v>
      </c>
      <c r="D2334">
        <v>1</v>
      </c>
      <c r="E2334">
        <v>10</v>
      </c>
      <c r="F2334" s="2">
        <v>1</v>
      </c>
      <c r="G2334">
        <v>40</v>
      </c>
      <c r="H2334">
        <v>1</v>
      </c>
      <c r="I2334">
        <v>0.1748268617791053</v>
      </c>
      <c r="J2334">
        <v>0</v>
      </c>
      <c r="K2334">
        <v>0</v>
      </c>
      <c r="L2334" s="2">
        <v>0</v>
      </c>
      <c r="M2334">
        <v>26.64</v>
      </c>
      <c r="N2334" t="s">
        <v>10236</v>
      </c>
    </row>
    <row r="2335" spans="1:14">
      <c r="A2335" t="s">
        <v>35</v>
      </c>
      <c r="B2335" t="s">
        <v>2498</v>
      </c>
      <c r="C2335">
        <f>"PT120"</f>
        <v>0</v>
      </c>
      <c r="D2335">
        <v>1</v>
      </c>
      <c r="E2335">
        <v>2</v>
      </c>
      <c r="F2335" s="2">
        <v>417</v>
      </c>
      <c r="G2335">
        <v>8</v>
      </c>
      <c r="H2335">
        <v>1</v>
      </c>
      <c r="I2335">
        <v>0.1748268617791053</v>
      </c>
      <c r="J2335">
        <v>0</v>
      </c>
      <c r="K2335">
        <v>0</v>
      </c>
      <c r="L2335" s="2">
        <v>0</v>
      </c>
      <c r="M2335">
        <v>26.64</v>
      </c>
      <c r="N2335" t="s">
        <v>10236</v>
      </c>
    </row>
    <row r="2336" spans="1:14">
      <c r="A2336" t="s">
        <v>25</v>
      </c>
      <c r="B2336" t="s">
        <v>2499</v>
      </c>
      <c r="C2336">
        <f>"S102GR"</f>
        <v>0</v>
      </c>
      <c r="D2336">
        <v>1</v>
      </c>
      <c r="E2336">
        <v>1</v>
      </c>
      <c r="F2336" s="2">
        <v>6</v>
      </c>
      <c r="G2336">
        <v>4</v>
      </c>
      <c r="H2336">
        <v>1</v>
      </c>
      <c r="I2336">
        <v>0.1748268617791053</v>
      </c>
      <c r="J2336">
        <v>0</v>
      </c>
      <c r="K2336">
        <v>0</v>
      </c>
      <c r="L2336" s="2">
        <v>0</v>
      </c>
      <c r="M2336">
        <v>26.65</v>
      </c>
      <c r="N2336" t="s">
        <v>10236</v>
      </c>
    </row>
    <row r="2337" spans="1:14">
      <c r="A2337" t="s">
        <v>25</v>
      </c>
      <c r="B2337" t="s">
        <v>2500</v>
      </c>
      <c r="C2337">
        <f>"S102FU"</f>
        <v>0</v>
      </c>
      <c r="D2337">
        <v>1</v>
      </c>
      <c r="E2337">
        <v>2</v>
      </c>
      <c r="F2337" s="2">
        <v>6</v>
      </c>
      <c r="G2337">
        <v>8</v>
      </c>
      <c r="H2337">
        <v>1</v>
      </c>
      <c r="I2337">
        <v>0.1748268617791053</v>
      </c>
      <c r="J2337">
        <v>0</v>
      </c>
      <c r="K2337">
        <v>0</v>
      </c>
      <c r="L2337" s="2">
        <v>0</v>
      </c>
      <c r="M2337">
        <v>26.66</v>
      </c>
      <c r="N2337" t="s">
        <v>10236</v>
      </c>
    </row>
    <row r="2338" spans="1:14">
      <c r="A2338" t="s">
        <v>35</v>
      </c>
      <c r="B2338" t="s">
        <v>2501</v>
      </c>
      <c r="C2338">
        <f>"HDD177COLA"</f>
        <v>0</v>
      </c>
      <c r="D2338">
        <v>1</v>
      </c>
      <c r="E2338">
        <v>1</v>
      </c>
      <c r="F2338" s="2">
        <v>270</v>
      </c>
      <c r="G2338">
        <v>4</v>
      </c>
      <c r="H2338">
        <v>1</v>
      </c>
      <c r="I2338">
        <v>0.1748268617791053</v>
      </c>
      <c r="J2338">
        <v>0</v>
      </c>
      <c r="K2338">
        <v>0</v>
      </c>
      <c r="L2338" s="2">
        <v>0</v>
      </c>
      <c r="M2338">
        <v>26.67</v>
      </c>
      <c r="N2338" t="s">
        <v>10236</v>
      </c>
    </row>
    <row r="2339" spans="1:14">
      <c r="A2339" t="s">
        <v>35</v>
      </c>
      <c r="B2339" t="s">
        <v>2502</v>
      </c>
      <c r="C2339">
        <f>"PS8023"</f>
        <v>0</v>
      </c>
      <c r="D2339">
        <v>1</v>
      </c>
      <c r="E2339">
        <v>3</v>
      </c>
      <c r="F2339" s="2">
        <v>3</v>
      </c>
      <c r="G2339">
        <v>12</v>
      </c>
      <c r="H2339">
        <v>1</v>
      </c>
      <c r="I2339">
        <v>0.1748268617791053</v>
      </c>
      <c r="J2339">
        <v>0</v>
      </c>
      <c r="K2339">
        <v>0</v>
      </c>
      <c r="L2339" s="2">
        <v>0</v>
      </c>
      <c r="M2339">
        <v>26.68</v>
      </c>
      <c r="N2339" t="s">
        <v>10236</v>
      </c>
    </row>
    <row r="2340" spans="1:14">
      <c r="A2340" t="s">
        <v>35</v>
      </c>
      <c r="B2340" t="s">
        <v>2503</v>
      </c>
      <c r="C2340">
        <f>"RT3423A"</f>
        <v>0</v>
      </c>
      <c r="D2340">
        <v>1</v>
      </c>
      <c r="E2340">
        <v>15</v>
      </c>
      <c r="F2340" s="2">
        <v>3</v>
      </c>
      <c r="G2340">
        <v>60</v>
      </c>
      <c r="H2340">
        <v>1</v>
      </c>
      <c r="I2340">
        <v>0.1748268617791053</v>
      </c>
      <c r="J2340">
        <v>0</v>
      </c>
      <c r="K2340">
        <v>0</v>
      </c>
      <c r="L2340" s="2">
        <v>0</v>
      </c>
      <c r="M2340">
        <v>26.69</v>
      </c>
      <c r="N2340" t="s">
        <v>10236</v>
      </c>
    </row>
    <row r="2341" spans="1:14">
      <c r="A2341" t="s">
        <v>25</v>
      </c>
      <c r="B2341" t="s">
        <v>2504</v>
      </c>
      <c r="C2341">
        <f>"0600T"</f>
        <v>0</v>
      </c>
      <c r="D2341">
        <v>1</v>
      </c>
      <c r="E2341">
        <v>1</v>
      </c>
      <c r="F2341" s="2">
        <v>8</v>
      </c>
      <c r="G2341">
        <v>4</v>
      </c>
      <c r="H2341">
        <v>1</v>
      </c>
      <c r="I2341">
        <v>0.1748268617791053</v>
      </c>
      <c r="J2341">
        <v>0</v>
      </c>
      <c r="K2341">
        <v>0</v>
      </c>
      <c r="L2341" s="2">
        <v>0</v>
      </c>
      <c r="M2341">
        <v>26.7</v>
      </c>
      <c r="N2341" t="s">
        <v>10236</v>
      </c>
    </row>
    <row r="2342" spans="1:14">
      <c r="A2342" t="s">
        <v>35</v>
      </c>
      <c r="B2342" t="s">
        <v>2505</v>
      </c>
      <c r="C2342">
        <f>"HDD178OR"</f>
        <v>0</v>
      </c>
      <c r="D2342">
        <v>1</v>
      </c>
      <c r="E2342">
        <v>1</v>
      </c>
      <c r="F2342" s="2">
        <v>891</v>
      </c>
      <c r="G2342">
        <v>4</v>
      </c>
      <c r="H2342">
        <v>1</v>
      </c>
      <c r="I2342">
        <v>0.1748268617791053</v>
      </c>
      <c r="J2342">
        <v>0</v>
      </c>
      <c r="K2342">
        <v>0</v>
      </c>
      <c r="L2342" s="2">
        <v>0</v>
      </c>
      <c r="M2342">
        <v>26.71</v>
      </c>
      <c r="N2342" t="s">
        <v>10236</v>
      </c>
    </row>
    <row r="2343" spans="1:14">
      <c r="A2343" t="s">
        <v>221</v>
      </c>
      <c r="B2343" t="s">
        <v>2506</v>
      </c>
      <c r="C2343">
        <f>"13777"</f>
        <v>0</v>
      </c>
      <c r="D2343">
        <v>1</v>
      </c>
      <c r="E2343">
        <v>4</v>
      </c>
      <c r="F2343" s="2">
        <v>26</v>
      </c>
      <c r="G2343">
        <v>16</v>
      </c>
      <c r="H2343">
        <v>1</v>
      </c>
      <c r="I2343">
        <v>0.1748268617791053</v>
      </c>
      <c r="J2343">
        <v>0</v>
      </c>
      <c r="K2343">
        <v>0</v>
      </c>
      <c r="L2343" s="2">
        <v>0</v>
      </c>
      <c r="M2343">
        <v>26.72</v>
      </c>
      <c r="N2343" t="s">
        <v>10236</v>
      </c>
    </row>
    <row r="2344" spans="1:14">
      <c r="A2344" t="s">
        <v>24</v>
      </c>
      <c r="B2344" t="s">
        <v>2507</v>
      </c>
      <c r="C2344">
        <f>"1150501"</f>
        <v>0</v>
      </c>
      <c r="D2344">
        <v>1</v>
      </c>
      <c r="E2344">
        <v>2</v>
      </c>
      <c r="F2344" s="2">
        <v>7</v>
      </c>
      <c r="G2344">
        <v>8</v>
      </c>
      <c r="H2344">
        <v>1</v>
      </c>
      <c r="I2344">
        <v>0.1748268617791053</v>
      </c>
      <c r="J2344">
        <v>0</v>
      </c>
      <c r="K2344">
        <v>0</v>
      </c>
      <c r="L2344" s="2">
        <v>0</v>
      </c>
      <c r="M2344">
        <v>26.73</v>
      </c>
      <c r="N2344" t="s">
        <v>10236</v>
      </c>
    </row>
    <row r="2345" spans="1:14">
      <c r="A2345" t="s">
        <v>25</v>
      </c>
      <c r="B2345" t="s">
        <v>2508</v>
      </c>
      <c r="C2345">
        <f>"AYCS169"</f>
        <v>0</v>
      </c>
      <c r="D2345">
        <v>1</v>
      </c>
      <c r="E2345">
        <v>2</v>
      </c>
      <c r="F2345" s="2">
        <v>2</v>
      </c>
      <c r="G2345">
        <v>8</v>
      </c>
      <c r="H2345">
        <v>1</v>
      </c>
      <c r="I2345">
        <v>0.1748268617791053</v>
      </c>
      <c r="J2345">
        <v>0</v>
      </c>
      <c r="K2345">
        <v>0</v>
      </c>
      <c r="L2345" s="2">
        <v>0</v>
      </c>
      <c r="M2345">
        <v>26.74</v>
      </c>
      <c r="N2345" t="s">
        <v>10236</v>
      </c>
    </row>
    <row r="2346" spans="1:14">
      <c r="A2346" t="s">
        <v>29</v>
      </c>
      <c r="B2346" t="s">
        <v>2509</v>
      </c>
      <c r="C2346">
        <f>"GT30075"</f>
        <v>0</v>
      </c>
      <c r="D2346">
        <v>1</v>
      </c>
      <c r="E2346">
        <v>5</v>
      </c>
      <c r="F2346" s="2">
        <v>25</v>
      </c>
      <c r="G2346">
        <v>20</v>
      </c>
      <c r="H2346">
        <v>1</v>
      </c>
      <c r="I2346">
        <v>0.1748268617791053</v>
      </c>
      <c r="J2346">
        <v>0</v>
      </c>
      <c r="K2346">
        <v>0</v>
      </c>
      <c r="L2346" s="2">
        <v>0</v>
      </c>
      <c r="M2346">
        <v>26.75</v>
      </c>
      <c r="N2346" t="s">
        <v>10236</v>
      </c>
    </row>
    <row r="2347" spans="1:14">
      <c r="A2347" t="s">
        <v>35</v>
      </c>
      <c r="B2347" t="s">
        <v>2510</v>
      </c>
      <c r="C2347">
        <f>"PT015SCCUA"</f>
        <v>0</v>
      </c>
      <c r="D2347">
        <v>1</v>
      </c>
      <c r="E2347">
        <v>1</v>
      </c>
      <c r="F2347" s="2">
        <v>3</v>
      </c>
      <c r="G2347">
        <v>4</v>
      </c>
      <c r="H2347">
        <v>1</v>
      </c>
      <c r="I2347">
        <v>0.1748268617791053</v>
      </c>
      <c r="J2347">
        <v>0</v>
      </c>
      <c r="K2347">
        <v>0</v>
      </c>
      <c r="L2347" s="2">
        <v>0</v>
      </c>
      <c r="M2347">
        <v>26.76</v>
      </c>
      <c r="N2347" t="s">
        <v>10236</v>
      </c>
    </row>
    <row r="2348" spans="1:14">
      <c r="A2348" t="s">
        <v>29</v>
      </c>
      <c r="B2348" t="s">
        <v>2511</v>
      </c>
      <c r="C2348">
        <f>"RS380U"</f>
        <v>0</v>
      </c>
      <c r="D2348">
        <v>1</v>
      </c>
      <c r="E2348">
        <v>1</v>
      </c>
      <c r="F2348" s="2">
        <v>58</v>
      </c>
      <c r="G2348">
        <v>4</v>
      </c>
      <c r="H2348">
        <v>1</v>
      </c>
      <c r="I2348">
        <v>0.1748268617791053</v>
      </c>
      <c r="J2348">
        <v>0</v>
      </c>
      <c r="K2348">
        <v>0</v>
      </c>
      <c r="L2348" s="2">
        <v>0</v>
      </c>
      <c r="M2348">
        <v>26.76</v>
      </c>
      <c r="N2348" t="s">
        <v>10236</v>
      </c>
    </row>
    <row r="2349" spans="1:14">
      <c r="A2349" t="s">
        <v>35</v>
      </c>
      <c r="B2349" t="s">
        <v>2512</v>
      </c>
      <c r="C2349">
        <f>"KL07"</f>
        <v>0</v>
      </c>
      <c r="D2349">
        <v>1</v>
      </c>
      <c r="E2349">
        <v>69</v>
      </c>
      <c r="F2349" s="2">
        <v>2</v>
      </c>
      <c r="G2349">
        <v>276</v>
      </c>
      <c r="H2349">
        <v>1</v>
      </c>
      <c r="I2349">
        <v>0.1748268617791053</v>
      </c>
      <c r="J2349">
        <v>0</v>
      </c>
      <c r="K2349">
        <v>0</v>
      </c>
      <c r="L2349" s="2">
        <v>0</v>
      </c>
      <c r="M2349">
        <v>26.77</v>
      </c>
      <c r="N2349" t="s">
        <v>10236</v>
      </c>
    </row>
    <row r="2350" spans="1:14">
      <c r="A2350" t="s">
        <v>35</v>
      </c>
      <c r="B2350" t="s">
        <v>2513</v>
      </c>
      <c r="C2350">
        <f>"XDB450C"</f>
        <v>0</v>
      </c>
      <c r="D2350">
        <v>1</v>
      </c>
      <c r="E2350">
        <v>2</v>
      </c>
      <c r="F2350" s="2">
        <v>54</v>
      </c>
      <c r="G2350">
        <v>8</v>
      </c>
      <c r="H2350">
        <v>1</v>
      </c>
      <c r="I2350">
        <v>0.1748268617791053</v>
      </c>
      <c r="J2350">
        <v>0</v>
      </c>
      <c r="K2350">
        <v>0</v>
      </c>
      <c r="L2350" s="2">
        <v>0</v>
      </c>
      <c r="M2350">
        <v>26.78</v>
      </c>
      <c r="N2350" t="s">
        <v>10236</v>
      </c>
    </row>
    <row r="2351" spans="1:14">
      <c r="A2351" t="s">
        <v>35</v>
      </c>
      <c r="B2351" t="s">
        <v>2514</v>
      </c>
      <c r="C2351">
        <f>"PT005SV"</f>
        <v>0</v>
      </c>
      <c r="D2351">
        <v>1</v>
      </c>
      <c r="E2351">
        <v>1</v>
      </c>
      <c r="F2351" s="2">
        <v>3</v>
      </c>
      <c r="G2351">
        <v>4</v>
      </c>
      <c r="H2351">
        <v>1</v>
      </c>
      <c r="I2351">
        <v>0.1748268617791053</v>
      </c>
      <c r="J2351">
        <v>0</v>
      </c>
      <c r="K2351">
        <v>0</v>
      </c>
      <c r="L2351" s="2">
        <v>0</v>
      </c>
      <c r="M2351">
        <v>26.79</v>
      </c>
      <c r="N2351" t="s">
        <v>10236</v>
      </c>
    </row>
    <row r="2352" spans="1:14">
      <c r="A2352" t="s">
        <v>32</v>
      </c>
      <c r="B2352" t="s">
        <v>2515</v>
      </c>
      <c r="C2352">
        <f>"5009491"</f>
        <v>0</v>
      </c>
      <c r="D2352">
        <v>1</v>
      </c>
      <c r="E2352">
        <v>1</v>
      </c>
      <c r="F2352" s="2">
        <v>5</v>
      </c>
      <c r="G2352">
        <v>4</v>
      </c>
      <c r="H2352">
        <v>1</v>
      </c>
      <c r="I2352">
        <v>0.1748268617791053</v>
      </c>
      <c r="J2352">
        <v>0</v>
      </c>
      <c r="K2352">
        <v>0</v>
      </c>
      <c r="L2352" s="2">
        <v>0</v>
      </c>
      <c r="M2352">
        <v>26.8</v>
      </c>
      <c r="N2352" t="s">
        <v>10236</v>
      </c>
    </row>
    <row r="2353" spans="1:14">
      <c r="A2353" t="s">
        <v>35</v>
      </c>
      <c r="B2353" t="s">
        <v>2516</v>
      </c>
      <c r="C2353">
        <f>"WBC008M"</f>
        <v>0</v>
      </c>
      <c r="D2353">
        <v>1</v>
      </c>
      <c r="E2353">
        <v>2</v>
      </c>
      <c r="F2353" s="2">
        <v>4</v>
      </c>
      <c r="G2353">
        <v>8</v>
      </c>
      <c r="H2353">
        <v>1</v>
      </c>
      <c r="I2353">
        <v>0.1748268617791053</v>
      </c>
      <c r="J2353">
        <v>0</v>
      </c>
      <c r="K2353">
        <v>0</v>
      </c>
      <c r="L2353" s="2">
        <v>0</v>
      </c>
      <c r="M2353">
        <v>26.81</v>
      </c>
      <c r="N2353" t="s">
        <v>10236</v>
      </c>
    </row>
    <row r="2354" spans="1:14">
      <c r="A2354" t="s">
        <v>35</v>
      </c>
      <c r="B2354" t="s">
        <v>2517</v>
      </c>
      <c r="C2354">
        <f>"LS245ROS"</f>
        <v>0</v>
      </c>
      <c r="D2354">
        <v>1</v>
      </c>
      <c r="E2354">
        <v>2</v>
      </c>
      <c r="F2354" s="2">
        <v>2</v>
      </c>
      <c r="G2354">
        <v>8</v>
      </c>
      <c r="H2354">
        <v>1</v>
      </c>
      <c r="I2354">
        <v>0.1748268617791053</v>
      </c>
      <c r="J2354">
        <v>0</v>
      </c>
      <c r="K2354">
        <v>0</v>
      </c>
      <c r="L2354" s="2">
        <v>0</v>
      </c>
      <c r="M2354">
        <v>26.82</v>
      </c>
      <c r="N2354" t="s">
        <v>10236</v>
      </c>
    </row>
    <row r="2355" spans="1:14">
      <c r="A2355" t="s">
        <v>35</v>
      </c>
      <c r="B2355" t="s">
        <v>2518</v>
      </c>
      <c r="C2355">
        <f>"LS245AZ"</f>
        <v>0</v>
      </c>
      <c r="D2355">
        <v>1</v>
      </c>
      <c r="E2355">
        <v>4</v>
      </c>
      <c r="F2355" s="2">
        <v>1</v>
      </c>
      <c r="G2355">
        <v>16</v>
      </c>
      <c r="H2355">
        <v>1</v>
      </c>
      <c r="I2355">
        <v>0.1748268617791053</v>
      </c>
      <c r="J2355">
        <v>0</v>
      </c>
      <c r="K2355">
        <v>0</v>
      </c>
      <c r="L2355" s="2">
        <v>0</v>
      </c>
      <c r="M2355">
        <v>26.83</v>
      </c>
      <c r="N2355" t="s">
        <v>10236</v>
      </c>
    </row>
    <row r="2356" spans="1:14">
      <c r="A2356" t="s">
        <v>35</v>
      </c>
      <c r="B2356" t="s">
        <v>2519</v>
      </c>
      <c r="C2356">
        <f>"WD1109"</f>
        <v>0</v>
      </c>
      <c r="D2356">
        <v>1</v>
      </c>
      <c r="E2356">
        <v>44</v>
      </c>
      <c r="F2356" s="2">
        <v>2</v>
      </c>
      <c r="G2356">
        <v>176</v>
      </c>
      <c r="H2356">
        <v>1</v>
      </c>
      <c r="I2356">
        <v>0.1748268617791053</v>
      </c>
      <c r="J2356">
        <v>0</v>
      </c>
      <c r="K2356">
        <v>0</v>
      </c>
      <c r="L2356" s="2">
        <v>0</v>
      </c>
      <c r="M2356">
        <v>26.84</v>
      </c>
      <c r="N2356" t="s">
        <v>10236</v>
      </c>
    </row>
    <row r="2357" spans="1:14">
      <c r="A2357" t="s">
        <v>25</v>
      </c>
      <c r="B2357" t="s">
        <v>2520</v>
      </c>
      <c r="C2357">
        <f>"R2AZ"</f>
        <v>0</v>
      </c>
      <c r="D2357">
        <v>1</v>
      </c>
      <c r="E2357">
        <v>2</v>
      </c>
      <c r="F2357" s="2">
        <v>10</v>
      </c>
      <c r="G2357">
        <v>8</v>
      </c>
      <c r="H2357">
        <v>1</v>
      </c>
      <c r="I2357">
        <v>0.1748268617791053</v>
      </c>
      <c r="J2357">
        <v>0</v>
      </c>
      <c r="K2357">
        <v>0</v>
      </c>
      <c r="L2357" s="2">
        <v>0</v>
      </c>
      <c r="M2357">
        <v>26.85</v>
      </c>
      <c r="N2357" t="s">
        <v>10236</v>
      </c>
    </row>
    <row r="2358" spans="1:14">
      <c r="A2358" t="s">
        <v>25</v>
      </c>
      <c r="B2358" t="s">
        <v>2521</v>
      </c>
      <c r="C2358">
        <f>"b106"</f>
        <v>0</v>
      </c>
      <c r="D2358">
        <v>1</v>
      </c>
      <c r="E2358">
        <v>1</v>
      </c>
      <c r="F2358" s="2">
        <v>2</v>
      </c>
      <c r="G2358">
        <v>4</v>
      </c>
      <c r="H2358">
        <v>1</v>
      </c>
      <c r="I2358">
        <v>0.1748268617791053</v>
      </c>
      <c r="J2358">
        <v>0</v>
      </c>
      <c r="K2358">
        <v>0</v>
      </c>
      <c r="L2358" s="2">
        <v>0</v>
      </c>
      <c r="M2358">
        <v>26.86</v>
      </c>
      <c r="N2358" t="s">
        <v>10236</v>
      </c>
    </row>
    <row r="2359" spans="1:14">
      <c r="A2359" t="s">
        <v>35</v>
      </c>
      <c r="B2359" t="s">
        <v>2522</v>
      </c>
      <c r="C2359">
        <f>"178529"</f>
        <v>0</v>
      </c>
      <c r="D2359">
        <v>1</v>
      </c>
      <c r="E2359">
        <v>1</v>
      </c>
      <c r="F2359" s="2">
        <v>4</v>
      </c>
      <c r="G2359">
        <v>4</v>
      </c>
      <c r="H2359">
        <v>1</v>
      </c>
      <c r="I2359">
        <v>0.1748268617791053</v>
      </c>
      <c r="J2359">
        <v>0</v>
      </c>
      <c r="K2359">
        <v>0</v>
      </c>
      <c r="L2359" s="2">
        <v>0</v>
      </c>
      <c r="M2359">
        <v>26.87</v>
      </c>
      <c r="N2359" t="s">
        <v>10236</v>
      </c>
    </row>
    <row r="2360" spans="1:14">
      <c r="A2360" t="s">
        <v>194</v>
      </c>
      <c r="B2360" t="s">
        <v>2523</v>
      </c>
      <c r="C2360">
        <f>"210514"</f>
        <v>0</v>
      </c>
      <c r="D2360">
        <v>1</v>
      </c>
      <c r="E2360">
        <v>5</v>
      </c>
      <c r="F2360" s="2">
        <v>1</v>
      </c>
      <c r="G2360">
        <v>20</v>
      </c>
      <c r="H2360">
        <v>1</v>
      </c>
      <c r="I2360">
        <v>0.1748268617791053</v>
      </c>
      <c r="J2360">
        <v>0</v>
      </c>
      <c r="K2360">
        <v>0</v>
      </c>
      <c r="L2360" s="2">
        <v>0</v>
      </c>
      <c r="M2360">
        <v>26.88</v>
      </c>
      <c r="N2360" t="s">
        <v>10236</v>
      </c>
    </row>
    <row r="2361" spans="1:14">
      <c r="A2361" t="s">
        <v>200</v>
      </c>
      <c r="B2361" t="s">
        <v>2524</v>
      </c>
      <c r="C2361">
        <f>"W0008"</f>
        <v>0</v>
      </c>
      <c r="D2361">
        <v>1</v>
      </c>
      <c r="E2361">
        <v>2</v>
      </c>
      <c r="F2361" s="2">
        <v>3</v>
      </c>
      <c r="G2361">
        <v>8</v>
      </c>
      <c r="H2361">
        <v>1</v>
      </c>
      <c r="I2361">
        <v>0.1748268617791053</v>
      </c>
      <c r="J2361">
        <v>0</v>
      </c>
      <c r="K2361">
        <v>0</v>
      </c>
      <c r="L2361" s="2">
        <v>0</v>
      </c>
      <c r="M2361">
        <v>26.89</v>
      </c>
      <c r="N2361" t="s">
        <v>10236</v>
      </c>
    </row>
    <row r="2362" spans="1:14">
      <c r="A2362" t="s">
        <v>35</v>
      </c>
      <c r="B2362" t="s">
        <v>2525</v>
      </c>
      <c r="C2362">
        <f>"LS287VE"</f>
        <v>0</v>
      </c>
      <c r="D2362">
        <v>1</v>
      </c>
      <c r="E2362">
        <v>3</v>
      </c>
      <c r="F2362" s="2">
        <v>8</v>
      </c>
      <c r="G2362">
        <v>12</v>
      </c>
      <c r="H2362">
        <v>1</v>
      </c>
      <c r="I2362">
        <v>0.1748268617791053</v>
      </c>
      <c r="J2362">
        <v>0</v>
      </c>
      <c r="K2362">
        <v>0</v>
      </c>
      <c r="L2362" s="2">
        <v>0</v>
      </c>
      <c r="M2362">
        <v>26.89</v>
      </c>
      <c r="N2362" t="s">
        <v>10236</v>
      </c>
    </row>
    <row r="2363" spans="1:14">
      <c r="A2363" t="s">
        <v>35</v>
      </c>
      <c r="B2363" t="s">
        <v>2526</v>
      </c>
      <c r="C2363">
        <f>"YQ11"</f>
        <v>0</v>
      </c>
      <c r="D2363">
        <v>1</v>
      </c>
      <c r="E2363">
        <v>2</v>
      </c>
      <c r="F2363" s="2">
        <v>6</v>
      </c>
      <c r="G2363">
        <v>8</v>
      </c>
      <c r="H2363">
        <v>1</v>
      </c>
      <c r="I2363">
        <v>0.1748268617791053</v>
      </c>
      <c r="J2363">
        <v>0</v>
      </c>
      <c r="K2363">
        <v>0</v>
      </c>
      <c r="L2363" s="2">
        <v>0</v>
      </c>
      <c r="M2363">
        <v>26.9</v>
      </c>
      <c r="N2363" t="s">
        <v>10236</v>
      </c>
    </row>
    <row r="2364" spans="1:14">
      <c r="A2364" t="s">
        <v>38</v>
      </c>
      <c r="B2364" t="s">
        <v>2527</v>
      </c>
      <c r="C2364">
        <f>"1003761"</f>
        <v>0</v>
      </c>
      <c r="D2364">
        <v>1</v>
      </c>
      <c r="E2364">
        <v>5</v>
      </c>
      <c r="F2364" s="2">
        <v>4</v>
      </c>
      <c r="G2364">
        <v>20</v>
      </c>
      <c r="H2364">
        <v>1</v>
      </c>
      <c r="I2364">
        <v>0.1748268617791053</v>
      </c>
      <c r="J2364">
        <v>0</v>
      </c>
      <c r="K2364">
        <v>0</v>
      </c>
      <c r="L2364" s="2">
        <v>0</v>
      </c>
      <c r="M2364">
        <v>26.91</v>
      </c>
      <c r="N2364" t="s">
        <v>10236</v>
      </c>
    </row>
    <row r="2365" spans="1:14">
      <c r="A2365" t="s">
        <v>35</v>
      </c>
      <c r="B2365" t="s">
        <v>2528</v>
      </c>
      <c r="C2365">
        <f>"HP1123XS"</f>
        <v>0</v>
      </c>
      <c r="D2365">
        <v>1</v>
      </c>
      <c r="E2365">
        <v>3</v>
      </c>
      <c r="F2365" s="2">
        <v>3</v>
      </c>
      <c r="G2365">
        <v>12</v>
      </c>
      <c r="H2365">
        <v>1</v>
      </c>
      <c r="I2365">
        <v>0.1748268617791053</v>
      </c>
      <c r="J2365">
        <v>0</v>
      </c>
      <c r="K2365">
        <v>0</v>
      </c>
      <c r="L2365" s="2">
        <v>0</v>
      </c>
      <c r="M2365">
        <v>26.92</v>
      </c>
      <c r="N2365" t="s">
        <v>10236</v>
      </c>
    </row>
    <row r="2366" spans="1:14">
      <c r="A2366" t="s">
        <v>35</v>
      </c>
      <c r="B2366" t="s">
        <v>2529</v>
      </c>
      <c r="C2366">
        <f>"Q5AXLCH"</f>
        <v>0</v>
      </c>
      <c r="D2366">
        <v>1</v>
      </c>
      <c r="E2366">
        <v>1</v>
      </c>
      <c r="F2366" s="2">
        <v>4</v>
      </c>
      <c r="G2366">
        <v>4</v>
      </c>
      <c r="H2366">
        <v>1</v>
      </c>
      <c r="I2366">
        <v>0.1748268617791053</v>
      </c>
      <c r="J2366">
        <v>0</v>
      </c>
      <c r="K2366">
        <v>0</v>
      </c>
      <c r="L2366" s="2">
        <v>0</v>
      </c>
      <c r="M2366">
        <v>26.93</v>
      </c>
      <c r="N2366" t="s">
        <v>10236</v>
      </c>
    </row>
    <row r="2367" spans="1:14">
      <c r="A2367" t="s">
        <v>27</v>
      </c>
      <c r="B2367" t="s">
        <v>2530</v>
      </c>
      <c r="C2367">
        <f>"USA701"</f>
        <v>0</v>
      </c>
      <c r="D2367">
        <v>1</v>
      </c>
      <c r="E2367">
        <v>5</v>
      </c>
      <c r="F2367" s="2">
        <v>1</v>
      </c>
      <c r="G2367">
        <v>20</v>
      </c>
      <c r="H2367">
        <v>1</v>
      </c>
      <c r="I2367">
        <v>0.1748268617791053</v>
      </c>
      <c r="J2367">
        <v>0</v>
      </c>
      <c r="K2367">
        <v>0</v>
      </c>
      <c r="L2367" s="2">
        <v>0</v>
      </c>
      <c r="M2367">
        <v>26.94</v>
      </c>
      <c r="N2367" t="s">
        <v>10236</v>
      </c>
    </row>
    <row r="2368" spans="1:14">
      <c r="A2368" t="s">
        <v>29</v>
      </c>
      <c r="B2368" t="s">
        <v>2531</v>
      </c>
      <c r="C2368">
        <f>"M990"</f>
        <v>0</v>
      </c>
      <c r="D2368">
        <v>1</v>
      </c>
      <c r="E2368">
        <v>34</v>
      </c>
      <c r="F2368" s="2">
        <v>2</v>
      </c>
      <c r="G2368">
        <v>136</v>
      </c>
      <c r="H2368">
        <v>1</v>
      </c>
      <c r="I2368">
        <v>0.1748268617791053</v>
      </c>
      <c r="J2368">
        <v>0</v>
      </c>
      <c r="K2368">
        <v>0</v>
      </c>
      <c r="L2368" s="2">
        <v>0</v>
      </c>
      <c r="M2368">
        <v>26.95</v>
      </c>
      <c r="N2368" t="s">
        <v>10236</v>
      </c>
    </row>
    <row r="2369" spans="1:14">
      <c r="A2369" t="s">
        <v>35</v>
      </c>
      <c r="B2369" t="s">
        <v>2532</v>
      </c>
      <c r="C2369">
        <f>"HP071S"</f>
        <v>0</v>
      </c>
      <c r="D2369">
        <v>1</v>
      </c>
      <c r="E2369">
        <v>17</v>
      </c>
      <c r="F2369" s="2">
        <v>4</v>
      </c>
      <c r="G2369">
        <v>68</v>
      </c>
      <c r="H2369">
        <v>1</v>
      </c>
      <c r="I2369">
        <v>0.1748268617791053</v>
      </c>
      <c r="J2369">
        <v>0</v>
      </c>
      <c r="K2369">
        <v>0</v>
      </c>
      <c r="L2369" s="2">
        <v>0</v>
      </c>
      <c r="M2369">
        <v>26.96</v>
      </c>
      <c r="N2369" t="s">
        <v>10236</v>
      </c>
    </row>
    <row r="2370" spans="1:14">
      <c r="A2370" t="s">
        <v>27</v>
      </c>
      <c r="B2370" t="s">
        <v>2533</v>
      </c>
      <c r="C2370">
        <f>"ALUB07"</f>
        <v>0</v>
      </c>
      <c r="D2370">
        <v>1</v>
      </c>
      <c r="E2370">
        <v>4</v>
      </c>
      <c r="F2370" s="2">
        <v>7</v>
      </c>
      <c r="G2370">
        <v>16</v>
      </c>
      <c r="H2370">
        <v>1</v>
      </c>
      <c r="I2370">
        <v>0.1748268617791053</v>
      </c>
      <c r="J2370">
        <v>0</v>
      </c>
      <c r="K2370">
        <v>0</v>
      </c>
      <c r="L2370" s="2">
        <v>0</v>
      </c>
      <c r="M2370">
        <v>26.97</v>
      </c>
      <c r="N2370" t="s">
        <v>10236</v>
      </c>
    </row>
    <row r="2371" spans="1:14">
      <c r="A2371" t="s">
        <v>27</v>
      </c>
      <c r="B2371" t="s">
        <v>2534</v>
      </c>
      <c r="C2371">
        <f>"ALUV7"</f>
        <v>0</v>
      </c>
      <c r="D2371">
        <v>1</v>
      </c>
      <c r="E2371">
        <v>4</v>
      </c>
      <c r="F2371" s="2">
        <v>7</v>
      </c>
      <c r="G2371">
        <v>16</v>
      </c>
      <c r="H2371">
        <v>1</v>
      </c>
      <c r="I2371">
        <v>0.1748268617791053</v>
      </c>
      <c r="J2371">
        <v>0</v>
      </c>
      <c r="K2371">
        <v>0</v>
      </c>
      <c r="L2371" s="2">
        <v>0</v>
      </c>
      <c r="M2371">
        <v>26.98</v>
      </c>
      <c r="N2371" t="s">
        <v>10236</v>
      </c>
    </row>
    <row r="2372" spans="1:14">
      <c r="A2372" t="s">
        <v>35</v>
      </c>
      <c r="B2372" t="s">
        <v>2535</v>
      </c>
      <c r="C2372">
        <f>"PQ113AZ"</f>
        <v>0</v>
      </c>
      <c r="D2372">
        <v>1</v>
      </c>
      <c r="E2372">
        <v>1</v>
      </c>
      <c r="F2372" s="2">
        <v>1</v>
      </c>
      <c r="G2372">
        <v>4</v>
      </c>
      <c r="H2372">
        <v>1</v>
      </c>
      <c r="I2372">
        <v>0.1748268617791053</v>
      </c>
      <c r="J2372">
        <v>0</v>
      </c>
      <c r="K2372">
        <v>0</v>
      </c>
      <c r="L2372" s="2">
        <v>0</v>
      </c>
      <c r="M2372">
        <v>26.99</v>
      </c>
      <c r="N2372" t="s">
        <v>10236</v>
      </c>
    </row>
    <row r="2373" spans="1:14">
      <c r="A2373" t="s">
        <v>29</v>
      </c>
      <c r="B2373" t="s">
        <v>2536</v>
      </c>
      <c r="C2373">
        <f>"CH55152AS"</f>
        <v>0</v>
      </c>
      <c r="D2373">
        <v>1</v>
      </c>
      <c r="E2373">
        <v>10</v>
      </c>
      <c r="F2373" s="2">
        <v>4</v>
      </c>
      <c r="G2373">
        <v>40</v>
      </c>
      <c r="H2373">
        <v>1</v>
      </c>
      <c r="I2373">
        <v>0.1748268617791053</v>
      </c>
      <c r="J2373">
        <v>0</v>
      </c>
      <c r="K2373">
        <v>0</v>
      </c>
      <c r="L2373" s="2">
        <v>0</v>
      </c>
      <c r="M2373">
        <v>27</v>
      </c>
      <c r="N2373" t="s">
        <v>10236</v>
      </c>
    </row>
    <row r="2374" spans="1:14">
      <c r="A2374" t="s">
        <v>35</v>
      </c>
      <c r="B2374" t="s">
        <v>2537</v>
      </c>
      <c r="C2374">
        <f>"2009"</f>
        <v>0</v>
      </c>
      <c r="D2374">
        <v>1</v>
      </c>
      <c r="E2374">
        <v>7</v>
      </c>
      <c r="F2374" s="2">
        <v>2</v>
      </c>
      <c r="G2374">
        <v>28</v>
      </c>
      <c r="H2374">
        <v>1</v>
      </c>
      <c r="I2374">
        <v>0.1748268617791053</v>
      </c>
      <c r="J2374">
        <v>0</v>
      </c>
      <c r="K2374">
        <v>0</v>
      </c>
      <c r="L2374" s="2">
        <v>0</v>
      </c>
      <c r="M2374">
        <v>27.01</v>
      </c>
      <c r="N2374" t="s">
        <v>10236</v>
      </c>
    </row>
    <row r="2375" spans="1:14">
      <c r="A2375" t="s">
        <v>25</v>
      </c>
      <c r="B2375" t="s">
        <v>2538</v>
      </c>
      <c r="C2375">
        <f>"UOPA"</f>
        <v>0</v>
      </c>
      <c r="D2375">
        <v>1</v>
      </c>
      <c r="E2375">
        <v>1</v>
      </c>
      <c r="F2375" s="2">
        <v>4</v>
      </c>
      <c r="G2375">
        <v>4</v>
      </c>
      <c r="H2375">
        <v>1</v>
      </c>
      <c r="I2375">
        <v>0.1748268617791053</v>
      </c>
      <c r="J2375">
        <v>0</v>
      </c>
      <c r="K2375">
        <v>0</v>
      </c>
      <c r="L2375" s="2">
        <v>0</v>
      </c>
      <c r="M2375">
        <v>27.01</v>
      </c>
      <c r="N2375" t="s">
        <v>10236</v>
      </c>
    </row>
    <row r="2376" spans="1:14">
      <c r="A2376" t="s">
        <v>35</v>
      </c>
      <c r="B2376" t="s">
        <v>2539</v>
      </c>
      <c r="C2376">
        <f>"HDD164B"</f>
        <v>0</v>
      </c>
      <c r="D2376">
        <v>1</v>
      </c>
      <c r="E2376">
        <v>1</v>
      </c>
      <c r="F2376" s="2">
        <v>1</v>
      </c>
      <c r="G2376">
        <v>4</v>
      </c>
      <c r="H2376">
        <v>1</v>
      </c>
      <c r="I2376">
        <v>0.1748268617791053</v>
      </c>
      <c r="J2376">
        <v>0</v>
      </c>
      <c r="K2376">
        <v>0</v>
      </c>
      <c r="L2376" s="2">
        <v>0</v>
      </c>
      <c r="M2376">
        <v>27.02</v>
      </c>
      <c r="N2376" t="s">
        <v>10236</v>
      </c>
    </row>
    <row r="2377" spans="1:14">
      <c r="A2377" t="s">
        <v>32</v>
      </c>
      <c r="B2377" t="s">
        <v>2540</v>
      </c>
      <c r="C2377">
        <f>"1009444"</f>
        <v>0</v>
      </c>
      <c r="D2377">
        <v>1</v>
      </c>
      <c r="E2377">
        <v>3</v>
      </c>
      <c r="F2377" s="2">
        <v>10</v>
      </c>
      <c r="G2377">
        <v>12</v>
      </c>
      <c r="H2377">
        <v>1</v>
      </c>
      <c r="I2377">
        <v>0.1748268617791053</v>
      </c>
      <c r="J2377">
        <v>0</v>
      </c>
      <c r="K2377">
        <v>0</v>
      </c>
      <c r="L2377" s="2">
        <v>0</v>
      </c>
      <c r="M2377">
        <v>27.03</v>
      </c>
      <c r="N2377" t="s">
        <v>10236</v>
      </c>
    </row>
    <row r="2378" spans="1:14">
      <c r="A2378" t="s">
        <v>35</v>
      </c>
      <c r="B2378" t="s">
        <v>2541</v>
      </c>
      <c r="C2378">
        <f>"7011242"</f>
        <v>0</v>
      </c>
      <c r="D2378">
        <v>1</v>
      </c>
      <c r="E2378">
        <v>1</v>
      </c>
      <c r="F2378" s="2">
        <v>10</v>
      </c>
      <c r="G2378">
        <v>4</v>
      </c>
      <c r="H2378">
        <v>1</v>
      </c>
      <c r="I2378">
        <v>0.1748268617791053</v>
      </c>
      <c r="J2378">
        <v>0</v>
      </c>
      <c r="K2378">
        <v>0</v>
      </c>
      <c r="L2378" s="2">
        <v>0</v>
      </c>
      <c r="M2378">
        <v>27.04</v>
      </c>
      <c r="N2378" t="s">
        <v>10236</v>
      </c>
    </row>
    <row r="2379" spans="1:14">
      <c r="A2379" t="s">
        <v>35</v>
      </c>
      <c r="B2379" t="s">
        <v>2542</v>
      </c>
      <c r="C2379">
        <f>"7011244"</f>
        <v>0</v>
      </c>
      <c r="D2379">
        <v>1</v>
      </c>
      <c r="E2379">
        <v>3</v>
      </c>
      <c r="F2379" s="2">
        <v>16</v>
      </c>
      <c r="G2379">
        <v>12</v>
      </c>
      <c r="H2379">
        <v>1</v>
      </c>
      <c r="I2379">
        <v>0.1748268617791053</v>
      </c>
      <c r="J2379">
        <v>0</v>
      </c>
      <c r="K2379">
        <v>0</v>
      </c>
      <c r="L2379" s="2">
        <v>0</v>
      </c>
      <c r="M2379">
        <v>27.05</v>
      </c>
      <c r="N2379" t="s">
        <v>10236</v>
      </c>
    </row>
    <row r="2380" spans="1:14">
      <c r="A2380" t="s">
        <v>35</v>
      </c>
      <c r="B2380" t="s">
        <v>2543</v>
      </c>
      <c r="C2380">
        <f>"JWZ1058XL"</f>
        <v>0</v>
      </c>
      <c r="D2380">
        <v>1</v>
      </c>
      <c r="E2380">
        <v>12</v>
      </c>
      <c r="F2380" s="2">
        <v>1</v>
      </c>
      <c r="G2380">
        <v>48</v>
      </c>
      <c r="H2380">
        <v>1</v>
      </c>
      <c r="I2380">
        <v>0.1748268617791053</v>
      </c>
      <c r="J2380">
        <v>0</v>
      </c>
      <c r="K2380">
        <v>0</v>
      </c>
      <c r="L2380" s="2">
        <v>0</v>
      </c>
      <c r="M2380">
        <v>27.06</v>
      </c>
      <c r="N2380" t="s">
        <v>10236</v>
      </c>
    </row>
    <row r="2381" spans="1:14">
      <c r="A2381" t="s">
        <v>35</v>
      </c>
      <c r="B2381" t="s">
        <v>2544</v>
      </c>
      <c r="C2381">
        <f>"KF8817"</f>
        <v>0</v>
      </c>
      <c r="D2381">
        <v>1</v>
      </c>
      <c r="E2381">
        <v>1</v>
      </c>
      <c r="F2381" s="2">
        <v>18</v>
      </c>
      <c r="G2381">
        <v>4</v>
      </c>
      <c r="H2381">
        <v>1</v>
      </c>
      <c r="I2381">
        <v>0.1748268617791053</v>
      </c>
      <c r="J2381">
        <v>0</v>
      </c>
      <c r="K2381">
        <v>0</v>
      </c>
      <c r="L2381" s="2">
        <v>0</v>
      </c>
      <c r="M2381">
        <v>27.07</v>
      </c>
      <c r="N2381" t="s">
        <v>10236</v>
      </c>
    </row>
    <row r="2382" spans="1:14">
      <c r="A2382" t="s">
        <v>35</v>
      </c>
      <c r="B2382" t="s">
        <v>2545</v>
      </c>
      <c r="C2382">
        <f>"HD38XL"</f>
        <v>0</v>
      </c>
      <c r="D2382">
        <v>1</v>
      </c>
      <c r="E2382">
        <v>4</v>
      </c>
      <c r="F2382" s="2">
        <v>4</v>
      </c>
      <c r="G2382">
        <v>16</v>
      </c>
      <c r="H2382">
        <v>1</v>
      </c>
      <c r="I2382">
        <v>0.1748268617791053</v>
      </c>
      <c r="J2382">
        <v>0</v>
      </c>
      <c r="K2382">
        <v>0</v>
      </c>
      <c r="L2382" s="2">
        <v>0</v>
      </c>
      <c r="M2382">
        <v>27.08</v>
      </c>
      <c r="N2382" t="s">
        <v>10236</v>
      </c>
    </row>
    <row r="2383" spans="1:14">
      <c r="A2383" t="s">
        <v>214</v>
      </c>
      <c r="B2383" t="s">
        <v>2546</v>
      </c>
      <c r="C2383">
        <f>"77034"</f>
        <v>0</v>
      </c>
      <c r="D2383">
        <v>1</v>
      </c>
      <c r="E2383">
        <v>1</v>
      </c>
      <c r="F2383" s="2">
        <v>3</v>
      </c>
      <c r="G2383">
        <v>4</v>
      </c>
      <c r="H2383">
        <v>1</v>
      </c>
      <c r="I2383">
        <v>0.1748268617791053</v>
      </c>
      <c r="J2383">
        <v>0</v>
      </c>
      <c r="K2383">
        <v>0</v>
      </c>
      <c r="L2383" s="2">
        <v>0</v>
      </c>
      <c r="M2383">
        <v>27.09</v>
      </c>
      <c r="N2383" t="s">
        <v>10236</v>
      </c>
    </row>
    <row r="2384" spans="1:14">
      <c r="A2384" t="s">
        <v>35</v>
      </c>
      <c r="B2384" t="s">
        <v>2547</v>
      </c>
      <c r="C2384">
        <f>"HDD181PCS"</f>
        <v>0</v>
      </c>
      <c r="D2384">
        <v>1</v>
      </c>
      <c r="E2384">
        <v>2</v>
      </c>
      <c r="F2384" s="2">
        <v>1</v>
      </c>
      <c r="G2384">
        <v>8</v>
      </c>
      <c r="H2384">
        <v>1</v>
      </c>
      <c r="I2384">
        <v>0.1748268617791053</v>
      </c>
      <c r="J2384">
        <v>0</v>
      </c>
      <c r="K2384">
        <v>0</v>
      </c>
      <c r="L2384" s="2">
        <v>0</v>
      </c>
      <c r="M2384">
        <v>27.1</v>
      </c>
      <c r="N2384" t="s">
        <v>10236</v>
      </c>
    </row>
    <row r="2385" spans="1:14">
      <c r="A2385" t="s">
        <v>35</v>
      </c>
      <c r="B2385" t="s">
        <v>2548</v>
      </c>
      <c r="C2385">
        <f>"HDD181CS"</f>
        <v>0</v>
      </c>
      <c r="D2385">
        <v>1</v>
      </c>
      <c r="E2385">
        <v>1</v>
      </c>
      <c r="F2385" s="2">
        <v>855</v>
      </c>
      <c r="G2385">
        <v>4</v>
      </c>
      <c r="H2385">
        <v>1</v>
      </c>
      <c r="I2385">
        <v>0.1748268617791053</v>
      </c>
      <c r="J2385">
        <v>0</v>
      </c>
      <c r="K2385">
        <v>0</v>
      </c>
      <c r="L2385" s="2">
        <v>0</v>
      </c>
      <c r="M2385">
        <v>27.11</v>
      </c>
      <c r="N2385" t="s">
        <v>10236</v>
      </c>
    </row>
    <row r="2386" spans="1:14">
      <c r="A2386" t="s">
        <v>29</v>
      </c>
      <c r="B2386" t="s">
        <v>2549</v>
      </c>
      <c r="C2386">
        <f>"RS201"</f>
        <v>0</v>
      </c>
      <c r="D2386">
        <v>1</v>
      </c>
      <c r="E2386">
        <v>2</v>
      </c>
      <c r="F2386" s="2">
        <v>4</v>
      </c>
      <c r="G2386">
        <v>8</v>
      </c>
      <c r="H2386">
        <v>1</v>
      </c>
      <c r="I2386">
        <v>0.1748268617791053</v>
      </c>
      <c r="J2386">
        <v>0</v>
      </c>
      <c r="K2386">
        <v>0</v>
      </c>
      <c r="L2386" s="2">
        <v>0</v>
      </c>
      <c r="M2386">
        <v>27.12</v>
      </c>
      <c r="N2386" t="s">
        <v>10236</v>
      </c>
    </row>
    <row r="2387" spans="1:14">
      <c r="A2387" t="s">
        <v>29</v>
      </c>
      <c r="B2387" t="s">
        <v>2550</v>
      </c>
      <c r="C2387">
        <f>"WD0502A"</f>
        <v>0</v>
      </c>
      <c r="D2387">
        <v>1</v>
      </c>
      <c r="E2387">
        <v>1</v>
      </c>
      <c r="F2387" s="2">
        <v>2</v>
      </c>
      <c r="G2387">
        <v>4</v>
      </c>
      <c r="H2387">
        <v>1</v>
      </c>
      <c r="I2387">
        <v>0.1748268617791053</v>
      </c>
      <c r="J2387">
        <v>0</v>
      </c>
      <c r="K2387">
        <v>0</v>
      </c>
      <c r="L2387" s="2">
        <v>0</v>
      </c>
      <c r="M2387">
        <v>27.13</v>
      </c>
      <c r="N2387" t="s">
        <v>10236</v>
      </c>
    </row>
    <row r="2388" spans="1:14">
      <c r="A2388" t="s">
        <v>29</v>
      </c>
      <c r="B2388" t="s">
        <v>2551</v>
      </c>
      <c r="C2388">
        <f>"MCA30"</f>
        <v>0</v>
      </c>
      <c r="D2388">
        <v>1</v>
      </c>
      <c r="E2388">
        <v>69</v>
      </c>
      <c r="F2388" s="2">
        <v>1</v>
      </c>
      <c r="G2388">
        <v>276</v>
      </c>
      <c r="H2388">
        <v>1</v>
      </c>
      <c r="I2388">
        <v>0.1748268617791053</v>
      </c>
      <c r="J2388">
        <v>0</v>
      </c>
      <c r="K2388">
        <v>0</v>
      </c>
      <c r="L2388" s="2">
        <v>0</v>
      </c>
      <c r="M2388">
        <v>27.14</v>
      </c>
      <c r="N2388" t="s">
        <v>10236</v>
      </c>
    </row>
    <row r="2389" spans="1:14">
      <c r="A2389" t="s">
        <v>35</v>
      </c>
      <c r="B2389" t="s">
        <v>2552</v>
      </c>
      <c r="C2389">
        <f>"15GG"</f>
        <v>0</v>
      </c>
      <c r="D2389">
        <v>1</v>
      </c>
      <c r="E2389">
        <v>1</v>
      </c>
      <c r="F2389" s="2">
        <v>981</v>
      </c>
      <c r="G2389">
        <v>4</v>
      </c>
      <c r="H2389">
        <v>1</v>
      </c>
      <c r="I2389">
        <v>0.1748268617791053</v>
      </c>
      <c r="J2389">
        <v>0</v>
      </c>
      <c r="K2389">
        <v>0</v>
      </c>
      <c r="L2389" s="2">
        <v>0</v>
      </c>
      <c r="M2389">
        <v>27.14</v>
      </c>
      <c r="N2389" t="s">
        <v>10236</v>
      </c>
    </row>
    <row r="2390" spans="1:14">
      <c r="A2390" t="s">
        <v>35</v>
      </c>
      <c r="B2390" t="s">
        <v>2553</v>
      </c>
      <c r="C2390">
        <f>"JWZ1047XL"</f>
        <v>0</v>
      </c>
      <c r="D2390">
        <v>1</v>
      </c>
      <c r="E2390">
        <v>17</v>
      </c>
      <c r="F2390" s="2">
        <v>1</v>
      </c>
      <c r="G2390">
        <v>68</v>
      </c>
      <c r="H2390">
        <v>1</v>
      </c>
      <c r="I2390">
        <v>0.1748268617791053</v>
      </c>
      <c r="J2390">
        <v>0</v>
      </c>
      <c r="K2390">
        <v>0</v>
      </c>
      <c r="L2390" s="2">
        <v>0</v>
      </c>
      <c r="M2390">
        <v>27.15</v>
      </c>
      <c r="N2390" t="s">
        <v>10236</v>
      </c>
    </row>
    <row r="2391" spans="1:14">
      <c r="A2391" t="s">
        <v>35</v>
      </c>
      <c r="B2391" t="s">
        <v>2554</v>
      </c>
      <c r="C2391">
        <f>"JWZ1025XL"</f>
        <v>0</v>
      </c>
      <c r="D2391">
        <v>1</v>
      </c>
      <c r="E2391">
        <v>35</v>
      </c>
      <c r="F2391" s="2">
        <v>1</v>
      </c>
      <c r="G2391">
        <v>140</v>
      </c>
      <c r="H2391">
        <v>1</v>
      </c>
      <c r="I2391">
        <v>0.1748268617791053</v>
      </c>
      <c r="J2391">
        <v>0</v>
      </c>
      <c r="K2391">
        <v>0</v>
      </c>
      <c r="L2391" s="2">
        <v>0</v>
      </c>
      <c r="M2391">
        <v>27.16</v>
      </c>
      <c r="N2391" t="s">
        <v>10236</v>
      </c>
    </row>
    <row r="2392" spans="1:14">
      <c r="A2392" t="s">
        <v>29</v>
      </c>
      <c r="B2392" t="s">
        <v>2555</v>
      </c>
      <c r="C2392">
        <f>"F8"</f>
        <v>0</v>
      </c>
      <c r="D2392">
        <v>1</v>
      </c>
      <c r="E2392">
        <v>48</v>
      </c>
      <c r="F2392" s="2">
        <v>0</v>
      </c>
      <c r="G2392">
        <v>192</v>
      </c>
      <c r="H2392">
        <v>1</v>
      </c>
      <c r="I2392">
        <v>0.1748268617791053</v>
      </c>
      <c r="J2392">
        <v>0</v>
      </c>
      <c r="K2392">
        <v>0</v>
      </c>
      <c r="L2392" s="2">
        <v>0</v>
      </c>
      <c r="M2392">
        <v>27.17</v>
      </c>
      <c r="N2392" t="s">
        <v>10236</v>
      </c>
    </row>
    <row r="2393" spans="1:14">
      <c r="A2393" t="s">
        <v>35</v>
      </c>
      <c r="B2393" t="s">
        <v>2556</v>
      </c>
      <c r="C2393">
        <f>"970305"</f>
        <v>0</v>
      </c>
      <c r="D2393">
        <v>1</v>
      </c>
      <c r="E2393">
        <v>39</v>
      </c>
      <c r="F2393" s="2">
        <v>2</v>
      </c>
      <c r="G2393">
        <v>156</v>
      </c>
      <c r="H2393">
        <v>1</v>
      </c>
      <c r="I2393">
        <v>0.1748268617791053</v>
      </c>
      <c r="J2393">
        <v>0</v>
      </c>
      <c r="K2393">
        <v>0</v>
      </c>
      <c r="L2393" s="2">
        <v>0</v>
      </c>
      <c r="M2393">
        <v>27.18</v>
      </c>
      <c r="N2393" t="s">
        <v>10236</v>
      </c>
    </row>
    <row r="2394" spans="1:14">
      <c r="A2394" t="s">
        <v>35</v>
      </c>
      <c r="B2394" t="s">
        <v>2557</v>
      </c>
      <c r="C2394">
        <f>"970311"</f>
        <v>0</v>
      </c>
      <c r="D2394">
        <v>1</v>
      </c>
      <c r="E2394">
        <v>1</v>
      </c>
      <c r="F2394" s="2">
        <v>2</v>
      </c>
      <c r="G2394">
        <v>4</v>
      </c>
      <c r="H2394">
        <v>1</v>
      </c>
      <c r="I2394">
        <v>0.1748268617791053</v>
      </c>
      <c r="J2394">
        <v>0</v>
      </c>
      <c r="K2394">
        <v>0</v>
      </c>
      <c r="L2394" s="2">
        <v>0</v>
      </c>
      <c r="M2394">
        <v>27.19</v>
      </c>
      <c r="N2394" t="s">
        <v>10236</v>
      </c>
    </row>
    <row r="2395" spans="1:14">
      <c r="A2395" t="s">
        <v>35</v>
      </c>
      <c r="B2395" t="s">
        <v>2558</v>
      </c>
      <c r="C2395">
        <f>"W0052"</f>
        <v>0</v>
      </c>
      <c r="D2395">
        <v>1</v>
      </c>
      <c r="E2395">
        <v>4</v>
      </c>
      <c r="F2395" s="2">
        <v>3</v>
      </c>
      <c r="G2395">
        <v>16</v>
      </c>
      <c r="H2395">
        <v>1</v>
      </c>
      <c r="I2395">
        <v>0.1748268617791053</v>
      </c>
      <c r="J2395">
        <v>0</v>
      </c>
      <c r="K2395">
        <v>0</v>
      </c>
      <c r="L2395" s="2">
        <v>0</v>
      </c>
      <c r="M2395">
        <v>27.2</v>
      </c>
      <c r="N2395" t="s">
        <v>10236</v>
      </c>
    </row>
    <row r="2396" spans="1:14">
      <c r="A2396" t="s">
        <v>35</v>
      </c>
      <c r="B2396" t="s">
        <v>2559</v>
      </c>
      <c r="C2396">
        <f>"980302"</f>
        <v>0</v>
      </c>
      <c r="D2396">
        <v>1</v>
      </c>
      <c r="E2396">
        <v>1</v>
      </c>
      <c r="F2396" s="2">
        <v>3</v>
      </c>
      <c r="G2396">
        <v>4</v>
      </c>
      <c r="H2396">
        <v>1</v>
      </c>
      <c r="I2396">
        <v>0.1748268617791053</v>
      </c>
      <c r="J2396">
        <v>0</v>
      </c>
      <c r="K2396">
        <v>0</v>
      </c>
      <c r="L2396" s="2">
        <v>0</v>
      </c>
      <c r="M2396">
        <v>27.21</v>
      </c>
      <c r="N2396" t="s">
        <v>10236</v>
      </c>
    </row>
    <row r="2397" spans="1:14">
      <c r="A2397" t="s">
        <v>29</v>
      </c>
      <c r="B2397" t="s">
        <v>2560</v>
      </c>
      <c r="C2397">
        <f>"uv0085"</f>
        <v>0</v>
      </c>
      <c r="D2397">
        <v>1</v>
      </c>
      <c r="E2397">
        <v>1</v>
      </c>
      <c r="F2397" s="2">
        <v>22</v>
      </c>
      <c r="G2397">
        <v>4</v>
      </c>
      <c r="H2397">
        <v>1</v>
      </c>
      <c r="I2397">
        <v>0.1748268617791053</v>
      </c>
      <c r="J2397">
        <v>0</v>
      </c>
      <c r="K2397">
        <v>0</v>
      </c>
      <c r="L2397" s="2">
        <v>0</v>
      </c>
      <c r="M2397">
        <v>27.22</v>
      </c>
      <c r="N2397" t="s">
        <v>10236</v>
      </c>
    </row>
    <row r="2398" spans="1:14">
      <c r="A2398" t="s">
        <v>35</v>
      </c>
      <c r="B2398" t="s">
        <v>2561</v>
      </c>
      <c r="C2398">
        <f>"JWL1058M"</f>
        <v>0</v>
      </c>
      <c r="D2398">
        <v>1</v>
      </c>
      <c r="E2398">
        <v>12</v>
      </c>
      <c r="F2398" s="2">
        <v>2</v>
      </c>
      <c r="G2398">
        <v>48</v>
      </c>
      <c r="H2398">
        <v>1</v>
      </c>
      <c r="I2398">
        <v>0.1748268617791053</v>
      </c>
      <c r="J2398">
        <v>0</v>
      </c>
      <c r="K2398">
        <v>0</v>
      </c>
      <c r="L2398" s="2">
        <v>0</v>
      </c>
      <c r="M2398">
        <v>27.23</v>
      </c>
      <c r="N2398" t="s">
        <v>10236</v>
      </c>
    </row>
    <row r="2399" spans="1:14">
      <c r="A2399" t="s">
        <v>35</v>
      </c>
      <c r="B2399" t="s">
        <v>2562</v>
      </c>
      <c r="C2399">
        <f>"JWZ1018XL"</f>
        <v>0</v>
      </c>
      <c r="D2399">
        <v>1</v>
      </c>
      <c r="E2399">
        <v>2</v>
      </c>
      <c r="F2399" s="2">
        <v>1</v>
      </c>
      <c r="G2399">
        <v>8</v>
      </c>
      <c r="H2399">
        <v>1</v>
      </c>
      <c r="I2399">
        <v>0.1748268617791053</v>
      </c>
      <c r="J2399">
        <v>0</v>
      </c>
      <c r="K2399">
        <v>0</v>
      </c>
      <c r="L2399" s="2">
        <v>0</v>
      </c>
      <c r="M2399">
        <v>27.24</v>
      </c>
      <c r="N2399" t="s">
        <v>10236</v>
      </c>
    </row>
    <row r="2400" spans="1:14">
      <c r="A2400" t="s">
        <v>35</v>
      </c>
      <c r="B2400" t="s">
        <v>2563</v>
      </c>
      <c r="C2400">
        <f>"LS173N"</f>
        <v>0</v>
      </c>
      <c r="D2400">
        <v>1</v>
      </c>
      <c r="E2400">
        <v>2</v>
      </c>
      <c r="F2400" s="2">
        <v>6</v>
      </c>
      <c r="G2400">
        <v>8</v>
      </c>
      <c r="H2400">
        <v>1</v>
      </c>
      <c r="I2400">
        <v>0.1748268617791053</v>
      </c>
      <c r="J2400">
        <v>0</v>
      </c>
      <c r="K2400">
        <v>0</v>
      </c>
      <c r="L2400" s="2">
        <v>0</v>
      </c>
      <c r="M2400">
        <v>27.25</v>
      </c>
      <c r="N2400" t="s">
        <v>10236</v>
      </c>
    </row>
    <row r="2401" spans="1:14">
      <c r="A2401" t="s">
        <v>34</v>
      </c>
      <c r="B2401" t="s">
        <v>2564</v>
      </c>
      <c r="C2401">
        <f>"14000209"</f>
        <v>0</v>
      </c>
      <c r="D2401">
        <v>1</v>
      </c>
      <c r="E2401">
        <v>1</v>
      </c>
      <c r="F2401" s="2">
        <v>0</v>
      </c>
      <c r="G2401">
        <v>4</v>
      </c>
      <c r="H2401">
        <v>1</v>
      </c>
      <c r="I2401">
        <v>0.1748268617791053</v>
      </c>
      <c r="J2401">
        <v>0</v>
      </c>
      <c r="K2401">
        <v>0</v>
      </c>
      <c r="L2401" s="2">
        <v>0</v>
      </c>
      <c r="M2401">
        <v>27.26</v>
      </c>
      <c r="N2401" t="s">
        <v>10236</v>
      </c>
    </row>
    <row r="2402" spans="1:14">
      <c r="A2402" t="s">
        <v>25</v>
      </c>
      <c r="B2402" t="s">
        <v>2565</v>
      </c>
      <c r="C2402">
        <f>"6765040"</f>
        <v>0</v>
      </c>
      <c r="D2402">
        <v>1</v>
      </c>
      <c r="E2402">
        <v>13</v>
      </c>
      <c r="F2402" s="2">
        <v>1</v>
      </c>
      <c r="G2402">
        <v>52</v>
      </c>
      <c r="H2402">
        <v>1</v>
      </c>
      <c r="I2402">
        <v>0.1748268617791053</v>
      </c>
      <c r="J2402">
        <v>0</v>
      </c>
      <c r="K2402">
        <v>0</v>
      </c>
      <c r="L2402" s="2">
        <v>0</v>
      </c>
      <c r="M2402">
        <v>27.26</v>
      </c>
      <c r="N2402" t="s">
        <v>10236</v>
      </c>
    </row>
    <row r="2403" spans="1:14">
      <c r="A2403" t="s">
        <v>25</v>
      </c>
      <c r="B2403" t="s">
        <v>2566</v>
      </c>
      <c r="C2403">
        <f>"6765033"</f>
        <v>0</v>
      </c>
      <c r="D2403">
        <v>1</v>
      </c>
      <c r="E2403">
        <v>2</v>
      </c>
      <c r="F2403" s="2">
        <v>1</v>
      </c>
      <c r="G2403">
        <v>8</v>
      </c>
      <c r="H2403">
        <v>1</v>
      </c>
      <c r="I2403">
        <v>0.1748268617791053</v>
      </c>
      <c r="J2403">
        <v>0</v>
      </c>
      <c r="K2403">
        <v>0</v>
      </c>
      <c r="L2403" s="2">
        <v>0</v>
      </c>
      <c r="M2403">
        <v>27.27</v>
      </c>
      <c r="N2403" t="s">
        <v>10236</v>
      </c>
    </row>
    <row r="2404" spans="1:14">
      <c r="A2404" t="s">
        <v>35</v>
      </c>
      <c r="B2404" t="s">
        <v>2567</v>
      </c>
      <c r="C2404">
        <f>"MSP002CALIP"</f>
        <v>0</v>
      </c>
      <c r="D2404">
        <v>1</v>
      </c>
      <c r="E2404">
        <v>1</v>
      </c>
      <c r="F2404" s="2">
        <v>6</v>
      </c>
      <c r="G2404">
        <v>4</v>
      </c>
      <c r="H2404">
        <v>1</v>
      </c>
      <c r="I2404">
        <v>0.1748268617791053</v>
      </c>
      <c r="J2404">
        <v>0</v>
      </c>
      <c r="K2404">
        <v>0</v>
      </c>
      <c r="L2404" s="2">
        <v>0</v>
      </c>
      <c r="M2404">
        <v>27.28</v>
      </c>
      <c r="N2404" t="s">
        <v>10236</v>
      </c>
    </row>
    <row r="2405" spans="1:14">
      <c r="A2405" t="s">
        <v>35</v>
      </c>
      <c r="B2405" t="s">
        <v>2568</v>
      </c>
      <c r="C2405">
        <f>"FURMCPG"</f>
        <v>0</v>
      </c>
      <c r="D2405">
        <v>1</v>
      </c>
      <c r="E2405">
        <v>9</v>
      </c>
      <c r="F2405" s="2">
        <v>4</v>
      </c>
      <c r="G2405">
        <v>36</v>
      </c>
      <c r="H2405">
        <v>1</v>
      </c>
      <c r="I2405">
        <v>0.1748268617791053</v>
      </c>
      <c r="J2405">
        <v>0</v>
      </c>
      <c r="K2405">
        <v>0</v>
      </c>
      <c r="L2405" s="2">
        <v>0</v>
      </c>
      <c r="M2405">
        <v>27.29</v>
      </c>
      <c r="N2405" t="s">
        <v>10236</v>
      </c>
    </row>
    <row r="2406" spans="1:14">
      <c r="A2406" t="s">
        <v>25</v>
      </c>
      <c r="B2406" t="s">
        <v>2569</v>
      </c>
      <c r="C2406">
        <f>"6765163"</f>
        <v>0</v>
      </c>
      <c r="D2406">
        <v>1</v>
      </c>
      <c r="E2406">
        <v>8</v>
      </c>
      <c r="F2406" s="2">
        <v>2</v>
      </c>
      <c r="G2406">
        <v>32</v>
      </c>
      <c r="H2406">
        <v>1</v>
      </c>
      <c r="I2406">
        <v>0.1748268617791053</v>
      </c>
      <c r="J2406">
        <v>0</v>
      </c>
      <c r="K2406">
        <v>0</v>
      </c>
      <c r="L2406" s="2">
        <v>0</v>
      </c>
      <c r="M2406">
        <v>27.3</v>
      </c>
      <c r="N2406" t="s">
        <v>10236</v>
      </c>
    </row>
    <row r="2407" spans="1:14">
      <c r="A2407" t="s">
        <v>194</v>
      </c>
      <c r="B2407" t="s">
        <v>2570</v>
      </c>
      <c r="C2407">
        <f>"1110014"</f>
        <v>0</v>
      </c>
      <c r="D2407">
        <v>1</v>
      </c>
      <c r="E2407">
        <v>1</v>
      </c>
      <c r="F2407" s="2">
        <v>28</v>
      </c>
      <c r="G2407">
        <v>4</v>
      </c>
      <c r="H2407">
        <v>1</v>
      </c>
      <c r="I2407">
        <v>0.1748268617791053</v>
      </c>
      <c r="J2407">
        <v>0</v>
      </c>
      <c r="K2407">
        <v>0</v>
      </c>
      <c r="L2407" s="2">
        <v>0</v>
      </c>
      <c r="M2407">
        <v>27.31</v>
      </c>
      <c r="N2407" t="s">
        <v>10236</v>
      </c>
    </row>
    <row r="2408" spans="1:14">
      <c r="A2408" t="s">
        <v>35</v>
      </c>
      <c r="B2408" t="s">
        <v>2571</v>
      </c>
      <c r="C2408">
        <f>"DN28"</f>
        <v>0</v>
      </c>
      <c r="D2408">
        <v>1</v>
      </c>
      <c r="E2408">
        <v>6</v>
      </c>
      <c r="F2408" s="2">
        <v>2</v>
      </c>
      <c r="G2408">
        <v>24</v>
      </c>
      <c r="H2408">
        <v>1</v>
      </c>
      <c r="I2408">
        <v>0.1748268617791053</v>
      </c>
      <c r="J2408">
        <v>0</v>
      </c>
      <c r="K2408">
        <v>0</v>
      </c>
      <c r="L2408" s="2">
        <v>0</v>
      </c>
      <c r="M2408">
        <v>27.32</v>
      </c>
      <c r="N2408" t="s">
        <v>10236</v>
      </c>
    </row>
    <row r="2409" spans="1:14">
      <c r="A2409" t="s">
        <v>35</v>
      </c>
      <c r="B2409" t="s">
        <v>2572</v>
      </c>
      <c r="C2409">
        <f>"PT192K"</f>
        <v>0</v>
      </c>
      <c r="D2409">
        <v>1</v>
      </c>
      <c r="E2409">
        <v>2</v>
      </c>
      <c r="F2409" s="2">
        <v>2</v>
      </c>
      <c r="G2409">
        <v>8</v>
      </c>
      <c r="H2409">
        <v>1</v>
      </c>
      <c r="I2409">
        <v>0.1748268617791053</v>
      </c>
      <c r="J2409">
        <v>0</v>
      </c>
      <c r="K2409">
        <v>0</v>
      </c>
      <c r="L2409" s="2">
        <v>0</v>
      </c>
      <c r="M2409">
        <v>27.33</v>
      </c>
      <c r="N2409" t="s">
        <v>10236</v>
      </c>
    </row>
    <row r="2410" spans="1:14">
      <c r="A2410" t="s">
        <v>25</v>
      </c>
      <c r="B2410" t="s">
        <v>2573</v>
      </c>
      <c r="C2410">
        <f>"LF012"</f>
        <v>0</v>
      </c>
      <c r="D2410">
        <v>1</v>
      </c>
      <c r="E2410">
        <v>3</v>
      </c>
      <c r="F2410" s="2">
        <v>2</v>
      </c>
      <c r="G2410">
        <v>12</v>
      </c>
      <c r="H2410">
        <v>1</v>
      </c>
      <c r="I2410">
        <v>0.1748268617791053</v>
      </c>
      <c r="J2410">
        <v>0</v>
      </c>
      <c r="K2410">
        <v>0</v>
      </c>
      <c r="L2410" s="2">
        <v>0</v>
      </c>
      <c r="M2410">
        <v>27.34</v>
      </c>
      <c r="N2410" t="s">
        <v>10236</v>
      </c>
    </row>
    <row r="2411" spans="1:14">
      <c r="A2411" t="s">
        <v>35</v>
      </c>
      <c r="B2411" t="s">
        <v>2574</v>
      </c>
      <c r="C2411">
        <f>"MDD500"</f>
        <v>0</v>
      </c>
      <c r="D2411">
        <v>1</v>
      </c>
      <c r="E2411">
        <v>1</v>
      </c>
      <c r="F2411" s="2">
        <v>8</v>
      </c>
      <c r="G2411">
        <v>4</v>
      </c>
      <c r="H2411">
        <v>1</v>
      </c>
      <c r="I2411">
        <v>0.1748268617791053</v>
      </c>
      <c r="J2411">
        <v>0</v>
      </c>
      <c r="K2411">
        <v>0</v>
      </c>
      <c r="L2411" s="2">
        <v>0</v>
      </c>
      <c r="M2411">
        <v>27.35</v>
      </c>
      <c r="N2411" t="s">
        <v>10236</v>
      </c>
    </row>
    <row r="2412" spans="1:14">
      <c r="A2412" t="s">
        <v>38</v>
      </c>
      <c r="B2412" t="s">
        <v>2575</v>
      </c>
      <c r="C2412">
        <f>"BLG"</f>
        <v>0</v>
      </c>
      <c r="D2412">
        <v>1</v>
      </c>
      <c r="E2412">
        <v>16</v>
      </c>
      <c r="F2412" s="2">
        <v>4</v>
      </c>
      <c r="G2412">
        <v>64</v>
      </c>
      <c r="H2412">
        <v>1</v>
      </c>
      <c r="I2412">
        <v>0.1748268617791053</v>
      </c>
      <c r="J2412">
        <v>0</v>
      </c>
      <c r="K2412">
        <v>0</v>
      </c>
      <c r="L2412" s="2">
        <v>0</v>
      </c>
      <c r="M2412">
        <v>27.36</v>
      </c>
      <c r="N2412" t="s">
        <v>10236</v>
      </c>
    </row>
    <row r="2413" spans="1:14">
      <c r="A2413" t="s">
        <v>35</v>
      </c>
      <c r="B2413" t="s">
        <v>2576</v>
      </c>
      <c r="C2413">
        <f>"749C"</f>
        <v>0</v>
      </c>
      <c r="D2413">
        <v>1</v>
      </c>
      <c r="E2413">
        <v>3</v>
      </c>
      <c r="F2413" s="2">
        <v>1</v>
      </c>
      <c r="G2413">
        <v>12</v>
      </c>
      <c r="H2413">
        <v>1</v>
      </c>
      <c r="I2413">
        <v>0.1748268617791053</v>
      </c>
      <c r="J2413">
        <v>0</v>
      </c>
      <c r="K2413">
        <v>0</v>
      </c>
      <c r="L2413" s="2">
        <v>0</v>
      </c>
      <c r="M2413">
        <v>27.37</v>
      </c>
      <c r="N2413" t="s">
        <v>10236</v>
      </c>
    </row>
    <row r="2414" spans="1:14">
      <c r="A2414" t="s">
        <v>35</v>
      </c>
      <c r="B2414" t="s">
        <v>2577</v>
      </c>
      <c r="C2414">
        <f>"749M"</f>
        <v>0</v>
      </c>
      <c r="D2414">
        <v>1</v>
      </c>
      <c r="E2414">
        <v>2</v>
      </c>
      <c r="F2414" s="2">
        <v>1</v>
      </c>
      <c r="G2414">
        <v>8</v>
      </c>
      <c r="H2414">
        <v>1</v>
      </c>
      <c r="I2414">
        <v>0.1748268617791053</v>
      </c>
      <c r="J2414">
        <v>0</v>
      </c>
      <c r="K2414">
        <v>0</v>
      </c>
      <c r="L2414" s="2">
        <v>0</v>
      </c>
      <c r="M2414">
        <v>27.38</v>
      </c>
      <c r="N2414" t="s">
        <v>10236</v>
      </c>
    </row>
    <row r="2415" spans="1:14">
      <c r="A2415" t="s">
        <v>35</v>
      </c>
      <c r="B2415" t="s">
        <v>2578</v>
      </c>
      <c r="C2415">
        <f>"XB1813NXL"</f>
        <v>0</v>
      </c>
      <c r="D2415">
        <v>1</v>
      </c>
      <c r="E2415">
        <v>2</v>
      </c>
      <c r="F2415" s="2">
        <v>7</v>
      </c>
      <c r="G2415">
        <v>8</v>
      </c>
      <c r="H2415">
        <v>1</v>
      </c>
      <c r="I2415">
        <v>0.1748268617791053</v>
      </c>
      <c r="J2415">
        <v>0</v>
      </c>
      <c r="K2415">
        <v>0</v>
      </c>
      <c r="L2415" s="2">
        <v>0</v>
      </c>
      <c r="M2415">
        <v>27.39</v>
      </c>
      <c r="N2415" t="s">
        <v>10236</v>
      </c>
    </row>
    <row r="2416" spans="1:14">
      <c r="A2416" t="s">
        <v>25</v>
      </c>
      <c r="B2416" t="s">
        <v>2579</v>
      </c>
      <c r="C2416">
        <f>"6765019"</f>
        <v>0</v>
      </c>
      <c r="D2416">
        <v>1</v>
      </c>
      <c r="E2416">
        <v>5</v>
      </c>
      <c r="F2416" s="2">
        <v>2</v>
      </c>
      <c r="G2416">
        <v>20</v>
      </c>
      <c r="H2416">
        <v>1</v>
      </c>
      <c r="I2416">
        <v>0.1748268617791053</v>
      </c>
      <c r="J2416">
        <v>0</v>
      </c>
      <c r="K2416">
        <v>0</v>
      </c>
      <c r="L2416" s="2">
        <v>0</v>
      </c>
      <c r="M2416">
        <v>27.39</v>
      </c>
      <c r="N2416" t="s">
        <v>10236</v>
      </c>
    </row>
    <row r="2417" spans="1:14">
      <c r="A2417" t="s">
        <v>35</v>
      </c>
      <c r="B2417" t="s">
        <v>2580</v>
      </c>
      <c r="C2417">
        <f>"COO2834S"</f>
        <v>0</v>
      </c>
      <c r="D2417">
        <v>1</v>
      </c>
      <c r="E2417">
        <v>2</v>
      </c>
      <c r="F2417" s="2">
        <v>9</v>
      </c>
      <c r="G2417">
        <v>8</v>
      </c>
      <c r="H2417">
        <v>1</v>
      </c>
      <c r="I2417">
        <v>0.1748268617791053</v>
      </c>
      <c r="J2417">
        <v>0</v>
      </c>
      <c r="K2417">
        <v>0</v>
      </c>
      <c r="L2417" s="2">
        <v>0</v>
      </c>
      <c r="M2417">
        <v>27.4</v>
      </c>
      <c r="N2417" t="s">
        <v>10236</v>
      </c>
    </row>
    <row r="2418" spans="1:14">
      <c r="A2418" t="s">
        <v>24</v>
      </c>
      <c r="B2418" t="s">
        <v>2581</v>
      </c>
      <c r="C2418">
        <f>"1520201"</f>
        <v>0</v>
      </c>
      <c r="D2418">
        <v>1</v>
      </c>
      <c r="E2418">
        <v>2</v>
      </c>
      <c r="F2418" s="2">
        <v>1</v>
      </c>
      <c r="G2418">
        <v>8</v>
      </c>
      <c r="H2418">
        <v>1</v>
      </c>
      <c r="I2418">
        <v>0.1748268617791053</v>
      </c>
      <c r="J2418">
        <v>0</v>
      </c>
      <c r="K2418">
        <v>0</v>
      </c>
      <c r="L2418" s="2">
        <v>0</v>
      </c>
      <c r="M2418">
        <v>27.41</v>
      </c>
      <c r="N2418" t="s">
        <v>10236</v>
      </c>
    </row>
    <row r="2419" spans="1:14">
      <c r="A2419" t="s">
        <v>35</v>
      </c>
      <c r="B2419" t="s">
        <v>2582</v>
      </c>
      <c r="C2419">
        <f>"JXV1801S"</f>
        <v>0</v>
      </c>
      <c r="D2419">
        <v>1</v>
      </c>
      <c r="E2419">
        <v>6</v>
      </c>
      <c r="F2419" s="2">
        <v>5</v>
      </c>
      <c r="G2419">
        <v>24</v>
      </c>
      <c r="H2419">
        <v>1</v>
      </c>
      <c r="I2419">
        <v>0.1748268617791053</v>
      </c>
      <c r="J2419">
        <v>0</v>
      </c>
      <c r="K2419">
        <v>0</v>
      </c>
      <c r="L2419" s="2">
        <v>0</v>
      </c>
      <c r="M2419">
        <v>27.42</v>
      </c>
      <c r="N2419" t="s">
        <v>10236</v>
      </c>
    </row>
    <row r="2420" spans="1:14">
      <c r="A2420" t="s">
        <v>29</v>
      </c>
      <c r="B2420" t="s">
        <v>2583</v>
      </c>
      <c r="C2420">
        <f>"CH22274AS"</f>
        <v>0</v>
      </c>
      <c r="D2420">
        <v>1</v>
      </c>
      <c r="E2420">
        <v>7</v>
      </c>
      <c r="F2420" s="2">
        <v>7</v>
      </c>
      <c r="G2420">
        <v>28</v>
      </c>
      <c r="H2420">
        <v>1</v>
      </c>
      <c r="I2420">
        <v>0.1748268617791053</v>
      </c>
      <c r="J2420">
        <v>0</v>
      </c>
      <c r="K2420">
        <v>0</v>
      </c>
      <c r="L2420" s="2">
        <v>0</v>
      </c>
      <c r="M2420">
        <v>27.43</v>
      </c>
      <c r="N2420" t="s">
        <v>10236</v>
      </c>
    </row>
    <row r="2421" spans="1:14">
      <c r="A2421" t="s">
        <v>35</v>
      </c>
      <c r="B2421" t="s">
        <v>2584</v>
      </c>
      <c r="C2421">
        <f>"HDDZ71"</f>
        <v>0</v>
      </c>
      <c r="D2421">
        <v>1</v>
      </c>
      <c r="E2421">
        <v>1</v>
      </c>
      <c r="F2421" s="2">
        <v>5</v>
      </c>
      <c r="G2421">
        <v>4</v>
      </c>
      <c r="H2421">
        <v>1</v>
      </c>
      <c r="I2421">
        <v>0.1748268617791053</v>
      </c>
      <c r="J2421">
        <v>0</v>
      </c>
      <c r="K2421">
        <v>0</v>
      </c>
      <c r="L2421" s="2">
        <v>0</v>
      </c>
      <c r="M2421">
        <v>27.44</v>
      </c>
      <c r="N2421" t="s">
        <v>10236</v>
      </c>
    </row>
    <row r="2422" spans="1:14">
      <c r="A2422" t="s">
        <v>30</v>
      </c>
      <c r="B2422" t="s">
        <v>2585</v>
      </c>
      <c r="C2422">
        <f>"101152"</f>
        <v>0</v>
      </c>
      <c r="D2422">
        <v>1</v>
      </c>
      <c r="E2422">
        <v>6</v>
      </c>
      <c r="F2422" s="2">
        <v>1</v>
      </c>
      <c r="G2422">
        <v>24</v>
      </c>
      <c r="H2422">
        <v>1</v>
      </c>
      <c r="I2422">
        <v>0.1748268617791053</v>
      </c>
      <c r="J2422">
        <v>0</v>
      </c>
      <c r="K2422">
        <v>0</v>
      </c>
      <c r="L2422" s="2">
        <v>0</v>
      </c>
      <c r="M2422">
        <v>27.45</v>
      </c>
      <c r="N2422" t="s">
        <v>10236</v>
      </c>
    </row>
    <row r="2423" spans="1:14">
      <c r="A2423" t="s">
        <v>214</v>
      </c>
      <c r="B2423" t="s">
        <v>2586</v>
      </c>
      <c r="C2423">
        <f>"77033"</f>
        <v>0</v>
      </c>
      <c r="D2423">
        <v>1</v>
      </c>
      <c r="E2423">
        <v>1</v>
      </c>
      <c r="F2423" s="2">
        <v>1</v>
      </c>
      <c r="G2423">
        <v>4</v>
      </c>
      <c r="H2423">
        <v>1</v>
      </c>
      <c r="I2423">
        <v>0.1748268617791053</v>
      </c>
      <c r="J2423">
        <v>0</v>
      </c>
      <c r="K2423">
        <v>0</v>
      </c>
      <c r="L2423" s="2">
        <v>0</v>
      </c>
      <c r="M2423">
        <v>27.46</v>
      </c>
      <c r="N2423" t="s">
        <v>10236</v>
      </c>
    </row>
    <row r="2424" spans="1:14">
      <c r="A2424" t="s">
        <v>32</v>
      </c>
      <c r="B2424" t="s">
        <v>2587</v>
      </c>
      <c r="C2424">
        <f>"5000437"</f>
        <v>0</v>
      </c>
      <c r="D2424">
        <v>1</v>
      </c>
      <c r="E2424">
        <v>15</v>
      </c>
      <c r="F2424" s="2">
        <v>9</v>
      </c>
      <c r="G2424">
        <v>60</v>
      </c>
      <c r="H2424">
        <v>1</v>
      </c>
      <c r="I2424">
        <v>0.1748268617791053</v>
      </c>
      <c r="J2424">
        <v>0</v>
      </c>
      <c r="K2424">
        <v>0</v>
      </c>
      <c r="L2424" s="2">
        <v>0</v>
      </c>
      <c r="M2424">
        <v>27.47</v>
      </c>
      <c r="N2424" t="s">
        <v>10236</v>
      </c>
    </row>
    <row r="2425" spans="1:14">
      <c r="A2425" t="s">
        <v>35</v>
      </c>
      <c r="B2425" t="s">
        <v>2588</v>
      </c>
      <c r="C2425">
        <f>"HD25L"</f>
        <v>0</v>
      </c>
      <c r="D2425">
        <v>1</v>
      </c>
      <c r="E2425">
        <v>2</v>
      </c>
      <c r="F2425" s="2">
        <v>3</v>
      </c>
      <c r="G2425">
        <v>8</v>
      </c>
      <c r="H2425">
        <v>1</v>
      </c>
      <c r="I2425">
        <v>0.1748268617791053</v>
      </c>
      <c r="J2425">
        <v>0</v>
      </c>
      <c r="K2425">
        <v>0</v>
      </c>
      <c r="L2425" s="2">
        <v>0</v>
      </c>
      <c r="M2425">
        <v>27.48</v>
      </c>
      <c r="N2425" t="s">
        <v>10236</v>
      </c>
    </row>
    <row r="2426" spans="1:14">
      <c r="A2426" t="s">
        <v>35</v>
      </c>
      <c r="B2426" t="s">
        <v>2589</v>
      </c>
      <c r="C2426">
        <f>"HD25M"</f>
        <v>0</v>
      </c>
      <c r="D2426">
        <v>1</v>
      </c>
      <c r="E2426">
        <v>1</v>
      </c>
      <c r="F2426" s="2">
        <v>3</v>
      </c>
      <c r="G2426">
        <v>4</v>
      </c>
      <c r="H2426">
        <v>1</v>
      </c>
      <c r="I2426">
        <v>0.1748268617791053</v>
      </c>
      <c r="J2426">
        <v>0</v>
      </c>
      <c r="K2426">
        <v>0</v>
      </c>
      <c r="L2426" s="2">
        <v>0</v>
      </c>
      <c r="M2426">
        <v>27.49</v>
      </c>
      <c r="N2426" t="s">
        <v>10236</v>
      </c>
    </row>
    <row r="2427" spans="1:14">
      <c r="A2427" t="s">
        <v>35</v>
      </c>
      <c r="B2427" t="s">
        <v>2590</v>
      </c>
      <c r="C2427">
        <f>"HD25XL"</f>
        <v>0</v>
      </c>
      <c r="D2427">
        <v>1</v>
      </c>
      <c r="E2427">
        <v>7</v>
      </c>
      <c r="F2427" s="2">
        <v>4</v>
      </c>
      <c r="G2427">
        <v>28</v>
      </c>
      <c r="H2427">
        <v>1</v>
      </c>
      <c r="I2427">
        <v>0.1748268617791053</v>
      </c>
      <c r="J2427">
        <v>0</v>
      </c>
      <c r="K2427">
        <v>0</v>
      </c>
      <c r="L2427" s="2">
        <v>0</v>
      </c>
      <c r="M2427">
        <v>27.5</v>
      </c>
      <c r="N2427" t="s">
        <v>10236</v>
      </c>
    </row>
    <row r="2428" spans="1:14">
      <c r="A2428" t="s">
        <v>31</v>
      </c>
      <c r="B2428" t="s">
        <v>2591</v>
      </c>
      <c r="C2428">
        <f>"RCM025"</f>
        <v>0</v>
      </c>
      <c r="D2428">
        <v>1</v>
      </c>
      <c r="E2428">
        <v>15</v>
      </c>
      <c r="F2428" s="2">
        <v>7</v>
      </c>
      <c r="G2428">
        <v>60</v>
      </c>
      <c r="H2428">
        <v>1</v>
      </c>
      <c r="I2428">
        <v>0.1748268617791053</v>
      </c>
      <c r="J2428">
        <v>0</v>
      </c>
      <c r="K2428">
        <v>0</v>
      </c>
      <c r="L2428" s="2">
        <v>0</v>
      </c>
      <c r="M2428">
        <v>27.51</v>
      </c>
      <c r="N2428" t="s">
        <v>10236</v>
      </c>
    </row>
    <row r="2429" spans="1:14">
      <c r="A2429" t="s">
        <v>25</v>
      </c>
      <c r="B2429" t="s">
        <v>2592</v>
      </c>
      <c r="C2429">
        <f>"BEP22R"</f>
        <v>0</v>
      </c>
      <c r="D2429">
        <v>1</v>
      </c>
      <c r="E2429">
        <v>4</v>
      </c>
      <c r="F2429" s="2">
        <v>2</v>
      </c>
      <c r="G2429">
        <v>16</v>
      </c>
      <c r="H2429">
        <v>1</v>
      </c>
      <c r="I2429">
        <v>0.1748268617791053</v>
      </c>
      <c r="J2429">
        <v>0</v>
      </c>
      <c r="K2429">
        <v>0</v>
      </c>
      <c r="L2429" s="2">
        <v>0</v>
      </c>
      <c r="M2429">
        <v>27.51</v>
      </c>
      <c r="N2429" t="s">
        <v>10236</v>
      </c>
    </row>
    <row r="2430" spans="1:14">
      <c r="A2430" t="s">
        <v>40</v>
      </c>
      <c r="B2430" t="s">
        <v>2593</v>
      </c>
      <c r="C2430">
        <f>"V100855"</f>
        <v>0</v>
      </c>
      <c r="D2430">
        <v>1</v>
      </c>
      <c r="E2430">
        <v>4</v>
      </c>
      <c r="F2430" s="2">
        <v>2</v>
      </c>
      <c r="G2430">
        <v>16</v>
      </c>
      <c r="H2430">
        <v>1</v>
      </c>
      <c r="I2430">
        <v>0.1748268617791053</v>
      </c>
      <c r="J2430">
        <v>0</v>
      </c>
      <c r="K2430">
        <v>0</v>
      </c>
      <c r="L2430" s="2">
        <v>0</v>
      </c>
      <c r="M2430">
        <v>27.52</v>
      </c>
      <c r="N2430" t="s">
        <v>10236</v>
      </c>
    </row>
    <row r="2431" spans="1:14">
      <c r="A2431" t="s">
        <v>30</v>
      </c>
      <c r="B2431" t="s">
        <v>2594</v>
      </c>
      <c r="C2431">
        <f>"101104"</f>
        <v>0</v>
      </c>
      <c r="D2431">
        <v>1</v>
      </c>
      <c r="E2431">
        <v>4</v>
      </c>
      <c r="F2431" s="2">
        <v>4</v>
      </c>
      <c r="G2431">
        <v>16</v>
      </c>
      <c r="H2431">
        <v>1</v>
      </c>
      <c r="I2431">
        <v>0.1748268617791053</v>
      </c>
      <c r="J2431">
        <v>0</v>
      </c>
      <c r="K2431">
        <v>0</v>
      </c>
      <c r="L2431" s="2">
        <v>0</v>
      </c>
      <c r="M2431">
        <v>27.53</v>
      </c>
      <c r="N2431" t="s">
        <v>10236</v>
      </c>
    </row>
    <row r="2432" spans="1:14">
      <c r="A2432" t="s">
        <v>27</v>
      </c>
      <c r="B2432" t="s">
        <v>2595</v>
      </c>
      <c r="C2432">
        <f>"USA711"</f>
        <v>0</v>
      </c>
      <c r="D2432">
        <v>1</v>
      </c>
      <c r="E2432">
        <v>18</v>
      </c>
      <c r="F2432" s="2">
        <v>1</v>
      </c>
      <c r="G2432">
        <v>72</v>
      </c>
      <c r="H2432">
        <v>1</v>
      </c>
      <c r="I2432">
        <v>0.1748268617791053</v>
      </c>
      <c r="J2432">
        <v>0</v>
      </c>
      <c r="K2432">
        <v>0</v>
      </c>
      <c r="L2432" s="2">
        <v>0</v>
      </c>
      <c r="M2432">
        <v>27.54</v>
      </c>
      <c r="N2432" t="s">
        <v>10236</v>
      </c>
    </row>
    <row r="2433" spans="1:14">
      <c r="A2433" t="s">
        <v>35</v>
      </c>
      <c r="B2433" t="s">
        <v>2596</v>
      </c>
      <c r="C2433">
        <f>"HDD129"</f>
        <v>0</v>
      </c>
      <c r="D2433">
        <v>1</v>
      </c>
      <c r="E2433">
        <v>1</v>
      </c>
      <c r="F2433" s="2">
        <v>711</v>
      </c>
      <c r="G2433">
        <v>4</v>
      </c>
      <c r="H2433">
        <v>1</v>
      </c>
      <c r="I2433">
        <v>0.1748268617791053</v>
      </c>
      <c r="J2433">
        <v>0</v>
      </c>
      <c r="K2433">
        <v>0</v>
      </c>
      <c r="L2433" s="2">
        <v>0</v>
      </c>
      <c r="M2433">
        <v>27.55</v>
      </c>
      <c r="N2433" t="s">
        <v>10236</v>
      </c>
    </row>
    <row r="2434" spans="1:14">
      <c r="A2434" t="s">
        <v>35</v>
      </c>
      <c r="B2434" t="s">
        <v>2597</v>
      </c>
      <c r="C2434">
        <f>"S2"</f>
        <v>0</v>
      </c>
      <c r="D2434">
        <v>1</v>
      </c>
      <c r="E2434">
        <v>1</v>
      </c>
      <c r="F2434" s="2">
        <v>4</v>
      </c>
      <c r="G2434">
        <v>4</v>
      </c>
      <c r="H2434">
        <v>1</v>
      </c>
      <c r="I2434">
        <v>0.1748268617791053</v>
      </c>
      <c r="J2434">
        <v>0</v>
      </c>
      <c r="K2434">
        <v>0</v>
      </c>
      <c r="L2434" s="2">
        <v>0</v>
      </c>
      <c r="M2434">
        <v>27.56</v>
      </c>
      <c r="N2434" t="s">
        <v>10236</v>
      </c>
    </row>
    <row r="2435" spans="1:14">
      <c r="A2435" t="s">
        <v>35</v>
      </c>
      <c r="B2435" t="s">
        <v>2598</v>
      </c>
      <c r="C2435">
        <f>"D311S"</f>
        <v>0</v>
      </c>
      <c r="D2435">
        <v>1</v>
      </c>
      <c r="E2435">
        <v>8</v>
      </c>
      <c r="F2435" s="2">
        <v>1</v>
      </c>
      <c r="G2435">
        <v>32</v>
      </c>
      <c r="H2435">
        <v>1</v>
      </c>
      <c r="I2435">
        <v>0.1748268617791053</v>
      </c>
      <c r="J2435">
        <v>0</v>
      </c>
      <c r="K2435">
        <v>0</v>
      </c>
      <c r="L2435" s="2">
        <v>0</v>
      </c>
      <c r="M2435">
        <v>27.57</v>
      </c>
      <c r="N2435" t="s">
        <v>10236</v>
      </c>
    </row>
    <row r="2436" spans="1:14">
      <c r="A2436" t="s">
        <v>29</v>
      </c>
      <c r="B2436" t="s">
        <v>2599</v>
      </c>
      <c r="C2436">
        <f>"D50"</f>
        <v>0</v>
      </c>
      <c r="D2436">
        <v>1</v>
      </c>
      <c r="E2436">
        <v>2</v>
      </c>
      <c r="F2436" s="2">
        <v>7</v>
      </c>
      <c r="G2436">
        <v>8</v>
      </c>
      <c r="H2436">
        <v>1</v>
      </c>
      <c r="I2436">
        <v>0.1748268617791053</v>
      </c>
      <c r="J2436">
        <v>0</v>
      </c>
      <c r="K2436">
        <v>0</v>
      </c>
      <c r="L2436" s="2">
        <v>0</v>
      </c>
      <c r="M2436">
        <v>27.58</v>
      </c>
      <c r="N2436" t="s">
        <v>10236</v>
      </c>
    </row>
    <row r="2437" spans="1:14">
      <c r="A2437" t="s">
        <v>35</v>
      </c>
      <c r="B2437" t="s">
        <v>2600</v>
      </c>
      <c r="C2437">
        <f>"MSP109G"</f>
        <v>0</v>
      </c>
      <c r="D2437">
        <v>1</v>
      </c>
      <c r="E2437">
        <v>8</v>
      </c>
      <c r="F2437" s="2">
        <v>18</v>
      </c>
      <c r="G2437">
        <v>32</v>
      </c>
      <c r="H2437">
        <v>1</v>
      </c>
      <c r="I2437">
        <v>0.1748268617791053</v>
      </c>
      <c r="J2437">
        <v>0</v>
      </c>
      <c r="K2437">
        <v>0</v>
      </c>
      <c r="L2437" s="2">
        <v>0</v>
      </c>
      <c r="M2437">
        <v>27.59</v>
      </c>
      <c r="N2437" t="s">
        <v>10236</v>
      </c>
    </row>
    <row r="2438" spans="1:14">
      <c r="A2438" t="s">
        <v>203</v>
      </c>
      <c r="B2438" t="s">
        <v>2601</v>
      </c>
      <c r="C2438">
        <f>"753315"</f>
        <v>0</v>
      </c>
      <c r="D2438">
        <v>1</v>
      </c>
      <c r="E2438">
        <v>1</v>
      </c>
      <c r="F2438" s="2">
        <v>15</v>
      </c>
      <c r="G2438">
        <v>4</v>
      </c>
      <c r="H2438">
        <v>1</v>
      </c>
      <c r="I2438">
        <v>0.1748268617791053</v>
      </c>
      <c r="J2438">
        <v>0</v>
      </c>
      <c r="K2438">
        <v>0</v>
      </c>
      <c r="L2438" s="2">
        <v>0</v>
      </c>
      <c r="M2438">
        <v>27.6</v>
      </c>
      <c r="N2438" t="s">
        <v>10236</v>
      </c>
    </row>
    <row r="2439" spans="1:14">
      <c r="A2439" t="s">
        <v>25</v>
      </c>
      <c r="B2439" t="s">
        <v>2602</v>
      </c>
      <c r="C2439">
        <f>"LS1040"</f>
        <v>0</v>
      </c>
      <c r="D2439">
        <v>1</v>
      </c>
      <c r="E2439">
        <v>2</v>
      </c>
      <c r="F2439" s="2">
        <v>1</v>
      </c>
      <c r="G2439">
        <v>8</v>
      </c>
      <c r="H2439">
        <v>1</v>
      </c>
      <c r="I2439">
        <v>0.1748268617791053</v>
      </c>
      <c r="J2439">
        <v>0</v>
      </c>
      <c r="K2439">
        <v>0</v>
      </c>
      <c r="L2439" s="2">
        <v>0</v>
      </c>
      <c r="M2439">
        <v>27.61</v>
      </c>
      <c r="N2439" t="s">
        <v>10236</v>
      </c>
    </row>
    <row r="2440" spans="1:14">
      <c r="A2440" t="s">
        <v>35</v>
      </c>
      <c r="B2440" t="s">
        <v>2603</v>
      </c>
      <c r="C2440">
        <f>"P25"</f>
        <v>0</v>
      </c>
      <c r="D2440">
        <v>1</v>
      </c>
      <c r="E2440">
        <v>14</v>
      </c>
      <c r="F2440" s="2">
        <v>15</v>
      </c>
      <c r="G2440">
        <v>56</v>
      </c>
      <c r="H2440">
        <v>1</v>
      </c>
      <c r="I2440">
        <v>0.1748268617791053</v>
      </c>
      <c r="J2440">
        <v>0</v>
      </c>
      <c r="K2440">
        <v>0</v>
      </c>
      <c r="L2440" s="2">
        <v>0</v>
      </c>
      <c r="M2440">
        <v>27.62</v>
      </c>
      <c r="N2440" t="s">
        <v>10236</v>
      </c>
    </row>
    <row r="2441" spans="1:14">
      <c r="A2441" t="s">
        <v>35</v>
      </c>
      <c r="B2441" t="s">
        <v>2604</v>
      </c>
      <c r="C2441">
        <f>"WIN102"</f>
        <v>0</v>
      </c>
      <c r="D2441">
        <v>1</v>
      </c>
      <c r="E2441">
        <v>8</v>
      </c>
      <c r="F2441" s="2">
        <v>2</v>
      </c>
      <c r="G2441">
        <v>32</v>
      </c>
      <c r="H2441">
        <v>1</v>
      </c>
      <c r="I2441">
        <v>0.1748268617791053</v>
      </c>
      <c r="J2441">
        <v>0</v>
      </c>
      <c r="K2441">
        <v>0</v>
      </c>
      <c r="L2441" s="2">
        <v>0</v>
      </c>
      <c r="M2441">
        <v>27.63</v>
      </c>
      <c r="N2441" t="s">
        <v>10236</v>
      </c>
    </row>
    <row r="2442" spans="1:14">
      <c r="A2442" t="s">
        <v>35</v>
      </c>
      <c r="B2442" t="s">
        <v>2605</v>
      </c>
      <c r="C2442">
        <f>"C407"</f>
        <v>0</v>
      </c>
      <c r="D2442">
        <v>1</v>
      </c>
      <c r="E2442">
        <v>39</v>
      </c>
      <c r="F2442" s="2">
        <v>4</v>
      </c>
      <c r="G2442">
        <v>156</v>
      </c>
      <c r="H2442">
        <v>1</v>
      </c>
      <c r="I2442">
        <v>0.1748268617791053</v>
      </c>
      <c r="J2442">
        <v>0</v>
      </c>
      <c r="K2442">
        <v>0</v>
      </c>
      <c r="L2442" s="2">
        <v>0</v>
      </c>
      <c r="M2442">
        <v>27.63</v>
      </c>
      <c r="N2442" t="s">
        <v>10236</v>
      </c>
    </row>
    <row r="2443" spans="1:14">
      <c r="A2443" t="s">
        <v>35</v>
      </c>
      <c r="B2443" t="s">
        <v>2606</v>
      </c>
      <c r="C2443">
        <f>"SDR233"</f>
        <v>0</v>
      </c>
      <c r="D2443">
        <v>1</v>
      </c>
      <c r="E2443">
        <v>1</v>
      </c>
      <c r="F2443" s="2">
        <v>3</v>
      </c>
      <c r="G2443">
        <v>4</v>
      </c>
      <c r="H2443">
        <v>1</v>
      </c>
      <c r="I2443">
        <v>0.1748268617791053</v>
      </c>
      <c r="J2443">
        <v>0</v>
      </c>
      <c r="K2443">
        <v>0</v>
      </c>
      <c r="L2443" s="2">
        <v>0</v>
      </c>
      <c r="M2443">
        <v>27.64</v>
      </c>
      <c r="N2443" t="s">
        <v>10236</v>
      </c>
    </row>
    <row r="2444" spans="1:14">
      <c r="A2444" t="s">
        <v>35</v>
      </c>
      <c r="B2444" t="s">
        <v>2607</v>
      </c>
      <c r="C2444">
        <f>"JD1L"</f>
        <v>0</v>
      </c>
      <c r="D2444">
        <v>1</v>
      </c>
      <c r="E2444">
        <v>3</v>
      </c>
      <c r="F2444" s="2">
        <v>1</v>
      </c>
      <c r="G2444">
        <v>12</v>
      </c>
      <c r="H2444">
        <v>1</v>
      </c>
      <c r="I2444">
        <v>0.1748268617791053</v>
      </c>
      <c r="J2444">
        <v>0</v>
      </c>
      <c r="K2444">
        <v>0</v>
      </c>
      <c r="L2444" s="2">
        <v>0</v>
      </c>
      <c r="M2444">
        <v>27.65</v>
      </c>
      <c r="N2444" t="s">
        <v>10236</v>
      </c>
    </row>
    <row r="2445" spans="1:14">
      <c r="A2445" t="s">
        <v>202</v>
      </c>
      <c r="B2445" t="s">
        <v>2608</v>
      </c>
      <c r="C2445">
        <f>"21002057"</f>
        <v>0</v>
      </c>
      <c r="D2445">
        <v>1</v>
      </c>
      <c r="E2445">
        <v>2</v>
      </c>
      <c r="F2445" s="2">
        <v>14</v>
      </c>
      <c r="G2445">
        <v>8</v>
      </c>
      <c r="H2445">
        <v>1</v>
      </c>
      <c r="I2445">
        <v>0.1748268617791053</v>
      </c>
      <c r="J2445">
        <v>0</v>
      </c>
      <c r="K2445">
        <v>0</v>
      </c>
      <c r="L2445" s="2">
        <v>0</v>
      </c>
      <c r="M2445">
        <v>27.66</v>
      </c>
      <c r="N2445" t="s">
        <v>10236</v>
      </c>
    </row>
    <row r="2446" spans="1:14">
      <c r="A2446" t="s">
        <v>35</v>
      </c>
      <c r="B2446" t="s">
        <v>2609</v>
      </c>
      <c r="C2446">
        <f>"FB870LA"</f>
        <v>0</v>
      </c>
      <c r="D2446">
        <v>1</v>
      </c>
      <c r="E2446">
        <v>1</v>
      </c>
      <c r="F2446" s="2">
        <v>3</v>
      </c>
      <c r="G2446">
        <v>4</v>
      </c>
      <c r="H2446">
        <v>1</v>
      </c>
      <c r="I2446">
        <v>0.1748268617791053</v>
      </c>
      <c r="J2446">
        <v>0</v>
      </c>
      <c r="K2446">
        <v>0</v>
      </c>
      <c r="L2446" s="2">
        <v>0</v>
      </c>
      <c r="M2446">
        <v>27.67</v>
      </c>
      <c r="N2446" t="s">
        <v>10236</v>
      </c>
    </row>
    <row r="2447" spans="1:14">
      <c r="A2447" t="s">
        <v>35</v>
      </c>
      <c r="B2447" t="s">
        <v>2610</v>
      </c>
      <c r="C2447">
        <f>"ZYD03"</f>
        <v>0</v>
      </c>
      <c r="D2447">
        <v>1</v>
      </c>
      <c r="E2447">
        <v>6</v>
      </c>
      <c r="F2447" s="2">
        <v>4</v>
      </c>
      <c r="G2447">
        <v>24</v>
      </c>
      <c r="H2447">
        <v>1</v>
      </c>
      <c r="I2447">
        <v>0.1748268617791053</v>
      </c>
      <c r="J2447">
        <v>0</v>
      </c>
      <c r="K2447">
        <v>0</v>
      </c>
      <c r="L2447" s="2">
        <v>0</v>
      </c>
      <c r="M2447">
        <v>27.68</v>
      </c>
      <c r="N2447" t="s">
        <v>10236</v>
      </c>
    </row>
    <row r="2448" spans="1:14">
      <c r="A2448" t="s">
        <v>29</v>
      </c>
      <c r="B2448" t="s">
        <v>2611</v>
      </c>
      <c r="C2448">
        <f>"CNI500"</f>
        <v>0</v>
      </c>
      <c r="D2448">
        <v>1</v>
      </c>
      <c r="E2448">
        <v>2</v>
      </c>
      <c r="F2448" s="2">
        <v>5</v>
      </c>
      <c r="G2448">
        <v>8</v>
      </c>
      <c r="H2448">
        <v>1</v>
      </c>
      <c r="I2448">
        <v>0.1748268617791053</v>
      </c>
      <c r="J2448">
        <v>0</v>
      </c>
      <c r="K2448">
        <v>0</v>
      </c>
      <c r="L2448" s="2">
        <v>0</v>
      </c>
      <c r="M2448">
        <v>27.69</v>
      </c>
      <c r="N2448" t="s">
        <v>10236</v>
      </c>
    </row>
    <row r="2449" spans="1:14">
      <c r="A2449" t="s">
        <v>24</v>
      </c>
      <c r="B2449" t="s">
        <v>2612</v>
      </c>
      <c r="C2449">
        <f>"1160001"</f>
        <v>0</v>
      </c>
      <c r="D2449">
        <v>1</v>
      </c>
      <c r="E2449">
        <v>3</v>
      </c>
      <c r="F2449" s="2">
        <v>5</v>
      </c>
      <c r="G2449">
        <v>12</v>
      </c>
      <c r="H2449">
        <v>1</v>
      </c>
      <c r="I2449">
        <v>0.1748268617791053</v>
      </c>
      <c r="J2449">
        <v>0</v>
      </c>
      <c r="K2449">
        <v>0</v>
      </c>
      <c r="L2449" s="2">
        <v>0</v>
      </c>
      <c r="M2449">
        <v>27.7</v>
      </c>
      <c r="N2449" t="s">
        <v>10236</v>
      </c>
    </row>
    <row r="2450" spans="1:14">
      <c r="A2450" t="s">
        <v>35</v>
      </c>
      <c r="B2450" t="s">
        <v>2613</v>
      </c>
      <c r="C2450">
        <f>"1806TXL"</f>
        <v>0</v>
      </c>
      <c r="D2450">
        <v>1</v>
      </c>
      <c r="E2450">
        <v>15</v>
      </c>
      <c r="F2450" s="2">
        <v>3</v>
      </c>
      <c r="G2450">
        <v>60</v>
      </c>
      <c r="H2450">
        <v>1</v>
      </c>
      <c r="I2450">
        <v>0.1748268617791053</v>
      </c>
      <c r="J2450">
        <v>0</v>
      </c>
      <c r="K2450">
        <v>0</v>
      </c>
      <c r="L2450" s="2">
        <v>0</v>
      </c>
      <c r="M2450">
        <v>27.71</v>
      </c>
      <c r="N2450" t="s">
        <v>10236</v>
      </c>
    </row>
    <row r="2451" spans="1:14">
      <c r="A2451" t="s">
        <v>35</v>
      </c>
      <c r="B2451" t="s">
        <v>345</v>
      </c>
      <c r="C2451">
        <f>"RJ824G"</f>
        <v>0</v>
      </c>
      <c r="D2451">
        <v>1</v>
      </c>
      <c r="E2451">
        <v>5</v>
      </c>
      <c r="F2451" s="2">
        <v>3</v>
      </c>
      <c r="G2451">
        <v>20</v>
      </c>
      <c r="H2451">
        <v>1</v>
      </c>
      <c r="I2451">
        <v>0.1748268617791053</v>
      </c>
      <c r="J2451">
        <v>0</v>
      </c>
      <c r="K2451">
        <v>0</v>
      </c>
      <c r="L2451" s="2">
        <v>0</v>
      </c>
      <c r="M2451">
        <v>27.72</v>
      </c>
      <c r="N2451" t="s">
        <v>10236</v>
      </c>
    </row>
    <row r="2452" spans="1:14">
      <c r="A2452" t="s">
        <v>35</v>
      </c>
      <c r="B2452" t="s">
        <v>2614</v>
      </c>
      <c r="C2452">
        <f>"1806TM"</f>
        <v>0</v>
      </c>
      <c r="D2452">
        <v>1</v>
      </c>
      <c r="E2452">
        <v>17</v>
      </c>
      <c r="F2452" s="2">
        <v>3</v>
      </c>
      <c r="G2452">
        <v>68</v>
      </c>
      <c r="H2452">
        <v>1</v>
      </c>
      <c r="I2452">
        <v>0.1748268617791053</v>
      </c>
      <c r="J2452">
        <v>0</v>
      </c>
      <c r="K2452">
        <v>0</v>
      </c>
      <c r="L2452" s="2">
        <v>0</v>
      </c>
      <c r="M2452">
        <v>27.73</v>
      </c>
      <c r="N2452" t="s">
        <v>10236</v>
      </c>
    </row>
    <row r="2453" spans="1:14">
      <c r="A2453" t="s">
        <v>29</v>
      </c>
      <c r="B2453" t="s">
        <v>2615</v>
      </c>
      <c r="C2453">
        <f>"34011"</f>
        <v>0</v>
      </c>
      <c r="D2453">
        <v>1</v>
      </c>
      <c r="E2453">
        <v>3</v>
      </c>
      <c r="F2453" s="2">
        <v>2</v>
      </c>
      <c r="G2453">
        <v>12</v>
      </c>
      <c r="H2453">
        <v>1</v>
      </c>
      <c r="I2453">
        <v>0.1748268617791053</v>
      </c>
      <c r="J2453">
        <v>0</v>
      </c>
      <c r="K2453">
        <v>0</v>
      </c>
      <c r="L2453" s="2">
        <v>0</v>
      </c>
      <c r="M2453">
        <v>27.74</v>
      </c>
      <c r="N2453" t="s">
        <v>10236</v>
      </c>
    </row>
    <row r="2454" spans="1:14">
      <c r="A2454" t="s">
        <v>35</v>
      </c>
      <c r="B2454" t="s">
        <v>2616</v>
      </c>
      <c r="C2454">
        <f>"TDI908"</f>
        <v>0</v>
      </c>
      <c r="D2454">
        <v>1</v>
      </c>
      <c r="E2454">
        <v>10</v>
      </c>
      <c r="F2454" s="2">
        <v>4</v>
      </c>
      <c r="G2454">
        <v>40</v>
      </c>
      <c r="H2454">
        <v>1</v>
      </c>
      <c r="I2454">
        <v>0.1748268617791053</v>
      </c>
      <c r="J2454">
        <v>0</v>
      </c>
      <c r="K2454">
        <v>0</v>
      </c>
      <c r="L2454" s="2">
        <v>0</v>
      </c>
      <c r="M2454">
        <v>27.75</v>
      </c>
      <c r="N2454" t="s">
        <v>10236</v>
      </c>
    </row>
    <row r="2455" spans="1:14">
      <c r="A2455" t="s">
        <v>35</v>
      </c>
      <c r="B2455" t="s">
        <v>2617</v>
      </c>
      <c r="C2455">
        <f>"HXC08"</f>
        <v>0</v>
      </c>
      <c r="D2455">
        <v>1</v>
      </c>
      <c r="E2455">
        <v>6</v>
      </c>
      <c r="F2455" s="2">
        <v>1</v>
      </c>
      <c r="G2455">
        <v>24</v>
      </c>
      <c r="H2455">
        <v>1</v>
      </c>
      <c r="I2455">
        <v>0.1748268617791053</v>
      </c>
      <c r="J2455">
        <v>0</v>
      </c>
      <c r="K2455">
        <v>0</v>
      </c>
      <c r="L2455" s="2">
        <v>0</v>
      </c>
      <c r="M2455">
        <v>27.76</v>
      </c>
      <c r="N2455" t="s">
        <v>10236</v>
      </c>
    </row>
    <row r="2456" spans="1:14">
      <c r="A2456" t="s">
        <v>35</v>
      </c>
      <c r="B2456" t="s">
        <v>2618</v>
      </c>
      <c r="C2456">
        <f>"SZP0009B"</f>
        <v>0</v>
      </c>
      <c r="D2456">
        <v>1</v>
      </c>
      <c r="E2456">
        <v>2</v>
      </c>
      <c r="F2456" s="2">
        <v>6</v>
      </c>
      <c r="G2456">
        <v>8</v>
      </c>
      <c r="H2456">
        <v>1</v>
      </c>
      <c r="I2456">
        <v>0.1748268617791053</v>
      </c>
      <c r="J2456">
        <v>0</v>
      </c>
      <c r="K2456">
        <v>0</v>
      </c>
      <c r="L2456" s="2">
        <v>0</v>
      </c>
      <c r="M2456">
        <v>27.76</v>
      </c>
      <c r="N2456" t="s">
        <v>10236</v>
      </c>
    </row>
    <row r="2457" spans="1:14">
      <c r="A2457" t="s">
        <v>33</v>
      </c>
      <c r="B2457" t="s">
        <v>2619</v>
      </c>
      <c r="C2457">
        <f>"TOPK92231"</f>
        <v>0</v>
      </c>
      <c r="D2457">
        <v>1</v>
      </c>
      <c r="E2457">
        <v>64</v>
      </c>
      <c r="F2457" s="2">
        <v>1</v>
      </c>
      <c r="G2457">
        <v>256</v>
      </c>
      <c r="H2457">
        <v>1</v>
      </c>
      <c r="I2457">
        <v>0.1748268617791053</v>
      </c>
      <c r="J2457">
        <v>0</v>
      </c>
      <c r="K2457">
        <v>0</v>
      </c>
      <c r="L2457" s="2">
        <v>0</v>
      </c>
      <c r="M2457">
        <v>27.77</v>
      </c>
      <c r="N2457" t="s">
        <v>10236</v>
      </c>
    </row>
    <row r="2458" spans="1:14">
      <c r="A2458" t="s">
        <v>200</v>
      </c>
      <c r="B2458" t="s">
        <v>2620</v>
      </c>
      <c r="C2458">
        <f>"W0006"</f>
        <v>0</v>
      </c>
      <c r="D2458">
        <v>1</v>
      </c>
      <c r="E2458">
        <v>1</v>
      </c>
      <c r="F2458" s="2">
        <v>3</v>
      </c>
      <c r="G2458">
        <v>4</v>
      </c>
      <c r="H2458">
        <v>1</v>
      </c>
      <c r="I2458">
        <v>0.1748268617791053</v>
      </c>
      <c r="J2458">
        <v>0</v>
      </c>
      <c r="K2458">
        <v>0</v>
      </c>
      <c r="L2458" s="2">
        <v>0</v>
      </c>
      <c r="M2458">
        <v>27.78</v>
      </c>
      <c r="N2458" t="s">
        <v>10236</v>
      </c>
    </row>
    <row r="2459" spans="1:14">
      <c r="A2459" t="s">
        <v>35</v>
      </c>
      <c r="B2459" t="s">
        <v>2621</v>
      </c>
      <c r="C2459">
        <f>"YP33XLM"</f>
        <v>0</v>
      </c>
      <c r="D2459">
        <v>1</v>
      </c>
      <c r="E2459">
        <v>1</v>
      </c>
      <c r="F2459" s="2">
        <v>2</v>
      </c>
      <c r="G2459">
        <v>4</v>
      </c>
      <c r="H2459">
        <v>1</v>
      </c>
      <c r="I2459">
        <v>0.1748268617791053</v>
      </c>
      <c r="J2459">
        <v>0</v>
      </c>
      <c r="K2459">
        <v>0</v>
      </c>
      <c r="L2459" s="2">
        <v>0</v>
      </c>
      <c r="M2459">
        <v>27.79</v>
      </c>
      <c r="N2459" t="s">
        <v>10236</v>
      </c>
    </row>
    <row r="2460" spans="1:14">
      <c r="A2460" t="s">
        <v>35</v>
      </c>
      <c r="B2460" t="s">
        <v>2622</v>
      </c>
      <c r="C2460">
        <f>"SL310416"</f>
        <v>0</v>
      </c>
      <c r="D2460">
        <v>1</v>
      </c>
      <c r="E2460">
        <v>19</v>
      </c>
      <c r="F2460" s="2">
        <v>6</v>
      </c>
      <c r="G2460">
        <v>76</v>
      </c>
      <c r="H2460">
        <v>1</v>
      </c>
      <c r="I2460">
        <v>0.1748268617791053</v>
      </c>
      <c r="J2460">
        <v>0</v>
      </c>
      <c r="K2460">
        <v>0</v>
      </c>
      <c r="L2460" s="2">
        <v>0</v>
      </c>
      <c r="M2460">
        <v>27.8</v>
      </c>
      <c r="N2460" t="s">
        <v>10236</v>
      </c>
    </row>
    <row r="2461" spans="1:14">
      <c r="A2461" t="s">
        <v>29</v>
      </c>
      <c r="B2461" t="s">
        <v>2623</v>
      </c>
      <c r="C2461">
        <f>"rs11"</f>
        <v>0</v>
      </c>
      <c r="D2461">
        <v>1</v>
      </c>
      <c r="E2461">
        <v>6</v>
      </c>
      <c r="F2461" s="2">
        <v>4</v>
      </c>
      <c r="G2461">
        <v>24</v>
      </c>
      <c r="H2461">
        <v>1</v>
      </c>
      <c r="I2461">
        <v>0.1748268617791053</v>
      </c>
      <c r="J2461">
        <v>0</v>
      </c>
      <c r="K2461">
        <v>0</v>
      </c>
      <c r="L2461" s="2">
        <v>0</v>
      </c>
      <c r="M2461">
        <v>27.81</v>
      </c>
      <c r="N2461" t="s">
        <v>10236</v>
      </c>
    </row>
    <row r="2462" spans="1:14">
      <c r="A2462" t="s">
        <v>35</v>
      </c>
      <c r="B2462" t="s">
        <v>2624</v>
      </c>
      <c r="C2462">
        <f>"B1919MA"</f>
        <v>0</v>
      </c>
      <c r="D2462">
        <v>1</v>
      </c>
      <c r="E2462">
        <v>3</v>
      </c>
      <c r="F2462" s="2">
        <v>5</v>
      </c>
      <c r="G2462">
        <v>12</v>
      </c>
      <c r="H2462">
        <v>1</v>
      </c>
      <c r="I2462">
        <v>0.1748268617791053</v>
      </c>
      <c r="J2462">
        <v>0</v>
      </c>
      <c r="K2462">
        <v>0</v>
      </c>
      <c r="L2462" s="2">
        <v>0</v>
      </c>
      <c r="M2462">
        <v>27.82</v>
      </c>
      <c r="N2462" t="s">
        <v>10236</v>
      </c>
    </row>
    <row r="2463" spans="1:14">
      <c r="A2463" t="s">
        <v>35</v>
      </c>
      <c r="B2463" t="s">
        <v>2625</v>
      </c>
      <c r="C2463">
        <f>"D311XXL"</f>
        <v>0</v>
      </c>
      <c r="D2463">
        <v>1</v>
      </c>
      <c r="E2463">
        <v>10</v>
      </c>
      <c r="F2463" s="2">
        <v>1</v>
      </c>
      <c r="G2463">
        <v>40</v>
      </c>
      <c r="H2463">
        <v>1</v>
      </c>
      <c r="I2463">
        <v>0.1748268617791053</v>
      </c>
      <c r="J2463">
        <v>0</v>
      </c>
      <c r="K2463">
        <v>0</v>
      </c>
      <c r="L2463" s="2">
        <v>0</v>
      </c>
      <c r="M2463">
        <v>27.83</v>
      </c>
      <c r="N2463" t="s">
        <v>10236</v>
      </c>
    </row>
    <row r="2464" spans="1:14">
      <c r="A2464" t="s">
        <v>214</v>
      </c>
      <c r="B2464" t="s">
        <v>2626</v>
      </c>
      <c r="C2464">
        <f>"34305"</f>
        <v>0</v>
      </c>
      <c r="D2464">
        <v>1</v>
      </c>
      <c r="E2464">
        <v>1</v>
      </c>
      <c r="F2464" s="2">
        <v>7</v>
      </c>
      <c r="G2464">
        <v>4</v>
      </c>
      <c r="H2464">
        <v>1</v>
      </c>
      <c r="I2464">
        <v>0.1748268617791053</v>
      </c>
      <c r="J2464">
        <v>0</v>
      </c>
      <c r="K2464">
        <v>0</v>
      </c>
      <c r="L2464" s="2">
        <v>0</v>
      </c>
      <c r="M2464">
        <v>27.84</v>
      </c>
      <c r="N2464" t="s">
        <v>10236</v>
      </c>
    </row>
    <row r="2465" spans="1:14">
      <c r="A2465" t="s">
        <v>35</v>
      </c>
      <c r="B2465" t="s">
        <v>2627</v>
      </c>
      <c r="C2465">
        <f>"XQ34S"</f>
        <v>0</v>
      </c>
      <c r="D2465">
        <v>1</v>
      </c>
      <c r="E2465">
        <v>2</v>
      </c>
      <c r="F2465" s="2">
        <v>2</v>
      </c>
      <c r="G2465">
        <v>8</v>
      </c>
      <c r="H2465">
        <v>1</v>
      </c>
      <c r="I2465">
        <v>0.1748268617791053</v>
      </c>
      <c r="J2465">
        <v>0</v>
      </c>
      <c r="K2465">
        <v>0</v>
      </c>
      <c r="L2465" s="2">
        <v>0</v>
      </c>
      <c r="M2465">
        <v>27.85</v>
      </c>
      <c r="N2465" t="s">
        <v>10236</v>
      </c>
    </row>
    <row r="2466" spans="1:14">
      <c r="A2466" t="s">
        <v>35</v>
      </c>
      <c r="B2466" t="s">
        <v>2303</v>
      </c>
      <c r="C2466">
        <f>"HP152MCR"</f>
        <v>0</v>
      </c>
      <c r="D2466">
        <v>1</v>
      </c>
      <c r="E2466">
        <v>3</v>
      </c>
      <c r="F2466" s="2">
        <v>5</v>
      </c>
      <c r="G2466">
        <v>12</v>
      </c>
      <c r="H2466">
        <v>1</v>
      </c>
      <c r="I2466">
        <v>0.1748268617791053</v>
      </c>
      <c r="J2466">
        <v>0</v>
      </c>
      <c r="K2466">
        <v>0</v>
      </c>
      <c r="L2466" s="2">
        <v>0</v>
      </c>
      <c r="M2466">
        <v>27.86</v>
      </c>
      <c r="N2466" t="s">
        <v>10236</v>
      </c>
    </row>
    <row r="2467" spans="1:14">
      <c r="A2467" t="s">
        <v>35</v>
      </c>
      <c r="B2467" t="s">
        <v>2628</v>
      </c>
      <c r="C2467">
        <f>"XQ34XS"</f>
        <v>0</v>
      </c>
      <c r="D2467">
        <v>1</v>
      </c>
      <c r="E2467">
        <v>2</v>
      </c>
      <c r="F2467" s="2">
        <v>2</v>
      </c>
      <c r="G2467">
        <v>8</v>
      </c>
      <c r="H2467">
        <v>1</v>
      </c>
      <c r="I2467">
        <v>0.1748268617791053</v>
      </c>
      <c r="J2467">
        <v>0</v>
      </c>
      <c r="K2467">
        <v>0</v>
      </c>
      <c r="L2467" s="2">
        <v>0</v>
      </c>
      <c r="M2467">
        <v>27.87</v>
      </c>
      <c r="N2467" t="s">
        <v>10236</v>
      </c>
    </row>
    <row r="2468" spans="1:14">
      <c r="A2468" t="s">
        <v>35</v>
      </c>
      <c r="B2468" t="s">
        <v>2629</v>
      </c>
      <c r="C2468">
        <f>"8377S"</f>
        <v>0</v>
      </c>
      <c r="D2468">
        <v>1</v>
      </c>
      <c r="E2468">
        <v>1</v>
      </c>
      <c r="F2468" s="2">
        <v>10</v>
      </c>
      <c r="G2468">
        <v>4</v>
      </c>
      <c r="H2468">
        <v>1</v>
      </c>
      <c r="I2468">
        <v>0.1748268617791053</v>
      </c>
      <c r="J2468">
        <v>0</v>
      </c>
      <c r="K2468">
        <v>0</v>
      </c>
      <c r="L2468" s="2">
        <v>0</v>
      </c>
      <c r="M2468">
        <v>27.88</v>
      </c>
      <c r="N2468" t="s">
        <v>10236</v>
      </c>
    </row>
    <row r="2469" spans="1:14">
      <c r="A2469" t="s">
        <v>29</v>
      </c>
      <c r="B2469" t="s">
        <v>2630</v>
      </c>
      <c r="C2469">
        <f>"HT10"</f>
        <v>0</v>
      </c>
      <c r="D2469">
        <v>1</v>
      </c>
      <c r="E2469">
        <v>1</v>
      </c>
      <c r="F2469" s="2">
        <v>0</v>
      </c>
      <c r="G2469">
        <v>4</v>
      </c>
      <c r="H2469">
        <v>1</v>
      </c>
      <c r="I2469">
        <v>0.1748268617791053</v>
      </c>
      <c r="J2469">
        <v>0</v>
      </c>
      <c r="K2469">
        <v>0</v>
      </c>
      <c r="L2469" s="2">
        <v>0</v>
      </c>
      <c r="M2469">
        <v>27.88</v>
      </c>
      <c r="N2469" t="s">
        <v>10236</v>
      </c>
    </row>
    <row r="2470" spans="1:14">
      <c r="A2470" t="s">
        <v>35</v>
      </c>
      <c r="B2470" t="s">
        <v>2631</v>
      </c>
      <c r="C2470">
        <f>"CC103M"</f>
        <v>0</v>
      </c>
      <c r="D2470">
        <v>1</v>
      </c>
      <c r="E2470">
        <v>6</v>
      </c>
      <c r="F2470" s="2">
        <v>2</v>
      </c>
      <c r="G2470">
        <v>24</v>
      </c>
      <c r="H2470">
        <v>1</v>
      </c>
      <c r="I2470">
        <v>0.1748268617791053</v>
      </c>
      <c r="J2470">
        <v>0</v>
      </c>
      <c r="K2470">
        <v>0</v>
      </c>
      <c r="L2470" s="2">
        <v>0</v>
      </c>
      <c r="M2470">
        <v>27.89</v>
      </c>
      <c r="N2470" t="s">
        <v>10236</v>
      </c>
    </row>
    <row r="2471" spans="1:14">
      <c r="A2471" t="s">
        <v>194</v>
      </c>
      <c r="B2471" t="s">
        <v>2632</v>
      </c>
      <c r="C2471">
        <f>"4134004"</f>
        <v>0</v>
      </c>
      <c r="D2471">
        <v>1</v>
      </c>
      <c r="E2471">
        <v>5</v>
      </c>
      <c r="F2471" s="2">
        <v>19</v>
      </c>
      <c r="G2471">
        <v>20</v>
      </c>
      <c r="H2471">
        <v>1</v>
      </c>
      <c r="I2471">
        <v>0.1748268617791053</v>
      </c>
      <c r="J2471">
        <v>0</v>
      </c>
      <c r="K2471">
        <v>0</v>
      </c>
      <c r="L2471" s="2">
        <v>0</v>
      </c>
      <c r="M2471">
        <v>27.9</v>
      </c>
      <c r="N2471" t="s">
        <v>10236</v>
      </c>
    </row>
    <row r="2472" spans="1:14">
      <c r="A2472" t="s">
        <v>35</v>
      </c>
      <c r="B2472" t="s">
        <v>2633</v>
      </c>
      <c r="C2472">
        <f>"JWZ1058L"</f>
        <v>0</v>
      </c>
      <c r="D2472">
        <v>1</v>
      </c>
      <c r="E2472">
        <v>13</v>
      </c>
      <c r="F2472" s="2">
        <v>1</v>
      </c>
      <c r="G2472">
        <v>52</v>
      </c>
      <c r="H2472">
        <v>1</v>
      </c>
      <c r="I2472">
        <v>0.1748268617791053</v>
      </c>
      <c r="J2472">
        <v>0</v>
      </c>
      <c r="K2472">
        <v>0</v>
      </c>
      <c r="L2472" s="2">
        <v>0</v>
      </c>
      <c r="M2472">
        <v>27.91</v>
      </c>
      <c r="N2472" t="s">
        <v>10236</v>
      </c>
    </row>
    <row r="2473" spans="1:14">
      <c r="A2473" t="s">
        <v>35</v>
      </c>
      <c r="B2473" t="s">
        <v>2634</v>
      </c>
      <c r="C2473">
        <f>"B1919LA"</f>
        <v>0</v>
      </c>
      <c r="D2473">
        <v>1</v>
      </c>
      <c r="E2473">
        <v>3</v>
      </c>
      <c r="F2473" s="2">
        <v>5</v>
      </c>
      <c r="G2473">
        <v>12</v>
      </c>
      <c r="H2473">
        <v>1</v>
      </c>
      <c r="I2473">
        <v>0.1748268617791053</v>
      </c>
      <c r="J2473">
        <v>0</v>
      </c>
      <c r="K2473">
        <v>0</v>
      </c>
      <c r="L2473" s="2">
        <v>0</v>
      </c>
      <c r="M2473">
        <v>27.92</v>
      </c>
      <c r="N2473" t="s">
        <v>10236</v>
      </c>
    </row>
    <row r="2474" spans="1:14">
      <c r="A2474" t="s">
        <v>211</v>
      </c>
      <c r="B2474" t="s">
        <v>2635</v>
      </c>
      <c r="C2474">
        <f>"PCSCPP3001"</f>
        <v>0</v>
      </c>
      <c r="D2474">
        <v>1</v>
      </c>
      <c r="E2474">
        <v>2</v>
      </c>
      <c r="F2474" s="2">
        <v>11</v>
      </c>
      <c r="G2474">
        <v>8</v>
      </c>
      <c r="H2474">
        <v>1</v>
      </c>
      <c r="I2474">
        <v>0.1748268617791053</v>
      </c>
      <c r="J2474">
        <v>0</v>
      </c>
      <c r="K2474">
        <v>0</v>
      </c>
      <c r="L2474" s="2">
        <v>0</v>
      </c>
      <c r="M2474">
        <v>27.93</v>
      </c>
      <c r="N2474" t="s">
        <v>10236</v>
      </c>
    </row>
    <row r="2475" spans="1:14">
      <c r="A2475" t="s">
        <v>35</v>
      </c>
      <c r="B2475" t="s">
        <v>2636</v>
      </c>
      <c r="C2475">
        <f>"BO3052AGA"</f>
        <v>0</v>
      </c>
      <c r="D2475">
        <v>1</v>
      </c>
      <c r="E2475">
        <v>4</v>
      </c>
      <c r="F2475" s="2">
        <v>1</v>
      </c>
      <c r="G2475">
        <v>16</v>
      </c>
      <c r="H2475">
        <v>1</v>
      </c>
      <c r="I2475">
        <v>0.1748268617791053</v>
      </c>
      <c r="J2475">
        <v>0</v>
      </c>
      <c r="K2475">
        <v>0</v>
      </c>
      <c r="L2475" s="2">
        <v>0</v>
      </c>
      <c r="M2475">
        <v>27.94</v>
      </c>
      <c r="N2475" t="s">
        <v>10236</v>
      </c>
    </row>
    <row r="2476" spans="1:14">
      <c r="A2476" t="s">
        <v>196</v>
      </c>
      <c r="B2476" t="s">
        <v>2637</v>
      </c>
      <c r="C2476">
        <f>"2025"</f>
        <v>0</v>
      </c>
      <c r="D2476">
        <v>1</v>
      </c>
      <c r="E2476">
        <v>2</v>
      </c>
      <c r="F2476" s="2">
        <v>3</v>
      </c>
      <c r="G2476">
        <v>8</v>
      </c>
      <c r="H2476">
        <v>1</v>
      </c>
      <c r="I2476">
        <v>0.1748268617791053</v>
      </c>
      <c r="J2476">
        <v>0</v>
      </c>
      <c r="K2476">
        <v>0</v>
      </c>
      <c r="L2476" s="2">
        <v>0</v>
      </c>
      <c r="M2476">
        <v>27.95</v>
      </c>
      <c r="N2476" t="s">
        <v>10236</v>
      </c>
    </row>
    <row r="2477" spans="1:14">
      <c r="A2477" t="s">
        <v>203</v>
      </c>
      <c r="B2477" t="s">
        <v>2638</v>
      </c>
      <c r="C2477">
        <f>"758825"</f>
        <v>0</v>
      </c>
      <c r="D2477">
        <v>1</v>
      </c>
      <c r="E2477">
        <v>1</v>
      </c>
      <c r="F2477" s="2">
        <v>43</v>
      </c>
      <c r="G2477">
        <v>4</v>
      </c>
      <c r="H2477">
        <v>1</v>
      </c>
      <c r="I2477">
        <v>0.1748268617791053</v>
      </c>
      <c r="J2477">
        <v>0</v>
      </c>
      <c r="K2477">
        <v>0</v>
      </c>
      <c r="L2477" s="2">
        <v>0</v>
      </c>
      <c r="M2477">
        <v>27.96</v>
      </c>
      <c r="N2477" t="s">
        <v>10236</v>
      </c>
    </row>
    <row r="2478" spans="1:14">
      <c r="A2478" t="s">
        <v>35</v>
      </c>
      <c r="B2478" t="s">
        <v>2639</v>
      </c>
      <c r="C2478">
        <f>"1806TL"</f>
        <v>0</v>
      </c>
      <c r="D2478">
        <v>1</v>
      </c>
      <c r="E2478">
        <v>9</v>
      </c>
      <c r="F2478" s="2">
        <v>3</v>
      </c>
      <c r="G2478">
        <v>36</v>
      </c>
      <c r="H2478">
        <v>1</v>
      </c>
      <c r="I2478">
        <v>0.1748268617791053</v>
      </c>
      <c r="J2478">
        <v>0</v>
      </c>
      <c r="K2478">
        <v>0</v>
      </c>
      <c r="L2478" s="2">
        <v>0</v>
      </c>
      <c r="M2478">
        <v>27.97</v>
      </c>
      <c r="N2478" t="s">
        <v>10236</v>
      </c>
    </row>
    <row r="2479" spans="1:14">
      <c r="A2479" t="s">
        <v>196</v>
      </c>
      <c r="B2479" t="s">
        <v>2640</v>
      </c>
      <c r="C2479">
        <f>"2015"</f>
        <v>0</v>
      </c>
      <c r="D2479">
        <v>1</v>
      </c>
      <c r="E2479">
        <v>1</v>
      </c>
      <c r="F2479" s="2">
        <v>2</v>
      </c>
      <c r="G2479">
        <v>4</v>
      </c>
      <c r="H2479">
        <v>1</v>
      </c>
      <c r="I2479">
        <v>0.1748268617791053</v>
      </c>
      <c r="J2479">
        <v>0</v>
      </c>
      <c r="K2479">
        <v>0</v>
      </c>
      <c r="L2479" s="2">
        <v>0</v>
      </c>
      <c r="M2479">
        <v>27.98</v>
      </c>
      <c r="N2479" t="s">
        <v>10236</v>
      </c>
    </row>
    <row r="2480" spans="1:14">
      <c r="A2480" t="s">
        <v>32</v>
      </c>
      <c r="B2480" t="s">
        <v>2323</v>
      </c>
      <c r="C2480">
        <f>"5007874"</f>
        <v>0</v>
      </c>
      <c r="D2480">
        <v>1</v>
      </c>
      <c r="E2480">
        <v>1</v>
      </c>
      <c r="F2480" s="2">
        <v>10</v>
      </c>
      <c r="G2480">
        <v>4</v>
      </c>
      <c r="H2480">
        <v>1</v>
      </c>
      <c r="I2480">
        <v>0.1748268617791053</v>
      </c>
      <c r="J2480">
        <v>0</v>
      </c>
      <c r="K2480">
        <v>0</v>
      </c>
      <c r="L2480" s="2">
        <v>0</v>
      </c>
      <c r="M2480">
        <v>27.99</v>
      </c>
      <c r="N2480" t="s">
        <v>10236</v>
      </c>
    </row>
    <row r="2481" spans="1:14">
      <c r="A2481" t="s">
        <v>35</v>
      </c>
      <c r="B2481" t="s">
        <v>2641</v>
      </c>
      <c r="C2481">
        <f>"19480"</f>
        <v>0</v>
      </c>
      <c r="D2481">
        <v>1</v>
      </c>
      <c r="E2481">
        <v>3</v>
      </c>
      <c r="F2481" s="2">
        <v>0</v>
      </c>
      <c r="G2481">
        <v>12</v>
      </c>
      <c r="H2481">
        <v>1</v>
      </c>
      <c r="I2481">
        <v>0.1748268617791053</v>
      </c>
      <c r="J2481">
        <v>0</v>
      </c>
      <c r="K2481">
        <v>0</v>
      </c>
      <c r="L2481" s="2">
        <v>0</v>
      </c>
      <c r="M2481">
        <v>28</v>
      </c>
      <c r="N2481" t="s">
        <v>10236</v>
      </c>
    </row>
    <row r="2482" spans="1:14">
      <c r="A2482" t="s">
        <v>35</v>
      </c>
      <c r="B2482" t="s">
        <v>2642</v>
      </c>
      <c r="C2482">
        <f>"EK3001RO"</f>
        <v>0</v>
      </c>
      <c r="D2482">
        <v>1</v>
      </c>
      <c r="E2482">
        <v>3</v>
      </c>
      <c r="F2482" s="2">
        <v>1</v>
      </c>
      <c r="G2482">
        <v>12</v>
      </c>
      <c r="H2482">
        <v>1</v>
      </c>
      <c r="I2482">
        <v>0.1748268617791053</v>
      </c>
      <c r="J2482">
        <v>0</v>
      </c>
      <c r="K2482">
        <v>0</v>
      </c>
      <c r="L2482" s="2">
        <v>0</v>
      </c>
      <c r="M2482">
        <v>28.01</v>
      </c>
      <c r="N2482" t="s">
        <v>10236</v>
      </c>
    </row>
    <row r="2483" spans="1:14">
      <c r="A2483" t="s">
        <v>35</v>
      </c>
      <c r="B2483" t="s">
        <v>2643</v>
      </c>
      <c r="C2483">
        <f>"KM4050CEL"</f>
        <v>0</v>
      </c>
      <c r="D2483">
        <v>1</v>
      </c>
      <c r="E2483">
        <v>1</v>
      </c>
      <c r="F2483" s="2">
        <v>6</v>
      </c>
      <c r="G2483">
        <v>4</v>
      </c>
      <c r="H2483">
        <v>1</v>
      </c>
      <c r="I2483">
        <v>0.1748268617791053</v>
      </c>
      <c r="J2483">
        <v>0</v>
      </c>
      <c r="K2483">
        <v>0</v>
      </c>
      <c r="L2483" s="2">
        <v>0</v>
      </c>
      <c r="M2483">
        <v>28.01</v>
      </c>
      <c r="N2483" t="s">
        <v>10236</v>
      </c>
    </row>
    <row r="2484" spans="1:14">
      <c r="A2484" t="s">
        <v>35</v>
      </c>
      <c r="B2484" t="s">
        <v>2644</v>
      </c>
      <c r="C2484">
        <f>"9001163R"</f>
        <v>0</v>
      </c>
      <c r="D2484">
        <v>1</v>
      </c>
      <c r="E2484">
        <v>2</v>
      </c>
      <c r="F2484" s="2">
        <v>1</v>
      </c>
      <c r="G2484">
        <v>8</v>
      </c>
      <c r="H2484">
        <v>1</v>
      </c>
      <c r="I2484">
        <v>0.1748268617791053</v>
      </c>
      <c r="J2484">
        <v>0</v>
      </c>
      <c r="K2484">
        <v>0</v>
      </c>
      <c r="L2484" s="2">
        <v>0</v>
      </c>
      <c r="M2484">
        <v>28.02</v>
      </c>
      <c r="N2484" t="s">
        <v>10236</v>
      </c>
    </row>
    <row r="2485" spans="1:14">
      <c r="A2485" t="s">
        <v>29</v>
      </c>
      <c r="B2485" t="s">
        <v>2645</v>
      </c>
      <c r="C2485">
        <f>"60333"</f>
        <v>0</v>
      </c>
      <c r="D2485">
        <v>1</v>
      </c>
      <c r="E2485">
        <v>1</v>
      </c>
      <c r="F2485" s="2">
        <v>4</v>
      </c>
      <c r="G2485">
        <v>4</v>
      </c>
      <c r="H2485">
        <v>1</v>
      </c>
      <c r="I2485">
        <v>0.1748268617791053</v>
      </c>
      <c r="J2485">
        <v>0</v>
      </c>
      <c r="K2485">
        <v>0</v>
      </c>
      <c r="L2485" s="2">
        <v>0</v>
      </c>
      <c r="M2485">
        <v>28.03</v>
      </c>
      <c r="N2485" t="s">
        <v>10236</v>
      </c>
    </row>
    <row r="2486" spans="1:14">
      <c r="A2486" t="s">
        <v>222</v>
      </c>
      <c r="B2486" t="s">
        <v>2646</v>
      </c>
      <c r="C2486">
        <f>"GBS20"</f>
        <v>0</v>
      </c>
      <c r="D2486">
        <v>1</v>
      </c>
      <c r="E2486">
        <v>1</v>
      </c>
      <c r="F2486" s="2">
        <v>18</v>
      </c>
      <c r="G2486">
        <v>4</v>
      </c>
      <c r="H2486">
        <v>1</v>
      </c>
      <c r="I2486">
        <v>0.1748268617791053</v>
      </c>
      <c r="J2486">
        <v>0</v>
      </c>
      <c r="K2486">
        <v>0</v>
      </c>
      <c r="L2486" s="2">
        <v>0</v>
      </c>
      <c r="M2486">
        <v>28.04</v>
      </c>
      <c r="N2486" t="s">
        <v>10236</v>
      </c>
    </row>
    <row r="2487" spans="1:14">
      <c r="A2487" t="s">
        <v>35</v>
      </c>
      <c r="B2487" t="s">
        <v>2647</v>
      </c>
      <c r="C2487">
        <f>"D42XXL"</f>
        <v>0</v>
      </c>
      <c r="D2487">
        <v>1</v>
      </c>
      <c r="E2487">
        <v>13</v>
      </c>
      <c r="F2487" s="2">
        <v>2</v>
      </c>
      <c r="G2487">
        <v>52</v>
      </c>
      <c r="H2487">
        <v>1</v>
      </c>
      <c r="I2487">
        <v>0.1748268617791053</v>
      </c>
      <c r="J2487">
        <v>0</v>
      </c>
      <c r="K2487">
        <v>0</v>
      </c>
      <c r="L2487" s="2">
        <v>0</v>
      </c>
      <c r="M2487">
        <v>28.05</v>
      </c>
      <c r="N2487" t="s">
        <v>10236</v>
      </c>
    </row>
    <row r="2488" spans="1:14">
      <c r="A2488" t="s">
        <v>35</v>
      </c>
      <c r="B2488" t="s">
        <v>2648</v>
      </c>
      <c r="C2488">
        <f>"FB857LV"</f>
        <v>0</v>
      </c>
      <c r="D2488">
        <v>1</v>
      </c>
      <c r="E2488">
        <v>2</v>
      </c>
      <c r="F2488" s="2">
        <v>4</v>
      </c>
      <c r="G2488">
        <v>8</v>
      </c>
      <c r="H2488">
        <v>1</v>
      </c>
      <c r="I2488">
        <v>0.1748268617791053</v>
      </c>
      <c r="J2488">
        <v>0</v>
      </c>
      <c r="K2488">
        <v>0</v>
      </c>
      <c r="L2488" s="2">
        <v>0</v>
      </c>
      <c r="M2488">
        <v>28.06</v>
      </c>
      <c r="N2488" t="s">
        <v>10236</v>
      </c>
    </row>
    <row r="2489" spans="1:14">
      <c r="A2489" t="s">
        <v>196</v>
      </c>
      <c r="B2489" t="s">
        <v>2649</v>
      </c>
      <c r="C2489">
        <f>"2016"</f>
        <v>0</v>
      </c>
      <c r="D2489">
        <v>1</v>
      </c>
      <c r="E2489">
        <v>2</v>
      </c>
      <c r="F2489" s="2">
        <v>2</v>
      </c>
      <c r="G2489">
        <v>8</v>
      </c>
      <c r="H2489">
        <v>1</v>
      </c>
      <c r="I2489">
        <v>0.1748268617791053</v>
      </c>
      <c r="J2489">
        <v>0</v>
      </c>
      <c r="K2489">
        <v>0</v>
      </c>
      <c r="L2489" s="2">
        <v>0</v>
      </c>
      <c r="M2489">
        <v>28.07</v>
      </c>
      <c r="N2489" t="s">
        <v>10236</v>
      </c>
    </row>
    <row r="2490" spans="1:14">
      <c r="A2490" t="s">
        <v>35</v>
      </c>
      <c r="B2490" t="s">
        <v>2650</v>
      </c>
      <c r="C2490">
        <f>"EK3001CE"</f>
        <v>0</v>
      </c>
      <c r="D2490">
        <v>1</v>
      </c>
      <c r="E2490">
        <v>2</v>
      </c>
      <c r="F2490" s="2">
        <v>1</v>
      </c>
      <c r="G2490">
        <v>8</v>
      </c>
      <c r="H2490">
        <v>1</v>
      </c>
      <c r="I2490">
        <v>0.1748268617791053</v>
      </c>
      <c r="J2490">
        <v>0</v>
      </c>
      <c r="K2490">
        <v>0</v>
      </c>
      <c r="L2490" s="2">
        <v>0</v>
      </c>
      <c r="M2490">
        <v>28.08</v>
      </c>
      <c r="N2490" t="s">
        <v>10236</v>
      </c>
    </row>
    <row r="2491" spans="1:14">
      <c r="A2491" t="s">
        <v>196</v>
      </c>
      <c r="B2491" t="s">
        <v>2651</v>
      </c>
      <c r="C2491">
        <f>"2041"</f>
        <v>0</v>
      </c>
      <c r="D2491">
        <v>1</v>
      </c>
      <c r="E2491">
        <v>3</v>
      </c>
      <c r="F2491" s="2">
        <v>3</v>
      </c>
      <c r="G2491">
        <v>12</v>
      </c>
      <c r="H2491">
        <v>1</v>
      </c>
      <c r="I2491">
        <v>0.1748268617791053</v>
      </c>
      <c r="J2491">
        <v>0</v>
      </c>
      <c r="K2491">
        <v>0</v>
      </c>
      <c r="L2491" s="2">
        <v>0</v>
      </c>
      <c r="M2491">
        <v>28.09</v>
      </c>
      <c r="N2491" t="s">
        <v>10236</v>
      </c>
    </row>
    <row r="2492" spans="1:14">
      <c r="A2492" t="s">
        <v>35</v>
      </c>
      <c r="B2492" t="s">
        <v>2652</v>
      </c>
      <c r="C2492">
        <f>"NSD14"</f>
        <v>0</v>
      </c>
      <c r="D2492">
        <v>1</v>
      </c>
      <c r="E2492">
        <v>3</v>
      </c>
      <c r="F2492" s="2">
        <v>12</v>
      </c>
      <c r="G2492">
        <v>12</v>
      </c>
      <c r="H2492">
        <v>1</v>
      </c>
      <c r="I2492">
        <v>0.1748268617791053</v>
      </c>
      <c r="J2492">
        <v>0</v>
      </c>
      <c r="K2492">
        <v>0</v>
      </c>
      <c r="L2492" s="2">
        <v>0</v>
      </c>
      <c r="M2492">
        <v>28.1</v>
      </c>
      <c r="N2492" t="s">
        <v>10236</v>
      </c>
    </row>
    <row r="2493" spans="1:14">
      <c r="A2493" t="s">
        <v>29</v>
      </c>
      <c r="B2493" t="s">
        <v>2653</v>
      </c>
      <c r="C2493">
        <f>"PONZA5"</f>
        <v>0</v>
      </c>
      <c r="D2493">
        <v>1</v>
      </c>
      <c r="E2493">
        <v>1</v>
      </c>
      <c r="F2493" s="2">
        <v>10</v>
      </c>
      <c r="G2493">
        <v>4</v>
      </c>
      <c r="H2493">
        <v>1</v>
      </c>
      <c r="I2493">
        <v>0.1748268617791053</v>
      </c>
      <c r="J2493">
        <v>0</v>
      </c>
      <c r="K2493">
        <v>0</v>
      </c>
      <c r="L2493" s="2">
        <v>0</v>
      </c>
      <c r="M2493">
        <v>28.11</v>
      </c>
      <c r="N2493" t="s">
        <v>10236</v>
      </c>
    </row>
    <row r="2494" spans="1:14">
      <c r="A2494" t="s">
        <v>29</v>
      </c>
      <c r="B2494" t="s">
        <v>2654</v>
      </c>
      <c r="C2494">
        <f>"HQJ1600B"</f>
        <v>0</v>
      </c>
      <c r="D2494">
        <v>1</v>
      </c>
      <c r="E2494">
        <v>2</v>
      </c>
      <c r="F2494" s="2">
        <v>8</v>
      </c>
      <c r="G2494">
        <v>8</v>
      </c>
      <c r="H2494">
        <v>1</v>
      </c>
      <c r="I2494">
        <v>0.1748268617791053</v>
      </c>
      <c r="J2494">
        <v>0</v>
      </c>
      <c r="K2494">
        <v>0</v>
      </c>
      <c r="L2494" s="2">
        <v>0</v>
      </c>
      <c r="M2494">
        <v>28.12</v>
      </c>
      <c r="N2494" t="s">
        <v>10236</v>
      </c>
    </row>
    <row r="2495" spans="1:14">
      <c r="A2495" t="s">
        <v>35</v>
      </c>
      <c r="B2495" t="s">
        <v>2655</v>
      </c>
      <c r="C2495">
        <f>"ZSQ09"</f>
        <v>0</v>
      </c>
      <c r="D2495">
        <v>1</v>
      </c>
      <c r="E2495">
        <v>1</v>
      </c>
      <c r="F2495" s="2">
        <v>3</v>
      </c>
      <c r="G2495">
        <v>4</v>
      </c>
      <c r="H2495">
        <v>1</v>
      </c>
      <c r="I2495">
        <v>0.1748268617791053</v>
      </c>
      <c r="J2495">
        <v>0</v>
      </c>
      <c r="K2495">
        <v>0</v>
      </c>
      <c r="L2495" s="2">
        <v>0</v>
      </c>
      <c r="M2495">
        <v>28.13</v>
      </c>
      <c r="N2495" t="s">
        <v>10236</v>
      </c>
    </row>
    <row r="2496" spans="1:14">
      <c r="A2496" t="s">
        <v>213</v>
      </c>
      <c r="B2496" t="s">
        <v>2656</v>
      </c>
      <c r="C2496">
        <f>"VQM021"</f>
        <v>0</v>
      </c>
      <c r="D2496">
        <v>1</v>
      </c>
      <c r="E2496">
        <v>2</v>
      </c>
      <c r="F2496" s="2">
        <v>7</v>
      </c>
      <c r="G2496">
        <v>8</v>
      </c>
      <c r="H2496">
        <v>1</v>
      </c>
      <c r="I2496">
        <v>0.1748268617791053</v>
      </c>
      <c r="J2496">
        <v>0</v>
      </c>
      <c r="K2496">
        <v>0</v>
      </c>
      <c r="L2496" s="2">
        <v>0</v>
      </c>
      <c r="M2496">
        <v>28.13</v>
      </c>
      <c r="N2496" t="s">
        <v>10236</v>
      </c>
    </row>
    <row r="2497" spans="1:14">
      <c r="A2497" t="s">
        <v>35</v>
      </c>
      <c r="B2497" t="s">
        <v>2657</v>
      </c>
      <c r="C2497">
        <f>"8386s"</f>
        <v>0</v>
      </c>
      <c r="D2497">
        <v>1</v>
      </c>
      <c r="E2497">
        <v>8</v>
      </c>
      <c r="F2497" s="2">
        <v>8</v>
      </c>
      <c r="G2497">
        <v>32</v>
      </c>
      <c r="H2497">
        <v>1</v>
      </c>
      <c r="I2497">
        <v>0.1748268617791053</v>
      </c>
      <c r="J2497">
        <v>0</v>
      </c>
      <c r="K2497">
        <v>0</v>
      </c>
      <c r="L2497" s="2">
        <v>0</v>
      </c>
      <c r="M2497">
        <v>28.14</v>
      </c>
      <c r="N2497" t="s">
        <v>10236</v>
      </c>
    </row>
    <row r="2498" spans="1:14">
      <c r="A2498" t="s">
        <v>35</v>
      </c>
      <c r="B2498" t="s">
        <v>2658</v>
      </c>
      <c r="C2498">
        <f>"2105BMG"</f>
        <v>0</v>
      </c>
      <c r="D2498">
        <v>1</v>
      </c>
      <c r="E2498">
        <v>3</v>
      </c>
      <c r="F2498" s="2">
        <v>11</v>
      </c>
      <c r="G2498">
        <v>12</v>
      </c>
      <c r="H2498">
        <v>1</v>
      </c>
      <c r="I2498">
        <v>0.1748268617791053</v>
      </c>
      <c r="J2498">
        <v>0</v>
      </c>
      <c r="K2498">
        <v>0</v>
      </c>
      <c r="L2498" s="2">
        <v>0</v>
      </c>
      <c r="M2498">
        <v>28.15</v>
      </c>
      <c r="N2498" t="s">
        <v>10236</v>
      </c>
    </row>
    <row r="2499" spans="1:14">
      <c r="A2499" t="s">
        <v>196</v>
      </c>
      <c r="B2499" t="s">
        <v>2659</v>
      </c>
      <c r="C2499">
        <f>"2010"</f>
        <v>0</v>
      </c>
      <c r="D2499">
        <v>1</v>
      </c>
      <c r="E2499">
        <v>7</v>
      </c>
      <c r="F2499" s="2">
        <v>2</v>
      </c>
      <c r="G2499">
        <v>28</v>
      </c>
      <c r="H2499">
        <v>1</v>
      </c>
      <c r="I2499">
        <v>0.1748268617791053</v>
      </c>
      <c r="J2499">
        <v>0</v>
      </c>
      <c r="K2499">
        <v>0</v>
      </c>
      <c r="L2499" s="2">
        <v>0</v>
      </c>
      <c r="M2499">
        <v>28.16</v>
      </c>
      <c r="N2499" t="s">
        <v>10236</v>
      </c>
    </row>
    <row r="2500" spans="1:14">
      <c r="A2500" t="s">
        <v>35</v>
      </c>
      <c r="B2500" t="s">
        <v>2660</v>
      </c>
      <c r="C2500">
        <f>"KSJXS"</f>
        <v>0</v>
      </c>
      <c r="D2500">
        <v>1</v>
      </c>
      <c r="E2500">
        <v>1</v>
      </c>
      <c r="F2500" s="2">
        <v>1</v>
      </c>
      <c r="G2500">
        <v>4</v>
      </c>
      <c r="H2500">
        <v>1</v>
      </c>
      <c r="I2500">
        <v>0.1748268617791053</v>
      </c>
      <c r="J2500">
        <v>0</v>
      </c>
      <c r="K2500">
        <v>0</v>
      </c>
      <c r="L2500" s="2">
        <v>0</v>
      </c>
      <c r="M2500">
        <v>28.17</v>
      </c>
      <c r="N2500" t="s">
        <v>10236</v>
      </c>
    </row>
    <row r="2501" spans="1:14">
      <c r="A2501" t="s">
        <v>35</v>
      </c>
      <c r="B2501" t="s">
        <v>2661</v>
      </c>
      <c r="C2501">
        <f>"LS147R"</f>
        <v>0</v>
      </c>
      <c r="D2501">
        <v>1</v>
      </c>
      <c r="E2501">
        <v>1</v>
      </c>
      <c r="F2501" s="2">
        <v>4</v>
      </c>
      <c r="G2501">
        <v>4</v>
      </c>
      <c r="H2501">
        <v>1</v>
      </c>
      <c r="I2501">
        <v>0.1748268617791053</v>
      </c>
      <c r="J2501">
        <v>0</v>
      </c>
      <c r="K2501">
        <v>0</v>
      </c>
      <c r="L2501" s="2">
        <v>0</v>
      </c>
      <c r="M2501">
        <v>28.18</v>
      </c>
      <c r="N2501" t="s">
        <v>10236</v>
      </c>
    </row>
    <row r="2502" spans="1:14">
      <c r="A2502" t="s">
        <v>35</v>
      </c>
      <c r="B2502" t="s">
        <v>2662</v>
      </c>
      <c r="C2502">
        <f>"187A54XLBL"</f>
        <v>0</v>
      </c>
      <c r="D2502">
        <v>1</v>
      </c>
      <c r="E2502">
        <v>2</v>
      </c>
      <c r="F2502" s="2">
        <v>2</v>
      </c>
      <c r="G2502">
        <v>8</v>
      </c>
      <c r="H2502">
        <v>1</v>
      </c>
      <c r="I2502">
        <v>0.1748268617791053</v>
      </c>
      <c r="J2502">
        <v>0</v>
      </c>
      <c r="K2502">
        <v>0</v>
      </c>
      <c r="L2502" s="2">
        <v>0</v>
      </c>
      <c r="M2502">
        <v>28.19</v>
      </c>
      <c r="N2502" t="s">
        <v>10236</v>
      </c>
    </row>
    <row r="2503" spans="1:14">
      <c r="A2503" t="s">
        <v>214</v>
      </c>
      <c r="B2503" t="s">
        <v>2663</v>
      </c>
      <c r="C2503">
        <f>"60424"</f>
        <v>0</v>
      </c>
      <c r="D2503">
        <v>1</v>
      </c>
      <c r="E2503">
        <v>2</v>
      </c>
      <c r="F2503" s="2">
        <v>6</v>
      </c>
      <c r="G2503">
        <v>8</v>
      </c>
      <c r="H2503">
        <v>1</v>
      </c>
      <c r="I2503">
        <v>0.1748268617791053</v>
      </c>
      <c r="J2503">
        <v>0</v>
      </c>
      <c r="K2503">
        <v>0</v>
      </c>
      <c r="L2503" s="2">
        <v>0</v>
      </c>
      <c r="M2503">
        <v>28.2</v>
      </c>
      <c r="N2503" t="s">
        <v>10236</v>
      </c>
    </row>
    <row r="2504" spans="1:14">
      <c r="A2504" t="s">
        <v>27</v>
      </c>
      <c r="B2504" t="s">
        <v>2664</v>
      </c>
      <c r="C2504">
        <f>"USD613"</f>
        <v>0</v>
      </c>
      <c r="D2504">
        <v>1</v>
      </c>
      <c r="E2504">
        <v>9</v>
      </c>
      <c r="F2504" s="2">
        <v>1</v>
      </c>
      <c r="G2504">
        <v>36</v>
      </c>
      <c r="H2504">
        <v>1</v>
      </c>
      <c r="I2504">
        <v>0.1748268617791053</v>
      </c>
      <c r="J2504">
        <v>0</v>
      </c>
      <c r="K2504">
        <v>0</v>
      </c>
      <c r="L2504" s="2">
        <v>0</v>
      </c>
      <c r="M2504">
        <v>28.21</v>
      </c>
      <c r="N2504" t="s">
        <v>10236</v>
      </c>
    </row>
    <row r="2505" spans="1:14">
      <c r="A2505" t="s">
        <v>25</v>
      </c>
      <c r="B2505" t="s">
        <v>2665</v>
      </c>
      <c r="C2505">
        <f>"ZVP400ZA"</f>
        <v>0</v>
      </c>
      <c r="D2505">
        <v>1</v>
      </c>
      <c r="E2505">
        <v>1</v>
      </c>
      <c r="F2505" s="2">
        <v>891</v>
      </c>
      <c r="G2505">
        <v>4</v>
      </c>
      <c r="H2505">
        <v>1</v>
      </c>
      <c r="I2505">
        <v>0.1748268617791053</v>
      </c>
      <c r="J2505">
        <v>0</v>
      </c>
      <c r="K2505">
        <v>0</v>
      </c>
      <c r="L2505" s="2">
        <v>0</v>
      </c>
      <c r="M2505">
        <v>28.22</v>
      </c>
      <c r="N2505" t="s">
        <v>10236</v>
      </c>
    </row>
    <row r="2506" spans="1:14">
      <c r="A2506" t="s">
        <v>35</v>
      </c>
      <c r="B2506" t="s">
        <v>2666</v>
      </c>
      <c r="C2506">
        <f>"YE26033"</f>
        <v>0</v>
      </c>
      <c r="D2506">
        <v>1</v>
      </c>
      <c r="E2506">
        <v>15</v>
      </c>
      <c r="F2506" s="2">
        <v>2</v>
      </c>
      <c r="G2506">
        <v>60</v>
      </c>
      <c r="H2506">
        <v>1</v>
      </c>
      <c r="I2506">
        <v>0.1748268617791053</v>
      </c>
      <c r="J2506">
        <v>0</v>
      </c>
      <c r="K2506">
        <v>0</v>
      </c>
      <c r="L2506" s="2">
        <v>0</v>
      </c>
      <c r="M2506">
        <v>28.23</v>
      </c>
      <c r="N2506" t="s">
        <v>10236</v>
      </c>
    </row>
    <row r="2507" spans="1:14">
      <c r="A2507" t="s">
        <v>35</v>
      </c>
      <c r="B2507" t="s">
        <v>2667</v>
      </c>
      <c r="C2507">
        <f>"JW5041LA"</f>
        <v>0</v>
      </c>
      <c r="D2507">
        <v>1</v>
      </c>
      <c r="E2507">
        <v>7</v>
      </c>
      <c r="F2507" s="2">
        <v>0</v>
      </c>
      <c r="G2507">
        <v>28</v>
      </c>
      <c r="H2507">
        <v>1</v>
      </c>
      <c r="I2507">
        <v>0.1748268617791053</v>
      </c>
      <c r="J2507">
        <v>0</v>
      </c>
      <c r="K2507">
        <v>0</v>
      </c>
      <c r="L2507" s="2">
        <v>0</v>
      </c>
      <c r="M2507">
        <v>28.24</v>
      </c>
      <c r="N2507" t="s">
        <v>10236</v>
      </c>
    </row>
    <row r="2508" spans="1:14">
      <c r="A2508" t="s">
        <v>35</v>
      </c>
      <c r="B2508" t="s">
        <v>2668</v>
      </c>
      <c r="C2508">
        <f>"JXW18020S"</f>
        <v>0</v>
      </c>
      <c r="D2508">
        <v>1</v>
      </c>
      <c r="E2508">
        <v>10</v>
      </c>
      <c r="F2508" s="2">
        <v>7</v>
      </c>
      <c r="G2508">
        <v>40</v>
      </c>
      <c r="H2508">
        <v>1</v>
      </c>
      <c r="I2508">
        <v>0.1748268617791053</v>
      </c>
      <c r="J2508">
        <v>0</v>
      </c>
      <c r="K2508">
        <v>0</v>
      </c>
      <c r="L2508" s="2">
        <v>0</v>
      </c>
      <c r="M2508">
        <v>28.25</v>
      </c>
      <c r="N2508" t="s">
        <v>10236</v>
      </c>
    </row>
    <row r="2509" spans="1:14">
      <c r="A2509" t="s">
        <v>211</v>
      </c>
      <c r="B2509" t="s">
        <v>2669</v>
      </c>
      <c r="C2509">
        <f>"PFSACU2001"</f>
        <v>0</v>
      </c>
      <c r="D2509">
        <v>1</v>
      </c>
      <c r="E2509">
        <v>1</v>
      </c>
      <c r="F2509" s="2">
        <v>10</v>
      </c>
      <c r="G2509">
        <v>4</v>
      </c>
      <c r="H2509">
        <v>1</v>
      </c>
      <c r="I2509">
        <v>0.1748268617791053</v>
      </c>
      <c r="J2509">
        <v>0</v>
      </c>
      <c r="K2509">
        <v>0</v>
      </c>
      <c r="L2509" s="2">
        <v>0</v>
      </c>
      <c r="M2509">
        <v>28.25</v>
      </c>
      <c r="N2509" t="s">
        <v>10236</v>
      </c>
    </row>
    <row r="2510" spans="1:14">
      <c r="A2510" t="s">
        <v>35</v>
      </c>
      <c r="B2510" t="s">
        <v>2670</v>
      </c>
      <c r="C2510">
        <f>"LS152CEL"</f>
        <v>0</v>
      </c>
      <c r="D2510">
        <v>1</v>
      </c>
      <c r="E2510">
        <v>1</v>
      </c>
      <c r="F2510" s="2">
        <v>4</v>
      </c>
      <c r="G2510">
        <v>4</v>
      </c>
      <c r="H2510">
        <v>1</v>
      </c>
      <c r="I2510">
        <v>0.1748268617791053</v>
      </c>
      <c r="J2510">
        <v>0</v>
      </c>
      <c r="K2510">
        <v>0</v>
      </c>
      <c r="L2510" s="2">
        <v>0</v>
      </c>
      <c r="M2510">
        <v>28.26</v>
      </c>
      <c r="N2510" t="s">
        <v>10236</v>
      </c>
    </row>
    <row r="2511" spans="1:14">
      <c r="A2511" t="s">
        <v>35</v>
      </c>
      <c r="B2511" t="s">
        <v>2671</v>
      </c>
      <c r="C2511">
        <f>"ZX011AZ"</f>
        <v>0</v>
      </c>
      <c r="D2511">
        <v>1</v>
      </c>
      <c r="E2511">
        <v>6</v>
      </c>
      <c r="F2511" s="2">
        <v>1</v>
      </c>
      <c r="G2511">
        <v>24</v>
      </c>
      <c r="H2511">
        <v>1</v>
      </c>
      <c r="I2511">
        <v>0.1748268617791053</v>
      </c>
      <c r="J2511">
        <v>0</v>
      </c>
      <c r="K2511">
        <v>0</v>
      </c>
      <c r="L2511" s="2">
        <v>0</v>
      </c>
      <c r="M2511">
        <v>28.27</v>
      </c>
      <c r="N2511" t="s">
        <v>10236</v>
      </c>
    </row>
    <row r="2512" spans="1:14">
      <c r="A2512" t="s">
        <v>211</v>
      </c>
      <c r="B2512" t="s">
        <v>2672</v>
      </c>
      <c r="C2512">
        <f>"PCSCPS12001"</f>
        <v>0</v>
      </c>
      <c r="D2512">
        <v>1</v>
      </c>
      <c r="E2512">
        <v>5</v>
      </c>
      <c r="F2512" s="2">
        <v>33</v>
      </c>
      <c r="G2512">
        <v>20</v>
      </c>
      <c r="H2512">
        <v>1</v>
      </c>
      <c r="I2512">
        <v>0.1748268617791053</v>
      </c>
      <c r="J2512">
        <v>0</v>
      </c>
      <c r="K2512">
        <v>0</v>
      </c>
      <c r="L2512" s="2">
        <v>0</v>
      </c>
      <c r="M2512">
        <v>28.28</v>
      </c>
      <c r="N2512" t="s">
        <v>10236</v>
      </c>
    </row>
    <row r="2513" spans="1:14">
      <c r="A2513" t="s">
        <v>35</v>
      </c>
      <c r="B2513" t="s">
        <v>2673</v>
      </c>
      <c r="C2513">
        <f>"PQ03"</f>
        <v>0</v>
      </c>
      <c r="D2513">
        <v>1</v>
      </c>
      <c r="E2513">
        <v>3</v>
      </c>
      <c r="F2513" s="2">
        <v>1</v>
      </c>
      <c r="G2513">
        <v>12</v>
      </c>
      <c r="H2513">
        <v>1</v>
      </c>
      <c r="I2513">
        <v>0.1748268617791053</v>
      </c>
      <c r="J2513">
        <v>0</v>
      </c>
      <c r="K2513">
        <v>0</v>
      </c>
      <c r="L2513" s="2">
        <v>0</v>
      </c>
      <c r="M2513">
        <v>28.29</v>
      </c>
      <c r="N2513" t="s">
        <v>10236</v>
      </c>
    </row>
    <row r="2514" spans="1:14">
      <c r="A2514" t="s">
        <v>24</v>
      </c>
      <c r="B2514" t="s">
        <v>2674</v>
      </c>
      <c r="C2514">
        <f>"8016061"</f>
        <v>0</v>
      </c>
      <c r="D2514">
        <v>1</v>
      </c>
      <c r="E2514">
        <v>59</v>
      </c>
      <c r="F2514" s="2">
        <v>0</v>
      </c>
      <c r="G2514">
        <v>236</v>
      </c>
      <c r="H2514">
        <v>1</v>
      </c>
      <c r="I2514">
        <v>0.1748268617791053</v>
      </c>
      <c r="J2514">
        <v>0</v>
      </c>
      <c r="K2514">
        <v>0</v>
      </c>
      <c r="L2514" s="2">
        <v>0</v>
      </c>
      <c r="M2514">
        <v>28.3</v>
      </c>
      <c r="N2514" t="s">
        <v>10236</v>
      </c>
    </row>
    <row r="2515" spans="1:14">
      <c r="A2515" t="s">
        <v>35</v>
      </c>
      <c r="B2515" t="s">
        <v>2675</v>
      </c>
      <c r="C2515">
        <f>"XB1861CAM"</f>
        <v>0</v>
      </c>
      <c r="D2515">
        <v>1</v>
      </c>
      <c r="E2515">
        <v>10</v>
      </c>
      <c r="F2515" s="2">
        <v>8</v>
      </c>
      <c r="G2515">
        <v>40</v>
      </c>
      <c r="H2515">
        <v>1</v>
      </c>
      <c r="I2515">
        <v>0.1748268617791053</v>
      </c>
      <c r="J2515">
        <v>0</v>
      </c>
      <c r="K2515">
        <v>0</v>
      </c>
      <c r="L2515" s="2">
        <v>0</v>
      </c>
      <c r="M2515">
        <v>28.31</v>
      </c>
      <c r="N2515" t="s">
        <v>10236</v>
      </c>
    </row>
    <row r="2516" spans="1:14">
      <c r="A2516" t="s">
        <v>202</v>
      </c>
      <c r="B2516" t="s">
        <v>2676</v>
      </c>
      <c r="C2516">
        <f>"11001002"</f>
        <v>0</v>
      </c>
      <c r="D2516">
        <v>1</v>
      </c>
      <c r="E2516">
        <v>3</v>
      </c>
      <c r="F2516" s="2">
        <v>12</v>
      </c>
      <c r="G2516">
        <v>12</v>
      </c>
      <c r="H2516">
        <v>1</v>
      </c>
      <c r="I2516">
        <v>0.1748268617791053</v>
      </c>
      <c r="J2516">
        <v>0</v>
      </c>
      <c r="K2516">
        <v>0</v>
      </c>
      <c r="L2516" s="2">
        <v>0</v>
      </c>
      <c r="M2516">
        <v>28.32</v>
      </c>
      <c r="N2516" t="s">
        <v>10236</v>
      </c>
    </row>
    <row r="2517" spans="1:14">
      <c r="A2517" t="s">
        <v>202</v>
      </c>
      <c r="B2517" t="s">
        <v>2677</v>
      </c>
      <c r="C2517">
        <f>"11002068"</f>
        <v>0</v>
      </c>
      <c r="D2517">
        <v>1</v>
      </c>
      <c r="E2517">
        <v>1</v>
      </c>
      <c r="F2517" s="2">
        <v>20</v>
      </c>
      <c r="G2517">
        <v>4</v>
      </c>
      <c r="H2517">
        <v>1</v>
      </c>
      <c r="I2517">
        <v>0.1748268617791053</v>
      </c>
      <c r="J2517">
        <v>0</v>
      </c>
      <c r="K2517">
        <v>0</v>
      </c>
      <c r="L2517" s="2">
        <v>0</v>
      </c>
      <c r="M2517">
        <v>28.33</v>
      </c>
      <c r="N2517" t="s">
        <v>10236</v>
      </c>
    </row>
    <row r="2518" spans="1:14">
      <c r="A2518" t="s">
        <v>29</v>
      </c>
      <c r="B2518" t="s">
        <v>2678</v>
      </c>
      <c r="C2518">
        <f>"LBL18"</f>
        <v>0</v>
      </c>
      <c r="D2518">
        <v>1</v>
      </c>
      <c r="E2518">
        <v>269</v>
      </c>
      <c r="F2518" s="2">
        <v>1</v>
      </c>
      <c r="G2518">
        <v>1076</v>
      </c>
      <c r="H2518">
        <v>1</v>
      </c>
      <c r="I2518">
        <v>0.1748268617791053</v>
      </c>
      <c r="J2518">
        <v>0</v>
      </c>
      <c r="K2518">
        <v>0</v>
      </c>
      <c r="L2518" s="2">
        <v>0</v>
      </c>
      <c r="M2518">
        <v>28.34</v>
      </c>
      <c r="N2518" t="s">
        <v>10236</v>
      </c>
    </row>
    <row r="2519" spans="1:14">
      <c r="A2519" t="s">
        <v>202</v>
      </c>
      <c r="B2519" t="s">
        <v>2679</v>
      </c>
      <c r="C2519">
        <f>"21001073"</f>
        <v>0</v>
      </c>
      <c r="D2519">
        <v>1</v>
      </c>
      <c r="E2519">
        <v>1</v>
      </c>
      <c r="F2519" s="2">
        <v>17</v>
      </c>
      <c r="G2519">
        <v>4</v>
      </c>
      <c r="H2519">
        <v>1</v>
      </c>
      <c r="I2519">
        <v>0.1748268617791053</v>
      </c>
      <c r="J2519">
        <v>0</v>
      </c>
      <c r="K2519">
        <v>0</v>
      </c>
      <c r="L2519" s="2">
        <v>0</v>
      </c>
      <c r="M2519">
        <v>28.35</v>
      </c>
      <c r="N2519" t="s">
        <v>10236</v>
      </c>
    </row>
    <row r="2520" spans="1:14">
      <c r="A2520" t="s">
        <v>35</v>
      </c>
      <c r="B2520" t="s">
        <v>2680</v>
      </c>
      <c r="C2520">
        <f>"B1916XSA"</f>
        <v>0</v>
      </c>
      <c r="D2520">
        <v>1</v>
      </c>
      <c r="E2520">
        <v>9</v>
      </c>
      <c r="F2520" s="2">
        <v>7</v>
      </c>
      <c r="G2520">
        <v>36</v>
      </c>
      <c r="H2520">
        <v>1</v>
      </c>
      <c r="I2520">
        <v>0.1748268617791053</v>
      </c>
      <c r="J2520">
        <v>0</v>
      </c>
      <c r="K2520">
        <v>0</v>
      </c>
      <c r="L2520" s="2">
        <v>0</v>
      </c>
      <c r="M2520">
        <v>28.36</v>
      </c>
      <c r="N2520" t="s">
        <v>10236</v>
      </c>
    </row>
    <row r="2521" spans="1:14">
      <c r="A2521" t="s">
        <v>32</v>
      </c>
      <c r="B2521" t="s">
        <v>2681</v>
      </c>
      <c r="C2521">
        <f>"1021963"</f>
        <v>0</v>
      </c>
      <c r="D2521">
        <v>1</v>
      </c>
      <c r="E2521">
        <v>1</v>
      </c>
      <c r="F2521" s="2">
        <v>5</v>
      </c>
      <c r="G2521">
        <v>4</v>
      </c>
      <c r="H2521">
        <v>1</v>
      </c>
      <c r="I2521">
        <v>0.1748268617791053</v>
      </c>
      <c r="J2521">
        <v>0</v>
      </c>
      <c r="K2521">
        <v>0</v>
      </c>
      <c r="L2521" s="2">
        <v>0</v>
      </c>
      <c r="M2521">
        <v>28.37</v>
      </c>
      <c r="N2521" t="s">
        <v>10236</v>
      </c>
    </row>
    <row r="2522" spans="1:14">
      <c r="A2522" t="s">
        <v>24</v>
      </c>
      <c r="B2522" t="s">
        <v>2682</v>
      </c>
      <c r="C2522">
        <f>"1112291"</f>
        <v>0</v>
      </c>
      <c r="D2522">
        <v>1</v>
      </c>
      <c r="E2522">
        <v>11</v>
      </c>
      <c r="F2522" s="2">
        <v>4</v>
      </c>
      <c r="G2522">
        <v>44</v>
      </c>
      <c r="H2522">
        <v>1</v>
      </c>
      <c r="I2522">
        <v>0.1748268617791053</v>
      </c>
      <c r="J2522">
        <v>0</v>
      </c>
      <c r="K2522">
        <v>0</v>
      </c>
      <c r="L2522" s="2">
        <v>0</v>
      </c>
      <c r="M2522">
        <v>28.38</v>
      </c>
      <c r="N2522" t="s">
        <v>10236</v>
      </c>
    </row>
    <row r="2523" spans="1:14">
      <c r="A2523" t="s">
        <v>35</v>
      </c>
      <c r="B2523" t="s">
        <v>2683</v>
      </c>
      <c r="C2523">
        <f>"KM5090BE"</f>
        <v>0</v>
      </c>
      <c r="D2523">
        <v>1</v>
      </c>
      <c r="E2523">
        <v>1</v>
      </c>
      <c r="F2523" s="2">
        <v>9</v>
      </c>
      <c r="G2523">
        <v>4</v>
      </c>
      <c r="H2523">
        <v>1</v>
      </c>
      <c r="I2523">
        <v>0.1748268617791053</v>
      </c>
      <c r="J2523">
        <v>0</v>
      </c>
      <c r="K2523">
        <v>0</v>
      </c>
      <c r="L2523" s="2">
        <v>0</v>
      </c>
      <c r="M2523">
        <v>28.38</v>
      </c>
      <c r="N2523" t="s">
        <v>10236</v>
      </c>
    </row>
    <row r="2524" spans="1:14">
      <c r="A2524" t="s">
        <v>35</v>
      </c>
      <c r="B2524" t="s">
        <v>2684</v>
      </c>
      <c r="C2524">
        <f>"TQ0111ROS"</f>
        <v>0</v>
      </c>
      <c r="D2524">
        <v>1</v>
      </c>
      <c r="E2524">
        <v>1</v>
      </c>
      <c r="F2524" s="2">
        <v>1</v>
      </c>
      <c r="G2524">
        <v>4</v>
      </c>
      <c r="H2524">
        <v>1</v>
      </c>
      <c r="I2524">
        <v>0.1748268617791053</v>
      </c>
      <c r="J2524">
        <v>0</v>
      </c>
      <c r="K2524">
        <v>0</v>
      </c>
      <c r="L2524" s="2">
        <v>0</v>
      </c>
      <c r="M2524">
        <v>28.39</v>
      </c>
      <c r="N2524" t="s">
        <v>10236</v>
      </c>
    </row>
    <row r="2525" spans="1:14">
      <c r="A2525" t="s">
        <v>35</v>
      </c>
      <c r="B2525" t="s">
        <v>2685</v>
      </c>
      <c r="C2525">
        <f>"970301"</f>
        <v>0</v>
      </c>
      <c r="D2525">
        <v>1</v>
      </c>
      <c r="E2525">
        <v>4</v>
      </c>
      <c r="F2525" s="2">
        <v>4</v>
      </c>
      <c r="G2525">
        <v>16</v>
      </c>
      <c r="H2525">
        <v>1</v>
      </c>
      <c r="I2525">
        <v>0.1748268617791053</v>
      </c>
      <c r="J2525">
        <v>0</v>
      </c>
      <c r="K2525">
        <v>0</v>
      </c>
      <c r="L2525" s="2">
        <v>0</v>
      </c>
      <c r="M2525">
        <v>28.4</v>
      </c>
      <c r="N2525" t="s">
        <v>10236</v>
      </c>
    </row>
    <row r="2526" spans="1:14">
      <c r="A2526" t="s">
        <v>33</v>
      </c>
      <c r="B2526" t="s">
        <v>2686</v>
      </c>
      <c r="C2526">
        <f>"TOPK92093"</f>
        <v>0</v>
      </c>
      <c r="D2526">
        <v>1</v>
      </c>
      <c r="E2526">
        <v>1</v>
      </c>
      <c r="F2526" s="2">
        <v>8</v>
      </c>
      <c r="G2526">
        <v>4</v>
      </c>
      <c r="H2526">
        <v>1</v>
      </c>
      <c r="I2526">
        <v>0.1748268617791053</v>
      </c>
      <c r="J2526">
        <v>0</v>
      </c>
      <c r="K2526">
        <v>0</v>
      </c>
      <c r="L2526" s="2">
        <v>0</v>
      </c>
      <c r="M2526">
        <v>28.41</v>
      </c>
      <c r="N2526" t="s">
        <v>10236</v>
      </c>
    </row>
    <row r="2527" spans="1:14">
      <c r="A2527" t="s">
        <v>27</v>
      </c>
      <c r="B2527" t="s">
        <v>2687</v>
      </c>
      <c r="C2527">
        <f>"ALDF07"</f>
        <v>0</v>
      </c>
      <c r="D2527">
        <v>1</v>
      </c>
      <c r="E2527">
        <v>1</v>
      </c>
      <c r="F2527" s="2">
        <v>7</v>
      </c>
      <c r="G2527">
        <v>4</v>
      </c>
      <c r="H2527">
        <v>1</v>
      </c>
      <c r="I2527">
        <v>0.1748268617791053</v>
      </c>
      <c r="J2527">
        <v>0</v>
      </c>
      <c r="K2527">
        <v>0</v>
      </c>
      <c r="L2527" s="2">
        <v>0</v>
      </c>
      <c r="M2527">
        <v>28.42</v>
      </c>
      <c r="N2527" t="s">
        <v>10236</v>
      </c>
    </row>
    <row r="2528" spans="1:14">
      <c r="A2528" t="s">
        <v>29</v>
      </c>
      <c r="B2528" t="s">
        <v>2688</v>
      </c>
      <c r="C2528">
        <f>"SFP34"</f>
        <v>0</v>
      </c>
      <c r="D2528">
        <v>1</v>
      </c>
      <c r="E2528">
        <v>2</v>
      </c>
      <c r="F2528" s="2">
        <v>8</v>
      </c>
      <c r="G2528">
        <v>8</v>
      </c>
      <c r="H2528">
        <v>1</v>
      </c>
      <c r="I2528">
        <v>0.1748268617791053</v>
      </c>
      <c r="J2528">
        <v>0</v>
      </c>
      <c r="K2528">
        <v>0</v>
      </c>
      <c r="L2528" s="2">
        <v>0</v>
      </c>
      <c r="M2528">
        <v>28.43</v>
      </c>
      <c r="N2528" t="s">
        <v>10236</v>
      </c>
    </row>
    <row r="2529" spans="1:14">
      <c r="A2529" t="s">
        <v>202</v>
      </c>
      <c r="B2529" t="s">
        <v>2689</v>
      </c>
      <c r="C2529">
        <f>"21001061"</f>
        <v>0</v>
      </c>
      <c r="D2529">
        <v>1</v>
      </c>
      <c r="E2529">
        <v>6</v>
      </c>
      <c r="F2529" s="2">
        <v>2</v>
      </c>
      <c r="G2529">
        <v>24</v>
      </c>
      <c r="H2529">
        <v>1</v>
      </c>
      <c r="I2529">
        <v>0.1748268617791053</v>
      </c>
      <c r="J2529">
        <v>0</v>
      </c>
      <c r="K2529">
        <v>0</v>
      </c>
      <c r="L2529" s="2">
        <v>0</v>
      </c>
      <c r="M2529">
        <v>28.44</v>
      </c>
      <c r="N2529" t="s">
        <v>10236</v>
      </c>
    </row>
    <row r="2530" spans="1:14">
      <c r="A2530" t="s">
        <v>37</v>
      </c>
      <c r="B2530" t="s">
        <v>2690</v>
      </c>
      <c r="C2530">
        <f>"560478"</f>
        <v>0</v>
      </c>
      <c r="D2530">
        <v>1</v>
      </c>
      <c r="E2530">
        <v>1</v>
      </c>
      <c r="F2530" s="2">
        <v>3</v>
      </c>
      <c r="G2530">
        <v>4</v>
      </c>
      <c r="H2530">
        <v>1</v>
      </c>
      <c r="I2530">
        <v>0.1748268617791053</v>
      </c>
      <c r="J2530">
        <v>0</v>
      </c>
      <c r="K2530">
        <v>0</v>
      </c>
      <c r="L2530" s="2">
        <v>0</v>
      </c>
      <c r="M2530">
        <v>28.45</v>
      </c>
      <c r="N2530" t="s">
        <v>10236</v>
      </c>
    </row>
    <row r="2531" spans="1:14">
      <c r="A2531" t="s">
        <v>35</v>
      </c>
      <c r="B2531" t="s">
        <v>2691</v>
      </c>
      <c r="C2531">
        <f>"B1092183XLO"</f>
        <v>0</v>
      </c>
      <c r="D2531">
        <v>1</v>
      </c>
      <c r="E2531">
        <v>1</v>
      </c>
      <c r="F2531" s="2">
        <v>11</v>
      </c>
      <c r="G2531">
        <v>4</v>
      </c>
      <c r="H2531">
        <v>1</v>
      </c>
      <c r="I2531">
        <v>0.1748268617791053</v>
      </c>
      <c r="J2531">
        <v>0</v>
      </c>
      <c r="K2531">
        <v>0</v>
      </c>
      <c r="L2531" s="2">
        <v>0</v>
      </c>
      <c r="M2531">
        <v>28.46</v>
      </c>
      <c r="N2531" t="s">
        <v>10236</v>
      </c>
    </row>
    <row r="2532" spans="1:14">
      <c r="A2532" t="s">
        <v>35</v>
      </c>
      <c r="B2532" t="s">
        <v>2692</v>
      </c>
      <c r="C2532">
        <f>"XQ31L"</f>
        <v>0</v>
      </c>
      <c r="D2532">
        <v>1</v>
      </c>
      <c r="E2532">
        <v>14</v>
      </c>
      <c r="F2532" s="2">
        <v>2</v>
      </c>
      <c r="G2532">
        <v>56</v>
      </c>
      <c r="H2532">
        <v>1</v>
      </c>
      <c r="I2532">
        <v>0.1748268617791053</v>
      </c>
      <c r="J2532">
        <v>0</v>
      </c>
      <c r="K2532">
        <v>0</v>
      </c>
      <c r="L2532" s="2">
        <v>0</v>
      </c>
      <c r="M2532">
        <v>28.47</v>
      </c>
      <c r="N2532" t="s">
        <v>10236</v>
      </c>
    </row>
    <row r="2533" spans="1:14">
      <c r="A2533" t="s">
        <v>206</v>
      </c>
      <c r="B2533" t="s">
        <v>2693</v>
      </c>
      <c r="C2533">
        <f>"36173"</f>
        <v>0</v>
      </c>
      <c r="D2533">
        <v>1</v>
      </c>
      <c r="E2533">
        <v>4</v>
      </c>
      <c r="F2533" s="2">
        <v>10</v>
      </c>
      <c r="G2533">
        <v>16</v>
      </c>
      <c r="H2533">
        <v>1</v>
      </c>
      <c r="I2533">
        <v>0.1748268617791053</v>
      </c>
      <c r="J2533">
        <v>0</v>
      </c>
      <c r="K2533">
        <v>0</v>
      </c>
      <c r="L2533" s="2">
        <v>0</v>
      </c>
      <c r="M2533">
        <v>28.48</v>
      </c>
      <c r="N2533" t="s">
        <v>10236</v>
      </c>
    </row>
    <row r="2534" spans="1:14">
      <c r="A2534" t="s">
        <v>30</v>
      </c>
      <c r="B2534" t="s">
        <v>2694</v>
      </c>
      <c r="C2534">
        <f>"100971"</f>
        <v>0</v>
      </c>
      <c r="D2534">
        <v>1</v>
      </c>
      <c r="E2534">
        <v>1</v>
      </c>
      <c r="F2534" s="2">
        <v>38</v>
      </c>
      <c r="G2534">
        <v>4</v>
      </c>
      <c r="H2534">
        <v>1</v>
      </c>
      <c r="I2534">
        <v>0.1748268617791053</v>
      </c>
      <c r="J2534">
        <v>0</v>
      </c>
      <c r="K2534">
        <v>0</v>
      </c>
      <c r="L2534" s="2">
        <v>0</v>
      </c>
      <c r="M2534">
        <v>28.49</v>
      </c>
      <c r="N2534" t="s">
        <v>10236</v>
      </c>
    </row>
    <row r="2535" spans="1:14">
      <c r="A2535" t="s">
        <v>35</v>
      </c>
      <c r="B2535" t="s">
        <v>2695</v>
      </c>
      <c r="C2535">
        <f>"BO3052ATA"</f>
        <v>0</v>
      </c>
      <c r="D2535">
        <v>1</v>
      </c>
      <c r="E2535">
        <v>4</v>
      </c>
      <c r="F2535" s="2">
        <v>1</v>
      </c>
      <c r="G2535">
        <v>16</v>
      </c>
      <c r="H2535">
        <v>1</v>
      </c>
      <c r="I2535">
        <v>0.1748268617791053</v>
      </c>
      <c r="J2535">
        <v>0</v>
      </c>
      <c r="K2535">
        <v>0</v>
      </c>
      <c r="L2535" s="2">
        <v>0</v>
      </c>
      <c r="M2535">
        <v>28.5</v>
      </c>
      <c r="N2535" t="s">
        <v>10236</v>
      </c>
    </row>
    <row r="2536" spans="1:14">
      <c r="A2536" t="s">
        <v>196</v>
      </c>
      <c r="B2536" t="s">
        <v>2696</v>
      </c>
      <c r="C2536">
        <f>"2040"</f>
        <v>0</v>
      </c>
      <c r="D2536">
        <v>1</v>
      </c>
      <c r="E2536">
        <v>3</v>
      </c>
      <c r="F2536" s="2">
        <v>1</v>
      </c>
      <c r="G2536">
        <v>12</v>
      </c>
      <c r="H2536">
        <v>1</v>
      </c>
      <c r="I2536">
        <v>0.1748268617791053</v>
      </c>
      <c r="J2536">
        <v>0</v>
      </c>
      <c r="K2536">
        <v>0</v>
      </c>
      <c r="L2536" s="2">
        <v>0</v>
      </c>
      <c r="M2536">
        <v>28.5</v>
      </c>
      <c r="N2536" t="s">
        <v>10236</v>
      </c>
    </row>
    <row r="2537" spans="1:14">
      <c r="A2537" t="s">
        <v>35</v>
      </c>
      <c r="B2537" t="s">
        <v>2697</v>
      </c>
      <c r="C2537">
        <f>"BO3052AYU"</f>
        <v>0</v>
      </c>
      <c r="D2537">
        <v>1</v>
      </c>
      <c r="E2537">
        <v>4</v>
      </c>
      <c r="F2537" s="2">
        <v>1</v>
      </c>
      <c r="G2537">
        <v>16</v>
      </c>
      <c r="H2537">
        <v>1</v>
      </c>
      <c r="I2537">
        <v>0.1748268617791053</v>
      </c>
      <c r="J2537">
        <v>0</v>
      </c>
      <c r="K2537">
        <v>0</v>
      </c>
      <c r="L2537" s="2">
        <v>0</v>
      </c>
      <c r="M2537">
        <v>28.51</v>
      </c>
      <c r="N2537" t="s">
        <v>10236</v>
      </c>
    </row>
    <row r="2538" spans="1:14">
      <c r="A2538" t="s">
        <v>35</v>
      </c>
      <c r="B2538" t="s">
        <v>2698</v>
      </c>
      <c r="C2538">
        <f>"ER071"</f>
        <v>0</v>
      </c>
      <c r="D2538">
        <v>1</v>
      </c>
      <c r="E2538">
        <v>27</v>
      </c>
      <c r="F2538" s="2">
        <v>5</v>
      </c>
      <c r="G2538">
        <v>108</v>
      </c>
      <c r="H2538">
        <v>1</v>
      </c>
      <c r="I2538">
        <v>0.1748268617791053</v>
      </c>
      <c r="J2538">
        <v>0</v>
      </c>
      <c r="K2538">
        <v>0</v>
      </c>
      <c r="L2538" s="2">
        <v>0</v>
      </c>
      <c r="M2538">
        <v>28.52</v>
      </c>
      <c r="N2538" t="s">
        <v>10236</v>
      </c>
    </row>
    <row r="2539" spans="1:14">
      <c r="A2539" t="s">
        <v>29</v>
      </c>
      <c r="B2539" t="s">
        <v>2699</v>
      </c>
      <c r="C2539">
        <f>"RS3002"</f>
        <v>0</v>
      </c>
      <c r="D2539">
        <v>1</v>
      </c>
      <c r="E2539">
        <v>1</v>
      </c>
      <c r="F2539" s="2">
        <v>6</v>
      </c>
      <c r="G2539">
        <v>4</v>
      </c>
      <c r="H2539">
        <v>1</v>
      </c>
      <c r="I2539">
        <v>0.1748268617791053</v>
      </c>
      <c r="J2539">
        <v>0</v>
      </c>
      <c r="K2539">
        <v>0</v>
      </c>
      <c r="L2539" s="2">
        <v>0</v>
      </c>
      <c r="M2539">
        <v>28.53</v>
      </c>
      <c r="N2539" t="s">
        <v>10236</v>
      </c>
    </row>
    <row r="2540" spans="1:14">
      <c r="A2540" t="s">
        <v>35</v>
      </c>
      <c r="B2540" t="s">
        <v>2700</v>
      </c>
      <c r="C2540">
        <f>"JW50547"</f>
        <v>0</v>
      </c>
      <c r="D2540">
        <v>1</v>
      </c>
      <c r="E2540">
        <v>20</v>
      </c>
      <c r="F2540" s="2">
        <v>3</v>
      </c>
      <c r="G2540">
        <v>80</v>
      </c>
      <c r="H2540">
        <v>1</v>
      </c>
      <c r="I2540">
        <v>0.1748268617791053</v>
      </c>
      <c r="J2540">
        <v>0</v>
      </c>
      <c r="K2540">
        <v>0</v>
      </c>
      <c r="L2540" s="2">
        <v>0</v>
      </c>
      <c r="M2540">
        <v>28.54</v>
      </c>
      <c r="N2540" t="s">
        <v>10236</v>
      </c>
    </row>
    <row r="2541" spans="1:14">
      <c r="A2541" t="s">
        <v>35</v>
      </c>
      <c r="B2541" t="s">
        <v>2701</v>
      </c>
      <c r="C2541">
        <f>"B1919XXLN"</f>
        <v>0</v>
      </c>
      <c r="D2541">
        <v>1</v>
      </c>
      <c r="E2541">
        <v>7</v>
      </c>
      <c r="F2541" s="2">
        <v>8</v>
      </c>
      <c r="G2541">
        <v>28</v>
      </c>
      <c r="H2541">
        <v>1</v>
      </c>
      <c r="I2541">
        <v>0.1748268617791053</v>
      </c>
      <c r="J2541">
        <v>0</v>
      </c>
      <c r="K2541">
        <v>0</v>
      </c>
      <c r="L2541" s="2">
        <v>0</v>
      </c>
      <c r="M2541">
        <v>28.55</v>
      </c>
      <c r="N2541" t="s">
        <v>10236</v>
      </c>
    </row>
    <row r="2542" spans="1:14">
      <c r="A2542" t="s">
        <v>35</v>
      </c>
      <c r="B2542" t="s">
        <v>2702</v>
      </c>
      <c r="C2542">
        <f>"BO3058"</f>
        <v>0</v>
      </c>
      <c r="D2542">
        <v>1</v>
      </c>
      <c r="E2542">
        <v>3</v>
      </c>
      <c r="F2542" s="2">
        <v>4</v>
      </c>
      <c r="G2542">
        <v>12</v>
      </c>
      <c r="H2542">
        <v>1</v>
      </c>
      <c r="I2542">
        <v>0.1748268617791053</v>
      </c>
      <c r="J2542">
        <v>0</v>
      </c>
      <c r="K2542">
        <v>0</v>
      </c>
      <c r="L2542" s="2">
        <v>0</v>
      </c>
      <c r="M2542">
        <v>28.56</v>
      </c>
      <c r="N2542" t="s">
        <v>10236</v>
      </c>
    </row>
    <row r="2543" spans="1:14">
      <c r="A2543" t="s">
        <v>35</v>
      </c>
      <c r="B2543" t="s">
        <v>2703</v>
      </c>
      <c r="C2543">
        <f>"jw0122A"</f>
        <v>0</v>
      </c>
      <c r="D2543">
        <v>1</v>
      </c>
      <c r="E2543">
        <v>3</v>
      </c>
      <c r="F2543" s="2">
        <v>1</v>
      </c>
      <c r="G2543">
        <v>12</v>
      </c>
      <c r="H2543">
        <v>1</v>
      </c>
      <c r="I2543">
        <v>0.1748268617791053</v>
      </c>
      <c r="J2543">
        <v>0</v>
      </c>
      <c r="K2543">
        <v>0</v>
      </c>
      <c r="L2543" s="2">
        <v>0</v>
      </c>
      <c r="M2543">
        <v>28.57</v>
      </c>
      <c r="N2543" t="s">
        <v>10236</v>
      </c>
    </row>
    <row r="2544" spans="1:14">
      <c r="A2544" t="s">
        <v>35</v>
      </c>
      <c r="B2544" t="s">
        <v>2704</v>
      </c>
      <c r="C2544">
        <f>"MS009"</f>
        <v>0</v>
      </c>
      <c r="D2544">
        <v>1</v>
      </c>
      <c r="E2544">
        <v>1</v>
      </c>
      <c r="F2544" s="2">
        <v>3</v>
      </c>
      <c r="G2544">
        <v>4</v>
      </c>
      <c r="H2544">
        <v>1</v>
      </c>
      <c r="I2544">
        <v>0.1748268617791053</v>
      </c>
      <c r="J2544">
        <v>0</v>
      </c>
      <c r="K2544">
        <v>0</v>
      </c>
      <c r="L2544" s="2">
        <v>0</v>
      </c>
      <c r="M2544">
        <v>28.58</v>
      </c>
      <c r="N2544" t="s">
        <v>10236</v>
      </c>
    </row>
    <row r="2545" spans="1:14">
      <c r="A2545" t="s">
        <v>202</v>
      </c>
      <c r="B2545" t="s">
        <v>2705</v>
      </c>
      <c r="C2545">
        <f>"21001038"</f>
        <v>0</v>
      </c>
      <c r="D2545">
        <v>1</v>
      </c>
      <c r="E2545">
        <v>1</v>
      </c>
      <c r="F2545" s="2">
        <v>12</v>
      </c>
      <c r="G2545">
        <v>4</v>
      </c>
      <c r="H2545">
        <v>1</v>
      </c>
      <c r="I2545">
        <v>0.1748268617791053</v>
      </c>
      <c r="J2545">
        <v>0</v>
      </c>
      <c r="K2545">
        <v>0</v>
      </c>
      <c r="L2545" s="2">
        <v>0</v>
      </c>
      <c r="M2545">
        <v>28.59</v>
      </c>
      <c r="N2545" t="s">
        <v>10236</v>
      </c>
    </row>
    <row r="2546" spans="1:14">
      <c r="A2546" t="s">
        <v>35</v>
      </c>
      <c r="B2546" t="s">
        <v>2706</v>
      </c>
      <c r="C2546">
        <f>"PCM60100L"</f>
        <v>0</v>
      </c>
      <c r="D2546">
        <v>1</v>
      </c>
      <c r="E2546">
        <v>1</v>
      </c>
      <c r="F2546" s="2">
        <v>9</v>
      </c>
      <c r="G2546">
        <v>4</v>
      </c>
      <c r="H2546">
        <v>1</v>
      </c>
      <c r="I2546">
        <v>0.1748268617791053</v>
      </c>
      <c r="J2546">
        <v>0</v>
      </c>
      <c r="K2546">
        <v>0</v>
      </c>
      <c r="L2546" s="2">
        <v>0</v>
      </c>
      <c r="M2546">
        <v>28.6</v>
      </c>
      <c r="N2546" t="s">
        <v>10236</v>
      </c>
    </row>
    <row r="2547" spans="1:14">
      <c r="A2547" t="s">
        <v>32</v>
      </c>
      <c r="B2547" t="s">
        <v>2707</v>
      </c>
      <c r="C2547">
        <f>"5000268"</f>
        <v>0</v>
      </c>
      <c r="D2547">
        <v>1</v>
      </c>
      <c r="E2547">
        <v>2</v>
      </c>
      <c r="F2547" s="2">
        <v>10</v>
      </c>
      <c r="G2547">
        <v>8</v>
      </c>
      <c r="H2547">
        <v>1</v>
      </c>
      <c r="I2547">
        <v>0.1748268617791053</v>
      </c>
      <c r="J2547">
        <v>0</v>
      </c>
      <c r="K2547">
        <v>0</v>
      </c>
      <c r="L2547" s="2">
        <v>0</v>
      </c>
      <c r="M2547">
        <v>28.61</v>
      </c>
      <c r="N2547" t="s">
        <v>10236</v>
      </c>
    </row>
    <row r="2548" spans="1:14">
      <c r="A2548" t="s">
        <v>24</v>
      </c>
      <c r="B2548" t="s">
        <v>2708</v>
      </c>
      <c r="C2548">
        <f>"1110941"</f>
        <v>0</v>
      </c>
      <c r="D2548">
        <v>1</v>
      </c>
      <c r="E2548">
        <v>2</v>
      </c>
      <c r="F2548" s="2">
        <v>5</v>
      </c>
      <c r="G2548">
        <v>8</v>
      </c>
      <c r="H2548">
        <v>1</v>
      </c>
      <c r="I2548">
        <v>0.1748268617791053</v>
      </c>
      <c r="J2548">
        <v>0</v>
      </c>
      <c r="K2548">
        <v>0</v>
      </c>
      <c r="L2548" s="2">
        <v>0</v>
      </c>
      <c r="M2548">
        <v>28.62</v>
      </c>
      <c r="N2548" t="s">
        <v>10236</v>
      </c>
    </row>
    <row r="2549" spans="1:14">
      <c r="A2549" t="s">
        <v>35</v>
      </c>
      <c r="B2549" t="s">
        <v>2709</v>
      </c>
      <c r="C2549">
        <f>"XB09071AZ"</f>
        <v>0</v>
      </c>
      <c r="D2549">
        <v>1</v>
      </c>
      <c r="E2549">
        <v>2</v>
      </c>
      <c r="F2549" s="2">
        <v>5</v>
      </c>
      <c r="G2549">
        <v>8</v>
      </c>
      <c r="H2549">
        <v>1</v>
      </c>
      <c r="I2549">
        <v>0.1748268617791053</v>
      </c>
      <c r="J2549">
        <v>0</v>
      </c>
      <c r="K2549">
        <v>0</v>
      </c>
      <c r="L2549" s="2">
        <v>0</v>
      </c>
      <c r="M2549">
        <v>28.63</v>
      </c>
      <c r="N2549" t="s">
        <v>10236</v>
      </c>
    </row>
    <row r="2550" spans="1:14">
      <c r="A2550" t="s">
        <v>35</v>
      </c>
      <c r="B2550" t="s">
        <v>2710</v>
      </c>
      <c r="C2550">
        <f>"7656M"</f>
        <v>0</v>
      </c>
      <c r="D2550">
        <v>1</v>
      </c>
      <c r="E2550">
        <v>5</v>
      </c>
      <c r="F2550" s="2">
        <v>11</v>
      </c>
      <c r="G2550">
        <v>20</v>
      </c>
      <c r="H2550">
        <v>1</v>
      </c>
      <c r="I2550">
        <v>0.1748268617791053</v>
      </c>
      <c r="J2550">
        <v>0</v>
      </c>
      <c r="K2550">
        <v>0</v>
      </c>
      <c r="L2550" s="2">
        <v>0</v>
      </c>
      <c r="M2550">
        <v>28.63</v>
      </c>
      <c r="N2550" t="s">
        <v>10236</v>
      </c>
    </row>
    <row r="2551" spans="1:14">
      <c r="A2551" t="s">
        <v>202</v>
      </c>
      <c r="B2551" t="s">
        <v>2711</v>
      </c>
      <c r="C2551">
        <f>"11001041"</f>
        <v>0</v>
      </c>
      <c r="D2551">
        <v>1</v>
      </c>
      <c r="E2551">
        <v>2</v>
      </c>
      <c r="F2551" s="2">
        <v>30</v>
      </c>
      <c r="G2551">
        <v>8</v>
      </c>
      <c r="H2551">
        <v>1</v>
      </c>
      <c r="I2551">
        <v>0.1748268617791053</v>
      </c>
      <c r="J2551">
        <v>0</v>
      </c>
      <c r="K2551">
        <v>0</v>
      </c>
      <c r="L2551" s="2">
        <v>0</v>
      </c>
      <c r="M2551">
        <v>28.64</v>
      </c>
      <c r="N2551" t="s">
        <v>10236</v>
      </c>
    </row>
    <row r="2552" spans="1:14">
      <c r="A2552" t="s">
        <v>35</v>
      </c>
      <c r="B2552" t="s">
        <v>2712</v>
      </c>
      <c r="C2552">
        <f>"SDR221"</f>
        <v>0</v>
      </c>
      <c r="D2552">
        <v>1</v>
      </c>
      <c r="E2552">
        <v>1</v>
      </c>
      <c r="F2552" s="2">
        <v>2</v>
      </c>
      <c r="G2552">
        <v>4</v>
      </c>
      <c r="H2552">
        <v>1</v>
      </c>
      <c r="I2552">
        <v>0.1748268617791053</v>
      </c>
      <c r="J2552">
        <v>0</v>
      </c>
      <c r="K2552">
        <v>0</v>
      </c>
      <c r="L2552" s="2">
        <v>0</v>
      </c>
      <c r="M2552">
        <v>28.65</v>
      </c>
      <c r="N2552" t="s">
        <v>10236</v>
      </c>
    </row>
    <row r="2553" spans="1:14">
      <c r="A2553" t="s">
        <v>35</v>
      </c>
      <c r="B2553" t="s">
        <v>2713</v>
      </c>
      <c r="C2553">
        <f>"CP6300"</f>
        <v>0</v>
      </c>
      <c r="D2553">
        <v>1</v>
      </c>
      <c r="E2553">
        <v>1</v>
      </c>
      <c r="F2553" s="2">
        <v>13</v>
      </c>
      <c r="G2553">
        <v>4</v>
      </c>
      <c r="H2553">
        <v>1</v>
      </c>
      <c r="I2553">
        <v>0.1748268617791053</v>
      </c>
      <c r="J2553">
        <v>0</v>
      </c>
      <c r="K2553">
        <v>0</v>
      </c>
      <c r="L2553" s="2">
        <v>0</v>
      </c>
      <c r="M2553">
        <v>28.66</v>
      </c>
      <c r="N2553" t="s">
        <v>10236</v>
      </c>
    </row>
    <row r="2554" spans="1:14">
      <c r="A2554" t="s">
        <v>35</v>
      </c>
      <c r="B2554" t="s">
        <v>2714</v>
      </c>
      <c r="C2554">
        <f>"X1341XLV"</f>
        <v>0</v>
      </c>
      <c r="D2554">
        <v>1</v>
      </c>
      <c r="E2554">
        <v>1</v>
      </c>
      <c r="F2554" s="2">
        <v>4</v>
      </c>
      <c r="G2554">
        <v>4</v>
      </c>
      <c r="H2554">
        <v>1</v>
      </c>
      <c r="I2554">
        <v>0.1748268617791053</v>
      </c>
      <c r="J2554">
        <v>0</v>
      </c>
      <c r="K2554">
        <v>0</v>
      </c>
      <c r="L2554" s="2">
        <v>0</v>
      </c>
      <c r="M2554">
        <v>28.67</v>
      </c>
      <c r="N2554" t="s">
        <v>10236</v>
      </c>
    </row>
    <row r="2555" spans="1:14">
      <c r="A2555" t="s">
        <v>35</v>
      </c>
      <c r="B2555" t="s">
        <v>2715</v>
      </c>
      <c r="C2555">
        <f>"1840CXSB"</f>
        <v>0</v>
      </c>
      <c r="D2555">
        <v>1</v>
      </c>
      <c r="E2555">
        <v>9</v>
      </c>
      <c r="F2555" s="2">
        <v>0</v>
      </c>
      <c r="G2555">
        <v>36</v>
      </c>
      <c r="H2555">
        <v>1</v>
      </c>
      <c r="I2555">
        <v>0.1748268617791053</v>
      </c>
      <c r="J2555">
        <v>0</v>
      </c>
      <c r="K2555">
        <v>0</v>
      </c>
      <c r="L2555" s="2">
        <v>0</v>
      </c>
      <c r="M2555">
        <v>28.68</v>
      </c>
      <c r="N2555" t="s">
        <v>10236</v>
      </c>
    </row>
    <row r="2556" spans="1:14">
      <c r="A2556" t="s">
        <v>25</v>
      </c>
      <c r="B2556" t="s">
        <v>2716</v>
      </c>
      <c r="C2556">
        <f>"YT06"</f>
        <v>0</v>
      </c>
      <c r="D2556">
        <v>1</v>
      </c>
      <c r="E2556">
        <v>1</v>
      </c>
      <c r="F2556" s="2">
        <v>9</v>
      </c>
      <c r="G2556">
        <v>4</v>
      </c>
      <c r="H2556">
        <v>1</v>
      </c>
      <c r="I2556">
        <v>0.1748268617791053</v>
      </c>
      <c r="J2556">
        <v>0</v>
      </c>
      <c r="K2556">
        <v>0</v>
      </c>
      <c r="L2556" s="2">
        <v>0</v>
      </c>
      <c r="M2556">
        <v>28.69</v>
      </c>
      <c r="N2556" t="s">
        <v>10236</v>
      </c>
    </row>
    <row r="2557" spans="1:14">
      <c r="A2557" t="s">
        <v>30</v>
      </c>
      <c r="B2557" t="s">
        <v>2717</v>
      </c>
      <c r="C2557">
        <f>"100900"</f>
        <v>0</v>
      </c>
      <c r="D2557">
        <v>1</v>
      </c>
      <c r="E2557">
        <v>2</v>
      </c>
      <c r="F2557" s="2">
        <v>39</v>
      </c>
      <c r="G2557">
        <v>8</v>
      </c>
      <c r="H2557">
        <v>1</v>
      </c>
      <c r="I2557">
        <v>0.1748268617791053</v>
      </c>
      <c r="J2557">
        <v>0</v>
      </c>
      <c r="K2557">
        <v>0</v>
      </c>
      <c r="L2557" s="2">
        <v>0</v>
      </c>
      <c r="M2557">
        <v>28.7</v>
      </c>
      <c r="N2557" t="s">
        <v>10236</v>
      </c>
    </row>
    <row r="2558" spans="1:14">
      <c r="A2558" t="s">
        <v>35</v>
      </c>
      <c r="B2558" t="s">
        <v>2718</v>
      </c>
      <c r="C2558">
        <f>"D162"</f>
        <v>0</v>
      </c>
      <c r="D2558">
        <v>1</v>
      </c>
      <c r="E2558">
        <v>3</v>
      </c>
      <c r="F2558" s="2">
        <v>4</v>
      </c>
      <c r="G2558">
        <v>12</v>
      </c>
      <c r="H2558">
        <v>1</v>
      </c>
      <c r="I2558">
        <v>0.1748268617791053</v>
      </c>
      <c r="J2558">
        <v>0</v>
      </c>
      <c r="K2558">
        <v>0</v>
      </c>
      <c r="L2558" s="2">
        <v>0</v>
      </c>
      <c r="M2558">
        <v>28.71</v>
      </c>
      <c r="N2558" t="s">
        <v>10236</v>
      </c>
    </row>
    <row r="2559" spans="1:14">
      <c r="A2559" t="s">
        <v>203</v>
      </c>
      <c r="B2559" t="s">
        <v>2719</v>
      </c>
      <c r="C2559">
        <f>"753915"</f>
        <v>0</v>
      </c>
      <c r="D2559">
        <v>1</v>
      </c>
      <c r="E2559">
        <v>1</v>
      </c>
      <c r="F2559" s="2">
        <v>16</v>
      </c>
      <c r="G2559">
        <v>4</v>
      </c>
      <c r="H2559">
        <v>1</v>
      </c>
      <c r="I2559">
        <v>0.1748268617791053</v>
      </c>
      <c r="J2559">
        <v>0</v>
      </c>
      <c r="K2559">
        <v>0</v>
      </c>
      <c r="L2559" s="2">
        <v>0</v>
      </c>
      <c r="M2559">
        <v>28.72</v>
      </c>
      <c r="N2559" t="s">
        <v>10236</v>
      </c>
    </row>
    <row r="2560" spans="1:14">
      <c r="A2560" t="s">
        <v>202</v>
      </c>
      <c r="B2560" t="s">
        <v>2720</v>
      </c>
      <c r="C2560">
        <f>"21002049"</f>
        <v>0</v>
      </c>
      <c r="D2560">
        <v>1</v>
      </c>
      <c r="E2560">
        <v>2</v>
      </c>
      <c r="F2560" s="2">
        <v>12</v>
      </c>
      <c r="G2560">
        <v>8</v>
      </c>
      <c r="H2560">
        <v>1</v>
      </c>
      <c r="I2560">
        <v>0.1748268617791053</v>
      </c>
      <c r="J2560">
        <v>0</v>
      </c>
      <c r="K2560">
        <v>0</v>
      </c>
      <c r="L2560" s="2">
        <v>0</v>
      </c>
      <c r="M2560">
        <v>28.73</v>
      </c>
      <c r="N2560" t="s">
        <v>10236</v>
      </c>
    </row>
    <row r="2561" spans="1:14">
      <c r="A2561" t="s">
        <v>25</v>
      </c>
      <c r="B2561" t="s">
        <v>2721</v>
      </c>
      <c r="C2561">
        <f>"MS006"</f>
        <v>0</v>
      </c>
      <c r="D2561">
        <v>1</v>
      </c>
      <c r="E2561">
        <v>1</v>
      </c>
      <c r="F2561" s="2">
        <v>2</v>
      </c>
      <c r="G2561">
        <v>4</v>
      </c>
      <c r="H2561">
        <v>1</v>
      </c>
      <c r="I2561">
        <v>0.1748268617791053</v>
      </c>
      <c r="J2561">
        <v>0</v>
      </c>
      <c r="K2561">
        <v>0</v>
      </c>
      <c r="L2561" s="2">
        <v>0</v>
      </c>
      <c r="M2561">
        <v>28.74</v>
      </c>
      <c r="N2561" t="s">
        <v>10236</v>
      </c>
    </row>
    <row r="2562" spans="1:14">
      <c r="A2562" t="s">
        <v>211</v>
      </c>
      <c r="B2562" t="s">
        <v>2722</v>
      </c>
      <c r="C2562">
        <f>"PCSAPP12001"</f>
        <v>0</v>
      </c>
      <c r="D2562">
        <v>1</v>
      </c>
      <c r="E2562">
        <v>3</v>
      </c>
      <c r="F2562" s="2">
        <v>33</v>
      </c>
      <c r="G2562">
        <v>12</v>
      </c>
      <c r="H2562">
        <v>1</v>
      </c>
      <c r="I2562">
        <v>0.1748268617791053</v>
      </c>
      <c r="J2562">
        <v>0</v>
      </c>
      <c r="K2562">
        <v>0</v>
      </c>
      <c r="L2562" s="2">
        <v>0</v>
      </c>
      <c r="M2562">
        <v>28.75</v>
      </c>
      <c r="N2562" t="s">
        <v>10236</v>
      </c>
    </row>
    <row r="2563" spans="1:14">
      <c r="A2563" t="s">
        <v>33</v>
      </c>
      <c r="B2563" t="s">
        <v>2723</v>
      </c>
      <c r="C2563">
        <f>"TOPK92023"</f>
        <v>0</v>
      </c>
      <c r="D2563">
        <v>1</v>
      </c>
      <c r="E2563">
        <v>5</v>
      </c>
      <c r="F2563" s="2">
        <v>8</v>
      </c>
      <c r="G2563">
        <v>20</v>
      </c>
      <c r="H2563">
        <v>1</v>
      </c>
      <c r="I2563">
        <v>0.1748268617791053</v>
      </c>
      <c r="J2563">
        <v>0</v>
      </c>
      <c r="K2563">
        <v>0</v>
      </c>
      <c r="L2563" s="2">
        <v>0</v>
      </c>
      <c r="M2563">
        <v>28.75</v>
      </c>
      <c r="N2563" t="s">
        <v>10236</v>
      </c>
    </row>
    <row r="2564" spans="1:14">
      <c r="A2564" t="s">
        <v>24</v>
      </c>
      <c r="B2564" t="s">
        <v>2724</v>
      </c>
      <c r="C2564">
        <f>"1113621"</f>
        <v>0</v>
      </c>
      <c r="D2564">
        <v>1</v>
      </c>
      <c r="E2564">
        <v>5</v>
      </c>
      <c r="F2564" s="2">
        <v>4</v>
      </c>
      <c r="G2564">
        <v>20</v>
      </c>
      <c r="H2564">
        <v>1</v>
      </c>
      <c r="I2564">
        <v>0.1748268617791053</v>
      </c>
      <c r="J2564">
        <v>0</v>
      </c>
      <c r="K2564">
        <v>0</v>
      </c>
      <c r="L2564" s="2">
        <v>0</v>
      </c>
      <c r="M2564">
        <v>28.76</v>
      </c>
      <c r="N2564" t="s">
        <v>10236</v>
      </c>
    </row>
    <row r="2565" spans="1:14">
      <c r="A2565" t="s">
        <v>202</v>
      </c>
      <c r="B2565" t="s">
        <v>2725</v>
      </c>
      <c r="C2565">
        <f>"11002106"</f>
        <v>0</v>
      </c>
      <c r="D2565">
        <v>1</v>
      </c>
      <c r="E2565">
        <v>4</v>
      </c>
      <c r="F2565" s="2">
        <v>36</v>
      </c>
      <c r="G2565">
        <v>16</v>
      </c>
      <c r="H2565">
        <v>1</v>
      </c>
      <c r="I2565">
        <v>0.1748268617791053</v>
      </c>
      <c r="J2565">
        <v>0</v>
      </c>
      <c r="K2565">
        <v>0</v>
      </c>
      <c r="L2565" s="2">
        <v>0</v>
      </c>
      <c r="M2565">
        <v>28.77</v>
      </c>
      <c r="N2565" t="s">
        <v>10236</v>
      </c>
    </row>
    <row r="2566" spans="1:14">
      <c r="A2566" t="s">
        <v>24</v>
      </c>
      <c r="B2566" t="s">
        <v>2726</v>
      </c>
      <c r="C2566">
        <f>"1133001"</f>
        <v>0</v>
      </c>
      <c r="D2566">
        <v>1</v>
      </c>
      <c r="E2566">
        <v>7</v>
      </c>
      <c r="F2566" s="2">
        <v>5</v>
      </c>
      <c r="G2566">
        <v>28</v>
      </c>
      <c r="H2566">
        <v>1</v>
      </c>
      <c r="I2566">
        <v>0.1748268617791053</v>
      </c>
      <c r="J2566">
        <v>0</v>
      </c>
      <c r="K2566">
        <v>0</v>
      </c>
      <c r="L2566" s="2">
        <v>0</v>
      </c>
      <c r="M2566">
        <v>28.78</v>
      </c>
      <c r="N2566" t="s">
        <v>10236</v>
      </c>
    </row>
    <row r="2567" spans="1:14">
      <c r="A2567" t="s">
        <v>35</v>
      </c>
      <c r="B2567" t="s">
        <v>2727</v>
      </c>
      <c r="C2567">
        <f>"YT005"</f>
        <v>0</v>
      </c>
      <c r="D2567">
        <v>1</v>
      </c>
      <c r="E2567">
        <v>2</v>
      </c>
      <c r="F2567" s="2">
        <v>12</v>
      </c>
      <c r="G2567">
        <v>8</v>
      </c>
      <c r="H2567">
        <v>1</v>
      </c>
      <c r="I2567">
        <v>0.1748268617791053</v>
      </c>
      <c r="J2567">
        <v>0</v>
      </c>
      <c r="K2567">
        <v>0</v>
      </c>
      <c r="L2567" s="2">
        <v>0</v>
      </c>
      <c r="M2567">
        <v>28.79</v>
      </c>
      <c r="N2567" t="s">
        <v>10236</v>
      </c>
    </row>
    <row r="2568" spans="1:14">
      <c r="A2568" t="s">
        <v>25</v>
      </c>
      <c r="B2568" t="s">
        <v>2728</v>
      </c>
      <c r="C2568">
        <f>"TR054"</f>
        <v>0</v>
      </c>
      <c r="D2568">
        <v>1</v>
      </c>
      <c r="E2568">
        <v>1</v>
      </c>
      <c r="F2568" s="2">
        <v>2</v>
      </c>
      <c r="G2568">
        <v>4</v>
      </c>
      <c r="H2568">
        <v>1</v>
      </c>
      <c r="I2568">
        <v>0.1748268617791053</v>
      </c>
      <c r="J2568">
        <v>0</v>
      </c>
      <c r="K2568">
        <v>0</v>
      </c>
      <c r="L2568" s="2">
        <v>0</v>
      </c>
      <c r="M2568">
        <v>28.8</v>
      </c>
      <c r="N2568" t="s">
        <v>10236</v>
      </c>
    </row>
    <row r="2569" spans="1:14">
      <c r="A2569" t="s">
        <v>35</v>
      </c>
      <c r="B2569" t="s">
        <v>2729</v>
      </c>
      <c r="C2569">
        <f>"XQ340XS"</f>
        <v>0</v>
      </c>
      <c r="D2569">
        <v>1</v>
      </c>
      <c r="E2569">
        <v>2</v>
      </c>
      <c r="F2569" s="2">
        <v>2</v>
      </c>
      <c r="G2569">
        <v>8</v>
      </c>
      <c r="H2569">
        <v>1</v>
      </c>
      <c r="I2569">
        <v>0.1748268617791053</v>
      </c>
      <c r="J2569">
        <v>0</v>
      </c>
      <c r="K2569">
        <v>0</v>
      </c>
      <c r="L2569" s="2">
        <v>0</v>
      </c>
      <c r="M2569">
        <v>28.81</v>
      </c>
      <c r="N2569" t="s">
        <v>10236</v>
      </c>
    </row>
    <row r="2570" spans="1:14">
      <c r="A2570" t="s">
        <v>35</v>
      </c>
      <c r="B2570" t="s">
        <v>2730</v>
      </c>
      <c r="C2570">
        <f>"JWZ1042L"</f>
        <v>0</v>
      </c>
      <c r="D2570">
        <v>1</v>
      </c>
      <c r="E2570">
        <v>14</v>
      </c>
      <c r="F2570" s="2">
        <v>1</v>
      </c>
      <c r="G2570">
        <v>56</v>
      </c>
      <c r="H2570">
        <v>1</v>
      </c>
      <c r="I2570">
        <v>0.1748268617791053</v>
      </c>
      <c r="J2570">
        <v>0</v>
      </c>
      <c r="K2570">
        <v>0</v>
      </c>
      <c r="L2570" s="2">
        <v>0</v>
      </c>
      <c r="M2570">
        <v>28.82</v>
      </c>
      <c r="N2570" t="s">
        <v>10236</v>
      </c>
    </row>
    <row r="2571" spans="1:14">
      <c r="A2571" t="s">
        <v>25</v>
      </c>
      <c r="B2571" t="s">
        <v>2731</v>
      </c>
      <c r="C2571">
        <f>"S304A"</f>
        <v>0</v>
      </c>
      <c r="D2571">
        <v>1</v>
      </c>
      <c r="E2571">
        <v>8</v>
      </c>
      <c r="F2571" s="2">
        <v>4</v>
      </c>
      <c r="G2571">
        <v>32</v>
      </c>
      <c r="H2571">
        <v>1</v>
      </c>
      <c r="I2571">
        <v>0.1748268617791053</v>
      </c>
      <c r="J2571">
        <v>0</v>
      </c>
      <c r="K2571">
        <v>0</v>
      </c>
      <c r="L2571" s="2">
        <v>0</v>
      </c>
      <c r="M2571">
        <v>28.83</v>
      </c>
      <c r="N2571" t="s">
        <v>10236</v>
      </c>
    </row>
    <row r="2572" spans="1:14">
      <c r="A2572" t="s">
        <v>202</v>
      </c>
      <c r="B2572" t="s">
        <v>2732</v>
      </c>
      <c r="C2572">
        <f>"11002131"</f>
        <v>0</v>
      </c>
      <c r="D2572">
        <v>1</v>
      </c>
      <c r="E2572">
        <v>6</v>
      </c>
      <c r="F2572" s="2">
        <v>13</v>
      </c>
      <c r="G2572">
        <v>24</v>
      </c>
      <c r="H2572">
        <v>1</v>
      </c>
      <c r="I2572">
        <v>0.1748268617791053</v>
      </c>
      <c r="J2572">
        <v>0</v>
      </c>
      <c r="K2572">
        <v>0</v>
      </c>
      <c r="L2572" s="2">
        <v>0</v>
      </c>
      <c r="M2572">
        <v>28.84</v>
      </c>
      <c r="N2572" t="s">
        <v>10236</v>
      </c>
    </row>
    <row r="2573" spans="1:14">
      <c r="A2573" t="s">
        <v>35</v>
      </c>
      <c r="B2573" t="s">
        <v>2733</v>
      </c>
      <c r="C2573">
        <f>"MI1ROS"</f>
        <v>0</v>
      </c>
      <c r="D2573">
        <v>1</v>
      </c>
      <c r="E2573">
        <v>4</v>
      </c>
      <c r="F2573" s="2">
        <v>2</v>
      </c>
      <c r="G2573">
        <v>16</v>
      </c>
      <c r="H2573">
        <v>1</v>
      </c>
      <c r="I2573">
        <v>0.1748268617791053</v>
      </c>
      <c r="J2573">
        <v>0</v>
      </c>
      <c r="K2573">
        <v>0</v>
      </c>
      <c r="L2573" s="2">
        <v>0</v>
      </c>
      <c r="M2573">
        <v>28.85</v>
      </c>
      <c r="N2573" t="s">
        <v>10236</v>
      </c>
    </row>
    <row r="2574" spans="1:14">
      <c r="A2574" t="s">
        <v>29</v>
      </c>
      <c r="B2574" t="s">
        <v>2734</v>
      </c>
      <c r="C2574">
        <f>"RS05B"</f>
        <v>0</v>
      </c>
      <c r="D2574">
        <v>1</v>
      </c>
      <c r="E2574">
        <v>3</v>
      </c>
      <c r="F2574" s="2">
        <v>2</v>
      </c>
      <c r="G2574">
        <v>12</v>
      </c>
      <c r="H2574">
        <v>1</v>
      </c>
      <c r="I2574">
        <v>0.1748268617791053</v>
      </c>
      <c r="J2574">
        <v>0</v>
      </c>
      <c r="K2574">
        <v>0</v>
      </c>
      <c r="L2574" s="2">
        <v>0</v>
      </c>
      <c r="M2574">
        <v>28.86</v>
      </c>
      <c r="N2574" t="s">
        <v>10236</v>
      </c>
    </row>
    <row r="2575" spans="1:14">
      <c r="A2575" t="s">
        <v>33</v>
      </c>
      <c r="B2575" t="s">
        <v>2735</v>
      </c>
      <c r="C2575">
        <f>"TOPK93210"</f>
        <v>0</v>
      </c>
      <c r="D2575">
        <v>1</v>
      </c>
      <c r="E2575">
        <v>1</v>
      </c>
      <c r="F2575" s="2">
        <v>987</v>
      </c>
      <c r="G2575">
        <v>4</v>
      </c>
      <c r="H2575">
        <v>1</v>
      </c>
      <c r="I2575">
        <v>0.1748268617791053</v>
      </c>
      <c r="J2575">
        <v>0</v>
      </c>
      <c r="K2575">
        <v>0</v>
      </c>
      <c r="L2575" s="2">
        <v>0</v>
      </c>
      <c r="M2575">
        <v>28.87</v>
      </c>
      <c r="N2575" t="s">
        <v>10236</v>
      </c>
    </row>
    <row r="2576" spans="1:14">
      <c r="A2576" t="s">
        <v>35</v>
      </c>
      <c r="B2576" t="s">
        <v>2736</v>
      </c>
      <c r="C2576">
        <f>"HDD042SKR"</f>
        <v>0</v>
      </c>
      <c r="D2576">
        <v>1</v>
      </c>
      <c r="E2576">
        <v>0</v>
      </c>
      <c r="F2576" s="2">
        <v>0</v>
      </c>
      <c r="G2576">
        <v>0</v>
      </c>
      <c r="H2576">
        <v>1</v>
      </c>
      <c r="I2576">
        <v>0.1745986670029644</v>
      </c>
      <c r="J2576">
        <v>0</v>
      </c>
      <c r="K2576">
        <v>0</v>
      </c>
      <c r="L2576" s="2">
        <v>0</v>
      </c>
      <c r="M2576">
        <v>28.88</v>
      </c>
      <c r="N2576" t="s">
        <v>10236</v>
      </c>
    </row>
    <row r="2577" spans="1:14">
      <c r="A2577" t="s">
        <v>35</v>
      </c>
      <c r="B2577" t="s">
        <v>2737</v>
      </c>
      <c r="C2577">
        <f>"KE4905"</f>
        <v>0</v>
      </c>
      <c r="D2577">
        <v>1</v>
      </c>
      <c r="E2577">
        <v>2</v>
      </c>
      <c r="F2577" s="2">
        <v>2</v>
      </c>
      <c r="G2577">
        <v>8</v>
      </c>
      <c r="H2577">
        <v>1</v>
      </c>
      <c r="I2577">
        <v>0.1744692299332637</v>
      </c>
      <c r="J2577">
        <v>0</v>
      </c>
      <c r="K2577">
        <v>0</v>
      </c>
      <c r="L2577" s="2">
        <v>0</v>
      </c>
      <c r="M2577">
        <v>28.88</v>
      </c>
      <c r="N2577" t="s">
        <v>10236</v>
      </c>
    </row>
    <row r="2578" spans="1:14">
      <c r="A2578" t="s">
        <v>35</v>
      </c>
      <c r="B2578" t="s">
        <v>2738</v>
      </c>
      <c r="C2578">
        <f>"HDDZ82"</f>
        <v>0</v>
      </c>
      <c r="D2578">
        <v>0</v>
      </c>
      <c r="E2578">
        <v>0</v>
      </c>
      <c r="F2578" s="2">
        <v>0</v>
      </c>
      <c r="H2578">
        <v>0</v>
      </c>
      <c r="I2578">
        <v>0.1741125760648204</v>
      </c>
      <c r="J2578">
        <v>0</v>
      </c>
      <c r="K2578">
        <v>0</v>
      </c>
      <c r="L2578" s="2">
        <v>0</v>
      </c>
      <c r="M2578">
        <v>28.89</v>
      </c>
      <c r="N2578" t="s">
        <v>10236</v>
      </c>
    </row>
    <row r="2579" spans="1:14">
      <c r="A2579" t="s">
        <v>35</v>
      </c>
      <c r="B2579" t="s">
        <v>2739</v>
      </c>
      <c r="C2579">
        <f>"XDB403R"</f>
        <v>0</v>
      </c>
      <c r="D2579">
        <v>0</v>
      </c>
      <c r="E2579">
        <v>0</v>
      </c>
      <c r="F2579" s="2">
        <v>0</v>
      </c>
      <c r="H2579">
        <v>0</v>
      </c>
      <c r="I2579">
        <v>0.1741125760648204</v>
      </c>
      <c r="J2579">
        <v>0</v>
      </c>
      <c r="K2579">
        <v>0</v>
      </c>
      <c r="L2579" s="2">
        <v>0</v>
      </c>
      <c r="M2579">
        <v>28.9</v>
      </c>
      <c r="N2579" t="s">
        <v>10236</v>
      </c>
    </row>
    <row r="2580" spans="1:14">
      <c r="A2580" t="s">
        <v>35</v>
      </c>
      <c r="B2580" t="s">
        <v>2740</v>
      </c>
      <c r="C2580">
        <f>"B1916MG"</f>
        <v>0</v>
      </c>
      <c r="D2580">
        <v>0</v>
      </c>
      <c r="E2580">
        <v>11</v>
      </c>
      <c r="F2580" s="2">
        <v>9</v>
      </c>
      <c r="H2580">
        <v>0</v>
      </c>
      <c r="I2580">
        <v>0.1741125760648204</v>
      </c>
      <c r="J2580">
        <v>0</v>
      </c>
      <c r="K2580">
        <v>0</v>
      </c>
      <c r="L2580" s="2">
        <v>0</v>
      </c>
      <c r="M2580">
        <v>28.91</v>
      </c>
      <c r="N2580" t="s">
        <v>10236</v>
      </c>
    </row>
    <row r="2581" spans="1:14">
      <c r="A2581" t="s">
        <v>192</v>
      </c>
      <c r="B2581" t="s">
        <v>2741</v>
      </c>
      <c r="C2581">
        <f>"6222"</f>
        <v>0</v>
      </c>
      <c r="D2581">
        <v>0</v>
      </c>
      <c r="E2581">
        <v>0</v>
      </c>
      <c r="F2581" s="2">
        <v>0</v>
      </c>
      <c r="H2581">
        <v>0</v>
      </c>
      <c r="I2581">
        <v>0.1741125760648204</v>
      </c>
      <c r="J2581">
        <v>0</v>
      </c>
      <c r="K2581">
        <v>0</v>
      </c>
      <c r="L2581" s="2">
        <v>0</v>
      </c>
      <c r="M2581">
        <v>28.92</v>
      </c>
      <c r="N2581" t="s">
        <v>10236</v>
      </c>
    </row>
    <row r="2582" spans="1:14">
      <c r="A2582" t="s">
        <v>35</v>
      </c>
      <c r="B2582" t="s">
        <v>2742</v>
      </c>
      <c r="C2582">
        <f>"B1916MA"</f>
        <v>0</v>
      </c>
      <c r="D2582">
        <v>0</v>
      </c>
      <c r="E2582">
        <v>12</v>
      </c>
      <c r="F2582" s="2">
        <v>9</v>
      </c>
      <c r="H2582">
        <v>0</v>
      </c>
      <c r="I2582">
        <v>0.1741125760648204</v>
      </c>
      <c r="J2582">
        <v>0</v>
      </c>
      <c r="K2582">
        <v>0</v>
      </c>
      <c r="L2582" s="2">
        <v>0</v>
      </c>
      <c r="M2582">
        <v>28.93</v>
      </c>
      <c r="N2582" t="s">
        <v>10236</v>
      </c>
    </row>
    <row r="2583" spans="1:14">
      <c r="A2583" t="s">
        <v>25</v>
      </c>
      <c r="B2583" t="s">
        <v>2743</v>
      </c>
      <c r="C2583">
        <f>"22334455"</f>
        <v>0</v>
      </c>
      <c r="D2583">
        <v>0</v>
      </c>
      <c r="E2583">
        <v>0</v>
      </c>
      <c r="F2583" s="2">
        <v>0</v>
      </c>
      <c r="H2583">
        <v>0</v>
      </c>
      <c r="I2583">
        <v>0.1741125760648204</v>
      </c>
      <c r="J2583">
        <v>0</v>
      </c>
      <c r="K2583">
        <v>0</v>
      </c>
      <c r="L2583" s="2">
        <v>0</v>
      </c>
      <c r="M2583">
        <v>28.94</v>
      </c>
      <c r="N2583" t="s">
        <v>10236</v>
      </c>
    </row>
    <row r="2584" spans="1:14">
      <c r="A2584" t="s">
        <v>35</v>
      </c>
      <c r="B2584" t="s">
        <v>2744</v>
      </c>
      <c r="C2584">
        <f>"BRI10"</f>
        <v>0</v>
      </c>
      <c r="D2584">
        <v>0</v>
      </c>
      <c r="E2584">
        <v>0</v>
      </c>
      <c r="F2584" s="2">
        <v>0</v>
      </c>
      <c r="H2584">
        <v>0</v>
      </c>
      <c r="I2584">
        <v>0.1741125760648204</v>
      </c>
      <c r="J2584">
        <v>0</v>
      </c>
      <c r="K2584">
        <v>0</v>
      </c>
      <c r="L2584" s="2">
        <v>0</v>
      </c>
      <c r="M2584">
        <v>28.95</v>
      </c>
      <c r="N2584" t="s">
        <v>10236</v>
      </c>
    </row>
    <row r="2585" spans="1:14">
      <c r="A2585" t="s">
        <v>35</v>
      </c>
      <c r="B2585" t="s">
        <v>2745</v>
      </c>
      <c r="C2585">
        <f>"HDDZ73"</f>
        <v>0</v>
      </c>
      <c r="D2585">
        <v>0</v>
      </c>
      <c r="E2585">
        <v>0</v>
      </c>
      <c r="F2585" s="2">
        <v>0</v>
      </c>
      <c r="H2585">
        <v>0</v>
      </c>
      <c r="I2585">
        <v>0.1741125760648204</v>
      </c>
      <c r="J2585">
        <v>0</v>
      </c>
      <c r="K2585">
        <v>0</v>
      </c>
      <c r="L2585" s="2">
        <v>0</v>
      </c>
      <c r="M2585">
        <v>28.96</v>
      </c>
      <c r="N2585" t="s">
        <v>10236</v>
      </c>
    </row>
    <row r="2586" spans="1:14">
      <c r="A2586" t="s">
        <v>35</v>
      </c>
      <c r="B2586" t="s">
        <v>2746</v>
      </c>
      <c r="C2586">
        <f>"XDB432V"</f>
        <v>0</v>
      </c>
      <c r="D2586">
        <v>0</v>
      </c>
      <c r="E2586">
        <v>5</v>
      </c>
      <c r="F2586" s="2">
        <v>62</v>
      </c>
      <c r="H2586">
        <v>0</v>
      </c>
      <c r="I2586">
        <v>0.1741125760648204</v>
      </c>
      <c r="J2586">
        <v>0</v>
      </c>
      <c r="K2586">
        <v>0</v>
      </c>
      <c r="L2586" s="2">
        <v>0</v>
      </c>
      <c r="M2586">
        <v>28.97</v>
      </c>
      <c r="N2586" t="s">
        <v>10236</v>
      </c>
    </row>
    <row r="2587" spans="1:14">
      <c r="A2587" t="s">
        <v>35</v>
      </c>
      <c r="B2587" t="s">
        <v>2747</v>
      </c>
      <c r="C2587">
        <f>"3808"</f>
        <v>0</v>
      </c>
      <c r="D2587">
        <v>0</v>
      </c>
      <c r="E2587">
        <v>0</v>
      </c>
      <c r="F2587" s="2">
        <v>0</v>
      </c>
      <c r="H2587">
        <v>0</v>
      </c>
      <c r="I2587">
        <v>0.1741125760648204</v>
      </c>
      <c r="J2587">
        <v>0</v>
      </c>
      <c r="K2587">
        <v>0</v>
      </c>
      <c r="L2587" s="2">
        <v>0</v>
      </c>
      <c r="M2587">
        <v>28.98</v>
      </c>
      <c r="N2587" t="s">
        <v>10236</v>
      </c>
    </row>
    <row r="2588" spans="1:14">
      <c r="A2588" t="s">
        <v>29</v>
      </c>
      <c r="B2588" t="s">
        <v>2748</v>
      </c>
      <c r="C2588">
        <f>"PERLON"</f>
        <v>0</v>
      </c>
      <c r="D2588">
        <v>0</v>
      </c>
      <c r="E2588">
        <v>0</v>
      </c>
      <c r="F2588" s="2">
        <v>0</v>
      </c>
      <c r="H2588">
        <v>0</v>
      </c>
      <c r="I2588">
        <v>0.1741125760648204</v>
      </c>
      <c r="J2588">
        <v>0</v>
      </c>
      <c r="K2588">
        <v>0</v>
      </c>
      <c r="L2588" s="2">
        <v>0</v>
      </c>
      <c r="M2588">
        <v>28.99</v>
      </c>
      <c r="N2588" t="s">
        <v>10236</v>
      </c>
    </row>
    <row r="2589" spans="1:14">
      <c r="A2589" t="s">
        <v>35</v>
      </c>
      <c r="B2589" t="s">
        <v>2749</v>
      </c>
      <c r="C2589">
        <f>"B118062MA"</f>
        <v>0</v>
      </c>
      <c r="D2589">
        <v>0</v>
      </c>
      <c r="E2589">
        <v>0</v>
      </c>
      <c r="F2589" s="2">
        <v>0</v>
      </c>
      <c r="H2589">
        <v>0</v>
      </c>
      <c r="I2589">
        <v>0.1741125760648204</v>
      </c>
      <c r="J2589">
        <v>0</v>
      </c>
      <c r="K2589">
        <v>0</v>
      </c>
      <c r="L2589" s="2">
        <v>0</v>
      </c>
      <c r="M2589">
        <v>28.99</v>
      </c>
      <c r="N2589" t="s">
        <v>10236</v>
      </c>
    </row>
    <row r="2590" spans="1:14">
      <c r="A2590" t="s">
        <v>35</v>
      </c>
      <c r="B2590" t="s">
        <v>2750</v>
      </c>
      <c r="C2590">
        <f>"B19220LM"</f>
        <v>0</v>
      </c>
      <c r="D2590">
        <v>0</v>
      </c>
      <c r="E2590">
        <v>1</v>
      </c>
      <c r="F2590" s="2">
        <v>9</v>
      </c>
      <c r="H2590">
        <v>0</v>
      </c>
      <c r="I2590">
        <v>0.1741125760648204</v>
      </c>
      <c r="J2590">
        <v>0</v>
      </c>
      <c r="K2590">
        <v>0</v>
      </c>
      <c r="L2590" s="2">
        <v>0</v>
      </c>
      <c r="M2590">
        <v>29</v>
      </c>
      <c r="N2590" t="s">
        <v>10236</v>
      </c>
    </row>
    <row r="2591" spans="1:14">
      <c r="A2591" t="s">
        <v>30</v>
      </c>
      <c r="B2591" t="s">
        <v>2751</v>
      </c>
      <c r="C2591">
        <f>"100459"</f>
        <v>0</v>
      </c>
      <c r="D2591">
        <v>0</v>
      </c>
      <c r="E2591">
        <v>0</v>
      </c>
      <c r="F2591" s="2">
        <v>0</v>
      </c>
      <c r="H2591">
        <v>0</v>
      </c>
      <c r="I2591">
        <v>0.1741125760648204</v>
      </c>
      <c r="J2591">
        <v>0</v>
      </c>
      <c r="K2591">
        <v>0</v>
      </c>
      <c r="L2591" s="2">
        <v>0</v>
      </c>
      <c r="M2591">
        <v>29.01</v>
      </c>
      <c r="N2591" t="s">
        <v>10236</v>
      </c>
    </row>
    <row r="2592" spans="1:14">
      <c r="A2592" t="s">
        <v>35</v>
      </c>
      <c r="B2592" t="s">
        <v>2752</v>
      </c>
      <c r="C2592">
        <f>"B118062LR"</f>
        <v>0</v>
      </c>
      <c r="D2592">
        <v>0</v>
      </c>
      <c r="E2592">
        <v>0</v>
      </c>
      <c r="F2592" s="2">
        <v>0</v>
      </c>
      <c r="H2592">
        <v>0</v>
      </c>
      <c r="I2592">
        <v>0.1741125760648204</v>
      </c>
      <c r="J2592">
        <v>0</v>
      </c>
      <c r="K2592">
        <v>0</v>
      </c>
      <c r="L2592" s="2">
        <v>0</v>
      </c>
      <c r="M2592">
        <v>29.02</v>
      </c>
      <c r="N2592" t="s">
        <v>10236</v>
      </c>
    </row>
    <row r="2593" spans="1:14">
      <c r="A2593" t="s">
        <v>30</v>
      </c>
      <c r="B2593" t="s">
        <v>2753</v>
      </c>
      <c r="C2593">
        <f>"100455"</f>
        <v>0</v>
      </c>
      <c r="D2593">
        <v>0</v>
      </c>
      <c r="E2593">
        <v>0</v>
      </c>
      <c r="F2593" s="2">
        <v>0</v>
      </c>
      <c r="H2593">
        <v>0</v>
      </c>
      <c r="I2593">
        <v>0.1741125760648204</v>
      </c>
      <c r="J2593">
        <v>0</v>
      </c>
      <c r="K2593">
        <v>0</v>
      </c>
      <c r="L2593" s="2">
        <v>0</v>
      </c>
      <c r="M2593">
        <v>29.03</v>
      </c>
      <c r="N2593" t="s">
        <v>10236</v>
      </c>
    </row>
    <row r="2594" spans="1:14">
      <c r="A2594" t="s">
        <v>35</v>
      </c>
      <c r="B2594" t="s">
        <v>2754</v>
      </c>
      <c r="C2594">
        <f>"B118062MG"</f>
        <v>0</v>
      </c>
      <c r="D2594">
        <v>0</v>
      </c>
      <c r="E2594">
        <v>1</v>
      </c>
      <c r="F2594" s="2">
        <v>5</v>
      </c>
      <c r="H2594">
        <v>0</v>
      </c>
      <c r="I2594">
        <v>0.1741125760648204</v>
      </c>
      <c r="J2594">
        <v>0</v>
      </c>
      <c r="K2594">
        <v>0</v>
      </c>
      <c r="L2594" s="2">
        <v>0</v>
      </c>
      <c r="M2594">
        <v>29.04</v>
      </c>
      <c r="N2594" t="s">
        <v>10236</v>
      </c>
    </row>
    <row r="2595" spans="1:14">
      <c r="A2595" t="s">
        <v>196</v>
      </c>
      <c r="B2595" t="s">
        <v>2755</v>
      </c>
      <c r="C2595">
        <f>"EDU1"</f>
        <v>0</v>
      </c>
      <c r="D2595">
        <v>0</v>
      </c>
      <c r="E2595">
        <v>0</v>
      </c>
      <c r="F2595" s="2">
        <v>0</v>
      </c>
      <c r="H2595">
        <v>0</v>
      </c>
      <c r="I2595">
        <v>0.1741125760648204</v>
      </c>
      <c r="J2595">
        <v>0</v>
      </c>
      <c r="K2595">
        <v>0</v>
      </c>
      <c r="L2595" s="2">
        <v>0</v>
      </c>
      <c r="M2595">
        <v>29.05</v>
      </c>
      <c r="N2595" t="s">
        <v>10236</v>
      </c>
    </row>
    <row r="2596" spans="1:14">
      <c r="A2596" t="s">
        <v>213</v>
      </c>
      <c r="B2596" t="s">
        <v>2756</v>
      </c>
      <c r="C2596">
        <f>"500989"</f>
        <v>0</v>
      </c>
      <c r="D2596">
        <v>0</v>
      </c>
      <c r="E2596">
        <v>0</v>
      </c>
      <c r="F2596" s="2">
        <v>0</v>
      </c>
      <c r="H2596">
        <v>0</v>
      </c>
      <c r="I2596">
        <v>0.1741125760648204</v>
      </c>
      <c r="J2596">
        <v>0</v>
      </c>
      <c r="K2596">
        <v>0</v>
      </c>
      <c r="L2596" s="2">
        <v>0</v>
      </c>
      <c r="M2596">
        <v>29.06</v>
      </c>
      <c r="N2596" t="s">
        <v>10236</v>
      </c>
    </row>
    <row r="2597" spans="1:14">
      <c r="A2597" t="s">
        <v>35</v>
      </c>
      <c r="B2597" t="s">
        <v>2757</v>
      </c>
      <c r="C2597">
        <f>"B19220LR"</f>
        <v>0</v>
      </c>
      <c r="D2597">
        <v>0</v>
      </c>
      <c r="E2597">
        <v>0</v>
      </c>
      <c r="F2597" s="2">
        <v>0</v>
      </c>
      <c r="H2597">
        <v>0</v>
      </c>
      <c r="I2597">
        <v>0.1741125760648204</v>
      </c>
      <c r="J2597">
        <v>0</v>
      </c>
      <c r="K2597">
        <v>0</v>
      </c>
      <c r="L2597" s="2">
        <v>0</v>
      </c>
      <c r="M2597">
        <v>29.07</v>
      </c>
      <c r="N2597" t="s">
        <v>10236</v>
      </c>
    </row>
    <row r="2598" spans="1:14">
      <c r="A2598" t="s">
        <v>35</v>
      </c>
      <c r="B2598" t="s">
        <v>2758</v>
      </c>
      <c r="C2598">
        <f>"EDU2"</f>
        <v>0</v>
      </c>
      <c r="D2598">
        <v>0</v>
      </c>
      <c r="E2598">
        <v>0</v>
      </c>
      <c r="F2598" s="2">
        <v>0</v>
      </c>
      <c r="H2598">
        <v>0</v>
      </c>
      <c r="I2598">
        <v>0.1741125760648204</v>
      </c>
      <c r="J2598">
        <v>0</v>
      </c>
      <c r="K2598">
        <v>0</v>
      </c>
      <c r="L2598" s="2">
        <v>0</v>
      </c>
      <c r="M2598">
        <v>29.08</v>
      </c>
      <c r="N2598" t="s">
        <v>10236</v>
      </c>
    </row>
    <row r="2599" spans="1:14">
      <c r="A2599" t="s">
        <v>196</v>
      </c>
      <c r="B2599" t="s">
        <v>2759</v>
      </c>
      <c r="C2599">
        <f>"2491333"</f>
        <v>0</v>
      </c>
      <c r="D2599">
        <v>0</v>
      </c>
      <c r="E2599">
        <v>1</v>
      </c>
      <c r="F2599" s="2">
        <v>1</v>
      </c>
      <c r="H2599">
        <v>0</v>
      </c>
      <c r="I2599">
        <v>0.1741125760648204</v>
      </c>
      <c r="J2599">
        <v>0</v>
      </c>
      <c r="K2599">
        <v>0</v>
      </c>
      <c r="L2599" s="2">
        <v>0</v>
      </c>
      <c r="M2599">
        <v>29.09</v>
      </c>
      <c r="N2599" t="s">
        <v>10236</v>
      </c>
    </row>
    <row r="2600" spans="1:14">
      <c r="A2600" t="s">
        <v>30</v>
      </c>
      <c r="B2600" t="s">
        <v>2760</v>
      </c>
      <c r="C2600">
        <f>"100283"</f>
        <v>0</v>
      </c>
      <c r="D2600">
        <v>0</v>
      </c>
      <c r="E2600">
        <v>2</v>
      </c>
      <c r="F2600" s="2">
        <v>8</v>
      </c>
      <c r="H2600">
        <v>0</v>
      </c>
      <c r="I2600">
        <v>0.1741125760648204</v>
      </c>
      <c r="J2600">
        <v>0</v>
      </c>
      <c r="K2600">
        <v>0</v>
      </c>
      <c r="L2600" s="2">
        <v>0</v>
      </c>
      <c r="M2600">
        <v>29.1</v>
      </c>
      <c r="N2600" t="s">
        <v>10236</v>
      </c>
    </row>
    <row r="2601" spans="1:14">
      <c r="A2601" t="s">
        <v>35</v>
      </c>
      <c r="B2601" t="s">
        <v>2761</v>
      </c>
      <c r="C2601">
        <f>"B118062LG"</f>
        <v>0</v>
      </c>
      <c r="D2601">
        <v>0</v>
      </c>
      <c r="E2601">
        <v>1</v>
      </c>
      <c r="F2601" s="2">
        <v>5</v>
      </c>
      <c r="H2601">
        <v>0</v>
      </c>
      <c r="I2601">
        <v>0.1741125760648204</v>
      </c>
      <c r="J2601">
        <v>0</v>
      </c>
      <c r="K2601">
        <v>0</v>
      </c>
      <c r="L2601" s="2">
        <v>0</v>
      </c>
      <c r="M2601">
        <v>29.11</v>
      </c>
      <c r="N2601" t="s">
        <v>10236</v>
      </c>
    </row>
    <row r="2602" spans="1:14">
      <c r="A2602" t="s">
        <v>35</v>
      </c>
      <c r="B2602" t="s">
        <v>2762</v>
      </c>
      <c r="C2602">
        <f>"XDB432A"</f>
        <v>0</v>
      </c>
      <c r="D2602">
        <v>0</v>
      </c>
      <c r="E2602">
        <v>5</v>
      </c>
      <c r="F2602" s="2">
        <v>62</v>
      </c>
      <c r="H2602">
        <v>0</v>
      </c>
      <c r="I2602">
        <v>0.1741125760648204</v>
      </c>
      <c r="J2602">
        <v>0</v>
      </c>
      <c r="K2602">
        <v>0</v>
      </c>
      <c r="L2602" s="2">
        <v>0</v>
      </c>
      <c r="M2602">
        <v>29.11</v>
      </c>
      <c r="N2602" t="s">
        <v>10236</v>
      </c>
    </row>
    <row r="2603" spans="1:14">
      <c r="A2603" t="s">
        <v>30</v>
      </c>
      <c r="B2603" t="s">
        <v>2763</v>
      </c>
      <c r="C2603">
        <f>"100457"</f>
        <v>0</v>
      </c>
      <c r="D2603">
        <v>0</v>
      </c>
      <c r="E2603">
        <v>0</v>
      </c>
      <c r="F2603" s="2">
        <v>0</v>
      </c>
      <c r="H2603">
        <v>0</v>
      </c>
      <c r="I2603">
        <v>0.1741125760648204</v>
      </c>
      <c r="J2603">
        <v>0</v>
      </c>
      <c r="K2603">
        <v>0</v>
      </c>
      <c r="L2603" s="2">
        <v>0</v>
      </c>
      <c r="M2603">
        <v>29.12</v>
      </c>
      <c r="N2603" t="s">
        <v>10236</v>
      </c>
    </row>
    <row r="2604" spans="1:14">
      <c r="A2604" t="s">
        <v>35</v>
      </c>
      <c r="B2604" t="s">
        <v>2764</v>
      </c>
      <c r="C2604">
        <f>"B118062MR"</f>
        <v>0</v>
      </c>
      <c r="D2604">
        <v>0</v>
      </c>
      <c r="E2604">
        <v>1</v>
      </c>
      <c r="F2604" s="2">
        <v>5</v>
      </c>
      <c r="H2604">
        <v>0</v>
      </c>
      <c r="I2604">
        <v>0.1741125760648204</v>
      </c>
      <c r="J2604">
        <v>0</v>
      </c>
      <c r="K2604">
        <v>0</v>
      </c>
      <c r="L2604" s="2">
        <v>0</v>
      </c>
      <c r="M2604">
        <v>29.13</v>
      </c>
      <c r="N2604" t="s">
        <v>10236</v>
      </c>
    </row>
    <row r="2605" spans="1:14">
      <c r="A2605" t="s">
        <v>35</v>
      </c>
      <c r="B2605" t="s">
        <v>2765</v>
      </c>
      <c r="C2605">
        <f>"XDB432SA"</f>
        <v>0</v>
      </c>
      <c r="D2605">
        <v>0</v>
      </c>
      <c r="E2605">
        <v>6</v>
      </c>
      <c r="F2605" s="2">
        <v>31</v>
      </c>
      <c r="H2605">
        <v>0</v>
      </c>
      <c r="I2605">
        <v>0.1741125760648204</v>
      </c>
      <c r="J2605">
        <v>0</v>
      </c>
      <c r="K2605">
        <v>0</v>
      </c>
      <c r="L2605" s="2">
        <v>0</v>
      </c>
      <c r="M2605">
        <v>29.14</v>
      </c>
      <c r="N2605" t="s">
        <v>10236</v>
      </c>
    </row>
    <row r="2606" spans="1:14">
      <c r="A2606" t="s">
        <v>35</v>
      </c>
      <c r="B2606" t="s">
        <v>2766</v>
      </c>
      <c r="C2606">
        <f>"B1916LG"</f>
        <v>0</v>
      </c>
      <c r="D2606">
        <v>0</v>
      </c>
      <c r="E2606">
        <v>6</v>
      </c>
      <c r="F2606" s="2">
        <v>9</v>
      </c>
      <c r="H2606">
        <v>0</v>
      </c>
      <c r="I2606">
        <v>0.1741125760648204</v>
      </c>
      <c r="J2606">
        <v>0</v>
      </c>
      <c r="K2606">
        <v>0</v>
      </c>
      <c r="L2606" s="2">
        <v>0</v>
      </c>
      <c r="M2606">
        <v>29.15</v>
      </c>
      <c r="N2606" t="s">
        <v>10236</v>
      </c>
    </row>
    <row r="2607" spans="1:14">
      <c r="A2607" t="s">
        <v>35</v>
      </c>
      <c r="B2607" t="s">
        <v>2767</v>
      </c>
      <c r="C2607">
        <f>"B1916LA"</f>
        <v>0</v>
      </c>
      <c r="D2607">
        <v>0</v>
      </c>
      <c r="E2607">
        <v>11</v>
      </c>
      <c r="F2607" s="2">
        <v>9</v>
      </c>
      <c r="H2607">
        <v>0</v>
      </c>
      <c r="I2607">
        <v>0.1741125760648204</v>
      </c>
      <c r="J2607">
        <v>0</v>
      </c>
      <c r="K2607">
        <v>0</v>
      </c>
      <c r="L2607" s="2">
        <v>0</v>
      </c>
      <c r="M2607">
        <v>29.16</v>
      </c>
      <c r="N2607" t="s">
        <v>10236</v>
      </c>
    </row>
    <row r="2608" spans="1:14">
      <c r="A2608" t="s">
        <v>35</v>
      </c>
      <c r="B2608" t="s">
        <v>2768</v>
      </c>
      <c r="C2608">
        <f>"B19220MA"</f>
        <v>0</v>
      </c>
      <c r="D2608">
        <v>0</v>
      </c>
      <c r="E2608">
        <v>13</v>
      </c>
      <c r="F2608" s="2">
        <v>9</v>
      </c>
      <c r="H2608">
        <v>0</v>
      </c>
      <c r="I2608">
        <v>0.1741125760648204</v>
      </c>
      <c r="J2608">
        <v>0</v>
      </c>
      <c r="K2608">
        <v>0</v>
      </c>
      <c r="L2608" s="2">
        <v>0</v>
      </c>
      <c r="M2608">
        <v>29.17</v>
      </c>
      <c r="N2608" t="s">
        <v>10236</v>
      </c>
    </row>
    <row r="2609" spans="1:14">
      <c r="A2609" t="s">
        <v>196</v>
      </c>
      <c r="B2609" t="s">
        <v>2769</v>
      </c>
      <c r="C2609">
        <f>"2491520"</f>
        <v>0</v>
      </c>
      <c r="D2609">
        <v>0</v>
      </c>
      <c r="E2609">
        <v>1</v>
      </c>
      <c r="F2609" s="2">
        <v>1</v>
      </c>
      <c r="H2609">
        <v>0</v>
      </c>
      <c r="I2609">
        <v>0.1741125760648204</v>
      </c>
      <c r="J2609">
        <v>0</v>
      </c>
      <c r="K2609">
        <v>0</v>
      </c>
      <c r="L2609" s="2">
        <v>0</v>
      </c>
      <c r="M2609">
        <v>29.18</v>
      </c>
      <c r="N2609" t="s">
        <v>10236</v>
      </c>
    </row>
    <row r="2610" spans="1:14">
      <c r="A2610" t="s">
        <v>196</v>
      </c>
      <c r="B2610" t="s">
        <v>2770</v>
      </c>
      <c r="C2610">
        <f>"2142"</f>
        <v>0</v>
      </c>
      <c r="D2610">
        <v>0</v>
      </c>
      <c r="E2610">
        <v>1</v>
      </c>
      <c r="F2610" s="2">
        <v>1</v>
      </c>
      <c r="H2610">
        <v>0</v>
      </c>
      <c r="I2610">
        <v>0.1741125760648204</v>
      </c>
      <c r="J2610">
        <v>0</v>
      </c>
      <c r="K2610">
        <v>0</v>
      </c>
      <c r="L2610" s="2">
        <v>0</v>
      </c>
      <c r="M2610">
        <v>29.19</v>
      </c>
      <c r="N2610" t="s">
        <v>10236</v>
      </c>
    </row>
    <row r="2611" spans="1:14">
      <c r="A2611" t="s">
        <v>35</v>
      </c>
      <c r="B2611" t="s">
        <v>2771</v>
      </c>
      <c r="C2611">
        <f>"B118062SA"</f>
        <v>0</v>
      </c>
      <c r="D2611">
        <v>0</v>
      </c>
      <c r="E2611">
        <v>1</v>
      </c>
      <c r="F2611" s="2">
        <v>5</v>
      </c>
      <c r="H2611">
        <v>0</v>
      </c>
      <c r="I2611">
        <v>0.1741125760648204</v>
      </c>
      <c r="J2611">
        <v>0</v>
      </c>
      <c r="K2611">
        <v>0</v>
      </c>
      <c r="L2611" s="2">
        <v>0</v>
      </c>
      <c r="M2611">
        <v>29.2</v>
      </c>
      <c r="N2611" t="s">
        <v>10236</v>
      </c>
    </row>
    <row r="2612" spans="1:14">
      <c r="A2612" t="s">
        <v>35</v>
      </c>
      <c r="B2612" t="s">
        <v>2772</v>
      </c>
      <c r="C2612">
        <f>"B19220LA"</f>
        <v>0</v>
      </c>
      <c r="D2612">
        <v>0</v>
      </c>
      <c r="E2612">
        <v>3</v>
      </c>
      <c r="F2612" s="2">
        <v>9</v>
      </c>
      <c r="H2612">
        <v>0</v>
      </c>
      <c r="I2612">
        <v>0.1741125760648204</v>
      </c>
      <c r="J2612">
        <v>0</v>
      </c>
      <c r="K2612">
        <v>0</v>
      </c>
      <c r="L2612" s="2">
        <v>0</v>
      </c>
      <c r="M2612">
        <v>29.21</v>
      </c>
      <c r="N2612" t="s">
        <v>10236</v>
      </c>
    </row>
    <row r="2613" spans="1:14">
      <c r="A2613" t="s">
        <v>216</v>
      </c>
      <c r="B2613" t="s">
        <v>2773</v>
      </c>
      <c r="C2613">
        <f>"CPOM"</f>
        <v>0</v>
      </c>
      <c r="D2613">
        <v>0</v>
      </c>
      <c r="E2613">
        <v>0</v>
      </c>
      <c r="F2613" s="2">
        <v>0</v>
      </c>
      <c r="H2613">
        <v>0</v>
      </c>
      <c r="I2613">
        <v>0.1741125760648204</v>
      </c>
      <c r="J2613">
        <v>0</v>
      </c>
      <c r="K2613">
        <v>0</v>
      </c>
      <c r="L2613" s="2">
        <v>0</v>
      </c>
      <c r="M2613">
        <v>29.22</v>
      </c>
      <c r="N2613" t="s">
        <v>10236</v>
      </c>
    </row>
    <row r="2614" spans="1:14">
      <c r="A2614" t="s">
        <v>216</v>
      </c>
      <c r="B2614" t="s">
        <v>2774</v>
      </c>
      <c r="C2614">
        <f>"CPERLADO"</f>
        <v>0</v>
      </c>
      <c r="D2614">
        <v>0</v>
      </c>
      <c r="E2614">
        <v>0</v>
      </c>
      <c r="F2614" s="2">
        <v>0</v>
      </c>
      <c r="H2614">
        <v>0</v>
      </c>
      <c r="I2614">
        <v>0.1741125760648204</v>
      </c>
      <c r="J2614">
        <v>0</v>
      </c>
      <c r="K2614">
        <v>0</v>
      </c>
      <c r="L2614" s="2">
        <v>0</v>
      </c>
      <c r="M2614">
        <v>29.23</v>
      </c>
      <c r="N2614" t="s">
        <v>10236</v>
      </c>
    </row>
    <row r="2615" spans="1:14">
      <c r="A2615" t="s">
        <v>216</v>
      </c>
      <c r="B2615" t="s">
        <v>2775</v>
      </c>
      <c r="C2615">
        <f>"1576887581135"</f>
        <v>0</v>
      </c>
      <c r="D2615">
        <v>0</v>
      </c>
      <c r="E2615">
        <v>0</v>
      </c>
      <c r="F2615" s="2">
        <v>0</v>
      </c>
      <c r="H2615">
        <v>0</v>
      </c>
      <c r="I2615">
        <v>0.1741125760648204</v>
      </c>
      <c r="J2615">
        <v>0</v>
      </c>
      <c r="K2615">
        <v>0</v>
      </c>
      <c r="L2615" s="2">
        <v>0</v>
      </c>
      <c r="M2615">
        <v>29.23</v>
      </c>
      <c r="N2615" t="s">
        <v>10236</v>
      </c>
    </row>
    <row r="2616" spans="1:14">
      <c r="A2616" t="s">
        <v>35</v>
      </c>
      <c r="B2616" t="s">
        <v>2776</v>
      </c>
      <c r="C2616">
        <f>"B118062SR"</f>
        <v>0</v>
      </c>
      <c r="D2616">
        <v>0</v>
      </c>
      <c r="E2616">
        <v>1</v>
      </c>
      <c r="F2616" s="2">
        <v>5</v>
      </c>
      <c r="H2616">
        <v>0</v>
      </c>
      <c r="I2616">
        <v>0.1741125760648204</v>
      </c>
      <c r="J2616">
        <v>0</v>
      </c>
      <c r="K2616">
        <v>0</v>
      </c>
      <c r="L2616" s="2">
        <v>0</v>
      </c>
      <c r="M2616">
        <v>29.24</v>
      </c>
      <c r="N2616" t="s">
        <v>10236</v>
      </c>
    </row>
    <row r="2617" spans="1:14">
      <c r="A2617" t="s">
        <v>216</v>
      </c>
      <c r="B2617" t="s">
        <v>2777</v>
      </c>
      <c r="C2617">
        <f>"COT"</f>
        <v>0</v>
      </c>
      <c r="D2617">
        <v>0</v>
      </c>
      <c r="E2617">
        <v>0</v>
      </c>
      <c r="F2617" s="2">
        <v>0</v>
      </c>
      <c r="H2617">
        <v>0</v>
      </c>
      <c r="I2617">
        <v>0.1741125760648204</v>
      </c>
      <c r="J2617">
        <v>0</v>
      </c>
      <c r="K2617">
        <v>0</v>
      </c>
      <c r="L2617" s="2">
        <v>0</v>
      </c>
      <c r="M2617">
        <v>29.25</v>
      </c>
      <c r="N2617" t="s">
        <v>10236</v>
      </c>
    </row>
    <row r="2618" spans="1:14">
      <c r="A2618" t="s">
        <v>35</v>
      </c>
      <c r="B2618" t="s">
        <v>2778</v>
      </c>
      <c r="C2618">
        <f>"B118062XLA"</f>
        <v>0</v>
      </c>
      <c r="D2618">
        <v>0</v>
      </c>
      <c r="E2618">
        <v>1</v>
      </c>
      <c r="F2618" s="2">
        <v>6</v>
      </c>
      <c r="H2618">
        <v>0</v>
      </c>
      <c r="I2618">
        <v>0.1741125760648204</v>
      </c>
      <c r="J2618">
        <v>0</v>
      </c>
      <c r="K2618">
        <v>0</v>
      </c>
      <c r="L2618" s="2">
        <v>0</v>
      </c>
      <c r="M2618">
        <v>29.26</v>
      </c>
      <c r="N2618" t="s">
        <v>10236</v>
      </c>
    </row>
    <row r="2619" spans="1:14">
      <c r="A2619" t="s">
        <v>35</v>
      </c>
      <c r="B2619" t="s">
        <v>2779</v>
      </c>
      <c r="C2619">
        <f>"B118062XLG"</f>
        <v>0</v>
      </c>
      <c r="D2619">
        <v>0</v>
      </c>
      <c r="E2619">
        <v>1</v>
      </c>
      <c r="F2619" s="2">
        <v>6</v>
      </c>
      <c r="H2619">
        <v>0</v>
      </c>
      <c r="I2619">
        <v>0.1741125760648204</v>
      </c>
      <c r="J2619">
        <v>0</v>
      </c>
      <c r="K2619">
        <v>0</v>
      </c>
      <c r="L2619" s="2">
        <v>0</v>
      </c>
      <c r="M2619">
        <v>29.27</v>
      </c>
      <c r="N2619" t="s">
        <v>10236</v>
      </c>
    </row>
    <row r="2620" spans="1:14">
      <c r="A2620" t="s">
        <v>216</v>
      </c>
      <c r="B2620" t="s">
        <v>2780</v>
      </c>
      <c r="C2620">
        <f>"600500500"</f>
        <v>0</v>
      </c>
      <c r="D2620">
        <v>0</v>
      </c>
      <c r="E2620">
        <v>0</v>
      </c>
      <c r="F2620" s="2">
        <v>0</v>
      </c>
      <c r="H2620">
        <v>0</v>
      </c>
      <c r="I2620">
        <v>0.1741125760648204</v>
      </c>
      <c r="J2620">
        <v>0</v>
      </c>
      <c r="K2620">
        <v>0</v>
      </c>
      <c r="L2620" s="2">
        <v>0</v>
      </c>
      <c r="M2620">
        <v>29.28</v>
      </c>
      <c r="N2620" t="s">
        <v>10236</v>
      </c>
    </row>
    <row r="2621" spans="1:14">
      <c r="A2621" t="s">
        <v>194</v>
      </c>
      <c r="B2621" t="s">
        <v>2781</v>
      </c>
      <c r="C2621">
        <f>"10616"</f>
        <v>0</v>
      </c>
      <c r="D2621">
        <v>0</v>
      </c>
      <c r="E2621">
        <v>0</v>
      </c>
      <c r="F2621" s="2">
        <v>0</v>
      </c>
      <c r="H2621">
        <v>0</v>
      </c>
      <c r="I2621">
        <v>0.1741125760648204</v>
      </c>
      <c r="J2621">
        <v>0</v>
      </c>
      <c r="K2621">
        <v>0</v>
      </c>
      <c r="L2621" s="2">
        <v>0</v>
      </c>
      <c r="M2621">
        <v>29.29</v>
      </c>
      <c r="N2621" t="s">
        <v>10236</v>
      </c>
    </row>
    <row r="2622" spans="1:14">
      <c r="A2622" t="s">
        <v>194</v>
      </c>
      <c r="B2622" t="s">
        <v>2782</v>
      </c>
      <c r="C2622">
        <f>"10612"</f>
        <v>0</v>
      </c>
      <c r="D2622">
        <v>0</v>
      </c>
      <c r="E2622">
        <v>0</v>
      </c>
      <c r="F2622" s="2">
        <v>0</v>
      </c>
      <c r="H2622">
        <v>0</v>
      </c>
      <c r="I2622">
        <v>0.1741125760648204</v>
      </c>
      <c r="J2622">
        <v>0</v>
      </c>
      <c r="K2622">
        <v>0</v>
      </c>
      <c r="L2622" s="2">
        <v>0</v>
      </c>
      <c r="M2622">
        <v>29.3</v>
      </c>
      <c r="N2622" t="s">
        <v>10236</v>
      </c>
    </row>
    <row r="2623" spans="1:14">
      <c r="A2623" t="s">
        <v>35</v>
      </c>
      <c r="B2623" t="s">
        <v>2783</v>
      </c>
      <c r="C2623">
        <f>"RJ507"</f>
        <v>0</v>
      </c>
      <c r="D2623">
        <v>0</v>
      </c>
      <c r="E2623">
        <v>0</v>
      </c>
      <c r="F2623" s="2">
        <v>0</v>
      </c>
      <c r="H2623">
        <v>0</v>
      </c>
      <c r="I2623">
        <v>0.1741125760648204</v>
      </c>
      <c r="J2623">
        <v>0</v>
      </c>
      <c r="K2623">
        <v>0</v>
      </c>
      <c r="L2623" s="2">
        <v>0</v>
      </c>
      <c r="M2623">
        <v>29.31</v>
      </c>
      <c r="N2623" t="s">
        <v>10236</v>
      </c>
    </row>
    <row r="2624" spans="1:14">
      <c r="A2624" t="s">
        <v>194</v>
      </c>
      <c r="B2624" t="s">
        <v>2784</v>
      </c>
      <c r="C2624">
        <f>"10611"</f>
        <v>0</v>
      </c>
      <c r="D2624">
        <v>0</v>
      </c>
      <c r="E2624">
        <v>0</v>
      </c>
      <c r="F2624" s="2">
        <v>0</v>
      </c>
      <c r="H2624">
        <v>0</v>
      </c>
      <c r="I2624">
        <v>0.1741125760648204</v>
      </c>
      <c r="J2624">
        <v>0</v>
      </c>
      <c r="K2624">
        <v>0</v>
      </c>
      <c r="L2624" s="2">
        <v>0</v>
      </c>
      <c r="M2624">
        <v>29.32</v>
      </c>
      <c r="N2624" t="s">
        <v>10236</v>
      </c>
    </row>
    <row r="2625" spans="1:14">
      <c r="A2625" t="s">
        <v>216</v>
      </c>
      <c r="B2625" t="s">
        <v>2785</v>
      </c>
      <c r="C2625">
        <f>"141516"</f>
        <v>0</v>
      </c>
      <c r="D2625">
        <v>0</v>
      </c>
      <c r="E2625">
        <v>0</v>
      </c>
      <c r="F2625" s="2">
        <v>0</v>
      </c>
      <c r="H2625">
        <v>0</v>
      </c>
      <c r="I2625">
        <v>0.1741125760648204</v>
      </c>
      <c r="J2625">
        <v>0</v>
      </c>
      <c r="K2625">
        <v>0</v>
      </c>
      <c r="L2625" s="2">
        <v>0</v>
      </c>
      <c r="M2625">
        <v>29.33</v>
      </c>
      <c r="N2625" t="s">
        <v>10236</v>
      </c>
    </row>
    <row r="2626" spans="1:14">
      <c r="A2626" t="s">
        <v>216</v>
      </c>
      <c r="B2626" t="s">
        <v>2786</v>
      </c>
      <c r="C2626">
        <f>"CFANTAS"</f>
        <v>0</v>
      </c>
      <c r="D2626">
        <v>0</v>
      </c>
      <c r="E2626">
        <v>0</v>
      </c>
      <c r="F2626" s="2">
        <v>0</v>
      </c>
      <c r="H2626">
        <v>0</v>
      </c>
      <c r="I2626">
        <v>0.1741125760648204</v>
      </c>
      <c r="J2626">
        <v>0</v>
      </c>
      <c r="K2626">
        <v>0</v>
      </c>
      <c r="L2626" s="2">
        <v>0</v>
      </c>
      <c r="M2626">
        <v>29.34</v>
      </c>
      <c r="N2626" t="s">
        <v>10236</v>
      </c>
    </row>
    <row r="2627" spans="1:14">
      <c r="A2627" t="s">
        <v>216</v>
      </c>
      <c r="B2627" t="s">
        <v>2787</v>
      </c>
      <c r="C2627">
        <f>"600500800"</f>
        <v>0</v>
      </c>
      <c r="D2627">
        <v>0</v>
      </c>
      <c r="E2627">
        <v>0</v>
      </c>
      <c r="F2627" s="2">
        <v>0</v>
      </c>
      <c r="H2627">
        <v>0</v>
      </c>
      <c r="I2627">
        <v>0.1741125760648204</v>
      </c>
      <c r="J2627">
        <v>0</v>
      </c>
      <c r="K2627">
        <v>0</v>
      </c>
      <c r="L2627" s="2">
        <v>0</v>
      </c>
      <c r="M2627">
        <v>29.35</v>
      </c>
      <c r="N2627" t="s">
        <v>10236</v>
      </c>
    </row>
    <row r="2628" spans="1:14">
      <c r="A2628" t="s">
        <v>216</v>
      </c>
      <c r="B2628" t="s">
        <v>2788</v>
      </c>
      <c r="C2628">
        <f>"1576891679637"</f>
        <v>0</v>
      </c>
      <c r="D2628">
        <v>0</v>
      </c>
      <c r="E2628">
        <v>0</v>
      </c>
      <c r="F2628" s="2">
        <v>0</v>
      </c>
      <c r="H2628">
        <v>0</v>
      </c>
      <c r="I2628">
        <v>0.1741125760648204</v>
      </c>
      <c r="J2628">
        <v>0</v>
      </c>
      <c r="K2628">
        <v>0</v>
      </c>
      <c r="L2628" s="2">
        <v>0</v>
      </c>
      <c r="M2628">
        <v>29.35</v>
      </c>
      <c r="N2628" t="s">
        <v>10236</v>
      </c>
    </row>
    <row r="2629" spans="1:14">
      <c r="A2629" t="s">
        <v>216</v>
      </c>
      <c r="B2629" t="s">
        <v>2789</v>
      </c>
      <c r="C2629">
        <f>"600780787"</f>
        <v>0</v>
      </c>
      <c r="D2629">
        <v>0</v>
      </c>
      <c r="E2629">
        <v>0</v>
      </c>
      <c r="F2629" s="2">
        <v>0</v>
      </c>
      <c r="H2629">
        <v>0</v>
      </c>
      <c r="I2629">
        <v>0.1741125760648204</v>
      </c>
      <c r="J2629">
        <v>0</v>
      </c>
      <c r="K2629">
        <v>0</v>
      </c>
      <c r="L2629" s="2">
        <v>0</v>
      </c>
      <c r="M2629">
        <v>29.36</v>
      </c>
      <c r="N2629" t="s">
        <v>10236</v>
      </c>
    </row>
    <row r="2630" spans="1:14">
      <c r="A2630" t="s">
        <v>35</v>
      </c>
      <c r="B2630" t="s">
        <v>2790</v>
      </c>
      <c r="C2630">
        <f>"B118062XLR"</f>
        <v>0</v>
      </c>
      <c r="D2630">
        <v>0</v>
      </c>
      <c r="E2630">
        <v>0</v>
      </c>
      <c r="F2630" s="2">
        <v>0</v>
      </c>
      <c r="H2630">
        <v>0</v>
      </c>
      <c r="I2630">
        <v>0.1741125760648204</v>
      </c>
      <c r="J2630">
        <v>0</v>
      </c>
      <c r="K2630">
        <v>0</v>
      </c>
      <c r="L2630" s="2">
        <v>0</v>
      </c>
      <c r="M2630">
        <v>29.37</v>
      </c>
      <c r="N2630" t="s">
        <v>10236</v>
      </c>
    </row>
    <row r="2631" spans="1:14">
      <c r="A2631" t="s">
        <v>216</v>
      </c>
      <c r="B2631" t="s">
        <v>2791</v>
      </c>
      <c r="C2631">
        <f>"4545451"</f>
        <v>0</v>
      </c>
      <c r="D2631">
        <v>0</v>
      </c>
      <c r="E2631">
        <v>0</v>
      </c>
      <c r="F2631" s="2">
        <v>0</v>
      </c>
      <c r="H2631">
        <v>0</v>
      </c>
      <c r="I2631">
        <v>0.1741125760648204</v>
      </c>
      <c r="J2631">
        <v>0</v>
      </c>
      <c r="K2631">
        <v>0</v>
      </c>
      <c r="L2631" s="2">
        <v>0</v>
      </c>
      <c r="M2631">
        <v>29.38</v>
      </c>
      <c r="N2631" t="s">
        <v>10236</v>
      </c>
    </row>
    <row r="2632" spans="1:14">
      <c r="A2632" t="s">
        <v>216</v>
      </c>
      <c r="B2632" t="s">
        <v>2792</v>
      </c>
      <c r="C2632">
        <f>"CCALIC"</f>
        <v>0</v>
      </c>
      <c r="D2632">
        <v>0</v>
      </c>
      <c r="E2632">
        <v>0</v>
      </c>
      <c r="F2632" s="2">
        <v>0</v>
      </c>
      <c r="H2632">
        <v>0</v>
      </c>
      <c r="I2632">
        <v>0.1741125760648204</v>
      </c>
      <c r="J2632">
        <v>0</v>
      </c>
      <c r="K2632">
        <v>0</v>
      </c>
      <c r="L2632" s="2">
        <v>0</v>
      </c>
      <c r="M2632">
        <v>29.39</v>
      </c>
      <c r="N2632" t="s">
        <v>10236</v>
      </c>
    </row>
    <row r="2633" spans="1:14">
      <c r="A2633" t="s">
        <v>35</v>
      </c>
      <c r="B2633" t="s">
        <v>2793</v>
      </c>
      <c r="C2633">
        <f>"B118062XSA"</f>
        <v>0</v>
      </c>
      <c r="D2633">
        <v>0</v>
      </c>
      <c r="E2633">
        <v>1</v>
      </c>
      <c r="F2633" s="2">
        <v>4</v>
      </c>
      <c r="H2633">
        <v>0</v>
      </c>
      <c r="I2633">
        <v>0.1741125760648204</v>
      </c>
      <c r="J2633">
        <v>0</v>
      </c>
      <c r="K2633">
        <v>0</v>
      </c>
      <c r="L2633" s="2">
        <v>0</v>
      </c>
      <c r="M2633">
        <v>29.4</v>
      </c>
      <c r="N2633" t="s">
        <v>10236</v>
      </c>
    </row>
    <row r="2634" spans="1:14">
      <c r="A2634" t="s">
        <v>194</v>
      </c>
      <c r="B2634" t="s">
        <v>2794</v>
      </c>
      <c r="C2634">
        <f>"10613"</f>
        <v>0</v>
      </c>
      <c r="D2634">
        <v>0</v>
      </c>
      <c r="E2634">
        <v>0</v>
      </c>
      <c r="F2634" s="2">
        <v>0</v>
      </c>
      <c r="H2634">
        <v>0</v>
      </c>
      <c r="I2634">
        <v>0.1741125760648204</v>
      </c>
      <c r="J2634">
        <v>0</v>
      </c>
      <c r="K2634">
        <v>0</v>
      </c>
      <c r="L2634" s="2">
        <v>0</v>
      </c>
      <c r="M2634">
        <v>29.41</v>
      </c>
      <c r="N2634" t="s">
        <v>10236</v>
      </c>
    </row>
    <row r="2635" spans="1:14">
      <c r="A2635" t="s">
        <v>35</v>
      </c>
      <c r="B2635" t="s">
        <v>2795</v>
      </c>
      <c r="C2635">
        <f>"BOL26VE"</f>
        <v>0</v>
      </c>
      <c r="D2635">
        <v>0</v>
      </c>
      <c r="E2635">
        <v>0</v>
      </c>
      <c r="F2635" s="2">
        <v>0</v>
      </c>
      <c r="H2635">
        <v>0</v>
      </c>
      <c r="I2635">
        <v>0.1741125760648204</v>
      </c>
      <c r="J2635">
        <v>0</v>
      </c>
      <c r="K2635">
        <v>0</v>
      </c>
      <c r="L2635" s="2">
        <v>0</v>
      </c>
      <c r="M2635">
        <v>29.42</v>
      </c>
      <c r="N2635" t="s">
        <v>10236</v>
      </c>
    </row>
    <row r="2636" spans="1:14">
      <c r="A2636" t="s">
        <v>35</v>
      </c>
      <c r="B2636" t="s">
        <v>2796</v>
      </c>
      <c r="C2636">
        <f>"BOL26BL"</f>
        <v>0</v>
      </c>
      <c r="D2636">
        <v>0</v>
      </c>
      <c r="E2636">
        <v>3</v>
      </c>
      <c r="F2636" s="2">
        <v>1</v>
      </c>
      <c r="H2636">
        <v>0</v>
      </c>
      <c r="I2636">
        <v>0.1741125760648204</v>
      </c>
      <c r="J2636">
        <v>0</v>
      </c>
      <c r="K2636">
        <v>0</v>
      </c>
      <c r="L2636" s="2">
        <v>0</v>
      </c>
      <c r="M2636">
        <v>29.43</v>
      </c>
      <c r="N2636" t="s">
        <v>10236</v>
      </c>
    </row>
    <row r="2637" spans="1:14">
      <c r="A2637" t="s">
        <v>216</v>
      </c>
      <c r="B2637" t="s">
        <v>2797</v>
      </c>
      <c r="C2637">
        <f>"BPAY"</f>
        <v>0</v>
      </c>
      <c r="D2637">
        <v>0</v>
      </c>
      <c r="E2637">
        <v>0</v>
      </c>
      <c r="F2637" s="2">
        <v>0</v>
      </c>
      <c r="H2637">
        <v>0</v>
      </c>
      <c r="I2637">
        <v>0.1741125760648204</v>
      </c>
      <c r="J2637">
        <v>0</v>
      </c>
      <c r="K2637">
        <v>0</v>
      </c>
      <c r="L2637" s="2">
        <v>0</v>
      </c>
      <c r="M2637">
        <v>29.44</v>
      </c>
      <c r="N2637" t="s">
        <v>10236</v>
      </c>
    </row>
    <row r="2638" spans="1:14">
      <c r="A2638" t="s">
        <v>216</v>
      </c>
      <c r="B2638" t="s">
        <v>2798</v>
      </c>
      <c r="C2638">
        <f>"BOTIA1"</f>
        <v>0</v>
      </c>
      <c r="D2638">
        <v>0</v>
      </c>
      <c r="E2638">
        <v>0</v>
      </c>
      <c r="F2638" s="2">
        <v>0</v>
      </c>
      <c r="H2638">
        <v>0</v>
      </c>
      <c r="I2638">
        <v>0.1741125760648204</v>
      </c>
      <c r="J2638">
        <v>0</v>
      </c>
      <c r="K2638">
        <v>0</v>
      </c>
      <c r="L2638" s="2">
        <v>0</v>
      </c>
      <c r="M2638">
        <v>29.45</v>
      </c>
      <c r="N2638" t="s">
        <v>10236</v>
      </c>
    </row>
    <row r="2639" spans="1:14">
      <c r="A2639" t="s">
        <v>216</v>
      </c>
      <c r="B2639" t="s">
        <v>2799</v>
      </c>
      <c r="C2639">
        <f>"BMACHHM"</f>
        <v>0</v>
      </c>
      <c r="D2639">
        <v>0</v>
      </c>
      <c r="E2639">
        <v>0</v>
      </c>
      <c r="F2639" s="2">
        <v>0</v>
      </c>
      <c r="H2639">
        <v>0</v>
      </c>
      <c r="I2639">
        <v>0.1741125760648204</v>
      </c>
      <c r="J2639">
        <v>0</v>
      </c>
      <c r="K2639">
        <v>0</v>
      </c>
      <c r="L2639" s="2">
        <v>0</v>
      </c>
      <c r="M2639">
        <v>29.46</v>
      </c>
      <c r="N2639" t="s">
        <v>10236</v>
      </c>
    </row>
    <row r="2640" spans="1:14">
      <c r="A2640" t="s">
        <v>216</v>
      </c>
      <c r="B2640" t="s">
        <v>2800</v>
      </c>
      <c r="C2640">
        <f>"BMACHCT"</f>
        <v>0</v>
      </c>
      <c r="D2640">
        <v>0</v>
      </c>
      <c r="E2640">
        <v>0</v>
      </c>
      <c r="F2640" s="2">
        <v>0</v>
      </c>
      <c r="H2640">
        <v>0</v>
      </c>
      <c r="I2640">
        <v>0.1741125760648204</v>
      </c>
      <c r="J2640">
        <v>0</v>
      </c>
      <c r="K2640">
        <v>0</v>
      </c>
      <c r="L2640" s="2">
        <v>0</v>
      </c>
      <c r="M2640">
        <v>29.46</v>
      </c>
      <c r="N2640" t="s">
        <v>10236</v>
      </c>
    </row>
    <row r="2641" spans="1:14">
      <c r="A2641" t="s">
        <v>216</v>
      </c>
      <c r="B2641" t="s">
        <v>2801</v>
      </c>
      <c r="C2641">
        <f>"252525C"</f>
        <v>0</v>
      </c>
      <c r="D2641">
        <v>0</v>
      </c>
      <c r="E2641">
        <v>0</v>
      </c>
      <c r="F2641" s="2">
        <v>0</v>
      </c>
      <c r="H2641">
        <v>0</v>
      </c>
      <c r="I2641">
        <v>0.1741125760648204</v>
      </c>
      <c r="J2641">
        <v>0</v>
      </c>
      <c r="K2641">
        <v>0</v>
      </c>
      <c r="L2641" s="2">
        <v>0</v>
      </c>
      <c r="M2641">
        <v>29.47</v>
      </c>
      <c r="N2641" t="s">
        <v>10236</v>
      </c>
    </row>
    <row r="2642" spans="1:14">
      <c r="A2642" t="s">
        <v>35</v>
      </c>
      <c r="B2642" t="s">
        <v>2802</v>
      </c>
      <c r="C2642">
        <f>"B1180624XLA"</f>
        <v>0</v>
      </c>
      <c r="D2642">
        <v>0</v>
      </c>
      <c r="E2642">
        <v>1</v>
      </c>
      <c r="F2642" s="2">
        <v>8</v>
      </c>
      <c r="H2642">
        <v>0</v>
      </c>
      <c r="I2642">
        <v>0.1741125760648204</v>
      </c>
      <c r="J2642">
        <v>0</v>
      </c>
      <c r="K2642">
        <v>0</v>
      </c>
      <c r="L2642" s="2">
        <v>0</v>
      </c>
      <c r="M2642">
        <v>29.48</v>
      </c>
      <c r="N2642" t="s">
        <v>10236</v>
      </c>
    </row>
    <row r="2643" spans="1:14">
      <c r="A2643" t="s">
        <v>35</v>
      </c>
      <c r="B2643" t="s">
        <v>2803</v>
      </c>
      <c r="C2643">
        <f>"B118062LA"</f>
        <v>0</v>
      </c>
      <c r="D2643">
        <v>0</v>
      </c>
      <c r="E2643">
        <v>1</v>
      </c>
      <c r="F2643" s="2">
        <v>5</v>
      </c>
      <c r="H2643">
        <v>0</v>
      </c>
      <c r="I2643">
        <v>0.1741125760648204</v>
      </c>
      <c r="J2643">
        <v>0</v>
      </c>
      <c r="K2643">
        <v>0</v>
      </c>
      <c r="L2643" s="2">
        <v>0</v>
      </c>
      <c r="M2643">
        <v>29.49</v>
      </c>
      <c r="N2643" t="s">
        <v>10236</v>
      </c>
    </row>
    <row r="2644" spans="1:14">
      <c r="A2644" t="s">
        <v>216</v>
      </c>
      <c r="B2644" t="s">
        <v>2804</v>
      </c>
      <c r="C2644">
        <f>"CTNEG"</f>
        <v>0</v>
      </c>
      <c r="D2644">
        <v>0</v>
      </c>
      <c r="E2644">
        <v>0</v>
      </c>
      <c r="F2644" s="2">
        <v>0</v>
      </c>
      <c r="H2644">
        <v>0</v>
      </c>
      <c r="I2644">
        <v>0.1741125760648204</v>
      </c>
      <c r="J2644">
        <v>0</v>
      </c>
      <c r="K2644">
        <v>0</v>
      </c>
      <c r="L2644" s="2">
        <v>0</v>
      </c>
      <c r="M2644">
        <v>29.5</v>
      </c>
      <c r="N2644" t="s">
        <v>10236</v>
      </c>
    </row>
    <row r="2645" spans="1:14">
      <c r="A2645" t="s">
        <v>35</v>
      </c>
      <c r="B2645" t="s">
        <v>2805</v>
      </c>
      <c r="C2645">
        <f>"B118062SG"</f>
        <v>0</v>
      </c>
      <c r="D2645">
        <v>0</v>
      </c>
      <c r="E2645">
        <v>0</v>
      </c>
      <c r="F2645" s="2">
        <v>0</v>
      </c>
      <c r="H2645">
        <v>0</v>
      </c>
      <c r="I2645">
        <v>0.1741125760648204</v>
      </c>
      <c r="J2645">
        <v>0</v>
      </c>
      <c r="K2645">
        <v>0</v>
      </c>
      <c r="L2645" s="2">
        <v>0</v>
      </c>
      <c r="M2645">
        <v>29.51</v>
      </c>
      <c r="N2645" t="s">
        <v>10236</v>
      </c>
    </row>
    <row r="2646" spans="1:14">
      <c r="A2646" t="s">
        <v>35</v>
      </c>
      <c r="B2646" t="s">
        <v>2806</v>
      </c>
      <c r="C2646">
        <f>"B1160032XLV"</f>
        <v>0</v>
      </c>
      <c r="D2646">
        <v>0</v>
      </c>
      <c r="E2646">
        <v>2</v>
      </c>
      <c r="F2646" s="2">
        <v>10</v>
      </c>
      <c r="H2646">
        <v>0</v>
      </c>
      <c r="I2646">
        <v>0.1741125760648204</v>
      </c>
      <c r="J2646">
        <v>0</v>
      </c>
      <c r="K2646">
        <v>0</v>
      </c>
      <c r="L2646" s="2">
        <v>0</v>
      </c>
      <c r="M2646">
        <v>29.52</v>
      </c>
      <c r="N2646" t="s">
        <v>10236</v>
      </c>
    </row>
    <row r="2647" spans="1:14">
      <c r="A2647" t="s">
        <v>35</v>
      </c>
      <c r="B2647" t="s">
        <v>2807</v>
      </c>
      <c r="C2647">
        <f>"B11600323XLA"</f>
        <v>0</v>
      </c>
      <c r="D2647">
        <v>0</v>
      </c>
      <c r="E2647">
        <v>3</v>
      </c>
      <c r="F2647" s="2">
        <v>11</v>
      </c>
      <c r="H2647">
        <v>0</v>
      </c>
      <c r="I2647">
        <v>0.1741125760648204</v>
      </c>
      <c r="J2647">
        <v>0</v>
      </c>
      <c r="K2647">
        <v>0</v>
      </c>
      <c r="L2647" s="2">
        <v>0</v>
      </c>
      <c r="M2647">
        <v>29.53</v>
      </c>
      <c r="N2647" t="s">
        <v>10236</v>
      </c>
    </row>
    <row r="2648" spans="1:14">
      <c r="A2648" t="s">
        <v>216</v>
      </c>
      <c r="B2648" t="s">
        <v>2808</v>
      </c>
      <c r="C2648">
        <f>"CARSHUB"</f>
        <v>0</v>
      </c>
      <c r="D2648">
        <v>0</v>
      </c>
      <c r="E2648">
        <v>0</v>
      </c>
      <c r="F2648" s="2">
        <v>0</v>
      </c>
      <c r="H2648">
        <v>0</v>
      </c>
      <c r="I2648">
        <v>0.1741125760648204</v>
      </c>
      <c r="J2648">
        <v>0</v>
      </c>
      <c r="K2648">
        <v>0</v>
      </c>
      <c r="L2648" s="2">
        <v>0</v>
      </c>
      <c r="M2648">
        <v>29.54</v>
      </c>
      <c r="N2648" t="s">
        <v>10236</v>
      </c>
    </row>
    <row r="2649" spans="1:14">
      <c r="A2649" t="s">
        <v>216</v>
      </c>
      <c r="B2649" t="s">
        <v>2809</v>
      </c>
      <c r="C2649">
        <f>"1576891603095"</f>
        <v>0</v>
      </c>
      <c r="D2649">
        <v>0</v>
      </c>
      <c r="E2649">
        <v>0</v>
      </c>
      <c r="F2649" s="2">
        <v>0</v>
      </c>
      <c r="H2649">
        <v>0</v>
      </c>
      <c r="I2649">
        <v>0.1741125760648204</v>
      </c>
      <c r="J2649">
        <v>0</v>
      </c>
      <c r="K2649">
        <v>0</v>
      </c>
      <c r="L2649" s="2">
        <v>0</v>
      </c>
      <c r="M2649">
        <v>29.55</v>
      </c>
      <c r="N2649" t="s">
        <v>10236</v>
      </c>
    </row>
    <row r="2650" spans="1:14">
      <c r="A2650" t="s">
        <v>35</v>
      </c>
      <c r="B2650" t="s">
        <v>2810</v>
      </c>
      <c r="C2650">
        <f>"B11600323XLM"</f>
        <v>0</v>
      </c>
      <c r="D2650">
        <v>0</v>
      </c>
      <c r="E2650">
        <v>2</v>
      </c>
      <c r="F2650" s="2">
        <v>11</v>
      </c>
      <c r="H2650">
        <v>0</v>
      </c>
      <c r="I2650">
        <v>0.1741125760648204</v>
      </c>
      <c r="J2650">
        <v>0</v>
      </c>
      <c r="K2650">
        <v>0</v>
      </c>
      <c r="L2650" s="2">
        <v>0</v>
      </c>
      <c r="M2650">
        <v>29.56</v>
      </c>
      <c r="N2650" t="s">
        <v>10236</v>
      </c>
    </row>
    <row r="2651" spans="1:14">
      <c r="A2651" t="s">
        <v>216</v>
      </c>
      <c r="B2651" t="s">
        <v>2811</v>
      </c>
      <c r="C2651">
        <f>"5458577"</f>
        <v>0</v>
      </c>
      <c r="D2651">
        <v>0</v>
      </c>
      <c r="E2651">
        <v>0</v>
      </c>
      <c r="F2651" s="2">
        <v>0</v>
      </c>
      <c r="H2651">
        <v>0</v>
      </c>
      <c r="I2651">
        <v>0.1741125760648204</v>
      </c>
      <c r="J2651">
        <v>0</v>
      </c>
      <c r="K2651">
        <v>0</v>
      </c>
      <c r="L2651" s="2">
        <v>0</v>
      </c>
      <c r="M2651">
        <v>29.57</v>
      </c>
      <c r="N2651" t="s">
        <v>10236</v>
      </c>
    </row>
    <row r="2652" spans="1:14">
      <c r="A2652" t="s">
        <v>35</v>
      </c>
      <c r="B2652" t="s">
        <v>2812</v>
      </c>
      <c r="C2652">
        <f>"B11600323XLV"</f>
        <v>0</v>
      </c>
      <c r="D2652">
        <v>0</v>
      </c>
      <c r="E2652">
        <v>2</v>
      </c>
      <c r="F2652" s="2">
        <v>11</v>
      </c>
      <c r="H2652">
        <v>0</v>
      </c>
      <c r="I2652">
        <v>0.1741125760648204</v>
      </c>
      <c r="J2652">
        <v>0</v>
      </c>
      <c r="K2652">
        <v>0</v>
      </c>
      <c r="L2652" s="2">
        <v>0</v>
      </c>
      <c r="M2652">
        <v>29.58</v>
      </c>
      <c r="N2652" t="s">
        <v>10236</v>
      </c>
    </row>
    <row r="2653" spans="1:14">
      <c r="A2653" t="s">
        <v>216</v>
      </c>
      <c r="B2653" t="s">
        <v>2813</v>
      </c>
      <c r="C2653">
        <f>"RANCHU"</f>
        <v>0</v>
      </c>
      <c r="D2653">
        <v>0</v>
      </c>
      <c r="E2653">
        <v>0</v>
      </c>
      <c r="F2653" s="2">
        <v>0</v>
      </c>
      <c r="H2653">
        <v>0</v>
      </c>
      <c r="I2653">
        <v>0.1741125760648204</v>
      </c>
      <c r="J2653">
        <v>0</v>
      </c>
      <c r="K2653">
        <v>0</v>
      </c>
      <c r="L2653" s="2">
        <v>0</v>
      </c>
      <c r="M2653">
        <v>29.58</v>
      </c>
      <c r="N2653" t="s">
        <v>10236</v>
      </c>
    </row>
    <row r="2654" spans="1:14">
      <c r="A2654" t="s">
        <v>35</v>
      </c>
      <c r="B2654" t="s">
        <v>2814</v>
      </c>
      <c r="C2654">
        <f>"B11600324XLA"</f>
        <v>0</v>
      </c>
      <c r="D2654">
        <v>0</v>
      </c>
      <c r="E2654">
        <v>2</v>
      </c>
      <c r="F2654" s="2">
        <v>11</v>
      </c>
      <c r="H2654">
        <v>0</v>
      </c>
      <c r="I2654">
        <v>0.1741125760648204</v>
      </c>
      <c r="J2654">
        <v>0</v>
      </c>
      <c r="K2654">
        <v>0</v>
      </c>
      <c r="L2654" s="2">
        <v>0</v>
      </c>
      <c r="M2654">
        <v>29.59</v>
      </c>
      <c r="N2654" t="s">
        <v>10236</v>
      </c>
    </row>
    <row r="2655" spans="1:14">
      <c r="A2655" t="s">
        <v>35</v>
      </c>
      <c r="B2655" t="s">
        <v>2815</v>
      </c>
      <c r="C2655">
        <f>"B11600324XLM"</f>
        <v>0</v>
      </c>
      <c r="D2655">
        <v>0</v>
      </c>
      <c r="E2655">
        <v>3</v>
      </c>
      <c r="F2655" s="2">
        <v>11</v>
      </c>
      <c r="H2655">
        <v>0</v>
      </c>
      <c r="I2655">
        <v>0.1741125760648204</v>
      </c>
      <c r="J2655">
        <v>0</v>
      </c>
      <c r="K2655">
        <v>0</v>
      </c>
      <c r="L2655" s="2">
        <v>0</v>
      </c>
      <c r="M2655">
        <v>29.6</v>
      </c>
      <c r="N2655" t="s">
        <v>10236</v>
      </c>
    </row>
    <row r="2656" spans="1:14">
      <c r="A2656" t="s">
        <v>216</v>
      </c>
      <c r="B2656" t="s">
        <v>2816</v>
      </c>
      <c r="C2656">
        <f>"CARASTEL"</f>
        <v>0</v>
      </c>
      <c r="D2656">
        <v>0</v>
      </c>
      <c r="E2656">
        <v>0</v>
      </c>
      <c r="F2656" s="2">
        <v>0</v>
      </c>
      <c r="H2656">
        <v>0</v>
      </c>
      <c r="I2656">
        <v>0.1741125760648204</v>
      </c>
      <c r="J2656">
        <v>0</v>
      </c>
      <c r="K2656">
        <v>0</v>
      </c>
      <c r="L2656" s="2">
        <v>0</v>
      </c>
      <c r="M2656">
        <v>29.61</v>
      </c>
      <c r="N2656" t="s">
        <v>10236</v>
      </c>
    </row>
    <row r="2657" spans="1:14">
      <c r="A2657" t="s">
        <v>194</v>
      </c>
      <c r="B2657" t="s">
        <v>2817</v>
      </c>
      <c r="C2657">
        <f>"102200010"</f>
        <v>0</v>
      </c>
      <c r="D2657">
        <v>0</v>
      </c>
      <c r="E2657">
        <v>0</v>
      </c>
      <c r="F2657" s="2">
        <v>0</v>
      </c>
      <c r="H2657">
        <v>0</v>
      </c>
      <c r="I2657">
        <v>0.1741125760648204</v>
      </c>
      <c r="J2657">
        <v>0</v>
      </c>
      <c r="K2657">
        <v>0</v>
      </c>
      <c r="L2657" s="2">
        <v>0</v>
      </c>
      <c r="M2657">
        <v>29.62</v>
      </c>
      <c r="N2657" t="s">
        <v>10236</v>
      </c>
    </row>
    <row r="2658" spans="1:14">
      <c r="A2658" t="s">
        <v>212</v>
      </c>
      <c r="B2658" t="s">
        <v>2818</v>
      </c>
      <c r="C2658">
        <f>"79140"</f>
        <v>0</v>
      </c>
      <c r="D2658">
        <v>0</v>
      </c>
      <c r="E2658">
        <v>0</v>
      </c>
      <c r="F2658" s="2">
        <v>0</v>
      </c>
      <c r="H2658">
        <v>0</v>
      </c>
      <c r="I2658">
        <v>0.1741125760648204</v>
      </c>
      <c r="J2658">
        <v>0</v>
      </c>
      <c r="K2658">
        <v>0</v>
      </c>
      <c r="L2658" s="2">
        <v>0</v>
      </c>
      <c r="M2658">
        <v>29.63</v>
      </c>
      <c r="N2658" t="s">
        <v>10236</v>
      </c>
    </row>
    <row r="2659" spans="1:14">
      <c r="A2659" t="s">
        <v>212</v>
      </c>
      <c r="B2659" t="s">
        <v>2819</v>
      </c>
      <c r="C2659">
        <f>"24685"</f>
        <v>0</v>
      </c>
      <c r="D2659">
        <v>0</v>
      </c>
      <c r="E2659">
        <v>0</v>
      </c>
      <c r="F2659" s="2">
        <v>0</v>
      </c>
      <c r="H2659">
        <v>0</v>
      </c>
      <c r="I2659">
        <v>0.1741125760648204</v>
      </c>
      <c r="J2659">
        <v>0</v>
      </c>
      <c r="K2659">
        <v>0</v>
      </c>
      <c r="L2659" s="2">
        <v>0</v>
      </c>
      <c r="M2659">
        <v>29.64</v>
      </c>
      <c r="N2659" t="s">
        <v>10236</v>
      </c>
    </row>
    <row r="2660" spans="1:14">
      <c r="A2660" t="s">
        <v>35</v>
      </c>
      <c r="B2660" t="s">
        <v>2820</v>
      </c>
      <c r="C2660">
        <f>"B116003XSA"</f>
        <v>0</v>
      </c>
      <c r="D2660">
        <v>0</v>
      </c>
      <c r="E2660">
        <v>2</v>
      </c>
      <c r="F2660" s="2">
        <v>8</v>
      </c>
      <c r="H2660">
        <v>0</v>
      </c>
      <c r="I2660">
        <v>0.1741125760648204</v>
      </c>
      <c r="J2660">
        <v>0</v>
      </c>
      <c r="K2660">
        <v>0</v>
      </c>
      <c r="L2660" s="2">
        <v>0</v>
      </c>
      <c r="M2660">
        <v>29.65</v>
      </c>
      <c r="N2660" t="s">
        <v>10236</v>
      </c>
    </row>
    <row r="2661" spans="1:14">
      <c r="A2661" t="s">
        <v>212</v>
      </c>
      <c r="B2661" t="s">
        <v>2821</v>
      </c>
      <c r="C2661">
        <f>"64080"</f>
        <v>0</v>
      </c>
      <c r="D2661">
        <v>0</v>
      </c>
      <c r="E2661">
        <v>0</v>
      </c>
      <c r="F2661" s="2">
        <v>0</v>
      </c>
      <c r="H2661">
        <v>0</v>
      </c>
      <c r="I2661">
        <v>0.1741125760648204</v>
      </c>
      <c r="J2661">
        <v>0</v>
      </c>
      <c r="K2661">
        <v>0</v>
      </c>
      <c r="L2661" s="2">
        <v>0</v>
      </c>
      <c r="M2661">
        <v>29.66</v>
      </c>
      <c r="N2661" t="s">
        <v>10236</v>
      </c>
    </row>
    <row r="2662" spans="1:14">
      <c r="A2662" t="s">
        <v>212</v>
      </c>
      <c r="B2662" t="s">
        <v>2822</v>
      </c>
      <c r="C2662">
        <f>"64079"</f>
        <v>0</v>
      </c>
      <c r="D2662">
        <v>0</v>
      </c>
      <c r="E2662">
        <v>0</v>
      </c>
      <c r="F2662" s="2">
        <v>0</v>
      </c>
      <c r="H2662">
        <v>0</v>
      </c>
      <c r="I2662">
        <v>0.1741125760648204</v>
      </c>
      <c r="J2662">
        <v>0</v>
      </c>
      <c r="K2662">
        <v>0</v>
      </c>
      <c r="L2662" s="2">
        <v>0</v>
      </c>
      <c r="M2662">
        <v>29.67</v>
      </c>
      <c r="N2662" t="s">
        <v>10236</v>
      </c>
    </row>
    <row r="2663" spans="1:14">
      <c r="A2663" t="s">
        <v>35</v>
      </c>
      <c r="B2663" t="s">
        <v>2823</v>
      </c>
      <c r="C2663">
        <f>"B116003XSM"</f>
        <v>0</v>
      </c>
      <c r="D2663">
        <v>0</v>
      </c>
      <c r="E2663">
        <v>2</v>
      </c>
      <c r="F2663" s="2">
        <v>8</v>
      </c>
      <c r="H2663">
        <v>0</v>
      </c>
      <c r="I2663">
        <v>0.1741125760648204</v>
      </c>
      <c r="J2663">
        <v>0</v>
      </c>
      <c r="K2663">
        <v>0</v>
      </c>
      <c r="L2663" s="2">
        <v>0</v>
      </c>
      <c r="M2663">
        <v>29.68</v>
      </c>
      <c r="N2663" t="s">
        <v>10236</v>
      </c>
    </row>
    <row r="2664" spans="1:14">
      <c r="A2664" t="s">
        <v>212</v>
      </c>
      <c r="B2664" t="s">
        <v>2824</v>
      </c>
      <c r="C2664">
        <f>"64090"</f>
        <v>0</v>
      </c>
      <c r="D2664">
        <v>0</v>
      </c>
      <c r="E2664">
        <v>2</v>
      </c>
      <c r="F2664" s="2">
        <v>31</v>
      </c>
      <c r="H2664">
        <v>0</v>
      </c>
      <c r="I2664">
        <v>0.1741125760648204</v>
      </c>
      <c r="J2664">
        <v>0</v>
      </c>
      <c r="K2664">
        <v>0</v>
      </c>
      <c r="L2664" s="2">
        <v>0</v>
      </c>
      <c r="M2664">
        <v>29.69</v>
      </c>
      <c r="N2664" t="s">
        <v>10236</v>
      </c>
    </row>
    <row r="2665" spans="1:14">
      <c r="A2665" t="s">
        <v>35</v>
      </c>
      <c r="B2665" t="s">
        <v>2825</v>
      </c>
      <c r="C2665">
        <f>"B116003XSV"</f>
        <v>0</v>
      </c>
      <c r="D2665">
        <v>0</v>
      </c>
      <c r="E2665">
        <v>2</v>
      </c>
      <c r="F2665" s="2">
        <v>8</v>
      </c>
      <c r="H2665">
        <v>0</v>
      </c>
      <c r="I2665">
        <v>0.1741125760648204</v>
      </c>
      <c r="J2665">
        <v>0</v>
      </c>
      <c r="K2665">
        <v>0</v>
      </c>
      <c r="L2665" s="2">
        <v>0</v>
      </c>
      <c r="M2665">
        <v>29.7</v>
      </c>
      <c r="N2665" t="s">
        <v>10236</v>
      </c>
    </row>
    <row r="2666" spans="1:14">
      <c r="A2666" t="s">
        <v>212</v>
      </c>
      <c r="B2666" t="s">
        <v>2826</v>
      </c>
      <c r="C2666">
        <f>"1008738"</f>
        <v>0</v>
      </c>
      <c r="D2666">
        <v>0</v>
      </c>
      <c r="E2666">
        <v>0</v>
      </c>
      <c r="F2666" s="2">
        <v>0</v>
      </c>
      <c r="H2666">
        <v>0</v>
      </c>
      <c r="I2666">
        <v>0.1741125760648204</v>
      </c>
      <c r="J2666">
        <v>0</v>
      </c>
      <c r="K2666">
        <v>0</v>
      </c>
      <c r="L2666" s="2">
        <v>0</v>
      </c>
      <c r="M2666">
        <v>29.7</v>
      </c>
      <c r="N2666" t="s">
        <v>10236</v>
      </c>
    </row>
    <row r="2667" spans="1:14">
      <c r="A2667" t="s">
        <v>216</v>
      </c>
      <c r="B2667" t="s">
        <v>2827</v>
      </c>
      <c r="C2667">
        <f>"CARABUR"</f>
        <v>0</v>
      </c>
      <c r="D2667">
        <v>0</v>
      </c>
      <c r="E2667">
        <v>0</v>
      </c>
      <c r="F2667" s="2">
        <v>0</v>
      </c>
      <c r="H2667">
        <v>0</v>
      </c>
      <c r="I2667">
        <v>0.1741125760648204</v>
      </c>
      <c r="J2667">
        <v>0</v>
      </c>
      <c r="K2667">
        <v>0</v>
      </c>
      <c r="L2667" s="2">
        <v>0</v>
      </c>
      <c r="M2667">
        <v>29.71</v>
      </c>
      <c r="N2667" t="s">
        <v>10236</v>
      </c>
    </row>
    <row r="2668" spans="1:14">
      <c r="A2668" t="s">
        <v>223</v>
      </c>
      <c r="B2668" t="s">
        <v>2828</v>
      </c>
      <c r="C2668">
        <f>"276660"</f>
        <v>0</v>
      </c>
      <c r="D2668">
        <v>0</v>
      </c>
      <c r="E2668">
        <v>0</v>
      </c>
      <c r="F2668" s="2">
        <v>0</v>
      </c>
      <c r="H2668">
        <v>0</v>
      </c>
      <c r="I2668">
        <v>0.1741125760648204</v>
      </c>
      <c r="J2668">
        <v>0</v>
      </c>
      <c r="K2668">
        <v>0</v>
      </c>
      <c r="L2668" s="2">
        <v>0</v>
      </c>
      <c r="M2668">
        <v>29.72</v>
      </c>
      <c r="N2668" t="s">
        <v>10236</v>
      </c>
    </row>
    <row r="2669" spans="1:14">
      <c r="A2669" t="s">
        <v>35</v>
      </c>
      <c r="B2669" t="s">
        <v>2829</v>
      </c>
      <c r="C2669">
        <f>"B192203XLM"</f>
        <v>0</v>
      </c>
      <c r="D2669">
        <v>0</v>
      </c>
      <c r="E2669">
        <v>4</v>
      </c>
      <c r="F2669" s="2">
        <v>11</v>
      </c>
      <c r="H2669">
        <v>0</v>
      </c>
      <c r="I2669">
        <v>0.1741125760648204</v>
      </c>
      <c r="J2669">
        <v>0</v>
      </c>
      <c r="K2669">
        <v>0</v>
      </c>
      <c r="L2669" s="2">
        <v>0</v>
      </c>
      <c r="M2669">
        <v>29.73</v>
      </c>
      <c r="N2669" t="s">
        <v>10236</v>
      </c>
    </row>
    <row r="2670" spans="1:14">
      <c r="A2670" t="s">
        <v>35</v>
      </c>
      <c r="B2670" t="s">
        <v>2830</v>
      </c>
      <c r="C2670">
        <f>"B192203XLR"</f>
        <v>0</v>
      </c>
      <c r="D2670">
        <v>0</v>
      </c>
      <c r="E2670">
        <v>6</v>
      </c>
      <c r="F2670" s="2">
        <v>11</v>
      </c>
      <c r="H2670">
        <v>0</v>
      </c>
      <c r="I2670">
        <v>0.1741125760648204</v>
      </c>
      <c r="J2670">
        <v>0</v>
      </c>
      <c r="K2670">
        <v>0</v>
      </c>
      <c r="L2670" s="2">
        <v>0</v>
      </c>
      <c r="M2670">
        <v>29.74</v>
      </c>
      <c r="N2670" t="s">
        <v>10236</v>
      </c>
    </row>
    <row r="2671" spans="1:14">
      <c r="A2671" t="s">
        <v>29</v>
      </c>
      <c r="B2671" t="s">
        <v>2831</v>
      </c>
      <c r="C2671">
        <f>"34022"</f>
        <v>0</v>
      </c>
      <c r="D2671">
        <v>0</v>
      </c>
      <c r="E2671">
        <v>0</v>
      </c>
      <c r="F2671" s="2">
        <v>0</v>
      </c>
      <c r="H2671">
        <v>0</v>
      </c>
      <c r="I2671">
        <v>0.1741125760648204</v>
      </c>
      <c r="J2671">
        <v>0</v>
      </c>
      <c r="K2671">
        <v>0</v>
      </c>
      <c r="L2671" s="2">
        <v>0</v>
      </c>
      <c r="M2671">
        <v>29.75</v>
      </c>
      <c r="N2671" t="s">
        <v>10236</v>
      </c>
    </row>
    <row r="2672" spans="1:14">
      <c r="A2672" t="s">
        <v>209</v>
      </c>
      <c r="B2672" t="s">
        <v>2832</v>
      </c>
      <c r="C2672">
        <f>"1026LAA"</f>
        <v>0</v>
      </c>
      <c r="D2672">
        <v>0</v>
      </c>
      <c r="E2672">
        <v>8</v>
      </c>
      <c r="F2672" s="2">
        <v>1</v>
      </c>
      <c r="H2672">
        <v>0</v>
      </c>
      <c r="I2672">
        <v>0.1741125760648204</v>
      </c>
      <c r="J2672">
        <v>0</v>
      </c>
      <c r="K2672">
        <v>0</v>
      </c>
      <c r="L2672" s="2">
        <v>0</v>
      </c>
      <c r="M2672">
        <v>29.76</v>
      </c>
      <c r="N2672" t="s">
        <v>10236</v>
      </c>
    </row>
    <row r="2673" spans="1:14">
      <c r="A2673" t="s">
        <v>194</v>
      </c>
      <c r="B2673" t="s">
        <v>2833</v>
      </c>
      <c r="C2673">
        <f>"10624"</f>
        <v>0</v>
      </c>
      <c r="D2673">
        <v>0</v>
      </c>
      <c r="E2673">
        <v>0</v>
      </c>
      <c r="F2673" s="2">
        <v>0</v>
      </c>
      <c r="H2673">
        <v>0</v>
      </c>
      <c r="I2673">
        <v>0.1741125760648204</v>
      </c>
      <c r="J2673">
        <v>0</v>
      </c>
      <c r="K2673">
        <v>0</v>
      </c>
      <c r="L2673" s="2">
        <v>0</v>
      </c>
      <c r="M2673">
        <v>29.77</v>
      </c>
      <c r="N2673" t="s">
        <v>10236</v>
      </c>
    </row>
    <row r="2674" spans="1:14">
      <c r="A2674" t="s">
        <v>194</v>
      </c>
      <c r="B2674" t="s">
        <v>2834</v>
      </c>
      <c r="C2674">
        <f>"10617"</f>
        <v>0</v>
      </c>
      <c r="D2674">
        <v>0</v>
      </c>
      <c r="E2674">
        <v>0</v>
      </c>
      <c r="F2674" s="2">
        <v>0</v>
      </c>
      <c r="H2674">
        <v>0</v>
      </c>
      <c r="I2674">
        <v>0.1741125760648204</v>
      </c>
      <c r="J2674">
        <v>0</v>
      </c>
      <c r="K2674">
        <v>0</v>
      </c>
      <c r="L2674" s="2">
        <v>0</v>
      </c>
      <c r="M2674">
        <v>29.78</v>
      </c>
      <c r="N2674" t="s">
        <v>10236</v>
      </c>
    </row>
    <row r="2675" spans="1:14">
      <c r="A2675" t="s">
        <v>194</v>
      </c>
      <c r="B2675" t="s">
        <v>2835</v>
      </c>
      <c r="C2675">
        <f>"10623"</f>
        <v>0</v>
      </c>
      <c r="D2675">
        <v>0</v>
      </c>
      <c r="E2675">
        <v>0</v>
      </c>
      <c r="F2675" s="2">
        <v>0</v>
      </c>
      <c r="H2675">
        <v>0</v>
      </c>
      <c r="I2675">
        <v>0.1741125760648204</v>
      </c>
      <c r="J2675">
        <v>0</v>
      </c>
      <c r="K2675">
        <v>0</v>
      </c>
      <c r="L2675" s="2">
        <v>0</v>
      </c>
      <c r="M2675">
        <v>29.79</v>
      </c>
      <c r="N2675" t="s">
        <v>10236</v>
      </c>
    </row>
    <row r="2676" spans="1:14">
      <c r="A2676" t="s">
        <v>30</v>
      </c>
      <c r="B2676" t="s">
        <v>2836</v>
      </c>
      <c r="C2676">
        <f>"100282"</f>
        <v>0</v>
      </c>
      <c r="D2676">
        <v>0</v>
      </c>
      <c r="E2676">
        <v>2</v>
      </c>
      <c r="F2676" s="2">
        <v>5</v>
      </c>
      <c r="H2676">
        <v>0</v>
      </c>
      <c r="I2676">
        <v>0.1741125760648204</v>
      </c>
      <c r="J2676">
        <v>0</v>
      </c>
      <c r="K2676">
        <v>0</v>
      </c>
      <c r="L2676" s="2">
        <v>0</v>
      </c>
      <c r="M2676">
        <v>29.8</v>
      </c>
      <c r="N2676" t="s">
        <v>10236</v>
      </c>
    </row>
    <row r="2677" spans="1:14">
      <c r="A2677" t="s">
        <v>30</v>
      </c>
      <c r="B2677" t="s">
        <v>2837</v>
      </c>
      <c r="C2677">
        <f>"100456"</f>
        <v>0</v>
      </c>
      <c r="D2677">
        <v>0</v>
      </c>
      <c r="E2677">
        <v>0</v>
      </c>
      <c r="F2677" s="2">
        <v>0</v>
      </c>
      <c r="H2677">
        <v>0</v>
      </c>
      <c r="I2677">
        <v>0.1741125760648204</v>
      </c>
      <c r="J2677">
        <v>0</v>
      </c>
      <c r="K2677">
        <v>0</v>
      </c>
      <c r="L2677" s="2">
        <v>0</v>
      </c>
      <c r="M2677">
        <v>29.81</v>
      </c>
      <c r="N2677" t="s">
        <v>10236</v>
      </c>
    </row>
    <row r="2678" spans="1:14">
      <c r="A2678" t="s">
        <v>224</v>
      </c>
      <c r="B2678" t="s">
        <v>2838</v>
      </c>
      <c r="C2678">
        <f>"ANSADUL20"</f>
        <v>0</v>
      </c>
      <c r="D2678">
        <v>0</v>
      </c>
      <c r="E2678">
        <v>0</v>
      </c>
      <c r="F2678" s="2">
        <v>0</v>
      </c>
      <c r="H2678">
        <v>0</v>
      </c>
      <c r="I2678">
        <v>0.1741125760648204</v>
      </c>
      <c r="J2678">
        <v>0</v>
      </c>
      <c r="K2678">
        <v>0</v>
      </c>
      <c r="L2678" s="2">
        <v>0</v>
      </c>
      <c r="M2678">
        <v>29.82</v>
      </c>
      <c r="N2678" t="s">
        <v>10236</v>
      </c>
    </row>
    <row r="2679" spans="1:14">
      <c r="A2679" t="s">
        <v>35</v>
      </c>
      <c r="B2679" t="s">
        <v>2839</v>
      </c>
      <c r="C2679">
        <f>"B118062XSG"</f>
        <v>0</v>
      </c>
      <c r="D2679">
        <v>0</v>
      </c>
      <c r="E2679">
        <v>1</v>
      </c>
      <c r="F2679" s="2">
        <v>4</v>
      </c>
      <c r="H2679">
        <v>0</v>
      </c>
      <c r="I2679">
        <v>0.1741125760648204</v>
      </c>
      <c r="J2679">
        <v>0</v>
      </c>
      <c r="K2679">
        <v>0</v>
      </c>
      <c r="L2679" s="2">
        <v>0</v>
      </c>
      <c r="M2679">
        <v>29.82</v>
      </c>
      <c r="N2679" t="s">
        <v>10236</v>
      </c>
    </row>
    <row r="2680" spans="1:14">
      <c r="A2680" t="s">
        <v>216</v>
      </c>
      <c r="B2680" t="s">
        <v>2840</v>
      </c>
      <c r="C2680">
        <f>"600800902"</f>
        <v>0</v>
      </c>
      <c r="D2680">
        <v>0</v>
      </c>
      <c r="E2680">
        <v>0</v>
      </c>
      <c r="F2680" s="2">
        <v>0</v>
      </c>
      <c r="H2680">
        <v>0</v>
      </c>
      <c r="I2680">
        <v>0.1741125760648204</v>
      </c>
      <c r="J2680">
        <v>0</v>
      </c>
      <c r="K2680">
        <v>0</v>
      </c>
      <c r="L2680" s="2">
        <v>0</v>
      </c>
      <c r="M2680">
        <v>29.83</v>
      </c>
      <c r="N2680" t="s">
        <v>10236</v>
      </c>
    </row>
    <row r="2681" spans="1:14">
      <c r="A2681" t="s">
        <v>35</v>
      </c>
      <c r="B2681" t="s">
        <v>2841</v>
      </c>
      <c r="C2681">
        <f>"B118062XSR"</f>
        <v>0</v>
      </c>
      <c r="D2681">
        <v>0</v>
      </c>
      <c r="E2681">
        <v>0</v>
      </c>
      <c r="F2681" s="2">
        <v>0</v>
      </c>
      <c r="H2681">
        <v>0</v>
      </c>
      <c r="I2681">
        <v>0.1741125760648204</v>
      </c>
      <c r="J2681">
        <v>0</v>
      </c>
      <c r="K2681">
        <v>0</v>
      </c>
      <c r="L2681" s="2">
        <v>0</v>
      </c>
      <c r="M2681">
        <v>29.84</v>
      </c>
      <c r="N2681" t="s">
        <v>10236</v>
      </c>
    </row>
    <row r="2682" spans="1:14">
      <c r="A2682" t="s">
        <v>216</v>
      </c>
      <c r="B2682" t="s">
        <v>2842</v>
      </c>
      <c r="C2682">
        <f>"600780788"</f>
        <v>0</v>
      </c>
      <c r="D2682">
        <v>0</v>
      </c>
      <c r="E2682">
        <v>0</v>
      </c>
      <c r="F2682" s="2">
        <v>0</v>
      </c>
      <c r="H2682">
        <v>0</v>
      </c>
      <c r="I2682">
        <v>0.1741125760648204</v>
      </c>
      <c r="J2682">
        <v>0</v>
      </c>
      <c r="K2682">
        <v>0</v>
      </c>
      <c r="L2682" s="2">
        <v>0</v>
      </c>
      <c r="M2682">
        <v>29.85</v>
      </c>
      <c r="N2682" t="s">
        <v>10236</v>
      </c>
    </row>
    <row r="2683" spans="1:14">
      <c r="A2683" t="s">
        <v>35</v>
      </c>
      <c r="B2683" t="s">
        <v>2843</v>
      </c>
      <c r="C2683">
        <f>"B19162XLA"</f>
        <v>0</v>
      </c>
      <c r="D2683">
        <v>0</v>
      </c>
      <c r="E2683">
        <v>19</v>
      </c>
      <c r="F2683" s="2">
        <v>10</v>
      </c>
      <c r="H2683">
        <v>0</v>
      </c>
      <c r="I2683">
        <v>0.1741125760648204</v>
      </c>
      <c r="J2683">
        <v>0</v>
      </c>
      <c r="K2683">
        <v>0</v>
      </c>
      <c r="L2683" s="2">
        <v>0</v>
      </c>
      <c r="M2683">
        <v>29.86</v>
      </c>
      <c r="N2683" t="s">
        <v>10236</v>
      </c>
    </row>
    <row r="2684" spans="1:14">
      <c r="A2684" t="s">
        <v>216</v>
      </c>
      <c r="B2684" t="s">
        <v>2844</v>
      </c>
      <c r="C2684">
        <f>"CARASS"</f>
        <v>0</v>
      </c>
      <c r="D2684">
        <v>0</v>
      </c>
      <c r="E2684">
        <v>0</v>
      </c>
      <c r="F2684" s="2">
        <v>0</v>
      </c>
      <c r="H2684">
        <v>0</v>
      </c>
      <c r="I2684">
        <v>0.1741125760648204</v>
      </c>
      <c r="J2684">
        <v>0</v>
      </c>
      <c r="K2684">
        <v>0</v>
      </c>
      <c r="L2684" s="2">
        <v>0</v>
      </c>
      <c r="M2684">
        <v>29.87</v>
      </c>
      <c r="N2684" t="s">
        <v>10236</v>
      </c>
    </row>
    <row r="2685" spans="1:14">
      <c r="A2685" t="s">
        <v>216</v>
      </c>
      <c r="B2685" t="s">
        <v>2845</v>
      </c>
      <c r="C2685">
        <f>"ryukin"</f>
        <v>0</v>
      </c>
      <c r="D2685">
        <v>0</v>
      </c>
      <c r="E2685">
        <v>0</v>
      </c>
      <c r="F2685" s="2">
        <v>0</v>
      </c>
      <c r="H2685">
        <v>0</v>
      </c>
      <c r="I2685">
        <v>0.1741125760648204</v>
      </c>
      <c r="J2685">
        <v>0</v>
      </c>
      <c r="K2685">
        <v>0</v>
      </c>
      <c r="L2685" s="2">
        <v>0</v>
      </c>
      <c r="M2685">
        <v>29.88</v>
      </c>
      <c r="N2685" t="s">
        <v>10236</v>
      </c>
    </row>
    <row r="2686" spans="1:14">
      <c r="A2686" t="s">
        <v>216</v>
      </c>
      <c r="B2686" t="s">
        <v>2846</v>
      </c>
      <c r="C2686">
        <f>"BMACH"</f>
        <v>0</v>
      </c>
      <c r="D2686">
        <v>0</v>
      </c>
      <c r="E2686">
        <v>0</v>
      </c>
      <c r="F2686" s="2">
        <v>0</v>
      </c>
      <c r="H2686">
        <v>0</v>
      </c>
      <c r="I2686">
        <v>0.1741125760648204</v>
      </c>
      <c r="J2686">
        <v>0</v>
      </c>
      <c r="K2686">
        <v>0</v>
      </c>
      <c r="L2686" s="2">
        <v>0</v>
      </c>
      <c r="M2686">
        <v>29.89</v>
      </c>
      <c r="N2686" t="s">
        <v>10236</v>
      </c>
    </row>
    <row r="2687" spans="1:14">
      <c r="A2687" t="s">
        <v>216</v>
      </c>
      <c r="B2687" t="s">
        <v>2846</v>
      </c>
      <c r="C2687">
        <f>"1576892820373"</f>
        <v>0</v>
      </c>
      <c r="D2687">
        <v>0</v>
      </c>
      <c r="E2687">
        <v>0</v>
      </c>
      <c r="F2687" s="2">
        <v>0</v>
      </c>
      <c r="H2687">
        <v>0</v>
      </c>
      <c r="I2687">
        <v>0.1741125760648204</v>
      </c>
      <c r="J2687">
        <v>0</v>
      </c>
      <c r="K2687">
        <v>0</v>
      </c>
      <c r="L2687" s="2">
        <v>0</v>
      </c>
      <c r="M2687">
        <v>29.9</v>
      </c>
      <c r="N2687" t="s">
        <v>10236</v>
      </c>
    </row>
    <row r="2688" spans="1:14">
      <c r="A2688" t="s">
        <v>216</v>
      </c>
      <c r="B2688" t="s">
        <v>2847</v>
      </c>
      <c r="C2688">
        <f>"BHEMB"</f>
        <v>0</v>
      </c>
      <c r="D2688">
        <v>0</v>
      </c>
      <c r="E2688">
        <v>0</v>
      </c>
      <c r="F2688" s="2">
        <v>0</v>
      </c>
      <c r="H2688">
        <v>0</v>
      </c>
      <c r="I2688">
        <v>0.1741125760648204</v>
      </c>
      <c r="J2688">
        <v>0</v>
      </c>
      <c r="K2688">
        <v>0</v>
      </c>
      <c r="L2688" s="2">
        <v>0</v>
      </c>
      <c r="M2688">
        <v>29.91</v>
      </c>
      <c r="N2688" t="s">
        <v>10236</v>
      </c>
    </row>
    <row r="2689" spans="1:14">
      <c r="A2689" t="s">
        <v>194</v>
      </c>
      <c r="B2689" t="s">
        <v>2848</v>
      </c>
      <c r="C2689">
        <f>"200050"</f>
        <v>0</v>
      </c>
      <c r="D2689">
        <v>0</v>
      </c>
      <c r="E2689">
        <v>0</v>
      </c>
      <c r="F2689" s="2">
        <v>0</v>
      </c>
      <c r="H2689">
        <v>0</v>
      </c>
      <c r="I2689">
        <v>0.1741125760648204</v>
      </c>
      <c r="J2689">
        <v>0</v>
      </c>
      <c r="K2689">
        <v>0</v>
      </c>
      <c r="L2689" s="2">
        <v>0</v>
      </c>
      <c r="M2689">
        <v>29.92</v>
      </c>
      <c r="N2689" t="s">
        <v>10236</v>
      </c>
    </row>
    <row r="2690" spans="1:14">
      <c r="A2690" t="s">
        <v>216</v>
      </c>
      <c r="B2690" t="s">
        <v>2849</v>
      </c>
      <c r="C2690">
        <f>"1569517351336"</f>
        <v>0</v>
      </c>
      <c r="D2690">
        <v>0</v>
      </c>
      <c r="E2690">
        <v>0</v>
      </c>
      <c r="F2690" s="2">
        <v>0</v>
      </c>
      <c r="H2690">
        <v>0</v>
      </c>
      <c r="I2690">
        <v>0.1741125760648204</v>
      </c>
      <c r="J2690">
        <v>0</v>
      </c>
      <c r="K2690">
        <v>0</v>
      </c>
      <c r="L2690" s="2">
        <v>0</v>
      </c>
      <c r="M2690">
        <v>29.93</v>
      </c>
      <c r="N2690" t="s">
        <v>10236</v>
      </c>
    </row>
    <row r="2691" spans="1:14">
      <c r="A2691" t="s">
        <v>35</v>
      </c>
      <c r="B2691" t="s">
        <v>2850</v>
      </c>
      <c r="C2691">
        <f>"B19162XLG"</f>
        <v>0</v>
      </c>
      <c r="D2691">
        <v>0</v>
      </c>
      <c r="E2691">
        <v>10</v>
      </c>
      <c r="F2691" s="2">
        <v>10</v>
      </c>
      <c r="H2691">
        <v>0</v>
      </c>
      <c r="I2691">
        <v>0.1741125760648204</v>
      </c>
      <c r="J2691">
        <v>0</v>
      </c>
      <c r="K2691">
        <v>0</v>
      </c>
      <c r="L2691" s="2">
        <v>0</v>
      </c>
      <c r="M2691">
        <v>29.94</v>
      </c>
      <c r="N2691" t="s">
        <v>10236</v>
      </c>
    </row>
    <row r="2692" spans="1:14">
      <c r="A2692" t="s">
        <v>35</v>
      </c>
      <c r="B2692" t="s">
        <v>2851</v>
      </c>
      <c r="C2692">
        <f>"B116003XLA"</f>
        <v>0</v>
      </c>
      <c r="D2692">
        <v>0</v>
      </c>
      <c r="E2692">
        <v>3</v>
      </c>
      <c r="F2692" s="2">
        <v>9</v>
      </c>
      <c r="H2692">
        <v>0</v>
      </c>
      <c r="I2692">
        <v>0.1741125760648204</v>
      </c>
      <c r="J2692">
        <v>0</v>
      </c>
      <c r="K2692">
        <v>0</v>
      </c>
      <c r="L2692" s="2">
        <v>0</v>
      </c>
      <c r="M2692">
        <v>29.94</v>
      </c>
      <c r="N2692" t="s">
        <v>10236</v>
      </c>
    </row>
    <row r="2693" spans="1:14">
      <c r="A2693" t="s">
        <v>216</v>
      </c>
      <c r="B2693" t="s">
        <v>2852</v>
      </c>
      <c r="C2693">
        <f>"1576888638946"</f>
        <v>0</v>
      </c>
      <c r="D2693">
        <v>0</v>
      </c>
      <c r="E2693">
        <v>0</v>
      </c>
      <c r="F2693" s="2">
        <v>0</v>
      </c>
      <c r="H2693">
        <v>0</v>
      </c>
      <c r="I2693">
        <v>0.1741125760648204</v>
      </c>
      <c r="J2693">
        <v>0</v>
      </c>
      <c r="K2693">
        <v>0</v>
      </c>
      <c r="L2693" s="2">
        <v>0</v>
      </c>
      <c r="M2693">
        <v>29.95</v>
      </c>
      <c r="N2693" t="s">
        <v>10236</v>
      </c>
    </row>
    <row r="2694" spans="1:14">
      <c r="A2694" t="s">
        <v>194</v>
      </c>
      <c r="B2694" t="s">
        <v>2853</v>
      </c>
      <c r="C2694">
        <f>"10619"</f>
        <v>0</v>
      </c>
      <c r="D2694">
        <v>0</v>
      </c>
      <c r="E2694">
        <v>0</v>
      </c>
      <c r="F2694" s="2">
        <v>0</v>
      </c>
      <c r="H2694">
        <v>0</v>
      </c>
      <c r="I2694">
        <v>0.1741125760648204</v>
      </c>
      <c r="J2694">
        <v>0</v>
      </c>
      <c r="K2694">
        <v>0</v>
      </c>
      <c r="L2694" s="2">
        <v>0</v>
      </c>
      <c r="M2694">
        <v>29.96</v>
      </c>
      <c r="N2694" t="s">
        <v>10236</v>
      </c>
    </row>
    <row r="2695" spans="1:14">
      <c r="A2695" t="s">
        <v>194</v>
      </c>
      <c r="B2695" t="s">
        <v>2854</v>
      </c>
      <c r="C2695">
        <f>"10614"</f>
        <v>0</v>
      </c>
      <c r="D2695">
        <v>0</v>
      </c>
      <c r="E2695">
        <v>0</v>
      </c>
      <c r="F2695" s="2">
        <v>0</v>
      </c>
      <c r="H2695">
        <v>0</v>
      </c>
      <c r="I2695">
        <v>0.1741125760648204</v>
      </c>
      <c r="J2695">
        <v>0</v>
      </c>
      <c r="K2695">
        <v>0</v>
      </c>
      <c r="L2695" s="2">
        <v>0</v>
      </c>
      <c r="M2695">
        <v>29.97</v>
      </c>
      <c r="N2695" t="s">
        <v>10236</v>
      </c>
    </row>
    <row r="2696" spans="1:14">
      <c r="A2696" t="s">
        <v>35</v>
      </c>
      <c r="B2696" t="s">
        <v>2855</v>
      </c>
      <c r="C2696">
        <f>"B116003XLM"</f>
        <v>0</v>
      </c>
      <c r="D2696">
        <v>0</v>
      </c>
      <c r="E2696">
        <v>2</v>
      </c>
      <c r="F2696" s="2">
        <v>9</v>
      </c>
      <c r="H2696">
        <v>0</v>
      </c>
      <c r="I2696">
        <v>0.1741125760648204</v>
      </c>
      <c r="J2696">
        <v>0</v>
      </c>
      <c r="K2696">
        <v>0</v>
      </c>
      <c r="L2696" s="2">
        <v>0</v>
      </c>
      <c r="M2696">
        <v>29.98</v>
      </c>
      <c r="N2696" t="s">
        <v>10236</v>
      </c>
    </row>
    <row r="2697" spans="1:14">
      <c r="A2697" t="s">
        <v>194</v>
      </c>
      <c r="B2697" t="s">
        <v>2856</v>
      </c>
      <c r="C2697">
        <f>"10620"</f>
        <v>0</v>
      </c>
      <c r="D2697">
        <v>0</v>
      </c>
      <c r="E2697">
        <v>0</v>
      </c>
      <c r="F2697" s="2">
        <v>0</v>
      </c>
      <c r="H2697">
        <v>0</v>
      </c>
      <c r="I2697">
        <v>0.1741125760648204</v>
      </c>
      <c r="J2697">
        <v>0</v>
      </c>
      <c r="K2697">
        <v>0</v>
      </c>
      <c r="L2697" s="2">
        <v>0</v>
      </c>
      <c r="M2697">
        <v>29.99</v>
      </c>
      <c r="N2697" t="s">
        <v>10236</v>
      </c>
    </row>
    <row r="2698" spans="1:14">
      <c r="A2698" t="s">
        <v>35</v>
      </c>
      <c r="B2698" t="s">
        <v>2857</v>
      </c>
      <c r="C2698">
        <f>"B116003XLV"</f>
        <v>0</v>
      </c>
      <c r="D2698">
        <v>0</v>
      </c>
      <c r="E2698">
        <v>2</v>
      </c>
      <c r="F2698" s="2">
        <v>9</v>
      </c>
      <c r="H2698">
        <v>0</v>
      </c>
      <c r="I2698">
        <v>0.1741125760648204</v>
      </c>
      <c r="J2698">
        <v>0</v>
      </c>
      <c r="K2698">
        <v>0</v>
      </c>
      <c r="L2698" s="2">
        <v>0</v>
      </c>
      <c r="M2698">
        <v>30</v>
      </c>
      <c r="N2698" t="s">
        <v>10236</v>
      </c>
    </row>
    <row r="2699" spans="1:14">
      <c r="A2699" t="s">
        <v>194</v>
      </c>
      <c r="B2699" t="s">
        <v>2858</v>
      </c>
      <c r="C2699">
        <f>"102200100"</f>
        <v>0</v>
      </c>
      <c r="D2699">
        <v>0</v>
      </c>
      <c r="E2699">
        <v>0</v>
      </c>
      <c r="F2699" s="2">
        <v>0</v>
      </c>
      <c r="H2699">
        <v>0</v>
      </c>
      <c r="I2699">
        <v>0.1741125760648204</v>
      </c>
      <c r="J2699">
        <v>0</v>
      </c>
      <c r="K2699">
        <v>0</v>
      </c>
      <c r="L2699" s="2">
        <v>0</v>
      </c>
      <c r="M2699">
        <v>30.01</v>
      </c>
      <c r="N2699" t="s">
        <v>10236</v>
      </c>
    </row>
    <row r="2700" spans="1:14">
      <c r="A2700" t="s">
        <v>216</v>
      </c>
      <c r="B2700" t="s">
        <v>2859</v>
      </c>
      <c r="C2700">
        <f>"P012"</f>
        <v>0</v>
      </c>
      <c r="D2700">
        <v>0</v>
      </c>
      <c r="E2700">
        <v>0</v>
      </c>
      <c r="F2700" s="2">
        <v>0</v>
      </c>
      <c r="H2700">
        <v>0</v>
      </c>
      <c r="I2700">
        <v>0.1741125760648204</v>
      </c>
      <c r="J2700">
        <v>0</v>
      </c>
      <c r="K2700">
        <v>0</v>
      </c>
      <c r="L2700" s="2">
        <v>0</v>
      </c>
      <c r="M2700">
        <v>30.02</v>
      </c>
      <c r="N2700" t="s">
        <v>10236</v>
      </c>
    </row>
    <row r="2701" spans="1:14">
      <c r="A2701" t="s">
        <v>35</v>
      </c>
      <c r="B2701" t="s">
        <v>2860</v>
      </c>
      <c r="C2701">
        <f>"AH020009"</f>
        <v>0</v>
      </c>
      <c r="D2701">
        <v>0</v>
      </c>
      <c r="E2701">
        <v>0</v>
      </c>
      <c r="F2701" s="2">
        <v>0</v>
      </c>
      <c r="H2701">
        <v>0</v>
      </c>
      <c r="I2701">
        <v>0.1741125760648204</v>
      </c>
      <c r="J2701">
        <v>0</v>
      </c>
      <c r="K2701">
        <v>0</v>
      </c>
      <c r="L2701" s="2">
        <v>0</v>
      </c>
      <c r="M2701">
        <v>30.03</v>
      </c>
      <c r="N2701" t="s">
        <v>10236</v>
      </c>
    </row>
    <row r="2702" spans="1:14">
      <c r="A2702" t="s">
        <v>35</v>
      </c>
      <c r="B2702" t="s">
        <v>2861</v>
      </c>
      <c r="C2702">
        <f>"9652LA"</f>
        <v>0</v>
      </c>
      <c r="D2702">
        <v>0</v>
      </c>
      <c r="E2702">
        <v>0</v>
      </c>
      <c r="F2702" s="2">
        <v>0</v>
      </c>
      <c r="H2702">
        <v>0</v>
      </c>
      <c r="I2702">
        <v>0.1741125760648204</v>
      </c>
      <c r="J2702">
        <v>0</v>
      </c>
      <c r="K2702">
        <v>0</v>
      </c>
      <c r="L2702" s="2">
        <v>0</v>
      </c>
      <c r="M2702">
        <v>30.04</v>
      </c>
      <c r="N2702" t="s">
        <v>10236</v>
      </c>
    </row>
    <row r="2703" spans="1:14">
      <c r="A2703" t="s">
        <v>35</v>
      </c>
      <c r="B2703" t="s">
        <v>2862</v>
      </c>
      <c r="C2703">
        <f>"YBS8069"</f>
        <v>0</v>
      </c>
      <c r="D2703">
        <v>0</v>
      </c>
      <c r="E2703">
        <v>0</v>
      </c>
      <c r="F2703" s="2">
        <v>0</v>
      </c>
      <c r="H2703">
        <v>0</v>
      </c>
      <c r="I2703">
        <v>0.1741125760648204</v>
      </c>
      <c r="J2703">
        <v>0</v>
      </c>
      <c r="K2703">
        <v>0</v>
      </c>
      <c r="L2703" s="2">
        <v>0</v>
      </c>
      <c r="M2703">
        <v>30.05</v>
      </c>
      <c r="N2703" t="s">
        <v>10236</v>
      </c>
    </row>
    <row r="2704" spans="1:14">
      <c r="A2704" t="s">
        <v>35</v>
      </c>
      <c r="B2704" t="s">
        <v>2863</v>
      </c>
      <c r="C2704">
        <f>"JGSSS"</f>
        <v>0</v>
      </c>
      <c r="D2704">
        <v>0</v>
      </c>
      <c r="E2704">
        <v>1</v>
      </c>
      <c r="F2704" s="2">
        <v>8</v>
      </c>
      <c r="H2704">
        <v>0</v>
      </c>
      <c r="I2704">
        <v>0.1741125760648204</v>
      </c>
      <c r="J2704">
        <v>0</v>
      </c>
      <c r="K2704">
        <v>0</v>
      </c>
      <c r="L2704" s="2">
        <v>0</v>
      </c>
      <c r="M2704">
        <v>30.05</v>
      </c>
      <c r="N2704" t="s">
        <v>10236</v>
      </c>
    </row>
    <row r="2705" spans="1:14">
      <c r="A2705" t="s">
        <v>35</v>
      </c>
      <c r="B2705" t="s">
        <v>2864</v>
      </c>
      <c r="C2705">
        <f>"BOL6"</f>
        <v>0</v>
      </c>
      <c r="D2705">
        <v>0</v>
      </c>
      <c r="E2705">
        <v>0</v>
      </c>
      <c r="F2705" s="2">
        <v>0</v>
      </c>
      <c r="H2705">
        <v>0</v>
      </c>
      <c r="I2705">
        <v>0.1741125760648204</v>
      </c>
      <c r="J2705">
        <v>0</v>
      </c>
      <c r="K2705">
        <v>0</v>
      </c>
      <c r="L2705" s="2">
        <v>0</v>
      </c>
      <c r="M2705">
        <v>30.06</v>
      </c>
      <c r="N2705" t="s">
        <v>10236</v>
      </c>
    </row>
    <row r="2706" spans="1:14">
      <c r="A2706" t="s">
        <v>35</v>
      </c>
      <c r="B2706" t="s">
        <v>2865</v>
      </c>
      <c r="C2706">
        <f>"HDDZ80"</f>
        <v>0</v>
      </c>
      <c r="D2706">
        <v>0</v>
      </c>
      <c r="E2706">
        <v>0</v>
      </c>
      <c r="F2706" s="2">
        <v>0</v>
      </c>
      <c r="H2706">
        <v>0</v>
      </c>
      <c r="I2706">
        <v>0.1741125760648204</v>
      </c>
      <c r="J2706">
        <v>0</v>
      </c>
      <c r="K2706">
        <v>0</v>
      </c>
      <c r="L2706" s="2">
        <v>0</v>
      </c>
      <c r="M2706">
        <v>30.07</v>
      </c>
      <c r="N2706" t="s">
        <v>10236</v>
      </c>
    </row>
    <row r="2707" spans="1:14">
      <c r="A2707" t="s">
        <v>35</v>
      </c>
      <c r="B2707" t="s">
        <v>2866</v>
      </c>
      <c r="C2707">
        <f>"ARECC20"</f>
        <v>0</v>
      </c>
      <c r="D2707">
        <v>0</v>
      </c>
      <c r="E2707">
        <v>0</v>
      </c>
      <c r="F2707" s="2">
        <v>0</v>
      </c>
      <c r="H2707">
        <v>0</v>
      </c>
      <c r="I2707">
        <v>0.1741125760648204</v>
      </c>
      <c r="J2707">
        <v>0</v>
      </c>
      <c r="K2707">
        <v>0</v>
      </c>
      <c r="L2707" s="2">
        <v>0</v>
      </c>
      <c r="M2707">
        <v>30.08</v>
      </c>
      <c r="N2707" t="s">
        <v>10236</v>
      </c>
    </row>
    <row r="2708" spans="1:14">
      <c r="A2708" t="s">
        <v>35</v>
      </c>
      <c r="B2708" t="s">
        <v>2867</v>
      </c>
      <c r="C2708">
        <f>"ARECC10"</f>
        <v>0</v>
      </c>
      <c r="D2708">
        <v>0</v>
      </c>
      <c r="E2708">
        <v>0</v>
      </c>
      <c r="F2708" s="2">
        <v>0</v>
      </c>
      <c r="H2708">
        <v>0</v>
      </c>
      <c r="I2708">
        <v>0.1741125760648204</v>
      </c>
      <c r="J2708">
        <v>0</v>
      </c>
      <c r="K2708">
        <v>0</v>
      </c>
      <c r="L2708" s="2">
        <v>0</v>
      </c>
      <c r="M2708">
        <v>30.09</v>
      </c>
      <c r="N2708" t="s">
        <v>10236</v>
      </c>
    </row>
    <row r="2709" spans="1:14">
      <c r="A2709" t="s">
        <v>35</v>
      </c>
      <c r="B2709" t="s">
        <v>2868</v>
      </c>
      <c r="C2709">
        <f>"HDDZ81"</f>
        <v>0</v>
      </c>
      <c r="D2709">
        <v>0</v>
      </c>
      <c r="E2709">
        <v>0</v>
      </c>
      <c r="F2709" s="2">
        <v>0</v>
      </c>
      <c r="H2709">
        <v>0</v>
      </c>
      <c r="I2709">
        <v>0.1741125760648204</v>
      </c>
      <c r="J2709">
        <v>0</v>
      </c>
      <c r="K2709">
        <v>0</v>
      </c>
      <c r="L2709" s="2">
        <v>0</v>
      </c>
      <c r="M2709">
        <v>30.1</v>
      </c>
      <c r="N2709" t="s">
        <v>10236</v>
      </c>
    </row>
    <row r="2710" spans="1:14">
      <c r="A2710" t="s">
        <v>210</v>
      </c>
      <c r="B2710" t="s">
        <v>2869</v>
      </c>
      <c r="C2710">
        <f>"1408021041"</f>
        <v>0</v>
      </c>
      <c r="D2710">
        <v>0</v>
      </c>
      <c r="E2710">
        <v>0</v>
      </c>
      <c r="F2710" s="2">
        <v>0</v>
      </c>
      <c r="H2710">
        <v>0</v>
      </c>
      <c r="I2710">
        <v>0.1741125760648204</v>
      </c>
      <c r="J2710">
        <v>0</v>
      </c>
      <c r="K2710">
        <v>0</v>
      </c>
      <c r="L2710" s="2">
        <v>0</v>
      </c>
      <c r="M2710">
        <v>30.11</v>
      </c>
      <c r="N2710" t="s">
        <v>10236</v>
      </c>
    </row>
    <row r="2711" spans="1:14">
      <c r="A2711" t="s">
        <v>35</v>
      </c>
      <c r="B2711" t="s">
        <v>2870</v>
      </c>
      <c r="C2711">
        <f>"B1180624XLG"</f>
        <v>0</v>
      </c>
      <c r="D2711">
        <v>0</v>
      </c>
      <c r="E2711">
        <v>1</v>
      </c>
      <c r="F2711" s="2">
        <v>8</v>
      </c>
      <c r="H2711">
        <v>0</v>
      </c>
      <c r="I2711">
        <v>0.1741125760648204</v>
      </c>
      <c r="J2711">
        <v>0</v>
      </c>
      <c r="K2711">
        <v>0</v>
      </c>
      <c r="L2711" s="2">
        <v>0</v>
      </c>
      <c r="M2711">
        <v>30.12</v>
      </c>
      <c r="N2711" t="s">
        <v>10236</v>
      </c>
    </row>
    <row r="2712" spans="1:14">
      <c r="A2712" t="s">
        <v>35</v>
      </c>
      <c r="B2712" t="s">
        <v>2871</v>
      </c>
      <c r="C2712">
        <f>"HDDZ75"</f>
        <v>0</v>
      </c>
      <c r="D2712">
        <v>0</v>
      </c>
      <c r="E2712">
        <v>0</v>
      </c>
      <c r="F2712" s="2">
        <v>0</v>
      </c>
      <c r="H2712">
        <v>0</v>
      </c>
      <c r="I2712">
        <v>0.1741125760648204</v>
      </c>
      <c r="J2712">
        <v>0</v>
      </c>
      <c r="K2712">
        <v>0</v>
      </c>
      <c r="L2712" s="2">
        <v>0</v>
      </c>
      <c r="M2712">
        <v>30.13</v>
      </c>
      <c r="N2712" t="s">
        <v>10236</v>
      </c>
    </row>
    <row r="2713" spans="1:14">
      <c r="A2713" t="s">
        <v>194</v>
      </c>
      <c r="B2713" t="s">
        <v>2872</v>
      </c>
      <c r="C2713">
        <f>"1202100"</f>
        <v>0</v>
      </c>
      <c r="D2713">
        <v>0</v>
      </c>
      <c r="E2713">
        <v>0</v>
      </c>
      <c r="F2713" s="2">
        <v>0</v>
      </c>
      <c r="H2713">
        <v>0</v>
      </c>
      <c r="I2713">
        <v>0.1741125760648204</v>
      </c>
      <c r="J2713">
        <v>0</v>
      </c>
      <c r="K2713">
        <v>0</v>
      </c>
      <c r="L2713" s="2">
        <v>0</v>
      </c>
      <c r="M2713">
        <v>30.14</v>
      </c>
      <c r="N2713" t="s">
        <v>10236</v>
      </c>
    </row>
    <row r="2714" spans="1:14">
      <c r="A2714" t="s">
        <v>225</v>
      </c>
      <c r="B2714" t="s">
        <v>2873</v>
      </c>
      <c r="C2714">
        <f>"ASANA100"</f>
        <v>0</v>
      </c>
      <c r="D2714">
        <v>0</v>
      </c>
      <c r="E2714">
        <v>0</v>
      </c>
      <c r="F2714" s="2">
        <v>0</v>
      </c>
      <c r="H2714">
        <v>0</v>
      </c>
      <c r="I2714">
        <v>0.1741125760648204</v>
      </c>
      <c r="J2714">
        <v>0</v>
      </c>
      <c r="K2714">
        <v>0</v>
      </c>
      <c r="L2714" s="2">
        <v>0</v>
      </c>
      <c r="M2714">
        <v>30.15</v>
      </c>
      <c r="N2714" t="s">
        <v>10236</v>
      </c>
    </row>
    <row r="2715" spans="1:14">
      <c r="A2715" t="s">
        <v>35</v>
      </c>
      <c r="B2715" t="s">
        <v>2874</v>
      </c>
      <c r="C2715">
        <f>"DHO3A"</f>
        <v>0</v>
      </c>
      <c r="D2715">
        <v>0</v>
      </c>
      <c r="E2715">
        <v>0</v>
      </c>
      <c r="F2715" s="2">
        <v>0</v>
      </c>
      <c r="H2715">
        <v>0</v>
      </c>
      <c r="I2715">
        <v>0.1741125760648204</v>
      </c>
      <c r="J2715">
        <v>0</v>
      </c>
      <c r="K2715">
        <v>0</v>
      </c>
      <c r="L2715" s="2">
        <v>0</v>
      </c>
      <c r="M2715">
        <v>30.16</v>
      </c>
      <c r="N2715" t="s">
        <v>10236</v>
      </c>
    </row>
    <row r="2716" spans="1:14">
      <c r="A2716" t="s">
        <v>29</v>
      </c>
      <c r="B2716" t="s">
        <v>2875</v>
      </c>
      <c r="C2716">
        <f>"HRG1000D"</f>
        <v>0</v>
      </c>
      <c r="D2716">
        <v>0</v>
      </c>
      <c r="E2716">
        <v>0</v>
      </c>
      <c r="F2716" s="2">
        <v>0</v>
      </c>
      <c r="H2716">
        <v>0</v>
      </c>
      <c r="I2716">
        <v>0.1741125760648204</v>
      </c>
      <c r="J2716">
        <v>0</v>
      </c>
      <c r="K2716">
        <v>0</v>
      </c>
      <c r="L2716" s="2">
        <v>0</v>
      </c>
      <c r="M2716">
        <v>30.17</v>
      </c>
      <c r="N2716" t="s">
        <v>10236</v>
      </c>
    </row>
    <row r="2717" spans="1:14">
      <c r="A2717" t="s">
        <v>35</v>
      </c>
      <c r="B2717" t="s">
        <v>2876</v>
      </c>
      <c r="C2717">
        <f>"DHO3C"</f>
        <v>0</v>
      </c>
      <c r="D2717">
        <v>0</v>
      </c>
      <c r="E2717">
        <v>0</v>
      </c>
      <c r="F2717" s="2">
        <v>0</v>
      </c>
      <c r="H2717">
        <v>0</v>
      </c>
      <c r="I2717">
        <v>0.1741125760648204</v>
      </c>
      <c r="J2717">
        <v>0</v>
      </c>
      <c r="K2717">
        <v>0</v>
      </c>
      <c r="L2717" s="2">
        <v>0</v>
      </c>
      <c r="M2717">
        <v>30.17</v>
      </c>
      <c r="N2717" t="s">
        <v>10236</v>
      </c>
    </row>
    <row r="2718" spans="1:14">
      <c r="A2718" t="s">
        <v>35</v>
      </c>
      <c r="B2718" t="s">
        <v>2877</v>
      </c>
      <c r="C2718">
        <f>"96588CEL"</f>
        <v>0</v>
      </c>
      <c r="D2718">
        <v>0</v>
      </c>
      <c r="E2718">
        <v>1</v>
      </c>
      <c r="F2718" s="2">
        <v>6</v>
      </c>
      <c r="H2718">
        <v>0</v>
      </c>
      <c r="I2718">
        <v>0.1741125760648204</v>
      </c>
      <c r="J2718">
        <v>0</v>
      </c>
      <c r="K2718">
        <v>0</v>
      </c>
      <c r="L2718" s="2">
        <v>0</v>
      </c>
      <c r="M2718">
        <v>30.18</v>
      </c>
      <c r="N2718" t="s">
        <v>10236</v>
      </c>
    </row>
    <row r="2719" spans="1:14">
      <c r="A2719" t="s">
        <v>29</v>
      </c>
      <c r="B2719" t="s">
        <v>2878</v>
      </c>
      <c r="C2719">
        <f>"HRG1000B"</f>
        <v>0</v>
      </c>
      <c r="D2719">
        <v>0</v>
      </c>
      <c r="E2719">
        <v>0</v>
      </c>
      <c r="F2719" s="2">
        <v>0</v>
      </c>
      <c r="H2719">
        <v>0</v>
      </c>
      <c r="I2719">
        <v>0.1741125760648204</v>
      </c>
      <c r="J2719">
        <v>0</v>
      </c>
      <c r="K2719">
        <v>0</v>
      </c>
      <c r="L2719" s="2">
        <v>0</v>
      </c>
      <c r="M2719">
        <v>30.19</v>
      </c>
      <c r="N2719" t="s">
        <v>10236</v>
      </c>
    </row>
    <row r="2720" spans="1:14">
      <c r="A2720" t="s">
        <v>225</v>
      </c>
      <c r="B2720" t="s">
        <v>2879</v>
      </c>
      <c r="C2720">
        <f>"2100"</f>
        <v>0</v>
      </c>
      <c r="D2720">
        <v>0</v>
      </c>
      <c r="E2720">
        <v>2</v>
      </c>
      <c r="F2720" s="2">
        <v>4</v>
      </c>
      <c r="H2720">
        <v>0</v>
      </c>
      <c r="I2720">
        <v>0.1741125760648204</v>
      </c>
      <c r="J2720">
        <v>0</v>
      </c>
      <c r="K2720">
        <v>0</v>
      </c>
      <c r="L2720" s="2">
        <v>0</v>
      </c>
      <c r="M2720">
        <v>30.2</v>
      </c>
      <c r="N2720" t="s">
        <v>10236</v>
      </c>
    </row>
    <row r="2721" spans="1:14">
      <c r="A2721" t="s">
        <v>29</v>
      </c>
      <c r="B2721" t="s">
        <v>2880</v>
      </c>
      <c r="C2721">
        <f>"34032"</f>
        <v>0</v>
      </c>
      <c r="D2721">
        <v>0</v>
      </c>
      <c r="E2721">
        <v>0</v>
      </c>
      <c r="F2721" s="2">
        <v>0</v>
      </c>
      <c r="H2721">
        <v>0</v>
      </c>
      <c r="I2721">
        <v>0.1741125760648204</v>
      </c>
      <c r="J2721">
        <v>0</v>
      </c>
      <c r="K2721">
        <v>0</v>
      </c>
      <c r="L2721" s="2">
        <v>0</v>
      </c>
      <c r="M2721">
        <v>30.21</v>
      </c>
      <c r="N2721" t="s">
        <v>10236</v>
      </c>
    </row>
    <row r="2722" spans="1:14">
      <c r="A2722" t="s">
        <v>35</v>
      </c>
      <c r="B2722" t="s">
        <v>2881</v>
      </c>
      <c r="C2722">
        <f>"96588ROJ"</f>
        <v>0</v>
      </c>
      <c r="D2722">
        <v>0</v>
      </c>
      <c r="E2722">
        <v>0</v>
      </c>
      <c r="F2722" s="2">
        <v>0</v>
      </c>
      <c r="H2722">
        <v>0</v>
      </c>
      <c r="I2722">
        <v>0.1741125760648204</v>
      </c>
      <c r="J2722">
        <v>0</v>
      </c>
      <c r="K2722">
        <v>0</v>
      </c>
      <c r="L2722" s="2">
        <v>0</v>
      </c>
      <c r="M2722">
        <v>30.22</v>
      </c>
      <c r="N2722" t="s">
        <v>10236</v>
      </c>
    </row>
    <row r="2723" spans="1:14">
      <c r="A2723" t="s">
        <v>194</v>
      </c>
      <c r="B2723" t="s">
        <v>2882</v>
      </c>
      <c r="C2723">
        <f>"2210200"</f>
        <v>0</v>
      </c>
      <c r="D2723">
        <v>0</v>
      </c>
      <c r="E2723">
        <v>0</v>
      </c>
      <c r="F2723" s="2">
        <v>0</v>
      </c>
      <c r="H2723">
        <v>0</v>
      </c>
      <c r="I2723">
        <v>0.1741125760648204</v>
      </c>
      <c r="J2723">
        <v>0</v>
      </c>
      <c r="K2723">
        <v>0</v>
      </c>
      <c r="L2723" s="2">
        <v>0</v>
      </c>
      <c r="M2723">
        <v>30.23</v>
      </c>
      <c r="N2723" t="s">
        <v>10236</v>
      </c>
    </row>
    <row r="2724" spans="1:14">
      <c r="A2724" t="s">
        <v>35</v>
      </c>
      <c r="B2724" t="s">
        <v>2883</v>
      </c>
      <c r="C2724">
        <f>"KL12"</f>
        <v>0</v>
      </c>
      <c r="D2724">
        <v>0</v>
      </c>
      <c r="E2724">
        <v>39</v>
      </c>
      <c r="F2724" s="2">
        <v>3</v>
      </c>
      <c r="H2724">
        <v>0</v>
      </c>
      <c r="I2724">
        <v>0.1741125760648204</v>
      </c>
      <c r="J2724">
        <v>0</v>
      </c>
      <c r="K2724">
        <v>0</v>
      </c>
      <c r="L2724" s="2">
        <v>0</v>
      </c>
      <c r="M2724">
        <v>30.24</v>
      </c>
      <c r="N2724" t="s">
        <v>10236</v>
      </c>
    </row>
    <row r="2725" spans="1:14">
      <c r="A2725" t="s">
        <v>35</v>
      </c>
      <c r="B2725" t="s">
        <v>2884</v>
      </c>
      <c r="C2725">
        <f>"JY06"</f>
        <v>0</v>
      </c>
      <c r="D2725">
        <v>0</v>
      </c>
      <c r="E2725">
        <v>2</v>
      </c>
      <c r="F2725" s="2">
        <v>2</v>
      </c>
      <c r="H2725">
        <v>0</v>
      </c>
      <c r="I2725">
        <v>0.1741125760648204</v>
      </c>
      <c r="J2725">
        <v>0</v>
      </c>
      <c r="K2725">
        <v>0</v>
      </c>
      <c r="L2725" s="2">
        <v>0</v>
      </c>
      <c r="M2725">
        <v>30.25</v>
      </c>
      <c r="N2725" t="s">
        <v>10236</v>
      </c>
    </row>
    <row r="2726" spans="1:14">
      <c r="A2726" t="s">
        <v>35</v>
      </c>
      <c r="B2726" t="s">
        <v>2885</v>
      </c>
      <c r="C2726">
        <f>"DR124"</f>
        <v>0</v>
      </c>
      <c r="D2726">
        <v>0</v>
      </c>
      <c r="E2726">
        <v>0</v>
      </c>
      <c r="F2726" s="2">
        <v>0</v>
      </c>
      <c r="H2726">
        <v>0</v>
      </c>
      <c r="I2726">
        <v>0.1741125760648204</v>
      </c>
      <c r="J2726">
        <v>0</v>
      </c>
      <c r="K2726">
        <v>0</v>
      </c>
      <c r="L2726" s="2">
        <v>0</v>
      </c>
      <c r="M2726">
        <v>30.26</v>
      </c>
      <c r="N2726" t="s">
        <v>10236</v>
      </c>
    </row>
    <row r="2727" spans="1:14">
      <c r="A2727" t="s">
        <v>196</v>
      </c>
      <c r="B2727" t="s">
        <v>2886</v>
      </c>
      <c r="C2727">
        <f>"2440"</f>
        <v>0</v>
      </c>
      <c r="D2727">
        <v>0</v>
      </c>
      <c r="E2727">
        <v>0</v>
      </c>
      <c r="F2727" s="2">
        <v>0</v>
      </c>
      <c r="H2727">
        <v>0</v>
      </c>
      <c r="I2727">
        <v>0.1741125760648204</v>
      </c>
      <c r="J2727">
        <v>0</v>
      </c>
      <c r="K2727">
        <v>0</v>
      </c>
      <c r="L2727" s="2">
        <v>0</v>
      </c>
      <c r="M2727">
        <v>30.27</v>
      </c>
      <c r="N2727" t="s">
        <v>10236</v>
      </c>
    </row>
    <row r="2728" spans="1:14">
      <c r="A2728" t="s">
        <v>35</v>
      </c>
      <c r="B2728" t="s">
        <v>2887</v>
      </c>
      <c r="C2728">
        <f>"LWT0090"</f>
        <v>0</v>
      </c>
      <c r="D2728">
        <v>0</v>
      </c>
      <c r="E2728">
        <v>0</v>
      </c>
      <c r="F2728" s="2">
        <v>0</v>
      </c>
      <c r="H2728">
        <v>0</v>
      </c>
      <c r="I2728">
        <v>0.1741125760648204</v>
      </c>
      <c r="J2728">
        <v>0</v>
      </c>
      <c r="K2728">
        <v>0</v>
      </c>
      <c r="L2728" s="2">
        <v>0</v>
      </c>
      <c r="M2728">
        <v>30.28</v>
      </c>
      <c r="N2728" t="s">
        <v>10236</v>
      </c>
    </row>
    <row r="2729" spans="1:14">
      <c r="A2729" t="s">
        <v>35</v>
      </c>
      <c r="B2729" t="s">
        <v>2888</v>
      </c>
      <c r="C2729">
        <f>"LO75502"</f>
        <v>0</v>
      </c>
      <c r="D2729">
        <v>0</v>
      </c>
      <c r="E2729">
        <v>0</v>
      </c>
      <c r="F2729" s="2">
        <v>0</v>
      </c>
      <c r="H2729">
        <v>0</v>
      </c>
      <c r="I2729">
        <v>0.1741125760648204</v>
      </c>
      <c r="J2729">
        <v>0</v>
      </c>
      <c r="K2729">
        <v>0</v>
      </c>
      <c r="L2729" s="2">
        <v>0</v>
      </c>
      <c r="M2729">
        <v>30.29</v>
      </c>
      <c r="N2729" t="s">
        <v>10236</v>
      </c>
    </row>
    <row r="2730" spans="1:14">
      <c r="A2730" t="s">
        <v>35</v>
      </c>
      <c r="B2730" t="s">
        <v>2889</v>
      </c>
      <c r="C2730">
        <f>"lwt0180"</f>
        <v>0</v>
      </c>
      <c r="D2730">
        <v>0</v>
      </c>
      <c r="E2730">
        <v>0</v>
      </c>
      <c r="F2730" s="2">
        <v>0</v>
      </c>
      <c r="H2730">
        <v>0</v>
      </c>
      <c r="I2730">
        <v>0.1741125760648204</v>
      </c>
      <c r="J2730">
        <v>0</v>
      </c>
      <c r="K2730">
        <v>0</v>
      </c>
      <c r="L2730" s="2">
        <v>0</v>
      </c>
      <c r="M2730">
        <v>30.29</v>
      </c>
      <c r="N2730" t="s">
        <v>10236</v>
      </c>
    </row>
    <row r="2731" spans="1:14">
      <c r="A2731" t="s">
        <v>35</v>
      </c>
      <c r="B2731" t="s">
        <v>2890</v>
      </c>
      <c r="C2731">
        <f>"LWT0177"</f>
        <v>0</v>
      </c>
      <c r="D2731">
        <v>0</v>
      </c>
      <c r="E2731">
        <v>0</v>
      </c>
      <c r="F2731" s="2">
        <v>0</v>
      </c>
      <c r="H2731">
        <v>0</v>
      </c>
      <c r="I2731">
        <v>0.1741125760648204</v>
      </c>
      <c r="J2731">
        <v>0</v>
      </c>
      <c r="K2731">
        <v>0</v>
      </c>
      <c r="L2731" s="2">
        <v>0</v>
      </c>
      <c r="M2731">
        <v>30.3</v>
      </c>
      <c r="N2731" t="s">
        <v>10236</v>
      </c>
    </row>
    <row r="2732" spans="1:14">
      <c r="A2732" t="s">
        <v>35</v>
      </c>
      <c r="B2732" t="s">
        <v>2891</v>
      </c>
      <c r="C2732">
        <f>"JPPS"</f>
        <v>0</v>
      </c>
      <c r="D2732">
        <v>0</v>
      </c>
      <c r="E2732">
        <v>0</v>
      </c>
      <c r="F2732" s="2">
        <v>0</v>
      </c>
      <c r="H2732">
        <v>0</v>
      </c>
      <c r="I2732">
        <v>0.1741125760648204</v>
      </c>
      <c r="J2732">
        <v>0</v>
      </c>
      <c r="K2732">
        <v>0</v>
      </c>
      <c r="L2732" s="2">
        <v>0</v>
      </c>
      <c r="M2732">
        <v>30.31</v>
      </c>
      <c r="N2732" t="s">
        <v>10236</v>
      </c>
    </row>
    <row r="2733" spans="1:14">
      <c r="A2733" t="s">
        <v>35</v>
      </c>
      <c r="B2733" t="s">
        <v>2892</v>
      </c>
      <c r="C2733">
        <f>"LO75505"</f>
        <v>0</v>
      </c>
      <c r="D2733">
        <v>0</v>
      </c>
      <c r="E2733">
        <v>0</v>
      </c>
      <c r="F2733" s="2">
        <v>0</v>
      </c>
      <c r="H2733">
        <v>0</v>
      </c>
      <c r="I2733">
        <v>0.1741125760648204</v>
      </c>
      <c r="J2733">
        <v>0</v>
      </c>
      <c r="K2733">
        <v>0</v>
      </c>
      <c r="L2733" s="2">
        <v>0</v>
      </c>
      <c r="M2733">
        <v>30.32</v>
      </c>
      <c r="N2733" t="s">
        <v>10236</v>
      </c>
    </row>
    <row r="2734" spans="1:14">
      <c r="A2734" t="s">
        <v>35</v>
      </c>
      <c r="B2734" t="s">
        <v>2893</v>
      </c>
      <c r="C2734">
        <f>"RK50"</f>
        <v>0</v>
      </c>
      <c r="D2734">
        <v>0</v>
      </c>
      <c r="E2734">
        <v>3</v>
      </c>
      <c r="F2734" s="2">
        <v>14</v>
      </c>
      <c r="H2734">
        <v>0</v>
      </c>
      <c r="I2734">
        <v>0.1741125760648204</v>
      </c>
      <c r="J2734">
        <v>0</v>
      </c>
      <c r="K2734">
        <v>0</v>
      </c>
      <c r="L2734" s="2">
        <v>0</v>
      </c>
      <c r="M2734">
        <v>30.33</v>
      </c>
      <c r="N2734" t="s">
        <v>10236</v>
      </c>
    </row>
    <row r="2735" spans="1:14">
      <c r="A2735" t="s">
        <v>35</v>
      </c>
      <c r="B2735" t="s">
        <v>2894</v>
      </c>
      <c r="C2735">
        <f>"LO75503"</f>
        <v>0</v>
      </c>
      <c r="D2735">
        <v>0</v>
      </c>
      <c r="E2735">
        <v>0</v>
      </c>
      <c r="F2735" s="2">
        <v>0</v>
      </c>
      <c r="H2735">
        <v>0</v>
      </c>
      <c r="I2735">
        <v>0.1741125760648204</v>
      </c>
      <c r="J2735">
        <v>0</v>
      </c>
      <c r="K2735">
        <v>0</v>
      </c>
      <c r="L2735" s="2">
        <v>0</v>
      </c>
      <c r="M2735">
        <v>30.34</v>
      </c>
      <c r="N2735" t="s">
        <v>10236</v>
      </c>
    </row>
    <row r="2736" spans="1:14">
      <c r="A2736" t="s">
        <v>35</v>
      </c>
      <c r="B2736" t="s">
        <v>2895</v>
      </c>
      <c r="C2736">
        <f>"LO75532"</f>
        <v>0</v>
      </c>
      <c r="D2736">
        <v>0</v>
      </c>
      <c r="E2736">
        <v>0</v>
      </c>
      <c r="F2736" s="2">
        <v>0</v>
      </c>
      <c r="H2736">
        <v>0</v>
      </c>
      <c r="I2736">
        <v>0.1741125760648204</v>
      </c>
      <c r="J2736">
        <v>0</v>
      </c>
      <c r="K2736">
        <v>0</v>
      </c>
      <c r="L2736" s="2">
        <v>0</v>
      </c>
      <c r="M2736">
        <v>30.35</v>
      </c>
      <c r="N2736" t="s">
        <v>10236</v>
      </c>
    </row>
    <row r="2737" spans="1:14">
      <c r="A2737" t="s">
        <v>35</v>
      </c>
      <c r="B2737" t="s">
        <v>2896</v>
      </c>
      <c r="C2737">
        <f>"971314"</f>
        <v>0</v>
      </c>
      <c r="D2737">
        <v>0</v>
      </c>
      <c r="E2737">
        <v>2</v>
      </c>
      <c r="F2737" s="2">
        <v>1</v>
      </c>
      <c r="H2737">
        <v>0</v>
      </c>
      <c r="I2737">
        <v>0.1741125760648204</v>
      </c>
      <c r="J2737">
        <v>0</v>
      </c>
      <c r="K2737">
        <v>0</v>
      </c>
      <c r="L2737" s="2">
        <v>0</v>
      </c>
      <c r="M2737">
        <v>30.36</v>
      </c>
      <c r="N2737" t="s">
        <v>10236</v>
      </c>
    </row>
    <row r="2738" spans="1:14">
      <c r="A2738" t="s">
        <v>35</v>
      </c>
      <c r="B2738" t="s">
        <v>2897</v>
      </c>
      <c r="C2738">
        <f>"PGDT064NAR"</f>
        <v>0</v>
      </c>
      <c r="D2738">
        <v>0</v>
      </c>
      <c r="E2738">
        <v>0</v>
      </c>
      <c r="F2738" s="2">
        <v>0</v>
      </c>
      <c r="H2738">
        <v>0</v>
      </c>
      <c r="I2738">
        <v>0.1741125760648204</v>
      </c>
      <c r="J2738">
        <v>0</v>
      </c>
      <c r="K2738">
        <v>0</v>
      </c>
      <c r="L2738" s="2">
        <v>0</v>
      </c>
      <c r="M2738">
        <v>30.37</v>
      </c>
      <c r="N2738" t="s">
        <v>10236</v>
      </c>
    </row>
    <row r="2739" spans="1:14">
      <c r="A2739" t="s">
        <v>35</v>
      </c>
      <c r="B2739" t="s">
        <v>2898</v>
      </c>
      <c r="C2739">
        <f>"PGDT064AZ"</f>
        <v>0</v>
      </c>
      <c r="D2739">
        <v>0</v>
      </c>
      <c r="E2739">
        <v>0</v>
      </c>
      <c r="F2739" s="2">
        <v>0</v>
      </c>
      <c r="H2739">
        <v>0</v>
      </c>
      <c r="I2739">
        <v>0.1741125760648204</v>
      </c>
      <c r="J2739">
        <v>0</v>
      </c>
      <c r="K2739">
        <v>0</v>
      </c>
      <c r="L2739" s="2">
        <v>0</v>
      </c>
      <c r="M2739">
        <v>30.38</v>
      </c>
      <c r="N2739" t="s">
        <v>10236</v>
      </c>
    </row>
    <row r="2740" spans="1:14">
      <c r="A2740" t="s">
        <v>35</v>
      </c>
      <c r="B2740" t="s">
        <v>2899</v>
      </c>
      <c r="C2740">
        <f>"KL03"</f>
        <v>0</v>
      </c>
      <c r="D2740">
        <v>0</v>
      </c>
      <c r="E2740">
        <v>33</v>
      </c>
      <c r="F2740" s="2">
        <v>2</v>
      </c>
      <c r="H2740">
        <v>0</v>
      </c>
      <c r="I2740">
        <v>0.1741125760648204</v>
      </c>
      <c r="J2740">
        <v>0</v>
      </c>
      <c r="K2740">
        <v>0</v>
      </c>
      <c r="L2740" s="2">
        <v>0</v>
      </c>
      <c r="M2740">
        <v>30.39</v>
      </c>
      <c r="N2740" t="s">
        <v>10236</v>
      </c>
    </row>
    <row r="2741" spans="1:14">
      <c r="A2741" t="s">
        <v>35</v>
      </c>
      <c r="B2741" t="s">
        <v>2900</v>
      </c>
      <c r="C2741">
        <f>"XQG01ROS"</f>
        <v>0</v>
      </c>
      <c r="D2741">
        <v>0</v>
      </c>
      <c r="E2741">
        <v>0</v>
      </c>
      <c r="F2741" s="2">
        <v>0</v>
      </c>
      <c r="H2741">
        <v>0</v>
      </c>
      <c r="I2741">
        <v>0.1741125760648204</v>
      </c>
      <c r="J2741">
        <v>0</v>
      </c>
      <c r="K2741">
        <v>0</v>
      </c>
      <c r="L2741" s="2">
        <v>0</v>
      </c>
      <c r="M2741">
        <v>30.4</v>
      </c>
      <c r="N2741" t="s">
        <v>10236</v>
      </c>
    </row>
    <row r="2742" spans="1:14">
      <c r="A2742" t="s">
        <v>35</v>
      </c>
      <c r="B2742" t="s">
        <v>2901</v>
      </c>
      <c r="C2742">
        <f>"KL02"</f>
        <v>0</v>
      </c>
      <c r="D2742">
        <v>0</v>
      </c>
      <c r="E2742">
        <v>0</v>
      </c>
      <c r="F2742" s="2">
        <v>0</v>
      </c>
      <c r="H2742">
        <v>0</v>
      </c>
      <c r="I2742">
        <v>0.1741125760648204</v>
      </c>
      <c r="J2742">
        <v>0</v>
      </c>
      <c r="K2742">
        <v>0</v>
      </c>
      <c r="L2742" s="2">
        <v>0</v>
      </c>
      <c r="M2742">
        <v>30.41</v>
      </c>
      <c r="N2742" t="s">
        <v>10236</v>
      </c>
    </row>
    <row r="2743" spans="1:14">
      <c r="A2743" t="s">
        <v>35</v>
      </c>
      <c r="B2743" t="s">
        <v>2902</v>
      </c>
      <c r="C2743">
        <f>"KL01"</f>
        <v>0</v>
      </c>
      <c r="D2743">
        <v>0</v>
      </c>
      <c r="E2743">
        <v>0</v>
      </c>
      <c r="F2743" s="2">
        <v>0</v>
      </c>
      <c r="H2743">
        <v>0</v>
      </c>
      <c r="I2743">
        <v>0.1741125760648204</v>
      </c>
      <c r="J2743">
        <v>0</v>
      </c>
      <c r="K2743">
        <v>0</v>
      </c>
      <c r="L2743" s="2">
        <v>0</v>
      </c>
      <c r="M2743">
        <v>30.41</v>
      </c>
      <c r="N2743" t="s">
        <v>10236</v>
      </c>
    </row>
    <row r="2744" spans="1:14">
      <c r="A2744" t="s">
        <v>35</v>
      </c>
      <c r="B2744" t="s">
        <v>2903</v>
      </c>
      <c r="C2744">
        <f>"XQG01VE"</f>
        <v>0</v>
      </c>
      <c r="D2744">
        <v>0</v>
      </c>
      <c r="E2744">
        <v>0</v>
      </c>
      <c r="F2744" s="2">
        <v>0</v>
      </c>
      <c r="H2744">
        <v>0</v>
      </c>
      <c r="I2744">
        <v>0.1741125760648204</v>
      </c>
      <c r="J2744">
        <v>0</v>
      </c>
      <c r="K2744">
        <v>0</v>
      </c>
      <c r="L2744" s="2">
        <v>0</v>
      </c>
      <c r="M2744">
        <v>30.42</v>
      </c>
      <c r="N2744" t="s">
        <v>10236</v>
      </c>
    </row>
    <row r="2745" spans="1:14">
      <c r="A2745" t="s">
        <v>35</v>
      </c>
      <c r="B2745" t="s">
        <v>2904</v>
      </c>
      <c r="C2745">
        <f>"1549572179867"</f>
        <v>0</v>
      </c>
      <c r="D2745">
        <v>0</v>
      </c>
      <c r="E2745">
        <v>0</v>
      </c>
      <c r="F2745" s="2">
        <v>0</v>
      </c>
      <c r="H2745">
        <v>0</v>
      </c>
      <c r="I2745">
        <v>0.1741125760648204</v>
      </c>
      <c r="J2745">
        <v>0</v>
      </c>
      <c r="K2745">
        <v>0</v>
      </c>
      <c r="L2745" s="2">
        <v>0</v>
      </c>
      <c r="M2745">
        <v>30.43</v>
      </c>
      <c r="N2745" t="s">
        <v>10236</v>
      </c>
    </row>
    <row r="2746" spans="1:14">
      <c r="A2746" t="s">
        <v>35</v>
      </c>
      <c r="B2746" t="s">
        <v>2905</v>
      </c>
      <c r="C2746">
        <f>"PGDT064ROJ"</f>
        <v>0</v>
      </c>
      <c r="D2746">
        <v>0</v>
      </c>
      <c r="E2746">
        <v>2</v>
      </c>
      <c r="F2746" s="2">
        <v>4</v>
      </c>
      <c r="H2746">
        <v>0</v>
      </c>
      <c r="I2746">
        <v>0.1741125760648204</v>
      </c>
      <c r="J2746">
        <v>0</v>
      </c>
      <c r="K2746">
        <v>0</v>
      </c>
      <c r="L2746" s="2">
        <v>0</v>
      </c>
      <c r="M2746">
        <v>30.44</v>
      </c>
      <c r="N2746" t="s">
        <v>10236</v>
      </c>
    </row>
    <row r="2747" spans="1:14">
      <c r="A2747" t="s">
        <v>35</v>
      </c>
      <c r="B2747" t="s">
        <v>2906</v>
      </c>
      <c r="C2747">
        <f>"D4642"</f>
        <v>0</v>
      </c>
      <c r="D2747">
        <v>0</v>
      </c>
      <c r="E2747">
        <v>0</v>
      </c>
      <c r="F2747" s="2">
        <v>0</v>
      </c>
      <c r="H2747">
        <v>0</v>
      </c>
      <c r="I2747">
        <v>0.1741125760648204</v>
      </c>
      <c r="J2747">
        <v>0</v>
      </c>
      <c r="K2747">
        <v>0</v>
      </c>
      <c r="L2747" s="2">
        <v>0</v>
      </c>
      <c r="M2747">
        <v>30.45</v>
      </c>
      <c r="N2747" t="s">
        <v>10236</v>
      </c>
    </row>
    <row r="2748" spans="1:14">
      <c r="A2748" t="s">
        <v>35</v>
      </c>
      <c r="B2748" t="s">
        <v>2907</v>
      </c>
      <c r="C2748">
        <f>"D4644"</f>
        <v>0</v>
      </c>
      <c r="D2748">
        <v>0</v>
      </c>
      <c r="E2748">
        <v>0</v>
      </c>
      <c r="F2748" s="2">
        <v>0</v>
      </c>
      <c r="H2748">
        <v>0</v>
      </c>
      <c r="I2748">
        <v>0.1741125760648204</v>
      </c>
      <c r="J2748">
        <v>0</v>
      </c>
      <c r="K2748">
        <v>0</v>
      </c>
      <c r="L2748" s="2">
        <v>0</v>
      </c>
      <c r="M2748">
        <v>30.46</v>
      </c>
      <c r="N2748" t="s">
        <v>10236</v>
      </c>
    </row>
    <row r="2749" spans="1:14">
      <c r="A2749" t="s">
        <v>35</v>
      </c>
      <c r="B2749" t="s">
        <v>2908</v>
      </c>
      <c r="C2749">
        <f>"NO45ROS"</f>
        <v>0</v>
      </c>
      <c r="D2749">
        <v>0</v>
      </c>
      <c r="E2749">
        <v>0</v>
      </c>
      <c r="F2749" s="2">
        <v>0</v>
      </c>
      <c r="H2749">
        <v>0</v>
      </c>
      <c r="I2749">
        <v>0.1741125760648204</v>
      </c>
      <c r="J2749">
        <v>0</v>
      </c>
      <c r="K2749">
        <v>0</v>
      </c>
      <c r="L2749" s="2">
        <v>0</v>
      </c>
      <c r="M2749">
        <v>30.47</v>
      </c>
      <c r="N2749" t="s">
        <v>10236</v>
      </c>
    </row>
    <row r="2750" spans="1:14">
      <c r="A2750" t="s">
        <v>35</v>
      </c>
      <c r="B2750" t="s">
        <v>2909</v>
      </c>
      <c r="C2750">
        <f>"SDR243"</f>
        <v>0</v>
      </c>
      <c r="D2750">
        <v>0</v>
      </c>
      <c r="E2750">
        <v>1</v>
      </c>
      <c r="F2750" s="2">
        <v>2</v>
      </c>
      <c r="H2750">
        <v>0</v>
      </c>
      <c r="I2750">
        <v>0.1741125760648204</v>
      </c>
      <c r="J2750">
        <v>0</v>
      </c>
      <c r="K2750">
        <v>0</v>
      </c>
      <c r="L2750" s="2">
        <v>0</v>
      </c>
      <c r="M2750">
        <v>30.48</v>
      </c>
      <c r="N2750" t="s">
        <v>10236</v>
      </c>
    </row>
    <row r="2751" spans="1:14">
      <c r="A2751" t="s">
        <v>35</v>
      </c>
      <c r="B2751" t="s">
        <v>2910</v>
      </c>
      <c r="C2751">
        <f>"9640da"</f>
        <v>0</v>
      </c>
      <c r="D2751">
        <v>0</v>
      </c>
      <c r="E2751">
        <v>0</v>
      </c>
      <c r="F2751" s="2">
        <v>0</v>
      </c>
      <c r="H2751">
        <v>0</v>
      </c>
      <c r="I2751">
        <v>0.1741125760648204</v>
      </c>
      <c r="J2751">
        <v>0</v>
      </c>
      <c r="K2751">
        <v>0</v>
      </c>
      <c r="L2751" s="2">
        <v>0</v>
      </c>
      <c r="M2751">
        <v>30.49</v>
      </c>
      <c r="N2751" t="s">
        <v>10236</v>
      </c>
    </row>
    <row r="2752" spans="1:14">
      <c r="A2752" t="s">
        <v>35</v>
      </c>
      <c r="B2752" t="s">
        <v>2911</v>
      </c>
      <c r="C2752">
        <f>"SDR252"</f>
        <v>0</v>
      </c>
      <c r="D2752">
        <v>0</v>
      </c>
      <c r="E2752">
        <v>0</v>
      </c>
      <c r="F2752" s="2">
        <v>0</v>
      </c>
      <c r="H2752">
        <v>0</v>
      </c>
      <c r="I2752">
        <v>0.1741125760648204</v>
      </c>
      <c r="J2752">
        <v>0</v>
      </c>
      <c r="K2752">
        <v>0</v>
      </c>
      <c r="L2752" s="2">
        <v>0</v>
      </c>
      <c r="M2752">
        <v>30.5</v>
      </c>
      <c r="N2752" t="s">
        <v>10236</v>
      </c>
    </row>
    <row r="2753" spans="1:14">
      <c r="A2753" t="s">
        <v>35</v>
      </c>
      <c r="B2753" t="s">
        <v>2912</v>
      </c>
      <c r="C2753">
        <f>"ER134"</f>
        <v>0</v>
      </c>
      <c r="D2753">
        <v>0</v>
      </c>
      <c r="E2753">
        <v>35</v>
      </c>
      <c r="F2753" s="2">
        <v>4</v>
      </c>
      <c r="H2753">
        <v>0</v>
      </c>
      <c r="I2753">
        <v>0.1741125760648204</v>
      </c>
      <c r="J2753">
        <v>0</v>
      </c>
      <c r="K2753">
        <v>0</v>
      </c>
      <c r="L2753" s="2">
        <v>0</v>
      </c>
      <c r="M2753">
        <v>30.51</v>
      </c>
      <c r="N2753" t="s">
        <v>10236</v>
      </c>
    </row>
    <row r="2754" spans="1:14">
      <c r="A2754" t="s">
        <v>35</v>
      </c>
      <c r="B2754" t="s">
        <v>2913</v>
      </c>
      <c r="C2754">
        <f>"ER023"</f>
        <v>0</v>
      </c>
      <c r="D2754">
        <v>0</v>
      </c>
      <c r="E2754">
        <v>0</v>
      </c>
      <c r="F2754" s="2">
        <v>0</v>
      </c>
      <c r="H2754">
        <v>0</v>
      </c>
      <c r="I2754">
        <v>0.1741125760648204</v>
      </c>
      <c r="J2754">
        <v>0</v>
      </c>
      <c r="K2754">
        <v>0</v>
      </c>
      <c r="L2754" s="2">
        <v>0</v>
      </c>
      <c r="M2754">
        <v>30.52</v>
      </c>
      <c r="N2754" t="s">
        <v>10236</v>
      </c>
    </row>
    <row r="2755" spans="1:14">
      <c r="A2755" t="s">
        <v>35</v>
      </c>
      <c r="B2755" t="s">
        <v>2914</v>
      </c>
      <c r="C2755">
        <f>"CTB9"</f>
        <v>0</v>
      </c>
      <c r="D2755">
        <v>0</v>
      </c>
      <c r="E2755">
        <v>0</v>
      </c>
      <c r="F2755" s="2">
        <v>0</v>
      </c>
      <c r="H2755">
        <v>0</v>
      </c>
      <c r="I2755">
        <v>0.1741125760648204</v>
      </c>
      <c r="J2755">
        <v>0</v>
      </c>
      <c r="K2755">
        <v>0</v>
      </c>
      <c r="L2755" s="2">
        <v>0</v>
      </c>
      <c r="M2755">
        <v>30.52</v>
      </c>
      <c r="N2755" t="s">
        <v>10236</v>
      </c>
    </row>
    <row r="2756" spans="1:14">
      <c r="A2756" t="s">
        <v>35</v>
      </c>
      <c r="B2756" t="s">
        <v>2915</v>
      </c>
      <c r="C2756">
        <f>"970312"</f>
        <v>0</v>
      </c>
      <c r="D2756">
        <v>0</v>
      </c>
      <c r="E2756">
        <v>2</v>
      </c>
      <c r="F2756" s="2">
        <v>2</v>
      </c>
      <c r="H2756">
        <v>0</v>
      </c>
      <c r="I2756">
        <v>0.1741125760648204</v>
      </c>
      <c r="J2756">
        <v>0</v>
      </c>
      <c r="K2756">
        <v>0</v>
      </c>
      <c r="L2756" s="2">
        <v>0</v>
      </c>
      <c r="M2756">
        <v>30.53</v>
      </c>
      <c r="N2756" t="s">
        <v>10236</v>
      </c>
    </row>
    <row r="2757" spans="1:14">
      <c r="A2757" t="s">
        <v>35</v>
      </c>
      <c r="B2757" t="s">
        <v>2916</v>
      </c>
      <c r="C2757">
        <f>"LWT0176"</f>
        <v>0</v>
      </c>
      <c r="D2757">
        <v>0</v>
      </c>
      <c r="E2757">
        <v>0</v>
      </c>
      <c r="F2757" s="2">
        <v>0</v>
      </c>
      <c r="H2757">
        <v>0</v>
      </c>
      <c r="I2757">
        <v>0.1741125760648204</v>
      </c>
      <c r="J2757">
        <v>0</v>
      </c>
      <c r="K2757">
        <v>0</v>
      </c>
      <c r="L2757" s="2">
        <v>0</v>
      </c>
      <c r="M2757">
        <v>30.54</v>
      </c>
      <c r="N2757" t="s">
        <v>10236</v>
      </c>
    </row>
    <row r="2758" spans="1:14">
      <c r="A2758" t="s">
        <v>35</v>
      </c>
      <c r="B2758" t="s">
        <v>2917</v>
      </c>
      <c r="C2758">
        <f>"h001"</f>
        <v>0</v>
      </c>
      <c r="D2758">
        <v>0</v>
      </c>
      <c r="E2758">
        <v>0</v>
      </c>
      <c r="F2758" s="2">
        <v>0</v>
      </c>
      <c r="H2758">
        <v>0</v>
      </c>
      <c r="I2758">
        <v>0.1741125760648204</v>
      </c>
      <c r="J2758">
        <v>0</v>
      </c>
      <c r="K2758">
        <v>0</v>
      </c>
      <c r="L2758" s="2">
        <v>0</v>
      </c>
      <c r="M2758">
        <v>30.55</v>
      </c>
      <c r="N2758" t="s">
        <v>10236</v>
      </c>
    </row>
    <row r="2759" spans="1:14">
      <c r="A2759" t="s">
        <v>196</v>
      </c>
      <c r="B2759" t="s">
        <v>2918</v>
      </c>
      <c r="C2759">
        <f>"2017"</f>
        <v>0</v>
      </c>
      <c r="D2759">
        <v>0</v>
      </c>
      <c r="E2759">
        <v>0</v>
      </c>
      <c r="F2759" s="2">
        <v>0</v>
      </c>
      <c r="H2759">
        <v>0</v>
      </c>
      <c r="I2759">
        <v>0.1741125760648204</v>
      </c>
      <c r="J2759">
        <v>0</v>
      </c>
      <c r="K2759">
        <v>0</v>
      </c>
      <c r="L2759" s="2">
        <v>0</v>
      </c>
      <c r="M2759">
        <v>30.56</v>
      </c>
      <c r="N2759" t="s">
        <v>10236</v>
      </c>
    </row>
    <row r="2760" spans="1:14">
      <c r="A2760" t="s">
        <v>196</v>
      </c>
      <c r="B2760" t="s">
        <v>2919</v>
      </c>
      <c r="C2760">
        <f>"2051"</f>
        <v>0</v>
      </c>
      <c r="D2760">
        <v>0</v>
      </c>
      <c r="E2760">
        <v>1</v>
      </c>
      <c r="F2760" s="2">
        <v>1</v>
      </c>
      <c r="H2760">
        <v>0</v>
      </c>
      <c r="I2760">
        <v>0.1741125760648204</v>
      </c>
      <c r="J2760">
        <v>0</v>
      </c>
      <c r="K2760">
        <v>0</v>
      </c>
      <c r="L2760" s="2">
        <v>0</v>
      </c>
      <c r="M2760">
        <v>30.57</v>
      </c>
      <c r="N2760" t="s">
        <v>10236</v>
      </c>
    </row>
    <row r="2761" spans="1:14">
      <c r="A2761" t="s">
        <v>196</v>
      </c>
      <c r="B2761" t="s">
        <v>2920</v>
      </c>
      <c r="C2761">
        <f>"2130"</f>
        <v>0</v>
      </c>
      <c r="D2761">
        <v>0</v>
      </c>
      <c r="E2761">
        <v>3</v>
      </c>
      <c r="F2761" s="2">
        <v>3</v>
      </c>
      <c r="H2761">
        <v>0</v>
      </c>
      <c r="I2761">
        <v>0.1741125760648204</v>
      </c>
      <c r="J2761">
        <v>0</v>
      </c>
      <c r="K2761">
        <v>0</v>
      </c>
      <c r="L2761" s="2">
        <v>0</v>
      </c>
      <c r="M2761">
        <v>30.58</v>
      </c>
      <c r="N2761" t="s">
        <v>10236</v>
      </c>
    </row>
    <row r="2762" spans="1:14">
      <c r="A2762" t="s">
        <v>35</v>
      </c>
      <c r="B2762" t="s">
        <v>2921</v>
      </c>
      <c r="C2762">
        <f>"970310"</f>
        <v>0</v>
      </c>
      <c r="D2762">
        <v>0</v>
      </c>
      <c r="E2762">
        <v>0</v>
      </c>
      <c r="F2762" s="2">
        <v>0</v>
      </c>
      <c r="H2762">
        <v>0</v>
      </c>
      <c r="I2762">
        <v>0.1741125760648204</v>
      </c>
      <c r="J2762">
        <v>0</v>
      </c>
      <c r="K2762">
        <v>0</v>
      </c>
      <c r="L2762" s="2">
        <v>0</v>
      </c>
      <c r="M2762">
        <v>30.59</v>
      </c>
      <c r="N2762" t="s">
        <v>10236</v>
      </c>
    </row>
    <row r="2763" spans="1:14">
      <c r="A2763" t="s">
        <v>25</v>
      </c>
      <c r="B2763" t="s">
        <v>2922</v>
      </c>
      <c r="C2763">
        <f>"ER121"</f>
        <v>0</v>
      </c>
      <c r="D2763">
        <v>0</v>
      </c>
      <c r="E2763">
        <v>0</v>
      </c>
      <c r="F2763" s="2">
        <v>0</v>
      </c>
      <c r="H2763">
        <v>0</v>
      </c>
      <c r="I2763">
        <v>0.1741125760648204</v>
      </c>
      <c r="J2763">
        <v>0</v>
      </c>
      <c r="K2763">
        <v>0</v>
      </c>
      <c r="L2763" s="2">
        <v>0</v>
      </c>
      <c r="M2763">
        <v>30.6</v>
      </c>
      <c r="N2763" t="s">
        <v>10236</v>
      </c>
    </row>
    <row r="2764" spans="1:14">
      <c r="A2764" t="s">
        <v>35</v>
      </c>
      <c r="B2764" t="s">
        <v>2923</v>
      </c>
      <c r="C2764">
        <f>"PS1022"</f>
        <v>0</v>
      </c>
      <c r="D2764">
        <v>0</v>
      </c>
      <c r="E2764">
        <v>0</v>
      </c>
      <c r="F2764" s="2">
        <v>0</v>
      </c>
      <c r="H2764">
        <v>0</v>
      </c>
      <c r="I2764">
        <v>0.1741125760648204</v>
      </c>
      <c r="J2764">
        <v>0</v>
      </c>
      <c r="K2764">
        <v>0</v>
      </c>
      <c r="L2764" s="2">
        <v>0</v>
      </c>
      <c r="M2764">
        <v>30.61</v>
      </c>
      <c r="N2764" t="s">
        <v>10236</v>
      </c>
    </row>
    <row r="2765" spans="1:14">
      <c r="A2765" t="s">
        <v>35</v>
      </c>
      <c r="B2765" t="s">
        <v>2924</v>
      </c>
      <c r="C2765">
        <f>"PR10"</f>
        <v>0</v>
      </c>
      <c r="D2765">
        <v>0</v>
      </c>
      <c r="E2765">
        <v>3</v>
      </c>
      <c r="F2765" s="2">
        <v>3</v>
      </c>
      <c r="H2765">
        <v>0</v>
      </c>
      <c r="I2765">
        <v>0.1741125760648204</v>
      </c>
      <c r="J2765">
        <v>0</v>
      </c>
      <c r="K2765">
        <v>0</v>
      </c>
      <c r="L2765" s="2">
        <v>0</v>
      </c>
      <c r="M2765">
        <v>30.62</v>
      </c>
      <c r="N2765" t="s">
        <v>10236</v>
      </c>
    </row>
    <row r="2766" spans="1:14">
      <c r="A2766" t="s">
        <v>35</v>
      </c>
      <c r="B2766" t="s">
        <v>2925</v>
      </c>
      <c r="C2766">
        <f>"PS7029"</f>
        <v>0</v>
      </c>
      <c r="D2766">
        <v>0</v>
      </c>
      <c r="E2766">
        <v>4</v>
      </c>
      <c r="F2766" s="2">
        <v>4</v>
      </c>
      <c r="H2766">
        <v>0</v>
      </c>
      <c r="I2766">
        <v>0.1741125760648204</v>
      </c>
      <c r="J2766">
        <v>0</v>
      </c>
      <c r="K2766">
        <v>0</v>
      </c>
      <c r="L2766" s="2">
        <v>0</v>
      </c>
      <c r="M2766">
        <v>30.63</v>
      </c>
      <c r="N2766" t="s">
        <v>10236</v>
      </c>
    </row>
    <row r="2767" spans="1:14">
      <c r="A2767" t="s">
        <v>35</v>
      </c>
      <c r="B2767" t="s">
        <v>2926</v>
      </c>
      <c r="C2767">
        <f>"PR02"</f>
        <v>0</v>
      </c>
      <c r="D2767">
        <v>0</v>
      </c>
      <c r="E2767">
        <v>3</v>
      </c>
      <c r="F2767" s="2">
        <v>3</v>
      </c>
      <c r="H2767">
        <v>0</v>
      </c>
      <c r="I2767">
        <v>0.1741125760648204</v>
      </c>
      <c r="J2767">
        <v>0</v>
      </c>
      <c r="K2767">
        <v>0</v>
      </c>
      <c r="L2767" s="2">
        <v>0</v>
      </c>
      <c r="M2767">
        <v>30.64</v>
      </c>
      <c r="N2767" t="s">
        <v>10236</v>
      </c>
    </row>
    <row r="2768" spans="1:14">
      <c r="A2768" t="s">
        <v>35</v>
      </c>
      <c r="B2768" t="s">
        <v>2927</v>
      </c>
      <c r="C2768">
        <f>"PR09"</f>
        <v>0</v>
      </c>
      <c r="D2768">
        <v>0</v>
      </c>
      <c r="E2768">
        <v>2</v>
      </c>
      <c r="F2768" s="2">
        <v>3</v>
      </c>
      <c r="H2768">
        <v>0</v>
      </c>
      <c r="I2768">
        <v>0.1741125760648204</v>
      </c>
      <c r="J2768">
        <v>0</v>
      </c>
      <c r="K2768">
        <v>0</v>
      </c>
      <c r="L2768" s="2">
        <v>0</v>
      </c>
      <c r="M2768">
        <v>30.64</v>
      </c>
      <c r="N2768" t="s">
        <v>10236</v>
      </c>
    </row>
    <row r="2769" spans="1:14">
      <c r="A2769" t="s">
        <v>219</v>
      </c>
      <c r="B2769" t="s">
        <v>2928</v>
      </c>
      <c r="C2769">
        <f>"PRWPV"</f>
        <v>0</v>
      </c>
      <c r="D2769">
        <v>0</v>
      </c>
      <c r="E2769">
        <v>0</v>
      </c>
      <c r="F2769" s="2">
        <v>0</v>
      </c>
      <c r="H2769">
        <v>0</v>
      </c>
      <c r="I2769">
        <v>0.1741125760648204</v>
      </c>
      <c r="J2769">
        <v>0</v>
      </c>
      <c r="K2769">
        <v>0</v>
      </c>
      <c r="L2769" s="2">
        <v>0</v>
      </c>
      <c r="M2769">
        <v>30.65</v>
      </c>
      <c r="N2769" t="s">
        <v>10236</v>
      </c>
    </row>
    <row r="2770" spans="1:14">
      <c r="A2770" t="s">
        <v>35</v>
      </c>
      <c r="B2770" t="s">
        <v>2929</v>
      </c>
      <c r="C2770">
        <f>"XX113"</f>
        <v>0</v>
      </c>
      <c r="D2770">
        <v>0</v>
      </c>
      <c r="E2770">
        <v>0</v>
      </c>
      <c r="F2770" s="2">
        <v>0</v>
      </c>
      <c r="H2770">
        <v>0</v>
      </c>
      <c r="I2770">
        <v>0.1741125760648204</v>
      </c>
      <c r="J2770">
        <v>0</v>
      </c>
      <c r="K2770">
        <v>0</v>
      </c>
      <c r="L2770" s="2">
        <v>0</v>
      </c>
      <c r="M2770">
        <v>30.66</v>
      </c>
      <c r="N2770" t="s">
        <v>10236</v>
      </c>
    </row>
    <row r="2771" spans="1:14">
      <c r="A2771" t="s">
        <v>35</v>
      </c>
      <c r="B2771" t="s">
        <v>2930</v>
      </c>
      <c r="C2771">
        <f>"234905"</f>
        <v>0</v>
      </c>
      <c r="D2771">
        <v>0</v>
      </c>
      <c r="E2771">
        <v>0</v>
      </c>
      <c r="F2771" s="2">
        <v>0</v>
      </c>
      <c r="H2771">
        <v>0</v>
      </c>
      <c r="I2771">
        <v>0.1741125760648204</v>
      </c>
      <c r="J2771">
        <v>0</v>
      </c>
      <c r="K2771">
        <v>0</v>
      </c>
      <c r="L2771" s="2">
        <v>0</v>
      </c>
      <c r="M2771">
        <v>30.67</v>
      </c>
      <c r="N2771" t="s">
        <v>10236</v>
      </c>
    </row>
    <row r="2772" spans="1:14">
      <c r="A2772" t="s">
        <v>35</v>
      </c>
      <c r="B2772" t="s">
        <v>2931</v>
      </c>
      <c r="C2772">
        <f>"PS06030"</f>
        <v>0</v>
      </c>
      <c r="D2772">
        <v>0</v>
      </c>
      <c r="E2772">
        <v>2</v>
      </c>
      <c r="F2772" s="2">
        <v>2</v>
      </c>
      <c r="H2772">
        <v>0</v>
      </c>
      <c r="I2772">
        <v>0.1741125760648204</v>
      </c>
      <c r="J2772">
        <v>0</v>
      </c>
      <c r="K2772">
        <v>0</v>
      </c>
      <c r="L2772" s="2">
        <v>0</v>
      </c>
      <c r="M2772">
        <v>30.68</v>
      </c>
      <c r="N2772" t="s">
        <v>10236</v>
      </c>
    </row>
    <row r="2773" spans="1:14">
      <c r="A2773" t="s">
        <v>35</v>
      </c>
      <c r="B2773" t="s">
        <v>2932</v>
      </c>
      <c r="C2773">
        <f>"DM2048"</f>
        <v>0</v>
      </c>
      <c r="D2773">
        <v>0</v>
      </c>
      <c r="E2773">
        <v>0</v>
      </c>
      <c r="F2773" s="2">
        <v>0</v>
      </c>
      <c r="H2773">
        <v>0</v>
      </c>
      <c r="I2773">
        <v>0.1741125760648204</v>
      </c>
      <c r="J2773">
        <v>0</v>
      </c>
      <c r="K2773">
        <v>0</v>
      </c>
      <c r="L2773" s="2">
        <v>0</v>
      </c>
      <c r="M2773">
        <v>30.69</v>
      </c>
      <c r="N2773" t="s">
        <v>10236</v>
      </c>
    </row>
    <row r="2774" spans="1:14">
      <c r="A2774" t="s">
        <v>35</v>
      </c>
      <c r="B2774" t="s">
        <v>2933</v>
      </c>
      <c r="C2774">
        <f>"PS1032"</f>
        <v>0</v>
      </c>
      <c r="D2774">
        <v>0</v>
      </c>
      <c r="E2774">
        <v>0</v>
      </c>
      <c r="F2774" s="2">
        <v>0</v>
      </c>
      <c r="H2774">
        <v>0</v>
      </c>
      <c r="I2774">
        <v>0.1741125760648204</v>
      </c>
      <c r="J2774">
        <v>0</v>
      </c>
      <c r="K2774">
        <v>0</v>
      </c>
      <c r="L2774" s="2">
        <v>0</v>
      </c>
      <c r="M2774">
        <v>30.7</v>
      </c>
      <c r="N2774" t="s">
        <v>10236</v>
      </c>
    </row>
    <row r="2775" spans="1:14">
      <c r="A2775" t="s">
        <v>35</v>
      </c>
      <c r="B2775" t="s">
        <v>2934</v>
      </c>
      <c r="C2775">
        <f>"96588ROS"</f>
        <v>0</v>
      </c>
      <c r="D2775">
        <v>0</v>
      </c>
      <c r="E2775">
        <v>0</v>
      </c>
      <c r="F2775" s="2">
        <v>0</v>
      </c>
      <c r="H2775">
        <v>0</v>
      </c>
      <c r="I2775">
        <v>0.1741125760648204</v>
      </c>
      <c r="J2775">
        <v>0</v>
      </c>
      <c r="K2775">
        <v>0</v>
      </c>
      <c r="L2775" s="2">
        <v>0</v>
      </c>
      <c r="M2775">
        <v>30.71</v>
      </c>
      <c r="N2775" t="s">
        <v>10236</v>
      </c>
    </row>
    <row r="2776" spans="1:14">
      <c r="A2776" t="s">
        <v>35</v>
      </c>
      <c r="B2776" t="s">
        <v>2935</v>
      </c>
      <c r="C2776">
        <f>"CTB21BL"</f>
        <v>0</v>
      </c>
      <c r="D2776">
        <v>0</v>
      </c>
      <c r="E2776">
        <v>0</v>
      </c>
      <c r="F2776" s="2">
        <v>0</v>
      </c>
      <c r="H2776">
        <v>0</v>
      </c>
      <c r="I2776">
        <v>0.1741125760648204</v>
      </c>
      <c r="J2776">
        <v>0</v>
      </c>
      <c r="K2776">
        <v>0</v>
      </c>
      <c r="L2776" s="2">
        <v>0</v>
      </c>
      <c r="M2776">
        <v>30.72</v>
      </c>
      <c r="N2776" t="s">
        <v>10236</v>
      </c>
    </row>
    <row r="2777" spans="1:14">
      <c r="A2777" t="s">
        <v>25</v>
      </c>
      <c r="B2777" t="s">
        <v>2936</v>
      </c>
      <c r="C2777">
        <f>"AYCA235"</f>
        <v>0</v>
      </c>
      <c r="D2777">
        <v>0</v>
      </c>
      <c r="E2777">
        <v>0</v>
      </c>
      <c r="F2777" s="2">
        <v>0</v>
      </c>
      <c r="H2777">
        <v>0</v>
      </c>
      <c r="I2777">
        <v>0.1741125760648204</v>
      </c>
      <c r="J2777">
        <v>0</v>
      </c>
      <c r="K2777">
        <v>0</v>
      </c>
      <c r="L2777" s="2">
        <v>0</v>
      </c>
      <c r="M2777">
        <v>30.73</v>
      </c>
      <c r="N2777" t="s">
        <v>10236</v>
      </c>
    </row>
    <row r="2778" spans="1:14">
      <c r="A2778" t="s">
        <v>36</v>
      </c>
      <c r="B2778" t="s">
        <v>2937</v>
      </c>
      <c r="C2778">
        <f>"500036"</f>
        <v>0</v>
      </c>
      <c r="D2778">
        <v>0</v>
      </c>
      <c r="E2778">
        <v>0</v>
      </c>
      <c r="F2778" s="2">
        <v>0</v>
      </c>
      <c r="H2778">
        <v>0</v>
      </c>
      <c r="I2778">
        <v>0.1741125760648204</v>
      </c>
      <c r="J2778">
        <v>0</v>
      </c>
      <c r="K2778">
        <v>0</v>
      </c>
      <c r="L2778" s="2">
        <v>0</v>
      </c>
      <c r="M2778">
        <v>30.74</v>
      </c>
      <c r="N2778" t="s">
        <v>10236</v>
      </c>
    </row>
    <row r="2779" spans="1:14">
      <c r="A2779" t="s">
        <v>35</v>
      </c>
      <c r="B2779" t="s">
        <v>2938</v>
      </c>
      <c r="C2779">
        <f>"CTB21AZ"</f>
        <v>0</v>
      </c>
      <c r="D2779">
        <v>0</v>
      </c>
      <c r="E2779">
        <v>0</v>
      </c>
      <c r="F2779" s="2">
        <v>0</v>
      </c>
      <c r="H2779">
        <v>0</v>
      </c>
      <c r="I2779">
        <v>0.1741125760648204</v>
      </c>
      <c r="J2779">
        <v>0</v>
      </c>
      <c r="K2779">
        <v>0</v>
      </c>
      <c r="L2779" s="2">
        <v>0</v>
      </c>
      <c r="M2779">
        <v>30.75</v>
      </c>
      <c r="N2779" t="s">
        <v>10236</v>
      </c>
    </row>
    <row r="2780" spans="1:14">
      <c r="A2780" t="s">
        <v>35</v>
      </c>
      <c r="B2780" t="s">
        <v>2939</v>
      </c>
      <c r="C2780">
        <f>"HDDZ821UNID"</f>
        <v>0</v>
      </c>
      <c r="D2780">
        <v>0</v>
      </c>
      <c r="E2780">
        <v>12</v>
      </c>
      <c r="F2780" s="2">
        <v>0</v>
      </c>
      <c r="H2780">
        <v>0</v>
      </c>
      <c r="I2780">
        <v>0.1741125760648204</v>
      </c>
      <c r="J2780">
        <v>0</v>
      </c>
      <c r="K2780">
        <v>0</v>
      </c>
      <c r="L2780" s="2">
        <v>0</v>
      </c>
      <c r="M2780">
        <v>30.76</v>
      </c>
      <c r="N2780" t="s">
        <v>10236</v>
      </c>
    </row>
    <row r="2781" spans="1:14">
      <c r="A2781" t="s">
        <v>29</v>
      </c>
      <c r="B2781" t="s">
        <v>2940</v>
      </c>
      <c r="C2781">
        <f>"PTV"</f>
        <v>0</v>
      </c>
      <c r="D2781">
        <v>0</v>
      </c>
      <c r="E2781">
        <v>0</v>
      </c>
      <c r="F2781" s="2">
        <v>0</v>
      </c>
      <c r="H2781">
        <v>0</v>
      </c>
      <c r="I2781">
        <v>0.1741125760648204</v>
      </c>
      <c r="J2781">
        <v>0</v>
      </c>
      <c r="K2781">
        <v>0</v>
      </c>
      <c r="L2781" s="2">
        <v>0</v>
      </c>
      <c r="M2781">
        <v>30.76</v>
      </c>
      <c r="N2781" t="s">
        <v>10236</v>
      </c>
    </row>
    <row r="2782" spans="1:14">
      <c r="A2782" t="s">
        <v>35</v>
      </c>
      <c r="B2782" t="s">
        <v>2941</v>
      </c>
      <c r="C2782">
        <f>"PGCT041ROS"</f>
        <v>0</v>
      </c>
      <c r="D2782">
        <v>0</v>
      </c>
      <c r="E2782">
        <v>0</v>
      </c>
      <c r="F2782" s="2">
        <v>0</v>
      </c>
      <c r="H2782">
        <v>0</v>
      </c>
      <c r="I2782">
        <v>0.1741125760648204</v>
      </c>
      <c r="J2782">
        <v>0</v>
      </c>
      <c r="K2782">
        <v>0</v>
      </c>
      <c r="L2782" s="2">
        <v>0</v>
      </c>
      <c r="M2782">
        <v>30.77</v>
      </c>
      <c r="N2782" t="s">
        <v>10236</v>
      </c>
    </row>
    <row r="2783" spans="1:14">
      <c r="A2783" t="s">
        <v>35</v>
      </c>
      <c r="B2783" t="s">
        <v>2942</v>
      </c>
      <c r="C2783">
        <f>"PGCT041AZU"</f>
        <v>0</v>
      </c>
      <c r="D2783">
        <v>0</v>
      </c>
      <c r="E2783">
        <v>4</v>
      </c>
      <c r="F2783" s="2">
        <v>2</v>
      </c>
      <c r="H2783">
        <v>0</v>
      </c>
      <c r="I2783">
        <v>0.1741125760648204</v>
      </c>
      <c r="J2783">
        <v>0</v>
      </c>
      <c r="K2783">
        <v>0</v>
      </c>
      <c r="L2783" s="2">
        <v>0</v>
      </c>
      <c r="M2783">
        <v>30.78</v>
      </c>
      <c r="N2783" t="s">
        <v>10236</v>
      </c>
    </row>
    <row r="2784" spans="1:14">
      <c r="A2784" t="s">
        <v>35</v>
      </c>
      <c r="B2784" t="s">
        <v>2943</v>
      </c>
      <c r="C2784">
        <f>"JW001"</f>
        <v>0</v>
      </c>
      <c r="D2784">
        <v>0</v>
      </c>
      <c r="E2784">
        <v>1</v>
      </c>
      <c r="F2784" s="2">
        <v>5</v>
      </c>
      <c r="H2784">
        <v>0</v>
      </c>
      <c r="I2784">
        <v>0.1741125760648204</v>
      </c>
      <c r="J2784">
        <v>0</v>
      </c>
      <c r="K2784">
        <v>0</v>
      </c>
      <c r="L2784" s="2">
        <v>0</v>
      </c>
      <c r="M2784">
        <v>30.79</v>
      </c>
      <c r="N2784" t="s">
        <v>10236</v>
      </c>
    </row>
    <row r="2785" spans="1:14">
      <c r="A2785" t="s">
        <v>35</v>
      </c>
      <c r="B2785" t="s">
        <v>2944</v>
      </c>
      <c r="C2785">
        <f>"PS06021"</f>
        <v>0</v>
      </c>
      <c r="D2785">
        <v>0</v>
      </c>
      <c r="E2785">
        <v>6</v>
      </c>
      <c r="F2785" s="2">
        <v>3</v>
      </c>
      <c r="H2785">
        <v>0</v>
      </c>
      <c r="I2785">
        <v>0.1741125760648204</v>
      </c>
      <c r="J2785">
        <v>0</v>
      </c>
      <c r="K2785">
        <v>0</v>
      </c>
      <c r="L2785" s="2">
        <v>0</v>
      </c>
      <c r="M2785">
        <v>30.8</v>
      </c>
      <c r="N2785" t="s">
        <v>10236</v>
      </c>
    </row>
    <row r="2786" spans="1:14">
      <c r="A2786" t="s">
        <v>218</v>
      </c>
      <c r="B2786" t="s">
        <v>2945</v>
      </c>
      <c r="C2786">
        <f>"is120ff"</f>
        <v>0</v>
      </c>
      <c r="D2786">
        <v>0</v>
      </c>
      <c r="E2786">
        <v>0</v>
      </c>
      <c r="F2786" s="2">
        <v>0</v>
      </c>
      <c r="H2786">
        <v>0</v>
      </c>
      <c r="I2786">
        <v>0.1741125760648204</v>
      </c>
      <c r="J2786">
        <v>0</v>
      </c>
      <c r="K2786">
        <v>0</v>
      </c>
      <c r="L2786" s="2">
        <v>0</v>
      </c>
      <c r="M2786">
        <v>30.81</v>
      </c>
      <c r="N2786" t="s">
        <v>10236</v>
      </c>
    </row>
    <row r="2787" spans="1:14">
      <c r="A2787" t="s">
        <v>35</v>
      </c>
      <c r="B2787" t="s">
        <v>2946</v>
      </c>
      <c r="C2787">
        <f>"SR02"</f>
        <v>0</v>
      </c>
      <c r="D2787">
        <v>0</v>
      </c>
      <c r="E2787">
        <v>0</v>
      </c>
      <c r="F2787" s="2">
        <v>0</v>
      </c>
      <c r="H2787">
        <v>0</v>
      </c>
      <c r="I2787">
        <v>0.1741125760648204</v>
      </c>
      <c r="J2787">
        <v>0</v>
      </c>
      <c r="K2787">
        <v>0</v>
      </c>
      <c r="L2787" s="2">
        <v>0</v>
      </c>
      <c r="M2787">
        <v>30.82</v>
      </c>
      <c r="N2787" t="s">
        <v>10236</v>
      </c>
    </row>
    <row r="2788" spans="1:14">
      <c r="A2788" t="s">
        <v>35</v>
      </c>
      <c r="B2788" t="s">
        <v>2947</v>
      </c>
      <c r="C2788">
        <f>"PS1023"</f>
        <v>0</v>
      </c>
      <c r="D2788">
        <v>0</v>
      </c>
      <c r="E2788">
        <v>2</v>
      </c>
      <c r="F2788" s="2">
        <v>3</v>
      </c>
      <c r="H2788">
        <v>0</v>
      </c>
      <c r="I2788">
        <v>0.1741125760648204</v>
      </c>
      <c r="J2788">
        <v>0</v>
      </c>
      <c r="K2788">
        <v>0</v>
      </c>
      <c r="L2788" s="2">
        <v>0</v>
      </c>
      <c r="M2788">
        <v>30.83</v>
      </c>
      <c r="N2788" t="s">
        <v>10236</v>
      </c>
    </row>
    <row r="2789" spans="1:14">
      <c r="A2789" t="s">
        <v>35</v>
      </c>
      <c r="B2789" t="s">
        <v>2948</v>
      </c>
      <c r="C2789">
        <f>"DM2021"</f>
        <v>0</v>
      </c>
      <c r="D2789">
        <v>0</v>
      </c>
      <c r="E2789">
        <v>3</v>
      </c>
      <c r="F2789" s="2">
        <v>5</v>
      </c>
      <c r="H2789">
        <v>0</v>
      </c>
      <c r="I2789">
        <v>0.1741125760648204</v>
      </c>
      <c r="J2789">
        <v>0</v>
      </c>
      <c r="K2789">
        <v>0</v>
      </c>
      <c r="L2789" s="2">
        <v>0</v>
      </c>
      <c r="M2789">
        <v>30.84</v>
      </c>
      <c r="N2789" t="s">
        <v>10236</v>
      </c>
    </row>
    <row r="2790" spans="1:14">
      <c r="A2790" t="s">
        <v>35</v>
      </c>
      <c r="B2790" t="s">
        <v>2949</v>
      </c>
      <c r="C2790">
        <f>"NO47"</f>
        <v>0</v>
      </c>
      <c r="D2790">
        <v>0</v>
      </c>
      <c r="E2790">
        <v>0</v>
      </c>
      <c r="F2790" s="2">
        <v>0</v>
      </c>
      <c r="H2790">
        <v>0</v>
      </c>
      <c r="I2790">
        <v>0.1741125760648204</v>
      </c>
      <c r="J2790">
        <v>0</v>
      </c>
      <c r="K2790">
        <v>0</v>
      </c>
      <c r="L2790" s="2">
        <v>0</v>
      </c>
      <c r="M2790">
        <v>30.85</v>
      </c>
      <c r="N2790" t="s">
        <v>10236</v>
      </c>
    </row>
    <row r="2791" spans="1:14">
      <c r="A2791" t="s">
        <v>35</v>
      </c>
      <c r="B2791" t="s">
        <v>2950</v>
      </c>
      <c r="C2791">
        <f>"PX5038"</f>
        <v>0</v>
      </c>
      <c r="D2791">
        <v>0</v>
      </c>
      <c r="E2791">
        <v>0</v>
      </c>
      <c r="F2791" s="2">
        <v>0</v>
      </c>
      <c r="H2791">
        <v>0</v>
      </c>
      <c r="I2791">
        <v>0.1741125760648204</v>
      </c>
      <c r="J2791">
        <v>0</v>
      </c>
      <c r="K2791">
        <v>0</v>
      </c>
      <c r="L2791" s="2">
        <v>0</v>
      </c>
      <c r="M2791">
        <v>30.86</v>
      </c>
      <c r="N2791" t="s">
        <v>10236</v>
      </c>
    </row>
    <row r="2792" spans="1:14">
      <c r="A2792" t="s">
        <v>202</v>
      </c>
      <c r="B2792" t="s">
        <v>2951</v>
      </c>
      <c r="C2792">
        <f>"13202020"</f>
        <v>0</v>
      </c>
      <c r="D2792">
        <v>0</v>
      </c>
      <c r="E2792">
        <v>1</v>
      </c>
      <c r="F2792" s="2">
        <v>6</v>
      </c>
      <c r="H2792">
        <v>0</v>
      </c>
      <c r="I2792">
        <v>0.1741125760648204</v>
      </c>
      <c r="J2792">
        <v>0</v>
      </c>
      <c r="K2792">
        <v>0</v>
      </c>
      <c r="L2792" s="2">
        <v>0</v>
      </c>
      <c r="M2792">
        <v>30.87</v>
      </c>
      <c r="N2792" t="s">
        <v>10236</v>
      </c>
    </row>
    <row r="2793" spans="1:14">
      <c r="A2793" t="s">
        <v>218</v>
      </c>
      <c r="B2793" t="s">
        <v>2952</v>
      </c>
      <c r="C2793">
        <f>"humsdr0015"</f>
        <v>0</v>
      </c>
      <c r="D2793">
        <v>0</v>
      </c>
      <c r="E2793">
        <v>0</v>
      </c>
      <c r="F2793" s="2">
        <v>0</v>
      </c>
      <c r="H2793">
        <v>0</v>
      </c>
      <c r="I2793">
        <v>0.1741125760648204</v>
      </c>
      <c r="J2793">
        <v>0</v>
      </c>
      <c r="K2793">
        <v>0</v>
      </c>
      <c r="L2793" s="2">
        <v>0</v>
      </c>
      <c r="M2793">
        <v>30.88</v>
      </c>
      <c r="N2793" t="s">
        <v>10236</v>
      </c>
    </row>
    <row r="2794" spans="1:14">
      <c r="A2794" t="s">
        <v>35</v>
      </c>
      <c r="B2794" t="s">
        <v>2953</v>
      </c>
      <c r="C2794">
        <f>"PT157"</f>
        <v>0</v>
      </c>
      <c r="D2794">
        <v>0</v>
      </c>
      <c r="E2794">
        <v>1</v>
      </c>
      <c r="F2794" s="2">
        <v>1</v>
      </c>
      <c r="H2794">
        <v>0</v>
      </c>
      <c r="I2794">
        <v>0.1741125760648204</v>
      </c>
      <c r="J2794">
        <v>0</v>
      </c>
      <c r="K2794">
        <v>0</v>
      </c>
      <c r="L2794" s="2">
        <v>0</v>
      </c>
      <c r="M2794">
        <v>30.88</v>
      </c>
      <c r="N2794" t="s">
        <v>10236</v>
      </c>
    </row>
    <row r="2795" spans="1:14">
      <c r="A2795" t="s">
        <v>35</v>
      </c>
      <c r="B2795" t="s">
        <v>2954</v>
      </c>
      <c r="C2795">
        <f>"B192202XLM"</f>
        <v>0</v>
      </c>
      <c r="D2795">
        <v>0</v>
      </c>
      <c r="E2795">
        <v>8</v>
      </c>
      <c r="F2795" s="2">
        <v>11</v>
      </c>
      <c r="H2795">
        <v>0</v>
      </c>
      <c r="I2795">
        <v>0.1741125760648204</v>
      </c>
      <c r="J2795">
        <v>0</v>
      </c>
      <c r="K2795">
        <v>0</v>
      </c>
      <c r="L2795" s="2">
        <v>0</v>
      </c>
      <c r="M2795">
        <v>30.89</v>
      </c>
      <c r="N2795" t="s">
        <v>10236</v>
      </c>
    </row>
    <row r="2796" spans="1:14">
      <c r="A2796" t="s">
        <v>35</v>
      </c>
      <c r="B2796" t="s">
        <v>2955</v>
      </c>
      <c r="C2796">
        <f>"B192202XLR"</f>
        <v>0</v>
      </c>
      <c r="D2796">
        <v>0</v>
      </c>
      <c r="E2796">
        <v>23</v>
      </c>
      <c r="F2796" s="2">
        <v>11</v>
      </c>
      <c r="H2796">
        <v>0</v>
      </c>
      <c r="I2796">
        <v>0.1741125760648204</v>
      </c>
      <c r="J2796">
        <v>0</v>
      </c>
      <c r="K2796">
        <v>0</v>
      </c>
      <c r="L2796" s="2">
        <v>0</v>
      </c>
      <c r="M2796">
        <v>30.9</v>
      </c>
      <c r="N2796" t="s">
        <v>10236</v>
      </c>
    </row>
    <row r="2797" spans="1:14">
      <c r="A2797" t="s">
        <v>25</v>
      </c>
      <c r="B2797" t="s">
        <v>2956</v>
      </c>
      <c r="C2797">
        <f>"0021"</f>
        <v>0</v>
      </c>
      <c r="D2797">
        <v>0</v>
      </c>
      <c r="E2797">
        <v>1</v>
      </c>
      <c r="F2797" s="2">
        <v>2</v>
      </c>
      <c r="H2797">
        <v>0</v>
      </c>
      <c r="I2797">
        <v>0.1741125760648204</v>
      </c>
      <c r="J2797">
        <v>0</v>
      </c>
      <c r="K2797">
        <v>0</v>
      </c>
      <c r="L2797" s="2">
        <v>0</v>
      </c>
      <c r="M2797">
        <v>30.91</v>
      </c>
      <c r="N2797" t="s">
        <v>10236</v>
      </c>
    </row>
    <row r="2798" spans="1:14">
      <c r="A2798" t="s">
        <v>223</v>
      </c>
      <c r="B2798" t="s">
        <v>2957</v>
      </c>
      <c r="C2798">
        <f>"5362015"</f>
        <v>0</v>
      </c>
      <c r="D2798">
        <v>0</v>
      </c>
      <c r="E2798">
        <v>0</v>
      </c>
      <c r="F2798" s="2">
        <v>0</v>
      </c>
      <c r="H2798">
        <v>0</v>
      </c>
      <c r="I2798">
        <v>0.1741125760648204</v>
      </c>
      <c r="J2798">
        <v>0</v>
      </c>
      <c r="K2798">
        <v>0</v>
      </c>
      <c r="L2798" s="2">
        <v>0</v>
      </c>
      <c r="M2798">
        <v>30.92</v>
      </c>
      <c r="N2798" t="s">
        <v>10236</v>
      </c>
    </row>
    <row r="2799" spans="1:14">
      <c r="A2799" t="s">
        <v>35</v>
      </c>
      <c r="B2799" t="s">
        <v>2958</v>
      </c>
      <c r="C2799">
        <f>"B19163XLA"</f>
        <v>0</v>
      </c>
      <c r="D2799">
        <v>0</v>
      </c>
      <c r="E2799">
        <v>24</v>
      </c>
      <c r="F2799" s="2">
        <v>11</v>
      </c>
      <c r="H2799">
        <v>0</v>
      </c>
      <c r="I2799">
        <v>0.1741125760648204</v>
      </c>
      <c r="J2799">
        <v>0</v>
      </c>
      <c r="K2799">
        <v>0</v>
      </c>
      <c r="L2799" s="2">
        <v>0</v>
      </c>
      <c r="M2799">
        <v>30.93</v>
      </c>
      <c r="N2799" t="s">
        <v>10236</v>
      </c>
    </row>
    <row r="2800" spans="1:14">
      <c r="A2800" t="s">
        <v>35</v>
      </c>
      <c r="B2800" t="s">
        <v>2959</v>
      </c>
      <c r="C2800">
        <f>"B19163XLG"</f>
        <v>0</v>
      </c>
      <c r="D2800">
        <v>0</v>
      </c>
      <c r="E2800">
        <v>12</v>
      </c>
      <c r="F2800" s="2">
        <v>11</v>
      </c>
      <c r="H2800">
        <v>0</v>
      </c>
      <c r="I2800">
        <v>0.1741125760648204</v>
      </c>
      <c r="J2800">
        <v>0</v>
      </c>
      <c r="K2800">
        <v>0</v>
      </c>
      <c r="L2800" s="2">
        <v>0</v>
      </c>
      <c r="M2800">
        <v>30.94</v>
      </c>
      <c r="N2800" t="s">
        <v>10236</v>
      </c>
    </row>
    <row r="2801" spans="1:14">
      <c r="A2801" t="s">
        <v>35</v>
      </c>
      <c r="B2801" t="s">
        <v>2960</v>
      </c>
      <c r="C2801">
        <f>"B192203XLA"</f>
        <v>0</v>
      </c>
      <c r="D2801">
        <v>0</v>
      </c>
      <c r="E2801">
        <v>3</v>
      </c>
      <c r="F2801" s="2">
        <v>11</v>
      </c>
      <c r="H2801">
        <v>0</v>
      </c>
      <c r="I2801">
        <v>0.1741125760648204</v>
      </c>
      <c r="J2801">
        <v>0</v>
      </c>
      <c r="K2801">
        <v>0</v>
      </c>
      <c r="L2801" s="2">
        <v>0</v>
      </c>
      <c r="M2801">
        <v>30.95</v>
      </c>
      <c r="N2801" t="s">
        <v>10236</v>
      </c>
    </row>
    <row r="2802" spans="1:14">
      <c r="A2802" t="s">
        <v>217</v>
      </c>
      <c r="B2802" t="s">
        <v>2961</v>
      </c>
      <c r="C2802">
        <f>"PL0100"</f>
        <v>0</v>
      </c>
      <c r="D2802">
        <v>0</v>
      </c>
      <c r="E2802">
        <v>21</v>
      </c>
      <c r="F2802" s="2">
        <v>5</v>
      </c>
      <c r="H2802">
        <v>0</v>
      </c>
      <c r="I2802">
        <v>0.1741125760648204</v>
      </c>
      <c r="J2802">
        <v>0</v>
      </c>
      <c r="K2802">
        <v>0</v>
      </c>
      <c r="L2802" s="2">
        <v>0</v>
      </c>
      <c r="M2802">
        <v>30.96</v>
      </c>
      <c r="N2802" t="s">
        <v>10236</v>
      </c>
    </row>
    <row r="2803" spans="1:14">
      <c r="A2803" t="s">
        <v>213</v>
      </c>
      <c r="B2803" t="s">
        <v>2962</v>
      </c>
      <c r="C2803">
        <f>"501103"</f>
        <v>0</v>
      </c>
      <c r="D2803">
        <v>0</v>
      </c>
      <c r="E2803">
        <v>0</v>
      </c>
      <c r="F2803" s="2">
        <v>0</v>
      </c>
      <c r="H2803">
        <v>0</v>
      </c>
      <c r="I2803">
        <v>0.1741125760648204</v>
      </c>
      <c r="J2803">
        <v>0</v>
      </c>
      <c r="K2803">
        <v>0</v>
      </c>
      <c r="L2803" s="2">
        <v>0</v>
      </c>
      <c r="M2803">
        <v>30.97</v>
      </c>
      <c r="N2803" t="s">
        <v>10236</v>
      </c>
    </row>
    <row r="2804" spans="1:14">
      <c r="A2804" t="s">
        <v>35</v>
      </c>
      <c r="B2804" t="s">
        <v>2963</v>
      </c>
      <c r="C2804">
        <f>"LWT0092"</f>
        <v>0</v>
      </c>
      <c r="D2804">
        <v>0</v>
      </c>
      <c r="E2804">
        <v>0</v>
      </c>
      <c r="F2804" s="2">
        <v>0</v>
      </c>
      <c r="H2804">
        <v>0</v>
      </c>
      <c r="I2804">
        <v>0.1741125760648204</v>
      </c>
      <c r="J2804">
        <v>0</v>
      </c>
      <c r="K2804">
        <v>0</v>
      </c>
      <c r="L2804" s="2">
        <v>0</v>
      </c>
      <c r="M2804">
        <v>30.98</v>
      </c>
      <c r="N2804" t="s">
        <v>10236</v>
      </c>
    </row>
    <row r="2805" spans="1:14">
      <c r="A2805" t="s">
        <v>27</v>
      </c>
      <c r="B2805" t="s">
        <v>2964</v>
      </c>
      <c r="C2805">
        <f>"ALQU15"</f>
        <v>0</v>
      </c>
      <c r="D2805">
        <v>0</v>
      </c>
      <c r="E2805">
        <v>0</v>
      </c>
      <c r="F2805" s="2">
        <v>0</v>
      </c>
      <c r="H2805">
        <v>0</v>
      </c>
      <c r="I2805">
        <v>0.1741125760648204</v>
      </c>
      <c r="J2805">
        <v>0</v>
      </c>
      <c r="K2805">
        <v>0</v>
      </c>
      <c r="L2805" s="2">
        <v>0</v>
      </c>
      <c r="M2805">
        <v>30.99</v>
      </c>
      <c r="N2805" t="s">
        <v>10236</v>
      </c>
    </row>
    <row r="2806" spans="1:14">
      <c r="A2806" t="s">
        <v>27</v>
      </c>
      <c r="B2806" t="s">
        <v>2965</v>
      </c>
      <c r="C2806">
        <f>"ALQV07"</f>
        <v>0</v>
      </c>
      <c r="D2806">
        <v>0</v>
      </c>
      <c r="E2806">
        <v>0</v>
      </c>
      <c r="F2806" s="2">
        <v>0</v>
      </c>
      <c r="H2806">
        <v>0</v>
      </c>
      <c r="I2806">
        <v>0.1741125760648204</v>
      </c>
      <c r="J2806">
        <v>0</v>
      </c>
      <c r="K2806">
        <v>0</v>
      </c>
      <c r="L2806" s="2">
        <v>0</v>
      </c>
      <c r="M2806">
        <v>31</v>
      </c>
      <c r="N2806" t="s">
        <v>10236</v>
      </c>
    </row>
    <row r="2807" spans="1:14">
      <c r="A2807" t="s">
        <v>29</v>
      </c>
      <c r="B2807" t="s">
        <v>2966</v>
      </c>
      <c r="C2807">
        <f>"34062"</f>
        <v>0</v>
      </c>
      <c r="D2807">
        <v>0</v>
      </c>
      <c r="E2807">
        <v>0</v>
      </c>
      <c r="F2807" s="2">
        <v>0</v>
      </c>
      <c r="H2807">
        <v>0</v>
      </c>
      <c r="I2807">
        <v>0.1741125760648204</v>
      </c>
      <c r="J2807">
        <v>0</v>
      </c>
      <c r="K2807">
        <v>0</v>
      </c>
      <c r="L2807" s="2">
        <v>0</v>
      </c>
      <c r="M2807">
        <v>31</v>
      </c>
      <c r="N2807" t="s">
        <v>10236</v>
      </c>
    </row>
    <row r="2808" spans="1:14">
      <c r="A2808" t="s">
        <v>29</v>
      </c>
      <c r="B2808" t="s">
        <v>2967</v>
      </c>
      <c r="C2808">
        <f>"34061"</f>
        <v>0</v>
      </c>
      <c r="D2808">
        <v>0</v>
      </c>
      <c r="E2808">
        <v>2</v>
      </c>
      <c r="F2808" s="2">
        <v>2</v>
      </c>
      <c r="H2808">
        <v>0</v>
      </c>
      <c r="I2808">
        <v>0.1741125760648204</v>
      </c>
      <c r="J2808">
        <v>0</v>
      </c>
      <c r="K2808">
        <v>0</v>
      </c>
      <c r="L2808" s="2">
        <v>0</v>
      </c>
      <c r="M2808">
        <v>31.01</v>
      </c>
      <c r="N2808" t="s">
        <v>10236</v>
      </c>
    </row>
    <row r="2809" spans="1:14">
      <c r="A2809" t="s">
        <v>24</v>
      </c>
      <c r="B2809" t="s">
        <v>2968</v>
      </c>
      <c r="C2809">
        <f>"1136501"</f>
        <v>0</v>
      </c>
      <c r="D2809">
        <v>0</v>
      </c>
      <c r="E2809">
        <v>0</v>
      </c>
      <c r="F2809" s="2">
        <v>0</v>
      </c>
      <c r="H2809">
        <v>0</v>
      </c>
      <c r="I2809">
        <v>0.1741125760648204</v>
      </c>
      <c r="J2809">
        <v>0</v>
      </c>
      <c r="K2809">
        <v>0</v>
      </c>
      <c r="L2809" s="2">
        <v>0</v>
      </c>
      <c r="M2809">
        <v>31.02</v>
      </c>
      <c r="N2809" t="s">
        <v>10236</v>
      </c>
    </row>
    <row r="2810" spans="1:14">
      <c r="A2810" t="s">
        <v>218</v>
      </c>
      <c r="B2810" t="s">
        <v>2969</v>
      </c>
      <c r="C2810">
        <f>"1016460"</f>
        <v>0</v>
      </c>
      <c r="D2810">
        <v>0</v>
      </c>
      <c r="E2810">
        <v>0</v>
      </c>
      <c r="F2810" s="2">
        <v>0</v>
      </c>
      <c r="H2810">
        <v>0</v>
      </c>
      <c r="I2810">
        <v>0.1741125760648204</v>
      </c>
      <c r="J2810">
        <v>0</v>
      </c>
      <c r="K2810">
        <v>0</v>
      </c>
      <c r="L2810" s="2">
        <v>0</v>
      </c>
      <c r="M2810">
        <v>31.03</v>
      </c>
      <c r="N2810" t="s">
        <v>10236</v>
      </c>
    </row>
    <row r="2811" spans="1:14">
      <c r="A2811" t="s">
        <v>35</v>
      </c>
      <c r="B2811" t="s">
        <v>2970</v>
      </c>
      <c r="C2811">
        <f>"683XLA"</f>
        <v>0</v>
      </c>
      <c r="D2811">
        <v>0</v>
      </c>
      <c r="E2811">
        <v>0</v>
      </c>
      <c r="F2811" s="2">
        <v>0</v>
      </c>
      <c r="H2811">
        <v>0</v>
      </c>
      <c r="I2811">
        <v>0.1741125760648204</v>
      </c>
      <c r="J2811">
        <v>0</v>
      </c>
      <c r="K2811">
        <v>0</v>
      </c>
      <c r="L2811" s="2">
        <v>0</v>
      </c>
      <c r="M2811">
        <v>31.04</v>
      </c>
      <c r="N2811" t="s">
        <v>10236</v>
      </c>
    </row>
    <row r="2812" spans="1:14">
      <c r="A2812" t="s">
        <v>194</v>
      </c>
      <c r="B2812" t="s">
        <v>2971</v>
      </c>
      <c r="C2812">
        <f>"102300100"</f>
        <v>0</v>
      </c>
      <c r="D2812">
        <v>0</v>
      </c>
      <c r="E2812">
        <v>0</v>
      </c>
      <c r="F2812" s="2">
        <v>0</v>
      </c>
      <c r="H2812">
        <v>0</v>
      </c>
      <c r="I2812">
        <v>0.1741125760648204</v>
      </c>
      <c r="J2812">
        <v>0</v>
      </c>
      <c r="K2812">
        <v>0</v>
      </c>
      <c r="L2812" s="2">
        <v>0</v>
      </c>
      <c r="M2812">
        <v>31.05</v>
      </c>
      <c r="N2812" t="s">
        <v>10236</v>
      </c>
    </row>
    <row r="2813" spans="1:14">
      <c r="A2813" t="s">
        <v>35</v>
      </c>
      <c r="B2813" t="s">
        <v>2972</v>
      </c>
      <c r="C2813">
        <f>"683XLGC"</f>
        <v>0</v>
      </c>
      <c r="D2813">
        <v>0</v>
      </c>
      <c r="E2813">
        <v>0</v>
      </c>
      <c r="F2813" s="2">
        <v>0</v>
      </c>
      <c r="H2813">
        <v>0</v>
      </c>
      <c r="I2813">
        <v>0.1741125760648204</v>
      </c>
      <c r="J2813">
        <v>0</v>
      </c>
      <c r="K2813">
        <v>0</v>
      </c>
      <c r="L2813" s="2">
        <v>0</v>
      </c>
      <c r="M2813">
        <v>31.06</v>
      </c>
      <c r="N2813" t="s">
        <v>10236</v>
      </c>
    </row>
    <row r="2814" spans="1:14">
      <c r="A2814" t="s">
        <v>194</v>
      </c>
      <c r="B2814" t="s">
        <v>2973</v>
      </c>
      <c r="C2814">
        <f>"300050"</f>
        <v>0</v>
      </c>
      <c r="D2814">
        <v>0</v>
      </c>
      <c r="E2814">
        <v>0</v>
      </c>
      <c r="F2814" s="2">
        <v>0</v>
      </c>
      <c r="H2814">
        <v>0</v>
      </c>
      <c r="I2814">
        <v>0.1741125760648204</v>
      </c>
      <c r="J2814">
        <v>0</v>
      </c>
      <c r="K2814">
        <v>0</v>
      </c>
      <c r="L2814" s="2">
        <v>0</v>
      </c>
      <c r="M2814">
        <v>31.07</v>
      </c>
      <c r="N2814" t="s">
        <v>10236</v>
      </c>
    </row>
    <row r="2815" spans="1:14">
      <c r="A2815" t="s">
        <v>35</v>
      </c>
      <c r="B2815" t="s">
        <v>2974</v>
      </c>
      <c r="C2815">
        <f>"683XLGO"</f>
        <v>0</v>
      </c>
      <c r="D2815">
        <v>0</v>
      </c>
      <c r="E2815">
        <v>1</v>
      </c>
      <c r="F2815" s="2">
        <v>6</v>
      </c>
      <c r="H2815">
        <v>0</v>
      </c>
      <c r="I2815">
        <v>0.1741125760648204</v>
      </c>
      <c r="J2815">
        <v>0</v>
      </c>
      <c r="K2815">
        <v>0</v>
      </c>
      <c r="L2815" s="2">
        <v>0</v>
      </c>
      <c r="M2815">
        <v>31.08</v>
      </c>
      <c r="N2815" t="s">
        <v>10236</v>
      </c>
    </row>
    <row r="2816" spans="1:14">
      <c r="A2816" t="s">
        <v>35</v>
      </c>
      <c r="B2816" t="s">
        <v>2975</v>
      </c>
      <c r="C2816">
        <f>"YP132SG"</f>
        <v>0</v>
      </c>
      <c r="D2816">
        <v>0</v>
      </c>
      <c r="E2816">
        <v>1</v>
      </c>
      <c r="F2816" s="2">
        <v>5</v>
      </c>
      <c r="H2816">
        <v>0</v>
      </c>
      <c r="I2816">
        <v>0.1741125760648204</v>
      </c>
      <c r="J2816">
        <v>0</v>
      </c>
      <c r="K2816">
        <v>0</v>
      </c>
      <c r="L2816" s="2">
        <v>0</v>
      </c>
      <c r="M2816">
        <v>31.09</v>
      </c>
      <c r="N2816" t="s">
        <v>10236</v>
      </c>
    </row>
    <row r="2817" spans="1:14">
      <c r="A2817" t="s">
        <v>205</v>
      </c>
      <c r="B2817" t="s">
        <v>2976</v>
      </c>
      <c r="C2817">
        <f>"PFGM016V"</f>
        <v>0</v>
      </c>
      <c r="D2817">
        <v>0</v>
      </c>
      <c r="E2817">
        <v>0</v>
      </c>
      <c r="F2817" s="2">
        <v>0</v>
      </c>
      <c r="H2817">
        <v>0</v>
      </c>
      <c r="I2817">
        <v>0.1741125760648204</v>
      </c>
      <c r="J2817">
        <v>0</v>
      </c>
      <c r="K2817">
        <v>0</v>
      </c>
      <c r="L2817" s="2">
        <v>0</v>
      </c>
      <c r="M2817">
        <v>31.1</v>
      </c>
      <c r="N2817" t="s">
        <v>10236</v>
      </c>
    </row>
    <row r="2818" spans="1:14">
      <c r="A2818" t="s">
        <v>205</v>
      </c>
      <c r="B2818" t="s">
        <v>2977</v>
      </c>
      <c r="C2818">
        <f>"PFGM016M"</f>
        <v>0</v>
      </c>
      <c r="D2818">
        <v>0</v>
      </c>
      <c r="E2818">
        <v>0</v>
      </c>
      <c r="F2818" s="2">
        <v>0</v>
      </c>
      <c r="H2818">
        <v>0</v>
      </c>
      <c r="I2818">
        <v>0.1741125760648204</v>
      </c>
      <c r="J2818">
        <v>0</v>
      </c>
      <c r="K2818">
        <v>0</v>
      </c>
      <c r="L2818" s="2">
        <v>0</v>
      </c>
      <c r="M2818">
        <v>31.11</v>
      </c>
      <c r="N2818" t="s">
        <v>10236</v>
      </c>
    </row>
    <row r="2819" spans="1:14">
      <c r="A2819" t="s">
        <v>35</v>
      </c>
      <c r="B2819" t="s">
        <v>2978</v>
      </c>
      <c r="C2819">
        <f>"MI1"</f>
        <v>0</v>
      </c>
      <c r="D2819">
        <v>0</v>
      </c>
      <c r="E2819">
        <v>0</v>
      </c>
      <c r="F2819" s="2">
        <v>0</v>
      </c>
      <c r="H2819">
        <v>0</v>
      </c>
      <c r="I2819">
        <v>0.1741125760648204</v>
      </c>
      <c r="J2819">
        <v>0</v>
      </c>
      <c r="K2819">
        <v>0</v>
      </c>
      <c r="L2819" s="2">
        <v>0</v>
      </c>
      <c r="M2819">
        <v>31.11</v>
      </c>
      <c r="N2819" t="s">
        <v>10236</v>
      </c>
    </row>
    <row r="2820" spans="1:14">
      <c r="A2820" t="s">
        <v>35</v>
      </c>
      <c r="B2820" t="s">
        <v>2979</v>
      </c>
      <c r="C2820">
        <f>"B19220SR"</f>
        <v>0</v>
      </c>
      <c r="D2820">
        <v>0</v>
      </c>
      <c r="E2820">
        <v>20</v>
      </c>
      <c r="F2820" s="2">
        <v>8</v>
      </c>
      <c r="H2820">
        <v>0</v>
      </c>
      <c r="I2820">
        <v>0.1741125760648204</v>
      </c>
      <c r="J2820">
        <v>0</v>
      </c>
      <c r="K2820">
        <v>0</v>
      </c>
      <c r="L2820" s="2">
        <v>0</v>
      </c>
      <c r="M2820">
        <v>31.12</v>
      </c>
      <c r="N2820" t="s">
        <v>10236</v>
      </c>
    </row>
    <row r="2821" spans="1:14">
      <c r="A2821" t="s">
        <v>35</v>
      </c>
      <c r="B2821" t="s">
        <v>2980</v>
      </c>
      <c r="C2821">
        <f>"6952GR"</f>
        <v>0</v>
      </c>
      <c r="D2821">
        <v>0</v>
      </c>
      <c r="E2821">
        <v>1</v>
      </c>
      <c r="F2821" s="2">
        <v>3</v>
      </c>
      <c r="H2821">
        <v>0</v>
      </c>
      <c r="I2821">
        <v>0.1741125760648204</v>
      </c>
      <c r="J2821">
        <v>0</v>
      </c>
      <c r="K2821">
        <v>0</v>
      </c>
      <c r="L2821" s="2">
        <v>0</v>
      </c>
      <c r="M2821">
        <v>31.13</v>
      </c>
      <c r="N2821" t="s">
        <v>10236</v>
      </c>
    </row>
    <row r="2822" spans="1:14">
      <c r="A2822" t="s">
        <v>35</v>
      </c>
      <c r="B2822" t="s">
        <v>2981</v>
      </c>
      <c r="C2822">
        <f>"B1916XLA"</f>
        <v>0</v>
      </c>
      <c r="D2822">
        <v>0</v>
      </c>
      <c r="E2822">
        <v>16</v>
      </c>
      <c r="F2822" s="2">
        <v>10</v>
      </c>
      <c r="H2822">
        <v>0</v>
      </c>
      <c r="I2822">
        <v>0.1741125760648204</v>
      </c>
      <c r="J2822">
        <v>0</v>
      </c>
      <c r="K2822">
        <v>0</v>
      </c>
      <c r="L2822" s="2">
        <v>0</v>
      </c>
      <c r="M2822">
        <v>31.14</v>
      </c>
      <c r="N2822" t="s">
        <v>10236</v>
      </c>
    </row>
    <row r="2823" spans="1:14">
      <c r="A2823" t="s">
        <v>35</v>
      </c>
      <c r="B2823" t="s">
        <v>2982</v>
      </c>
      <c r="C2823">
        <f>"6952CEL"</f>
        <v>0</v>
      </c>
      <c r="D2823">
        <v>0</v>
      </c>
      <c r="E2823">
        <v>2</v>
      </c>
      <c r="F2823" s="2">
        <v>3</v>
      </c>
      <c r="H2823">
        <v>0</v>
      </c>
      <c r="I2823">
        <v>0.1741125760648204</v>
      </c>
      <c r="J2823">
        <v>0</v>
      </c>
      <c r="K2823">
        <v>0</v>
      </c>
      <c r="L2823" s="2">
        <v>0</v>
      </c>
      <c r="M2823">
        <v>31.15</v>
      </c>
      <c r="N2823" t="s">
        <v>10236</v>
      </c>
    </row>
    <row r="2824" spans="1:14">
      <c r="A2824" t="s">
        <v>35</v>
      </c>
      <c r="B2824" t="s">
        <v>2983</v>
      </c>
      <c r="C2824">
        <f>"B1916XLG"</f>
        <v>0</v>
      </c>
      <c r="D2824">
        <v>0</v>
      </c>
      <c r="E2824">
        <v>0</v>
      </c>
      <c r="F2824" s="2">
        <v>0</v>
      </c>
      <c r="H2824">
        <v>0</v>
      </c>
      <c r="I2824">
        <v>0.1741125760648204</v>
      </c>
      <c r="J2824">
        <v>0</v>
      </c>
      <c r="K2824">
        <v>0</v>
      </c>
      <c r="L2824" s="2">
        <v>0</v>
      </c>
      <c r="M2824">
        <v>31.16</v>
      </c>
      <c r="N2824" t="s">
        <v>10236</v>
      </c>
    </row>
    <row r="2825" spans="1:14">
      <c r="A2825" t="s">
        <v>35</v>
      </c>
      <c r="B2825" t="s">
        <v>2984</v>
      </c>
      <c r="C2825">
        <f>"ER059"</f>
        <v>0</v>
      </c>
      <c r="D2825">
        <v>0</v>
      </c>
      <c r="E2825">
        <v>8</v>
      </c>
      <c r="F2825" s="2">
        <v>2</v>
      </c>
      <c r="H2825">
        <v>0</v>
      </c>
      <c r="I2825">
        <v>0.1741125760648204</v>
      </c>
      <c r="J2825">
        <v>0</v>
      </c>
      <c r="K2825">
        <v>0</v>
      </c>
      <c r="L2825" s="2">
        <v>0</v>
      </c>
      <c r="M2825">
        <v>31.17</v>
      </c>
      <c r="N2825" t="s">
        <v>10236</v>
      </c>
    </row>
    <row r="2826" spans="1:14">
      <c r="A2826" t="s">
        <v>35</v>
      </c>
      <c r="B2826" t="s">
        <v>2985</v>
      </c>
      <c r="C2826">
        <f>"B19220XLA"</f>
        <v>0</v>
      </c>
      <c r="D2826">
        <v>0</v>
      </c>
      <c r="E2826">
        <v>7</v>
      </c>
      <c r="F2826" s="2">
        <v>10</v>
      </c>
      <c r="H2826">
        <v>0</v>
      </c>
      <c r="I2826">
        <v>0.1741125760648204</v>
      </c>
      <c r="J2826">
        <v>0</v>
      </c>
      <c r="K2826">
        <v>0</v>
      </c>
      <c r="L2826" s="2">
        <v>0</v>
      </c>
      <c r="M2826">
        <v>31.18</v>
      </c>
      <c r="N2826" t="s">
        <v>10236</v>
      </c>
    </row>
    <row r="2827" spans="1:14">
      <c r="A2827" t="s">
        <v>35</v>
      </c>
      <c r="B2827" t="s">
        <v>2986</v>
      </c>
      <c r="C2827">
        <f>"BTM1810"</f>
        <v>0</v>
      </c>
      <c r="D2827">
        <v>0</v>
      </c>
      <c r="E2827">
        <v>0</v>
      </c>
      <c r="F2827" s="2">
        <v>0</v>
      </c>
      <c r="H2827">
        <v>0</v>
      </c>
      <c r="I2827">
        <v>0.1741125760648204</v>
      </c>
      <c r="J2827">
        <v>0</v>
      </c>
      <c r="K2827">
        <v>0</v>
      </c>
      <c r="L2827" s="2">
        <v>0</v>
      </c>
      <c r="M2827">
        <v>31.19</v>
      </c>
      <c r="N2827" t="s">
        <v>10236</v>
      </c>
    </row>
    <row r="2828" spans="1:14">
      <c r="A2828" t="s">
        <v>35</v>
      </c>
      <c r="B2828" t="s">
        <v>2987</v>
      </c>
      <c r="C2828">
        <f>"B192202XLA"</f>
        <v>0</v>
      </c>
      <c r="D2828">
        <v>0</v>
      </c>
      <c r="E2828">
        <v>18</v>
      </c>
      <c r="F2828" s="2">
        <v>11</v>
      </c>
      <c r="H2828">
        <v>0</v>
      </c>
      <c r="I2828">
        <v>0.1741125760648204</v>
      </c>
      <c r="J2828">
        <v>0</v>
      </c>
      <c r="K2828">
        <v>0</v>
      </c>
      <c r="L2828" s="2">
        <v>0</v>
      </c>
      <c r="M2828">
        <v>31.2</v>
      </c>
      <c r="N2828" t="s">
        <v>10236</v>
      </c>
    </row>
    <row r="2829" spans="1:14">
      <c r="A2829" t="s">
        <v>25</v>
      </c>
      <c r="B2829" t="s">
        <v>2988</v>
      </c>
      <c r="C2829">
        <f>"S313"</f>
        <v>0</v>
      </c>
      <c r="D2829">
        <v>0</v>
      </c>
      <c r="E2829">
        <v>0</v>
      </c>
      <c r="F2829" s="2">
        <v>0</v>
      </c>
      <c r="H2829">
        <v>0</v>
      </c>
      <c r="I2829">
        <v>0.1741125760648204</v>
      </c>
      <c r="J2829">
        <v>0</v>
      </c>
      <c r="K2829">
        <v>0</v>
      </c>
      <c r="L2829" s="2">
        <v>0</v>
      </c>
      <c r="M2829">
        <v>31.21</v>
      </c>
      <c r="N2829" t="s">
        <v>10236</v>
      </c>
    </row>
    <row r="2830" spans="1:14">
      <c r="A2830" t="s">
        <v>32</v>
      </c>
      <c r="B2830" t="s">
        <v>2989</v>
      </c>
      <c r="C2830">
        <f>"5000889"</f>
        <v>0</v>
      </c>
      <c r="D2830">
        <v>0</v>
      </c>
      <c r="E2830">
        <v>0</v>
      </c>
      <c r="F2830" s="2">
        <v>0</v>
      </c>
      <c r="H2830">
        <v>0</v>
      </c>
      <c r="I2830">
        <v>0.1741125760648204</v>
      </c>
      <c r="J2830">
        <v>0</v>
      </c>
      <c r="K2830">
        <v>0</v>
      </c>
      <c r="L2830" s="2">
        <v>0</v>
      </c>
      <c r="M2830">
        <v>31.22</v>
      </c>
      <c r="N2830" t="s">
        <v>10236</v>
      </c>
    </row>
    <row r="2831" spans="1:14">
      <c r="A2831" t="s">
        <v>35</v>
      </c>
      <c r="B2831" t="s">
        <v>2990</v>
      </c>
      <c r="C2831">
        <f>"B19220XLR"</f>
        <v>0</v>
      </c>
      <c r="D2831">
        <v>0</v>
      </c>
      <c r="E2831">
        <v>7</v>
      </c>
      <c r="F2831" s="2">
        <v>10</v>
      </c>
      <c r="H2831">
        <v>0</v>
      </c>
      <c r="I2831">
        <v>0.1741125760648204</v>
      </c>
      <c r="J2831">
        <v>0</v>
      </c>
      <c r="K2831">
        <v>0</v>
      </c>
      <c r="L2831" s="2">
        <v>0</v>
      </c>
      <c r="M2831">
        <v>31.23</v>
      </c>
      <c r="N2831" t="s">
        <v>10236</v>
      </c>
    </row>
    <row r="2832" spans="1:14">
      <c r="A2832" t="s">
        <v>32</v>
      </c>
      <c r="B2832" t="s">
        <v>2991</v>
      </c>
      <c r="C2832">
        <f>"5002204"</f>
        <v>0</v>
      </c>
      <c r="D2832">
        <v>0</v>
      </c>
      <c r="E2832">
        <v>1</v>
      </c>
      <c r="F2832" s="2">
        <v>7</v>
      </c>
      <c r="H2832">
        <v>0</v>
      </c>
      <c r="I2832">
        <v>0.1741125760648204</v>
      </c>
      <c r="J2832">
        <v>0</v>
      </c>
      <c r="K2832">
        <v>0</v>
      </c>
      <c r="L2832" s="2">
        <v>0</v>
      </c>
      <c r="M2832">
        <v>31.23</v>
      </c>
      <c r="N2832" t="s">
        <v>10236</v>
      </c>
    </row>
    <row r="2833" spans="1:14">
      <c r="A2833" t="s">
        <v>35</v>
      </c>
      <c r="B2833" t="s">
        <v>2992</v>
      </c>
      <c r="C2833">
        <f>"XDB432SV"</f>
        <v>0</v>
      </c>
      <c r="D2833">
        <v>0</v>
      </c>
      <c r="E2833">
        <v>6</v>
      </c>
      <c r="F2833" s="2">
        <v>31</v>
      </c>
      <c r="H2833">
        <v>0</v>
      </c>
      <c r="I2833">
        <v>0.1741125760648204</v>
      </c>
      <c r="J2833">
        <v>0</v>
      </c>
      <c r="K2833">
        <v>0</v>
      </c>
      <c r="L2833" s="2">
        <v>0</v>
      </c>
      <c r="M2833">
        <v>31.24</v>
      </c>
      <c r="N2833" t="s">
        <v>10236</v>
      </c>
    </row>
    <row r="2834" spans="1:14">
      <c r="A2834" t="s">
        <v>35</v>
      </c>
      <c r="B2834" t="s">
        <v>2993</v>
      </c>
      <c r="C2834">
        <f>"PT205N"</f>
        <v>0</v>
      </c>
      <c r="D2834">
        <v>0</v>
      </c>
      <c r="E2834">
        <v>0</v>
      </c>
      <c r="F2834" s="2">
        <v>0</v>
      </c>
      <c r="H2834">
        <v>0</v>
      </c>
      <c r="I2834">
        <v>0.1741125760648204</v>
      </c>
      <c r="J2834">
        <v>0</v>
      </c>
      <c r="K2834">
        <v>0</v>
      </c>
      <c r="L2834" s="2">
        <v>0</v>
      </c>
      <c r="M2834">
        <v>31.25</v>
      </c>
      <c r="N2834" t="s">
        <v>10236</v>
      </c>
    </row>
    <row r="2835" spans="1:14">
      <c r="A2835" t="s">
        <v>35</v>
      </c>
      <c r="B2835" t="s">
        <v>2994</v>
      </c>
      <c r="C2835">
        <f>"B1916XSG"</f>
        <v>0</v>
      </c>
      <c r="D2835">
        <v>0</v>
      </c>
      <c r="E2835">
        <v>17</v>
      </c>
      <c r="F2835" s="2">
        <v>7</v>
      </c>
      <c r="H2835">
        <v>0</v>
      </c>
      <c r="I2835">
        <v>0.1741125760648204</v>
      </c>
      <c r="J2835">
        <v>0</v>
      </c>
      <c r="K2835">
        <v>0</v>
      </c>
      <c r="L2835" s="2">
        <v>0</v>
      </c>
      <c r="M2835">
        <v>31.26</v>
      </c>
      <c r="N2835" t="s">
        <v>10236</v>
      </c>
    </row>
    <row r="2836" spans="1:14">
      <c r="A2836" t="s">
        <v>35</v>
      </c>
      <c r="B2836" t="s">
        <v>2995</v>
      </c>
      <c r="C2836">
        <f>"PT205G"</f>
        <v>0</v>
      </c>
      <c r="D2836">
        <v>0</v>
      </c>
      <c r="E2836">
        <v>0</v>
      </c>
      <c r="F2836" s="2">
        <v>0</v>
      </c>
      <c r="H2836">
        <v>0</v>
      </c>
      <c r="I2836">
        <v>0.1741125760648204</v>
      </c>
      <c r="J2836">
        <v>0</v>
      </c>
      <c r="K2836">
        <v>0</v>
      </c>
      <c r="L2836" s="2">
        <v>0</v>
      </c>
      <c r="M2836">
        <v>31.27</v>
      </c>
      <c r="N2836" t="s">
        <v>10236</v>
      </c>
    </row>
    <row r="2837" spans="1:14">
      <c r="A2837" t="s">
        <v>35</v>
      </c>
      <c r="B2837" t="s">
        <v>2996</v>
      </c>
      <c r="C2837">
        <f>"1817L"</f>
        <v>0</v>
      </c>
      <c r="D2837">
        <v>0</v>
      </c>
      <c r="E2837">
        <v>21</v>
      </c>
      <c r="F2837" s="2">
        <v>4</v>
      </c>
      <c r="H2837">
        <v>0</v>
      </c>
      <c r="I2837">
        <v>0.1741125760648204</v>
      </c>
      <c r="J2837">
        <v>0</v>
      </c>
      <c r="K2837">
        <v>0</v>
      </c>
      <c r="L2837" s="2">
        <v>0</v>
      </c>
      <c r="M2837">
        <v>31.28</v>
      </c>
      <c r="N2837" t="s">
        <v>10236</v>
      </c>
    </row>
    <row r="2838" spans="1:14">
      <c r="A2838" t="s">
        <v>35</v>
      </c>
      <c r="B2838" t="s">
        <v>2997</v>
      </c>
      <c r="C2838">
        <f>"SY9013"</f>
        <v>0</v>
      </c>
      <c r="D2838">
        <v>0</v>
      </c>
      <c r="E2838">
        <v>1</v>
      </c>
      <c r="F2838" s="2">
        <v>4</v>
      </c>
      <c r="H2838">
        <v>0</v>
      </c>
      <c r="I2838">
        <v>0.1741125760648204</v>
      </c>
      <c r="J2838">
        <v>0</v>
      </c>
      <c r="K2838">
        <v>0</v>
      </c>
      <c r="L2838" s="2">
        <v>0</v>
      </c>
      <c r="M2838">
        <v>31.29</v>
      </c>
      <c r="N2838" t="s">
        <v>10236</v>
      </c>
    </row>
    <row r="2839" spans="1:14">
      <c r="A2839" t="s">
        <v>35</v>
      </c>
      <c r="B2839" t="s">
        <v>2998</v>
      </c>
      <c r="C2839">
        <f>"1817M"</f>
        <v>0</v>
      </c>
      <c r="D2839">
        <v>0</v>
      </c>
      <c r="E2839">
        <v>12</v>
      </c>
      <c r="F2839" s="2">
        <v>3</v>
      </c>
      <c r="H2839">
        <v>0</v>
      </c>
      <c r="I2839">
        <v>0.1741125760648204</v>
      </c>
      <c r="J2839">
        <v>0</v>
      </c>
      <c r="K2839">
        <v>0</v>
      </c>
      <c r="L2839" s="2">
        <v>0</v>
      </c>
      <c r="M2839">
        <v>31.3</v>
      </c>
      <c r="N2839" t="s">
        <v>10236</v>
      </c>
    </row>
    <row r="2840" spans="1:14">
      <c r="A2840" t="s">
        <v>35</v>
      </c>
      <c r="B2840" t="s">
        <v>2999</v>
      </c>
      <c r="C2840">
        <f>"B19220XLM"</f>
        <v>0</v>
      </c>
      <c r="D2840">
        <v>0</v>
      </c>
      <c r="E2840">
        <v>7</v>
      </c>
      <c r="F2840" s="2">
        <v>10</v>
      </c>
      <c r="H2840">
        <v>0</v>
      </c>
      <c r="I2840">
        <v>0.1741125760648204</v>
      </c>
      <c r="J2840">
        <v>0</v>
      </c>
      <c r="K2840">
        <v>0</v>
      </c>
      <c r="L2840" s="2">
        <v>0</v>
      </c>
      <c r="M2840">
        <v>31.31</v>
      </c>
      <c r="N2840" t="s">
        <v>10236</v>
      </c>
    </row>
    <row r="2841" spans="1:14">
      <c r="A2841" t="s">
        <v>196</v>
      </c>
      <c r="B2841" t="s">
        <v>3000</v>
      </c>
      <c r="C2841">
        <f>"2491307"</f>
        <v>0</v>
      </c>
      <c r="D2841">
        <v>0</v>
      </c>
      <c r="E2841">
        <v>1</v>
      </c>
      <c r="F2841" s="2">
        <v>1</v>
      </c>
      <c r="H2841">
        <v>0</v>
      </c>
      <c r="I2841">
        <v>0.1741125760648204</v>
      </c>
      <c r="J2841">
        <v>0</v>
      </c>
      <c r="K2841">
        <v>0</v>
      </c>
      <c r="L2841" s="2">
        <v>0</v>
      </c>
      <c r="M2841">
        <v>31.32</v>
      </c>
      <c r="N2841" t="s">
        <v>10236</v>
      </c>
    </row>
    <row r="2842" spans="1:14">
      <c r="A2842" t="s">
        <v>196</v>
      </c>
      <c r="B2842" t="s">
        <v>3001</v>
      </c>
      <c r="C2842">
        <f>"2491999"</f>
        <v>0</v>
      </c>
      <c r="D2842">
        <v>0</v>
      </c>
      <c r="E2842">
        <v>1</v>
      </c>
      <c r="F2842" s="2">
        <v>1</v>
      </c>
      <c r="H2842">
        <v>0</v>
      </c>
      <c r="I2842">
        <v>0.1741125760648204</v>
      </c>
      <c r="J2842">
        <v>0</v>
      </c>
      <c r="K2842">
        <v>0</v>
      </c>
      <c r="L2842" s="2">
        <v>0</v>
      </c>
      <c r="M2842">
        <v>31.33</v>
      </c>
      <c r="N2842" t="s">
        <v>10236</v>
      </c>
    </row>
    <row r="2843" spans="1:14">
      <c r="A2843" t="s">
        <v>35</v>
      </c>
      <c r="B2843" t="s">
        <v>3002</v>
      </c>
      <c r="C2843">
        <f>"1817XXL"</f>
        <v>0</v>
      </c>
      <c r="D2843">
        <v>0</v>
      </c>
      <c r="E2843">
        <v>11</v>
      </c>
      <c r="F2843" s="2">
        <v>6</v>
      </c>
      <c r="H2843">
        <v>0</v>
      </c>
      <c r="I2843">
        <v>0.1741125760648204</v>
      </c>
      <c r="J2843">
        <v>0</v>
      </c>
      <c r="K2843">
        <v>0</v>
      </c>
      <c r="L2843" s="2">
        <v>0</v>
      </c>
      <c r="M2843">
        <v>31.34</v>
      </c>
      <c r="N2843" t="s">
        <v>10236</v>
      </c>
    </row>
    <row r="2844" spans="1:14">
      <c r="A2844" t="s">
        <v>35</v>
      </c>
      <c r="B2844" t="s">
        <v>3003</v>
      </c>
      <c r="C2844">
        <f>"YP132MA"</f>
        <v>0</v>
      </c>
      <c r="D2844">
        <v>0</v>
      </c>
      <c r="E2844">
        <v>1</v>
      </c>
      <c r="F2844" s="2">
        <v>6</v>
      </c>
      <c r="H2844">
        <v>0</v>
      </c>
      <c r="I2844">
        <v>0.1741125760648204</v>
      </c>
      <c r="J2844">
        <v>0</v>
      </c>
      <c r="K2844">
        <v>0</v>
      </c>
      <c r="L2844" s="2">
        <v>0</v>
      </c>
      <c r="M2844">
        <v>31.35</v>
      </c>
      <c r="N2844" t="s">
        <v>10236</v>
      </c>
    </row>
    <row r="2845" spans="1:14">
      <c r="A2845" t="s">
        <v>35</v>
      </c>
      <c r="B2845" t="s">
        <v>3004</v>
      </c>
      <c r="C2845">
        <f>"YP132MG"</f>
        <v>0</v>
      </c>
      <c r="D2845">
        <v>0</v>
      </c>
      <c r="E2845">
        <v>1</v>
      </c>
      <c r="F2845" s="2">
        <v>6</v>
      </c>
      <c r="H2845">
        <v>0</v>
      </c>
      <c r="I2845">
        <v>0.1741125760648204</v>
      </c>
      <c r="J2845">
        <v>0</v>
      </c>
      <c r="K2845">
        <v>0</v>
      </c>
      <c r="L2845" s="2">
        <v>0</v>
      </c>
      <c r="M2845">
        <v>31.35</v>
      </c>
      <c r="N2845" t="s">
        <v>10236</v>
      </c>
    </row>
    <row r="2846" spans="1:14">
      <c r="A2846" t="s">
        <v>35</v>
      </c>
      <c r="B2846" t="s">
        <v>3005</v>
      </c>
      <c r="C2846">
        <f>"YP132SA"</f>
        <v>0</v>
      </c>
      <c r="D2846">
        <v>0</v>
      </c>
      <c r="E2846">
        <v>1</v>
      </c>
      <c r="F2846" s="2">
        <v>5</v>
      </c>
      <c r="H2846">
        <v>0</v>
      </c>
      <c r="I2846">
        <v>0.1741125760648204</v>
      </c>
      <c r="J2846">
        <v>0</v>
      </c>
      <c r="K2846">
        <v>0</v>
      </c>
      <c r="L2846" s="2">
        <v>0</v>
      </c>
      <c r="M2846">
        <v>31.36</v>
      </c>
      <c r="N2846" t="s">
        <v>10236</v>
      </c>
    </row>
    <row r="2847" spans="1:14">
      <c r="A2847" t="s">
        <v>192</v>
      </c>
      <c r="B2847" t="s">
        <v>3006</v>
      </c>
      <c r="C2847">
        <f>"6302"</f>
        <v>0</v>
      </c>
      <c r="D2847">
        <v>0</v>
      </c>
      <c r="E2847">
        <v>0</v>
      </c>
      <c r="F2847" s="2">
        <v>0</v>
      </c>
      <c r="H2847">
        <v>0</v>
      </c>
      <c r="I2847">
        <v>0.1741125760648204</v>
      </c>
      <c r="J2847">
        <v>0</v>
      </c>
      <c r="K2847">
        <v>0</v>
      </c>
      <c r="L2847" s="2">
        <v>0</v>
      </c>
      <c r="M2847">
        <v>31.37</v>
      </c>
      <c r="N2847" t="s">
        <v>10236</v>
      </c>
    </row>
    <row r="2848" spans="1:14">
      <c r="A2848" t="s">
        <v>192</v>
      </c>
      <c r="B2848" t="s">
        <v>3007</v>
      </c>
      <c r="C2848">
        <f>"6304"</f>
        <v>0</v>
      </c>
      <c r="D2848">
        <v>0</v>
      </c>
      <c r="E2848">
        <v>0</v>
      </c>
      <c r="F2848" s="2">
        <v>0</v>
      </c>
      <c r="H2848">
        <v>0</v>
      </c>
      <c r="I2848">
        <v>0.1741125760648204</v>
      </c>
      <c r="J2848">
        <v>0</v>
      </c>
      <c r="K2848">
        <v>0</v>
      </c>
      <c r="L2848" s="2">
        <v>0</v>
      </c>
      <c r="M2848">
        <v>31.38</v>
      </c>
      <c r="N2848" t="s">
        <v>10236</v>
      </c>
    </row>
    <row r="2849" spans="1:14">
      <c r="A2849" t="s">
        <v>29</v>
      </c>
      <c r="B2849" t="s">
        <v>3008</v>
      </c>
      <c r="C2849">
        <f>"1213"</f>
        <v>0</v>
      </c>
      <c r="D2849">
        <v>0</v>
      </c>
      <c r="E2849">
        <v>18</v>
      </c>
      <c r="F2849" s="2">
        <v>1</v>
      </c>
      <c r="H2849">
        <v>0</v>
      </c>
      <c r="I2849">
        <v>0.1741125760648204</v>
      </c>
      <c r="J2849">
        <v>0</v>
      </c>
      <c r="K2849">
        <v>0</v>
      </c>
      <c r="L2849" s="2">
        <v>0</v>
      </c>
      <c r="M2849">
        <v>31.39</v>
      </c>
      <c r="N2849" t="s">
        <v>10236</v>
      </c>
    </row>
    <row r="2850" spans="1:14">
      <c r="A2850" t="s">
        <v>25</v>
      </c>
      <c r="B2850" t="s">
        <v>3009</v>
      </c>
      <c r="C2850">
        <f>"5102"</f>
        <v>0</v>
      </c>
      <c r="D2850">
        <v>0</v>
      </c>
      <c r="E2850">
        <v>0</v>
      </c>
      <c r="F2850" s="2">
        <v>0</v>
      </c>
      <c r="H2850">
        <v>0</v>
      </c>
      <c r="I2850">
        <v>0.1741125760648204</v>
      </c>
      <c r="J2850">
        <v>0</v>
      </c>
      <c r="K2850">
        <v>0</v>
      </c>
      <c r="L2850" s="2">
        <v>0</v>
      </c>
      <c r="M2850">
        <v>31.4</v>
      </c>
      <c r="N2850" t="s">
        <v>10236</v>
      </c>
    </row>
    <row r="2851" spans="1:14">
      <c r="A2851" t="s">
        <v>35</v>
      </c>
      <c r="B2851" t="s">
        <v>3010</v>
      </c>
      <c r="C2851">
        <f>"683XLN"</f>
        <v>0</v>
      </c>
      <c r="D2851">
        <v>0</v>
      </c>
      <c r="E2851">
        <v>0</v>
      </c>
      <c r="F2851" s="2">
        <v>0</v>
      </c>
      <c r="H2851">
        <v>0</v>
      </c>
      <c r="I2851">
        <v>0.1741125760648204</v>
      </c>
      <c r="J2851">
        <v>0</v>
      </c>
      <c r="K2851">
        <v>0</v>
      </c>
      <c r="L2851" s="2">
        <v>0</v>
      </c>
      <c r="M2851">
        <v>31.41</v>
      </c>
      <c r="N2851" t="s">
        <v>10236</v>
      </c>
    </row>
    <row r="2852" spans="1:14">
      <c r="A2852" t="s">
        <v>218</v>
      </c>
      <c r="B2852" t="s">
        <v>3011</v>
      </c>
      <c r="C2852">
        <f>"VQL014"</f>
        <v>0</v>
      </c>
      <c r="D2852">
        <v>0</v>
      </c>
      <c r="E2852">
        <v>0</v>
      </c>
      <c r="F2852" s="2">
        <v>0</v>
      </c>
      <c r="H2852">
        <v>0</v>
      </c>
      <c r="I2852">
        <v>0.1741125760648204</v>
      </c>
      <c r="J2852">
        <v>0</v>
      </c>
      <c r="K2852">
        <v>0</v>
      </c>
      <c r="L2852" s="2">
        <v>0</v>
      </c>
      <c r="M2852">
        <v>31.42</v>
      </c>
      <c r="N2852" t="s">
        <v>10236</v>
      </c>
    </row>
    <row r="2853" spans="1:14">
      <c r="A2853" t="s">
        <v>35</v>
      </c>
      <c r="B2853" t="s">
        <v>3012</v>
      </c>
      <c r="C2853">
        <f>"CT493"</f>
        <v>0</v>
      </c>
      <c r="D2853">
        <v>0</v>
      </c>
      <c r="E2853">
        <v>1</v>
      </c>
      <c r="F2853" s="2">
        <v>585</v>
      </c>
      <c r="H2853">
        <v>0</v>
      </c>
      <c r="I2853">
        <v>0.1741125760648204</v>
      </c>
      <c r="J2853">
        <v>0</v>
      </c>
      <c r="K2853">
        <v>0</v>
      </c>
      <c r="L2853" s="2">
        <v>0</v>
      </c>
      <c r="M2853">
        <v>31.43</v>
      </c>
      <c r="N2853" t="s">
        <v>10236</v>
      </c>
    </row>
    <row r="2854" spans="1:14">
      <c r="A2854" t="s">
        <v>196</v>
      </c>
      <c r="B2854" t="s">
        <v>3013</v>
      </c>
      <c r="C2854">
        <f>"2340"</f>
        <v>0</v>
      </c>
      <c r="D2854">
        <v>0</v>
      </c>
      <c r="E2854">
        <v>0</v>
      </c>
      <c r="F2854" s="2">
        <v>0</v>
      </c>
      <c r="H2854">
        <v>0</v>
      </c>
      <c r="I2854">
        <v>0.1741125760648204</v>
      </c>
      <c r="J2854">
        <v>0</v>
      </c>
      <c r="K2854">
        <v>0</v>
      </c>
      <c r="L2854" s="2">
        <v>0</v>
      </c>
      <c r="M2854">
        <v>31.44</v>
      </c>
      <c r="N2854" t="s">
        <v>10236</v>
      </c>
    </row>
    <row r="2855" spans="1:14">
      <c r="A2855" t="s">
        <v>35</v>
      </c>
      <c r="B2855" t="s">
        <v>3014</v>
      </c>
      <c r="C2855">
        <f>"HC0101"</f>
        <v>0</v>
      </c>
      <c r="D2855">
        <v>0</v>
      </c>
      <c r="E2855">
        <v>0</v>
      </c>
      <c r="F2855" s="2">
        <v>0</v>
      </c>
      <c r="H2855">
        <v>0</v>
      </c>
      <c r="I2855">
        <v>0.1741125760648204</v>
      </c>
      <c r="J2855">
        <v>0</v>
      </c>
      <c r="K2855">
        <v>0</v>
      </c>
      <c r="L2855" s="2">
        <v>0</v>
      </c>
      <c r="M2855">
        <v>31.45</v>
      </c>
      <c r="N2855" t="s">
        <v>10236</v>
      </c>
    </row>
    <row r="2856" spans="1:14">
      <c r="A2856" t="s">
        <v>35</v>
      </c>
      <c r="B2856" t="s">
        <v>3015</v>
      </c>
      <c r="C2856">
        <f>"HDDZ71UNID"</f>
        <v>0</v>
      </c>
      <c r="D2856">
        <v>0</v>
      </c>
      <c r="E2856">
        <v>0</v>
      </c>
      <c r="F2856" s="2">
        <v>0</v>
      </c>
      <c r="H2856">
        <v>0</v>
      </c>
      <c r="I2856">
        <v>0.1741125760648204</v>
      </c>
      <c r="J2856">
        <v>0</v>
      </c>
      <c r="K2856">
        <v>0</v>
      </c>
      <c r="L2856" s="2">
        <v>0</v>
      </c>
      <c r="M2856">
        <v>31.46</v>
      </c>
      <c r="N2856" t="s">
        <v>10236</v>
      </c>
    </row>
    <row r="2857" spans="1:14">
      <c r="A2857" t="s">
        <v>35</v>
      </c>
      <c r="B2857" t="s">
        <v>3016</v>
      </c>
      <c r="C2857">
        <f>"CTB21VE"</f>
        <v>0</v>
      </c>
      <c r="D2857">
        <v>0</v>
      </c>
      <c r="E2857">
        <v>0</v>
      </c>
      <c r="F2857" s="2">
        <v>0</v>
      </c>
      <c r="H2857">
        <v>0</v>
      </c>
      <c r="I2857">
        <v>0.1741125760648204</v>
      </c>
      <c r="J2857">
        <v>0</v>
      </c>
      <c r="K2857">
        <v>0</v>
      </c>
      <c r="L2857" s="2">
        <v>0</v>
      </c>
      <c r="M2857">
        <v>31.47</v>
      </c>
      <c r="N2857" t="s">
        <v>10236</v>
      </c>
    </row>
    <row r="2858" spans="1:14">
      <c r="A2858" t="s">
        <v>35</v>
      </c>
      <c r="B2858" t="s">
        <v>3017</v>
      </c>
      <c r="C2858">
        <f>"CTB21ROS"</f>
        <v>0</v>
      </c>
      <c r="D2858">
        <v>0</v>
      </c>
      <c r="E2858">
        <v>0</v>
      </c>
      <c r="F2858" s="2">
        <v>0</v>
      </c>
      <c r="H2858">
        <v>0</v>
      </c>
      <c r="I2858">
        <v>0.1741125760648204</v>
      </c>
      <c r="J2858">
        <v>0</v>
      </c>
      <c r="K2858">
        <v>0</v>
      </c>
      <c r="L2858" s="2">
        <v>0</v>
      </c>
      <c r="M2858">
        <v>31.47</v>
      </c>
      <c r="N2858" t="s">
        <v>10236</v>
      </c>
    </row>
    <row r="2859" spans="1:14">
      <c r="A2859" t="s">
        <v>218</v>
      </c>
      <c r="B2859" t="s">
        <v>3018</v>
      </c>
      <c r="C2859">
        <f>"1013766"</f>
        <v>0</v>
      </c>
      <c r="D2859">
        <v>0</v>
      </c>
      <c r="E2859">
        <v>0</v>
      </c>
      <c r="F2859" s="2">
        <v>0</v>
      </c>
      <c r="H2859">
        <v>0</v>
      </c>
      <c r="I2859">
        <v>0.1741125760648204</v>
      </c>
      <c r="J2859">
        <v>0</v>
      </c>
      <c r="K2859">
        <v>0</v>
      </c>
      <c r="L2859" s="2">
        <v>0</v>
      </c>
      <c r="M2859">
        <v>31.48</v>
      </c>
      <c r="N2859" t="s">
        <v>10236</v>
      </c>
    </row>
    <row r="2860" spans="1:14">
      <c r="A2860" t="s">
        <v>35</v>
      </c>
      <c r="B2860" t="s">
        <v>3019</v>
      </c>
      <c r="C2860">
        <f>"CTB21MO"</f>
        <v>0</v>
      </c>
      <c r="D2860">
        <v>0</v>
      </c>
      <c r="E2860">
        <v>0</v>
      </c>
      <c r="F2860" s="2">
        <v>0</v>
      </c>
      <c r="H2860">
        <v>0</v>
      </c>
      <c r="I2860">
        <v>0.1741125760648204</v>
      </c>
      <c r="J2860">
        <v>0</v>
      </c>
      <c r="K2860">
        <v>0</v>
      </c>
      <c r="L2860" s="2">
        <v>0</v>
      </c>
      <c r="M2860">
        <v>31.49</v>
      </c>
      <c r="N2860" t="s">
        <v>10236</v>
      </c>
    </row>
    <row r="2861" spans="1:14">
      <c r="A2861" t="s">
        <v>35</v>
      </c>
      <c r="B2861" t="s">
        <v>3020</v>
      </c>
      <c r="C2861">
        <f>"CTB21GR"</f>
        <v>0</v>
      </c>
      <c r="D2861">
        <v>0</v>
      </c>
      <c r="E2861">
        <v>0</v>
      </c>
      <c r="F2861" s="2">
        <v>0</v>
      </c>
      <c r="H2861">
        <v>0</v>
      </c>
      <c r="I2861">
        <v>0.1741125760648204</v>
      </c>
      <c r="J2861">
        <v>0</v>
      </c>
      <c r="K2861">
        <v>0</v>
      </c>
      <c r="L2861" s="2">
        <v>0</v>
      </c>
      <c r="M2861">
        <v>31.5</v>
      </c>
      <c r="N2861" t="s">
        <v>10236</v>
      </c>
    </row>
    <row r="2862" spans="1:14">
      <c r="A2862" t="s">
        <v>35</v>
      </c>
      <c r="B2862" t="s">
        <v>3021</v>
      </c>
      <c r="C2862">
        <f>"PT190R"</f>
        <v>0</v>
      </c>
      <c r="D2862">
        <v>0</v>
      </c>
      <c r="E2862">
        <v>1</v>
      </c>
      <c r="F2862" s="2">
        <v>3</v>
      </c>
      <c r="H2862">
        <v>0</v>
      </c>
      <c r="I2862">
        <v>0.1741125760648204</v>
      </c>
      <c r="J2862">
        <v>0</v>
      </c>
      <c r="K2862">
        <v>0</v>
      </c>
      <c r="L2862" s="2">
        <v>0</v>
      </c>
      <c r="M2862">
        <v>31.51</v>
      </c>
      <c r="N2862" t="s">
        <v>10236</v>
      </c>
    </row>
    <row r="2863" spans="1:14">
      <c r="A2863" t="s">
        <v>196</v>
      </c>
      <c r="B2863" t="s">
        <v>3022</v>
      </c>
      <c r="C2863">
        <f>"2341"</f>
        <v>0</v>
      </c>
      <c r="D2863">
        <v>0</v>
      </c>
      <c r="E2863">
        <v>0</v>
      </c>
      <c r="F2863" s="2">
        <v>0</v>
      </c>
      <c r="H2863">
        <v>0</v>
      </c>
      <c r="I2863">
        <v>0.1741125760648204</v>
      </c>
      <c r="J2863">
        <v>0</v>
      </c>
      <c r="K2863">
        <v>0</v>
      </c>
      <c r="L2863" s="2">
        <v>0</v>
      </c>
      <c r="M2863">
        <v>31.52</v>
      </c>
      <c r="N2863" t="s">
        <v>10236</v>
      </c>
    </row>
    <row r="2864" spans="1:14">
      <c r="A2864" t="s">
        <v>196</v>
      </c>
      <c r="B2864" t="s">
        <v>3023</v>
      </c>
      <c r="C2864">
        <f>"2419"</f>
        <v>0</v>
      </c>
      <c r="D2864">
        <v>0</v>
      </c>
      <c r="E2864">
        <v>0</v>
      </c>
      <c r="F2864" s="2">
        <v>0</v>
      </c>
      <c r="H2864">
        <v>0</v>
      </c>
      <c r="I2864">
        <v>0.1741125760648204</v>
      </c>
      <c r="J2864">
        <v>0</v>
      </c>
      <c r="K2864">
        <v>0</v>
      </c>
      <c r="L2864" s="2">
        <v>0</v>
      </c>
      <c r="M2864">
        <v>31.53</v>
      </c>
      <c r="N2864" t="s">
        <v>10236</v>
      </c>
    </row>
    <row r="2865" spans="1:14">
      <c r="A2865" t="s">
        <v>196</v>
      </c>
      <c r="B2865" t="s">
        <v>3024</v>
      </c>
      <c r="C2865">
        <f>"2418"</f>
        <v>0</v>
      </c>
      <c r="D2865">
        <v>0</v>
      </c>
      <c r="E2865">
        <v>0</v>
      </c>
      <c r="F2865" s="2">
        <v>0</v>
      </c>
      <c r="H2865">
        <v>0</v>
      </c>
      <c r="I2865">
        <v>0.1741125760648204</v>
      </c>
      <c r="J2865">
        <v>0</v>
      </c>
      <c r="K2865">
        <v>0</v>
      </c>
      <c r="L2865" s="2">
        <v>0</v>
      </c>
      <c r="M2865">
        <v>31.54</v>
      </c>
      <c r="N2865" t="s">
        <v>10236</v>
      </c>
    </row>
    <row r="2866" spans="1:14">
      <c r="A2866" t="s">
        <v>194</v>
      </c>
      <c r="B2866" t="s">
        <v>3025</v>
      </c>
      <c r="C2866">
        <f>"200200"</f>
        <v>0</v>
      </c>
      <c r="D2866">
        <v>0</v>
      </c>
      <c r="E2866">
        <v>0</v>
      </c>
      <c r="F2866" s="2">
        <v>0</v>
      </c>
      <c r="H2866">
        <v>0</v>
      </c>
      <c r="I2866">
        <v>0.1741125760648204</v>
      </c>
      <c r="J2866">
        <v>0</v>
      </c>
      <c r="K2866">
        <v>0</v>
      </c>
      <c r="L2866" s="2">
        <v>0</v>
      </c>
      <c r="M2866">
        <v>31.55</v>
      </c>
      <c r="N2866" t="s">
        <v>10236</v>
      </c>
    </row>
    <row r="2867" spans="1:14">
      <c r="A2867" t="s">
        <v>196</v>
      </c>
      <c r="B2867" t="s">
        <v>3026</v>
      </c>
      <c r="C2867">
        <f>"2101"</f>
        <v>0</v>
      </c>
      <c r="D2867">
        <v>0</v>
      </c>
      <c r="E2867">
        <v>0</v>
      </c>
      <c r="F2867" s="2">
        <v>0</v>
      </c>
      <c r="H2867">
        <v>0</v>
      </c>
      <c r="I2867">
        <v>0.1741125760648204</v>
      </c>
      <c r="J2867">
        <v>0</v>
      </c>
      <c r="K2867">
        <v>0</v>
      </c>
      <c r="L2867" s="2">
        <v>0</v>
      </c>
      <c r="M2867">
        <v>31.56</v>
      </c>
      <c r="N2867" t="s">
        <v>10236</v>
      </c>
    </row>
    <row r="2868" spans="1:14">
      <c r="A2868" t="s">
        <v>35</v>
      </c>
      <c r="B2868" t="s">
        <v>3027</v>
      </c>
      <c r="C2868">
        <f>"B19220MM"</f>
        <v>0</v>
      </c>
      <c r="D2868">
        <v>0</v>
      </c>
      <c r="E2868">
        <v>6</v>
      </c>
      <c r="F2868" s="2">
        <v>9</v>
      </c>
      <c r="H2868">
        <v>0</v>
      </c>
      <c r="I2868">
        <v>0.1741125760648204</v>
      </c>
      <c r="J2868">
        <v>0</v>
      </c>
      <c r="K2868">
        <v>0</v>
      </c>
      <c r="L2868" s="2">
        <v>0</v>
      </c>
      <c r="M2868">
        <v>31.57</v>
      </c>
      <c r="N2868" t="s">
        <v>10236</v>
      </c>
    </row>
    <row r="2869" spans="1:14">
      <c r="A2869" t="s">
        <v>35</v>
      </c>
      <c r="B2869" t="s">
        <v>3028</v>
      </c>
      <c r="C2869">
        <f>"B19220MR"</f>
        <v>0</v>
      </c>
      <c r="D2869">
        <v>0</v>
      </c>
      <c r="E2869">
        <v>6</v>
      </c>
      <c r="F2869" s="2">
        <v>9</v>
      </c>
      <c r="H2869">
        <v>0</v>
      </c>
      <c r="I2869">
        <v>0.1741125760648204</v>
      </c>
      <c r="J2869">
        <v>0</v>
      </c>
      <c r="K2869">
        <v>0</v>
      </c>
      <c r="L2869" s="2">
        <v>0</v>
      </c>
      <c r="M2869">
        <v>31.58</v>
      </c>
      <c r="N2869" t="s">
        <v>10236</v>
      </c>
    </row>
    <row r="2870" spans="1:14">
      <c r="A2870" t="s">
        <v>213</v>
      </c>
      <c r="B2870" t="s">
        <v>3029</v>
      </c>
      <c r="C2870">
        <f>"500987"</f>
        <v>0</v>
      </c>
      <c r="D2870">
        <v>0</v>
      </c>
      <c r="E2870">
        <v>0</v>
      </c>
      <c r="F2870" s="2">
        <v>0</v>
      </c>
      <c r="H2870">
        <v>0</v>
      </c>
      <c r="I2870">
        <v>0.1741125760648204</v>
      </c>
      <c r="J2870">
        <v>0</v>
      </c>
      <c r="K2870">
        <v>0</v>
      </c>
      <c r="L2870" s="2">
        <v>0</v>
      </c>
      <c r="M2870">
        <v>31.58</v>
      </c>
      <c r="N2870" t="s">
        <v>10236</v>
      </c>
    </row>
    <row r="2871" spans="1:14">
      <c r="A2871" t="s">
        <v>35</v>
      </c>
      <c r="B2871" t="s">
        <v>3030</v>
      </c>
      <c r="C2871">
        <f>"B1916SA"</f>
        <v>0</v>
      </c>
      <c r="D2871">
        <v>0</v>
      </c>
      <c r="E2871">
        <v>16</v>
      </c>
      <c r="F2871" s="2">
        <v>8</v>
      </c>
      <c r="H2871">
        <v>0</v>
      </c>
      <c r="I2871">
        <v>0.1741125760648204</v>
      </c>
      <c r="J2871">
        <v>0</v>
      </c>
      <c r="K2871">
        <v>0</v>
      </c>
      <c r="L2871" s="2">
        <v>0</v>
      </c>
      <c r="M2871">
        <v>31.59</v>
      </c>
      <c r="N2871" t="s">
        <v>10236</v>
      </c>
    </row>
    <row r="2872" spans="1:14">
      <c r="A2872" t="s">
        <v>213</v>
      </c>
      <c r="B2872" t="s">
        <v>3031</v>
      </c>
      <c r="C2872">
        <f>"501104"</f>
        <v>0</v>
      </c>
      <c r="D2872">
        <v>0</v>
      </c>
      <c r="E2872">
        <v>0</v>
      </c>
      <c r="F2872" s="2">
        <v>0</v>
      </c>
      <c r="H2872">
        <v>0</v>
      </c>
      <c r="I2872">
        <v>0.1741125760648204</v>
      </c>
      <c r="J2872">
        <v>0</v>
      </c>
      <c r="K2872">
        <v>0</v>
      </c>
      <c r="L2872" s="2">
        <v>0</v>
      </c>
      <c r="M2872">
        <v>31.6</v>
      </c>
      <c r="N2872" t="s">
        <v>10236</v>
      </c>
    </row>
    <row r="2873" spans="1:14">
      <c r="A2873" t="s">
        <v>213</v>
      </c>
      <c r="B2873" t="s">
        <v>3032</v>
      </c>
      <c r="C2873">
        <f>"500990"</f>
        <v>0</v>
      </c>
      <c r="D2873">
        <v>0</v>
      </c>
      <c r="E2873">
        <v>0</v>
      </c>
      <c r="F2873" s="2">
        <v>0</v>
      </c>
      <c r="H2873">
        <v>0</v>
      </c>
      <c r="I2873">
        <v>0.1741125760648204</v>
      </c>
      <c r="J2873">
        <v>0</v>
      </c>
      <c r="K2873">
        <v>0</v>
      </c>
      <c r="L2873" s="2">
        <v>0</v>
      </c>
      <c r="M2873">
        <v>31.61</v>
      </c>
      <c r="N2873" t="s">
        <v>10236</v>
      </c>
    </row>
    <row r="2874" spans="1:14">
      <c r="A2874" t="s">
        <v>35</v>
      </c>
      <c r="B2874" t="s">
        <v>3033</v>
      </c>
      <c r="C2874">
        <f>"B1916SG"</f>
        <v>0</v>
      </c>
      <c r="D2874">
        <v>0</v>
      </c>
      <c r="E2874">
        <v>8</v>
      </c>
      <c r="F2874" s="2">
        <v>8</v>
      </c>
      <c r="H2874">
        <v>0</v>
      </c>
      <c r="I2874">
        <v>0.1741125760648204</v>
      </c>
      <c r="J2874">
        <v>0</v>
      </c>
      <c r="K2874">
        <v>0</v>
      </c>
      <c r="L2874" s="2">
        <v>0</v>
      </c>
      <c r="M2874">
        <v>31.62</v>
      </c>
      <c r="N2874" t="s">
        <v>10236</v>
      </c>
    </row>
    <row r="2875" spans="1:14">
      <c r="A2875" t="s">
        <v>35</v>
      </c>
      <c r="B2875" t="s">
        <v>3034</v>
      </c>
      <c r="C2875">
        <f>"1817XL"</f>
        <v>0</v>
      </c>
      <c r="D2875">
        <v>0</v>
      </c>
      <c r="E2875">
        <v>0</v>
      </c>
      <c r="F2875" s="2">
        <v>0</v>
      </c>
      <c r="H2875">
        <v>0</v>
      </c>
      <c r="I2875">
        <v>0.1741125760648204</v>
      </c>
      <c r="J2875">
        <v>0</v>
      </c>
      <c r="K2875">
        <v>0</v>
      </c>
      <c r="L2875" s="2">
        <v>0</v>
      </c>
      <c r="M2875">
        <v>31.63</v>
      </c>
      <c r="N2875" t="s">
        <v>10236</v>
      </c>
    </row>
    <row r="2876" spans="1:14">
      <c r="A2876" t="s">
        <v>35</v>
      </c>
      <c r="B2876" t="s">
        <v>3035</v>
      </c>
      <c r="C2876">
        <f>"B19220SA"</f>
        <v>0</v>
      </c>
      <c r="D2876">
        <v>0</v>
      </c>
      <c r="E2876">
        <v>14</v>
      </c>
      <c r="F2876" s="2">
        <v>8</v>
      </c>
      <c r="H2876">
        <v>0</v>
      </c>
      <c r="I2876">
        <v>0.1741125760648204</v>
      </c>
      <c r="J2876">
        <v>0</v>
      </c>
      <c r="K2876">
        <v>0</v>
      </c>
      <c r="L2876" s="2">
        <v>0</v>
      </c>
      <c r="M2876">
        <v>31.64</v>
      </c>
      <c r="N2876" t="s">
        <v>10236</v>
      </c>
    </row>
    <row r="2877" spans="1:14">
      <c r="A2877" t="s">
        <v>35</v>
      </c>
      <c r="B2877" t="s">
        <v>3036</v>
      </c>
      <c r="C2877">
        <f>"B19220SM"</f>
        <v>0</v>
      </c>
      <c r="D2877">
        <v>0</v>
      </c>
      <c r="E2877">
        <v>11</v>
      </c>
      <c r="F2877" s="2">
        <v>8</v>
      </c>
      <c r="H2877">
        <v>0</v>
      </c>
      <c r="I2877">
        <v>0.1741125760648204</v>
      </c>
      <c r="J2877">
        <v>0</v>
      </c>
      <c r="K2877">
        <v>0</v>
      </c>
      <c r="L2877" s="2">
        <v>0</v>
      </c>
      <c r="M2877">
        <v>31.65</v>
      </c>
      <c r="N2877" t="s">
        <v>10236</v>
      </c>
    </row>
    <row r="2878" spans="1:14">
      <c r="A2878" t="s">
        <v>35</v>
      </c>
      <c r="B2878" t="s">
        <v>3037</v>
      </c>
      <c r="C2878">
        <f>"LO75535"</f>
        <v>0</v>
      </c>
      <c r="D2878">
        <v>0</v>
      </c>
      <c r="E2878">
        <v>0</v>
      </c>
      <c r="F2878" s="2">
        <v>0</v>
      </c>
      <c r="H2878">
        <v>0</v>
      </c>
      <c r="I2878">
        <v>0.1741125760648204</v>
      </c>
      <c r="J2878">
        <v>0</v>
      </c>
      <c r="K2878">
        <v>0</v>
      </c>
      <c r="L2878" s="2">
        <v>0</v>
      </c>
      <c r="M2878">
        <v>31.66</v>
      </c>
      <c r="N2878" t="s">
        <v>10236</v>
      </c>
    </row>
    <row r="2879" spans="1:14">
      <c r="A2879" t="s">
        <v>35</v>
      </c>
      <c r="B2879" t="s">
        <v>3038</v>
      </c>
      <c r="C2879">
        <f>"LO75533"</f>
        <v>0</v>
      </c>
      <c r="D2879">
        <v>0</v>
      </c>
      <c r="E2879">
        <v>0</v>
      </c>
      <c r="F2879" s="2">
        <v>0</v>
      </c>
      <c r="H2879">
        <v>0</v>
      </c>
      <c r="I2879">
        <v>0.1741125760648204</v>
      </c>
      <c r="J2879">
        <v>0</v>
      </c>
      <c r="K2879">
        <v>0</v>
      </c>
      <c r="L2879" s="2">
        <v>0</v>
      </c>
      <c r="M2879">
        <v>31.67</v>
      </c>
      <c r="N2879" t="s">
        <v>10236</v>
      </c>
    </row>
    <row r="2880" spans="1:14">
      <c r="A2880" t="s">
        <v>219</v>
      </c>
      <c r="B2880" t="s">
        <v>3039</v>
      </c>
      <c r="C2880">
        <f>"PRWPCC"</f>
        <v>0</v>
      </c>
      <c r="D2880">
        <v>0</v>
      </c>
      <c r="E2880">
        <v>0</v>
      </c>
      <c r="F2880" s="2">
        <v>0</v>
      </c>
      <c r="H2880">
        <v>0</v>
      </c>
      <c r="I2880">
        <v>0.1741125760648204</v>
      </c>
      <c r="J2880">
        <v>0</v>
      </c>
      <c r="K2880">
        <v>0</v>
      </c>
      <c r="L2880" s="2">
        <v>0</v>
      </c>
      <c r="M2880">
        <v>31.68</v>
      </c>
      <c r="N2880" t="s">
        <v>10236</v>
      </c>
    </row>
    <row r="2881" spans="1:14">
      <c r="A2881" t="s">
        <v>219</v>
      </c>
      <c r="B2881" t="s">
        <v>3040</v>
      </c>
      <c r="C2881">
        <f>"PRWPA"</f>
        <v>0</v>
      </c>
      <c r="D2881">
        <v>0</v>
      </c>
      <c r="E2881">
        <v>0</v>
      </c>
      <c r="F2881" s="2">
        <v>0</v>
      </c>
      <c r="H2881">
        <v>0</v>
      </c>
      <c r="I2881">
        <v>0.1741125760648204</v>
      </c>
      <c r="J2881">
        <v>0</v>
      </c>
      <c r="K2881">
        <v>0</v>
      </c>
      <c r="L2881" s="2">
        <v>0</v>
      </c>
      <c r="M2881">
        <v>31.69</v>
      </c>
      <c r="N2881" t="s">
        <v>10236</v>
      </c>
    </row>
    <row r="2882" spans="1:14">
      <c r="A2882" t="s">
        <v>35</v>
      </c>
      <c r="B2882" t="s">
        <v>3041</v>
      </c>
      <c r="C2882">
        <f>"LWT0183"</f>
        <v>0</v>
      </c>
      <c r="D2882">
        <v>0</v>
      </c>
      <c r="E2882">
        <v>0</v>
      </c>
      <c r="F2882" s="2">
        <v>0</v>
      </c>
      <c r="H2882">
        <v>0</v>
      </c>
      <c r="I2882">
        <v>0.1741125760648204</v>
      </c>
      <c r="J2882">
        <v>0</v>
      </c>
      <c r="K2882">
        <v>0</v>
      </c>
      <c r="L2882" s="2">
        <v>0</v>
      </c>
      <c r="M2882">
        <v>31.7</v>
      </c>
      <c r="N2882" t="s">
        <v>10236</v>
      </c>
    </row>
    <row r="2883" spans="1:14">
      <c r="A2883" t="s">
        <v>219</v>
      </c>
      <c r="B2883" t="s">
        <v>3042</v>
      </c>
      <c r="C2883">
        <f>"PRWGS"</f>
        <v>0</v>
      </c>
      <c r="D2883">
        <v>0</v>
      </c>
      <c r="E2883">
        <v>0</v>
      </c>
      <c r="F2883" s="2">
        <v>0</v>
      </c>
      <c r="H2883">
        <v>0</v>
      </c>
      <c r="I2883">
        <v>0.1741125760648204</v>
      </c>
      <c r="J2883">
        <v>0</v>
      </c>
      <c r="K2883">
        <v>0</v>
      </c>
      <c r="L2883" s="2">
        <v>0</v>
      </c>
      <c r="M2883">
        <v>31.7</v>
      </c>
      <c r="N2883" t="s">
        <v>10236</v>
      </c>
    </row>
    <row r="2884" spans="1:14">
      <c r="A2884" t="s">
        <v>196</v>
      </c>
      <c r="B2884" t="s">
        <v>3043</v>
      </c>
      <c r="C2884">
        <f>"2491306"</f>
        <v>0</v>
      </c>
      <c r="D2884">
        <v>0</v>
      </c>
      <c r="E2884">
        <v>2</v>
      </c>
      <c r="F2884" s="2">
        <v>1</v>
      </c>
      <c r="H2884">
        <v>0</v>
      </c>
      <c r="I2884">
        <v>0.1741125760648204</v>
      </c>
      <c r="J2884">
        <v>0</v>
      </c>
      <c r="K2884">
        <v>0</v>
      </c>
      <c r="L2884" s="2">
        <v>0</v>
      </c>
      <c r="M2884">
        <v>31.71</v>
      </c>
      <c r="N2884" t="s">
        <v>10236</v>
      </c>
    </row>
    <row r="2885" spans="1:14">
      <c r="A2885" t="s">
        <v>219</v>
      </c>
      <c r="B2885" t="s">
        <v>3044</v>
      </c>
      <c r="C2885">
        <f>"PRWPS"</f>
        <v>0</v>
      </c>
      <c r="D2885">
        <v>0</v>
      </c>
      <c r="E2885">
        <v>0</v>
      </c>
      <c r="F2885" s="2">
        <v>0</v>
      </c>
      <c r="H2885">
        <v>0</v>
      </c>
      <c r="I2885">
        <v>0.1741125760648204</v>
      </c>
      <c r="J2885">
        <v>0</v>
      </c>
      <c r="K2885">
        <v>0</v>
      </c>
      <c r="L2885" s="2">
        <v>0</v>
      </c>
      <c r="M2885">
        <v>31.72</v>
      </c>
      <c r="N2885" t="s">
        <v>10236</v>
      </c>
    </row>
    <row r="2886" spans="1:14">
      <c r="A2886" t="s">
        <v>35</v>
      </c>
      <c r="B2886" t="s">
        <v>3045</v>
      </c>
      <c r="C2886">
        <f>"1817S"</f>
        <v>0</v>
      </c>
      <c r="D2886">
        <v>0</v>
      </c>
      <c r="E2886">
        <v>1</v>
      </c>
      <c r="F2886" s="2">
        <v>3</v>
      </c>
      <c r="H2886">
        <v>0</v>
      </c>
      <c r="I2886">
        <v>0.1741125760648204</v>
      </c>
      <c r="J2886">
        <v>0</v>
      </c>
      <c r="K2886">
        <v>0</v>
      </c>
      <c r="L2886" s="2">
        <v>0</v>
      </c>
      <c r="M2886">
        <v>31.73</v>
      </c>
      <c r="N2886" t="s">
        <v>10236</v>
      </c>
    </row>
    <row r="2887" spans="1:14">
      <c r="A2887" t="s">
        <v>35</v>
      </c>
      <c r="B2887" t="s">
        <v>3046</v>
      </c>
      <c r="C2887">
        <f>"LWT0179"</f>
        <v>0</v>
      </c>
      <c r="D2887">
        <v>0</v>
      </c>
      <c r="E2887">
        <v>0</v>
      </c>
      <c r="F2887" s="2">
        <v>0</v>
      </c>
      <c r="H2887">
        <v>0</v>
      </c>
      <c r="I2887">
        <v>0.1741125760648204</v>
      </c>
      <c r="J2887">
        <v>0</v>
      </c>
      <c r="K2887">
        <v>0</v>
      </c>
      <c r="L2887" s="2">
        <v>0</v>
      </c>
      <c r="M2887">
        <v>31.74</v>
      </c>
      <c r="N2887" t="s">
        <v>10236</v>
      </c>
    </row>
    <row r="2888" spans="1:14">
      <c r="A2888" t="s">
        <v>35</v>
      </c>
      <c r="B2888" t="s">
        <v>3047</v>
      </c>
      <c r="C2888">
        <f>"TQ01081V"</f>
        <v>0</v>
      </c>
      <c r="D2888">
        <v>0</v>
      </c>
      <c r="E2888">
        <v>0</v>
      </c>
      <c r="F2888" s="2">
        <v>0</v>
      </c>
      <c r="H2888">
        <v>0</v>
      </c>
      <c r="I2888">
        <v>0.1741125760648204</v>
      </c>
      <c r="J2888">
        <v>0</v>
      </c>
      <c r="K2888">
        <v>0</v>
      </c>
      <c r="L2888" s="2">
        <v>0</v>
      </c>
      <c r="M2888">
        <v>31.75</v>
      </c>
      <c r="N2888" t="s">
        <v>10236</v>
      </c>
    </row>
    <row r="2889" spans="1:14">
      <c r="A2889" t="s">
        <v>35</v>
      </c>
      <c r="B2889" t="s">
        <v>1318</v>
      </c>
      <c r="C2889">
        <f>"TQ01081R"</f>
        <v>0</v>
      </c>
      <c r="D2889">
        <v>0</v>
      </c>
      <c r="E2889">
        <v>0</v>
      </c>
      <c r="F2889" s="2">
        <v>0</v>
      </c>
      <c r="H2889">
        <v>0</v>
      </c>
      <c r="I2889">
        <v>0.1741125760648204</v>
      </c>
      <c r="J2889">
        <v>0</v>
      </c>
      <c r="K2889">
        <v>0</v>
      </c>
      <c r="L2889" s="2">
        <v>0</v>
      </c>
      <c r="M2889">
        <v>31.76</v>
      </c>
      <c r="N2889" t="s">
        <v>10236</v>
      </c>
    </row>
    <row r="2890" spans="1:14">
      <c r="A2890" t="s">
        <v>35</v>
      </c>
      <c r="B2890" t="s">
        <v>3048</v>
      </c>
      <c r="C2890">
        <f>"BO3044ZVE"</f>
        <v>0</v>
      </c>
      <c r="D2890">
        <v>0</v>
      </c>
      <c r="E2890">
        <v>0</v>
      </c>
      <c r="F2890" s="2">
        <v>0</v>
      </c>
      <c r="H2890">
        <v>0</v>
      </c>
      <c r="I2890">
        <v>0.1741125760648204</v>
      </c>
      <c r="J2890">
        <v>0</v>
      </c>
      <c r="K2890">
        <v>0</v>
      </c>
      <c r="L2890" s="2">
        <v>0</v>
      </c>
      <c r="M2890">
        <v>31.77</v>
      </c>
      <c r="N2890" t="s">
        <v>10236</v>
      </c>
    </row>
    <row r="2891" spans="1:14">
      <c r="A2891" t="s">
        <v>35</v>
      </c>
      <c r="B2891" t="s">
        <v>3049</v>
      </c>
      <c r="C2891">
        <f>"BO3044ZROS"</f>
        <v>0</v>
      </c>
      <c r="D2891">
        <v>0</v>
      </c>
      <c r="E2891">
        <v>1</v>
      </c>
      <c r="F2891" s="2">
        <v>2</v>
      </c>
      <c r="H2891">
        <v>0</v>
      </c>
      <c r="I2891">
        <v>0.1741125760648204</v>
      </c>
      <c r="J2891">
        <v>0</v>
      </c>
      <c r="K2891">
        <v>0</v>
      </c>
      <c r="L2891" s="2">
        <v>0</v>
      </c>
      <c r="M2891">
        <v>31.78</v>
      </c>
      <c r="N2891" t="s">
        <v>10236</v>
      </c>
    </row>
    <row r="2892" spans="1:14">
      <c r="A2892" t="s">
        <v>35</v>
      </c>
      <c r="B2892" t="s">
        <v>3050</v>
      </c>
      <c r="C2892">
        <f>"BO3044ZAZG"</f>
        <v>0</v>
      </c>
      <c r="D2892">
        <v>0</v>
      </c>
      <c r="E2892">
        <v>0</v>
      </c>
      <c r="F2892" s="2">
        <v>0</v>
      </c>
      <c r="H2892">
        <v>0</v>
      </c>
      <c r="I2892">
        <v>0.1741125760648204</v>
      </c>
      <c r="J2892">
        <v>0</v>
      </c>
      <c r="K2892">
        <v>0</v>
      </c>
      <c r="L2892" s="2">
        <v>0</v>
      </c>
      <c r="M2892">
        <v>31.79</v>
      </c>
      <c r="N2892" t="s">
        <v>10236</v>
      </c>
    </row>
    <row r="2893" spans="1:14">
      <c r="A2893" t="s">
        <v>35</v>
      </c>
      <c r="B2893" t="s">
        <v>3051</v>
      </c>
      <c r="C2893">
        <f>"BO3044ZAM"</f>
        <v>0</v>
      </c>
      <c r="D2893">
        <v>0</v>
      </c>
      <c r="E2893">
        <v>1</v>
      </c>
      <c r="F2893" s="2">
        <v>2</v>
      </c>
      <c r="H2893">
        <v>0</v>
      </c>
      <c r="I2893">
        <v>0.1741125760648204</v>
      </c>
      <c r="J2893">
        <v>0</v>
      </c>
      <c r="K2893">
        <v>0</v>
      </c>
      <c r="L2893" s="2">
        <v>0</v>
      </c>
      <c r="M2893">
        <v>31.8</v>
      </c>
      <c r="N2893" t="s">
        <v>10236</v>
      </c>
    </row>
    <row r="2894" spans="1:14">
      <c r="A2894" t="s">
        <v>35</v>
      </c>
      <c r="B2894" t="s">
        <v>3052</v>
      </c>
      <c r="C2894">
        <f>"TQ881G"</f>
        <v>0</v>
      </c>
      <c r="D2894">
        <v>0</v>
      </c>
      <c r="E2894">
        <v>0</v>
      </c>
      <c r="F2894" s="2">
        <v>0</v>
      </c>
      <c r="H2894">
        <v>0</v>
      </c>
      <c r="I2894">
        <v>0.1741125760648204</v>
      </c>
      <c r="J2894">
        <v>0</v>
      </c>
      <c r="K2894">
        <v>0</v>
      </c>
      <c r="L2894" s="2">
        <v>0</v>
      </c>
      <c r="M2894">
        <v>31.81</v>
      </c>
      <c r="N2894" t="s">
        <v>10236</v>
      </c>
    </row>
    <row r="2895" spans="1:14">
      <c r="A2895" t="s">
        <v>35</v>
      </c>
      <c r="B2895" t="s">
        <v>3053</v>
      </c>
      <c r="C2895">
        <f>"TQ881A"</f>
        <v>0</v>
      </c>
      <c r="D2895">
        <v>0</v>
      </c>
      <c r="E2895">
        <v>0</v>
      </c>
      <c r="F2895" s="2">
        <v>0</v>
      </c>
      <c r="H2895">
        <v>0</v>
      </c>
      <c r="I2895">
        <v>0.1741125760648204</v>
      </c>
      <c r="J2895">
        <v>0</v>
      </c>
      <c r="K2895">
        <v>0</v>
      </c>
      <c r="L2895" s="2">
        <v>0</v>
      </c>
      <c r="M2895">
        <v>31.82</v>
      </c>
      <c r="N2895" t="s">
        <v>10236</v>
      </c>
    </row>
    <row r="2896" spans="1:14">
      <c r="A2896" t="s">
        <v>35</v>
      </c>
      <c r="B2896" t="s">
        <v>3054</v>
      </c>
      <c r="C2896">
        <f>"1577396716928"</f>
        <v>0</v>
      </c>
      <c r="D2896">
        <v>0</v>
      </c>
      <c r="E2896">
        <v>0</v>
      </c>
      <c r="F2896" s="2">
        <v>0</v>
      </c>
      <c r="H2896">
        <v>0</v>
      </c>
      <c r="I2896">
        <v>0.1741125760648204</v>
      </c>
      <c r="J2896">
        <v>0</v>
      </c>
      <c r="K2896">
        <v>0</v>
      </c>
      <c r="L2896" s="2">
        <v>0</v>
      </c>
      <c r="M2896">
        <v>31.82</v>
      </c>
      <c r="N2896" t="s">
        <v>10236</v>
      </c>
    </row>
    <row r="2897" spans="1:14">
      <c r="A2897" t="s">
        <v>35</v>
      </c>
      <c r="B2897" t="s">
        <v>3055</v>
      </c>
      <c r="C2897">
        <f>"6239002"</f>
        <v>0</v>
      </c>
      <c r="D2897">
        <v>0</v>
      </c>
      <c r="E2897">
        <v>159</v>
      </c>
      <c r="F2897" s="2">
        <v>0</v>
      </c>
      <c r="H2897">
        <v>0</v>
      </c>
      <c r="I2897">
        <v>0.1741125760648204</v>
      </c>
      <c r="J2897">
        <v>0</v>
      </c>
      <c r="K2897">
        <v>0</v>
      </c>
      <c r="L2897" s="2">
        <v>0</v>
      </c>
      <c r="M2897">
        <v>31.83</v>
      </c>
      <c r="N2897" t="s">
        <v>10236</v>
      </c>
    </row>
    <row r="2898" spans="1:14">
      <c r="A2898" t="s">
        <v>35</v>
      </c>
      <c r="B2898" t="s">
        <v>3056</v>
      </c>
      <c r="C2898">
        <f>"D161"</f>
        <v>0</v>
      </c>
      <c r="D2898">
        <v>0</v>
      </c>
      <c r="E2898">
        <v>0</v>
      </c>
      <c r="F2898" s="2">
        <v>0</v>
      </c>
      <c r="H2898">
        <v>0</v>
      </c>
      <c r="I2898">
        <v>0.1741125760648204</v>
      </c>
      <c r="J2898">
        <v>0</v>
      </c>
      <c r="K2898">
        <v>0</v>
      </c>
      <c r="L2898" s="2">
        <v>0</v>
      </c>
      <c r="M2898">
        <v>31.84</v>
      </c>
      <c r="N2898" t="s">
        <v>10236</v>
      </c>
    </row>
    <row r="2899" spans="1:14">
      <c r="A2899" t="s">
        <v>35</v>
      </c>
      <c r="B2899" t="s">
        <v>3057</v>
      </c>
      <c r="C2899">
        <f>"MH021"</f>
        <v>0</v>
      </c>
      <c r="D2899">
        <v>0</v>
      </c>
      <c r="E2899">
        <v>0</v>
      </c>
      <c r="F2899" s="2">
        <v>0</v>
      </c>
      <c r="H2899">
        <v>0</v>
      </c>
      <c r="I2899">
        <v>0.1741125760648204</v>
      </c>
      <c r="J2899">
        <v>0</v>
      </c>
      <c r="K2899">
        <v>0</v>
      </c>
      <c r="L2899" s="2">
        <v>0</v>
      </c>
      <c r="M2899">
        <v>31.85</v>
      </c>
      <c r="N2899" t="s">
        <v>10236</v>
      </c>
    </row>
    <row r="2900" spans="1:14">
      <c r="A2900" t="s">
        <v>35</v>
      </c>
      <c r="B2900" t="s">
        <v>3058</v>
      </c>
      <c r="C2900">
        <f>"TQ27CEL"</f>
        <v>0</v>
      </c>
      <c r="D2900">
        <v>0</v>
      </c>
      <c r="E2900">
        <v>0</v>
      </c>
      <c r="F2900" s="2">
        <v>0</v>
      </c>
      <c r="H2900">
        <v>0</v>
      </c>
      <c r="I2900">
        <v>0.1741125760648204</v>
      </c>
      <c r="J2900">
        <v>0</v>
      </c>
      <c r="K2900">
        <v>0</v>
      </c>
      <c r="L2900" s="2">
        <v>0</v>
      </c>
      <c r="M2900">
        <v>31.86</v>
      </c>
      <c r="N2900" t="s">
        <v>10236</v>
      </c>
    </row>
    <row r="2901" spans="1:14">
      <c r="A2901" t="s">
        <v>216</v>
      </c>
      <c r="B2901" t="s">
        <v>3059</v>
      </c>
      <c r="C2901">
        <f>"600780782"</f>
        <v>0</v>
      </c>
      <c r="D2901">
        <v>0</v>
      </c>
      <c r="E2901">
        <v>0</v>
      </c>
      <c r="F2901" s="2">
        <v>0</v>
      </c>
      <c r="H2901">
        <v>0</v>
      </c>
      <c r="I2901">
        <v>0.1741125760648204</v>
      </c>
      <c r="J2901">
        <v>0</v>
      </c>
      <c r="K2901">
        <v>0</v>
      </c>
      <c r="L2901" s="2">
        <v>0</v>
      </c>
      <c r="M2901">
        <v>31.87</v>
      </c>
      <c r="N2901" t="s">
        <v>10236</v>
      </c>
    </row>
    <row r="2902" spans="1:14">
      <c r="A2902" t="s">
        <v>35</v>
      </c>
      <c r="B2902" t="s">
        <v>3060</v>
      </c>
      <c r="C2902">
        <f>"APA"</f>
        <v>0</v>
      </c>
      <c r="D2902">
        <v>0</v>
      </c>
      <c r="E2902">
        <v>0</v>
      </c>
      <c r="F2902" s="2">
        <v>0</v>
      </c>
      <c r="H2902">
        <v>0</v>
      </c>
      <c r="I2902">
        <v>0.1741125760648204</v>
      </c>
      <c r="J2902">
        <v>0</v>
      </c>
      <c r="K2902">
        <v>0</v>
      </c>
      <c r="L2902" s="2">
        <v>0</v>
      </c>
      <c r="M2902">
        <v>31.88</v>
      </c>
      <c r="N2902" t="s">
        <v>10236</v>
      </c>
    </row>
    <row r="2903" spans="1:14">
      <c r="A2903" t="s">
        <v>35</v>
      </c>
      <c r="B2903" t="s">
        <v>3061</v>
      </c>
      <c r="C2903">
        <f>"APA3"</f>
        <v>0</v>
      </c>
      <c r="D2903">
        <v>0</v>
      </c>
      <c r="E2903">
        <v>0</v>
      </c>
      <c r="F2903" s="2">
        <v>0</v>
      </c>
      <c r="H2903">
        <v>0</v>
      </c>
      <c r="I2903">
        <v>0.1741125760648204</v>
      </c>
      <c r="J2903">
        <v>0</v>
      </c>
      <c r="K2903">
        <v>0</v>
      </c>
      <c r="L2903" s="2">
        <v>0</v>
      </c>
      <c r="M2903">
        <v>31.89</v>
      </c>
      <c r="N2903" t="s">
        <v>10236</v>
      </c>
    </row>
    <row r="2904" spans="1:14">
      <c r="A2904" t="s">
        <v>35</v>
      </c>
      <c r="B2904" t="s">
        <v>3062</v>
      </c>
      <c r="C2904">
        <f>"D112"</f>
        <v>0</v>
      </c>
      <c r="D2904">
        <v>0</v>
      </c>
      <c r="E2904">
        <v>0</v>
      </c>
      <c r="F2904" s="2">
        <v>0</v>
      </c>
      <c r="H2904">
        <v>0</v>
      </c>
      <c r="I2904">
        <v>0.1741125760648204</v>
      </c>
      <c r="J2904">
        <v>0</v>
      </c>
      <c r="K2904">
        <v>0</v>
      </c>
      <c r="L2904" s="2">
        <v>0</v>
      </c>
      <c r="M2904">
        <v>31.9</v>
      </c>
      <c r="N2904" t="s">
        <v>10236</v>
      </c>
    </row>
    <row r="2905" spans="1:14">
      <c r="A2905" t="s">
        <v>35</v>
      </c>
      <c r="B2905" t="s">
        <v>3063</v>
      </c>
      <c r="C2905">
        <f>"21502R"</f>
        <v>0</v>
      </c>
      <c r="D2905">
        <v>0</v>
      </c>
      <c r="E2905">
        <v>2</v>
      </c>
      <c r="F2905" s="2">
        <v>3</v>
      </c>
      <c r="H2905">
        <v>0</v>
      </c>
      <c r="I2905">
        <v>0.1741125760648204</v>
      </c>
      <c r="J2905">
        <v>0</v>
      </c>
      <c r="K2905">
        <v>0</v>
      </c>
      <c r="L2905" s="2">
        <v>0</v>
      </c>
      <c r="M2905">
        <v>31.91</v>
      </c>
      <c r="N2905" t="s">
        <v>10236</v>
      </c>
    </row>
    <row r="2906" spans="1:14">
      <c r="A2906" t="s">
        <v>35</v>
      </c>
      <c r="B2906" t="s">
        <v>3064</v>
      </c>
      <c r="C2906">
        <f>"TQ00211C"</f>
        <v>0</v>
      </c>
      <c r="D2906">
        <v>0</v>
      </c>
      <c r="E2906">
        <v>0</v>
      </c>
      <c r="F2906" s="2">
        <v>0</v>
      </c>
      <c r="H2906">
        <v>0</v>
      </c>
      <c r="I2906">
        <v>0.1741125760648204</v>
      </c>
      <c r="J2906">
        <v>0</v>
      </c>
      <c r="K2906">
        <v>0</v>
      </c>
      <c r="L2906" s="2">
        <v>0</v>
      </c>
      <c r="M2906">
        <v>31.92</v>
      </c>
      <c r="N2906" t="s">
        <v>10236</v>
      </c>
    </row>
    <row r="2907" spans="1:14">
      <c r="A2907" t="s">
        <v>35</v>
      </c>
      <c r="B2907" t="s">
        <v>3065</v>
      </c>
      <c r="C2907">
        <f>"MH060"</f>
        <v>0</v>
      </c>
      <c r="D2907">
        <v>0</v>
      </c>
      <c r="E2907">
        <v>0</v>
      </c>
      <c r="F2907" s="2">
        <v>0</v>
      </c>
      <c r="H2907">
        <v>0</v>
      </c>
      <c r="I2907">
        <v>0.1741125760648204</v>
      </c>
      <c r="J2907">
        <v>0</v>
      </c>
      <c r="K2907">
        <v>0</v>
      </c>
      <c r="L2907" s="2">
        <v>0</v>
      </c>
      <c r="M2907">
        <v>31.93</v>
      </c>
      <c r="N2907" t="s">
        <v>10236</v>
      </c>
    </row>
    <row r="2908" spans="1:14">
      <c r="A2908" t="s">
        <v>35</v>
      </c>
      <c r="B2908" t="s">
        <v>3066</v>
      </c>
      <c r="C2908">
        <f>"TQ0111C"</f>
        <v>0</v>
      </c>
      <c r="D2908">
        <v>0</v>
      </c>
      <c r="E2908">
        <v>0</v>
      </c>
      <c r="F2908" s="2">
        <v>0</v>
      </c>
      <c r="H2908">
        <v>0</v>
      </c>
      <c r="I2908">
        <v>0.1741125760648204</v>
      </c>
      <c r="J2908">
        <v>0</v>
      </c>
      <c r="K2908">
        <v>0</v>
      </c>
      <c r="L2908" s="2">
        <v>0</v>
      </c>
      <c r="M2908">
        <v>31.94</v>
      </c>
      <c r="N2908" t="s">
        <v>10236</v>
      </c>
    </row>
    <row r="2909" spans="1:14">
      <c r="A2909" t="s">
        <v>35</v>
      </c>
      <c r="B2909" t="s">
        <v>3067</v>
      </c>
      <c r="C2909">
        <f>"KE4900"</f>
        <v>0</v>
      </c>
      <c r="D2909">
        <v>0</v>
      </c>
      <c r="E2909">
        <v>0</v>
      </c>
      <c r="F2909" s="2">
        <v>0</v>
      </c>
      <c r="H2909">
        <v>0</v>
      </c>
      <c r="I2909">
        <v>0.1741125760648204</v>
      </c>
      <c r="J2909">
        <v>0</v>
      </c>
      <c r="K2909">
        <v>0</v>
      </c>
      <c r="L2909" s="2">
        <v>0</v>
      </c>
      <c r="M2909">
        <v>31.94</v>
      </c>
      <c r="N2909" t="s">
        <v>10236</v>
      </c>
    </row>
    <row r="2910" spans="1:14">
      <c r="A2910" t="s">
        <v>35</v>
      </c>
      <c r="B2910" t="s">
        <v>3068</v>
      </c>
      <c r="C2910">
        <f>"TQ10111V"</f>
        <v>0</v>
      </c>
      <c r="D2910">
        <v>0</v>
      </c>
      <c r="E2910">
        <v>0</v>
      </c>
      <c r="F2910" s="2">
        <v>0</v>
      </c>
      <c r="H2910">
        <v>0</v>
      </c>
      <c r="I2910">
        <v>0.1741125760648204</v>
      </c>
      <c r="J2910">
        <v>0</v>
      </c>
      <c r="K2910">
        <v>0</v>
      </c>
      <c r="L2910" s="2">
        <v>0</v>
      </c>
      <c r="M2910">
        <v>31.95</v>
      </c>
      <c r="N2910" t="s">
        <v>10236</v>
      </c>
    </row>
    <row r="2911" spans="1:14">
      <c r="A2911" t="s">
        <v>35</v>
      </c>
      <c r="B2911" t="s">
        <v>3069</v>
      </c>
      <c r="C2911">
        <f>"TQ10111N"</f>
        <v>0</v>
      </c>
      <c r="D2911">
        <v>0</v>
      </c>
      <c r="E2911">
        <v>0</v>
      </c>
      <c r="F2911" s="2">
        <v>0</v>
      </c>
      <c r="H2911">
        <v>0</v>
      </c>
      <c r="I2911">
        <v>0.1741125760648204</v>
      </c>
      <c r="J2911">
        <v>0</v>
      </c>
      <c r="K2911">
        <v>0</v>
      </c>
      <c r="L2911" s="2">
        <v>0</v>
      </c>
      <c r="M2911">
        <v>31.96</v>
      </c>
      <c r="N2911" t="s">
        <v>10236</v>
      </c>
    </row>
    <row r="2912" spans="1:14">
      <c r="A2912" t="s">
        <v>35</v>
      </c>
      <c r="B2912" t="s">
        <v>3070</v>
      </c>
      <c r="C2912">
        <f>"TQ10111AZ"</f>
        <v>0</v>
      </c>
      <c r="D2912">
        <v>0</v>
      </c>
      <c r="E2912">
        <v>0</v>
      </c>
      <c r="F2912" s="2">
        <v>0</v>
      </c>
      <c r="H2912">
        <v>0</v>
      </c>
      <c r="I2912">
        <v>0.1741125760648204</v>
      </c>
      <c r="J2912">
        <v>0</v>
      </c>
      <c r="K2912">
        <v>0</v>
      </c>
      <c r="L2912" s="2">
        <v>0</v>
      </c>
      <c r="M2912">
        <v>31.97</v>
      </c>
      <c r="N2912" t="s">
        <v>10236</v>
      </c>
    </row>
    <row r="2913" spans="1:14">
      <c r="A2913" t="s">
        <v>35</v>
      </c>
      <c r="B2913" t="s">
        <v>3071</v>
      </c>
      <c r="C2913">
        <f>"TQ0351V"</f>
        <v>0</v>
      </c>
      <c r="D2913">
        <v>0</v>
      </c>
      <c r="E2913">
        <v>0</v>
      </c>
      <c r="F2913" s="2">
        <v>0</v>
      </c>
      <c r="H2913">
        <v>0</v>
      </c>
      <c r="I2913">
        <v>0.1741125760648204</v>
      </c>
      <c r="J2913">
        <v>0</v>
      </c>
      <c r="K2913">
        <v>0</v>
      </c>
      <c r="L2913" s="2">
        <v>0</v>
      </c>
      <c r="M2913">
        <v>31.98</v>
      </c>
      <c r="N2913" t="s">
        <v>10236</v>
      </c>
    </row>
    <row r="2914" spans="1:14">
      <c r="A2914" t="s">
        <v>35</v>
      </c>
      <c r="B2914" t="s">
        <v>3072</v>
      </c>
      <c r="C2914">
        <f>"TQ0351ROS"</f>
        <v>0</v>
      </c>
      <c r="D2914">
        <v>0</v>
      </c>
      <c r="E2914">
        <v>2</v>
      </c>
      <c r="F2914" s="2">
        <v>1</v>
      </c>
      <c r="H2914">
        <v>0</v>
      </c>
      <c r="I2914">
        <v>0.1741125760648204</v>
      </c>
      <c r="J2914">
        <v>0</v>
      </c>
      <c r="K2914">
        <v>0</v>
      </c>
      <c r="L2914" s="2">
        <v>0</v>
      </c>
      <c r="M2914">
        <v>31.99</v>
      </c>
      <c r="N2914" t="s">
        <v>10236</v>
      </c>
    </row>
    <row r="2915" spans="1:14">
      <c r="A2915" t="s">
        <v>35</v>
      </c>
      <c r="B2915" t="s">
        <v>3073</v>
      </c>
      <c r="C2915">
        <f>"TQ0351C"</f>
        <v>0</v>
      </c>
      <c r="D2915">
        <v>0</v>
      </c>
      <c r="E2915">
        <v>0</v>
      </c>
      <c r="F2915" s="2">
        <v>0</v>
      </c>
      <c r="H2915">
        <v>0</v>
      </c>
      <c r="I2915">
        <v>0.1741125760648204</v>
      </c>
      <c r="J2915">
        <v>0</v>
      </c>
      <c r="K2915">
        <v>0</v>
      </c>
      <c r="L2915" s="2">
        <v>0</v>
      </c>
      <c r="M2915">
        <v>32</v>
      </c>
      <c r="N2915" t="s">
        <v>10236</v>
      </c>
    </row>
    <row r="2916" spans="1:14">
      <c r="A2916" t="s">
        <v>35</v>
      </c>
      <c r="B2916" t="s">
        <v>3058</v>
      </c>
      <c r="C2916">
        <f>"TQ27V"</f>
        <v>0</v>
      </c>
      <c r="D2916">
        <v>0</v>
      </c>
      <c r="E2916">
        <v>0</v>
      </c>
      <c r="F2916" s="2">
        <v>0</v>
      </c>
      <c r="H2916">
        <v>0</v>
      </c>
      <c r="I2916">
        <v>0.1741125760648204</v>
      </c>
      <c r="J2916">
        <v>0</v>
      </c>
      <c r="K2916">
        <v>0</v>
      </c>
      <c r="L2916" s="2">
        <v>0</v>
      </c>
      <c r="M2916">
        <v>32.01</v>
      </c>
      <c r="N2916" t="s">
        <v>10236</v>
      </c>
    </row>
    <row r="2917" spans="1:14">
      <c r="A2917" t="s">
        <v>25</v>
      </c>
      <c r="B2917" t="s">
        <v>3074</v>
      </c>
      <c r="C2917">
        <f>"ND04250"</f>
        <v>0</v>
      </c>
      <c r="D2917">
        <v>0</v>
      </c>
      <c r="E2917">
        <v>0</v>
      </c>
      <c r="F2917" s="2">
        <v>0</v>
      </c>
      <c r="H2917">
        <v>0</v>
      </c>
      <c r="I2917">
        <v>0.1741125760648204</v>
      </c>
      <c r="J2917">
        <v>0</v>
      </c>
      <c r="K2917">
        <v>0</v>
      </c>
      <c r="L2917" s="2">
        <v>0</v>
      </c>
      <c r="M2917">
        <v>32.02</v>
      </c>
      <c r="N2917" t="s">
        <v>10236</v>
      </c>
    </row>
    <row r="2918" spans="1:14">
      <c r="A2918" t="s">
        <v>25</v>
      </c>
      <c r="B2918" t="s">
        <v>3075</v>
      </c>
      <c r="C2918">
        <f>"ND04150"</f>
        <v>0</v>
      </c>
      <c r="D2918">
        <v>0</v>
      </c>
      <c r="E2918">
        <v>0</v>
      </c>
      <c r="F2918" s="2">
        <v>0</v>
      </c>
      <c r="H2918">
        <v>0</v>
      </c>
      <c r="I2918">
        <v>0.1741125760648204</v>
      </c>
      <c r="J2918">
        <v>0</v>
      </c>
      <c r="K2918">
        <v>0</v>
      </c>
      <c r="L2918" s="2">
        <v>0</v>
      </c>
      <c r="M2918">
        <v>32.03</v>
      </c>
      <c r="N2918" t="s">
        <v>10236</v>
      </c>
    </row>
    <row r="2919" spans="1:14">
      <c r="A2919" t="s">
        <v>25</v>
      </c>
      <c r="B2919" t="s">
        <v>3076</v>
      </c>
      <c r="C2919">
        <f>"ND04100"</f>
        <v>0</v>
      </c>
      <c r="D2919">
        <v>0</v>
      </c>
      <c r="E2919">
        <v>0</v>
      </c>
      <c r="F2919" s="2">
        <v>0</v>
      </c>
      <c r="H2919">
        <v>0</v>
      </c>
      <c r="I2919">
        <v>0.1741125760648204</v>
      </c>
      <c r="J2919">
        <v>0</v>
      </c>
      <c r="K2919">
        <v>0</v>
      </c>
      <c r="L2919" s="2">
        <v>0</v>
      </c>
      <c r="M2919">
        <v>32.04</v>
      </c>
      <c r="N2919" t="s">
        <v>10236</v>
      </c>
    </row>
    <row r="2920" spans="1:14">
      <c r="A2920" t="s">
        <v>218</v>
      </c>
      <c r="B2920" t="s">
        <v>3077</v>
      </c>
      <c r="C2920">
        <f>"am067im"</f>
        <v>0</v>
      </c>
      <c r="D2920">
        <v>0</v>
      </c>
      <c r="E2920">
        <v>0</v>
      </c>
      <c r="F2920" s="2">
        <v>0</v>
      </c>
      <c r="H2920">
        <v>0</v>
      </c>
      <c r="I2920">
        <v>0.1741125760648204</v>
      </c>
      <c r="J2920">
        <v>0</v>
      </c>
      <c r="K2920">
        <v>0</v>
      </c>
      <c r="L2920" s="2">
        <v>0</v>
      </c>
      <c r="M2920">
        <v>32.05</v>
      </c>
      <c r="N2920" t="s">
        <v>10236</v>
      </c>
    </row>
    <row r="2921" spans="1:14">
      <c r="A2921" t="s">
        <v>218</v>
      </c>
      <c r="B2921" t="s">
        <v>3078</v>
      </c>
      <c r="C2921">
        <f>"am021im"</f>
        <v>0</v>
      </c>
      <c r="D2921">
        <v>0</v>
      </c>
      <c r="E2921">
        <v>0</v>
      </c>
      <c r="F2921" s="2">
        <v>0</v>
      </c>
      <c r="H2921">
        <v>0</v>
      </c>
      <c r="I2921">
        <v>0.1741125760648204</v>
      </c>
      <c r="J2921">
        <v>0</v>
      </c>
      <c r="K2921">
        <v>0</v>
      </c>
      <c r="L2921" s="2">
        <v>0</v>
      </c>
      <c r="M2921">
        <v>32.05</v>
      </c>
      <c r="N2921" t="s">
        <v>10236</v>
      </c>
    </row>
    <row r="2922" spans="1:14">
      <c r="A2922" t="s">
        <v>218</v>
      </c>
      <c r="B2922" t="s">
        <v>3079</v>
      </c>
      <c r="C2922">
        <f>"VETERSING7"</f>
        <v>0</v>
      </c>
      <c r="D2922">
        <v>0</v>
      </c>
      <c r="E2922">
        <v>0</v>
      </c>
      <c r="F2922" s="2">
        <v>0</v>
      </c>
      <c r="H2922">
        <v>0</v>
      </c>
      <c r="I2922">
        <v>0.1741125760648204</v>
      </c>
      <c r="J2922">
        <v>0</v>
      </c>
      <c r="K2922">
        <v>0</v>
      </c>
      <c r="L2922" s="2">
        <v>0</v>
      </c>
      <c r="M2922">
        <v>32.06</v>
      </c>
      <c r="N2922" t="s">
        <v>10236</v>
      </c>
    </row>
    <row r="2923" spans="1:14">
      <c r="A2923" t="s">
        <v>209</v>
      </c>
      <c r="B2923" t="s">
        <v>3080</v>
      </c>
      <c r="C2923">
        <f>"5GA80001"</f>
        <v>0</v>
      </c>
      <c r="D2923">
        <v>0</v>
      </c>
      <c r="E2923">
        <v>0</v>
      </c>
      <c r="F2923" s="2">
        <v>0</v>
      </c>
      <c r="H2923">
        <v>0</v>
      </c>
      <c r="I2923">
        <v>0.1741125760648204</v>
      </c>
      <c r="J2923">
        <v>0</v>
      </c>
      <c r="K2923">
        <v>0</v>
      </c>
      <c r="L2923" s="2">
        <v>0</v>
      </c>
      <c r="M2923">
        <v>32.07</v>
      </c>
      <c r="N2923" t="s">
        <v>10236</v>
      </c>
    </row>
    <row r="2924" spans="1:14">
      <c r="A2924" t="s">
        <v>209</v>
      </c>
      <c r="B2924" t="s">
        <v>3081</v>
      </c>
      <c r="C2924">
        <f>"5GA80007"</f>
        <v>0</v>
      </c>
      <c r="D2924">
        <v>0</v>
      </c>
      <c r="E2924">
        <v>0</v>
      </c>
      <c r="F2924" s="2">
        <v>0</v>
      </c>
      <c r="H2924">
        <v>0</v>
      </c>
      <c r="I2924">
        <v>0.1741125760648204</v>
      </c>
      <c r="J2924">
        <v>0</v>
      </c>
      <c r="K2924">
        <v>0</v>
      </c>
      <c r="L2924" s="2">
        <v>0</v>
      </c>
      <c r="M2924">
        <v>32.08</v>
      </c>
      <c r="N2924" t="s">
        <v>10236</v>
      </c>
    </row>
    <row r="2925" spans="1:14">
      <c r="A2925" t="s">
        <v>209</v>
      </c>
      <c r="B2925" t="s">
        <v>3082</v>
      </c>
      <c r="C2925">
        <f>"5GA80002"</f>
        <v>0</v>
      </c>
      <c r="D2925">
        <v>0</v>
      </c>
      <c r="E2925">
        <v>0</v>
      </c>
      <c r="F2925" s="2">
        <v>0</v>
      </c>
      <c r="H2925">
        <v>0</v>
      </c>
      <c r="I2925">
        <v>0.1741125760648204</v>
      </c>
      <c r="J2925">
        <v>0</v>
      </c>
      <c r="K2925">
        <v>0</v>
      </c>
      <c r="L2925" s="2">
        <v>0</v>
      </c>
      <c r="M2925">
        <v>32.09</v>
      </c>
      <c r="N2925" t="s">
        <v>10236</v>
      </c>
    </row>
    <row r="2926" spans="1:14">
      <c r="A2926" t="s">
        <v>209</v>
      </c>
      <c r="B2926" t="s">
        <v>3083</v>
      </c>
      <c r="C2926">
        <f>"5GA80004"</f>
        <v>0</v>
      </c>
      <c r="D2926">
        <v>0</v>
      </c>
      <c r="E2926">
        <v>0</v>
      </c>
      <c r="F2926" s="2">
        <v>0</v>
      </c>
      <c r="H2926">
        <v>0</v>
      </c>
      <c r="I2926">
        <v>0.1741125760648204</v>
      </c>
      <c r="J2926">
        <v>0</v>
      </c>
      <c r="K2926">
        <v>0</v>
      </c>
      <c r="L2926" s="2">
        <v>0</v>
      </c>
      <c r="M2926">
        <v>32.1</v>
      </c>
      <c r="N2926" t="s">
        <v>10236</v>
      </c>
    </row>
    <row r="2927" spans="1:14">
      <c r="A2927" t="s">
        <v>223</v>
      </c>
      <c r="B2927" t="s">
        <v>3084</v>
      </c>
      <c r="C2927">
        <f>"277060"</f>
        <v>0</v>
      </c>
      <c r="D2927">
        <v>0</v>
      </c>
      <c r="E2927">
        <v>0</v>
      </c>
      <c r="F2927" s="2">
        <v>0</v>
      </c>
      <c r="H2927">
        <v>0</v>
      </c>
      <c r="I2927">
        <v>0.1741125760648204</v>
      </c>
      <c r="J2927">
        <v>0</v>
      </c>
      <c r="K2927">
        <v>0</v>
      </c>
      <c r="L2927" s="2">
        <v>0</v>
      </c>
      <c r="M2927">
        <v>32.11</v>
      </c>
      <c r="N2927" t="s">
        <v>10236</v>
      </c>
    </row>
    <row r="2928" spans="1:14">
      <c r="A2928" t="s">
        <v>223</v>
      </c>
      <c r="B2928" t="s">
        <v>3085</v>
      </c>
      <c r="C2928">
        <f>"7499619"</f>
        <v>0</v>
      </c>
      <c r="D2928">
        <v>0</v>
      </c>
      <c r="E2928">
        <v>0</v>
      </c>
      <c r="F2928" s="2">
        <v>0</v>
      </c>
      <c r="H2928">
        <v>0</v>
      </c>
      <c r="I2928">
        <v>0.1741125760648204</v>
      </c>
      <c r="J2928">
        <v>0</v>
      </c>
      <c r="K2928">
        <v>0</v>
      </c>
      <c r="L2928" s="2">
        <v>0</v>
      </c>
      <c r="M2928">
        <v>32.12</v>
      </c>
      <c r="N2928" t="s">
        <v>10236</v>
      </c>
    </row>
    <row r="2929" spans="1:14">
      <c r="A2929" t="s">
        <v>25</v>
      </c>
      <c r="B2929" t="s">
        <v>3086</v>
      </c>
      <c r="C2929">
        <f>"ND0905"</f>
        <v>0</v>
      </c>
      <c r="D2929">
        <v>0</v>
      </c>
      <c r="E2929">
        <v>0</v>
      </c>
      <c r="F2929" s="2">
        <v>0</v>
      </c>
      <c r="H2929">
        <v>0</v>
      </c>
      <c r="I2929">
        <v>0.1741125760648204</v>
      </c>
      <c r="J2929">
        <v>0</v>
      </c>
      <c r="K2929">
        <v>0</v>
      </c>
      <c r="L2929" s="2">
        <v>0</v>
      </c>
      <c r="M2929">
        <v>32.13</v>
      </c>
      <c r="N2929" t="s">
        <v>10236</v>
      </c>
    </row>
    <row r="2930" spans="1:14">
      <c r="A2930" t="s">
        <v>35</v>
      </c>
      <c r="B2930" t="s">
        <v>3087</v>
      </c>
      <c r="C2930">
        <f>"TQ0115C"</f>
        <v>0</v>
      </c>
      <c r="D2930">
        <v>0</v>
      </c>
      <c r="E2930">
        <v>0</v>
      </c>
      <c r="F2930" s="2">
        <v>0</v>
      </c>
      <c r="H2930">
        <v>0</v>
      </c>
      <c r="I2930">
        <v>0.1741125760648204</v>
      </c>
      <c r="J2930">
        <v>0</v>
      </c>
      <c r="K2930">
        <v>0</v>
      </c>
      <c r="L2930" s="2">
        <v>0</v>
      </c>
      <c r="M2930">
        <v>32.14</v>
      </c>
      <c r="N2930" t="s">
        <v>10236</v>
      </c>
    </row>
    <row r="2931" spans="1:14">
      <c r="A2931" t="s">
        <v>35</v>
      </c>
      <c r="B2931" t="s">
        <v>3088</v>
      </c>
      <c r="C2931">
        <f>"TQ22063A"</f>
        <v>0</v>
      </c>
      <c r="D2931">
        <v>0</v>
      </c>
      <c r="E2931">
        <v>0</v>
      </c>
      <c r="F2931" s="2">
        <v>0</v>
      </c>
      <c r="H2931">
        <v>0</v>
      </c>
      <c r="I2931">
        <v>0.1741125760648204</v>
      </c>
      <c r="J2931">
        <v>0</v>
      </c>
      <c r="K2931">
        <v>0</v>
      </c>
      <c r="L2931" s="2">
        <v>0</v>
      </c>
      <c r="M2931">
        <v>32.15</v>
      </c>
      <c r="N2931" t="s">
        <v>10236</v>
      </c>
    </row>
    <row r="2932" spans="1:14">
      <c r="A2932" t="s">
        <v>35</v>
      </c>
      <c r="B2932" t="s">
        <v>3089</v>
      </c>
      <c r="C2932">
        <f>"cw384c"</f>
        <v>0</v>
      </c>
      <c r="D2932">
        <v>0</v>
      </c>
      <c r="E2932">
        <v>0</v>
      </c>
      <c r="F2932" s="2">
        <v>0</v>
      </c>
      <c r="H2932">
        <v>0</v>
      </c>
      <c r="I2932">
        <v>0.1741125760648204</v>
      </c>
      <c r="J2932">
        <v>0</v>
      </c>
      <c r="K2932">
        <v>0</v>
      </c>
      <c r="L2932" s="2">
        <v>0</v>
      </c>
      <c r="M2932">
        <v>32.16</v>
      </c>
      <c r="N2932" t="s">
        <v>10236</v>
      </c>
    </row>
    <row r="2933" spans="1:14">
      <c r="A2933" t="s">
        <v>35</v>
      </c>
      <c r="B2933" t="s">
        <v>3090</v>
      </c>
      <c r="C2933">
        <f>"TQ27ROS"</f>
        <v>0</v>
      </c>
      <c r="D2933">
        <v>0</v>
      </c>
      <c r="E2933">
        <v>0</v>
      </c>
      <c r="F2933" s="2">
        <v>0</v>
      </c>
      <c r="H2933">
        <v>0</v>
      </c>
      <c r="I2933">
        <v>0.1741125760648204</v>
      </c>
      <c r="J2933">
        <v>0</v>
      </c>
      <c r="K2933">
        <v>0</v>
      </c>
      <c r="L2933" s="2">
        <v>0</v>
      </c>
      <c r="M2933">
        <v>32.17</v>
      </c>
      <c r="N2933" t="s">
        <v>10236</v>
      </c>
    </row>
    <row r="2934" spans="1:14">
      <c r="A2934" t="s">
        <v>35</v>
      </c>
      <c r="B2934" t="s">
        <v>3091</v>
      </c>
      <c r="C2934">
        <f>"MH013"</f>
        <v>0</v>
      </c>
      <c r="D2934">
        <v>0</v>
      </c>
      <c r="E2934">
        <v>0</v>
      </c>
      <c r="F2934" s="2">
        <v>0</v>
      </c>
      <c r="H2934">
        <v>0</v>
      </c>
      <c r="I2934">
        <v>0.1741125760648204</v>
      </c>
      <c r="J2934">
        <v>0</v>
      </c>
      <c r="K2934">
        <v>0</v>
      </c>
      <c r="L2934" s="2">
        <v>0</v>
      </c>
      <c r="M2934">
        <v>32.17</v>
      </c>
      <c r="N2934" t="s">
        <v>10236</v>
      </c>
    </row>
    <row r="2935" spans="1:14">
      <c r="A2935" t="s">
        <v>35</v>
      </c>
      <c r="B2935" t="s">
        <v>3092</v>
      </c>
      <c r="C2935">
        <f>"TQ00211V"</f>
        <v>0</v>
      </c>
      <c r="D2935">
        <v>0</v>
      </c>
      <c r="E2935">
        <v>0</v>
      </c>
      <c r="F2935" s="2">
        <v>0</v>
      </c>
      <c r="H2935">
        <v>0</v>
      </c>
      <c r="I2935">
        <v>0.1741125760648204</v>
      </c>
      <c r="J2935">
        <v>0</v>
      </c>
      <c r="K2935">
        <v>0</v>
      </c>
      <c r="L2935" s="2">
        <v>0</v>
      </c>
      <c r="M2935">
        <v>32.18</v>
      </c>
      <c r="N2935" t="s">
        <v>10236</v>
      </c>
    </row>
    <row r="2936" spans="1:14">
      <c r="A2936" t="s">
        <v>35</v>
      </c>
      <c r="B2936" t="s">
        <v>3093</v>
      </c>
      <c r="C2936">
        <f>"TQ00211ROS"</f>
        <v>0</v>
      </c>
      <c r="D2936">
        <v>0</v>
      </c>
      <c r="E2936">
        <v>0</v>
      </c>
      <c r="F2936" s="2">
        <v>0</v>
      </c>
      <c r="H2936">
        <v>0</v>
      </c>
      <c r="I2936">
        <v>0.1741125760648204</v>
      </c>
      <c r="J2936">
        <v>0</v>
      </c>
      <c r="K2936">
        <v>0</v>
      </c>
      <c r="L2936" s="2">
        <v>0</v>
      </c>
      <c r="M2936">
        <v>32.19</v>
      </c>
      <c r="N2936" t="s">
        <v>10236</v>
      </c>
    </row>
    <row r="2937" spans="1:14">
      <c r="A2937" t="s">
        <v>35</v>
      </c>
      <c r="B2937" t="s">
        <v>3094</v>
      </c>
      <c r="C2937">
        <f>"75793605355"</f>
        <v>0</v>
      </c>
      <c r="D2937">
        <v>0</v>
      </c>
      <c r="E2937">
        <v>0</v>
      </c>
      <c r="F2937" s="2">
        <v>0</v>
      </c>
      <c r="H2937">
        <v>0</v>
      </c>
      <c r="I2937">
        <v>0.1741125760648204</v>
      </c>
      <c r="J2937">
        <v>0</v>
      </c>
      <c r="K2937">
        <v>0</v>
      </c>
      <c r="L2937" s="2">
        <v>0</v>
      </c>
      <c r="M2937">
        <v>32.2</v>
      </c>
      <c r="N2937" t="s">
        <v>10236</v>
      </c>
    </row>
    <row r="2938" spans="1:14">
      <c r="A2938" t="s">
        <v>35</v>
      </c>
      <c r="B2938" t="s">
        <v>3094</v>
      </c>
      <c r="C2938">
        <f>"CW385CM"</f>
        <v>0</v>
      </c>
      <c r="D2938">
        <v>0</v>
      </c>
      <c r="E2938">
        <v>0</v>
      </c>
      <c r="F2938" s="2">
        <v>0</v>
      </c>
      <c r="H2938">
        <v>0</v>
      </c>
      <c r="I2938">
        <v>0.1741125760648204</v>
      </c>
      <c r="J2938">
        <v>0</v>
      </c>
      <c r="K2938">
        <v>0</v>
      </c>
      <c r="L2938" s="2">
        <v>0</v>
      </c>
      <c r="M2938">
        <v>32.21</v>
      </c>
      <c r="N2938" t="s">
        <v>10236</v>
      </c>
    </row>
    <row r="2939" spans="1:14">
      <c r="A2939" t="s">
        <v>35</v>
      </c>
      <c r="B2939" t="s">
        <v>3095</v>
      </c>
      <c r="C2939">
        <f>"DR101"</f>
        <v>0</v>
      </c>
      <c r="D2939">
        <v>0</v>
      </c>
      <c r="E2939">
        <v>0</v>
      </c>
      <c r="F2939" s="2">
        <v>0</v>
      </c>
      <c r="H2939">
        <v>0</v>
      </c>
      <c r="I2939">
        <v>0.1741125760648204</v>
      </c>
      <c r="J2939">
        <v>0</v>
      </c>
      <c r="K2939">
        <v>0</v>
      </c>
      <c r="L2939" s="2">
        <v>0</v>
      </c>
      <c r="M2939">
        <v>32.22</v>
      </c>
      <c r="N2939" t="s">
        <v>10236</v>
      </c>
    </row>
    <row r="2940" spans="1:14">
      <c r="A2940" t="s">
        <v>35</v>
      </c>
      <c r="B2940" t="s">
        <v>3096</v>
      </c>
      <c r="C2940">
        <f>"TQ1351V"</f>
        <v>0</v>
      </c>
      <c r="D2940">
        <v>0</v>
      </c>
      <c r="E2940">
        <v>0</v>
      </c>
      <c r="F2940" s="2">
        <v>0</v>
      </c>
      <c r="H2940">
        <v>0</v>
      </c>
      <c r="I2940">
        <v>0.1741125760648204</v>
      </c>
      <c r="J2940">
        <v>0</v>
      </c>
      <c r="K2940">
        <v>0</v>
      </c>
      <c r="L2940" s="2">
        <v>0</v>
      </c>
      <c r="M2940">
        <v>32.23</v>
      </c>
      <c r="N2940" t="s">
        <v>10236</v>
      </c>
    </row>
    <row r="2941" spans="1:14">
      <c r="A2941" t="s">
        <v>35</v>
      </c>
      <c r="B2941" t="s">
        <v>3097</v>
      </c>
      <c r="C2941">
        <f>"TQ1351ROS"</f>
        <v>0</v>
      </c>
      <c r="D2941">
        <v>0</v>
      </c>
      <c r="E2941">
        <v>0</v>
      </c>
      <c r="F2941" s="2">
        <v>0</v>
      </c>
      <c r="H2941">
        <v>0</v>
      </c>
      <c r="I2941">
        <v>0.1741125760648204</v>
      </c>
      <c r="J2941">
        <v>0</v>
      </c>
      <c r="K2941">
        <v>0</v>
      </c>
      <c r="L2941" s="2">
        <v>0</v>
      </c>
      <c r="M2941">
        <v>32.24</v>
      </c>
      <c r="N2941" t="s">
        <v>10236</v>
      </c>
    </row>
    <row r="2942" spans="1:14">
      <c r="A2942" t="s">
        <v>35</v>
      </c>
      <c r="B2942" t="s">
        <v>3098</v>
      </c>
      <c r="C2942">
        <f>"TQ1351C"</f>
        <v>0</v>
      </c>
      <c r="D2942">
        <v>0</v>
      </c>
      <c r="E2942">
        <v>0</v>
      </c>
      <c r="F2942" s="2">
        <v>0</v>
      </c>
      <c r="H2942">
        <v>0</v>
      </c>
      <c r="I2942">
        <v>0.1741125760648204</v>
      </c>
      <c r="J2942">
        <v>0</v>
      </c>
      <c r="K2942">
        <v>0</v>
      </c>
      <c r="L2942" s="2">
        <v>0</v>
      </c>
      <c r="M2942">
        <v>32.25</v>
      </c>
      <c r="N2942" t="s">
        <v>10236</v>
      </c>
    </row>
    <row r="2943" spans="1:14">
      <c r="A2943" t="s">
        <v>35</v>
      </c>
      <c r="B2943" t="s">
        <v>3099</v>
      </c>
      <c r="C2943">
        <f>"TQ0361C"</f>
        <v>0</v>
      </c>
      <c r="D2943">
        <v>0</v>
      </c>
      <c r="E2943">
        <v>0</v>
      </c>
      <c r="F2943" s="2">
        <v>0</v>
      </c>
      <c r="H2943">
        <v>0</v>
      </c>
      <c r="I2943">
        <v>0.1741125760648204</v>
      </c>
      <c r="J2943">
        <v>0</v>
      </c>
      <c r="K2943">
        <v>0</v>
      </c>
      <c r="L2943" s="2">
        <v>0</v>
      </c>
      <c r="M2943">
        <v>32.26</v>
      </c>
      <c r="N2943" t="s">
        <v>10236</v>
      </c>
    </row>
    <row r="2944" spans="1:14">
      <c r="A2944" t="s">
        <v>35</v>
      </c>
      <c r="B2944" t="s">
        <v>3100</v>
      </c>
      <c r="C2944">
        <f>"TQ0361V"</f>
        <v>0</v>
      </c>
      <c r="D2944">
        <v>0</v>
      </c>
      <c r="E2944">
        <v>0</v>
      </c>
      <c r="F2944" s="2">
        <v>0</v>
      </c>
      <c r="H2944">
        <v>0</v>
      </c>
      <c r="I2944">
        <v>0.1741125760648204</v>
      </c>
      <c r="J2944">
        <v>0</v>
      </c>
      <c r="K2944">
        <v>0</v>
      </c>
      <c r="L2944" s="2">
        <v>0</v>
      </c>
      <c r="M2944">
        <v>32.27</v>
      </c>
      <c r="N2944" t="s">
        <v>10236</v>
      </c>
    </row>
    <row r="2945" spans="1:14">
      <c r="A2945" t="s">
        <v>35</v>
      </c>
      <c r="B2945" t="s">
        <v>3088</v>
      </c>
      <c r="C2945">
        <f>"TQ22063V"</f>
        <v>0</v>
      </c>
      <c r="D2945">
        <v>0</v>
      </c>
      <c r="E2945">
        <v>0</v>
      </c>
      <c r="F2945" s="2">
        <v>0</v>
      </c>
      <c r="H2945">
        <v>0</v>
      </c>
      <c r="I2945">
        <v>0.1741125760648204</v>
      </c>
      <c r="J2945">
        <v>0</v>
      </c>
      <c r="K2945">
        <v>0</v>
      </c>
      <c r="L2945" s="2">
        <v>0</v>
      </c>
      <c r="M2945">
        <v>32.28</v>
      </c>
      <c r="N2945" t="s">
        <v>10236</v>
      </c>
    </row>
    <row r="2946" spans="1:14">
      <c r="A2946" t="s">
        <v>35</v>
      </c>
      <c r="B2946" t="s">
        <v>3101</v>
      </c>
      <c r="C2946">
        <f>"TQ0115R"</f>
        <v>0</v>
      </c>
      <c r="D2946">
        <v>0</v>
      </c>
      <c r="E2946">
        <v>0</v>
      </c>
      <c r="F2946" s="2">
        <v>0</v>
      </c>
      <c r="H2946">
        <v>0</v>
      </c>
      <c r="I2946">
        <v>0.1741125760648204</v>
      </c>
      <c r="J2946">
        <v>0</v>
      </c>
      <c r="K2946">
        <v>0</v>
      </c>
      <c r="L2946" s="2">
        <v>0</v>
      </c>
      <c r="M2946">
        <v>32.29</v>
      </c>
      <c r="N2946" t="s">
        <v>10236</v>
      </c>
    </row>
    <row r="2947" spans="1:14">
      <c r="A2947" t="s">
        <v>35</v>
      </c>
      <c r="B2947" t="s">
        <v>3102</v>
      </c>
      <c r="C2947">
        <f>"KE1300SUC"</f>
        <v>0</v>
      </c>
      <c r="D2947">
        <v>0</v>
      </c>
      <c r="E2947">
        <v>0</v>
      </c>
      <c r="F2947" s="2">
        <v>0</v>
      </c>
      <c r="H2947">
        <v>0</v>
      </c>
      <c r="I2947">
        <v>0.1741125760648204</v>
      </c>
      <c r="J2947">
        <v>0</v>
      </c>
      <c r="K2947">
        <v>0</v>
      </c>
      <c r="L2947" s="2">
        <v>0</v>
      </c>
      <c r="M2947">
        <v>32.29</v>
      </c>
      <c r="N2947" t="s">
        <v>10236</v>
      </c>
    </row>
    <row r="2948" spans="1:14">
      <c r="A2948" t="s">
        <v>35</v>
      </c>
      <c r="B2948" t="s">
        <v>3103</v>
      </c>
      <c r="C2948">
        <f>"KE4904"</f>
        <v>0</v>
      </c>
      <c r="D2948">
        <v>0</v>
      </c>
      <c r="E2948">
        <v>0</v>
      </c>
      <c r="F2948" s="2">
        <v>0</v>
      </c>
      <c r="H2948">
        <v>0</v>
      </c>
      <c r="I2948">
        <v>0.1741125760648204</v>
      </c>
      <c r="J2948">
        <v>0</v>
      </c>
      <c r="K2948">
        <v>0</v>
      </c>
      <c r="L2948" s="2">
        <v>0</v>
      </c>
      <c r="M2948">
        <v>32.3</v>
      </c>
      <c r="N2948" t="s">
        <v>10236</v>
      </c>
    </row>
    <row r="2949" spans="1:14">
      <c r="A2949" t="s">
        <v>29</v>
      </c>
      <c r="B2949" t="s">
        <v>3104</v>
      </c>
      <c r="C2949">
        <f>"CA13V"</f>
        <v>0</v>
      </c>
      <c r="D2949">
        <v>0</v>
      </c>
      <c r="E2949">
        <v>69</v>
      </c>
      <c r="F2949" s="2">
        <v>4</v>
      </c>
      <c r="H2949">
        <v>0</v>
      </c>
      <c r="I2949">
        <v>0.1741125760648204</v>
      </c>
      <c r="J2949">
        <v>0</v>
      </c>
      <c r="K2949">
        <v>0</v>
      </c>
      <c r="L2949" s="2">
        <v>0</v>
      </c>
      <c r="M2949">
        <v>32.31</v>
      </c>
      <c r="N2949" t="s">
        <v>10236</v>
      </c>
    </row>
    <row r="2950" spans="1:14">
      <c r="A2950" t="s">
        <v>29</v>
      </c>
      <c r="B2950" t="s">
        <v>3105</v>
      </c>
      <c r="C2950">
        <f>"NF003RSV"</f>
        <v>0</v>
      </c>
      <c r="D2950">
        <v>0</v>
      </c>
      <c r="E2950">
        <v>0</v>
      </c>
      <c r="F2950" s="2">
        <v>0</v>
      </c>
      <c r="H2950">
        <v>0</v>
      </c>
      <c r="I2950">
        <v>0.1741125760648204</v>
      </c>
      <c r="J2950">
        <v>0</v>
      </c>
      <c r="K2950">
        <v>0</v>
      </c>
      <c r="L2950" s="2">
        <v>0</v>
      </c>
      <c r="M2950">
        <v>32.32</v>
      </c>
      <c r="N2950" t="s">
        <v>10236</v>
      </c>
    </row>
    <row r="2951" spans="1:14">
      <c r="A2951" t="s">
        <v>35</v>
      </c>
      <c r="B2951" t="s">
        <v>3106</v>
      </c>
      <c r="C2951">
        <f>"KE3205PS"</f>
        <v>0</v>
      </c>
      <c r="D2951">
        <v>0</v>
      </c>
      <c r="E2951">
        <v>0</v>
      </c>
      <c r="F2951" s="2">
        <v>0</v>
      </c>
      <c r="H2951">
        <v>0</v>
      </c>
      <c r="I2951">
        <v>0.1741125760648204</v>
      </c>
      <c r="J2951">
        <v>0</v>
      </c>
      <c r="K2951">
        <v>0</v>
      </c>
      <c r="L2951" s="2">
        <v>0</v>
      </c>
      <c r="M2951">
        <v>32.33</v>
      </c>
      <c r="N2951" t="s">
        <v>10236</v>
      </c>
    </row>
    <row r="2952" spans="1:14">
      <c r="A2952" t="s">
        <v>35</v>
      </c>
      <c r="B2952" t="s">
        <v>3107</v>
      </c>
      <c r="C2952">
        <f>"KE3204PS"</f>
        <v>0</v>
      </c>
      <c r="D2952">
        <v>0</v>
      </c>
      <c r="E2952">
        <v>0</v>
      </c>
      <c r="F2952" s="2">
        <v>0</v>
      </c>
      <c r="H2952">
        <v>0</v>
      </c>
      <c r="I2952">
        <v>0.1741125760648204</v>
      </c>
      <c r="J2952">
        <v>0</v>
      </c>
      <c r="K2952">
        <v>0</v>
      </c>
      <c r="L2952" s="2">
        <v>0</v>
      </c>
      <c r="M2952">
        <v>32.34</v>
      </c>
      <c r="N2952" t="s">
        <v>10236</v>
      </c>
    </row>
    <row r="2953" spans="1:14">
      <c r="A2953" t="s">
        <v>35</v>
      </c>
      <c r="B2953" t="s">
        <v>3108</v>
      </c>
      <c r="C2953">
        <f>"KE3203PS"</f>
        <v>0</v>
      </c>
      <c r="D2953">
        <v>0</v>
      </c>
      <c r="E2953">
        <v>0</v>
      </c>
      <c r="F2953" s="2">
        <v>0</v>
      </c>
      <c r="H2953">
        <v>0</v>
      </c>
      <c r="I2953">
        <v>0.1741125760648204</v>
      </c>
      <c r="J2953">
        <v>0</v>
      </c>
      <c r="K2953">
        <v>0</v>
      </c>
      <c r="L2953" s="2">
        <v>0</v>
      </c>
      <c r="M2953">
        <v>32.35</v>
      </c>
      <c r="N2953" t="s">
        <v>10236</v>
      </c>
    </row>
    <row r="2954" spans="1:14">
      <c r="A2954" t="s">
        <v>35</v>
      </c>
      <c r="B2954" t="s">
        <v>3109</v>
      </c>
      <c r="C2954">
        <f>"KE3207PS"</f>
        <v>0</v>
      </c>
      <c r="D2954">
        <v>0</v>
      </c>
      <c r="E2954">
        <v>16</v>
      </c>
      <c r="F2954" s="2">
        <v>2</v>
      </c>
      <c r="H2954">
        <v>0</v>
      </c>
      <c r="I2954">
        <v>0.1741125760648204</v>
      </c>
      <c r="J2954">
        <v>0</v>
      </c>
      <c r="K2954">
        <v>0</v>
      </c>
      <c r="L2954" s="2">
        <v>0</v>
      </c>
      <c r="M2954">
        <v>32.36</v>
      </c>
      <c r="N2954" t="s">
        <v>10236</v>
      </c>
    </row>
    <row r="2955" spans="1:14">
      <c r="A2955" t="s">
        <v>35</v>
      </c>
      <c r="B2955" t="s">
        <v>3110</v>
      </c>
      <c r="C2955">
        <f>"KE3202PS"</f>
        <v>0</v>
      </c>
      <c r="D2955">
        <v>0</v>
      </c>
      <c r="E2955">
        <v>0</v>
      </c>
      <c r="F2955" s="2">
        <v>0</v>
      </c>
      <c r="H2955">
        <v>0</v>
      </c>
      <c r="I2955">
        <v>0.1741125760648204</v>
      </c>
      <c r="J2955">
        <v>0</v>
      </c>
      <c r="K2955">
        <v>0</v>
      </c>
      <c r="L2955" s="2">
        <v>0</v>
      </c>
      <c r="M2955">
        <v>32.37</v>
      </c>
      <c r="N2955" t="s">
        <v>10236</v>
      </c>
    </row>
    <row r="2956" spans="1:14">
      <c r="A2956" t="s">
        <v>35</v>
      </c>
      <c r="B2956" t="s">
        <v>3111</v>
      </c>
      <c r="C2956">
        <f>"KE2600PD"</f>
        <v>0</v>
      </c>
      <c r="D2956">
        <v>0</v>
      </c>
      <c r="E2956">
        <v>0</v>
      </c>
      <c r="F2956" s="2">
        <v>0</v>
      </c>
      <c r="H2956">
        <v>0</v>
      </c>
      <c r="I2956">
        <v>0.1741125760648204</v>
      </c>
      <c r="J2956">
        <v>0</v>
      </c>
      <c r="K2956">
        <v>0</v>
      </c>
      <c r="L2956" s="2">
        <v>0</v>
      </c>
      <c r="M2956">
        <v>32.38</v>
      </c>
      <c r="N2956" t="s">
        <v>10236</v>
      </c>
    </row>
    <row r="2957" spans="1:14">
      <c r="A2957" t="s">
        <v>35</v>
      </c>
      <c r="B2957" t="s">
        <v>3112</v>
      </c>
      <c r="C2957">
        <f>"BOL26AZ"</f>
        <v>0</v>
      </c>
      <c r="D2957">
        <v>0</v>
      </c>
      <c r="E2957">
        <v>0</v>
      </c>
      <c r="F2957" s="2">
        <v>0</v>
      </c>
      <c r="H2957">
        <v>0</v>
      </c>
      <c r="I2957">
        <v>0.1741125760648204</v>
      </c>
      <c r="J2957">
        <v>0</v>
      </c>
      <c r="K2957">
        <v>0</v>
      </c>
      <c r="L2957" s="2">
        <v>0</v>
      </c>
      <c r="M2957">
        <v>32.39</v>
      </c>
      <c r="N2957" t="s">
        <v>10236</v>
      </c>
    </row>
    <row r="2958" spans="1:14">
      <c r="A2958" t="s">
        <v>35</v>
      </c>
      <c r="B2958" t="s">
        <v>3113</v>
      </c>
      <c r="C2958">
        <f>"CBT20"</f>
        <v>0</v>
      </c>
      <c r="D2958">
        <v>0</v>
      </c>
      <c r="E2958">
        <v>0</v>
      </c>
      <c r="F2958" s="2">
        <v>0</v>
      </c>
      <c r="H2958">
        <v>0</v>
      </c>
      <c r="I2958">
        <v>0.1741125760648204</v>
      </c>
      <c r="J2958">
        <v>0</v>
      </c>
      <c r="K2958">
        <v>0</v>
      </c>
      <c r="L2958" s="2">
        <v>0</v>
      </c>
      <c r="M2958">
        <v>32.4</v>
      </c>
      <c r="N2958" t="s">
        <v>10236</v>
      </c>
    </row>
    <row r="2959" spans="1:14">
      <c r="A2959" t="s">
        <v>35</v>
      </c>
      <c r="B2959" t="s">
        <v>3114</v>
      </c>
      <c r="C2959">
        <f>"WPS343"</f>
        <v>0</v>
      </c>
      <c r="D2959">
        <v>0</v>
      </c>
      <c r="E2959">
        <v>0</v>
      </c>
      <c r="F2959" s="2">
        <v>0</v>
      </c>
      <c r="H2959">
        <v>0</v>
      </c>
      <c r="I2959">
        <v>0.1741125760648204</v>
      </c>
      <c r="J2959">
        <v>0</v>
      </c>
      <c r="K2959">
        <v>0</v>
      </c>
      <c r="L2959" s="2">
        <v>0</v>
      </c>
      <c r="M2959">
        <v>32.41</v>
      </c>
      <c r="N2959" t="s">
        <v>10236</v>
      </c>
    </row>
    <row r="2960" spans="1:14">
      <c r="A2960" t="s">
        <v>25</v>
      </c>
      <c r="B2960" t="s">
        <v>3115</v>
      </c>
      <c r="C2960">
        <f>"AYCA236"</f>
        <v>0</v>
      </c>
      <c r="D2960">
        <v>0</v>
      </c>
      <c r="E2960">
        <v>0</v>
      </c>
      <c r="F2960" s="2">
        <v>0</v>
      </c>
      <c r="H2960">
        <v>0</v>
      </c>
      <c r="I2960">
        <v>0.1741125760648204</v>
      </c>
      <c r="J2960">
        <v>0</v>
      </c>
      <c r="K2960">
        <v>0</v>
      </c>
      <c r="L2960" s="2">
        <v>0</v>
      </c>
      <c r="M2960">
        <v>32.41</v>
      </c>
      <c r="N2960" t="s">
        <v>10236</v>
      </c>
    </row>
    <row r="2961" spans="1:14">
      <c r="A2961" t="s">
        <v>35</v>
      </c>
      <c r="B2961" t="s">
        <v>3116</v>
      </c>
      <c r="C2961">
        <f>"KE3205PD"</f>
        <v>0</v>
      </c>
      <c r="D2961">
        <v>0</v>
      </c>
      <c r="E2961">
        <v>32</v>
      </c>
      <c r="F2961" s="2">
        <v>2</v>
      </c>
      <c r="H2961">
        <v>0</v>
      </c>
      <c r="I2961">
        <v>0.1741125760648204</v>
      </c>
      <c r="J2961">
        <v>0</v>
      </c>
      <c r="K2961">
        <v>0</v>
      </c>
      <c r="L2961" s="2">
        <v>0</v>
      </c>
      <c r="M2961">
        <v>32.42</v>
      </c>
      <c r="N2961" t="s">
        <v>10236</v>
      </c>
    </row>
    <row r="2962" spans="1:14">
      <c r="A2962" t="s">
        <v>192</v>
      </c>
      <c r="B2962" t="s">
        <v>3117</v>
      </c>
      <c r="C2962">
        <f>"6453"</f>
        <v>0</v>
      </c>
      <c r="D2962">
        <v>0</v>
      </c>
      <c r="E2962">
        <v>0</v>
      </c>
      <c r="F2962" s="2">
        <v>0</v>
      </c>
      <c r="H2962">
        <v>0</v>
      </c>
      <c r="I2962">
        <v>0.1741125760648204</v>
      </c>
      <c r="J2962">
        <v>0</v>
      </c>
      <c r="K2962">
        <v>0</v>
      </c>
      <c r="L2962" s="2">
        <v>0</v>
      </c>
      <c r="M2962">
        <v>32.43</v>
      </c>
      <c r="N2962" t="s">
        <v>10236</v>
      </c>
    </row>
    <row r="2963" spans="1:14">
      <c r="A2963" t="s">
        <v>200</v>
      </c>
      <c r="B2963" t="s">
        <v>3118</v>
      </c>
      <c r="C2963">
        <f>"ER034"</f>
        <v>0</v>
      </c>
      <c r="D2963">
        <v>0</v>
      </c>
      <c r="E2963">
        <v>0</v>
      </c>
      <c r="F2963" s="2">
        <v>0</v>
      </c>
      <c r="H2963">
        <v>0</v>
      </c>
      <c r="I2963">
        <v>0.1741125760648204</v>
      </c>
      <c r="J2963">
        <v>0</v>
      </c>
      <c r="K2963">
        <v>0</v>
      </c>
      <c r="L2963" s="2">
        <v>0</v>
      </c>
      <c r="M2963">
        <v>32.44</v>
      </c>
      <c r="N2963" t="s">
        <v>10236</v>
      </c>
    </row>
    <row r="2964" spans="1:14">
      <c r="A2964" t="s">
        <v>200</v>
      </c>
      <c r="B2964" t="s">
        <v>3119</v>
      </c>
      <c r="C2964">
        <f>"ER032"</f>
        <v>0</v>
      </c>
      <c r="D2964">
        <v>0</v>
      </c>
      <c r="E2964">
        <v>0</v>
      </c>
      <c r="F2964" s="2">
        <v>0</v>
      </c>
      <c r="H2964">
        <v>0</v>
      </c>
      <c r="I2964">
        <v>0.1741125760648204</v>
      </c>
      <c r="J2964">
        <v>0</v>
      </c>
      <c r="K2964">
        <v>0</v>
      </c>
      <c r="L2964" s="2">
        <v>0</v>
      </c>
      <c r="M2964">
        <v>32.45</v>
      </c>
      <c r="N2964" t="s">
        <v>10236</v>
      </c>
    </row>
    <row r="2965" spans="1:14">
      <c r="A2965" t="s">
        <v>200</v>
      </c>
      <c r="B2965" t="s">
        <v>3120</v>
      </c>
      <c r="C2965">
        <f>"ER152"</f>
        <v>0</v>
      </c>
      <c r="D2965">
        <v>0</v>
      </c>
      <c r="E2965">
        <v>1</v>
      </c>
      <c r="F2965" s="2">
        <v>3</v>
      </c>
      <c r="H2965">
        <v>0</v>
      </c>
      <c r="I2965">
        <v>0.1741125760648204</v>
      </c>
      <c r="J2965">
        <v>0</v>
      </c>
      <c r="K2965">
        <v>0</v>
      </c>
      <c r="L2965" s="2">
        <v>0</v>
      </c>
      <c r="M2965">
        <v>32.46</v>
      </c>
      <c r="N2965" t="s">
        <v>10236</v>
      </c>
    </row>
    <row r="2966" spans="1:14">
      <c r="A2966" t="s">
        <v>200</v>
      </c>
      <c r="B2966" t="s">
        <v>3121</v>
      </c>
      <c r="C2966">
        <f>"ER153"</f>
        <v>0</v>
      </c>
      <c r="D2966">
        <v>0</v>
      </c>
      <c r="E2966">
        <v>2</v>
      </c>
      <c r="F2966" s="2">
        <v>4</v>
      </c>
      <c r="H2966">
        <v>0</v>
      </c>
      <c r="I2966">
        <v>0.1741125760648204</v>
      </c>
      <c r="J2966">
        <v>0</v>
      </c>
      <c r="K2966">
        <v>0</v>
      </c>
      <c r="L2966" s="2">
        <v>0</v>
      </c>
      <c r="M2966">
        <v>32.47</v>
      </c>
      <c r="N2966" t="s">
        <v>10236</v>
      </c>
    </row>
    <row r="2967" spans="1:14">
      <c r="A2967" t="s">
        <v>35</v>
      </c>
      <c r="B2967" t="s">
        <v>3122</v>
      </c>
      <c r="C2967">
        <f>"W0002"</f>
        <v>0</v>
      </c>
      <c r="D2967">
        <v>0</v>
      </c>
      <c r="E2967">
        <v>0</v>
      </c>
      <c r="F2967" s="2">
        <v>0</v>
      </c>
      <c r="H2967">
        <v>0</v>
      </c>
      <c r="I2967">
        <v>0.1741125760648204</v>
      </c>
      <c r="J2967">
        <v>0</v>
      </c>
      <c r="K2967">
        <v>0</v>
      </c>
      <c r="L2967" s="2">
        <v>0</v>
      </c>
      <c r="M2967">
        <v>32.48</v>
      </c>
      <c r="N2967" t="s">
        <v>10236</v>
      </c>
    </row>
    <row r="2968" spans="1:14">
      <c r="A2968" t="s">
        <v>35</v>
      </c>
      <c r="B2968" t="s">
        <v>3123</v>
      </c>
      <c r="C2968">
        <f>"SZP0003A01"</f>
        <v>0</v>
      </c>
      <c r="D2968">
        <v>0</v>
      </c>
      <c r="E2968">
        <v>0</v>
      </c>
      <c r="F2968" s="2">
        <v>0</v>
      </c>
      <c r="H2968">
        <v>0</v>
      </c>
      <c r="I2968">
        <v>0.1741125760648204</v>
      </c>
      <c r="J2968">
        <v>0</v>
      </c>
      <c r="K2968">
        <v>0</v>
      </c>
      <c r="L2968" s="2">
        <v>0</v>
      </c>
      <c r="M2968">
        <v>32.49</v>
      </c>
      <c r="N2968" t="s">
        <v>10236</v>
      </c>
    </row>
    <row r="2969" spans="1:14">
      <c r="A2969" t="s">
        <v>32</v>
      </c>
      <c r="B2969" t="s">
        <v>3124</v>
      </c>
      <c r="C2969">
        <f>"5000270"</f>
        <v>0</v>
      </c>
      <c r="D2969">
        <v>0</v>
      </c>
      <c r="E2969">
        <v>4</v>
      </c>
      <c r="F2969" s="2">
        <v>10</v>
      </c>
      <c r="H2969">
        <v>0</v>
      </c>
      <c r="I2969">
        <v>0.1741125760648204</v>
      </c>
      <c r="J2969">
        <v>0</v>
      </c>
      <c r="K2969">
        <v>0</v>
      </c>
      <c r="L2969" s="2">
        <v>0</v>
      </c>
      <c r="M2969">
        <v>32.5</v>
      </c>
      <c r="N2969" t="s">
        <v>10236</v>
      </c>
    </row>
    <row r="2970" spans="1:14">
      <c r="A2970" t="s">
        <v>32</v>
      </c>
      <c r="B2970" t="s">
        <v>3125</v>
      </c>
      <c r="C2970">
        <f>"5000199"</f>
        <v>0</v>
      </c>
      <c r="D2970">
        <v>0</v>
      </c>
      <c r="E2970">
        <v>0</v>
      </c>
      <c r="F2970" s="2">
        <v>0</v>
      </c>
      <c r="H2970">
        <v>0</v>
      </c>
      <c r="I2970">
        <v>0.1741125760648204</v>
      </c>
      <c r="J2970">
        <v>0</v>
      </c>
      <c r="K2970">
        <v>0</v>
      </c>
      <c r="L2970" s="2">
        <v>0</v>
      </c>
      <c r="M2970">
        <v>32.51</v>
      </c>
      <c r="N2970" t="s">
        <v>10236</v>
      </c>
    </row>
    <row r="2971" spans="1:14">
      <c r="A2971" t="s">
        <v>35</v>
      </c>
      <c r="B2971" t="s">
        <v>3126</v>
      </c>
      <c r="C2971">
        <f>"KE2300PD"</f>
        <v>0</v>
      </c>
      <c r="D2971">
        <v>0</v>
      </c>
      <c r="E2971">
        <v>0</v>
      </c>
      <c r="F2971" s="2">
        <v>0</v>
      </c>
      <c r="H2971">
        <v>0</v>
      </c>
      <c r="I2971">
        <v>0.1741125760648204</v>
      </c>
      <c r="J2971">
        <v>0</v>
      </c>
      <c r="K2971">
        <v>0</v>
      </c>
      <c r="L2971" s="2">
        <v>0</v>
      </c>
      <c r="M2971">
        <v>32.52</v>
      </c>
      <c r="N2971" t="s">
        <v>10236</v>
      </c>
    </row>
    <row r="2972" spans="1:14">
      <c r="A2972" t="s">
        <v>35</v>
      </c>
      <c r="B2972" t="s">
        <v>3127</v>
      </c>
      <c r="C2972">
        <f>"KE2000PD"</f>
        <v>0</v>
      </c>
      <c r="D2972">
        <v>0</v>
      </c>
      <c r="E2972">
        <v>0</v>
      </c>
      <c r="F2972" s="2">
        <v>0</v>
      </c>
      <c r="H2972">
        <v>0</v>
      </c>
      <c r="I2972">
        <v>0.1741125760648204</v>
      </c>
      <c r="J2972">
        <v>0</v>
      </c>
      <c r="K2972">
        <v>0</v>
      </c>
      <c r="L2972" s="2">
        <v>0</v>
      </c>
      <c r="M2972">
        <v>32.53</v>
      </c>
      <c r="N2972" t="s">
        <v>10236</v>
      </c>
    </row>
    <row r="2973" spans="1:14">
      <c r="A2973" t="s">
        <v>35</v>
      </c>
      <c r="B2973" t="s">
        <v>3128</v>
      </c>
      <c r="C2973">
        <f>"KE1600PD"</f>
        <v>0</v>
      </c>
      <c r="D2973">
        <v>0</v>
      </c>
      <c r="E2973">
        <v>0</v>
      </c>
      <c r="F2973" s="2">
        <v>0</v>
      </c>
      <c r="H2973">
        <v>0</v>
      </c>
      <c r="I2973">
        <v>0.1741125760648204</v>
      </c>
      <c r="J2973">
        <v>0</v>
      </c>
      <c r="K2973">
        <v>0</v>
      </c>
      <c r="L2973" s="2">
        <v>0</v>
      </c>
      <c r="M2973">
        <v>32.53</v>
      </c>
      <c r="N2973" t="s">
        <v>10236</v>
      </c>
    </row>
    <row r="2974" spans="1:14">
      <c r="A2974" t="s">
        <v>35</v>
      </c>
      <c r="B2974" t="s">
        <v>3129</v>
      </c>
      <c r="C2974">
        <f>"KE1300PD"</f>
        <v>0</v>
      </c>
      <c r="D2974">
        <v>0</v>
      </c>
      <c r="E2974">
        <v>0</v>
      </c>
      <c r="F2974" s="2">
        <v>0</v>
      </c>
      <c r="H2974">
        <v>0</v>
      </c>
      <c r="I2974">
        <v>0.1741125760648204</v>
      </c>
      <c r="J2974">
        <v>0</v>
      </c>
      <c r="K2974">
        <v>0</v>
      </c>
      <c r="L2974" s="2">
        <v>0</v>
      </c>
      <c r="M2974">
        <v>32.54</v>
      </c>
      <c r="N2974" t="s">
        <v>10236</v>
      </c>
    </row>
    <row r="2975" spans="1:14">
      <c r="A2975" t="s">
        <v>35</v>
      </c>
      <c r="B2975" t="s">
        <v>3130</v>
      </c>
      <c r="C2975">
        <f>"MSID2VER"</f>
        <v>0</v>
      </c>
      <c r="D2975">
        <v>0</v>
      </c>
      <c r="E2975">
        <v>0</v>
      </c>
      <c r="F2975" s="2">
        <v>0</v>
      </c>
      <c r="H2975">
        <v>0</v>
      </c>
      <c r="I2975">
        <v>0.1741125760648204</v>
      </c>
      <c r="J2975">
        <v>0</v>
      </c>
      <c r="K2975">
        <v>0</v>
      </c>
      <c r="L2975" s="2">
        <v>0</v>
      </c>
      <c r="M2975">
        <v>32.55</v>
      </c>
      <c r="N2975" t="s">
        <v>10236</v>
      </c>
    </row>
    <row r="2976" spans="1:14">
      <c r="A2976" t="s">
        <v>25</v>
      </c>
      <c r="B2976" t="s">
        <v>3131</v>
      </c>
      <c r="C2976">
        <f>"MS008"</f>
        <v>0</v>
      </c>
      <c r="D2976">
        <v>0</v>
      </c>
      <c r="E2976">
        <v>1</v>
      </c>
      <c r="F2976" s="2">
        <v>3</v>
      </c>
      <c r="H2976">
        <v>0</v>
      </c>
      <c r="I2976">
        <v>0.1741125760648204</v>
      </c>
      <c r="J2976">
        <v>0</v>
      </c>
      <c r="K2976">
        <v>0</v>
      </c>
      <c r="L2976" s="2">
        <v>0</v>
      </c>
      <c r="M2976">
        <v>32.56</v>
      </c>
      <c r="N2976" t="s">
        <v>10236</v>
      </c>
    </row>
    <row r="2977" spans="1:14">
      <c r="A2977" t="s">
        <v>35</v>
      </c>
      <c r="B2977" t="s">
        <v>3132</v>
      </c>
      <c r="C2977">
        <f>"KE3203PD"</f>
        <v>0</v>
      </c>
      <c r="D2977">
        <v>0</v>
      </c>
      <c r="E2977">
        <v>0</v>
      </c>
      <c r="F2977" s="2">
        <v>0</v>
      </c>
      <c r="H2977">
        <v>0</v>
      </c>
      <c r="I2977">
        <v>0.1741125760648204</v>
      </c>
      <c r="J2977">
        <v>0</v>
      </c>
      <c r="K2977">
        <v>0</v>
      </c>
      <c r="L2977" s="2">
        <v>0</v>
      </c>
      <c r="M2977">
        <v>32.57</v>
      </c>
      <c r="N2977" t="s">
        <v>10236</v>
      </c>
    </row>
    <row r="2978" spans="1:14">
      <c r="A2978" t="s">
        <v>35</v>
      </c>
      <c r="B2978" t="s">
        <v>3133</v>
      </c>
      <c r="C2978">
        <f>"KE3207PD"</f>
        <v>0</v>
      </c>
      <c r="D2978">
        <v>0</v>
      </c>
      <c r="E2978">
        <v>73</v>
      </c>
      <c r="F2978" s="2">
        <v>3</v>
      </c>
      <c r="H2978">
        <v>0</v>
      </c>
      <c r="I2978">
        <v>0.1741125760648204</v>
      </c>
      <c r="J2978">
        <v>0</v>
      </c>
      <c r="K2978">
        <v>0</v>
      </c>
      <c r="L2978" s="2">
        <v>0</v>
      </c>
      <c r="M2978">
        <v>32.58</v>
      </c>
      <c r="N2978" t="s">
        <v>10236</v>
      </c>
    </row>
    <row r="2979" spans="1:14">
      <c r="A2979" t="s">
        <v>35</v>
      </c>
      <c r="B2979" t="s">
        <v>3134</v>
      </c>
      <c r="C2979">
        <f>"BO3042ZV"</f>
        <v>0</v>
      </c>
      <c r="D2979">
        <v>0</v>
      </c>
      <c r="E2979">
        <v>0</v>
      </c>
      <c r="F2979" s="2">
        <v>0</v>
      </c>
      <c r="H2979">
        <v>0</v>
      </c>
      <c r="I2979">
        <v>0.1741125760648204</v>
      </c>
      <c r="J2979">
        <v>0</v>
      </c>
      <c r="K2979">
        <v>0</v>
      </c>
      <c r="L2979" s="2">
        <v>0</v>
      </c>
      <c r="M2979">
        <v>32.59</v>
      </c>
      <c r="N2979" t="s">
        <v>10236</v>
      </c>
    </row>
    <row r="2980" spans="1:14">
      <c r="A2980" t="s">
        <v>35</v>
      </c>
      <c r="B2980" t="s">
        <v>3135</v>
      </c>
      <c r="C2980">
        <f>"BO3042ZROS"</f>
        <v>0</v>
      </c>
      <c r="D2980">
        <v>0</v>
      </c>
      <c r="E2980">
        <v>0</v>
      </c>
      <c r="F2980" s="2">
        <v>0</v>
      </c>
      <c r="H2980">
        <v>0</v>
      </c>
      <c r="I2980">
        <v>0.1741125760648204</v>
      </c>
      <c r="J2980">
        <v>0</v>
      </c>
      <c r="K2980">
        <v>0</v>
      </c>
      <c r="L2980" s="2">
        <v>0</v>
      </c>
      <c r="M2980">
        <v>32.6</v>
      </c>
      <c r="N2980" t="s">
        <v>10236</v>
      </c>
    </row>
    <row r="2981" spans="1:14">
      <c r="A2981" t="s">
        <v>35</v>
      </c>
      <c r="B2981" t="s">
        <v>3136</v>
      </c>
      <c r="C2981">
        <f>"BO3042ZAM"</f>
        <v>0</v>
      </c>
      <c r="D2981">
        <v>0</v>
      </c>
      <c r="E2981">
        <v>2</v>
      </c>
      <c r="F2981" s="2">
        <v>1</v>
      </c>
      <c r="H2981">
        <v>0</v>
      </c>
      <c r="I2981">
        <v>0.1741125760648204</v>
      </c>
      <c r="J2981">
        <v>0</v>
      </c>
      <c r="K2981">
        <v>0</v>
      </c>
      <c r="L2981" s="2">
        <v>0</v>
      </c>
      <c r="M2981">
        <v>32.61</v>
      </c>
      <c r="N2981" t="s">
        <v>10236</v>
      </c>
    </row>
    <row r="2982" spans="1:14">
      <c r="A2982" t="s">
        <v>35</v>
      </c>
      <c r="B2982" t="s">
        <v>3137</v>
      </c>
      <c r="C2982">
        <f>"BO3053ZV"</f>
        <v>0</v>
      </c>
      <c r="D2982">
        <v>0</v>
      </c>
      <c r="E2982">
        <v>1</v>
      </c>
      <c r="F2982" s="2">
        <v>2</v>
      </c>
      <c r="H2982">
        <v>0</v>
      </c>
      <c r="I2982">
        <v>0.1741125760648204</v>
      </c>
      <c r="J2982">
        <v>0</v>
      </c>
      <c r="K2982">
        <v>0</v>
      </c>
      <c r="L2982" s="2">
        <v>0</v>
      </c>
      <c r="M2982">
        <v>32.62</v>
      </c>
      <c r="N2982" t="s">
        <v>10236</v>
      </c>
    </row>
    <row r="2983" spans="1:14">
      <c r="A2983" t="s">
        <v>35</v>
      </c>
      <c r="B2983" t="s">
        <v>3138</v>
      </c>
      <c r="C2983">
        <f>"BO3053ZROS"</f>
        <v>0</v>
      </c>
      <c r="D2983">
        <v>0</v>
      </c>
      <c r="E2983">
        <v>0</v>
      </c>
      <c r="F2983" s="2">
        <v>0</v>
      </c>
      <c r="H2983">
        <v>0</v>
      </c>
      <c r="I2983">
        <v>0.1741125760648204</v>
      </c>
      <c r="J2983">
        <v>0</v>
      </c>
      <c r="K2983">
        <v>0</v>
      </c>
      <c r="L2983" s="2">
        <v>0</v>
      </c>
      <c r="M2983">
        <v>32.63</v>
      </c>
      <c r="N2983" t="s">
        <v>10236</v>
      </c>
    </row>
    <row r="2984" spans="1:14">
      <c r="A2984" t="s">
        <v>35</v>
      </c>
      <c r="B2984" t="s">
        <v>3139</v>
      </c>
      <c r="C2984">
        <f>"BO3053ZAZG"</f>
        <v>0</v>
      </c>
      <c r="D2984">
        <v>0</v>
      </c>
      <c r="E2984">
        <v>0</v>
      </c>
      <c r="F2984" s="2">
        <v>0</v>
      </c>
      <c r="H2984">
        <v>0</v>
      </c>
      <c r="I2984">
        <v>0.1741125760648204</v>
      </c>
      <c r="J2984">
        <v>0</v>
      </c>
      <c r="K2984">
        <v>0</v>
      </c>
      <c r="L2984" s="2">
        <v>0</v>
      </c>
      <c r="M2984">
        <v>32.64</v>
      </c>
      <c r="N2984" t="s">
        <v>10236</v>
      </c>
    </row>
    <row r="2985" spans="1:14">
      <c r="A2985" t="s">
        <v>35</v>
      </c>
      <c r="B2985" t="s">
        <v>3140</v>
      </c>
      <c r="C2985">
        <f>"BO3053ZAM"</f>
        <v>0</v>
      </c>
      <c r="D2985">
        <v>0</v>
      </c>
      <c r="E2985">
        <v>1</v>
      </c>
      <c r="F2985" s="2">
        <v>0</v>
      </c>
      <c r="H2985">
        <v>0</v>
      </c>
      <c r="I2985">
        <v>0.1741125760648204</v>
      </c>
      <c r="J2985">
        <v>0</v>
      </c>
      <c r="K2985">
        <v>0</v>
      </c>
      <c r="L2985" s="2">
        <v>0</v>
      </c>
      <c r="M2985">
        <v>32.64</v>
      </c>
      <c r="N2985" t="s">
        <v>10236</v>
      </c>
    </row>
    <row r="2986" spans="1:14">
      <c r="A2986" t="s">
        <v>35</v>
      </c>
      <c r="B2986" t="s">
        <v>3141</v>
      </c>
      <c r="C2986">
        <f>"BO3048ZV"</f>
        <v>0</v>
      </c>
      <c r="D2986">
        <v>0</v>
      </c>
      <c r="E2986">
        <v>1</v>
      </c>
      <c r="F2986" s="2">
        <v>2</v>
      </c>
      <c r="H2986">
        <v>0</v>
      </c>
      <c r="I2986">
        <v>0.1741125760648204</v>
      </c>
      <c r="J2986">
        <v>0</v>
      </c>
      <c r="K2986">
        <v>0</v>
      </c>
      <c r="L2986" s="2">
        <v>0</v>
      </c>
      <c r="M2986">
        <v>32.65</v>
      </c>
      <c r="N2986" t="s">
        <v>10236</v>
      </c>
    </row>
    <row r="2987" spans="1:14">
      <c r="A2987" t="s">
        <v>35</v>
      </c>
      <c r="B2987" t="s">
        <v>3142</v>
      </c>
      <c r="C2987">
        <f>"BO3048ZROS"</f>
        <v>0</v>
      </c>
      <c r="D2987">
        <v>0</v>
      </c>
      <c r="E2987">
        <v>1</v>
      </c>
      <c r="F2987" s="2">
        <v>2</v>
      </c>
      <c r="H2987">
        <v>0</v>
      </c>
      <c r="I2987">
        <v>0.1741125760648204</v>
      </c>
      <c r="J2987">
        <v>0</v>
      </c>
      <c r="K2987">
        <v>0</v>
      </c>
      <c r="L2987" s="2">
        <v>0</v>
      </c>
      <c r="M2987">
        <v>32.66</v>
      </c>
      <c r="N2987" t="s">
        <v>10236</v>
      </c>
    </row>
    <row r="2988" spans="1:14">
      <c r="A2988" t="s">
        <v>35</v>
      </c>
      <c r="B2988" t="s">
        <v>3143</v>
      </c>
      <c r="C2988">
        <f>"BO3048ZAZG"</f>
        <v>0</v>
      </c>
      <c r="D2988">
        <v>0</v>
      </c>
      <c r="E2988">
        <v>0</v>
      </c>
      <c r="F2988" s="2">
        <v>0</v>
      </c>
      <c r="H2988">
        <v>0</v>
      </c>
      <c r="I2988">
        <v>0.1741125760648204</v>
      </c>
      <c r="J2988">
        <v>0</v>
      </c>
      <c r="K2988">
        <v>0</v>
      </c>
      <c r="L2988" s="2">
        <v>0</v>
      </c>
      <c r="M2988">
        <v>32.67</v>
      </c>
      <c r="N2988" t="s">
        <v>10236</v>
      </c>
    </row>
    <row r="2989" spans="1:14">
      <c r="A2989" t="s">
        <v>35</v>
      </c>
      <c r="B2989" t="s">
        <v>3144</v>
      </c>
      <c r="C2989">
        <f>"BO3048ZAM"</f>
        <v>0</v>
      </c>
      <c r="D2989">
        <v>0</v>
      </c>
      <c r="E2989">
        <v>0</v>
      </c>
      <c r="F2989" s="2">
        <v>0</v>
      </c>
      <c r="H2989">
        <v>0</v>
      </c>
      <c r="I2989">
        <v>0.1741125760648204</v>
      </c>
      <c r="J2989">
        <v>0</v>
      </c>
      <c r="K2989">
        <v>0</v>
      </c>
      <c r="L2989" s="2">
        <v>0</v>
      </c>
      <c r="M2989">
        <v>32.68</v>
      </c>
      <c r="N2989" t="s">
        <v>10236</v>
      </c>
    </row>
    <row r="2990" spans="1:14">
      <c r="A2990" t="s">
        <v>35</v>
      </c>
      <c r="B2990" t="s">
        <v>3145</v>
      </c>
      <c r="C2990">
        <f>"KE4903"</f>
        <v>0</v>
      </c>
      <c r="D2990">
        <v>0</v>
      </c>
      <c r="E2990">
        <v>0</v>
      </c>
      <c r="F2990" s="2">
        <v>0</v>
      </c>
      <c r="H2990">
        <v>0</v>
      </c>
      <c r="I2990">
        <v>0.1741125760648204</v>
      </c>
      <c r="J2990">
        <v>0</v>
      </c>
      <c r="K2990">
        <v>0</v>
      </c>
      <c r="L2990" s="2">
        <v>0</v>
      </c>
      <c r="M2990">
        <v>32.69</v>
      </c>
      <c r="N2990" t="s">
        <v>10236</v>
      </c>
    </row>
    <row r="2991" spans="1:14">
      <c r="A2991" t="s">
        <v>35</v>
      </c>
      <c r="B2991" t="s">
        <v>3146</v>
      </c>
      <c r="C2991">
        <f>"KE1600SUC"</f>
        <v>0</v>
      </c>
      <c r="D2991">
        <v>0</v>
      </c>
      <c r="E2991">
        <v>0</v>
      </c>
      <c r="F2991" s="2">
        <v>0</v>
      </c>
      <c r="H2991">
        <v>0</v>
      </c>
      <c r="I2991">
        <v>0.1741125760648204</v>
      </c>
      <c r="J2991">
        <v>0</v>
      </c>
      <c r="K2991">
        <v>0</v>
      </c>
      <c r="L2991" s="2">
        <v>0</v>
      </c>
      <c r="M2991">
        <v>32.7</v>
      </c>
      <c r="N2991" t="s">
        <v>10236</v>
      </c>
    </row>
    <row r="2992" spans="1:14">
      <c r="A2992" t="s">
        <v>35</v>
      </c>
      <c r="B2992" t="s">
        <v>3147</v>
      </c>
      <c r="C2992">
        <f>"KE4901"</f>
        <v>0</v>
      </c>
      <c r="D2992">
        <v>0</v>
      </c>
      <c r="E2992">
        <v>0</v>
      </c>
      <c r="F2992" s="2">
        <v>0</v>
      </c>
      <c r="H2992">
        <v>0</v>
      </c>
      <c r="I2992">
        <v>0.1741125760648204</v>
      </c>
      <c r="J2992">
        <v>0</v>
      </c>
      <c r="K2992">
        <v>0</v>
      </c>
      <c r="L2992" s="2">
        <v>0</v>
      </c>
      <c r="M2992">
        <v>32.71</v>
      </c>
      <c r="N2992" t="s">
        <v>10236</v>
      </c>
    </row>
    <row r="2993" spans="1:14">
      <c r="A2993" t="s">
        <v>35</v>
      </c>
      <c r="B2993" t="s">
        <v>3148</v>
      </c>
      <c r="C2993">
        <f>"21501"</f>
        <v>0</v>
      </c>
      <c r="D2993">
        <v>0</v>
      </c>
      <c r="E2993">
        <v>0</v>
      </c>
      <c r="F2993" s="2">
        <v>0</v>
      </c>
      <c r="H2993">
        <v>0</v>
      </c>
      <c r="I2993">
        <v>0.1741125760648204</v>
      </c>
      <c r="J2993">
        <v>0</v>
      </c>
      <c r="K2993">
        <v>0</v>
      </c>
      <c r="L2993" s="2">
        <v>0</v>
      </c>
      <c r="M2993">
        <v>32.72</v>
      </c>
      <c r="N2993" t="s">
        <v>10236</v>
      </c>
    </row>
    <row r="2994" spans="1:14">
      <c r="A2994" t="s">
        <v>35</v>
      </c>
      <c r="B2994" t="s">
        <v>3149</v>
      </c>
      <c r="C2994">
        <f>"21504"</f>
        <v>0</v>
      </c>
      <c r="D2994">
        <v>0</v>
      </c>
      <c r="E2994">
        <v>0</v>
      </c>
      <c r="F2994" s="2">
        <v>0</v>
      </c>
      <c r="H2994">
        <v>0</v>
      </c>
      <c r="I2994">
        <v>0.1741125760648204</v>
      </c>
      <c r="J2994">
        <v>0</v>
      </c>
      <c r="K2994">
        <v>0</v>
      </c>
      <c r="L2994" s="2">
        <v>0</v>
      </c>
      <c r="M2994">
        <v>32.73</v>
      </c>
      <c r="N2994" t="s">
        <v>10236</v>
      </c>
    </row>
    <row r="2995" spans="1:14">
      <c r="A2995" t="s">
        <v>35</v>
      </c>
      <c r="B2995" t="s">
        <v>3150</v>
      </c>
      <c r="C2995">
        <f>"D124"</f>
        <v>0</v>
      </c>
      <c r="D2995">
        <v>0</v>
      </c>
      <c r="E2995">
        <v>0</v>
      </c>
      <c r="F2995" s="2">
        <v>0</v>
      </c>
      <c r="H2995">
        <v>0</v>
      </c>
      <c r="I2995">
        <v>0.1741125760648204</v>
      </c>
      <c r="J2995">
        <v>0</v>
      </c>
      <c r="K2995">
        <v>0</v>
      </c>
      <c r="L2995" s="2">
        <v>0</v>
      </c>
      <c r="M2995">
        <v>32.74</v>
      </c>
      <c r="N2995" t="s">
        <v>10236</v>
      </c>
    </row>
    <row r="2996" spans="1:14">
      <c r="A2996" t="s">
        <v>35</v>
      </c>
      <c r="B2996" t="s">
        <v>3151</v>
      </c>
      <c r="C2996">
        <f>"ke4805"</f>
        <v>0</v>
      </c>
      <c r="D2996">
        <v>0</v>
      </c>
      <c r="E2996">
        <v>17</v>
      </c>
      <c r="F2996" s="2">
        <v>2</v>
      </c>
      <c r="H2996">
        <v>0</v>
      </c>
      <c r="I2996">
        <v>0.1741125760648204</v>
      </c>
      <c r="J2996">
        <v>0</v>
      </c>
      <c r="K2996">
        <v>0</v>
      </c>
      <c r="L2996" s="2">
        <v>0</v>
      </c>
      <c r="M2996">
        <v>32.75</v>
      </c>
      <c r="N2996" t="s">
        <v>10236</v>
      </c>
    </row>
    <row r="2997" spans="1:14">
      <c r="A2997" t="s">
        <v>35</v>
      </c>
      <c r="B2997" t="s">
        <v>3152</v>
      </c>
      <c r="C2997">
        <f>"ke4801"</f>
        <v>0</v>
      </c>
      <c r="D2997">
        <v>0</v>
      </c>
      <c r="E2997">
        <v>0</v>
      </c>
      <c r="F2997" s="2">
        <v>0</v>
      </c>
      <c r="H2997">
        <v>0</v>
      </c>
      <c r="I2997">
        <v>0.1741125760648204</v>
      </c>
      <c r="J2997">
        <v>0</v>
      </c>
      <c r="K2997">
        <v>0</v>
      </c>
      <c r="L2997" s="2">
        <v>0</v>
      </c>
      <c r="M2997">
        <v>32.76</v>
      </c>
      <c r="N2997" t="s">
        <v>10236</v>
      </c>
    </row>
    <row r="2998" spans="1:14">
      <c r="A2998" t="s">
        <v>35</v>
      </c>
      <c r="B2998" t="s">
        <v>3153</v>
      </c>
      <c r="C2998">
        <f>"KE1100PD"</f>
        <v>0</v>
      </c>
      <c r="D2998">
        <v>0</v>
      </c>
      <c r="E2998">
        <v>0</v>
      </c>
      <c r="F2998" s="2">
        <v>0</v>
      </c>
      <c r="H2998">
        <v>0</v>
      </c>
      <c r="I2998">
        <v>0.1741125760648204</v>
      </c>
      <c r="J2998">
        <v>0</v>
      </c>
      <c r="K2998">
        <v>0</v>
      </c>
      <c r="L2998" s="2">
        <v>0</v>
      </c>
      <c r="M2998">
        <v>32.76</v>
      </c>
      <c r="N2998" t="s">
        <v>10236</v>
      </c>
    </row>
    <row r="2999" spans="1:14">
      <c r="A2999" t="s">
        <v>35</v>
      </c>
      <c r="B2999" t="s">
        <v>3154</v>
      </c>
      <c r="C2999">
        <f>"12141214"</f>
        <v>0</v>
      </c>
      <c r="D2999">
        <v>0</v>
      </c>
      <c r="E2999">
        <v>0</v>
      </c>
      <c r="F2999" s="2">
        <v>0</v>
      </c>
      <c r="H2999">
        <v>0</v>
      </c>
      <c r="I2999">
        <v>0.1741125760648204</v>
      </c>
      <c r="J2999">
        <v>0</v>
      </c>
      <c r="K2999">
        <v>0</v>
      </c>
      <c r="L2999" s="2">
        <v>0</v>
      </c>
      <c r="M2999">
        <v>32.77</v>
      </c>
      <c r="N2999" t="s">
        <v>10236</v>
      </c>
    </row>
    <row r="3000" spans="1:14">
      <c r="A3000" t="s">
        <v>35</v>
      </c>
      <c r="B3000" t="s">
        <v>3155</v>
      </c>
      <c r="C3000">
        <f>"15332"</f>
        <v>0</v>
      </c>
      <c r="D3000">
        <v>0</v>
      </c>
      <c r="E3000">
        <v>0</v>
      </c>
      <c r="F3000" s="2">
        <v>0</v>
      </c>
      <c r="H3000">
        <v>0</v>
      </c>
      <c r="I3000">
        <v>0.1741125760648204</v>
      </c>
      <c r="J3000">
        <v>0</v>
      </c>
      <c r="K3000">
        <v>0</v>
      </c>
      <c r="L3000" s="2">
        <v>0</v>
      </c>
      <c r="M3000">
        <v>32.78</v>
      </c>
      <c r="N3000" t="s">
        <v>10236</v>
      </c>
    </row>
    <row r="3001" spans="1:14">
      <c r="A3001" t="s">
        <v>25</v>
      </c>
      <c r="B3001" t="s">
        <v>3156</v>
      </c>
      <c r="C3001">
        <f>"RJ196"</f>
        <v>0</v>
      </c>
      <c r="D3001">
        <v>0</v>
      </c>
      <c r="E3001">
        <v>0</v>
      </c>
      <c r="F3001" s="2">
        <v>0</v>
      </c>
      <c r="H3001">
        <v>0</v>
      </c>
      <c r="I3001">
        <v>0.1741125760648204</v>
      </c>
      <c r="J3001">
        <v>0</v>
      </c>
      <c r="K3001">
        <v>0</v>
      </c>
      <c r="L3001" s="2">
        <v>0</v>
      </c>
      <c r="M3001">
        <v>32.79</v>
      </c>
      <c r="N3001" t="s">
        <v>10236</v>
      </c>
    </row>
    <row r="3002" spans="1:14">
      <c r="A3002" t="s">
        <v>35</v>
      </c>
      <c r="B3002" t="s">
        <v>3157</v>
      </c>
      <c r="C3002">
        <f>"KE3202PD"</f>
        <v>0</v>
      </c>
      <c r="D3002">
        <v>0</v>
      </c>
      <c r="E3002">
        <v>0</v>
      </c>
      <c r="F3002" s="2">
        <v>0</v>
      </c>
      <c r="H3002">
        <v>0</v>
      </c>
      <c r="I3002">
        <v>0.1741125760648204</v>
      </c>
      <c r="J3002">
        <v>0</v>
      </c>
      <c r="K3002">
        <v>0</v>
      </c>
      <c r="L3002" s="2">
        <v>0</v>
      </c>
      <c r="M3002">
        <v>32.8</v>
      </c>
      <c r="N3002" t="s">
        <v>10236</v>
      </c>
    </row>
    <row r="3003" spans="1:14">
      <c r="A3003" t="s">
        <v>35</v>
      </c>
      <c r="B3003" t="s">
        <v>3158</v>
      </c>
      <c r="C3003">
        <f>"KE3203P"</f>
        <v>0</v>
      </c>
      <c r="D3003">
        <v>0</v>
      </c>
      <c r="E3003">
        <v>0</v>
      </c>
      <c r="F3003" s="2">
        <v>0</v>
      </c>
      <c r="H3003">
        <v>0</v>
      </c>
      <c r="I3003">
        <v>0.1741125760648204</v>
      </c>
      <c r="J3003">
        <v>0</v>
      </c>
      <c r="K3003">
        <v>0</v>
      </c>
      <c r="L3003" s="2">
        <v>0</v>
      </c>
      <c r="M3003">
        <v>32.81</v>
      </c>
      <c r="N3003" t="s">
        <v>10236</v>
      </c>
    </row>
    <row r="3004" spans="1:14">
      <c r="A3004" t="s">
        <v>35</v>
      </c>
      <c r="B3004" t="s">
        <v>3159</v>
      </c>
      <c r="C3004">
        <f>"ke3202p"</f>
        <v>0</v>
      </c>
      <c r="D3004">
        <v>0</v>
      </c>
      <c r="E3004">
        <v>0</v>
      </c>
      <c r="F3004" s="2">
        <v>0</v>
      </c>
      <c r="H3004">
        <v>0</v>
      </c>
      <c r="I3004">
        <v>0.1741125760648204</v>
      </c>
      <c r="J3004">
        <v>0</v>
      </c>
      <c r="K3004">
        <v>0</v>
      </c>
      <c r="L3004" s="2">
        <v>0</v>
      </c>
      <c r="M3004">
        <v>32.82</v>
      </c>
      <c r="N3004" t="s">
        <v>10236</v>
      </c>
    </row>
    <row r="3005" spans="1:14">
      <c r="A3005" t="s">
        <v>35</v>
      </c>
      <c r="B3005" t="s">
        <v>3160</v>
      </c>
      <c r="C3005">
        <f>"KE2000SUC"</f>
        <v>0</v>
      </c>
      <c r="D3005">
        <v>0</v>
      </c>
      <c r="E3005">
        <v>0</v>
      </c>
      <c r="F3005" s="2">
        <v>0</v>
      </c>
      <c r="H3005">
        <v>0</v>
      </c>
      <c r="I3005">
        <v>0.1741125760648204</v>
      </c>
      <c r="J3005">
        <v>0</v>
      </c>
      <c r="K3005">
        <v>0</v>
      </c>
      <c r="L3005" s="2">
        <v>0</v>
      </c>
      <c r="M3005">
        <v>32.83</v>
      </c>
      <c r="N3005" t="s">
        <v>10236</v>
      </c>
    </row>
    <row r="3006" spans="1:14">
      <c r="A3006" t="s">
        <v>35</v>
      </c>
      <c r="B3006" t="s">
        <v>3161</v>
      </c>
      <c r="C3006">
        <f>"KE4902"</f>
        <v>0</v>
      </c>
      <c r="D3006">
        <v>0</v>
      </c>
      <c r="E3006">
        <v>0</v>
      </c>
      <c r="F3006" s="2">
        <v>0</v>
      </c>
      <c r="H3006">
        <v>0</v>
      </c>
      <c r="I3006">
        <v>0.1741125760648204</v>
      </c>
      <c r="J3006">
        <v>0</v>
      </c>
      <c r="K3006">
        <v>0</v>
      </c>
      <c r="L3006" s="2">
        <v>0</v>
      </c>
      <c r="M3006">
        <v>32.84</v>
      </c>
      <c r="N3006" t="s">
        <v>10236</v>
      </c>
    </row>
    <row r="3007" spans="1:14">
      <c r="A3007" t="s">
        <v>35</v>
      </c>
      <c r="B3007" t="s">
        <v>3162</v>
      </c>
      <c r="C3007">
        <f>"YP192SG"</f>
        <v>0</v>
      </c>
      <c r="D3007">
        <v>0</v>
      </c>
      <c r="E3007">
        <v>1</v>
      </c>
      <c r="F3007" s="2">
        <v>3</v>
      </c>
      <c r="H3007">
        <v>0</v>
      </c>
      <c r="I3007">
        <v>0.1741125760648204</v>
      </c>
      <c r="J3007">
        <v>0</v>
      </c>
      <c r="K3007">
        <v>0</v>
      </c>
      <c r="L3007" s="2">
        <v>0</v>
      </c>
      <c r="M3007">
        <v>32.85</v>
      </c>
      <c r="N3007" t="s">
        <v>10236</v>
      </c>
    </row>
    <row r="3008" spans="1:14">
      <c r="A3008" t="s">
        <v>211</v>
      </c>
      <c r="B3008" t="s">
        <v>3163</v>
      </c>
      <c r="C3008">
        <f>"PCSSPS3001"</f>
        <v>0</v>
      </c>
      <c r="D3008">
        <v>0</v>
      </c>
      <c r="E3008">
        <v>0</v>
      </c>
      <c r="F3008" s="2">
        <v>0</v>
      </c>
      <c r="H3008">
        <v>0</v>
      </c>
      <c r="I3008">
        <v>0.1741125760648204</v>
      </c>
      <c r="J3008">
        <v>0</v>
      </c>
      <c r="K3008">
        <v>0</v>
      </c>
      <c r="L3008" s="2">
        <v>0</v>
      </c>
      <c r="M3008">
        <v>32.86</v>
      </c>
      <c r="N3008" t="s">
        <v>10236</v>
      </c>
    </row>
    <row r="3009" spans="1:14">
      <c r="A3009" t="s">
        <v>211</v>
      </c>
      <c r="B3009" t="s">
        <v>3164</v>
      </c>
      <c r="C3009">
        <f>"PFSACU7001"</f>
        <v>0</v>
      </c>
      <c r="D3009">
        <v>0</v>
      </c>
      <c r="E3009">
        <v>0</v>
      </c>
      <c r="F3009" s="2">
        <v>0</v>
      </c>
      <c r="H3009">
        <v>0</v>
      </c>
      <c r="I3009">
        <v>0.1741125760648204</v>
      </c>
      <c r="J3009">
        <v>0</v>
      </c>
      <c r="K3009">
        <v>0</v>
      </c>
      <c r="L3009" s="2">
        <v>0</v>
      </c>
      <c r="M3009">
        <v>32.87</v>
      </c>
      <c r="N3009" t="s">
        <v>10236</v>
      </c>
    </row>
    <row r="3010" spans="1:14">
      <c r="A3010" t="s">
        <v>35</v>
      </c>
      <c r="B3010" t="s">
        <v>3165</v>
      </c>
      <c r="C3010">
        <f>"BO3057C"</f>
        <v>0</v>
      </c>
      <c r="D3010">
        <v>0</v>
      </c>
      <c r="E3010">
        <v>2</v>
      </c>
      <c r="F3010" s="2">
        <v>4</v>
      </c>
      <c r="H3010">
        <v>0</v>
      </c>
      <c r="I3010">
        <v>0.1741125760648204</v>
      </c>
      <c r="J3010">
        <v>0</v>
      </c>
      <c r="K3010">
        <v>0</v>
      </c>
      <c r="L3010" s="2">
        <v>0</v>
      </c>
      <c r="M3010">
        <v>32.88</v>
      </c>
      <c r="N3010" t="s">
        <v>10236</v>
      </c>
    </row>
    <row r="3011" spans="1:14">
      <c r="A3011" t="s">
        <v>35</v>
      </c>
      <c r="B3011" t="s">
        <v>3166</v>
      </c>
      <c r="C3011">
        <f>"BO3057CHI"</f>
        <v>0</v>
      </c>
      <c r="D3011">
        <v>0</v>
      </c>
      <c r="E3011">
        <v>2</v>
      </c>
      <c r="F3011" s="2">
        <v>2</v>
      </c>
      <c r="H3011">
        <v>0</v>
      </c>
      <c r="I3011">
        <v>0.1741125760648204</v>
      </c>
      <c r="J3011">
        <v>0</v>
      </c>
      <c r="K3011">
        <v>0</v>
      </c>
      <c r="L3011" s="2">
        <v>0</v>
      </c>
      <c r="M3011">
        <v>32.88</v>
      </c>
      <c r="N3011" t="s">
        <v>10236</v>
      </c>
    </row>
    <row r="3012" spans="1:14">
      <c r="A3012" t="s">
        <v>35</v>
      </c>
      <c r="B3012" t="s">
        <v>3167</v>
      </c>
      <c r="C3012">
        <f>"169V"</f>
        <v>0</v>
      </c>
      <c r="D3012">
        <v>0</v>
      </c>
      <c r="E3012">
        <v>0</v>
      </c>
      <c r="F3012" s="2">
        <v>0</v>
      </c>
      <c r="H3012">
        <v>0</v>
      </c>
      <c r="I3012">
        <v>0.1741125760648204</v>
      </c>
      <c r="J3012">
        <v>0</v>
      </c>
      <c r="K3012">
        <v>0</v>
      </c>
      <c r="L3012" s="2">
        <v>0</v>
      </c>
      <c r="M3012">
        <v>32.89</v>
      </c>
      <c r="N3012" t="s">
        <v>10236</v>
      </c>
    </row>
    <row r="3013" spans="1:14">
      <c r="A3013" t="s">
        <v>35</v>
      </c>
      <c r="B3013" t="s">
        <v>3168</v>
      </c>
      <c r="C3013">
        <f>"169R"</f>
        <v>0</v>
      </c>
      <c r="D3013">
        <v>0</v>
      </c>
      <c r="E3013">
        <v>0</v>
      </c>
      <c r="F3013" s="2">
        <v>0</v>
      </c>
      <c r="H3013">
        <v>0</v>
      </c>
      <c r="I3013">
        <v>0.1741125760648204</v>
      </c>
      <c r="J3013">
        <v>0</v>
      </c>
      <c r="K3013">
        <v>0</v>
      </c>
      <c r="L3013" s="2">
        <v>0</v>
      </c>
      <c r="M3013">
        <v>32.9</v>
      </c>
      <c r="N3013" t="s">
        <v>10236</v>
      </c>
    </row>
    <row r="3014" spans="1:14">
      <c r="A3014" t="s">
        <v>35</v>
      </c>
      <c r="B3014" t="s">
        <v>3169</v>
      </c>
      <c r="C3014">
        <f>"169C"</f>
        <v>0</v>
      </c>
      <c r="D3014">
        <v>0</v>
      </c>
      <c r="E3014">
        <v>8</v>
      </c>
      <c r="F3014" s="2">
        <v>1</v>
      </c>
      <c r="H3014">
        <v>0</v>
      </c>
      <c r="I3014">
        <v>0.1741125760648204</v>
      </c>
      <c r="J3014">
        <v>0</v>
      </c>
      <c r="K3014">
        <v>0</v>
      </c>
      <c r="L3014" s="2">
        <v>0</v>
      </c>
      <c r="M3014">
        <v>32.91</v>
      </c>
      <c r="N3014" t="s">
        <v>10236</v>
      </c>
    </row>
    <row r="3015" spans="1:14">
      <c r="A3015" t="s">
        <v>35</v>
      </c>
      <c r="B3015" t="s">
        <v>3170</v>
      </c>
      <c r="C3015">
        <f>"D137XL"</f>
        <v>0</v>
      </c>
      <c r="D3015">
        <v>0</v>
      </c>
      <c r="E3015">
        <v>70</v>
      </c>
      <c r="F3015" s="2">
        <v>2</v>
      </c>
      <c r="H3015">
        <v>0</v>
      </c>
      <c r="I3015">
        <v>0.1741125760648204</v>
      </c>
      <c r="J3015">
        <v>0</v>
      </c>
      <c r="K3015">
        <v>0</v>
      </c>
      <c r="L3015" s="2">
        <v>0</v>
      </c>
      <c r="M3015">
        <v>32.92</v>
      </c>
      <c r="N3015" t="s">
        <v>10236</v>
      </c>
    </row>
    <row r="3016" spans="1:14">
      <c r="A3016" t="s">
        <v>35</v>
      </c>
      <c r="B3016" t="s">
        <v>3171</v>
      </c>
      <c r="C3016">
        <f>"D131"</f>
        <v>0</v>
      </c>
      <c r="D3016">
        <v>0</v>
      </c>
      <c r="E3016">
        <v>0</v>
      </c>
      <c r="F3016" s="2">
        <v>0</v>
      </c>
      <c r="H3016">
        <v>0</v>
      </c>
      <c r="I3016">
        <v>0.1741125760648204</v>
      </c>
      <c r="J3016">
        <v>0</v>
      </c>
      <c r="K3016">
        <v>0</v>
      </c>
      <c r="L3016" s="2">
        <v>0</v>
      </c>
      <c r="M3016">
        <v>32.93</v>
      </c>
      <c r="N3016" t="s">
        <v>10236</v>
      </c>
    </row>
    <row r="3017" spans="1:14">
      <c r="A3017" t="s">
        <v>25</v>
      </c>
      <c r="B3017" t="s">
        <v>3172</v>
      </c>
      <c r="C3017">
        <f>"ND0910"</f>
        <v>0</v>
      </c>
      <c r="D3017">
        <v>0</v>
      </c>
      <c r="E3017">
        <v>0</v>
      </c>
      <c r="F3017" s="2">
        <v>0</v>
      </c>
      <c r="H3017">
        <v>0</v>
      </c>
      <c r="I3017">
        <v>0.1741125760648204</v>
      </c>
      <c r="J3017">
        <v>0</v>
      </c>
      <c r="K3017">
        <v>0</v>
      </c>
      <c r="L3017" s="2">
        <v>0</v>
      </c>
      <c r="M3017">
        <v>32.94</v>
      </c>
      <c r="N3017" t="s">
        <v>10236</v>
      </c>
    </row>
    <row r="3018" spans="1:14">
      <c r="A3018" t="s">
        <v>25</v>
      </c>
      <c r="B3018" t="s">
        <v>3173</v>
      </c>
      <c r="C3018">
        <f>"nd1075"</f>
        <v>0</v>
      </c>
      <c r="D3018">
        <v>0</v>
      </c>
      <c r="E3018">
        <v>0</v>
      </c>
      <c r="F3018" s="2">
        <v>0</v>
      </c>
      <c r="H3018">
        <v>0</v>
      </c>
      <c r="I3018">
        <v>0.1741125760648204</v>
      </c>
      <c r="J3018">
        <v>0</v>
      </c>
      <c r="K3018">
        <v>0</v>
      </c>
      <c r="L3018" s="2">
        <v>0</v>
      </c>
      <c r="M3018">
        <v>32.95</v>
      </c>
      <c r="N3018" t="s">
        <v>10236</v>
      </c>
    </row>
    <row r="3019" spans="1:14">
      <c r="A3019" t="s">
        <v>25</v>
      </c>
      <c r="B3019" t="s">
        <v>3174</v>
      </c>
      <c r="C3019">
        <f>"ND1025"</f>
        <v>0</v>
      </c>
      <c r="D3019">
        <v>0</v>
      </c>
      <c r="E3019">
        <v>0</v>
      </c>
      <c r="F3019" s="2">
        <v>0</v>
      </c>
      <c r="H3019">
        <v>0</v>
      </c>
      <c r="I3019">
        <v>0.1741125760648204</v>
      </c>
      <c r="J3019">
        <v>0</v>
      </c>
      <c r="K3019">
        <v>0</v>
      </c>
      <c r="L3019" s="2">
        <v>0</v>
      </c>
      <c r="M3019">
        <v>32.96</v>
      </c>
      <c r="N3019" t="s">
        <v>10236</v>
      </c>
    </row>
    <row r="3020" spans="1:14">
      <c r="A3020" t="s">
        <v>212</v>
      </c>
      <c r="B3020" t="s">
        <v>3175</v>
      </c>
      <c r="C3020">
        <f>"560495"</f>
        <v>0</v>
      </c>
      <c r="D3020">
        <v>0</v>
      </c>
      <c r="E3020">
        <v>0</v>
      </c>
      <c r="F3020" s="2">
        <v>0</v>
      </c>
      <c r="H3020">
        <v>0</v>
      </c>
      <c r="I3020">
        <v>0.1741125760648204</v>
      </c>
      <c r="J3020">
        <v>0</v>
      </c>
      <c r="K3020">
        <v>0</v>
      </c>
      <c r="L3020" s="2">
        <v>0</v>
      </c>
      <c r="M3020">
        <v>32.97</v>
      </c>
      <c r="N3020" t="s">
        <v>10236</v>
      </c>
    </row>
    <row r="3021" spans="1:14">
      <c r="A3021" t="s">
        <v>35</v>
      </c>
      <c r="B3021" t="s">
        <v>3176</v>
      </c>
      <c r="C3021">
        <f>"LM018N"</f>
        <v>0</v>
      </c>
      <c r="D3021">
        <v>0</v>
      </c>
      <c r="E3021">
        <v>0</v>
      </c>
      <c r="F3021" s="2">
        <v>0</v>
      </c>
      <c r="H3021">
        <v>0</v>
      </c>
      <c r="I3021">
        <v>0.1741125760648204</v>
      </c>
      <c r="J3021">
        <v>0</v>
      </c>
      <c r="K3021">
        <v>0</v>
      </c>
      <c r="L3021" s="2">
        <v>0</v>
      </c>
      <c r="M3021">
        <v>32.98</v>
      </c>
      <c r="N3021" t="s">
        <v>10236</v>
      </c>
    </row>
    <row r="3022" spans="1:14">
      <c r="A3022" t="s">
        <v>35</v>
      </c>
      <c r="B3022" t="s">
        <v>3177</v>
      </c>
      <c r="C3022">
        <f>"LM018AZ"</f>
        <v>0</v>
      </c>
      <c r="D3022">
        <v>0</v>
      </c>
      <c r="E3022">
        <v>3</v>
      </c>
      <c r="F3022" s="2">
        <v>4</v>
      </c>
      <c r="H3022">
        <v>0</v>
      </c>
      <c r="I3022">
        <v>0.1741125760648204</v>
      </c>
      <c r="J3022">
        <v>0</v>
      </c>
      <c r="K3022">
        <v>0</v>
      </c>
      <c r="L3022" s="2">
        <v>0</v>
      </c>
      <c r="M3022">
        <v>32.99</v>
      </c>
      <c r="N3022" t="s">
        <v>10236</v>
      </c>
    </row>
    <row r="3023" spans="1:14">
      <c r="A3023" t="s">
        <v>35</v>
      </c>
      <c r="B3023" t="s">
        <v>3178</v>
      </c>
      <c r="C3023">
        <f>"LM018"</f>
        <v>0</v>
      </c>
      <c r="D3023">
        <v>0</v>
      </c>
      <c r="E3023">
        <v>0</v>
      </c>
      <c r="F3023" s="2">
        <v>0</v>
      </c>
      <c r="H3023">
        <v>0</v>
      </c>
      <c r="I3023">
        <v>0.1741125760648204</v>
      </c>
      <c r="J3023">
        <v>0</v>
      </c>
      <c r="K3023">
        <v>0</v>
      </c>
      <c r="L3023" s="2">
        <v>0</v>
      </c>
      <c r="M3023">
        <v>33</v>
      </c>
      <c r="N3023" t="s">
        <v>10236</v>
      </c>
    </row>
    <row r="3024" spans="1:14">
      <c r="A3024" t="s">
        <v>35</v>
      </c>
      <c r="B3024" t="s">
        <v>3179</v>
      </c>
      <c r="C3024">
        <f>"DM2045"</f>
        <v>0</v>
      </c>
      <c r="D3024">
        <v>0</v>
      </c>
      <c r="E3024">
        <v>0</v>
      </c>
      <c r="F3024" s="2">
        <v>0</v>
      </c>
      <c r="H3024">
        <v>0</v>
      </c>
      <c r="I3024">
        <v>0.1741125760648204</v>
      </c>
      <c r="J3024">
        <v>0</v>
      </c>
      <c r="K3024">
        <v>0</v>
      </c>
      <c r="L3024" s="2">
        <v>0</v>
      </c>
      <c r="M3024">
        <v>33</v>
      </c>
      <c r="N3024" t="s">
        <v>10236</v>
      </c>
    </row>
    <row r="3025" spans="1:14">
      <c r="A3025" t="s">
        <v>35</v>
      </c>
      <c r="B3025" t="s">
        <v>3180</v>
      </c>
      <c r="C3025">
        <f>"1756818496422"</f>
        <v>0</v>
      </c>
      <c r="D3025">
        <v>0</v>
      </c>
      <c r="E3025">
        <v>0</v>
      </c>
      <c r="F3025" s="2">
        <v>0</v>
      </c>
      <c r="H3025">
        <v>0</v>
      </c>
      <c r="I3025">
        <v>0.1741125760648204</v>
      </c>
      <c r="J3025">
        <v>0</v>
      </c>
      <c r="K3025">
        <v>0</v>
      </c>
      <c r="L3025" s="2">
        <v>0</v>
      </c>
      <c r="M3025">
        <v>33.01</v>
      </c>
      <c r="N3025" t="s">
        <v>10236</v>
      </c>
    </row>
    <row r="3026" spans="1:14">
      <c r="A3026" t="s">
        <v>25</v>
      </c>
      <c r="B3026" t="s">
        <v>3181</v>
      </c>
      <c r="C3026">
        <f>"nd07100"</f>
        <v>0</v>
      </c>
      <c r="D3026">
        <v>0</v>
      </c>
      <c r="E3026">
        <v>6</v>
      </c>
      <c r="F3026" s="2">
        <v>3</v>
      </c>
      <c r="H3026">
        <v>0</v>
      </c>
      <c r="I3026">
        <v>0.1741125760648204</v>
      </c>
      <c r="J3026">
        <v>0</v>
      </c>
      <c r="K3026">
        <v>0</v>
      </c>
      <c r="L3026" s="2">
        <v>0</v>
      </c>
      <c r="M3026">
        <v>33.02</v>
      </c>
      <c r="N3026" t="s">
        <v>10236</v>
      </c>
    </row>
    <row r="3027" spans="1:14">
      <c r="A3027" t="s">
        <v>25</v>
      </c>
      <c r="B3027" t="s">
        <v>3182</v>
      </c>
      <c r="C3027">
        <f>"ND01200"</f>
        <v>0</v>
      </c>
      <c r="D3027">
        <v>0</v>
      </c>
      <c r="E3027">
        <v>0</v>
      </c>
      <c r="F3027" s="2">
        <v>0</v>
      </c>
      <c r="H3027">
        <v>0</v>
      </c>
      <c r="I3027">
        <v>0.1741125760648204</v>
      </c>
      <c r="J3027">
        <v>0</v>
      </c>
      <c r="K3027">
        <v>0</v>
      </c>
      <c r="L3027" s="2">
        <v>0</v>
      </c>
      <c r="M3027">
        <v>33.03</v>
      </c>
      <c r="N3027" t="s">
        <v>10236</v>
      </c>
    </row>
    <row r="3028" spans="1:14">
      <c r="A3028" t="s">
        <v>35</v>
      </c>
      <c r="B3028" t="s">
        <v>3183</v>
      </c>
      <c r="C3028">
        <f>"D130"</f>
        <v>0</v>
      </c>
      <c r="D3028">
        <v>0</v>
      </c>
      <c r="E3028">
        <v>0</v>
      </c>
      <c r="F3028" s="2">
        <v>0</v>
      </c>
      <c r="H3028">
        <v>0</v>
      </c>
      <c r="I3028">
        <v>0.1741125760648204</v>
      </c>
      <c r="J3028">
        <v>0</v>
      </c>
      <c r="K3028">
        <v>0</v>
      </c>
      <c r="L3028" s="2">
        <v>0</v>
      </c>
      <c r="M3028">
        <v>33.04</v>
      </c>
      <c r="N3028" t="s">
        <v>10236</v>
      </c>
    </row>
    <row r="3029" spans="1:14">
      <c r="A3029" t="s">
        <v>35</v>
      </c>
      <c r="B3029" t="s">
        <v>3184</v>
      </c>
      <c r="C3029">
        <f>"D132"</f>
        <v>0</v>
      </c>
      <c r="D3029">
        <v>0</v>
      </c>
      <c r="E3029">
        <v>0</v>
      </c>
      <c r="F3029" s="2">
        <v>0</v>
      </c>
      <c r="H3029">
        <v>0</v>
      </c>
      <c r="I3029">
        <v>0.1741125760648204</v>
      </c>
      <c r="J3029">
        <v>0</v>
      </c>
      <c r="K3029">
        <v>0</v>
      </c>
      <c r="L3029" s="2">
        <v>0</v>
      </c>
      <c r="M3029">
        <v>33.05</v>
      </c>
      <c r="N3029" t="s">
        <v>10236</v>
      </c>
    </row>
    <row r="3030" spans="1:14">
      <c r="A3030" t="s">
        <v>35</v>
      </c>
      <c r="B3030" t="s">
        <v>3185</v>
      </c>
      <c r="C3030">
        <f>"D134S"</f>
        <v>0</v>
      </c>
      <c r="D3030">
        <v>0</v>
      </c>
      <c r="E3030">
        <v>0</v>
      </c>
      <c r="F3030" s="2">
        <v>0</v>
      </c>
      <c r="H3030">
        <v>0</v>
      </c>
      <c r="I3030">
        <v>0.1741125760648204</v>
      </c>
      <c r="J3030">
        <v>0</v>
      </c>
      <c r="K3030">
        <v>0</v>
      </c>
      <c r="L3030" s="2">
        <v>0</v>
      </c>
      <c r="M3030">
        <v>33.06</v>
      </c>
      <c r="N3030" t="s">
        <v>10236</v>
      </c>
    </row>
    <row r="3031" spans="1:14">
      <c r="A3031" t="s">
        <v>35</v>
      </c>
      <c r="B3031" t="s">
        <v>3186</v>
      </c>
      <c r="C3031">
        <f>"BO3135HA5D"</f>
        <v>0</v>
      </c>
      <c r="D3031">
        <v>0</v>
      </c>
      <c r="E3031">
        <v>1</v>
      </c>
      <c r="F3031" s="2">
        <v>0</v>
      </c>
      <c r="H3031">
        <v>0</v>
      </c>
      <c r="I3031">
        <v>0.1741125760648204</v>
      </c>
      <c r="J3031">
        <v>0</v>
      </c>
      <c r="K3031">
        <v>0</v>
      </c>
      <c r="L3031" s="2">
        <v>0</v>
      </c>
      <c r="M3031">
        <v>33.07</v>
      </c>
      <c r="N3031" t="s">
        <v>10236</v>
      </c>
    </row>
    <row r="3032" spans="1:14">
      <c r="A3032" t="s">
        <v>35</v>
      </c>
      <c r="B3032" t="s">
        <v>3187</v>
      </c>
      <c r="C3032">
        <f>"BO3139HA5Z"</f>
        <v>0</v>
      </c>
      <c r="D3032">
        <v>0</v>
      </c>
      <c r="E3032">
        <v>0</v>
      </c>
      <c r="F3032" s="2">
        <v>0</v>
      </c>
      <c r="H3032">
        <v>0</v>
      </c>
      <c r="I3032">
        <v>0.1741125760648204</v>
      </c>
      <c r="J3032">
        <v>0</v>
      </c>
      <c r="K3032">
        <v>0</v>
      </c>
      <c r="L3032" s="2">
        <v>0</v>
      </c>
      <c r="M3032">
        <v>33.08</v>
      </c>
      <c r="N3032" t="s">
        <v>10236</v>
      </c>
    </row>
    <row r="3033" spans="1:14">
      <c r="A3033" t="s">
        <v>35</v>
      </c>
      <c r="B3033" t="s">
        <v>3188</v>
      </c>
      <c r="C3033">
        <f>"BO3134HA5RGC"</f>
        <v>0</v>
      </c>
      <c r="D3033">
        <v>0</v>
      </c>
      <c r="E3033">
        <v>1</v>
      </c>
      <c r="F3033" s="2">
        <v>4</v>
      </c>
      <c r="H3033">
        <v>0</v>
      </c>
      <c r="I3033">
        <v>0.1741125760648204</v>
      </c>
      <c r="J3033">
        <v>0</v>
      </c>
      <c r="K3033">
        <v>0</v>
      </c>
      <c r="L3033" s="2">
        <v>0</v>
      </c>
      <c r="M3033">
        <v>33.09</v>
      </c>
      <c r="N3033" t="s">
        <v>10236</v>
      </c>
    </row>
    <row r="3034" spans="1:14">
      <c r="A3034" t="s">
        <v>35</v>
      </c>
      <c r="B3034" t="s">
        <v>3189</v>
      </c>
      <c r="C3034">
        <f>"BO3134HA5PG"</f>
        <v>0</v>
      </c>
      <c r="D3034">
        <v>0</v>
      </c>
      <c r="E3034">
        <v>3</v>
      </c>
      <c r="F3034" s="2">
        <v>1</v>
      </c>
      <c r="H3034">
        <v>0</v>
      </c>
      <c r="I3034">
        <v>0.1741125760648204</v>
      </c>
      <c r="J3034">
        <v>0</v>
      </c>
      <c r="K3034">
        <v>0</v>
      </c>
      <c r="L3034" s="2">
        <v>0</v>
      </c>
      <c r="M3034">
        <v>33.1</v>
      </c>
      <c r="N3034" t="s">
        <v>10236</v>
      </c>
    </row>
    <row r="3035" spans="1:14">
      <c r="A3035" t="s">
        <v>35</v>
      </c>
      <c r="B3035" t="s">
        <v>3190</v>
      </c>
      <c r="C3035">
        <f>"ZYD01"</f>
        <v>0</v>
      </c>
      <c r="D3035">
        <v>0</v>
      </c>
      <c r="E3035">
        <v>3</v>
      </c>
      <c r="F3035" s="2">
        <v>4</v>
      </c>
      <c r="H3035">
        <v>0</v>
      </c>
      <c r="I3035">
        <v>0.1741125760648204</v>
      </c>
      <c r="J3035">
        <v>0</v>
      </c>
      <c r="K3035">
        <v>0</v>
      </c>
      <c r="L3035" s="2">
        <v>0</v>
      </c>
      <c r="M3035">
        <v>33.11</v>
      </c>
      <c r="N3035" t="s">
        <v>10236</v>
      </c>
    </row>
    <row r="3036" spans="1:14">
      <c r="A3036" t="s">
        <v>35</v>
      </c>
      <c r="B3036" t="s">
        <v>3191</v>
      </c>
      <c r="C3036">
        <f>"CTB21"</f>
        <v>0</v>
      </c>
      <c r="D3036">
        <v>0</v>
      </c>
      <c r="E3036">
        <v>9</v>
      </c>
      <c r="F3036" s="2">
        <v>1</v>
      </c>
      <c r="H3036">
        <v>0</v>
      </c>
      <c r="I3036">
        <v>0.1741125760648204</v>
      </c>
      <c r="J3036">
        <v>0</v>
      </c>
      <c r="K3036">
        <v>0</v>
      </c>
      <c r="L3036" s="2">
        <v>0</v>
      </c>
      <c r="M3036">
        <v>33.11</v>
      </c>
      <c r="N3036" t="s">
        <v>10236</v>
      </c>
    </row>
    <row r="3037" spans="1:14">
      <c r="A3037" t="s">
        <v>32</v>
      </c>
      <c r="B3037" t="s">
        <v>3192</v>
      </c>
      <c r="C3037">
        <f>"5000202"</f>
        <v>0</v>
      </c>
      <c r="D3037">
        <v>0</v>
      </c>
      <c r="E3037">
        <v>0</v>
      </c>
      <c r="F3037" s="2">
        <v>0</v>
      </c>
      <c r="H3037">
        <v>0</v>
      </c>
      <c r="I3037">
        <v>0.1741125760648204</v>
      </c>
      <c r="J3037">
        <v>0</v>
      </c>
      <c r="K3037">
        <v>0</v>
      </c>
      <c r="L3037" s="2">
        <v>0</v>
      </c>
      <c r="M3037">
        <v>33.12</v>
      </c>
      <c r="N3037" t="s">
        <v>10236</v>
      </c>
    </row>
    <row r="3038" spans="1:14">
      <c r="A3038" t="s">
        <v>32</v>
      </c>
      <c r="B3038" t="s">
        <v>3193</v>
      </c>
      <c r="C3038">
        <f>"5000261"</f>
        <v>0</v>
      </c>
      <c r="D3038">
        <v>0</v>
      </c>
      <c r="E3038">
        <v>0</v>
      </c>
      <c r="F3038" s="2">
        <v>0</v>
      </c>
      <c r="H3038">
        <v>0</v>
      </c>
      <c r="I3038">
        <v>0.1741125760648204</v>
      </c>
      <c r="J3038">
        <v>0</v>
      </c>
      <c r="K3038">
        <v>0</v>
      </c>
      <c r="L3038" s="2">
        <v>0</v>
      </c>
      <c r="M3038">
        <v>33.13</v>
      </c>
      <c r="N3038" t="s">
        <v>10236</v>
      </c>
    </row>
    <row r="3039" spans="1:14">
      <c r="A3039" t="s">
        <v>32</v>
      </c>
      <c r="B3039" t="s">
        <v>3194</v>
      </c>
      <c r="C3039">
        <f>"5001850"</f>
        <v>0</v>
      </c>
      <c r="D3039">
        <v>0</v>
      </c>
      <c r="E3039">
        <v>2</v>
      </c>
      <c r="F3039" s="2">
        <v>7</v>
      </c>
      <c r="H3039">
        <v>0</v>
      </c>
      <c r="I3039">
        <v>0.1741125760648204</v>
      </c>
      <c r="J3039">
        <v>0</v>
      </c>
      <c r="K3039">
        <v>0</v>
      </c>
      <c r="L3039" s="2">
        <v>0</v>
      </c>
      <c r="M3039">
        <v>33.14</v>
      </c>
      <c r="N3039" t="s">
        <v>10236</v>
      </c>
    </row>
    <row r="3040" spans="1:14">
      <c r="A3040" t="s">
        <v>195</v>
      </c>
      <c r="B3040" t="s">
        <v>3195</v>
      </c>
      <c r="C3040">
        <f>"25395653"</f>
        <v>0</v>
      </c>
      <c r="D3040">
        <v>0</v>
      </c>
      <c r="E3040">
        <v>0</v>
      </c>
      <c r="F3040" s="2">
        <v>0</v>
      </c>
      <c r="H3040">
        <v>0</v>
      </c>
      <c r="I3040">
        <v>0.1741125760648204</v>
      </c>
      <c r="J3040">
        <v>0</v>
      </c>
      <c r="K3040">
        <v>0</v>
      </c>
      <c r="L3040" s="2">
        <v>0</v>
      </c>
      <c r="M3040">
        <v>33.15</v>
      </c>
      <c r="N3040" t="s">
        <v>10236</v>
      </c>
    </row>
    <row r="3041" spans="1:14">
      <c r="A3041" t="s">
        <v>192</v>
      </c>
      <c r="B3041" t="s">
        <v>3196</v>
      </c>
      <c r="C3041">
        <f>"LN120"</f>
        <v>0</v>
      </c>
      <c r="D3041">
        <v>0</v>
      </c>
      <c r="E3041">
        <v>0</v>
      </c>
      <c r="F3041" s="2">
        <v>0</v>
      </c>
      <c r="H3041">
        <v>0</v>
      </c>
      <c r="I3041">
        <v>0.1741125760648204</v>
      </c>
      <c r="J3041">
        <v>0</v>
      </c>
      <c r="K3041">
        <v>0</v>
      </c>
      <c r="L3041" s="2">
        <v>0</v>
      </c>
      <c r="M3041">
        <v>33.16</v>
      </c>
      <c r="N3041" t="s">
        <v>10236</v>
      </c>
    </row>
    <row r="3042" spans="1:14">
      <c r="A3042" t="s">
        <v>29</v>
      </c>
      <c r="B3042" t="s">
        <v>3197</v>
      </c>
      <c r="C3042">
        <f>"YBSZ08"</f>
        <v>0</v>
      </c>
      <c r="D3042">
        <v>0</v>
      </c>
      <c r="E3042">
        <v>4</v>
      </c>
      <c r="F3042" s="2">
        <v>5</v>
      </c>
      <c r="H3042">
        <v>0</v>
      </c>
      <c r="I3042">
        <v>0.1741125760648204</v>
      </c>
      <c r="J3042">
        <v>0</v>
      </c>
      <c r="K3042">
        <v>0</v>
      </c>
      <c r="L3042" s="2">
        <v>0</v>
      </c>
      <c r="M3042">
        <v>33.17</v>
      </c>
      <c r="N3042" t="s">
        <v>10236</v>
      </c>
    </row>
    <row r="3043" spans="1:14">
      <c r="A3043" t="s">
        <v>29</v>
      </c>
      <c r="B3043" t="s">
        <v>3198</v>
      </c>
      <c r="C3043">
        <f>"YBSZ07"</f>
        <v>0</v>
      </c>
      <c r="D3043">
        <v>0</v>
      </c>
      <c r="E3043">
        <v>2</v>
      </c>
      <c r="F3043" s="2">
        <v>10</v>
      </c>
      <c r="H3043">
        <v>0</v>
      </c>
      <c r="I3043">
        <v>0.1741125760648204</v>
      </c>
      <c r="J3043">
        <v>0</v>
      </c>
      <c r="K3043">
        <v>0</v>
      </c>
      <c r="L3043" s="2">
        <v>0</v>
      </c>
      <c r="M3043">
        <v>33.18</v>
      </c>
      <c r="N3043" t="s">
        <v>10236</v>
      </c>
    </row>
    <row r="3044" spans="1:14">
      <c r="A3044" t="s">
        <v>35</v>
      </c>
      <c r="B3044" t="s">
        <v>3199</v>
      </c>
      <c r="C3044">
        <f>"B115044SG"</f>
        <v>0</v>
      </c>
      <c r="D3044">
        <v>0</v>
      </c>
      <c r="E3044">
        <v>0</v>
      </c>
      <c r="F3044" s="2">
        <v>0</v>
      </c>
      <c r="H3044">
        <v>0</v>
      </c>
      <c r="I3044">
        <v>0.1741125760648204</v>
      </c>
      <c r="J3044">
        <v>0</v>
      </c>
      <c r="K3044">
        <v>0</v>
      </c>
      <c r="L3044" s="2">
        <v>0</v>
      </c>
      <c r="M3044">
        <v>33.19</v>
      </c>
      <c r="N3044" t="s">
        <v>10236</v>
      </c>
    </row>
    <row r="3045" spans="1:14">
      <c r="A3045" t="s">
        <v>35</v>
      </c>
      <c r="B3045" t="s">
        <v>3200</v>
      </c>
      <c r="C3045">
        <f>"B115044SB"</f>
        <v>0</v>
      </c>
      <c r="D3045">
        <v>0</v>
      </c>
      <c r="E3045">
        <v>1</v>
      </c>
      <c r="F3045" s="2">
        <v>3</v>
      </c>
      <c r="H3045">
        <v>0</v>
      </c>
      <c r="I3045">
        <v>0.1741125760648204</v>
      </c>
      <c r="J3045">
        <v>0</v>
      </c>
      <c r="K3045">
        <v>0</v>
      </c>
      <c r="L3045" s="2">
        <v>0</v>
      </c>
      <c r="M3045">
        <v>33.2</v>
      </c>
      <c r="N3045" t="s">
        <v>10236</v>
      </c>
    </row>
    <row r="3046" spans="1:14">
      <c r="A3046" t="s">
        <v>35</v>
      </c>
      <c r="B3046" t="s">
        <v>3201</v>
      </c>
      <c r="C3046">
        <f>"B115044MG"</f>
        <v>0</v>
      </c>
      <c r="D3046">
        <v>0</v>
      </c>
      <c r="E3046">
        <v>1</v>
      </c>
      <c r="F3046" s="2">
        <v>3</v>
      </c>
      <c r="H3046">
        <v>0</v>
      </c>
      <c r="I3046">
        <v>0.1741125760648204</v>
      </c>
      <c r="J3046">
        <v>0</v>
      </c>
      <c r="K3046">
        <v>0</v>
      </c>
      <c r="L3046" s="2">
        <v>0</v>
      </c>
      <c r="M3046">
        <v>33.21</v>
      </c>
      <c r="N3046" t="s">
        <v>10236</v>
      </c>
    </row>
    <row r="3047" spans="1:14">
      <c r="A3047" t="s">
        <v>35</v>
      </c>
      <c r="B3047" t="s">
        <v>3202</v>
      </c>
      <c r="C3047">
        <f>"B115044MB"</f>
        <v>0</v>
      </c>
      <c r="D3047">
        <v>0</v>
      </c>
      <c r="E3047">
        <v>1</v>
      </c>
      <c r="F3047" s="2">
        <v>3</v>
      </c>
      <c r="H3047">
        <v>0</v>
      </c>
      <c r="I3047">
        <v>0.1741125760648204</v>
      </c>
      <c r="J3047">
        <v>0</v>
      </c>
      <c r="K3047">
        <v>0</v>
      </c>
      <c r="L3047" s="2">
        <v>0</v>
      </c>
      <c r="M3047">
        <v>33.22</v>
      </c>
      <c r="N3047" t="s">
        <v>10236</v>
      </c>
    </row>
    <row r="3048" spans="1:14">
      <c r="A3048" t="s">
        <v>35</v>
      </c>
      <c r="B3048" t="s">
        <v>3203</v>
      </c>
      <c r="C3048">
        <f>"B115044LG"</f>
        <v>0</v>
      </c>
      <c r="D3048">
        <v>0</v>
      </c>
      <c r="E3048">
        <v>0</v>
      </c>
      <c r="F3048" s="2">
        <v>0</v>
      </c>
      <c r="H3048">
        <v>0</v>
      </c>
      <c r="I3048">
        <v>0.1741125760648204</v>
      </c>
      <c r="J3048">
        <v>0</v>
      </c>
      <c r="K3048">
        <v>0</v>
      </c>
      <c r="L3048" s="2">
        <v>0</v>
      </c>
      <c r="M3048">
        <v>33.23</v>
      </c>
      <c r="N3048" t="s">
        <v>10236</v>
      </c>
    </row>
    <row r="3049" spans="1:14">
      <c r="A3049" t="s">
        <v>35</v>
      </c>
      <c r="B3049" t="s">
        <v>3204</v>
      </c>
      <c r="C3049">
        <f>"B115044LB"</f>
        <v>0</v>
      </c>
      <c r="D3049">
        <v>0</v>
      </c>
      <c r="E3049">
        <v>2</v>
      </c>
      <c r="F3049" s="2">
        <v>4</v>
      </c>
      <c r="H3049">
        <v>0</v>
      </c>
      <c r="I3049">
        <v>0.1741125760648204</v>
      </c>
      <c r="J3049">
        <v>0</v>
      </c>
      <c r="K3049">
        <v>0</v>
      </c>
      <c r="L3049" s="2">
        <v>0</v>
      </c>
      <c r="M3049">
        <v>33.23</v>
      </c>
      <c r="N3049" t="s">
        <v>10236</v>
      </c>
    </row>
    <row r="3050" spans="1:14">
      <c r="A3050" t="s">
        <v>35</v>
      </c>
      <c r="B3050" t="s">
        <v>3205</v>
      </c>
      <c r="C3050">
        <f>"YP192MG"</f>
        <v>0</v>
      </c>
      <c r="D3050">
        <v>0</v>
      </c>
      <c r="E3050">
        <v>1</v>
      </c>
      <c r="F3050" s="2">
        <v>3</v>
      </c>
      <c r="H3050">
        <v>0</v>
      </c>
      <c r="I3050">
        <v>0.1741125760648204</v>
      </c>
      <c r="J3050">
        <v>0</v>
      </c>
      <c r="K3050">
        <v>0</v>
      </c>
      <c r="L3050" s="2">
        <v>0</v>
      </c>
      <c r="M3050">
        <v>33.24</v>
      </c>
      <c r="N3050" t="s">
        <v>10236</v>
      </c>
    </row>
    <row r="3051" spans="1:14">
      <c r="A3051" t="s">
        <v>35</v>
      </c>
      <c r="B3051" t="s">
        <v>3206</v>
      </c>
      <c r="C3051">
        <f>"B1150444XLB"</f>
        <v>0</v>
      </c>
      <c r="D3051">
        <v>0</v>
      </c>
      <c r="E3051">
        <v>1</v>
      </c>
      <c r="F3051" s="2">
        <v>7</v>
      </c>
      <c r="H3051">
        <v>0</v>
      </c>
      <c r="I3051">
        <v>0.1741125760648204</v>
      </c>
      <c r="J3051">
        <v>0</v>
      </c>
      <c r="K3051">
        <v>0</v>
      </c>
      <c r="L3051" s="2">
        <v>0</v>
      </c>
      <c r="M3051">
        <v>33.25</v>
      </c>
      <c r="N3051" t="s">
        <v>10236</v>
      </c>
    </row>
    <row r="3052" spans="1:14">
      <c r="A3052" t="s">
        <v>35</v>
      </c>
      <c r="B3052" t="s">
        <v>3207</v>
      </c>
      <c r="C3052">
        <f>"B1150443XLG"</f>
        <v>0</v>
      </c>
      <c r="D3052">
        <v>0</v>
      </c>
      <c r="E3052">
        <v>2</v>
      </c>
      <c r="F3052" s="2">
        <v>6</v>
      </c>
      <c r="H3052">
        <v>0</v>
      </c>
      <c r="I3052">
        <v>0.1741125760648204</v>
      </c>
      <c r="J3052">
        <v>0</v>
      </c>
      <c r="K3052">
        <v>0</v>
      </c>
      <c r="L3052" s="2">
        <v>0</v>
      </c>
      <c r="M3052">
        <v>33.26</v>
      </c>
      <c r="N3052" t="s">
        <v>10236</v>
      </c>
    </row>
    <row r="3053" spans="1:14">
      <c r="A3053" t="s">
        <v>35</v>
      </c>
      <c r="B3053" t="s">
        <v>3208</v>
      </c>
      <c r="C3053">
        <f>"B1150443XLB"</f>
        <v>0</v>
      </c>
      <c r="D3053">
        <v>0</v>
      </c>
      <c r="E3053">
        <v>1</v>
      </c>
      <c r="F3053" s="2">
        <v>6</v>
      </c>
      <c r="H3053">
        <v>0</v>
      </c>
      <c r="I3053">
        <v>0.1741125760648204</v>
      </c>
      <c r="J3053">
        <v>0</v>
      </c>
      <c r="K3053">
        <v>0</v>
      </c>
      <c r="L3053" s="2">
        <v>0</v>
      </c>
      <c r="M3053">
        <v>33.27</v>
      </c>
      <c r="N3053" t="s">
        <v>10236</v>
      </c>
    </row>
    <row r="3054" spans="1:14">
      <c r="A3054" t="s">
        <v>35</v>
      </c>
      <c r="B3054" t="s">
        <v>3209</v>
      </c>
      <c r="C3054">
        <f>"CTB84"</f>
        <v>0</v>
      </c>
      <c r="D3054">
        <v>0</v>
      </c>
      <c r="E3054">
        <v>0</v>
      </c>
      <c r="F3054" s="2">
        <v>0</v>
      </c>
      <c r="H3054">
        <v>0</v>
      </c>
      <c r="I3054">
        <v>0.1741125760648204</v>
      </c>
      <c r="J3054">
        <v>0</v>
      </c>
      <c r="K3054">
        <v>0</v>
      </c>
      <c r="L3054" s="2">
        <v>0</v>
      </c>
      <c r="M3054">
        <v>33.28</v>
      </c>
      <c r="N3054" t="s">
        <v>10236</v>
      </c>
    </row>
    <row r="3055" spans="1:14">
      <c r="A3055" t="s">
        <v>35</v>
      </c>
      <c r="B3055" t="s">
        <v>3210</v>
      </c>
      <c r="C3055">
        <f>"167V"</f>
        <v>0</v>
      </c>
      <c r="D3055">
        <v>0</v>
      </c>
      <c r="E3055">
        <v>0</v>
      </c>
      <c r="F3055" s="2">
        <v>0</v>
      </c>
      <c r="H3055">
        <v>0</v>
      </c>
      <c r="I3055">
        <v>0.1741125760648204</v>
      </c>
      <c r="J3055">
        <v>0</v>
      </c>
      <c r="K3055">
        <v>0</v>
      </c>
      <c r="L3055" s="2">
        <v>0</v>
      </c>
      <c r="M3055">
        <v>33.29</v>
      </c>
      <c r="N3055" t="s">
        <v>10236</v>
      </c>
    </row>
    <row r="3056" spans="1:14">
      <c r="A3056" t="s">
        <v>194</v>
      </c>
      <c r="B3056" t="s">
        <v>3211</v>
      </c>
      <c r="C3056">
        <f>"7016063"</f>
        <v>0</v>
      </c>
      <c r="D3056">
        <v>0</v>
      </c>
      <c r="E3056">
        <v>5</v>
      </c>
      <c r="F3056" s="2">
        <v>0</v>
      </c>
      <c r="H3056">
        <v>0</v>
      </c>
      <c r="I3056">
        <v>0.1741125760648204</v>
      </c>
      <c r="J3056">
        <v>0</v>
      </c>
      <c r="K3056">
        <v>0</v>
      </c>
      <c r="L3056" s="2">
        <v>0</v>
      </c>
      <c r="M3056">
        <v>33.3</v>
      </c>
      <c r="N3056" t="s">
        <v>10236</v>
      </c>
    </row>
    <row r="3057" spans="1:14">
      <c r="A3057" t="s">
        <v>194</v>
      </c>
      <c r="B3057" t="s">
        <v>3212</v>
      </c>
      <c r="C3057">
        <f>"7016061"</f>
        <v>0</v>
      </c>
      <c r="D3057">
        <v>0</v>
      </c>
      <c r="E3057">
        <v>0</v>
      </c>
      <c r="F3057" s="2">
        <v>0</v>
      </c>
      <c r="H3057">
        <v>0</v>
      </c>
      <c r="I3057">
        <v>0.1741125760648204</v>
      </c>
      <c r="J3057">
        <v>0</v>
      </c>
      <c r="K3057">
        <v>0</v>
      </c>
      <c r="L3057" s="2">
        <v>0</v>
      </c>
      <c r="M3057">
        <v>33.31</v>
      </c>
      <c r="N3057" t="s">
        <v>10236</v>
      </c>
    </row>
    <row r="3058" spans="1:14">
      <c r="A3058" t="s">
        <v>35</v>
      </c>
      <c r="B3058" t="s">
        <v>3213</v>
      </c>
      <c r="C3058">
        <f>"YP193SA"</f>
        <v>0</v>
      </c>
      <c r="D3058">
        <v>0</v>
      </c>
      <c r="E3058">
        <v>0</v>
      </c>
      <c r="F3058" s="2">
        <v>0</v>
      </c>
      <c r="H3058">
        <v>0</v>
      </c>
      <c r="I3058">
        <v>0.1741125760648204</v>
      </c>
      <c r="J3058">
        <v>0</v>
      </c>
      <c r="K3058">
        <v>0</v>
      </c>
      <c r="L3058" s="2">
        <v>0</v>
      </c>
      <c r="M3058">
        <v>33.32</v>
      </c>
      <c r="N3058" t="s">
        <v>10236</v>
      </c>
    </row>
    <row r="3059" spans="1:14">
      <c r="A3059" t="s">
        <v>35</v>
      </c>
      <c r="B3059" t="s">
        <v>3214</v>
      </c>
      <c r="C3059">
        <f>"YP193MR"</f>
        <v>0</v>
      </c>
      <c r="D3059">
        <v>0</v>
      </c>
      <c r="E3059">
        <v>1</v>
      </c>
      <c r="F3059" s="2">
        <v>3</v>
      </c>
      <c r="H3059">
        <v>0</v>
      </c>
      <c r="I3059">
        <v>0.1741125760648204</v>
      </c>
      <c r="J3059">
        <v>0</v>
      </c>
      <c r="K3059">
        <v>0</v>
      </c>
      <c r="L3059" s="2">
        <v>0</v>
      </c>
      <c r="M3059">
        <v>33.33</v>
      </c>
      <c r="N3059" t="s">
        <v>10236</v>
      </c>
    </row>
    <row r="3060" spans="1:14">
      <c r="A3060" t="s">
        <v>35</v>
      </c>
      <c r="B3060" t="s">
        <v>3215</v>
      </c>
      <c r="C3060">
        <f>"YP193LR"</f>
        <v>0</v>
      </c>
      <c r="D3060">
        <v>0</v>
      </c>
      <c r="E3060">
        <v>2</v>
      </c>
      <c r="F3060" s="2">
        <v>4</v>
      </c>
      <c r="H3060">
        <v>0</v>
      </c>
      <c r="I3060">
        <v>0.1741125760648204</v>
      </c>
      <c r="J3060">
        <v>0</v>
      </c>
      <c r="K3060">
        <v>0</v>
      </c>
      <c r="L3060" s="2">
        <v>0</v>
      </c>
      <c r="M3060">
        <v>33.34</v>
      </c>
      <c r="N3060" t="s">
        <v>10236</v>
      </c>
    </row>
    <row r="3061" spans="1:14">
      <c r="A3061" t="s">
        <v>35</v>
      </c>
      <c r="B3061" t="s">
        <v>3216</v>
      </c>
      <c r="C3061">
        <f>"O09933"</f>
        <v>0</v>
      </c>
      <c r="D3061">
        <v>0</v>
      </c>
      <c r="E3061">
        <v>0</v>
      </c>
      <c r="F3061" s="2">
        <v>0</v>
      </c>
      <c r="H3061">
        <v>0</v>
      </c>
      <c r="I3061">
        <v>0.1741125760648204</v>
      </c>
      <c r="J3061">
        <v>0</v>
      </c>
      <c r="K3061">
        <v>0</v>
      </c>
      <c r="L3061" s="2">
        <v>0</v>
      </c>
      <c r="M3061">
        <v>33.35</v>
      </c>
      <c r="N3061" t="s">
        <v>10236</v>
      </c>
    </row>
    <row r="3062" spans="1:14">
      <c r="A3062" t="s">
        <v>35</v>
      </c>
      <c r="B3062" t="s">
        <v>3217</v>
      </c>
      <c r="C3062">
        <f>"O09934"</f>
        <v>0</v>
      </c>
      <c r="D3062">
        <v>0</v>
      </c>
      <c r="E3062">
        <v>1</v>
      </c>
      <c r="F3062" s="2">
        <v>0</v>
      </c>
      <c r="H3062">
        <v>0</v>
      </c>
      <c r="I3062">
        <v>0.1741125760648204</v>
      </c>
      <c r="J3062">
        <v>0</v>
      </c>
      <c r="K3062">
        <v>0</v>
      </c>
      <c r="L3062" s="2">
        <v>0</v>
      </c>
      <c r="M3062">
        <v>33.35</v>
      </c>
      <c r="N3062" t="s">
        <v>10236</v>
      </c>
    </row>
    <row r="3063" spans="1:14">
      <c r="A3063" t="s">
        <v>35</v>
      </c>
      <c r="B3063" t="s">
        <v>3218</v>
      </c>
      <c r="C3063">
        <f>"YP192SN"</f>
        <v>0</v>
      </c>
      <c r="D3063">
        <v>0</v>
      </c>
      <c r="E3063">
        <v>1</v>
      </c>
      <c r="F3063" s="2">
        <v>3</v>
      </c>
      <c r="H3063">
        <v>0</v>
      </c>
      <c r="I3063">
        <v>0.1741125760648204</v>
      </c>
      <c r="J3063">
        <v>0</v>
      </c>
      <c r="K3063">
        <v>0</v>
      </c>
      <c r="L3063" s="2">
        <v>0</v>
      </c>
      <c r="M3063">
        <v>33.36</v>
      </c>
      <c r="N3063" t="s">
        <v>10236</v>
      </c>
    </row>
    <row r="3064" spans="1:14">
      <c r="A3064" t="s">
        <v>35</v>
      </c>
      <c r="B3064" t="s">
        <v>3219</v>
      </c>
      <c r="C3064">
        <f>"YP192MN"</f>
        <v>0</v>
      </c>
      <c r="D3064">
        <v>0</v>
      </c>
      <c r="E3064">
        <v>1</v>
      </c>
      <c r="F3064" s="2">
        <v>3</v>
      </c>
      <c r="H3064">
        <v>0</v>
      </c>
      <c r="I3064">
        <v>0.1741125760648204</v>
      </c>
      <c r="J3064">
        <v>0</v>
      </c>
      <c r="K3064">
        <v>0</v>
      </c>
      <c r="L3064" s="2">
        <v>0</v>
      </c>
      <c r="M3064">
        <v>33.37</v>
      </c>
      <c r="N3064" t="s">
        <v>10236</v>
      </c>
    </row>
    <row r="3065" spans="1:14">
      <c r="A3065" t="s">
        <v>35</v>
      </c>
      <c r="B3065" t="s">
        <v>3220</v>
      </c>
      <c r="C3065">
        <f>"B1150444XLG"</f>
        <v>0</v>
      </c>
      <c r="D3065">
        <v>0</v>
      </c>
      <c r="E3065">
        <v>1</v>
      </c>
      <c r="F3065" s="2">
        <v>7</v>
      </c>
      <c r="H3065">
        <v>0</v>
      </c>
      <c r="I3065">
        <v>0.1741125760648204</v>
      </c>
      <c r="J3065">
        <v>0</v>
      </c>
      <c r="K3065">
        <v>0</v>
      </c>
      <c r="L3065" s="2">
        <v>0</v>
      </c>
      <c r="M3065">
        <v>33.38</v>
      </c>
      <c r="N3065" t="s">
        <v>10236</v>
      </c>
    </row>
    <row r="3066" spans="1:14">
      <c r="A3066" t="s">
        <v>35</v>
      </c>
      <c r="B3066" t="s">
        <v>3221</v>
      </c>
      <c r="C3066">
        <f>"D136L"</f>
        <v>0</v>
      </c>
      <c r="D3066">
        <v>0</v>
      </c>
      <c r="E3066">
        <v>9</v>
      </c>
      <c r="F3066" s="2">
        <v>1</v>
      </c>
      <c r="H3066">
        <v>0</v>
      </c>
      <c r="I3066">
        <v>0.1741125760648204</v>
      </c>
      <c r="J3066">
        <v>0</v>
      </c>
      <c r="K3066">
        <v>0</v>
      </c>
      <c r="L3066" s="2">
        <v>0</v>
      </c>
      <c r="M3066">
        <v>33.39</v>
      </c>
      <c r="N3066" t="s">
        <v>10236</v>
      </c>
    </row>
    <row r="3067" spans="1:14">
      <c r="A3067" t="s">
        <v>35</v>
      </c>
      <c r="B3067" t="s">
        <v>3222</v>
      </c>
      <c r="C3067">
        <f>"416001A"</f>
        <v>0</v>
      </c>
      <c r="D3067">
        <v>0</v>
      </c>
      <c r="E3067">
        <v>0</v>
      </c>
      <c r="F3067" s="2">
        <v>0</v>
      </c>
      <c r="H3067">
        <v>0</v>
      </c>
      <c r="I3067">
        <v>0.1741125760648204</v>
      </c>
      <c r="J3067">
        <v>0</v>
      </c>
      <c r="K3067">
        <v>0</v>
      </c>
      <c r="L3067" s="2">
        <v>0</v>
      </c>
      <c r="M3067">
        <v>33.4</v>
      </c>
      <c r="N3067" t="s">
        <v>10236</v>
      </c>
    </row>
    <row r="3068" spans="1:14">
      <c r="A3068" t="s">
        <v>35</v>
      </c>
      <c r="B3068" t="s">
        <v>3223</v>
      </c>
      <c r="C3068">
        <f>"416001"</f>
        <v>0</v>
      </c>
      <c r="D3068">
        <v>0</v>
      </c>
      <c r="E3068">
        <v>15</v>
      </c>
      <c r="F3068" s="2">
        <v>3</v>
      </c>
      <c r="H3068">
        <v>0</v>
      </c>
      <c r="I3068">
        <v>0.1741125760648204</v>
      </c>
      <c r="J3068">
        <v>0</v>
      </c>
      <c r="K3068">
        <v>0</v>
      </c>
      <c r="L3068" s="2">
        <v>0</v>
      </c>
      <c r="M3068">
        <v>33.41</v>
      </c>
      <c r="N3068" t="s">
        <v>10236</v>
      </c>
    </row>
    <row r="3069" spans="1:14">
      <c r="A3069" t="s">
        <v>35</v>
      </c>
      <c r="B3069" t="s">
        <v>3224</v>
      </c>
      <c r="C3069">
        <f>"416001R"</f>
        <v>0</v>
      </c>
      <c r="D3069">
        <v>0</v>
      </c>
      <c r="E3069">
        <v>0</v>
      </c>
      <c r="F3069" s="2">
        <v>0</v>
      </c>
      <c r="H3069">
        <v>0</v>
      </c>
      <c r="I3069">
        <v>0.1741125760648204</v>
      </c>
      <c r="J3069">
        <v>0</v>
      </c>
      <c r="K3069">
        <v>0</v>
      </c>
      <c r="L3069" s="2">
        <v>0</v>
      </c>
      <c r="M3069">
        <v>33.42</v>
      </c>
      <c r="N3069" t="s">
        <v>10236</v>
      </c>
    </row>
    <row r="3070" spans="1:14">
      <c r="A3070" t="s">
        <v>35</v>
      </c>
      <c r="B3070" t="s">
        <v>3225</v>
      </c>
      <c r="C3070">
        <f>"10011VE"</f>
        <v>0</v>
      </c>
      <c r="D3070">
        <v>0</v>
      </c>
      <c r="E3070">
        <v>0</v>
      </c>
      <c r="F3070" s="2">
        <v>0</v>
      </c>
      <c r="H3070">
        <v>0</v>
      </c>
      <c r="I3070">
        <v>0.1741125760648204</v>
      </c>
      <c r="J3070">
        <v>0</v>
      </c>
      <c r="K3070">
        <v>0</v>
      </c>
      <c r="L3070" s="2">
        <v>0</v>
      </c>
      <c r="M3070">
        <v>33.43</v>
      </c>
      <c r="N3070" t="s">
        <v>10236</v>
      </c>
    </row>
    <row r="3071" spans="1:14">
      <c r="A3071" t="s">
        <v>35</v>
      </c>
      <c r="B3071" t="s">
        <v>3226</v>
      </c>
      <c r="C3071">
        <f>"10011N"</f>
        <v>0</v>
      </c>
      <c r="D3071">
        <v>0</v>
      </c>
      <c r="E3071">
        <v>0</v>
      </c>
      <c r="F3071" s="2">
        <v>0</v>
      </c>
      <c r="H3071">
        <v>0</v>
      </c>
      <c r="I3071">
        <v>0.1741125760648204</v>
      </c>
      <c r="J3071">
        <v>0</v>
      </c>
      <c r="K3071">
        <v>0</v>
      </c>
      <c r="L3071" s="2">
        <v>0</v>
      </c>
      <c r="M3071">
        <v>33.44</v>
      </c>
      <c r="N3071" t="s">
        <v>10236</v>
      </c>
    </row>
    <row r="3072" spans="1:14">
      <c r="A3072" t="s">
        <v>35</v>
      </c>
      <c r="B3072" t="s">
        <v>3227</v>
      </c>
      <c r="C3072">
        <f>"10011AZ"</f>
        <v>0</v>
      </c>
      <c r="D3072">
        <v>0</v>
      </c>
      <c r="E3072">
        <v>0</v>
      </c>
      <c r="F3072" s="2">
        <v>0</v>
      </c>
      <c r="H3072">
        <v>0</v>
      </c>
      <c r="I3072">
        <v>0.1741125760648204</v>
      </c>
      <c r="J3072">
        <v>0</v>
      </c>
      <c r="K3072">
        <v>0</v>
      </c>
      <c r="L3072" s="2">
        <v>0</v>
      </c>
      <c r="M3072">
        <v>33.45</v>
      </c>
      <c r="N3072" t="s">
        <v>10236</v>
      </c>
    </row>
    <row r="3073" spans="1:14">
      <c r="A3073" t="s">
        <v>35</v>
      </c>
      <c r="B3073" t="s">
        <v>3228</v>
      </c>
      <c r="C3073">
        <f>"10011AN"</f>
        <v>0</v>
      </c>
      <c r="D3073">
        <v>0</v>
      </c>
      <c r="E3073">
        <v>0</v>
      </c>
      <c r="F3073" s="2">
        <v>0</v>
      </c>
      <c r="H3073">
        <v>0</v>
      </c>
      <c r="I3073">
        <v>0.1741125760648204</v>
      </c>
      <c r="J3073">
        <v>0</v>
      </c>
      <c r="K3073">
        <v>0</v>
      </c>
      <c r="L3073" s="2">
        <v>0</v>
      </c>
      <c r="M3073">
        <v>33.46</v>
      </c>
      <c r="N3073" t="s">
        <v>10236</v>
      </c>
    </row>
    <row r="3074" spans="1:14">
      <c r="A3074" t="s">
        <v>35</v>
      </c>
      <c r="B3074" t="s">
        <v>3229</v>
      </c>
      <c r="C3074">
        <f>"10021VE"</f>
        <v>0</v>
      </c>
      <c r="D3074">
        <v>0</v>
      </c>
      <c r="E3074">
        <v>0</v>
      </c>
      <c r="F3074" s="2">
        <v>0</v>
      </c>
      <c r="H3074">
        <v>0</v>
      </c>
      <c r="I3074">
        <v>0.1741125760648204</v>
      </c>
      <c r="J3074">
        <v>0</v>
      </c>
      <c r="K3074">
        <v>0</v>
      </c>
      <c r="L3074" s="2">
        <v>0</v>
      </c>
      <c r="M3074">
        <v>33.47</v>
      </c>
      <c r="N3074" t="s">
        <v>10236</v>
      </c>
    </row>
    <row r="3075" spans="1:14">
      <c r="A3075" t="s">
        <v>35</v>
      </c>
      <c r="B3075" t="s">
        <v>3230</v>
      </c>
      <c r="C3075">
        <f>"10021M"</f>
        <v>0</v>
      </c>
      <c r="D3075">
        <v>0</v>
      </c>
      <c r="E3075">
        <v>1</v>
      </c>
      <c r="F3075" s="2">
        <v>1</v>
      </c>
      <c r="H3075">
        <v>0</v>
      </c>
      <c r="I3075">
        <v>0.1741125760648204</v>
      </c>
      <c r="J3075">
        <v>0</v>
      </c>
      <c r="K3075">
        <v>0</v>
      </c>
      <c r="L3075" s="2">
        <v>0</v>
      </c>
      <c r="M3075">
        <v>33.47</v>
      </c>
      <c r="N3075" t="s">
        <v>10236</v>
      </c>
    </row>
    <row r="3076" spans="1:14">
      <c r="A3076" t="s">
        <v>35</v>
      </c>
      <c r="B3076" t="s">
        <v>3231</v>
      </c>
      <c r="C3076">
        <f>"10021AZ"</f>
        <v>0</v>
      </c>
      <c r="D3076">
        <v>0</v>
      </c>
      <c r="E3076">
        <v>0</v>
      </c>
      <c r="F3076" s="2">
        <v>0</v>
      </c>
      <c r="H3076">
        <v>0</v>
      </c>
      <c r="I3076">
        <v>0.1741125760648204</v>
      </c>
      <c r="J3076">
        <v>0</v>
      </c>
      <c r="K3076">
        <v>0</v>
      </c>
      <c r="L3076" s="2">
        <v>0</v>
      </c>
      <c r="M3076">
        <v>33.48</v>
      </c>
      <c r="N3076" t="s">
        <v>10236</v>
      </c>
    </row>
    <row r="3077" spans="1:14">
      <c r="A3077" t="s">
        <v>35</v>
      </c>
      <c r="B3077" t="s">
        <v>3232</v>
      </c>
      <c r="C3077">
        <f>"TQ10121V"</f>
        <v>0</v>
      </c>
      <c r="D3077">
        <v>0</v>
      </c>
      <c r="E3077">
        <v>1</v>
      </c>
      <c r="F3077" s="2">
        <v>891</v>
      </c>
      <c r="H3077">
        <v>0</v>
      </c>
      <c r="I3077">
        <v>0.1741125760648204</v>
      </c>
      <c r="J3077">
        <v>0</v>
      </c>
      <c r="K3077">
        <v>0</v>
      </c>
      <c r="L3077" s="2">
        <v>0</v>
      </c>
      <c r="M3077">
        <v>33.49</v>
      </c>
      <c r="N3077" t="s">
        <v>10236</v>
      </c>
    </row>
    <row r="3078" spans="1:14">
      <c r="A3078" t="s">
        <v>35</v>
      </c>
      <c r="B3078" t="s">
        <v>3233</v>
      </c>
      <c r="C3078">
        <f>"TQ10121R"</f>
        <v>0</v>
      </c>
      <c r="D3078">
        <v>0</v>
      </c>
      <c r="E3078">
        <v>1</v>
      </c>
      <c r="F3078" s="2">
        <v>891</v>
      </c>
      <c r="H3078">
        <v>0</v>
      </c>
      <c r="I3078">
        <v>0.1741125760648204</v>
      </c>
      <c r="J3078">
        <v>0</v>
      </c>
      <c r="K3078">
        <v>0</v>
      </c>
      <c r="L3078" s="2">
        <v>0</v>
      </c>
      <c r="M3078">
        <v>33.5</v>
      </c>
      <c r="N3078" t="s">
        <v>10236</v>
      </c>
    </row>
    <row r="3079" spans="1:14">
      <c r="A3079" t="s">
        <v>35</v>
      </c>
      <c r="B3079" t="s">
        <v>3234</v>
      </c>
      <c r="C3079">
        <f>"TQ10121M"</f>
        <v>0</v>
      </c>
      <c r="D3079">
        <v>0</v>
      </c>
      <c r="E3079">
        <v>1</v>
      </c>
      <c r="F3079" s="2">
        <v>891</v>
      </c>
      <c r="H3079">
        <v>0</v>
      </c>
      <c r="I3079">
        <v>0.1741125760648204</v>
      </c>
      <c r="J3079">
        <v>0</v>
      </c>
      <c r="K3079">
        <v>0</v>
      </c>
      <c r="L3079" s="2">
        <v>0</v>
      </c>
      <c r="M3079">
        <v>33.51</v>
      </c>
      <c r="N3079" t="s">
        <v>10236</v>
      </c>
    </row>
    <row r="3080" spans="1:14">
      <c r="A3080" t="s">
        <v>35</v>
      </c>
      <c r="B3080" t="s">
        <v>3235</v>
      </c>
      <c r="C3080">
        <f>"LYC02002"</f>
        <v>0</v>
      </c>
      <c r="D3080">
        <v>0</v>
      </c>
      <c r="E3080">
        <v>0</v>
      </c>
      <c r="F3080" s="2">
        <v>0</v>
      </c>
      <c r="H3080">
        <v>0</v>
      </c>
      <c r="I3080">
        <v>0.1741125760648204</v>
      </c>
      <c r="J3080">
        <v>0</v>
      </c>
      <c r="K3080">
        <v>0</v>
      </c>
      <c r="L3080" s="2">
        <v>0</v>
      </c>
      <c r="M3080">
        <v>33.52</v>
      </c>
      <c r="N3080" t="s">
        <v>10236</v>
      </c>
    </row>
    <row r="3081" spans="1:14">
      <c r="A3081" t="s">
        <v>35</v>
      </c>
      <c r="B3081" t="s">
        <v>3236</v>
      </c>
      <c r="C3081">
        <f>"TQ26V"</f>
        <v>0</v>
      </c>
      <c r="D3081">
        <v>0</v>
      </c>
      <c r="E3081">
        <v>1</v>
      </c>
      <c r="F3081" s="2">
        <v>630</v>
      </c>
      <c r="H3081">
        <v>0</v>
      </c>
      <c r="I3081">
        <v>0.1741125760648204</v>
      </c>
      <c r="J3081">
        <v>0</v>
      </c>
      <c r="K3081">
        <v>0</v>
      </c>
      <c r="L3081" s="2">
        <v>0</v>
      </c>
      <c r="M3081">
        <v>33.53</v>
      </c>
      <c r="N3081" t="s">
        <v>10236</v>
      </c>
    </row>
    <row r="3082" spans="1:14">
      <c r="A3082" t="s">
        <v>35</v>
      </c>
      <c r="B3082" t="s">
        <v>1167</v>
      </c>
      <c r="C3082">
        <f>"TQ01031R"</f>
        <v>0</v>
      </c>
      <c r="D3082">
        <v>0</v>
      </c>
      <c r="E3082">
        <v>0</v>
      </c>
      <c r="F3082" s="2">
        <v>0</v>
      </c>
      <c r="H3082">
        <v>0</v>
      </c>
      <c r="I3082">
        <v>0.1741125760648204</v>
      </c>
      <c r="J3082">
        <v>0</v>
      </c>
      <c r="K3082">
        <v>0</v>
      </c>
      <c r="L3082" s="2">
        <v>0</v>
      </c>
      <c r="M3082">
        <v>33.54</v>
      </c>
      <c r="N3082" t="s">
        <v>10236</v>
      </c>
    </row>
    <row r="3083" spans="1:14">
      <c r="A3083" t="s">
        <v>35</v>
      </c>
      <c r="B3083" t="s">
        <v>3237</v>
      </c>
      <c r="C3083">
        <f>"D138S"</f>
        <v>0</v>
      </c>
      <c r="D3083">
        <v>0</v>
      </c>
      <c r="E3083">
        <v>3</v>
      </c>
      <c r="F3083" s="2">
        <v>1</v>
      </c>
      <c r="H3083">
        <v>0</v>
      </c>
      <c r="I3083">
        <v>0.1741125760648204</v>
      </c>
      <c r="J3083">
        <v>0</v>
      </c>
      <c r="K3083">
        <v>0</v>
      </c>
      <c r="L3083" s="2">
        <v>0</v>
      </c>
      <c r="M3083">
        <v>33.55</v>
      </c>
      <c r="N3083" t="s">
        <v>10236</v>
      </c>
    </row>
    <row r="3084" spans="1:14">
      <c r="A3084" t="s">
        <v>35</v>
      </c>
      <c r="B3084" t="s">
        <v>3238</v>
      </c>
      <c r="C3084">
        <f>"YE78104S"</f>
        <v>0</v>
      </c>
      <c r="D3084">
        <v>0</v>
      </c>
      <c r="E3084">
        <v>0</v>
      </c>
      <c r="F3084" s="2">
        <v>0</v>
      </c>
      <c r="H3084">
        <v>0</v>
      </c>
      <c r="I3084">
        <v>0.1741125760648204</v>
      </c>
      <c r="J3084">
        <v>0</v>
      </c>
      <c r="K3084">
        <v>0</v>
      </c>
      <c r="L3084" s="2">
        <v>0</v>
      </c>
      <c r="M3084">
        <v>33.56</v>
      </c>
      <c r="N3084" t="s">
        <v>10236</v>
      </c>
    </row>
    <row r="3085" spans="1:14">
      <c r="A3085" t="s">
        <v>35</v>
      </c>
      <c r="B3085" t="s">
        <v>3239</v>
      </c>
      <c r="C3085">
        <f>"YE78104L"</f>
        <v>0</v>
      </c>
      <c r="D3085">
        <v>0</v>
      </c>
      <c r="E3085">
        <v>0</v>
      </c>
      <c r="F3085" s="2">
        <v>0</v>
      </c>
      <c r="H3085">
        <v>0</v>
      </c>
      <c r="I3085">
        <v>0.1741125760648204</v>
      </c>
      <c r="J3085">
        <v>0</v>
      </c>
      <c r="K3085">
        <v>0</v>
      </c>
      <c r="L3085" s="2">
        <v>0</v>
      </c>
      <c r="M3085">
        <v>33.57</v>
      </c>
      <c r="N3085" t="s">
        <v>10236</v>
      </c>
    </row>
    <row r="3086" spans="1:14">
      <c r="A3086" t="s">
        <v>35</v>
      </c>
      <c r="B3086" t="s">
        <v>3240</v>
      </c>
      <c r="C3086">
        <f>"232548"</f>
        <v>0</v>
      </c>
      <c r="D3086">
        <v>0</v>
      </c>
      <c r="E3086">
        <v>0</v>
      </c>
      <c r="F3086" s="2">
        <v>0</v>
      </c>
      <c r="H3086">
        <v>0</v>
      </c>
      <c r="I3086">
        <v>0.1741125760648204</v>
      </c>
      <c r="J3086">
        <v>0</v>
      </c>
      <c r="K3086">
        <v>0</v>
      </c>
      <c r="L3086" s="2">
        <v>0</v>
      </c>
      <c r="M3086">
        <v>33.58</v>
      </c>
      <c r="N3086" t="s">
        <v>10236</v>
      </c>
    </row>
    <row r="3087" spans="1:14">
      <c r="A3087" t="s">
        <v>35</v>
      </c>
      <c r="B3087" t="s">
        <v>3241</v>
      </c>
      <c r="C3087">
        <f>"CW389R"</f>
        <v>0</v>
      </c>
      <c r="D3087">
        <v>0</v>
      </c>
      <c r="E3087">
        <v>0</v>
      </c>
      <c r="F3087" s="2">
        <v>0</v>
      </c>
      <c r="H3087">
        <v>0</v>
      </c>
      <c r="I3087">
        <v>0.1741125760648204</v>
      </c>
      <c r="J3087">
        <v>0</v>
      </c>
      <c r="K3087">
        <v>0</v>
      </c>
      <c r="L3087" s="2">
        <v>0</v>
      </c>
      <c r="M3087">
        <v>33.59</v>
      </c>
      <c r="N3087" t="s">
        <v>10236</v>
      </c>
    </row>
    <row r="3088" spans="1:14">
      <c r="A3088" t="s">
        <v>35</v>
      </c>
      <c r="B3088" t="s">
        <v>3241</v>
      </c>
      <c r="C3088">
        <f>"CW389C"</f>
        <v>0</v>
      </c>
      <c r="D3088">
        <v>0</v>
      </c>
      <c r="E3088">
        <v>0</v>
      </c>
      <c r="F3088" s="2">
        <v>0</v>
      </c>
      <c r="H3088">
        <v>0</v>
      </c>
      <c r="I3088">
        <v>0.1741125760648204</v>
      </c>
      <c r="J3088">
        <v>0</v>
      </c>
      <c r="K3088">
        <v>0</v>
      </c>
      <c r="L3088" s="2">
        <v>0</v>
      </c>
      <c r="M3088">
        <v>33.59</v>
      </c>
      <c r="N3088" t="s">
        <v>10236</v>
      </c>
    </row>
    <row r="3089" spans="1:14">
      <c r="A3089" t="s">
        <v>35</v>
      </c>
      <c r="B3089" t="s">
        <v>3241</v>
      </c>
      <c r="C3089">
        <f>"CW389B"</f>
        <v>0</v>
      </c>
      <c r="D3089">
        <v>0</v>
      </c>
      <c r="E3089">
        <v>0</v>
      </c>
      <c r="F3089" s="2">
        <v>0</v>
      </c>
      <c r="H3089">
        <v>0</v>
      </c>
      <c r="I3089">
        <v>0.1741125760648204</v>
      </c>
      <c r="J3089">
        <v>0</v>
      </c>
      <c r="K3089">
        <v>0</v>
      </c>
      <c r="L3089" s="2">
        <v>0</v>
      </c>
      <c r="M3089">
        <v>33.6</v>
      </c>
      <c r="N3089" t="s">
        <v>10236</v>
      </c>
    </row>
    <row r="3090" spans="1:14">
      <c r="A3090" t="s">
        <v>35</v>
      </c>
      <c r="B3090" t="s">
        <v>3242</v>
      </c>
      <c r="C3090">
        <f>"DR102"</f>
        <v>0</v>
      </c>
      <c r="D3090">
        <v>0</v>
      </c>
      <c r="E3090">
        <v>0</v>
      </c>
      <c r="F3090" s="2">
        <v>0</v>
      </c>
      <c r="H3090">
        <v>0</v>
      </c>
      <c r="I3090">
        <v>0.1741125760648204</v>
      </c>
      <c r="J3090">
        <v>0</v>
      </c>
      <c r="K3090">
        <v>0</v>
      </c>
      <c r="L3090" s="2">
        <v>0</v>
      </c>
      <c r="M3090">
        <v>33.61</v>
      </c>
      <c r="N3090" t="s">
        <v>10236</v>
      </c>
    </row>
    <row r="3091" spans="1:14">
      <c r="A3091" t="s">
        <v>35</v>
      </c>
      <c r="B3091" t="s">
        <v>3243</v>
      </c>
      <c r="C3091">
        <f>"HC24"</f>
        <v>0</v>
      </c>
      <c r="D3091">
        <v>0</v>
      </c>
      <c r="E3091">
        <v>0</v>
      </c>
      <c r="F3091" s="2">
        <v>0</v>
      </c>
      <c r="H3091">
        <v>0</v>
      </c>
      <c r="I3091">
        <v>0.1741125760648204</v>
      </c>
      <c r="J3091">
        <v>0</v>
      </c>
      <c r="K3091">
        <v>0</v>
      </c>
      <c r="L3091" s="2">
        <v>0</v>
      </c>
      <c r="M3091">
        <v>33.62</v>
      </c>
      <c r="N3091" t="s">
        <v>10236</v>
      </c>
    </row>
    <row r="3092" spans="1:14">
      <c r="A3092" t="s">
        <v>35</v>
      </c>
      <c r="B3092" t="s">
        <v>3244</v>
      </c>
      <c r="C3092">
        <f>"TQ0115V"</f>
        <v>0</v>
      </c>
      <c r="D3092">
        <v>0</v>
      </c>
      <c r="E3092">
        <v>0</v>
      </c>
      <c r="F3092" s="2">
        <v>0</v>
      </c>
      <c r="H3092">
        <v>0</v>
      </c>
      <c r="I3092">
        <v>0.1741125760648204</v>
      </c>
      <c r="J3092">
        <v>0</v>
      </c>
      <c r="K3092">
        <v>0</v>
      </c>
      <c r="L3092" s="2">
        <v>0</v>
      </c>
      <c r="M3092">
        <v>33.63</v>
      </c>
      <c r="N3092" t="s">
        <v>10236</v>
      </c>
    </row>
    <row r="3093" spans="1:14">
      <c r="A3093" t="s">
        <v>212</v>
      </c>
      <c r="B3093" t="s">
        <v>3245</v>
      </c>
      <c r="C3093">
        <f>"79205"</f>
        <v>0</v>
      </c>
      <c r="D3093">
        <v>0</v>
      </c>
      <c r="E3093">
        <v>0</v>
      </c>
      <c r="F3093" s="2">
        <v>0</v>
      </c>
      <c r="H3093">
        <v>0</v>
      </c>
      <c r="I3093">
        <v>0.1741125760648204</v>
      </c>
      <c r="J3093">
        <v>0</v>
      </c>
      <c r="K3093">
        <v>0</v>
      </c>
      <c r="L3093" s="2">
        <v>0</v>
      </c>
      <c r="M3093">
        <v>33.64</v>
      </c>
      <c r="N3093" t="s">
        <v>10236</v>
      </c>
    </row>
    <row r="3094" spans="1:14">
      <c r="A3094" t="s">
        <v>212</v>
      </c>
      <c r="B3094" t="s">
        <v>3246</v>
      </c>
      <c r="C3094">
        <f>"560498"</f>
        <v>0</v>
      </c>
      <c r="D3094">
        <v>0</v>
      </c>
      <c r="E3094">
        <v>0</v>
      </c>
      <c r="F3094" s="2">
        <v>0</v>
      </c>
      <c r="H3094">
        <v>0</v>
      </c>
      <c r="I3094">
        <v>0.1741125760648204</v>
      </c>
      <c r="J3094">
        <v>0</v>
      </c>
      <c r="K3094">
        <v>0</v>
      </c>
      <c r="L3094" s="2">
        <v>0</v>
      </c>
      <c r="M3094">
        <v>33.65</v>
      </c>
      <c r="N3094" t="s">
        <v>10236</v>
      </c>
    </row>
    <row r="3095" spans="1:14">
      <c r="A3095" t="s">
        <v>35</v>
      </c>
      <c r="B3095" t="s">
        <v>3247</v>
      </c>
      <c r="C3095">
        <f>"TQ10121AZ"</f>
        <v>0</v>
      </c>
      <c r="D3095">
        <v>0</v>
      </c>
      <c r="E3095">
        <v>0</v>
      </c>
      <c r="F3095" s="2">
        <v>0</v>
      </c>
      <c r="H3095">
        <v>0</v>
      </c>
      <c r="I3095">
        <v>0.1741125760648204</v>
      </c>
      <c r="J3095">
        <v>0</v>
      </c>
      <c r="K3095">
        <v>0</v>
      </c>
      <c r="L3095" s="2">
        <v>0</v>
      </c>
      <c r="M3095">
        <v>33.66</v>
      </c>
      <c r="N3095" t="s">
        <v>10236</v>
      </c>
    </row>
    <row r="3096" spans="1:14">
      <c r="A3096" t="s">
        <v>35</v>
      </c>
      <c r="B3096" t="s">
        <v>3248</v>
      </c>
      <c r="C3096">
        <f>"KE3292H"</f>
        <v>0</v>
      </c>
      <c r="D3096">
        <v>0</v>
      </c>
      <c r="E3096">
        <v>0</v>
      </c>
      <c r="F3096" s="2">
        <v>0</v>
      </c>
      <c r="H3096">
        <v>0</v>
      </c>
      <c r="I3096">
        <v>0.1741125760648204</v>
      </c>
      <c r="J3096">
        <v>0</v>
      </c>
      <c r="K3096">
        <v>0</v>
      </c>
      <c r="L3096" s="2">
        <v>0</v>
      </c>
      <c r="M3096">
        <v>33.67</v>
      </c>
      <c r="N3096" t="s">
        <v>10236</v>
      </c>
    </row>
    <row r="3097" spans="1:14">
      <c r="A3097" t="s">
        <v>35</v>
      </c>
      <c r="B3097" t="s">
        <v>3249</v>
      </c>
      <c r="C3097">
        <f>"KE3291H"</f>
        <v>0</v>
      </c>
      <c r="D3097">
        <v>0</v>
      </c>
      <c r="E3097">
        <v>0</v>
      </c>
      <c r="F3097" s="2">
        <v>0</v>
      </c>
      <c r="H3097">
        <v>0</v>
      </c>
      <c r="I3097">
        <v>0.1741125760648204</v>
      </c>
      <c r="J3097">
        <v>0</v>
      </c>
      <c r="K3097">
        <v>0</v>
      </c>
      <c r="L3097" s="2">
        <v>0</v>
      </c>
      <c r="M3097">
        <v>33.68</v>
      </c>
      <c r="N3097" t="s">
        <v>10236</v>
      </c>
    </row>
    <row r="3098" spans="1:14">
      <c r="A3098" t="s">
        <v>35</v>
      </c>
      <c r="B3098" t="s">
        <v>3250</v>
      </c>
      <c r="C3098">
        <f>"KE3290H"</f>
        <v>0</v>
      </c>
      <c r="D3098">
        <v>0</v>
      </c>
      <c r="E3098">
        <v>0</v>
      </c>
      <c r="F3098" s="2">
        <v>0</v>
      </c>
      <c r="H3098">
        <v>0</v>
      </c>
      <c r="I3098">
        <v>0.1741125760648204</v>
      </c>
      <c r="J3098">
        <v>0</v>
      </c>
      <c r="K3098">
        <v>0</v>
      </c>
      <c r="L3098" s="2">
        <v>0</v>
      </c>
      <c r="M3098">
        <v>33.69</v>
      </c>
      <c r="N3098" t="s">
        <v>10236</v>
      </c>
    </row>
    <row r="3099" spans="1:14">
      <c r="A3099" t="s">
        <v>35</v>
      </c>
      <c r="B3099" t="s">
        <v>3251</v>
      </c>
      <c r="C3099">
        <f>"11049S"</f>
        <v>0</v>
      </c>
      <c r="D3099">
        <v>0</v>
      </c>
      <c r="E3099">
        <v>0</v>
      </c>
      <c r="F3099" s="2">
        <v>0</v>
      </c>
      <c r="H3099">
        <v>0</v>
      </c>
      <c r="I3099">
        <v>0.1741125760648204</v>
      </c>
      <c r="J3099">
        <v>0</v>
      </c>
      <c r="K3099">
        <v>0</v>
      </c>
      <c r="L3099" s="2">
        <v>0</v>
      </c>
      <c r="M3099">
        <v>33.7</v>
      </c>
      <c r="N3099" t="s">
        <v>10236</v>
      </c>
    </row>
    <row r="3100" spans="1:14">
      <c r="A3100" t="s">
        <v>35</v>
      </c>
      <c r="B3100" t="s">
        <v>3252</v>
      </c>
      <c r="C3100">
        <f>"BO3059"</f>
        <v>0</v>
      </c>
      <c r="D3100">
        <v>0</v>
      </c>
      <c r="E3100">
        <v>4</v>
      </c>
      <c r="F3100" s="2">
        <v>3</v>
      </c>
      <c r="H3100">
        <v>0</v>
      </c>
      <c r="I3100">
        <v>0.1741125760648204</v>
      </c>
      <c r="J3100">
        <v>0</v>
      </c>
      <c r="K3100">
        <v>0</v>
      </c>
      <c r="L3100" s="2">
        <v>0</v>
      </c>
      <c r="M3100">
        <v>33.7</v>
      </c>
      <c r="N3100" t="s">
        <v>10236</v>
      </c>
    </row>
    <row r="3101" spans="1:14">
      <c r="A3101" t="s">
        <v>35</v>
      </c>
      <c r="B3101" t="s">
        <v>3253</v>
      </c>
      <c r="C3101">
        <f>"BO3060"</f>
        <v>0</v>
      </c>
      <c r="D3101">
        <v>0</v>
      </c>
      <c r="E3101">
        <v>2</v>
      </c>
      <c r="F3101" s="2">
        <v>2</v>
      </c>
      <c r="H3101">
        <v>0</v>
      </c>
      <c r="I3101">
        <v>0.1741125760648204</v>
      </c>
      <c r="J3101">
        <v>0</v>
      </c>
      <c r="K3101">
        <v>0</v>
      </c>
      <c r="L3101" s="2">
        <v>0</v>
      </c>
      <c r="M3101">
        <v>33.71</v>
      </c>
      <c r="N3101" t="s">
        <v>10236</v>
      </c>
    </row>
    <row r="3102" spans="1:14">
      <c r="A3102" t="s">
        <v>35</v>
      </c>
      <c r="B3102" t="s">
        <v>3254</v>
      </c>
      <c r="C3102">
        <f>"TQ871R"</f>
        <v>0</v>
      </c>
      <c r="D3102">
        <v>0</v>
      </c>
      <c r="E3102">
        <v>0</v>
      </c>
      <c r="F3102" s="2">
        <v>0</v>
      </c>
      <c r="H3102">
        <v>0</v>
      </c>
      <c r="I3102">
        <v>0.1741125760648204</v>
      </c>
      <c r="J3102">
        <v>0</v>
      </c>
      <c r="K3102">
        <v>0</v>
      </c>
      <c r="L3102" s="2">
        <v>0</v>
      </c>
      <c r="M3102">
        <v>33.72</v>
      </c>
      <c r="N3102" t="s">
        <v>10236</v>
      </c>
    </row>
    <row r="3103" spans="1:14">
      <c r="A3103" t="s">
        <v>35</v>
      </c>
      <c r="B3103" t="s">
        <v>3255</v>
      </c>
      <c r="C3103">
        <f>"TQ871C"</f>
        <v>0</v>
      </c>
      <c r="D3103">
        <v>0</v>
      </c>
      <c r="E3103">
        <v>1</v>
      </c>
      <c r="F3103" s="2">
        <v>1</v>
      </c>
      <c r="H3103">
        <v>0</v>
      </c>
      <c r="I3103">
        <v>0.1741125760648204</v>
      </c>
      <c r="J3103">
        <v>0</v>
      </c>
      <c r="K3103">
        <v>0</v>
      </c>
      <c r="L3103" s="2">
        <v>0</v>
      </c>
      <c r="M3103">
        <v>33.73</v>
      </c>
      <c r="N3103" t="s">
        <v>10236</v>
      </c>
    </row>
    <row r="3104" spans="1:14">
      <c r="A3104" t="s">
        <v>35</v>
      </c>
      <c r="B3104" t="s">
        <v>3256</v>
      </c>
      <c r="C3104">
        <f>"TQ871V"</f>
        <v>0</v>
      </c>
      <c r="D3104">
        <v>0</v>
      </c>
      <c r="E3104">
        <v>1</v>
      </c>
      <c r="F3104" s="2">
        <v>1</v>
      </c>
      <c r="H3104">
        <v>0</v>
      </c>
      <c r="I3104">
        <v>0.1741125760648204</v>
      </c>
      <c r="J3104">
        <v>0</v>
      </c>
      <c r="K3104">
        <v>0</v>
      </c>
      <c r="L3104" s="2">
        <v>0</v>
      </c>
      <c r="M3104">
        <v>33.74</v>
      </c>
      <c r="N3104" t="s">
        <v>10236</v>
      </c>
    </row>
    <row r="3105" spans="1:14">
      <c r="A3105" t="s">
        <v>35</v>
      </c>
      <c r="B3105" t="s">
        <v>3257</v>
      </c>
      <c r="C3105">
        <f>"TQ871ROS"</f>
        <v>0</v>
      </c>
      <c r="D3105">
        <v>0</v>
      </c>
      <c r="E3105">
        <v>0</v>
      </c>
      <c r="F3105" s="2">
        <v>0</v>
      </c>
      <c r="H3105">
        <v>0</v>
      </c>
      <c r="I3105">
        <v>0.1741125760648204</v>
      </c>
      <c r="J3105">
        <v>0</v>
      </c>
      <c r="K3105">
        <v>0</v>
      </c>
      <c r="L3105" s="2">
        <v>0</v>
      </c>
      <c r="M3105">
        <v>33.75</v>
      </c>
      <c r="N3105" t="s">
        <v>10236</v>
      </c>
    </row>
    <row r="3106" spans="1:14">
      <c r="A3106" t="s">
        <v>35</v>
      </c>
      <c r="B3106" t="s">
        <v>3258</v>
      </c>
      <c r="C3106">
        <f>"BO3057BULL"</f>
        <v>0</v>
      </c>
      <c r="D3106">
        <v>0</v>
      </c>
      <c r="E3106">
        <v>1</v>
      </c>
      <c r="F3106" s="2">
        <v>0</v>
      </c>
      <c r="H3106">
        <v>0</v>
      </c>
      <c r="I3106">
        <v>0.1741125760648204</v>
      </c>
      <c r="J3106">
        <v>0</v>
      </c>
      <c r="K3106">
        <v>0</v>
      </c>
      <c r="L3106" s="2">
        <v>0</v>
      </c>
      <c r="M3106">
        <v>33.76</v>
      </c>
      <c r="N3106" t="s">
        <v>10236</v>
      </c>
    </row>
    <row r="3107" spans="1:14">
      <c r="A3107" t="s">
        <v>35</v>
      </c>
      <c r="B3107" t="s">
        <v>3259</v>
      </c>
      <c r="C3107">
        <f>"BO3056PC"</f>
        <v>0</v>
      </c>
      <c r="D3107">
        <v>0</v>
      </c>
      <c r="E3107">
        <v>0</v>
      </c>
      <c r="F3107" s="2">
        <v>0</v>
      </c>
      <c r="H3107">
        <v>0</v>
      </c>
      <c r="I3107">
        <v>0.1741125760648204</v>
      </c>
      <c r="J3107">
        <v>0</v>
      </c>
      <c r="K3107">
        <v>0</v>
      </c>
      <c r="L3107" s="2">
        <v>0</v>
      </c>
      <c r="M3107">
        <v>33.77</v>
      </c>
      <c r="N3107" t="s">
        <v>10236</v>
      </c>
    </row>
    <row r="3108" spans="1:14">
      <c r="A3108" t="s">
        <v>35</v>
      </c>
      <c r="B3108" t="s">
        <v>3260</v>
      </c>
      <c r="C3108">
        <f>"BO3056GG"</f>
        <v>0</v>
      </c>
      <c r="D3108">
        <v>0</v>
      </c>
      <c r="E3108">
        <v>0</v>
      </c>
      <c r="F3108" s="2">
        <v>0</v>
      </c>
      <c r="H3108">
        <v>0</v>
      </c>
      <c r="I3108">
        <v>0.1741125760648204</v>
      </c>
      <c r="J3108">
        <v>0</v>
      </c>
      <c r="K3108">
        <v>0</v>
      </c>
      <c r="L3108" s="2">
        <v>0</v>
      </c>
      <c r="M3108">
        <v>33.78</v>
      </c>
      <c r="N3108" t="s">
        <v>10236</v>
      </c>
    </row>
    <row r="3109" spans="1:14">
      <c r="A3109" t="s">
        <v>35</v>
      </c>
      <c r="B3109" t="s">
        <v>3261</v>
      </c>
      <c r="C3109">
        <f>"BO3056"</f>
        <v>0</v>
      </c>
      <c r="D3109">
        <v>0</v>
      </c>
      <c r="E3109">
        <v>0</v>
      </c>
      <c r="F3109" s="2">
        <v>0</v>
      </c>
      <c r="H3109">
        <v>0</v>
      </c>
      <c r="I3109">
        <v>0.1741125760648204</v>
      </c>
      <c r="J3109">
        <v>0</v>
      </c>
      <c r="K3109">
        <v>0</v>
      </c>
      <c r="L3109" s="2">
        <v>0</v>
      </c>
      <c r="M3109">
        <v>33.79</v>
      </c>
      <c r="N3109" t="s">
        <v>10236</v>
      </c>
    </row>
    <row r="3110" spans="1:14">
      <c r="A3110" t="s">
        <v>35</v>
      </c>
      <c r="B3110" t="s">
        <v>3262</v>
      </c>
      <c r="C3110">
        <f>"D135M"</f>
        <v>0</v>
      </c>
      <c r="D3110">
        <v>0</v>
      </c>
      <c r="E3110">
        <v>0</v>
      </c>
      <c r="F3110" s="2">
        <v>0</v>
      </c>
      <c r="H3110">
        <v>0</v>
      </c>
      <c r="I3110">
        <v>0.1741125760648204</v>
      </c>
      <c r="J3110">
        <v>0</v>
      </c>
      <c r="K3110">
        <v>0</v>
      </c>
      <c r="L3110" s="2">
        <v>0</v>
      </c>
      <c r="M3110">
        <v>33.8</v>
      </c>
      <c r="N3110" t="s">
        <v>10236</v>
      </c>
    </row>
    <row r="3111" spans="1:14">
      <c r="A3111" t="s">
        <v>35</v>
      </c>
      <c r="B3111" t="s">
        <v>3263</v>
      </c>
      <c r="C3111">
        <f>"BO3139HA5"</f>
        <v>0</v>
      </c>
      <c r="D3111">
        <v>0</v>
      </c>
      <c r="E3111">
        <v>0</v>
      </c>
      <c r="F3111" s="2">
        <v>0</v>
      </c>
      <c r="H3111">
        <v>0</v>
      </c>
      <c r="I3111">
        <v>0.1741125760648204</v>
      </c>
      <c r="J3111">
        <v>0</v>
      </c>
      <c r="K3111">
        <v>0</v>
      </c>
      <c r="L3111" s="2">
        <v>0</v>
      </c>
      <c r="M3111">
        <v>33.81</v>
      </c>
      <c r="N3111" t="s">
        <v>10236</v>
      </c>
    </row>
    <row r="3112" spans="1:14">
      <c r="A3112" t="s">
        <v>35</v>
      </c>
      <c r="B3112" t="s">
        <v>3263</v>
      </c>
      <c r="C3112">
        <f>"BO3134HA5"</f>
        <v>0</v>
      </c>
      <c r="D3112">
        <v>0</v>
      </c>
      <c r="E3112">
        <v>0</v>
      </c>
      <c r="F3112" s="2">
        <v>0</v>
      </c>
      <c r="H3112">
        <v>0</v>
      </c>
      <c r="I3112">
        <v>0.1741125760648204</v>
      </c>
      <c r="J3112">
        <v>0</v>
      </c>
      <c r="K3112">
        <v>0</v>
      </c>
      <c r="L3112" s="2">
        <v>0</v>
      </c>
      <c r="M3112">
        <v>33.82</v>
      </c>
      <c r="N3112" t="s">
        <v>10236</v>
      </c>
    </row>
    <row r="3113" spans="1:14">
      <c r="A3113" t="s">
        <v>35</v>
      </c>
      <c r="B3113" t="s">
        <v>3264</v>
      </c>
      <c r="C3113">
        <f>"BO3135HA5RGC"</f>
        <v>0</v>
      </c>
      <c r="D3113">
        <v>0</v>
      </c>
      <c r="E3113">
        <v>1</v>
      </c>
      <c r="F3113" s="2">
        <v>0</v>
      </c>
      <c r="H3113">
        <v>0</v>
      </c>
      <c r="I3113">
        <v>0.1741125760648204</v>
      </c>
      <c r="J3113">
        <v>0</v>
      </c>
      <c r="K3113">
        <v>0</v>
      </c>
      <c r="L3113" s="2">
        <v>0</v>
      </c>
      <c r="M3113">
        <v>33.82</v>
      </c>
      <c r="N3113" t="s">
        <v>10236</v>
      </c>
    </row>
    <row r="3114" spans="1:14">
      <c r="A3114" t="s">
        <v>35</v>
      </c>
      <c r="B3114" t="s">
        <v>3265</v>
      </c>
      <c r="C3114">
        <f>"BO3135HA5PG"</f>
        <v>0</v>
      </c>
      <c r="D3114">
        <v>0</v>
      </c>
      <c r="E3114">
        <v>1</v>
      </c>
      <c r="F3114" s="2">
        <v>0</v>
      </c>
      <c r="H3114">
        <v>0</v>
      </c>
      <c r="I3114">
        <v>0.1741125760648204</v>
      </c>
      <c r="J3114">
        <v>0</v>
      </c>
      <c r="K3114">
        <v>0</v>
      </c>
      <c r="L3114" s="2">
        <v>0</v>
      </c>
      <c r="M3114">
        <v>33.83</v>
      </c>
      <c r="N3114" t="s">
        <v>10236</v>
      </c>
    </row>
    <row r="3115" spans="1:14">
      <c r="A3115" t="s">
        <v>35</v>
      </c>
      <c r="B3115" t="s">
        <v>3266</v>
      </c>
      <c r="C3115">
        <f>"BO3135HA5H"</f>
        <v>0</v>
      </c>
      <c r="D3115">
        <v>0</v>
      </c>
      <c r="E3115">
        <v>0</v>
      </c>
      <c r="F3115" s="2">
        <v>0</v>
      </c>
      <c r="H3115">
        <v>0</v>
      </c>
      <c r="I3115">
        <v>0.1741125760648204</v>
      </c>
      <c r="J3115">
        <v>0</v>
      </c>
      <c r="K3115">
        <v>0</v>
      </c>
      <c r="L3115" s="2">
        <v>0</v>
      </c>
      <c r="M3115">
        <v>33.84</v>
      </c>
      <c r="N3115" t="s">
        <v>10236</v>
      </c>
    </row>
    <row r="3116" spans="1:14">
      <c r="A3116" t="s">
        <v>35</v>
      </c>
      <c r="B3116" t="s">
        <v>3267</v>
      </c>
      <c r="C3116">
        <f>"BO3135HA5F"</f>
        <v>0</v>
      </c>
      <c r="D3116">
        <v>0</v>
      </c>
      <c r="E3116">
        <v>1</v>
      </c>
      <c r="F3116" s="2">
        <v>0</v>
      </c>
      <c r="H3116">
        <v>0</v>
      </c>
      <c r="I3116">
        <v>0.1741125760648204</v>
      </c>
      <c r="J3116">
        <v>0</v>
      </c>
      <c r="K3116">
        <v>0</v>
      </c>
      <c r="L3116" s="2">
        <v>0</v>
      </c>
      <c r="M3116">
        <v>33.85</v>
      </c>
      <c r="N3116" t="s">
        <v>10236</v>
      </c>
    </row>
    <row r="3117" spans="1:14">
      <c r="A3117" t="s">
        <v>35</v>
      </c>
      <c r="B3117" t="s">
        <v>3268</v>
      </c>
      <c r="C3117">
        <f>"TQ24C"</f>
        <v>0</v>
      </c>
      <c r="D3117">
        <v>0</v>
      </c>
      <c r="E3117">
        <v>2</v>
      </c>
      <c r="F3117" s="2">
        <v>324</v>
      </c>
      <c r="H3117">
        <v>0</v>
      </c>
      <c r="I3117">
        <v>0.1741125760648204</v>
      </c>
      <c r="J3117">
        <v>0</v>
      </c>
      <c r="K3117">
        <v>0</v>
      </c>
      <c r="L3117" s="2">
        <v>0</v>
      </c>
      <c r="M3117">
        <v>33.86</v>
      </c>
      <c r="N3117" t="s">
        <v>10236</v>
      </c>
    </row>
    <row r="3118" spans="1:14">
      <c r="A3118" t="s">
        <v>35</v>
      </c>
      <c r="B3118" t="s">
        <v>3269</v>
      </c>
      <c r="C3118">
        <f>"BO3139HA5L"</f>
        <v>0</v>
      </c>
      <c r="D3118">
        <v>0</v>
      </c>
      <c r="E3118">
        <v>0</v>
      </c>
      <c r="F3118" s="2">
        <v>0</v>
      </c>
      <c r="H3118">
        <v>0</v>
      </c>
      <c r="I3118">
        <v>0.1741125760648204</v>
      </c>
      <c r="J3118">
        <v>0</v>
      </c>
      <c r="K3118">
        <v>0</v>
      </c>
      <c r="L3118" s="2">
        <v>0</v>
      </c>
      <c r="M3118">
        <v>33.87</v>
      </c>
      <c r="N3118" t="s">
        <v>10236</v>
      </c>
    </row>
    <row r="3119" spans="1:14">
      <c r="A3119" t="s">
        <v>35</v>
      </c>
      <c r="B3119" t="s">
        <v>3270</v>
      </c>
      <c r="C3119">
        <f>"BO3139HA5J"</f>
        <v>0</v>
      </c>
      <c r="D3119">
        <v>0</v>
      </c>
      <c r="E3119">
        <v>0</v>
      </c>
      <c r="F3119" s="2">
        <v>0</v>
      </c>
      <c r="H3119">
        <v>0</v>
      </c>
      <c r="I3119">
        <v>0.1741125760648204</v>
      </c>
      <c r="J3119">
        <v>0</v>
      </c>
      <c r="K3119">
        <v>0</v>
      </c>
      <c r="L3119" s="2">
        <v>0</v>
      </c>
      <c r="M3119">
        <v>33.88</v>
      </c>
      <c r="N3119" t="s">
        <v>10236</v>
      </c>
    </row>
    <row r="3120" spans="1:14">
      <c r="A3120" t="s">
        <v>35</v>
      </c>
      <c r="B3120" t="s">
        <v>3271</v>
      </c>
      <c r="C3120">
        <f>"BO3134HA5H"</f>
        <v>0</v>
      </c>
      <c r="D3120">
        <v>0</v>
      </c>
      <c r="E3120">
        <v>1</v>
      </c>
      <c r="F3120" s="2">
        <v>4</v>
      </c>
      <c r="H3120">
        <v>0</v>
      </c>
      <c r="I3120">
        <v>0.1741125760648204</v>
      </c>
      <c r="J3120">
        <v>0</v>
      </c>
      <c r="K3120">
        <v>0</v>
      </c>
      <c r="L3120" s="2">
        <v>0</v>
      </c>
      <c r="M3120">
        <v>33.89</v>
      </c>
      <c r="N3120" t="s">
        <v>10236</v>
      </c>
    </row>
    <row r="3121" spans="1:14">
      <c r="A3121" t="s">
        <v>35</v>
      </c>
      <c r="B3121" t="s">
        <v>3272</v>
      </c>
      <c r="C3121">
        <f>"BO3134HA5F"</f>
        <v>0</v>
      </c>
      <c r="D3121">
        <v>0</v>
      </c>
      <c r="E3121">
        <v>1</v>
      </c>
      <c r="F3121" s="2">
        <v>4</v>
      </c>
      <c r="H3121">
        <v>0</v>
      </c>
      <c r="I3121">
        <v>0.1741125760648204</v>
      </c>
      <c r="J3121">
        <v>0</v>
      </c>
      <c r="K3121">
        <v>0</v>
      </c>
      <c r="L3121" s="2">
        <v>0</v>
      </c>
      <c r="M3121">
        <v>33.9</v>
      </c>
      <c r="N3121" t="s">
        <v>10236</v>
      </c>
    </row>
    <row r="3122" spans="1:14">
      <c r="A3122" t="s">
        <v>35</v>
      </c>
      <c r="B3122" t="s">
        <v>3273</v>
      </c>
      <c r="C3122">
        <f>"BO3134HA5D"</f>
        <v>0</v>
      </c>
      <c r="D3122">
        <v>0</v>
      </c>
      <c r="E3122">
        <v>0</v>
      </c>
      <c r="F3122" s="2">
        <v>0</v>
      </c>
      <c r="H3122">
        <v>0</v>
      </c>
      <c r="I3122">
        <v>0.1741125760648204</v>
      </c>
      <c r="J3122">
        <v>0</v>
      </c>
      <c r="K3122">
        <v>0</v>
      </c>
      <c r="L3122" s="2">
        <v>0</v>
      </c>
      <c r="M3122">
        <v>33.91</v>
      </c>
      <c r="N3122" t="s">
        <v>10236</v>
      </c>
    </row>
    <row r="3123" spans="1:14">
      <c r="A3123" t="s">
        <v>35</v>
      </c>
      <c r="B3123" t="s">
        <v>3274</v>
      </c>
      <c r="C3123">
        <f>"BO3139HACO"</f>
        <v>0</v>
      </c>
      <c r="D3123">
        <v>0</v>
      </c>
      <c r="E3123">
        <v>0</v>
      </c>
      <c r="F3123" s="2">
        <v>0</v>
      </c>
      <c r="H3123">
        <v>0</v>
      </c>
      <c r="I3123">
        <v>0.1741125760648204</v>
      </c>
      <c r="J3123">
        <v>0</v>
      </c>
      <c r="K3123">
        <v>0</v>
      </c>
      <c r="L3123" s="2">
        <v>0</v>
      </c>
      <c r="M3123">
        <v>33.92</v>
      </c>
      <c r="N3123" t="s">
        <v>10236</v>
      </c>
    </row>
    <row r="3124" spans="1:14">
      <c r="A3124" t="s">
        <v>35</v>
      </c>
      <c r="B3124" t="s">
        <v>3275</v>
      </c>
      <c r="C3124">
        <f>"BO3139HA5CE"</f>
        <v>0</v>
      </c>
      <c r="D3124">
        <v>0</v>
      </c>
      <c r="E3124">
        <v>1</v>
      </c>
      <c r="F3124" s="2">
        <v>4</v>
      </c>
      <c r="H3124">
        <v>0</v>
      </c>
      <c r="I3124">
        <v>0.1741125760648204</v>
      </c>
      <c r="J3124">
        <v>0</v>
      </c>
      <c r="K3124">
        <v>0</v>
      </c>
      <c r="L3124" s="2">
        <v>0</v>
      </c>
      <c r="M3124">
        <v>33.93</v>
      </c>
      <c r="N3124" t="s">
        <v>10236</v>
      </c>
    </row>
    <row r="3125" spans="1:14">
      <c r="A3125" t="s">
        <v>35</v>
      </c>
      <c r="B3125" t="s">
        <v>3261</v>
      </c>
      <c r="C3125">
        <f>"BO3135HA5"</f>
        <v>0</v>
      </c>
      <c r="D3125">
        <v>0</v>
      </c>
      <c r="E3125">
        <v>0</v>
      </c>
      <c r="F3125" s="2">
        <v>0</v>
      </c>
      <c r="H3125">
        <v>0</v>
      </c>
      <c r="I3125">
        <v>0.1741125760648204</v>
      </c>
      <c r="J3125">
        <v>0</v>
      </c>
      <c r="K3125">
        <v>0</v>
      </c>
      <c r="L3125" s="2">
        <v>0</v>
      </c>
      <c r="M3125">
        <v>33.94</v>
      </c>
      <c r="N3125" t="s">
        <v>10236</v>
      </c>
    </row>
    <row r="3126" spans="1:14">
      <c r="A3126" t="s">
        <v>216</v>
      </c>
      <c r="B3126" t="s">
        <v>3276</v>
      </c>
      <c r="C3126">
        <f>"1576892348931"</f>
        <v>0</v>
      </c>
      <c r="D3126">
        <v>0</v>
      </c>
      <c r="E3126">
        <v>0</v>
      </c>
      <c r="F3126" s="2">
        <v>0</v>
      </c>
      <c r="H3126">
        <v>0</v>
      </c>
      <c r="I3126">
        <v>0.1741125760648204</v>
      </c>
      <c r="J3126">
        <v>0</v>
      </c>
      <c r="K3126">
        <v>0</v>
      </c>
      <c r="L3126" s="2">
        <v>0</v>
      </c>
      <c r="M3126">
        <v>33.94</v>
      </c>
      <c r="N3126" t="s">
        <v>10236</v>
      </c>
    </row>
    <row r="3127" spans="1:14">
      <c r="A3127" t="s">
        <v>216</v>
      </c>
      <c r="B3127" t="s">
        <v>3277</v>
      </c>
      <c r="C3127">
        <f>"321456"</f>
        <v>0</v>
      </c>
      <c r="D3127">
        <v>0</v>
      </c>
      <c r="E3127">
        <v>0</v>
      </c>
      <c r="F3127" s="2">
        <v>0</v>
      </c>
      <c r="H3127">
        <v>0</v>
      </c>
      <c r="I3127">
        <v>0.1741125760648204</v>
      </c>
      <c r="J3127">
        <v>0</v>
      </c>
      <c r="K3127">
        <v>0</v>
      </c>
      <c r="L3127" s="2">
        <v>0</v>
      </c>
      <c r="M3127">
        <v>33.95</v>
      </c>
      <c r="N3127" t="s">
        <v>10236</v>
      </c>
    </row>
    <row r="3128" spans="1:14">
      <c r="A3128" t="s">
        <v>216</v>
      </c>
      <c r="B3128" t="s">
        <v>3278</v>
      </c>
      <c r="C3128">
        <f>"98896556"</f>
        <v>0</v>
      </c>
      <c r="D3128">
        <v>0</v>
      </c>
      <c r="E3128">
        <v>0</v>
      </c>
      <c r="F3128" s="2">
        <v>0</v>
      </c>
      <c r="H3128">
        <v>0</v>
      </c>
      <c r="I3128">
        <v>0.1741125760648204</v>
      </c>
      <c r="J3128">
        <v>0</v>
      </c>
      <c r="K3128">
        <v>0</v>
      </c>
      <c r="L3128" s="2">
        <v>0</v>
      </c>
      <c r="M3128">
        <v>33.96</v>
      </c>
      <c r="N3128" t="s">
        <v>10236</v>
      </c>
    </row>
    <row r="3129" spans="1:14">
      <c r="A3129" t="s">
        <v>35</v>
      </c>
      <c r="B3129" t="s">
        <v>3279</v>
      </c>
      <c r="C3129">
        <f>"B1180623XLR"</f>
        <v>0</v>
      </c>
      <c r="D3129">
        <v>0</v>
      </c>
      <c r="E3129">
        <v>1</v>
      </c>
      <c r="F3129" s="2">
        <v>7</v>
      </c>
      <c r="H3129">
        <v>0</v>
      </c>
      <c r="I3129">
        <v>0.1741125760648204</v>
      </c>
      <c r="J3129">
        <v>0</v>
      </c>
      <c r="K3129">
        <v>0</v>
      </c>
      <c r="L3129" s="2">
        <v>0</v>
      </c>
      <c r="M3129">
        <v>33.97</v>
      </c>
      <c r="N3129" t="s">
        <v>10236</v>
      </c>
    </row>
    <row r="3130" spans="1:14">
      <c r="A3130" t="s">
        <v>216</v>
      </c>
      <c r="B3130" t="s">
        <v>3280</v>
      </c>
      <c r="C3130">
        <f>"1651969115387"</f>
        <v>0</v>
      </c>
      <c r="D3130">
        <v>0</v>
      </c>
      <c r="E3130">
        <v>0</v>
      </c>
      <c r="F3130" s="2">
        <v>0</v>
      </c>
      <c r="H3130">
        <v>0</v>
      </c>
      <c r="I3130">
        <v>0.1741125760648204</v>
      </c>
      <c r="J3130">
        <v>0</v>
      </c>
      <c r="K3130">
        <v>0</v>
      </c>
      <c r="L3130" s="2">
        <v>0</v>
      </c>
      <c r="M3130">
        <v>33.98</v>
      </c>
      <c r="N3130" t="s">
        <v>10236</v>
      </c>
    </row>
    <row r="3131" spans="1:14">
      <c r="A3131" t="s">
        <v>216</v>
      </c>
      <c r="B3131" t="s">
        <v>3281</v>
      </c>
      <c r="C3131">
        <f>"1601743716133"</f>
        <v>0</v>
      </c>
      <c r="D3131">
        <v>0</v>
      </c>
      <c r="E3131">
        <v>0</v>
      </c>
      <c r="F3131" s="2">
        <v>0</v>
      </c>
      <c r="H3131">
        <v>0</v>
      </c>
      <c r="I3131">
        <v>0.1741125760648204</v>
      </c>
      <c r="J3131">
        <v>0</v>
      </c>
      <c r="K3131">
        <v>0</v>
      </c>
      <c r="L3131" s="2">
        <v>0</v>
      </c>
      <c r="M3131">
        <v>33.99</v>
      </c>
      <c r="N3131" t="s">
        <v>10236</v>
      </c>
    </row>
    <row r="3132" spans="1:14">
      <c r="A3132" t="s">
        <v>216</v>
      </c>
      <c r="B3132" t="s">
        <v>3282</v>
      </c>
      <c r="C3132">
        <f>"126578"</f>
        <v>0</v>
      </c>
      <c r="D3132">
        <v>0</v>
      </c>
      <c r="E3132">
        <v>0</v>
      </c>
      <c r="F3132" s="2">
        <v>0</v>
      </c>
      <c r="H3132">
        <v>0</v>
      </c>
      <c r="I3132">
        <v>0.1741125760648204</v>
      </c>
      <c r="J3132">
        <v>0</v>
      </c>
      <c r="K3132">
        <v>0</v>
      </c>
      <c r="L3132" s="2">
        <v>0</v>
      </c>
      <c r="M3132">
        <v>34</v>
      </c>
      <c r="N3132" t="s">
        <v>10236</v>
      </c>
    </row>
    <row r="3133" spans="1:14">
      <c r="A3133" t="s">
        <v>216</v>
      </c>
      <c r="B3133" t="s">
        <v>3283</v>
      </c>
      <c r="C3133">
        <f>"600800601"</f>
        <v>0</v>
      </c>
      <c r="D3133">
        <v>0</v>
      </c>
      <c r="E3133">
        <v>0</v>
      </c>
      <c r="F3133" s="2">
        <v>0</v>
      </c>
      <c r="H3133">
        <v>0</v>
      </c>
      <c r="I3133">
        <v>0.1741125760648204</v>
      </c>
      <c r="J3133">
        <v>0</v>
      </c>
      <c r="K3133">
        <v>0</v>
      </c>
      <c r="L3133" s="2">
        <v>0</v>
      </c>
      <c r="M3133">
        <v>34.01</v>
      </c>
      <c r="N3133" t="s">
        <v>10236</v>
      </c>
    </row>
    <row r="3134" spans="1:14">
      <c r="A3134" t="s">
        <v>216</v>
      </c>
      <c r="B3134" t="s">
        <v>3284</v>
      </c>
      <c r="C3134">
        <f>"112233"</f>
        <v>0</v>
      </c>
      <c r="D3134">
        <v>0</v>
      </c>
      <c r="E3134">
        <v>0</v>
      </c>
      <c r="F3134" s="2">
        <v>0</v>
      </c>
      <c r="H3134">
        <v>0</v>
      </c>
      <c r="I3134">
        <v>0.1741125760648204</v>
      </c>
      <c r="J3134">
        <v>0</v>
      </c>
      <c r="K3134">
        <v>0</v>
      </c>
      <c r="L3134" s="2">
        <v>0</v>
      </c>
      <c r="M3134">
        <v>34.02</v>
      </c>
      <c r="N3134" t="s">
        <v>10236</v>
      </c>
    </row>
    <row r="3135" spans="1:14">
      <c r="A3135" t="s">
        <v>216</v>
      </c>
      <c r="B3135" t="s">
        <v>3285</v>
      </c>
      <c r="C3135">
        <f>"MOLLYNEGRALIRA"</f>
        <v>0</v>
      </c>
      <c r="D3135">
        <v>0</v>
      </c>
      <c r="E3135">
        <v>0</v>
      </c>
      <c r="F3135" s="2">
        <v>0</v>
      </c>
      <c r="H3135">
        <v>0</v>
      </c>
      <c r="I3135">
        <v>0.1741125760648204</v>
      </c>
      <c r="J3135">
        <v>0</v>
      </c>
      <c r="K3135">
        <v>0</v>
      </c>
      <c r="L3135" s="2">
        <v>0</v>
      </c>
      <c r="M3135">
        <v>34.03</v>
      </c>
      <c r="N3135" t="s">
        <v>10236</v>
      </c>
    </row>
    <row r="3136" spans="1:14">
      <c r="A3136" t="s">
        <v>216</v>
      </c>
      <c r="B3136" t="s">
        <v>3286</v>
      </c>
      <c r="C3136">
        <f>"MOL"</f>
        <v>0</v>
      </c>
      <c r="D3136">
        <v>0</v>
      </c>
      <c r="E3136">
        <v>0</v>
      </c>
      <c r="F3136" s="2">
        <v>0</v>
      </c>
      <c r="H3136">
        <v>0</v>
      </c>
      <c r="I3136">
        <v>0.1741125760648204</v>
      </c>
      <c r="J3136">
        <v>0</v>
      </c>
      <c r="K3136">
        <v>0</v>
      </c>
      <c r="L3136" s="2">
        <v>0</v>
      </c>
      <c r="M3136">
        <v>34.04</v>
      </c>
      <c r="N3136" t="s">
        <v>10236</v>
      </c>
    </row>
    <row r="3137" spans="1:14">
      <c r="A3137" t="s">
        <v>216</v>
      </c>
      <c r="B3137" t="s">
        <v>3287</v>
      </c>
      <c r="C3137">
        <f>"MOLLY111"</f>
        <v>0</v>
      </c>
      <c r="D3137">
        <v>0</v>
      </c>
      <c r="E3137">
        <v>0</v>
      </c>
      <c r="F3137" s="2">
        <v>0</v>
      </c>
      <c r="H3137">
        <v>0</v>
      </c>
      <c r="I3137">
        <v>0.1741125760648204</v>
      </c>
      <c r="J3137">
        <v>0</v>
      </c>
      <c r="K3137">
        <v>0</v>
      </c>
      <c r="L3137" s="2">
        <v>0</v>
      </c>
      <c r="M3137">
        <v>34.05</v>
      </c>
      <c r="N3137" t="s">
        <v>10236</v>
      </c>
    </row>
    <row r="3138" spans="1:14">
      <c r="A3138" t="s">
        <v>216</v>
      </c>
      <c r="B3138" t="s">
        <v>3288</v>
      </c>
      <c r="C3138">
        <f>"MOLLYG"</f>
        <v>0</v>
      </c>
      <c r="D3138">
        <v>0</v>
      </c>
      <c r="E3138">
        <v>0</v>
      </c>
      <c r="F3138" s="2">
        <v>0</v>
      </c>
      <c r="H3138">
        <v>0</v>
      </c>
      <c r="I3138">
        <v>0.1741125760648204</v>
      </c>
      <c r="J3138">
        <v>0</v>
      </c>
      <c r="K3138">
        <v>0</v>
      </c>
      <c r="L3138" s="2">
        <v>0</v>
      </c>
      <c r="M3138">
        <v>34.06</v>
      </c>
      <c r="N3138" t="s">
        <v>10236</v>
      </c>
    </row>
    <row r="3139" spans="1:14">
      <c r="A3139" t="s">
        <v>35</v>
      </c>
      <c r="B3139" t="s">
        <v>3289</v>
      </c>
      <c r="C3139">
        <f>"MSID1ROJ"</f>
        <v>0</v>
      </c>
      <c r="D3139">
        <v>0</v>
      </c>
      <c r="E3139">
        <v>0</v>
      </c>
      <c r="F3139" s="2">
        <v>0</v>
      </c>
      <c r="H3139">
        <v>0</v>
      </c>
      <c r="I3139">
        <v>0.1741125760648204</v>
      </c>
      <c r="J3139">
        <v>0</v>
      </c>
      <c r="K3139">
        <v>0</v>
      </c>
      <c r="L3139" s="2">
        <v>0</v>
      </c>
      <c r="M3139">
        <v>34.06</v>
      </c>
      <c r="N3139" t="s">
        <v>10236</v>
      </c>
    </row>
    <row r="3140" spans="1:14">
      <c r="A3140" t="s">
        <v>216</v>
      </c>
      <c r="B3140" t="s">
        <v>3290</v>
      </c>
      <c r="C3140">
        <f>"DALMATA"</f>
        <v>0</v>
      </c>
      <c r="D3140">
        <v>0</v>
      </c>
      <c r="E3140">
        <v>0</v>
      </c>
      <c r="F3140" s="2">
        <v>0</v>
      </c>
      <c r="H3140">
        <v>0</v>
      </c>
      <c r="I3140">
        <v>0.1741125760648204</v>
      </c>
      <c r="J3140">
        <v>0</v>
      </c>
      <c r="K3140">
        <v>0</v>
      </c>
      <c r="L3140" s="2">
        <v>0</v>
      </c>
      <c r="M3140">
        <v>34.07</v>
      </c>
      <c r="N3140" t="s">
        <v>10236</v>
      </c>
    </row>
    <row r="3141" spans="1:14">
      <c r="A3141" t="s">
        <v>216</v>
      </c>
      <c r="B3141" t="s">
        <v>3291</v>
      </c>
      <c r="C3141">
        <f>"1603553027100"</f>
        <v>0</v>
      </c>
      <c r="D3141">
        <v>0</v>
      </c>
      <c r="E3141">
        <v>0</v>
      </c>
      <c r="F3141" s="2">
        <v>0</v>
      </c>
      <c r="H3141">
        <v>0</v>
      </c>
      <c r="I3141">
        <v>0.1741125760648204</v>
      </c>
      <c r="J3141">
        <v>0</v>
      </c>
      <c r="K3141">
        <v>0</v>
      </c>
      <c r="L3141" s="2">
        <v>0</v>
      </c>
      <c r="M3141">
        <v>34.08</v>
      </c>
      <c r="N3141" t="s">
        <v>10236</v>
      </c>
    </row>
    <row r="3142" spans="1:14">
      <c r="A3142" t="s">
        <v>216</v>
      </c>
      <c r="B3142" t="s">
        <v>3292</v>
      </c>
      <c r="C3142">
        <f>"600780786"</f>
        <v>0</v>
      </c>
      <c r="D3142">
        <v>0</v>
      </c>
      <c r="E3142">
        <v>0</v>
      </c>
      <c r="F3142" s="2">
        <v>0</v>
      </c>
      <c r="H3142">
        <v>0</v>
      </c>
      <c r="I3142">
        <v>0.1741125760648204</v>
      </c>
      <c r="J3142">
        <v>0</v>
      </c>
      <c r="K3142">
        <v>0</v>
      </c>
      <c r="L3142" s="2">
        <v>0</v>
      </c>
      <c r="M3142">
        <v>34.09</v>
      </c>
      <c r="N3142" t="s">
        <v>10236</v>
      </c>
    </row>
    <row r="3143" spans="1:14">
      <c r="A3143" t="s">
        <v>216</v>
      </c>
      <c r="B3143" t="s">
        <v>3293</v>
      </c>
      <c r="C3143">
        <f>"1651969980245"</f>
        <v>0</v>
      </c>
      <c r="D3143">
        <v>0</v>
      </c>
      <c r="E3143">
        <v>0</v>
      </c>
      <c r="F3143" s="2">
        <v>0</v>
      </c>
      <c r="H3143">
        <v>0</v>
      </c>
      <c r="I3143">
        <v>0.1741125760648204</v>
      </c>
      <c r="J3143">
        <v>0</v>
      </c>
      <c r="K3143">
        <v>0</v>
      </c>
      <c r="L3143" s="2">
        <v>0</v>
      </c>
      <c r="M3143">
        <v>34.1</v>
      </c>
      <c r="N3143" t="s">
        <v>10236</v>
      </c>
    </row>
    <row r="3144" spans="1:14">
      <c r="A3144" t="s">
        <v>216</v>
      </c>
      <c r="B3144" t="s">
        <v>3294</v>
      </c>
      <c r="C3144">
        <f>"ESCMA"</f>
        <v>0</v>
      </c>
      <c r="D3144">
        <v>0</v>
      </c>
      <c r="E3144">
        <v>0</v>
      </c>
      <c r="F3144" s="2">
        <v>0</v>
      </c>
      <c r="H3144">
        <v>0</v>
      </c>
      <c r="I3144">
        <v>0.1741125760648204</v>
      </c>
      <c r="J3144">
        <v>0</v>
      </c>
      <c r="K3144">
        <v>0</v>
      </c>
      <c r="L3144" s="2">
        <v>0</v>
      </c>
      <c r="M3144">
        <v>34.11</v>
      </c>
      <c r="N3144" t="s">
        <v>10236</v>
      </c>
    </row>
    <row r="3145" spans="1:14">
      <c r="A3145" t="s">
        <v>216</v>
      </c>
      <c r="B3145" t="s">
        <v>3295</v>
      </c>
      <c r="C3145">
        <f>"10156161"</f>
        <v>0</v>
      </c>
      <c r="D3145">
        <v>0</v>
      </c>
      <c r="E3145">
        <v>0</v>
      </c>
      <c r="F3145" s="2">
        <v>0</v>
      </c>
      <c r="H3145">
        <v>0</v>
      </c>
      <c r="I3145">
        <v>0.1741125760648204</v>
      </c>
      <c r="J3145">
        <v>0</v>
      </c>
      <c r="K3145">
        <v>0</v>
      </c>
      <c r="L3145" s="2">
        <v>0</v>
      </c>
      <c r="M3145">
        <v>34.12</v>
      </c>
      <c r="N3145" t="s">
        <v>10236</v>
      </c>
    </row>
    <row r="3146" spans="1:14">
      <c r="A3146" t="s">
        <v>216</v>
      </c>
      <c r="B3146" t="s">
        <v>3296</v>
      </c>
      <c r="C3146">
        <f>"326598"</f>
        <v>0</v>
      </c>
      <c r="D3146">
        <v>0</v>
      </c>
      <c r="E3146">
        <v>0</v>
      </c>
      <c r="F3146" s="2">
        <v>0</v>
      </c>
      <c r="H3146">
        <v>0</v>
      </c>
      <c r="I3146">
        <v>0.1741125760648204</v>
      </c>
      <c r="J3146">
        <v>0</v>
      </c>
      <c r="K3146">
        <v>0</v>
      </c>
      <c r="L3146" s="2">
        <v>0</v>
      </c>
      <c r="M3146">
        <v>34.13</v>
      </c>
      <c r="N3146" t="s">
        <v>10236</v>
      </c>
    </row>
    <row r="3147" spans="1:14">
      <c r="A3147" t="s">
        <v>216</v>
      </c>
      <c r="B3147" t="s">
        <v>3297</v>
      </c>
      <c r="C3147">
        <f>"731365"</f>
        <v>0</v>
      </c>
      <c r="D3147">
        <v>0</v>
      </c>
      <c r="E3147">
        <v>0</v>
      </c>
      <c r="F3147" s="2">
        <v>0</v>
      </c>
      <c r="H3147">
        <v>0</v>
      </c>
      <c r="I3147">
        <v>0.1741125760648204</v>
      </c>
      <c r="J3147">
        <v>0</v>
      </c>
      <c r="K3147">
        <v>0</v>
      </c>
      <c r="L3147" s="2">
        <v>0</v>
      </c>
      <c r="M3147">
        <v>34.14</v>
      </c>
      <c r="N3147" t="s">
        <v>10236</v>
      </c>
    </row>
    <row r="3148" spans="1:14">
      <c r="A3148" t="s">
        <v>216</v>
      </c>
      <c r="B3148" t="s">
        <v>3298</v>
      </c>
      <c r="C3148">
        <f>"2525KOIVELI"</f>
        <v>0</v>
      </c>
      <c r="D3148">
        <v>0</v>
      </c>
      <c r="E3148">
        <v>0</v>
      </c>
      <c r="F3148" s="2">
        <v>0</v>
      </c>
      <c r="H3148">
        <v>0</v>
      </c>
      <c r="I3148">
        <v>0.1741125760648204</v>
      </c>
      <c r="J3148">
        <v>0</v>
      </c>
      <c r="K3148">
        <v>0</v>
      </c>
      <c r="L3148" s="2">
        <v>0</v>
      </c>
      <c r="M3148">
        <v>34.15</v>
      </c>
      <c r="N3148" t="s">
        <v>10236</v>
      </c>
    </row>
    <row r="3149" spans="1:14">
      <c r="A3149" t="s">
        <v>216</v>
      </c>
      <c r="B3149" t="s">
        <v>3299</v>
      </c>
      <c r="C3149">
        <f>"SKOI"</f>
        <v>0</v>
      </c>
      <c r="D3149">
        <v>0</v>
      </c>
      <c r="E3149">
        <v>0</v>
      </c>
      <c r="F3149" s="2">
        <v>0</v>
      </c>
      <c r="H3149">
        <v>0</v>
      </c>
      <c r="I3149">
        <v>0.1741125760648204</v>
      </c>
      <c r="J3149">
        <v>0</v>
      </c>
      <c r="K3149">
        <v>0</v>
      </c>
      <c r="L3149" s="2">
        <v>0</v>
      </c>
      <c r="M3149">
        <v>34.16</v>
      </c>
      <c r="N3149" t="s">
        <v>10236</v>
      </c>
    </row>
    <row r="3150" spans="1:14">
      <c r="A3150" t="s">
        <v>216</v>
      </c>
      <c r="B3150" t="s">
        <v>3300</v>
      </c>
      <c r="C3150">
        <f>"KOIRB"</f>
        <v>0</v>
      </c>
      <c r="D3150">
        <v>0</v>
      </c>
      <c r="E3150">
        <v>0</v>
      </c>
      <c r="F3150" s="2">
        <v>0</v>
      </c>
      <c r="H3150">
        <v>0</v>
      </c>
      <c r="I3150">
        <v>0.1741125760648204</v>
      </c>
      <c r="J3150">
        <v>0</v>
      </c>
      <c r="K3150">
        <v>0</v>
      </c>
      <c r="L3150" s="2">
        <v>0</v>
      </c>
      <c r="M3150">
        <v>34.17</v>
      </c>
      <c r="N3150" t="s">
        <v>10236</v>
      </c>
    </row>
    <row r="3151" spans="1:14">
      <c r="A3151" t="s">
        <v>216</v>
      </c>
      <c r="B3151" t="s">
        <v>3301</v>
      </c>
      <c r="C3151">
        <f>"2525KOI"</f>
        <v>0</v>
      </c>
      <c r="D3151">
        <v>0</v>
      </c>
      <c r="E3151">
        <v>0</v>
      </c>
      <c r="F3151" s="2">
        <v>0</v>
      </c>
      <c r="H3151">
        <v>0</v>
      </c>
      <c r="I3151">
        <v>0.1741125760648204</v>
      </c>
      <c r="J3151">
        <v>0</v>
      </c>
      <c r="K3151">
        <v>0</v>
      </c>
      <c r="L3151" s="2">
        <v>0</v>
      </c>
      <c r="M3151">
        <v>34.17</v>
      </c>
      <c r="N3151" t="s">
        <v>10236</v>
      </c>
    </row>
    <row r="3152" spans="1:14">
      <c r="A3152" t="s">
        <v>216</v>
      </c>
      <c r="B3152" t="s">
        <v>3302</v>
      </c>
      <c r="C3152">
        <f>"KOI6"</f>
        <v>0</v>
      </c>
      <c r="D3152">
        <v>0</v>
      </c>
      <c r="E3152">
        <v>0</v>
      </c>
      <c r="F3152" s="2">
        <v>0</v>
      </c>
      <c r="H3152">
        <v>0</v>
      </c>
      <c r="I3152">
        <v>0.1741125760648204</v>
      </c>
      <c r="J3152">
        <v>0</v>
      </c>
      <c r="K3152">
        <v>0</v>
      </c>
      <c r="L3152" s="2">
        <v>0</v>
      </c>
      <c r="M3152">
        <v>34.18</v>
      </c>
      <c r="N3152" t="s">
        <v>10236</v>
      </c>
    </row>
    <row r="3153" spans="1:14">
      <c r="A3153" t="s">
        <v>216</v>
      </c>
      <c r="B3153" t="s">
        <v>3303</v>
      </c>
      <c r="C3153">
        <f>"KOY"</f>
        <v>0</v>
      </c>
      <c r="D3153">
        <v>0</v>
      </c>
      <c r="E3153">
        <v>0</v>
      </c>
      <c r="F3153" s="2">
        <v>0</v>
      </c>
      <c r="H3153">
        <v>0</v>
      </c>
      <c r="I3153">
        <v>0.1741125760648204</v>
      </c>
      <c r="J3153">
        <v>0</v>
      </c>
      <c r="K3153">
        <v>0</v>
      </c>
      <c r="L3153" s="2">
        <v>0</v>
      </c>
      <c r="M3153">
        <v>34.19</v>
      </c>
      <c r="N3153" t="s">
        <v>10236</v>
      </c>
    </row>
    <row r="3154" spans="1:14">
      <c r="A3154" t="s">
        <v>216</v>
      </c>
      <c r="B3154" t="s">
        <v>3304</v>
      </c>
      <c r="C3154">
        <f>"1601743483767"</f>
        <v>0</v>
      </c>
      <c r="D3154">
        <v>0</v>
      </c>
      <c r="E3154">
        <v>0</v>
      </c>
      <c r="F3154" s="2">
        <v>0</v>
      </c>
      <c r="H3154">
        <v>0</v>
      </c>
      <c r="I3154">
        <v>0.1741125760648204</v>
      </c>
      <c r="J3154">
        <v>0</v>
      </c>
      <c r="K3154">
        <v>0</v>
      </c>
      <c r="L3154" s="2">
        <v>0</v>
      </c>
      <c r="M3154">
        <v>34.2</v>
      </c>
      <c r="N3154" t="s">
        <v>10236</v>
      </c>
    </row>
    <row r="3155" spans="1:14">
      <c r="A3155" t="s">
        <v>216</v>
      </c>
      <c r="B3155" t="s">
        <v>3305</v>
      </c>
      <c r="C3155">
        <f>"1598827559227"</f>
        <v>0</v>
      </c>
      <c r="D3155">
        <v>0</v>
      </c>
      <c r="E3155">
        <v>0</v>
      </c>
      <c r="F3155" s="2">
        <v>0</v>
      </c>
      <c r="H3155">
        <v>0</v>
      </c>
      <c r="I3155">
        <v>0.1741125760648204</v>
      </c>
      <c r="J3155">
        <v>0</v>
      </c>
      <c r="K3155">
        <v>0</v>
      </c>
      <c r="L3155" s="2">
        <v>0</v>
      </c>
      <c r="M3155">
        <v>34.21</v>
      </c>
      <c r="N3155" t="s">
        <v>10236</v>
      </c>
    </row>
    <row r="3156" spans="1:14">
      <c r="A3156" t="s">
        <v>216</v>
      </c>
      <c r="B3156" t="s">
        <v>3306</v>
      </c>
      <c r="C3156">
        <f>"1583593827868"</f>
        <v>0</v>
      </c>
      <c r="D3156">
        <v>0</v>
      </c>
      <c r="E3156">
        <v>0</v>
      </c>
      <c r="F3156" s="2">
        <v>0</v>
      </c>
      <c r="H3156">
        <v>0</v>
      </c>
      <c r="I3156">
        <v>0.1741125760648204</v>
      </c>
      <c r="J3156">
        <v>0</v>
      </c>
      <c r="K3156">
        <v>0</v>
      </c>
      <c r="L3156" s="2">
        <v>0</v>
      </c>
      <c r="M3156">
        <v>34.22</v>
      </c>
      <c r="N3156" t="s">
        <v>10236</v>
      </c>
    </row>
    <row r="3157" spans="1:14">
      <c r="A3157" t="s">
        <v>216</v>
      </c>
      <c r="B3157" t="s">
        <v>3307</v>
      </c>
      <c r="C3157">
        <f>"1601743109211"</f>
        <v>0</v>
      </c>
      <c r="D3157">
        <v>0</v>
      </c>
      <c r="E3157">
        <v>0</v>
      </c>
      <c r="F3157" s="2">
        <v>0</v>
      </c>
      <c r="H3157">
        <v>0</v>
      </c>
      <c r="I3157">
        <v>0.1741125760648204</v>
      </c>
      <c r="J3157">
        <v>0</v>
      </c>
      <c r="K3157">
        <v>0</v>
      </c>
      <c r="L3157" s="2">
        <v>0</v>
      </c>
      <c r="M3157">
        <v>34.23</v>
      </c>
      <c r="N3157" t="s">
        <v>10236</v>
      </c>
    </row>
    <row r="3158" spans="1:14">
      <c r="A3158" t="s">
        <v>216</v>
      </c>
      <c r="B3158" t="s">
        <v>3308</v>
      </c>
      <c r="C3158">
        <f>"psum"</f>
        <v>0</v>
      </c>
      <c r="D3158">
        <v>0</v>
      </c>
      <c r="E3158">
        <v>0</v>
      </c>
      <c r="F3158" s="2">
        <v>0</v>
      </c>
      <c r="H3158">
        <v>0</v>
      </c>
      <c r="I3158">
        <v>0.1741125760648204</v>
      </c>
      <c r="J3158">
        <v>0</v>
      </c>
      <c r="K3158">
        <v>0</v>
      </c>
      <c r="L3158" s="2">
        <v>0</v>
      </c>
      <c r="M3158">
        <v>34.24</v>
      </c>
      <c r="N3158" t="s">
        <v>10236</v>
      </c>
    </row>
    <row r="3159" spans="1:14">
      <c r="A3159" t="s">
        <v>29</v>
      </c>
      <c r="B3159" t="s">
        <v>3309</v>
      </c>
      <c r="C3159">
        <f>"NNPN"</f>
        <v>0</v>
      </c>
      <c r="D3159">
        <v>0</v>
      </c>
      <c r="E3159">
        <v>0</v>
      </c>
      <c r="F3159" s="2">
        <v>0</v>
      </c>
      <c r="H3159">
        <v>0</v>
      </c>
      <c r="I3159">
        <v>0.1741125760648204</v>
      </c>
      <c r="J3159">
        <v>0</v>
      </c>
      <c r="K3159">
        <v>0</v>
      </c>
      <c r="L3159" s="2">
        <v>0</v>
      </c>
      <c r="M3159">
        <v>34.25</v>
      </c>
      <c r="N3159" t="s">
        <v>10236</v>
      </c>
    </row>
    <row r="3160" spans="1:14">
      <c r="A3160" t="s">
        <v>216</v>
      </c>
      <c r="B3160" t="s">
        <v>3310</v>
      </c>
      <c r="C3160">
        <f>"1576890153720"</f>
        <v>0</v>
      </c>
      <c r="D3160">
        <v>0</v>
      </c>
      <c r="E3160">
        <v>0</v>
      </c>
      <c r="F3160" s="2">
        <v>0</v>
      </c>
      <c r="H3160">
        <v>0</v>
      </c>
      <c r="I3160">
        <v>0.1741125760648204</v>
      </c>
      <c r="J3160">
        <v>0</v>
      </c>
      <c r="K3160">
        <v>0</v>
      </c>
      <c r="L3160" s="2">
        <v>0</v>
      </c>
      <c r="M3160">
        <v>34.26</v>
      </c>
      <c r="N3160" t="s">
        <v>10236</v>
      </c>
    </row>
    <row r="3161" spans="1:14">
      <c r="A3161" t="s">
        <v>216</v>
      </c>
      <c r="B3161" t="s">
        <v>3311</v>
      </c>
      <c r="C3161">
        <f>"SHENOPS"</f>
        <v>0</v>
      </c>
      <c r="D3161">
        <v>0</v>
      </c>
      <c r="E3161">
        <v>0</v>
      </c>
      <c r="F3161" s="2">
        <v>0</v>
      </c>
      <c r="H3161">
        <v>0</v>
      </c>
      <c r="I3161">
        <v>0.1741125760648204</v>
      </c>
      <c r="J3161">
        <v>0</v>
      </c>
      <c r="K3161">
        <v>0</v>
      </c>
      <c r="L3161" s="2">
        <v>0</v>
      </c>
      <c r="M3161">
        <v>34.27</v>
      </c>
      <c r="N3161" t="s">
        <v>10236</v>
      </c>
    </row>
    <row r="3162" spans="1:14">
      <c r="A3162" t="s">
        <v>216</v>
      </c>
      <c r="B3162" t="s">
        <v>3312</v>
      </c>
      <c r="C3162">
        <f>"600800602"</f>
        <v>0</v>
      </c>
      <c r="D3162">
        <v>0</v>
      </c>
      <c r="E3162">
        <v>0</v>
      </c>
      <c r="F3162" s="2">
        <v>0</v>
      </c>
      <c r="H3162">
        <v>0</v>
      </c>
      <c r="I3162">
        <v>0.1741125760648204</v>
      </c>
      <c r="J3162">
        <v>0</v>
      </c>
      <c r="K3162">
        <v>0</v>
      </c>
      <c r="L3162" s="2">
        <v>0</v>
      </c>
      <c r="M3162">
        <v>34.28</v>
      </c>
      <c r="N3162" t="s">
        <v>10236</v>
      </c>
    </row>
    <row r="3163" spans="1:14">
      <c r="A3163" t="s">
        <v>216</v>
      </c>
      <c r="B3163" t="s">
        <v>3313</v>
      </c>
      <c r="C3163">
        <f>"plecoS"</f>
        <v>0</v>
      </c>
      <c r="D3163">
        <v>0</v>
      </c>
      <c r="E3163">
        <v>0</v>
      </c>
      <c r="F3163" s="2">
        <v>0</v>
      </c>
      <c r="H3163">
        <v>0</v>
      </c>
      <c r="I3163">
        <v>0.1741125760648204</v>
      </c>
      <c r="J3163">
        <v>0</v>
      </c>
      <c r="K3163">
        <v>0</v>
      </c>
      <c r="L3163" s="2">
        <v>0</v>
      </c>
      <c r="M3163">
        <v>34.29</v>
      </c>
      <c r="N3163" t="s">
        <v>10236</v>
      </c>
    </row>
    <row r="3164" spans="1:14">
      <c r="A3164" t="s">
        <v>216</v>
      </c>
      <c r="B3164" t="s">
        <v>3314</v>
      </c>
      <c r="C3164">
        <f>"PPLECOG"</f>
        <v>0</v>
      </c>
      <c r="D3164">
        <v>0</v>
      </c>
      <c r="E3164">
        <v>0</v>
      </c>
      <c r="F3164" s="2">
        <v>0</v>
      </c>
      <c r="H3164">
        <v>0</v>
      </c>
      <c r="I3164">
        <v>0.1741125760648204</v>
      </c>
      <c r="J3164">
        <v>0</v>
      </c>
      <c r="K3164">
        <v>0</v>
      </c>
      <c r="L3164" s="2">
        <v>0</v>
      </c>
      <c r="M3164">
        <v>34.29</v>
      </c>
      <c r="N3164" t="s">
        <v>10236</v>
      </c>
    </row>
    <row r="3165" spans="1:14">
      <c r="A3165" t="s">
        <v>216</v>
      </c>
      <c r="B3165" t="s">
        <v>3315</v>
      </c>
      <c r="C3165">
        <f>"753263"</f>
        <v>0</v>
      </c>
      <c r="D3165">
        <v>0</v>
      </c>
      <c r="E3165">
        <v>0</v>
      </c>
      <c r="F3165" s="2">
        <v>0</v>
      </c>
      <c r="H3165">
        <v>0</v>
      </c>
      <c r="I3165">
        <v>0.1741125760648204</v>
      </c>
      <c r="J3165">
        <v>0</v>
      </c>
      <c r="K3165">
        <v>0</v>
      </c>
      <c r="L3165" s="2">
        <v>0</v>
      </c>
      <c r="M3165">
        <v>34.3</v>
      </c>
      <c r="N3165" t="s">
        <v>10236</v>
      </c>
    </row>
    <row r="3166" spans="1:14">
      <c r="A3166" t="s">
        <v>216</v>
      </c>
      <c r="B3166" t="s">
        <v>3316</v>
      </c>
      <c r="C3166">
        <f>"PPLECOS"</f>
        <v>0</v>
      </c>
      <c r="D3166">
        <v>0</v>
      </c>
      <c r="E3166">
        <v>0</v>
      </c>
      <c r="F3166" s="2">
        <v>0</v>
      </c>
      <c r="H3166">
        <v>0</v>
      </c>
      <c r="I3166">
        <v>0.1741125760648204</v>
      </c>
      <c r="J3166">
        <v>0</v>
      </c>
      <c r="K3166">
        <v>0</v>
      </c>
      <c r="L3166" s="2">
        <v>0</v>
      </c>
      <c r="M3166">
        <v>34.31</v>
      </c>
      <c r="N3166" t="s">
        <v>10236</v>
      </c>
    </row>
    <row r="3167" spans="1:14">
      <c r="A3167" t="s">
        <v>216</v>
      </c>
      <c r="B3167" t="s">
        <v>3317</v>
      </c>
      <c r="C3167">
        <f>"1577484711345"</f>
        <v>0</v>
      </c>
      <c r="D3167">
        <v>0</v>
      </c>
      <c r="E3167">
        <v>0</v>
      </c>
      <c r="F3167" s="2">
        <v>0</v>
      </c>
      <c r="H3167">
        <v>0</v>
      </c>
      <c r="I3167">
        <v>0.1741125760648204</v>
      </c>
      <c r="J3167">
        <v>0</v>
      </c>
      <c r="K3167">
        <v>0</v>
      </c>
      <c r="L3167" s="2">
        <v>0</v>
      </c>
      <c r="M3167">
        <v>34.32</v>
      </c>
      <c r="N3167" t="s">
        <v>10236</v>
      </c>
    </row>
    <row r="3168" spans="1:14">
      <c r="A3168" t="s">
        <v>216</v>
      </c>
      <c r="B3168" t="s">
        <v>3318</v>
      </c>
      <c r="C3168">
        <f>"15301530"</f>
        <v>0</v>
      </c>
      <c r="D3168">
        <v>0</v>
      </c>
      <c r="E3168">
        <v>0</v>
      </c>
      <c r="F3168" s="2">
        <v>0</v>
      </c>
      <c r="H3168">
        <v>0</v>
      </c>
      <c r="I3168">
        <v>0.1741125760648204</v>
      </c>
      <c r="J3168">
        <v>0</v>
      </c>
      <c r="K3168">
        <v>0</v>
      </c>
      <c r="L3168" s="2">
        <v>0</v>
      </c>
      <c r="M3168">
        <v>34.33</v>
      </c>
      <c r="N3168" t="s">
        <v>10236</v>
      </c>
    </row>
    <row r="3169" spans="1:14">
      <c r="A3169" t="s">
        <v>216</v>
      </c>
      <c r="B3169" t="s">
        <v>3319</v>
      </c>
      <c r="C3169">
        <f>"MACROPODOXXL"</f>
        <v>0</v>
      </c>
      <c r="D3169">
        <v>0</v>
      </c>
      <c r="E3169">
        <v>0</v>
      </c>
      <c r="F3169" s="2">
        <v>0</v>
      </c>
      <c r="H3169">
        <v>0</v>
      </c>
      <c r="I3169">
        <v>0.1741125760648204</v>
      </c>
      <c r="J3169">
        <v>0</v>
      </c>
      <c r="K3169">
        <v>0</v>
      </c>
      <c r="L3169" s="2">
        <v>0</v>
      </c>
      <c r="M3169">
        <v>34.34</v>
      </c>
      <c r="N3169" t="s">
        <v>10236</v>
      </c>
    </row>
    <row r="3170" spans="1:14">
      <c r="A3170" t="s">
        <v>216</v>
      </c>
      <c r="B3170" t="s">
        <v>3320</v>
      </c>
      <c r="C3170">
        <f>"PLATTYW"</f>
        <v>0</v>
      </c>
      <c r="D3170">
        <v>0</v>
      </c>
      <c r="E3170">
        <v>0</v>
      </c>
      <c r="F3170" s="2">
        <v>0</v>
      </c>
      <c r="H3170">
        <v>0</v>
      </c>
      <c r="I3170">
        <v>0.1741125760648204</v>
      </c>
      <c r="J3170">
        <v>0</v>
      </c>
      <c r="K3170">
        <v>0</v>
      </c>
      <c r="L3170" s="2">
        <v>0</v>
      </c>
      <c r="M3170">
        <v>34.35</v>
      </c>
      <c r="N3170" t="s">
        <v>10236</v>
      </c>
    </row>
    <row r="3171" spans="1:14">
      <c r="A3171" t="s">
        <v>216</v>
      </c>
      <c r="B3171" t="s">
        <v>3321</v>
      </c>
      <c r="C3171">
        <f>"PLATTYR"</f>
        <v>0</v>
      </c>
      <c r="D3171">
        <v>0</v>
      </c>
      <c r="E3171">
        <v>0</v>
      </c>
      <c r="F3171" s="2">
        <v>0</v>
      </c>
      <c r="H3171">
        <v>0</v>
      </c>
      <c r="I3171">
        <v>0.1741125760648204</v>
      </c>
      <c r="J3171">
        <v>0</v>
      </c>
      <c r="K3171">
        <v>0</v>
      </c>
      <c r="L3171" s="2">
        <v>0</v>
      </c>
      <c r="M3171">
        <v>34.36</v>
      </c>
      <c r="N3171" t="s">
        <v>10236</v>
      </c>
    </row>
    <row r="3172" spans="1:14">
      <c r="A3172" t="s">
        <v>216</v>
      </c>
      <c r="B3172" t="s">
        <v>3322</v>
      </c>
      <c r="C3172">
        <f>"9854329"</f>
        <v>0</v>
      </c>
      <c r="D3172">
        <v>0</v>
      </c>
      <c r="E3172">
        <v>0</v>
      </c>
      <c r="F3172" s="2">
        <v>0</v>
      </c>
      <c r="H3172">
        <v>0</v>
      </c>
      <c r="I3172">
        <v>0.1741125760648204</v>
      </c>
      <c r="J3172">
        <v>0</v>
      </c>
      <c r="K3172">
        <v>0</v>
      </c>
      <c r="L3172" s="2">
        <v>0</v>
      </c>
      <c r="M3172">
        <v>34.37</v>
      </c>
      <c r="N3172" t="s">
        <v>10236</v>
      </c>
    </row>
    <row r="3173" spans="1:14">
      <c r="A3173" t="s">
        <v>216</v>
      </c>
      <c r="B3173" t="s">
        <v>3323</v>
      </c>
      <c r="C3173">
        <f>"PLAN"</f>
        <v>0</v>
      </c>
      <c r="D3173">
        <v>0</v>
      </c>
      <c r="E3173">
        <v>0</v>
      </c>
      <c r="F3173" s="2">
        <v>0</v>
      </c>
      <c r="H3173">
        <v>0</v>
      </c>
      <c r="I3173">
        <v>0.1741125760648204</v>
      </c>
      <c r="J3173">
        <v>0</v>
      </c>
      <c r="K3173">
        <v>0</v>
      </c>
      <c r="L3173" s="2">
        <v>0</v>
      </c>
      <c r="M3173">
        <v>34.38</v>
      </c>
      <c r="N3173" t="s">
        <v>10236</v>
      </c>
    </row>
    <row r="3174" spans="1:14">
      <c r="A3174" t="s">
        <v>216</v>
      </c>
      <c r="B3174" t="s">
        <v>3324</v>
      </c>
      <c r="C3174">
        <f>"platymm"</f>
        <v>0</v>
      </c>
      <c r="D3174">
        <v>0</v>
      </c>
      <c r="E3174">
        <v>0</v>
      </c>
      <c r="F3174" s="2">
        <v>0</v>
      </c>
      <c r="H3174">
        <v>0</v>
      </c>
      <c r="I3174">
        <v>0.1741125760648204</v>
      </c>
      <c r="J3174">
        <v>0</v>
      </c>
      <c r="K3174">
        <v>0</v>
      </c>
      <c r="L3174" s="2">
        <v>0</v>
      </c>
      <c r="M3174">
        <v>34.39</v>
      </c>
      <c r="N3174" t="s">
        <v>10236</v>
      </c>
    </row>
    <row r="3175" spans="1:14">
      <c r="A3175" t="s">
        <v>216</v>
      </c>
      <c r="B3175" t="s">
        <v>3325</v>
      </c>
      <c r="C3175">
        <f>"1576891880354"</f>
        <v>0</v>
      </c>
      <c r="D3175">
        <v>0</v>
      </c>
      <c r="E3175">
        <v>0</v>
      </c>
      <c r="F3175" s="2">
        <v>0</v>
      </c>
      <c r="H3175">
        <v>0</v>
      </c>
      <c r="I3175">
        <v>0.1741125760648204</v>
      </c>
      <c r="J3175">
        <v>0</v>
      </c>
      <c r="K3175">
        <v>0</v>
      </c>
      <c r="L3175" s="2">
        <v>0</v>
      </c>
      <c r="M3175">
        <v>34.4</v>
      </c>
      <c r="N3175" t="s">
        <v>10236</v>
      </c>
    </row>
    <row r="3176" spans="1:14">
      <c r="A3176" t="s">
        <v>216</v>
      </c>
      <c r="B3176" t="s">
        <v>3326</v>
      </c>
      <c r="C3176">
        <f>"LABALB"</f>
        <v>0</v>
      </c>
      <c r="D3176">
        <v>0</v>
      </c>
      <c r="E3176">
        <v>0</v>
      </c>
      <c r="F3176" s="2">
        <v>0</v>
      </c>
      <c r="H3176">
        <v>0</v>
      </c>
      <c r="I3176">
        <v>0.1741125760648204</v>
      </c>
      <c r="J3176">
        <v>0</v>
      </c>
      <c r="K3176">
        <v>0</v>
      </c>
      <c r="L3176" s="2">
        <v>0</v>
      </c>
      <c r="M3176">
        <v>34.41</v>
      </c>
      <c r="N3176" t="s">
        <v>10236</v>
      </c>
    </row>
    <row r="3177" spans="1:14">
      <c r="A3177" t="s">
        <v>216</v>
      </c>
      <c r="B3177" t="s">
        <v>3327</v>
      </c>
      <c r="C3177">
        <f>"KULLI"</f>
        <v>0</v>
      </c>
      <c r="D3177">
        <v>0</v>
      </c>
      <c r="E3177">
        <v>0</v>
      </c>
      <c r="F3177" s="2">
        <v>0</v>
      </c>
      <c r="H3177">
        <v>0</v>
      </c>
      <c r="I3177">
        <v>0.1741125760648204</v>
      </c>
      <c r="J3177">
        <v>0</v>
      </c>
      <c r="K3177">
        <v>0</v>
      </c>
      <c r="L3177" s="2">
        <v>0</v>
      </c>
      <c r="M3177">
        <v>34.41</v>
      </c>
      <c r="N3177" t="s">
        <v>10236</v>
      </c>
    </row>
    <row r="3178" spans="1:14">
      <c r="A3178" t="s">
        <v>216</v>
      </c>
      <c r="B3178" t="s">
        <v>3328</v>
      </c>
      <c r="C3178">
        <f>"600780785"</f>
        <v>0</v>
      </c>
      <c r="D3178">
        <v>0</v>
      </c>
      <c r="E3178">
        <v>0</v>
      </c>
      <c r="F3178" s="2">
        <v>0</v>
      </c>
      <c r="H3178">
        <v>0</v>
      </c>
      <c r="I3178">
        <v>0.1741125760648204</v>
      </c>
      <c r="J3178">
        <v>0</v>
      </c>
      <c r="K3178">
        <v>0</v>
      </c>
      <c r="L3178" s="2">
        <v>0</v>
      </c>
      <c r="M3178">
        <v>34.42</v>
      </c>
      <c r="N3178" t="s">
        <v>10236</v>
      </c>
    </row>
    <row r="3179" spans="1:14">
      <c r="A3179" t="s">
        <v>216</v>
      </c>
      <c r="B3179" t="s">
        <v>3329</v>
      </c>
      <c r="C3179">
        <f>"778877"</f>
        <v>0</v>
      </c>
      <c r="D3179">
        <v>0</v>
      </c>
      <c r="E3179">
        <v>0</v>
      </c>
      <c r="F3179" s="2">
        <v>0</v>
      </c>
      <c r="H3179">
        <v>0</v>
      </c>
      <c r="I3179">
        <v>0.1741125760648204</v>
      </c>
      <c r="J3179">
        <v>0</v>
      </c>
      <c r="K3179">
        <v>0</v>
      </c>
      <c r="L3179" s="2">
        <v>0</v>
      </c>
      <c r="M3179">
        <v>34.43</v>
      </c>
      <c r="N3179" t="s">
        <v>10236</v>
      </c>
    </row>
    <row r="3180" spans="1:14">
      <c r="A3180" t="s">
        <v>35</v>
      </c>
      <c r="B3180" t="s">
        <v>3330</v>
      </c>
      <c r="C3180">
        <f>"KL160C"</f>
        <v>0</v>
      </c>
      <c r="D3180">
        <v>0</v>
      </c>
      <c r="E3180">
        <v>0</v>
      </c>
      <c r="F3180" s="2">
        <v>0</v>
      </c>
      <c r="H3180">
        <v>0</v>
      </c>
      <c r="I3180">
        <v>0.1741125760648204</v>
      </c>
      <c r="J3180">
        <v>0</v>
      </c>
      <c r="K3180">
        <v>0</v>
      </c>
      <c r="L3180" s="2">
        <v>0</v>
      </c>
      <c r="M3180">
        <v>34.44</v>
      </c>
      <c r="N3180" t="s">
        <v>10236</v>
      </c>
    </row>
    <row r="3181" spans="1:14">
      <c r="A3181" t="s">
        <v>35</v>
      </c>
      <c r="B3181" t="s">
        <v>3331</v>
      </c>
      <c r="C3181">
        <f>"KL160S"</f>
        <v>0</v>
      </c>
      <c r="D3181">
        <v>0</v>
      </c>
      <c r="E3181">
        <v>0</v>
      </c>
      <c r="F3181" s="2">
        <v>0</v>
      </c>
      <c r="H3181">
        <v>0</v>
      </c>
      <c r="I3181">
        <v>0.1741125760648204</v>
      </c>
      <c r="J3181">
        <v>0</v>
      </c>
      <c r="K3181">
        <v>0</v>
      </c>
      <c r="L3181" s="2">
        <v>0</v>
      </c>
      <c r="M3181">
        <v>34.45</v>
      </c>
      <c r="N3181" t="s">
        <v>10236</v>
      </c>
    </row>
    <row r="3182" spans="1:14">
      <c r="A3182" t="s">
        <v>35</v>
      </c>
      <c r="B3182" t="s">
        <v>3332</v>
      </c>
      <c r="C3182">
        <f>"KL160KN"</f>
        <v>0</v>
      </c>
      <c r="D3182">
        <v>0</v>
      </c>
      <c r="E3182">
        <v>0</v>
      </c>
      <c r="F3182" s="2">
        <v>0</v>
      </c>
      <c r="H3182">
        <v>0</v>
      </c>
      <c r="I3182">
        <v>0.1741125760648204</v>
      </c>
      <c r="J3182">
        <v>0</v>
      </c>
      <c r="K3182">
        <v>0</v>
      </c>
      <c r="L3182" s="2">
        <v>0</v>
      </c>
      <c r="M3182">
        <v>34.46</v>
      </c>
      <c r="N3182" t="s">
        <v>10236</v>
      </c>
    </row>
    <row r="3183" spans="1:14">
      <c r="A3183" t="s">
        <v>35</v>
      </c>
      <c r="B3183" t="s">
        <v>3333</v>
      </c>
      <c r="C3183">
        <f>"KL160D"</f>
        <v>0</v>
      </c>
      <c r="D3183">
        <v>0</v>
      </c>
      <c r="E3183">
        <v>0</v>
      </c>
      <c r="F3183" s="2">
        <v>0</v>
      </c>
      <c r="H3183">
        <v>0</v>
      </c>
      <c r="I3183">
        <v>0.1741125760648204</v>
      </c>
      <c r="J3183">
        <v>0</v>
      </c>
      <c r="K3183">
        <v>0</v>
      </c>
      <c r="L3183" s="2">
        <v>0</v>
      </c>
      <c r="M3183">
        <v>34.47</v>
      </c>
      <c r="N3183" t="s">
        <v>10236</v>
      </c>
    </row>
    <row r="3184" spans="1:14">
      <c r="A3184" t="s">
        <v>216</v>
      </c>
      <c r="B3184" t="s">
        <v>3334</v>
      </c>
      <c r="C3184">
        <f>"PLECOP"</f>
        <v>0</v>
      </c>
      <c r="D3184">
        <v>0</v>
      </c>
      <c r="E3184">
        <v>0</v>
      </c>
      <c r="F3184" s="2">
        <v>0</v>
      </c>
      <c r="H3184">
        <v>0</v>
      </c>
      <c r="I3184">
        <v>0.1741125760648204</v>
      </c>
      <c r="J3184">
        <v>0</v>
      </c>
      <c r="K3184">
        <v>0</v>
      </c>
      <c r="L3184" s="2">
        <v>0</v>
      </c>
      <c r="M3184">
        <v>34.48</v>
      </c>
      <c r="N3184" t="s">
        <v>10236</v>
      </c>
    </row>
    <row r="3185" spans="1:14">
      <c r="A3185" t="s">
        <v>216</v>
      </c>
      <c r="B3185" t="s">
        <v>3335</v>
      </c>
      <c r="C3185">
        <f>"1569516547951"</f>
        <v>0</v>
      </c>
      <c r="D3185">
        <v>0</v>
      </c>
      <c r="E3185">
        <v>0</v>
      </c>
      <c r="F3185" s="2">
        <v>0</v>
      </c>
      <c r="H3185">
        <v>0</v>
      </c>
      <c r="I3185">
        <v>0.1741125760648204</v>
      </c>
      <c r="J3185">
        <v>0</v>
      </c>
      <c r="K3185">
        <v>0</v>
      </c>
      <c r="L3185" s="2">
        <v>0</v>
      </c>
      <c r="M3185">
        <v>34.49</v>
      </c>
      <c r="N3185" t="s">
        <v>10236</v>
      </c>
    </row>
    <row r="3186" spans="1:14">
      <c r="A3186" t="s">
        <v>216</v>
      </c>
      <c r="B3186" t="s">
        <v>3336</v>
      </c>
      <c r="C3186">
        <f>"858754"</f>
        <v>0</v>
      </c>
      <c r="D3186">
        <v>0</v>
      </c>
      <c r="E3186">
        <v>0</v>
      </c>
      <c r="F3186" s="2">
        <v>0</v>
      </c>
      <c r="H3186">
        <v>0</v>
      </c>
      <c r="I3186">
        <v>0.1741125760648204</v>
      </c>
      <c r="J3186">
        <v>0</v>
      </c>
      <c r="K3186">
        <v>0</v>
      </c>
      <c r="L3186" s="2">
        <v>0</v>
      </c>
      <c r="M3186">
        <v>34.5</v>
      </c>
      <c r="N3186" t="s">
        <v>10236</v>
      </c>
    </row>
    <row r="3187" spans="1:14">
      <c r="A3187" t="s">
        <v>216</v>
      </c>
      <c r="B3187" t="s">
        <v>3337</v>
      </c>
      <c r="C3187">
        <f>"CORY2"</f>
        <v>0</v>
      </c>
      <c r="D3187">
        <v>0</v>
      </c>
      <c r="E3187">
        <v>0</v>
      </c>
      <c r="F3187" s="2">
        <v>0</v>
      </c>
      <c r="H3187">
        <v>0</v>
      </c>
      <c r="I3187">
        <v>0.1741125760648204</v>
      </c>
      <c r="J3187">
        <v>0</v>
      </c>
      <c r="K3187">
        <v>0</v>
      </c>
      <c r="L3187" s="2">
        <v>0</v>
      </c>
      <c r="M3187">
        <v>34.51</v>
      </c>
      <c r="N3187" t="s">
        <v>10236</v>
      </c>
    </row>
    <row r="3188" spans="1:14">
      <c r="A3188" t="s">
        <v>216</v>
      </c>
      <c r="B3188" t="s">
        <v>3338</v>
      </c>
      <c r="C3188">
        <f>"15201520"</f>
        <v>0</v>
      </c>
      <c r="D3188">
        <v>0</v>
      </c>
      <c r="E3188">
        <v>0</v>
      </c>
      <c r="F3188" s="2">
        <v>0</v>
      </c>
      <c r="H3188">
        <v>0</v>
      </c>
      <c r="I3188">
        <v>0.1741125760648204</v>
      </c>
      <c r="J3188">
        <v>0</v>
      </c>
      <c r="K3188">
        <v>0</v>
      </c>
      <c r="L3188" s="2">
        <v>0</v>
      </c>
      <c r="M3188">
        <v>34.52</v>
      </c>
      <c r="N3188" t="s">
        <v>10236</v>
      </c>
    </row>
    <row r="3189" spans="1:14">
      <c r="A3189" t="s">
        <v>216</v>
      </c>
      <c r="B3189" t="s">
        <v>3339</v>
      </c>
      <c r="C3189">
        <f>"1598827758375"</f>
        <v>0</v>
      </c>
      <c r="D3189">
        <v>0</v>
      </c>
      <c r="E3189">
        <v>0</v>
      </c>
      <c r="F3189" s="2">
        <v>0</v>
      </c>
      <c r="H3189">
        <v>0</v>
      </c>
      <c r="I3189">
        <v>0.1741125760648204</v>
      </c>
      <c r="J3189">
        <v>0</v>
      </c>
      <c r="K3189">
        <v>0</v>
      </c>
      <c r="L3189" s="2">
        <v>0</v>
      </c>
      <c r="M3189">
        <v>34.53</v>
      </c>
      <c r="N3189" t="s">
        <v>10236</v>
      </c>
    </row>
    <row r="3190" spans="1:14">
      <c r="A3190" t="s">
        <v>216</v>
      </c>
      <c r="B3190" t="s">
        <v>3340</v>
      </c>
      <c r="C3190">
        <f>"CARORA"</f>
        <v>0</v>
      </c>
      <c r="D3190">
        <v>0</v>
      </c>
      <c r="E3190">
        <v>0</v>
      </c>
      <c r="F3190" s="2">
        <v>0</v>
      </c>
      <c r="H3190">
        <v>0</v>
      </c>
      <c r="I3190">
        <v>0.1741125760648204</v>
      </c>
      <c r="J3190">
        <v>0</v>
      </c>
      <c r="K3190">
        <v>0</v>
      </c>
      <c r="L3190" s="2">
        <v>0</v>
      </c>
      <c r="M3190">
        <v>34.53</v>
      </c>
      <c r="N3190" t="s">
        <v>10236</v>
      </c>
    </row>
    <row r="3191" spans="1:14">
      <c r="A3191" t="s">
        <v>216</v>
      </c>
      <c r="B3191" t="s">
        <v>3341</v>
      </c>
      <c r="C3191">
        <f>"8754251"</f>
        <v>0</v>
      </c>
      <c r="D3191">
        <v>0</v>
      </c>
      <c r="E3191">
        <v>0</v>
      </c>
      <c r="F3191" s="2">
        <v>0</v>
      </c>
      <c r="H3191">
        <v>0</v>
      </c>
      <c r="I3191">
        <v>0.1741125760648204</v>
      </c>
      <c r="J3191">
        <v>0</v>
      </c>
      <c r="K3191">
        <v>0</v>
      </c>
      <c r="L3191" s="2">
        <v>0</v>
      </c>
      <c r="M3191">
        <v>34.54</v>
      </c>
      <c r="N3191" t="s">
        <v>10236</v>
      </c>
    </row>
    <row r="3192" spans="1:14">
      <c r="A3192" t="s">
        <v>216</v>
      </c>
      <c r="B3192" t="s">
        <v>3342</v>
      </c>
      <c r="C3192">
        <f>"CARASSIUSXL"</f>
        <v>0</v>
      </c>
      <c r="D3192">
        <v>0</v>
      </c>
      <c r="E3192">
        <v>0</v>
      </c>
      <c r="F3192" s="2">
        <v>0</v>
      </c>
      <c r="H3192">
        <v>0</v>
      </c>
      <c r="I3192">
        <v>0.1741125760648204</v>
      </c>
      <c r="J3192">
        <v>0</v>
      </c>
      <c r="K3192">
        <v>0</v>
      </c>
      <c r="L3192" s="2">
        <v>0</v>
      </c>
      <c r="M3192">
        <v>34.55</v>
      </c>
      <c r="N3192" t="s">
        <v>10236</v>
      </c>
    </row>
    <row r="3193" spans="1:14">
      <c r="A3193" t="s">
        <v>216</v>
      </c>
      <c r="B3193" t="s">
        <v>3343</v>
      </c>
      <c r="C3193">
        <f>"600500501"</f>
        <v>0</v>
      </c>
      <c r="D3193">
        <v>0</v>
      </c>
      <c r="E3193">
        <v>0</v>
      </c>
      <c r="F3193" s="2">
        <v>0</v>
      </c>
      <c r="H3193">
        <v>0</v>
      </c>
      <c r="I3193">
        <v>0.1741125760648204</v>
      </c>
      <c r="J3193">
        <v>0</v>
      </c>
      <c r="K3193">
        <v>0</v>
      </c>
      <c r="L3193" s="2">
        <v>0</v>
      </c>
      <c r="M3193">
        <v>34.56</v>
      </c>
      <c r="N3193" t="s">
        <v>10236</v>
      </c>
    </row>
    <row r="3194" spans="1:14">
      <c r="A3194" t="s">
        <v>216</v>
      </c>
      <c r="B3194" t="s">
        <v>3344</v>
      </c>
      <c r="C3194">
        <f>"CORAL"</f>
        <v>0</v>
      </c>
      <c r="D3194">
        <v>0</v>
      </c>
      <c r="E3194">
        <v>0</v>
      </c>
      <c r="F3194" s="2">
        <v>0</v>
      </c>
      <c r="H3194">
        <v>0</v>
      </c>
      <c r="I3194">
        <v>0.1741125760648204</v>
      </c>
      <c r="J3194">
        <v>0</v>
      </c>
      <c r="K3194">
        <v>0</v>
      </c>
      <c r="L3194" s="2">
        <v>0</v>
      </c>
      <c r="M3194">
        <v>34.57</v>
      </c>
      <c r="N3194" t="s">
        <v>10236</v>
      </c>
    </row>
    <row r="3195" spans="1:14">
      <c r="A3195" t="s">
        <v>216</v>
      </c>
      <c r="B3195" t="s">
        <v>3345</v>
      </c>
      <c r="C3195">
        <f>"PCA"</f>
        <v>0</v>
      </c>
      <c r="D3195">
        <v>0</v>
      </c>
      <c r="E3195">
        <v>0</v>
      </c>
      <c r="F3195" s="2">
        <v>0</v>
      </c>
      <c r="H3195">
        <v>0</v>
      </c>
      <c r="I3195">
        <v>0.1741125760648204</v>
      </c>
      <c r="J3195">
        <v>0</v>
      </c>
      <c r="K3195">
        <v>0</v>
      </c>
      <c r="L3195" s="2">
        <v>0</v>
      </c>
      <c r="M3195">
        <v>34.58</v>
      </c>
      <c r="N3195" t="s">
        <v>10236</v>
      </c>
    </row>
    <row r="3196" spans="1:14">
      <c r="A3196" t="s">
        <v>216</v>
      </c>
      <c r="B3196" t="s">
        <v>3346</v>
      </c>
      <c r="C3196">
        <f>"1576889160525"</f>
        <v>0</v>
      </c>
      <c r="D3196">
        <v>0</v>
      </c>
      <c r="E3196">
        <v>0</v>
      </c>
      <c r="F3196" s="2">
        <v>0</v>
      </c>
      <c r="H3196">
        <v>0</v>
      </c>
      <c r="I3196">
        <v>0.1741125760648204</v>
      </c>
      <c r="J3196">
        <v>0</v>
      </c>
      <c r="K3196">
        <v>0</v>
      </c>
      <c r="L3196" s="2">
        <v>0</v>
      </c>
      <c r="M3196">
        <v>34.59</v>
      </c>
      <c r="N3196" t="s">
        <v>10236</v>
      </c>
    </row>
    <row r="3197" spans="1:14">
      <c r="A3197" t="s">
        <v>216</v>
      </c>
      <c r="B3197" t="s">
        <v>3347</v>
      </c>
      <c r="C3197">
        <f>"600780781"</f>
        <v>0</v>
      </c>
      <c r="D3197">
        <v>0</v>
      </c>
      <c r="E3197">
        <v>0</v>
      </c>
      <c r="F3197" s="2">
        <v>0</v>
      </c>
      <c r="H3197">
        <v>0</v>
      </c>
      <c r="I3197">
        <v>0.1741125760648204</v>
      </c>
      <c r="J3197">
        <v>0</v>
      </c>
      <c r="K3197">
        <v>0</v>
      </c>
      <c r="L3197" s="2">
        <v>0</v>
      </c>
      <c r="M3197">
        <v>34.6</v>
      </c>
      <c r="N3197" t="s">
        <v>10236</v>
      </c>
    </row>
    <row r="3198" spans="1:14">
      <c r="A3198" t="s">
        <v>216</v>
      </c>
      <c r="B3198" t="s">
        <v>3348</v>
      </c>
      <c r="C3198">
        <f>"600780780"</f>
        <v>0</v>
      </c>
      <c r="D3198">
        <v>0</v>
      </c>
      <c r="E3198">
        <v>0</v>
      </c>
      <c r="F3198" s="2">
        <v>0</v>
      </c>
      <c r="H3198">
        <v>0</v>
      </c>
      <c r="I3198">
        <v>0.1741125760648204</v>
      </c>
      <c r="J3198">
        <v>0</v>
      </c>
      <c r="K3198">
        <v>0</v>
      </c>
      <c r="L3198" s="2">
        <v>0</v>
      </c>
      <c r="M3198">
        <v>34.61</v>
      </c>
      <c r="N3198" t="s">
        <v>10236</v>
      </c>
    </row>
    <row r="3199" spans="1:14">
      <c r="A3199" t="s">
        <v>216</v>
      </c>
      <c r="B3199" t="s">
        <v>3349</v>
      </c>
      <c r="C3199">
        <f>"1577484171201"</f>
        <v>0</v>
      </c>
      <c r="D3199">
        <v>0</v>
      </c>
      <c r="E3199">
        <v>0</v>
      </c>
      <c r="F3199" s="2">
        <v>0</v>
      </c>
      <c r="H3199">
        <v>0</v>
      </c>
      <c r="I3199">
        <v>0.1741125760648204</v>
      </c>
      <c r="J3199">
        <v>0</v>
      </c>
      <c r="K3199">
        <v>0</v>
      </c>
      <c r="L3199" s="2">
        <v>0</v>
      </c>
      <c r="M3199">
        <v>34.62</v>
      </c>
      <c r="N3199" t="s">
        <v>10236</v>
      </c>
    </row>
    <row r="3200" spans="1:14">
      <c r="A3200" t="s">
        <v>216</v>
      </c>
      <c r="B3200" t="s">
        <v>3350</v>
      </c>
      <c r="C3200">
        <f>"COLF"</f>
        <v>0</v>
      </c>
      <c r="D3200">
        <v>0</v>
      </c>
      <c r="E3200">
        <v>0</v>
      </c>
      <c r="F3200" s="2">
        <v>0</v>
      </c>
      <c r="H3200">
        <v>0</v>
      </c>
      <c r="I3200">
        <v>0.1741125760648204</v>
      </c>
      <c r="J3200">
        <v>0</v>
      </c>
      <c r="K3200">
        <v>0</v>
      </c>
      <c r="L3200" s="2">
        <v>0</v>
      </c>
      <c r="M3200">
        <v>34.63</v>
      </c>
      <c r="N3200" t="s">
        <v>10236</v>
      </c>
    </row>
    <row r="3201" spans="1:14">
      <c r="A3201" t="s">
        <v>216</v>
      </c>
      <c r="B3201" t="s">
        <v>3351</v>
      </c>
      <c r="C3201">
        <f>"1579811550187"</f>
        <v>0</v>
      </c>
      <c r="D3201">
        <v>0</v>
      </c>
      <c r="E3201">
        <v>0</v>
      </c>
      <c r="F3201" s="2">
        <v>0</v>
      </c>
      <c r="H3201">
        <v>0</v>
      </c>
      <c r="I3201">
        <v>0.1741125760648204</v>
      </c>
      <c r="J3201">
        <v>0</v>
      </c>
      <c r="K3201">
        <v>0</v>
      </c>
      <c r="L3201" s="2">
        <v>0</v>
      </c>
      <c r="M3201">
        <v>34.64</v>
      </c>
      <c r="N3201" t="s">
        <v>10236</v>
      </c>
    </row>
    <row r="3202" spans="1:14">
      <c r="A3202" t="s">
        <v>25</v>
      </c>
      <c r="B3202" t="s">
        <v>3352</v>
      </c>
      <c r="C3202">
        <f>"YM12"</f>
        <v>0</v>
      </c>
      <c r="D3202">
        <v>0</v>
      </c>
      <c r="E3202">
        <v>2</v>
      </c>
      <c r="F3202" s="2">
        <v>2</v>
      </c>
      <c r="H3202">
        <v>0</v>
      </c>
      <c r="I3202">
        <v>0.1741125760648204</v>
      </c>
      <c r="J3202">
        <v>0</v>
      </c>
      <c r="K3202">
        <v>0</v>
      </c>
      <c r="L3202" s="2">
        <v>0</v>
      </c>
      <c r="M3202">
        <v>34.64</v>
      </c>
      <c r="N3202" t="s">
        <v>10236</v>
      </c>
    </row>
    <row r="3203" spans="1:14">
      <c r="A3203" t="s">
        <v>25</v>
      </c>
      <c r="B3203" t="s">
        <v>3352</v>
      </c>
      <c r="C3203">
        <f>"S313C"</f>
        <v>0</v>
      </c>
      <c r="D3203">
        <v>0</v>
      </c>
      <c r="E3203">
        <v>0</v>
      </c>
      <c r="F3203" s="2">
        <v>0</v>
      </c>
      <c r="H3203">
        <v>0</v>
      </c>
      <c r="I3203">
        <v>0.1741125760648204</v>
      </c>
      <c r="J3203">
        <v>0</v>
      </c>
      <c r="K3203">
        <v>0</v>
      </c>
      <c r="L3203" s="2">
        <v>0</v>
      </c>
      <c r="M3203">
        <v>34.65</v>
      </c>
      <c r="N3203" t="s">
        <v>10236</v>
      </c>
    </row>
    <row r="3204" spans="1:14">
      <c r="A3204" t="s">
        <v>25</v>
      </c>
      <c r="B3204" t="s">
        <v>3353</v>
      </c>
      <c r="C3204">
        <f>"S312"</f>
        <v>0</v>
      </c>
      <c r="D3204">
        <v>0</v>
      </c>
      <c r="E3204">
        <v>0</v>
      </c>
      <c r="F3204" s="2">
        <v>0</v>
      </c>
      <c r="H3204">
        <v>0</v>
      </c>
      <c r="I3204">
        <v>0.1741125760648204</v>
      </c>
      <c r="J3204">
        <v>0</v>
      </c>
      <c r="K3204">
        <v>0</v>
      </c>
      <c r="L3204" s="2">
        <v>0</v>
      </c>
      <c r="M3204">
        <v>34.66</v>
      </c>
      <c r="N3204" t="s">
        <v>10236</v>
      </c>
    </row>
    <row r="3205" spans="1:14">
      <c r="A3205" t="s">
        <v>35</v>
      </c>
      <c r="B3205" t="s">
        <v>3354</v>
      </c>
      <c r="C3205">
        <f>"CTB19VE"</f>
        <v>0</v>
      </c>
      <c r="D3205">
        <v>0</v>
      </c>
      <c r="E3205">
        <v>0</v>
      </c>
      <c r="F3205" s="2">
        <v>0</v>
      </c>
      <c r="H3205">
        <v>0</v>
      </c>
      <c r="I3205">
        <v>0.1741125760648204</v>
      </c>
      <c r="J3205">
        <v>0</v>
      </c>
      <c r="K3205">
        <v>0</v>
      </c>
      <c r="L3205" s="2">
        <v>0</v>
      </c>
      <c r="M3205">
        <v>34.67</v>
      </c>
      <c r="N3205" t="s">
        <v>10236</v>
      </c>
    </row>
    <row r="3206" spans="1:14">
      <c r="A3206" t="s">
        <v>35</v>
      </c>
      <c r="B3206" t="s">
        <v>3355</v>
      </c>
      <c r="C3206">
        <f>"1811LGV"</f>
        <v>0</v>
      </c>
      <c r="D3206">
        <v>0</v>
      </c>
      <c r="E3206">
        <v>0</v>
      </c>
      <c r="F3206" s="2">
        <v>0</v>
      </c>
      <c r="H3206">
        <v>0</v>
      </c>
      <c r="I3206">
        <v>0.1741125760648204</v>
      </c>
      <c r="J3206">
        <v>0</v>
      </c>
      <c r="K3206">
        <v>0</v>
      </c>
      <c r="L3206" s="2">
        <v>0</v>
      </c>
      <c r="M3206">
        <v>34.68</v>
      </c>
      <c r="N3206" t="s">
        <v>10236</v>
      </c>
    </row>
    <row r="3207" spans="1:14">
      <c r="A3207" t="s">
        <v>35</v>
      </c>
      <c r="B3207" t="s">
        <v>3356</v>
      </c>
      <c r="C3207">
        <f>"1811SGN"</f>
        <v>0</v>
      </c>
      <c r="D3207">
        <v>0</v>
      </c>
      <c r="E3207">
        <v>1</v>
      </c>
      <c r="F3207" s="2">
        <v>10</v>
      </c>
      <c r="H3207">
        <v>0</v>
      </c>
      <c r="I3207">
        <v>0.1741125760648204</v>
      </c>
      <c r="J3207">
        <v>0</v>
      </c>
      <c r="K3207">
        <v>0</v>
      </c>
      <c r="L3207" s="2">
        <v>0</v>
      </c>
      <c r="M3207">
        <v>34.69</v>
      </c>
      <c r="N3207" t="s">
        <v>10236</v>
      </c>
    </row>
    <row r="3208" spans="1:14">
      <c r="A3208" t="s">
        <v>35</v>
      </c>
      <c r="B3208" t="s">
        <v>3357</v>
      </c>
      <c r="C3208">
        <f>"1811LGN"</f>
        <v>0</v>
      </c>
      <c r="D3208">
        <v>0</v>
      </c>
      <c r="E3208">
        <v>0</v>
      </c>
      <c r="F3208" s="2">
        <v>0</v>
      </c>
      <c r="H3208">
        <v>0</v>
      </c>
      <c r="I3208">
        <v>0.1741125760648204</v>
      </c>
      <c r="J3208">
        <v>0</v>
      </c>
      <c r="K3208">
        <v>0</v>
      </c>
      <c r="L3208" s="2">
        <v>0</v>
      </c>
      <c r="M3208">
        <v>34.7</v>
      </c>
      <c r="N3208" t="s">
        <v>10236</v>
      </c>
    </row>
    <row r="3209" spans="1:14">
      <c r="A3209" t="s">
        <v>35</v>
      </c>
      <c r="B3209" t="s">
        <v>3358</v>
      </c>
      <c r="C3209">
        <f>"305CA"</f>
        <v>0</v>
      </c>
      <c r="D3209">
        <v>0</v>
      </c>
      <c r="E3209">
        <v>1</v>
      </c>
      <c r="F3209" s="2">
        <v>6</v>
      </c>
      <c r="H3209">
        <v>0</v>
      </c>
      <c r="I3209">
        <v>0.1741125760648204</v>
      </c>
      <c r="J3209">
        <v>0</v>
      </c>
      <c r="K3209">
        <v>0</v>
      </c>
      <c r="L3209" s="2">
        <v>0</v>
      </c>
      <c r="M3209">
        <v>34.71</v>
      </c>
      <c r="N3209" t="s">
        <v>10236</v>
      </c>
    </row>
    <row r="3210" spans="1:14">
      <c r="A3210" t="s">
        <v>29</v>
      </c>
      <c r="B3210" t="s">
        <v>3359</v>
      </c>
      <c r="C3210">
        <f>"CT5020T"</f>
        <v>0</v>
      </c>
      <c r="D3210">
        <v>0</v>
      </c>
      <c r="E3210">
        <v>100</v>
      </c>
      <c r="F3210" s="2">
        <v>0</v>
      </c>
      <c r="H3210">
        <v>0</v>
      </c>
      <c r="I3210">
        <v>0.1741125760648204</v>
      </c>
      <c r="J3210">
        <v>0</v>
      </c>
      <c r="K3210">
        <v>0</v>
      </c>
      <c r="L3210" s="2">
        <v>0</v>
      </c>
      <c r="M3210">
        <v>34.72</v>
      </c>
      <c r="N3210" t="s">
        <v>10236</v>
      </c>
    </row>
    <row r="3211" spans="1:14">
      <c r="A3211" t="s">
        <v>29</v>
      </c>
      <c r="B3211" t="s">
        <v>3360</v>
      </c>
      <c r="C3211">
        <f>"CY4015T"</f>
        <v>0</v>
      </c>
      <c r="D3211">
        <v>0</v>
      </c>
      <c r="E3211">
        <v>0</v>
      </c>
      <c r="F3211" s="2">
        <v>0</v>
      </c>
      <c r="H3211">
        <v>0</v>
      </c>
      <c r="I3211">
        <v>0.1741125760648204</v>
      </c>
      <c r="J3211">
        <v>0</v>
      </c>
      <c r="K3211">
        <v>0</v>
      </c>
      <c r="L3211" s="2">
        <v>0</v>
      </c>
      <c r="M3211">
        <v>34.73</v>
      </c>
      <c r="N3211" t="s">
        <v>10236</v>
      </c>
    </row>
    <row r="3212" spans="1:14">
      <c r="A3212" t="s">
        <v>35</v>
      </c>
      <c r="B3212" t="s">
        <v>3361</v>
      </c>
      <c r="C3212">
        <f>"NO45VER"</f>
        <v>0</v>
      </c>
      <c r="D3212">
        <v>0</v>
      </c>
      <c r="E3212">
        <v>0</v>
      </c>
      <c r="F3212" s="2">
        <v>0</v>
      </c>
      <c r="H3212">
        <v>0</v>
      </c>
      <c r="I3212">
        <v>0.1741125760648204</v>
      </c>
      <c r="J3212">
        <v>0</v>
      </c>
      <c r="K3212">
        <v>0</v>
      </c>
      <c r="L3212" s="2">
        <v>0</v>
      </c>
      <c r="M3212">
        <v>34.74</v>
      </c>
      <c r="N3212" t="s">
        <v>10236</v>
      </c>
    </row>
    <row r="3213" spans="1:14">
      <c r="A3213" t="s">
        <v>35</v>
      </c>
      <c r="B3213" t="s">
        <v>3362</v>
      </c>
      <c r="C3213">
        <f>"CT100"</f>
        <v>0</v>
      </c>
      <c r="D3213">
        <v>0</v>
      </c>
      <c r="E3213">
        <v>0</v>
      </c>
      <c r="F3213" s="2">
        <v>0</v>
      </c>
      <c r="H3213">
        <v>0</v>
      </c>
      <c r="I3213">
        <v>0.1741125760648204</v>
      </c>
      <c r="J3213">
        <v>0</v>
      </c>
      <c r="K3213">
        <v>0</v>
      </c>
      <c r="L3213" s="2">
        <v>0</v>
      </c>
      <c r="M3213">
        <v>34.75</v>
      </c>
      <c r="N3213" t="s">
        <v>10236</v>
      </c>
    </row>
    <row r="3214" spans="1:14">
      <c r="A3214" t="s">
        <v>216</v>
      </c>
      <c r="B3214" t="s">
        <v>3363</v>
      </c>
      <c r="C3214">
        <f>"CLAL"</f>
        <v>0</v>
      </c>
      <c r="D3214">
        <v>0</v>
      </c>
      <c r="E3214">
        <v>0</v>
      </c>
      <c r="F3214" s="2">
        <v>0</v>
      </c>
      <c r="H3214">
        <v>0</v>
      </c>
      <c r="I3214">
        <v>0.1741125760648204</v>
      </c>
      <c r="J3214">
        <v>0</v>
      </c>
      <c r="K3214">
        <v>0</v>
      </c>
      <c r="L3214" s="2">
        <v>0</v>
      </c>
      <c r="M3214">
        <v>34.76</v>
      </c>
      <c r="N3214" t="s">
        <v>10236</v>
      </c>
    </row>
    <row r="3215" spans="1:14">
      <c r="A3215" t="s">
        <v>216</v>
      </c>
      <c r="B3215" t="s">
        <v>3364</v>
      </c>
      <c r="C3215">
        <f>"PGHB"</f>
        <v>0</v>
      </c>
      <c r="D3215">
        <v>0</v>
      </c>
      <c r="E3215">
        <v>0</v>
      </c>
      <c r="F3215" s="2">
        <v>0</v>
      </c>
      <c r="H3215">
        <v>0</v>
      </c>
      <c r="I3215">
        <v>0.1741125760648204</v>
      </c>
      <c r="J3215">
        <v>0</v>
      </c>
      <c r="K3215">
        <v>0</v>
      </c>
      <c r="L3215" s="2">
        <v>0</v>
      </c>
      <c r="M3215">
        <v>34.76</v>
      </c>
      <c r="N3215" t="s">
        <v>10236</v>
      </c>
    </row>
    <row r="3216" spans="1:14">
      <c r="A3216" t="s">
        <v>216</v>
      </c>
      <c r="B3216" t="s">
        <v>3365</v>
      </c>
      <c r="C3216">
        <f>"GPD"</f>
        <v>0</v>
      </c>
      <c r="D3216">
        <v>0</v>
      </c>
      <c r="E3216">
        <v>0</v>
      </c>
      <c r="F3216" s="2">
        <v>0</v>
      </c>
      <c r="H3216">
        <v>0</v>
      </c>
      <c r="I3216">
        <v>0.1741125760648204</v>
      </c>
      <c r="J3216">
        <v>0</v>
      </c>
      <c r="K3216">
        <v>0</v>
      </c>
      <c r="L3216" s="2">
        <v>0</v>
      </c>
      <c r="M3216">
        <v>34.77</v>
      </c>
      <c r="N3216" t="s">
        <v>10236</v>
      </c>
    </row>
    <row r="3217" spans="1:14">
      <c r="A3217" t="s">
        <v>216</v>
      </c>
      <c r="B3217" t="s">
        <v>3366</v>
      </c>
      <c r="C3217">
        <f>"GPM"</f>
        <v>0</v>
      </c>
      <c r="D3217">
        <v>0</v>
      </c>
      <c r="E3217">
        <v>0</v>
      </c>
      <c r="F3217" s="2">
        <v>0</v>
      </c>
      <c r="H3217">
        <v>0</v>
      </c>
      <c r="I3217">
        <v>0.1741125760648204</v>
      </c>
      <c r="J3217">
        <v>0</v>
      </c>
      <c r="K3217">
        <v>0</v>
      </c>
      <c r="L3217" s="2">
        <v>0</v>
      </c>
      <c r="M3217">
        <v>34.78</v>
      </c>
      <c r="N3217" t="s">
        <v>10236</v>
      </c>
    </row>
    <row r="3218" spans="1:14">
      <c r="A3218" t="s">
        <v>216</v>
      </c>
      <c r="B3218" t="s">
        <v>3367</v>
      </c>
      <c r="C3218">
        <f>"6003233"</f>
        <v>0</v>
      </c>
      <c r="D3218">
        <v>0</v>
      </c>
      <c r="E3218">
        <v>0</v>
      </c>
      <c r="F3218" s="2">
        <v>0</v>
      </c>
      <c r="H3218">
        <v>0</v>
      </c>
      <c r="I3218">
        <v>0.1741125760648204</v>
      </c>
      <c r="J3218">
        <v>0</v>
      </c>
      <c r="K3218">
        <v>0</v>
      </c>
      <c r="L3218" s="2">
        <v>0</v>
      </c>
      <c r="M3218">
        <v>34.79</v>
      </c>
      <c r="N3218" t="s">
        <v>10236</v>
      </c>
    </row>
    <row r="3219" spans="1:14">
      <c r="A3219" t="s">
        <v>216</v>
      </c>
      <c r="B3219" t="s">
        <v>3368</v>
      </c>
      <c r="C3219">
        <f>"PEZGA"</f>
        <v>0</v>
      </c>
      <c r="D3219">
        <v>0</v>
      </c>
      <c r="E3219">
        <v>0</v>
      </c>
      <c r="F3219" s="2">
        <v>0</v>
      </c>
      <c r="H3219">
        <v>0</v>
      </c>
      <c r="I3219">
        <v>0.1741125760648204</v>
      </c>
      <c r="J3219">
        <v>0</v>
      </c>
      <c r="K3219">
        <v>0</v>
      </c>
      <c r="L3219" s="2">
        <v>0</v>
      </c>
      <c r="M3219">
        <v>34.8</v>
      </c>
      <c r="N3219" t="s">
        <v>10236</v>
      </c>
    </row>
    <row r="3220" spans="1:14">
      <c r="A3220" t="s">
        <v>216</v>
      </c>
      <c r="B3220" t="s">
        <v>3369</v>
      </c>
      <c r="C3220">
        <f>"6003231"</f>
        <v>0</v>
      </c>
      <c r="D3220">
        <v>0</v>
      </c>
      <c r="E3220">
        <v>0</v>
      </c>
      <c r="F3220" s="2">
        <v>0</v>
      </c>
      <c r="H3220">
        <v>0</v>
      </c>
      <c r="I3220">
        <v>0.1741125760648204</v>
      </c>
      <c r="J3220">
        <v>0</v>
      </c>
      <c r="K3220">
        <v>0</v>
      </c>
      <c r="L3220" s="2">
        <v>0</v>
      </c>
      <c r="M3220">
        <v>34.81</v>
      </c>
      <c r="N3220" t="s">
        <v>10236</v>
      </c>
    </row>
    <row r="3221" spans="1:14">
      <c r="A3221" t="s">
        <v>216</v>
      </c>
      <c r="B3221" t="s">
        <v>3370</v>
      </c>
      <c r="C3221">
        <f>"1569516799210"</f>
        <v>0</v>
      </c>
      <c r="D3221">
        <v>0</v>
      </c>
      <c r="E3221">
        <v>0</v>
      </c>
      <c r="F3221" s="2">
        <v>0</v>
      </c>
      <c r="H3221">
        <v>0</v>
      </c>
      <c r="I3221">
        <v>0.1741125760648204</v>
      </c>
      <c r="J3221">
        <v>0</v>
      </c>
      <c r="K3221">
        <v>0</v>
      </c>
      <c r="L3221" s="2">
        <v>0</v>
      </c>
      <c r="M3221">
        <v>34.82</v>
      </c>
      <c r="N3221" t="s">
        <v>10236</v>
      </c>
    </row>
    <row r="3222" spans="1:14">
      <c r="A3222" t="s">
        <v>216</v>
      </c>
      <c r="B3222" t="s">
        <v>3371</v>
      </c>
      <c r="C3222">
        <f>"1569516649187"</f>
        <v>0</v>
      </c>
      <c r="D3222">
        <v>0</v>
      </c>
      <c r="E3222">
        <v>0</v>
      </c>
      <c r="F3222" s="2">
        <v>0</v>
      </c>
      <c r="H3222">
        <v>0</v>
      </c>
      <c r="I3222">
        <v>0.1741125760648204</v>
      </c>
      <c r="J3222">
        <v>0</v>
      </c>
      <c r="K3222">
        <v>0</v>
      </c>
      <c r="L3222" s="2">
        <v>0</v>
      </c>
      <c r="M3222">
        <v>34.83</v>
      </c>
      <c r="N3222" t="s">
        <v>10236</v>
      </c>
    </row>
    <row r="3223" spans="1:14">
      <c r="A3223" t="s">
        <v>216</v>
      </c>
      <c r="B3223" t="s">
        <v>3372</v>
      </c>
      <c r="C3223">
        <f>"6003232"</f>
        <v>0</v>
      </c>
      <c r="D3223">
        <v>0</v>
      </c>
      <c r="E3223">
        <v>0</v>
      </c>
      <c r="F3223" s="2">
        <v>0</v>
      </c>
      <c r="H3223">
        <v>0</v>
      </c>
      <c r="I3223">
        <v>0.1741125760648204</v>
      </c>
      <c r="J3223">
        <v>0</v>
      </c>
      <c r="K3223">
        <v>0</v>
      </c>
      <c r="L3223" s="2">
        <v>0</v>
      </c>
      <c r="M3223">
        <v>34.84</v>
      </c>
      <c r="N3223" t="s">
        <v>10236</v>
      </c>
    </row>
    <row r="3224" spans="1:14">
      <c r="A3224" t="s">
        <v>216</v>
      </c>
      <c r="B3224" t="s">
        <v>3373</v>
      </c>
      <c r="C3224">
        <f>"ESPSAN"</f>
        <v>0</v>
      </c>
      <c r="D3224">
        <v>0</v>
      </c>
      <c r="E3224">
        <v>0</v>
      </c>
      <c r="F3224" s="2">
        <v>0</v>
      </c>
      <c r="H3224">
        <v>0</v>
      </c>
      <c r="I3224">
        <v>0.1741125760648204</v>
      </c>
      <c r="J3224">
        <v>0</v>
      </c>
      <c r="K3224">
        <v>0</v>
      </c>
      <c r="L3224" s="2">
        <v>0</v>
      </c>
      <c r="M3224">
        <v>34.85</v>
      </c>
      <c r="N3224" t="s">
        <v>10236</v>
      </c>
    </row>
    <row r="3225" spans="1:14">
      <c r="A3225" t="s">
        <v>216</v>
      </c>
      <c r="B3225" t="s">
        <v>3374</v>
      </c>
      <c r="C3225">
        <f>"ESPADARL1"</f>
        <v>0</v>
      </c>
      <c r="D3225">
        <v>0</v>
      </c>
      <c r="E3225">
        <v>0</v>
      </c>
      <c r="F3225" s="2">
        <v>0</v>
      </c>
      <c r="H3225">
        <v>0</v>
      </c>
      <c r="I3225">
        <v>0.1741125760648204</v>
      </c>
      <c r="J3225">
        <v>0</v>
      </c>
      <c r="K3225">
        <v>0</v>
      </c>
      <c r="L3225" s="2">
        <v>0</v>
      </c>
      <c r="M3225">
        <v>34.86</v>
      </c>
      <c r="N3225" t="s">
        <v>10236</v>
      </c>
    </row>
    <row r="3226" spans="1:14">
      <c r="A3226" t="s">
        <v>216</v>
      </c>
      <c r="B3226" t="s">
        <v>3375</v>
      </c>
      <c r="C3226">
        <f>"1576888844948"</f>
        <v>0</v>
      </c>
      <c r="D3226">
        <v>0</v>
      </c>
      <c r="E3226">
        <v>0</v>
      </c>
      <c r="F3226" s="2">
        <v>0</v>
      </c>
      <c r="H3226">
        <v>0</v>
      </c>
      <c r="I3226">
        <v>0.1741125760648204</v>
      </c>
      <c r="J3226">
        <v>0</v>
      </c>
      <c r="K3226">
        <v>0</v>
      </c>
      <c r="L3226" s="2">
        <v>0</v>
      </c>
      <c r="M3226">
        <v>34.87</v>
      </c>
      <c r="N3226" t="s">
        <v>10236</v>
      </c>
    </row>
    <row r="3227" spans="1:14">
      <c r="A3227" t="s">
        <v>216</v>
      </c>
      <c r="B3227" t="s">
        <v>3376</v>
      </c>
      <c r="C3227">
        <f>"1576892131015"</f>
        <v>0</v>
      </c>
      <c r="D3227">
        <v>0</v>
      </c>
      <c r="E3227">
        <v>0</v>
      </c>
      <c r="F3227" s="2">
        <v>0</v>
      </c>
      <c r="H3227">
        <v>0</v>
      </c>
      <c r="I3227">
        <v>0.1741125760648204</v>
      </c>
      <c r="J3227">
        <v>0</v>
      </c>
      <c r="K3227">
        <v>0</v>
      </c>
      <c r="L3227" s="2">
        <v>0</v>
      </c>
      <c r="M3227">
        <v>34.88</v>
      </c>
      <c r="N3227" t="s">
        <v>10236</v>
      </c>
    </row>
    <row r="3228" spans="1:14">
      <c r="A3228" t="s">
        <v>216</v>
      </c>
      <c r="B3228" t="s">
        <v>3377</v>
      </c>
      <c r="C3228">
        <f>"ESPKOI"</f>
        <v>0</v>
      </c>
      <c r="D3228">
        <v>0</v>
      </c>
      <c r="E3228">
        <v>0</v>
      </c>
      <c r="F3228" s="2">
        <v>0</v>
      </c>
      <c r="H3228">
        <v>0</v>
      </c>
      <c r="I3228">
        <v>0.1741125760648204</v>
      </c>
      <c r="J3228">
        <v>0</v>
      </c>
      <c r="K3228">
        <v>0</v>
      </c>
      <c r="L3228" s="2">
        <v>0</v>
      </c>
      <c r="M3228">
        <v>34.88</v>
      </c>
      <c r="N3228" t="s">
        <v>10236</v>
      </c>
    </row>
    <row r="3229" spans="1:14">
      <c r="A3229" t="s">
        <v>216</v>
      </c>
      <c r="B3229" t="s">
        <v>3378</v>
      </c>
      <c r="C3229">
        <f>"1547894"</f>
        <v>0</v>
      </c>
      <c r="D3229">
        <v>0</v>
      </c>
      <c r="E3229">
        <v>0</v>
      </c>
      <c r="F3229" s="2">
        <v>0</v>
      </c>
      <c r="H3229">
        <v>0</v>
      </c>
      <c r="I3229">
        <v>0.1741125760648204</v>
      </c>
      <c r="J3229">
        <v>0</v>
      </c>
      <c r="K3229">
        <v>0</v>
      </c>
      <c r="L3229" s="2">
        <v>0</v>
      </c>
      <c r="M3229">
        <v>34.89</v>
      </c>
      <c r="N3229" t="s">
        <v>10236</v>
      </c>
    </row>
    <row r="3230" spans="1:14">
      <c r="A3230" t="s">
        <v>216</v>
      </c>
      <c r="B3230" t="s">
        <v>3379</v>
      </c>
      <c r="C3230">
        <f>"ESPB"</f>
        <v>0</v>
      </c>
      <c r="D3230">
        <v>0</v>
      </c>
      <c r="E3230">
        <v>0</v>
      </c>
      <c r="F3230" s="2">
        <v>0</v>
      </c>
      <c r="H3230">
        <v>0</v>
      </c>
      <c r="I3230">
        <v>0.1741125760648204</v>
      </c>
      <c r="J3230">
        <v>0</v>
      </c>
      <c r="K3230">
        <v>0</v>
      </c>
      <c r="L3230" s="2">
        <v>0</v>
      </c>
      <c r="M3230">
        <v>34.9</v>
      </c>
      <c r="N3230" t="s">
        <v>10236</v>
      </c>
    </row>
    <row r="3231" spans="1:14">
      <c r="A3231" t="s">
        <v>216</v>
      </c>
      <c r="B3231" t="s">
        <v>3380</v>
      </c>
      <c r="C3231">
        <f>"1659556878134"</f>
        <v>0</v>
      </c>
      <c r="D3231">
        <v>0</v>
      </c>
      <c r="E3231">
        <v>0</v>
      </c>
      <c r="F3231" s="2">
        <v>0</v>
      </c>
      <c r="H3231">
        <v>0</v>
      </c>
      <c r="I3231">
        <v>0.1741125760648204</v>
      </c>
      <c r="J3231">
        <v>0</v>
      </c>
      <c r="K3231">
        <v>0</v>
      </c>
      <c r="L3231" s="2">
        <v>0</v>
      </c>
      <c r="M3231">
        <v>34.91</v>
      </c>
      <c r="N3231" t="s">
        <v>10236</v>
      </c>
    </row>
    <row r="3232" spans="1:14">
      <c r="A3232" t="s">
        <v>216</v>
      </c>
      <c r="B3232" t="s">
        <v>3381</v>
      </c>
      <c r="C3232">
        <f>"ESCS"</f>
        <v>0</v>
      </c>
      <c r="D3232">
        <v>0</v>
      </c>
      <c r="E3232">
        <v>0</v>
      </c>
      <c r="F3232" s="2">
        <v>0</v>
      </c>
      <c r="H3232">
        <v>0</v>
      </c>
      <c r="I3232">
        <v>0.1741125760648204</v>
      </c>
      <c r="J3232">
        <v>0</v>
      </c>
      <c r="K3232">
        <v>0</v>
      </c>
      <c r="L3232" s="2">
        <v>0</v>
      </c>
      <c r="M3232">
        <v>34.92</v>
      </c>
      <c r="N3232" t="s">
        <v>10236</v>
      </c>
    </row>
    <row r="3233" spans="1:14">
      <c r="A3233" t="s">
        <v>216</v>
      </c>
      <c r="B3233" t="s">
        <v>3382</v>
      </c>
      <c r="C3233">
        <f>"895623"</f>
        <v>0</v>
      </c>
      <c r="D3233">
        <v>0</v>
      </c>
      <c r="E3233">
        <v>0</v>
      </c>
      <c r="F3233" s="2">
        <v>0</v>
      </c>
      <c r="H3233">
        <v>0</v>
      </c>
      <c r="I3233">
        <v>0.1741125760648204</v>
      </c>
      <c r="J3233">
        <v>0</v>
      </c>
      <c r="K3233">
        <v>0</v>
      </c>
      <c r="L3233" s="2">
        <v>0</v>
      </c>
      <c r="M3233">
        <v>34.93</v>
      </c>
      <c r="N3233" t="s">
        <v>10236</v>
      </c>
    </row>
    <row r="3234" spans="1:14">
      <c r="A3234" t="s">
        <v>35</v>
      </c>
      <c r="B3234" t="s">
        <v>3383</v>
      </c>
      <c r="C3234">
        <f>"KL05"</f>
        <v>0</v>
      </c>
      <c r="D3234">
        <v>0</v>
      </c>
      <c r="E3234">
        <v>0</v>
      </c>
      <c r="F3234" s="2">
        <v>0</v>
      </c>
      <c r="H3234">
        <v>0</v>
      </c>
      <c r="I3234">
        <v>0.1741125760648204</v>
      </c>
      <c r="J3234">
        <v>0</v>
      </c>
      <c r="K3234">
        <v>0</v>
      </c>
      <c r="L3234" s="2">
        <v>0</v>
      </c>
      <c r="M3234">
        <v>34.94</v>
      </c>
      <c r="N3234" t="s">
        <v>10236</v>
      </c>
    </row>
    <row r="3235" spans="1:14">
      <c r="A3235" t="s">
        <v>216</v>
      </c>
      <c r="B3235" t="s">
        <v>3384</v>
      </c>
      <c r="C3235">
        <f>"1583594244939"</f>
        <v>0</v>
      </c>
      <c r="D3235">
        <v>0</v>
      </c>
      <c r="E3235">
        <v>0</v>
      </c>
      <c r="F3235" s="2">
        <v>0</v>
      </c>
      <c r="H3235">
        <v>0</v>
      </c>
      <c r="I3235">
        <v>0.1741125760648204</v>
      </c>
      <c r="J3235">
        <v>0</v>
      </c>
      <c r="K3235">
        <v>0</v>
      </c>
      <c r="L3235" s="2">
        <v>0</v>
      </c>
      <c r="M3235">
        <v>34.95</v>
      </c>
      <c r="N3235" t="s">
        <v>10236</v>
      </c>
    </row>
    <row r="3236" spans="1:14">
      <c r="A3236" t="s">
        <v>216</v>
      </c>
      <c r="B3236" t="s">
        <v>3385</v>
      </c>
      <c r="C3236">
        <f>"600500602"</f>
        <v>0</v>
      </c>
      <c r="D3236">
        <v>0</v>
      </c>
      <c r="E3236">
        <v>0</v>
      </c>
      <c r="F3236" s="2">
        <v>0</v>
      </c>
      <c r="H3236">
        <v>0</v>
      </c>
      <c r="I3236">
        <v>0.1741125760648204</v>
      </c>
      <c r="J3236">
        <v>0</v>
      </c>
      <c r="K3236">
        <v>0</v>
      </c>
      <c r="L3236" s="2">
        <v>0</v>
      </c>
      <c r="M3236">
        <v>34.96</v>
      </c>
      <c r="N3236" t="s">
        <v>10236</v>
      </c>
    </row>
    <row r="3237" spans="1:14">
      <c r="A3237" t="s">
        <v>216</v>
      </c>
      <c r="B3237" t="s">
        <v>3386</v>
      </c>
      <c r="C3237">
        <f>"CTELN"</f>
        <v>0</v>
      </c>
      <c r="D3237">
        <v>0</v>
      </c>
      <c r="E3237">
        <v>0</v>
      </c>
      <c r="F3237" s="2">
        <v>0</v>
      </c>
      <c r="H3237">
        <v>0</v>
      </c>
      <c r="I3237">
        <v>0.1741125760648204</v>
      </c>
      <c r="J3237">
        <v>0</v>
      </c>
      <c r="K3237">
        <v>0</v>
      </c>
      <c r="L3237" s="2">
        <v>0</v>
      </c>
      <c r="M3237">
        <v>34.97</v>
      </c>
      <c r="N3237" t="s">
        <v>10236</v>
      </c>
    </row>
    <row r="3238" spans="1:14">
      <c r="A3238" t="s">
        <v>216</v>
      </c>
      <c r="B3238" t="s">
        <v>3387</v>
      </c>
      <c r="C3238">
        <f>"600600700"</f>
        <v>0</v>
      </c>
      <c r="D3238">
        <v>0</v>
      </c>
      <c r="E3238">
        <v>0</v>
      </c>
      <c r="F3238" s="2">
        <v>0</v>
      </c>
      <c r="H3238">
        <v>0</v>
      </c>
      <c r="I3238">
        <v>0.1741125760648204</v>
      </c>
      <c r="J3238">
        <v>0</v>
      </c>
      <c r="K3238">
        <v>0</v>
      </c>
      <c r="L3238" s="2">
        <v>0</v>
      </c>
      <c r="M3238">
        <v>34.98</v>
      </c>
      <c r="N3238" t="s">
        <v>10236</v>
      </c>
    </row>
    <row r="3239" spans="1:14">
      <c r="A3239" t="s">
        <v>216</v>
      </c>
      <c r="B3239" t="s">
        <v>3388</v>
      </c>
      <c r="C3239">
        <f>"600600701"</f>
        <v>0</v>
      </c>
      <c r="D3239">
        <v>0</v>
      </c>
      <c r="E3239">
        <v>0</v>
      </c>
      <c r="F3239" s="2">
        <v>0</v>
      </c>
      <c r="H3239">
        <v>0</v>
      </c>
      <c r="I3239">
        <v>0.1741125760648204</v>
      </c>
      <c r="J3239">
        <v>0</v>
      </c>
      <c r="K3239">
        <v>0</v>
      </c>
      <c r="L3239" s="2">
        <v>0</v>
      </c>
      <c r="M3239">
        <v>34.99</v>
      </c>
      <c r="N3239" t="s">
        <v>10236</v>
      </c>
    </row>
    <row r="3240" spans="1:14">
      <c r="A3240" t="s">
        <v>216</v>
      </c>
      <c r="B3240" t="s">
        <v>3389</v>
      </c>
      <c r="C3240">
        <f>"600600702"</f>
        <v>0</v>
      </c>
      <c r="D3240">
        <v>0</v>
      </c>
      <c r="E3240">
        <v>0</v>
      </c>
      <c r="F3240" s="2">
        <v>0</v>
      </c>
      <c r="H3240">
        <v>0</v>
      </c>
      <c r="I3240">
        <v>0.1741125760648204</v>
      </c>
      <c r="J3240">
        <v>0</v>
      </c>
      <c r="K3240">
        <v>0</v>
      </c>
      <c r="L3240" s="2">
        <v>0</v>
      </c>
      <c r="M3240">
        <v>35</v>
      </c>
      <c r="N3240" t="s">
        <v>10236</v>
      </c>
    </row>
    <row r="3241" spans="1:14">
      <c r="A3241" t="s">
        <v>216</v>
      </c>
      <c r="B3241" t="s">
        <v>3390</v>
      </c>
      <c r="C3241">
        <f>"PCP"</f>
        <v>0</v>
      </c>
      <c r="D3241">
        <v>0</v>
      </c>
      <c r="E3241">
        <v>0</v>
      </c>
      <c r="F3241" s="2">
        <v>0</v>
      </c>
      <c r="H3241">
        <v>0</v>
      </c>
      <c r="I3241">
        <v>0.1741125760648204</v>
      </c>
      <c r="J3241">
        <v>0</v>
      </c>
      <c r="K3241">
        <v>0</v>
      </c>
      <c r="L3241" s="2">
        <v>0</v>
      </c>
      <c r="M3241">
        <v>35</v>
      </c>
      <c r="N3241" t="s">
        <v>10236</v>
      </c>
    </row>
    <row r="3242" spans="1:14">
      <c r="A3242" t="s">
        <v>216</v>
      </c>
      <c r="B3242" t="s">
        <v>3391</v>
      </c>
      <c r="C3242">
        <f>"CORIP"</f>
        <v>0</v>
      </c>
      <c r="D3242">
        <v>0</v>
      </c>
      <c r="E3242">
        <v>0</v>
      </c>
      <c r="F3242" s="2">
        <v>0</v>
      </c>
      <c r="H3242">
        <v>0</v>
      </c>
      <c r="I3242">
        <v>0.1741125760648204</v>
      </c>
      <c r="J3242">
        <v>0</v>
      </c>
      <c r="K3242">
        <v>0</v>
      </c>
      <c r="L3242" s="2">
        <v>0</v>
      </c>
      <c r="M3242">
        <v>35.01</v>
      </c>
      <c r="N3242" t="s">
        <v>10236</v>
      </c>
    </row>
    <row r="3243" spans="1:14">
      <c r="A3243" t="s">
        <v>216</v>
      </c>
      <c r="B3243" t="s">
        <v>3392</v>
      </c>
      <c r="C3243">
        <f>"13201320"</f>
        <v>0</v>
      </c>
      <c r="D3243">
        <v>0</v>
      </c>
      <c r="E3243">
        <v>0</v>
      </c>
      <c r="F3243" s="2">
        <v>0</v>
      </c>
      <c r="H3243">
        <v>0</v>
      </c>
      <c r="I3243">
        <v>0.1741125760648204</v>
      </c>
      <c r="J3243">
        <v>0</v>
      </c>
      <c r="K3243">
        <v>0</v>
      </c>
      <c r="L3243" s="2">
        <v>0</v>
      </c>
      <c r="M3243">
        <v>35.02</v>
      </c>
      <c r="N3243" t="s">
        <v>10236</v>
      </c>
    </row>
    <row r="3244" spans="1:14">
      <c r="A3244" t="s">
        <v>216</v>
      </c>
      <c r="B3244" t="s">
        <v>3393</v>
      </c>
      <c r="C3244">
        <f>"ESPKO3"</f>
        <v>0</v>
      </c>
      <c r="D3244">
        <v>0</v>
      </c>
      <c r="E3244">
        <v>0</v>
      </c>
      <c r="F3244" s="2">
        <v>0</v>
      </c>
      <c r="H3244">
        <v>0</v>
      </c>
      <c r="I3244">
        <v>0.1741125760648204</v>
      </c>
      <c r="J3244">
        <v>0</v>
      </c>
      <c r="K3244">
        <v>0</v>
      </c>
      <c r="L3244" s="2">
        <v>0</v>
      </c>
      <c r="M3244">
        <v>35.03</v>
      </c>
      <c r="N3244" t="s">
        <v>10236</v>
      </c>
    </row>
    <row r="3245" spans="1:14">
      <c r="A3245" t="s">
        <v>25</v>
      </c>
      <c r="B3245" t="s">
        <v>3394</v>
      </c>
      <c r="C3245">
        <f>"UVB526"</f>
        <v>0</v>
      </c>
      <c r="D3245">
        <v>0</v>
      </c>
      <c r="E3245">
        <v>1</v>
      </c>
      <c r="F3245" s="2">
        <v>13</v>
      </c>
      <c r="H3245">
        <v>0</v>
      </c>
      <c r="I3245">
        <v>0.1741125760648204</v>
      </c>
      <c r="J3245">
        <v>0</v>
      </c>
      <c r="K3245">
        <v>0</v>
      </c>
      <c r="L3245" s="2">
        <v>0</v>
      </c>
      <c r="M3245">
        <v>35.04</v>
      </c>
      <c r="N3245" t="s">
        <v>10236</v>
      </c>
    </row>
    <row r="3246" spans="1:14">
      <c r="A3246" t="s">
        <v>25</v>
      </c>
      <c r="B3246" t="s">
        <v>3395</v>
      </c>
      <c r="C3246">
        <f>"ND20100"</f>
        <v>0</v>
      </c>
      <c r="D3246">
        <v>0</v>
      </c>
      <c r="E3246">
        <v>8</v>
      </c>
      <c r="F3246" s="2">
        <v>15</v>
      </c>
      <c r="H3246">
        <v>0</v>
      </c>
      <c r="I3246">
        <v>0.1741125760648204</v>
      </c>
      <c r="J3246">
        <v>0</v>
      </c>
      <c r="K3246">
        <v>0</v>
      </c>
      <c r="L3246" s="2">
        <v>0</v>
      </c>
      <c r="M3246">
        <v>35.05</v>
      </c>
      <c r="N3246" t="s">
        <v>10236</v>
      </c>
    </row>
    <row r="3247" spans="1:14">
      <c r="A3247" t="s">
        <v>25</v>
      </c>
      <c r="B3247" t="s">
        <v>3396</v>
      </c>
      <c r="C3247">
        <f>"UVB513"</f>
        <v>0</v>
      </c>
      <c r="D3247">
        <v>0</v>
      </c>
      <c r="E3247">
        <v>1</v>
      </c>
      <c r="F3247" s="2">
        <v>12</v>
      </c>
      <c r="H3247">
        <v>0</v>
      </c>
      <c r="I3247">
        <v>0.1741125760648204</v>
      </c>
      <c r="J3247">
        <v>0</v>
      </c>
      <c r="K3247">
        <v>0</v>
      </c>
      <c r="L3247" s="2">
        <v>0</v>
      </c>
      <c r="M3247">
        <v>35.06</v>
      </c>
      <c r="N3247" t="s">
        <v>10236</v>
      </c>
    </row>
    <row r="3248" spans="1:14">
      <c r="A3248" t="s">
        <v>25</v>
      </c>
      <c r="B3248" t="s">
        <v>3397</v>
      </c>
      <c r="C3248">
        <f>"ND05075"</f>
        <v>0</v>
      </c>
      <c r="D3248">
        <v>0</v>
      </c>
      <c r="E3248">
        <v>0</v>
      </c>
      <c r="F3248" s="2">
        <v>0</v>
      </c>
      <c r="H3248">
        <v>0</v>
      </c>
      <c r="I3248">
        <v>0.1741125760648204</v>
      </c>
      <c r="J3248">
        <v>0</v>
      </c>
      <c r="K3248">
        <v>0</v>
      </c>
      <c r="L3248" s="2">
        <v>0</v>
      </c>
      <c r="M3248">
        <v>35.07</v>
      </c>
      <c r="N3248" t="s">
        <v>10236</v>
      </c>
    </row>
    <row r="3249" spans="1:14">
      <c r="A3249" t="s">
        <v>25</v>
      </c>
      <c r="B3249" t="s">
        <v>3398</v>
      </c>
      <c r="C3249">
        <f>"ND05050"</f>
        <v>0</v>
      </c>
      <c r="D3249">
        <v>0</v>
      </c>
      <c r="E3249">
        <v>0</v>
      </c>
      <c r="F3249" s="2">
        <v>0</v>
      </c>
      <c r="H3249">
        <v>0</v>
      </c>
      <c r="I3249">
        <v>0.1741125760648204</v>
      </c>
      <c r="J3249">
        <v>0</v>
      </c>
      <c r="K3249">
        <v>0</v>
      </c>
      <c r="L3249" s="2">
        <v>0</v>
      </c>
      <c r="M3249">
        <v>35.08</v>
      </c>
      <c r="N3249" t="s">
        <v>10236</v>
      </c>
    </row>
    <row r="3250" spans="1:14">
      <c r="A3250" t="s">
        <v>25</v>
      </c>
      <c r="B3250" t="s">
        <v>3399</v>
      </c>
      <c r="C3250">
        <f>"ND05100"</f>
        <v>0</v>
      </c>
      <c r="D3250">
        <v>0</v>
      </c>
      <c r="E3250">
        <v>0</v>
      </c>
      <c r="F3250" s="2">
        <v>0</v>
      </c>
      <c r="H3250">
        <v>0</v>
      </c>
      <c r="I3250">
        <v>0.1741125760648204</v>
      </c>
      <c r="J3250">
        <v>0</v>
      </c>
      <c r="K3250">
        <v>0</v>
      </c>
      <c r="L3250" s="2">
        <v>0</v>
      </c>
      <c r="M3250">
        <v>35.09</v>
      </c>
      <c r="N3250" t="s">
        <v>10236</v>
      </c>
    </row>
    <row r="3251" spans="1:14">
      <c r="A3251" t="s">
        <v>25</v>
      </c>
      <c r="B3251" t="s">
        <v>3400</v>
      </c>
      <c r="C3251">
        <f>"UVB1026"</f>
        <v>0</v>
      </c>
      <c r="D3251">
        <v>0</v>
      </c>
      <c r="E3251">
        <v>1</v>
      </c>
      <c r="F3251" s="2">
        <v>13</v>
      </c>
      <c r="H3251">
        <v>0</v>
      </c>
      <c r="I3251">
        <v>0.1741125760648204</v>
      </c>
      <c r="J3251">
        <v>0</v>
      </c>
      <c r="K3251">
        <v>0</v>
      </c>
      <c r="L3251" s="2">
        <v>0</v>
      </c>
      <c r="M3251">
        <v>35.1</v>
      </c>
      <c r="N3251" t="s">
        <v>10236</v>
      </c>
    </row>
    <row r="3252" spans="1:14">
      <c r="A3252" t="s">
        <v>25</v>
      </c>
      <c r="B3252" t="s">
        <v>3401</v>
      </c>
      <c r="C3252">
        <f>"UVB1013"</f>
        <v>0</v>
      </c>
      <c r="D3252">
        <v>0</v>
      </c>
      <c r="E3252">
        <v>1</v>
      </c>
      <c r="F3252" s="2">
        <v>12</v>
      </c>
      <c r="H3252">
        <v>0</v>
      </c>
      <c r="I3252">
        <v>0.1741125760648204</v>
      </c>
      <c r="J3252">
        <v>0</v>
      </c>
      <c r="K3252">
        <v>0</v>
      </c>
      <c r="L3252" s="2">
        <v>0</v>
      </c>
      <c r="M3252">
        <v>35.11</v>
      </c>
      <c r="N3252" t="s">
        <v>10236</v>
      </c>
    </row>
    <row r="3253" spans="1:14">
      <c r="A3253" t="s">
        <v>25</v>
      </c>
      <c r="B3253" t="s">
        <v>3402</v>
      </c>
      <c r="C3253">
        <f>"ND07075"</f>
        <v>0</v>
      </c>
      <c r="D3253">
        <v>0</v>
      </c>
      <c r="E3253">
        <v>8</v>
      </c>
      <c r="F3253" s="2">
        <v>3</v>
      </c>
      <c r="H3253">
        <v>0</v>
      </c>
      <c r="I3253">
        <v>0.1741125760648204</v>
      </c>
      <c r="J3253">
        <v>0</v>
      </c>
      <c r="K3253">
        <v>0</v>
      </c>
      <c r="L3253" s="2">
        <v>0</v>
      </c>
      <c r="M3253">
        <v>35.12</v>
      </c>
      <c r="N3253" t="s">
        <v>10236</v>
      </c>
    </row>
    <row r="3254" spans="1:14">
      <c r="A3254" t="s">
        <v>25</v>
      </c>
      <c r="B3254" t="s">
        <v>3403</v>
      </c>
      <c r="C3254">
        <f>"ND07050"</f>
        <v>0</v>
      </c>
      <c r="D3254">
        <v>0</v>
      </c>
      <c r="E3254">
        <v>4</v>
      </c>
      <c r="F3254" s="2">
        <v>3</v>
      </c>
      <c r="H3254">
        <v>0</v>
      </c>
      <c r="I3254">
        <v>0.1741125760648204</v>
      </c>
      <c r="J3254">
        <v>0</v>
      </c>
      <c r="K3254">
        <v>0</v>
      </c>
      <c r="L3254" s="2">
        <v>0</v>
      </c>
      <c r="M3254">
        <v>35.12</v>
      </c>
      <c r="N3254" t="s">
        <v>10236</v>
      </c>
    </row>
    <row r="3255" spans="1:14">
      <c r="A3255" t="s">
        <v>29</v>
      </c>
      <c r="B3255" t="s">
        <v>3404</v>
      </c>
      <c r="C3255">
        <f>"LBL07"</f>
        <v>0</v>
      </c>
      <c r="D3255">
        <v>0</v>
      </c>
      <c r="E3255">
        <v>0</v>
      </c>
      <c r="F3255" s="2">
        <v>0</v>
      </c>
      <c r="H3255">
        <v>0</v>
      </c>
      <c r="I3255">
        <v>0.1741125760648204</v>
      </c>
      <c r="J3255">
        <v>0</v>
      </c>
      <c r="K3255">
        <v>0</v>
      </c>
      <c r="L3255" s="2">
        <v>0</v>
      </c>
      <c r="M3255">
        <v>35.13</v>
      </c>
      <c r="N3255" t="s">
        <v>10236</v>
      </c>
    </row>
    <row r="3256" spans="1:14">
      <c r="A3256" t="s">
        <v>29</v>
      </c>
      <c r="B3256" t="s">
        <v>3405</v>
      </c>
      <c r="C3256">
        <f>"YBSZ01"</f>
        <v>0</v>
      </c>
      <c r="D3256">
        <v>0</v>
      </c>
      <c r="E3256">
        <v>1</v>
      </c>
      <c r="F3256" s="2">
        <v>4</v>
      </c>
      <c r="H3256">
        <v>0</v>
      </c>
      <c r="I3256">
        <v>0.1741125760648204</v>
      </c>
      <c r="J3256">
        <v>0</v>
      </c>
      <c r="K3256">
        <v>0</v>
      </c>
      <c r="L3256" s="2">
        <v>0</v>
      </c>
      <c r="M3256">
        <v>35.14</v>
      </c>
      <c r="N3256" t="s">
        <v>10236</v>
      </c>
    </row>
    <row r="3257" spans="1:14">
      <c r="A3257" t="s">
        <v>35</v>
      </c>
      <c r="B3257" t="s">
        <v>3406</v>
      </c>
      <c r="C3257">
        <f>"X070"</f>
        <v>0</v>
      </c>
      <c r="D3257">
        <v>0</v>
      </c>
      <c r="E3257">
        <v>0</v>
      </c>
      <c r="F3257" s="2">
        <v>0</v>
      </c>
      <c r="H3257">
        <v>0</v>
      </c>
      <c r="I3257">
        <v>0.1741125760648204</v>
      </c>
      <c r="J3257">
        <v>0</v>
      </c>
      <c r="K3257">
        <v>0</v>
      </c>
      <c r="L3257" s="2">
        <v>0</v>
      </c>
      <c r="M3257">
        <v>35.15</v>
      </c>
      <c r="N3257" t="s">
        <v>10236</v>
      </c>
    </row>
    <row r="3258" spans="1:14">
      <c r="A3258" t="s">
        <v>25</v>
      </c>
      <c r="B3258" t="s">
        <v>3407</v>
      </c>
      <c r="C3258">
        <f>"TD02"</f>
        <v>0</v>
      </c>
      <c r="D3258">
        <v>0</v>
      </c>
      <c r="E3258">
        <v>0</v>
      </c>
      <c r="F3258" s="2">
        <v>0</v>
      </c>
      <c r="H3258">
        <v>0</v>
      </c>
      <c r="I3258">
        <v>0.1741125760648204</v>
      </c>
      <c r="J3258">
        <v>0</v>
      </c>
      <c r="K3258">
        <v>0</v>
      </c>
      <c r="L3258" s="2">
        <v>0</v>
      </c>
      <c r="M3258">
        <v>35.16</v>
      </c>
      <c r="N3258" t="s">
        <v>10236</v>
      </c>
    </row>
    <row r="3259" spans="1:14">
      <c r="A3259" t="s">
        <v>216</v>
      </c>
      <c r="B3259" t="s">
        <v>3408</v>
      </c>
      <c r="C3259">
        <f>"PTD"</f>
        <v>0</v>
      </c>
      <c r="D3259">
        <v>0</v>
      </c>
      <c r="E3259">
        <v>0</v>
      </c>
      <c r="F3259" s="2">
        <v>0</v>
      </c>
      <c r="H3259">
        <v>0</v>
      </c>
      <c r="I3259">
        <v>0.1741125760648204</v>
      </c>
      <c r="J3259">
        <v>0</v>
      </c>
      <c r="K3259">
        <v>0</v>
      </c>
      <c r="L3259" s="2">
        <v>0</v>
      </c>
      <c r="M3259">
        <v>35.17</v>
      </c>
      <c r="N3259" t="s">
        <v>10236</v>
      </c>
    </row>
    <row r="3260" spans="1:14">
      <c r="A3260" t="s">
        <v>25</v>
      </c>
      <c r="B3260" t="s">
        <v>3409</v>
      </c>
      <c r="C3260">
        <f>"NR01028"</f>
        <v>0</v>
      </c>
      <c r="D3260">
        <v>0</v>
      </c>
      <c r="E3260">
        <v>0</v>
      </c>
      <c r="F3260" s="2">
        <v>0</v>
      </c>
      <c r="H3260">
        <v>0</v>
      </c>
      <c r="I3260">
        <v>0.1741125760648204</v>
      </c>
      <c r="J3260">
        <v>0</v>
      </c>
      <c r="K3260">
        <v>0</v>
      </c>
      <c r="L3260" s="2">
        <v>0</v>
      </c>
      <c r="M3260">
        <v>35.18</v>
      </c>
      <c r="N3260" t="s">
        <v>10236</v>
      </c>
    </row>
    <row r="3261" spans="1:14">
      <c r="A3261" t="s">
        <v>218</v>
      </c>
      <c r="B3261" t="s">
        <v>3410</v>
      </c>
      <c r="C3261">
        <f>"inscls0029"</f>
        <v>0</v>
      </c>
      <c r="D3261">
        <v>0</v>
      </c>
      <c r="E3261">
        <v>0</v>
      </c>
      <c r="F3261" s="2">
        <v>0</v>
      </c>
      <c r="H3261">
        <v>0</v>
      </c>
      <c r="I3261">
        <v>0.1741125760648204</v>
      </c>
      <c r="J3261">
        <v>0</v>
      </c>
      <c r="K3261">
        <v>0</v>
      </c>
      <c r="L3261" s="2">
        <v>0</v>
      </c>
      <c r="M3261">
        <v>35.19</v>
      </c>
      <c r="N3261" t="s">
        <v>10236</v>
      </c>
    </row>
    <row r="3262" spans="1:14">
      <c r="A3262" t="s">
        <v>218</v>
      </c>
      <c r="B3262" t="s">
        <v>3411</v>
      </c>
      <c r="C3262">
        <f>"inscls0007"</f>
        <v>0</v>
      </c>
      <c r="D3262">
        <v>0</v>
      </c>
      <c r="E3262">
        <v>0</v>
      </c>
      <c r="F3262" s="2">
        <v>0</v>
      </c>
      <c r="H3262">
        <v>0</v>
      </c>
      <c r="I3262">
        <v>0.1741125760648204</v>
      </c>
      <c r="J3262">
        <v>0</v>
      </c>
      <c r="K3262">
        <v>0</v>
      </c>
      <c r="L3262" s="2">
        <v>0</v>
      </c>
      <c r="M3262">
        <v>35.2</v>
      </c>
      <c r="N3262" t="s">
        <v>10236</v>
      </c>
    </row>
    <row r="3263" spans="1:14">
      <c r="A3263" t="s">
        <v>218</v>
      </c>
      <c r="B3263" t="s">
        <v>3412</v>
      </c>
      <c r="C3263">
        <f>"inscls0008"</f>
        <v>0</v>
      </c>
      <c r="D3263">
        <v>0</v>
      </c>
      <c r="E3263">
        <v>0</v>
      </c>
      <c r="F3263" s="2">
        <v>0</v>
      </c>
      <c r="H3263">
        <v>0</v>
      </c>
      <c r="I3263">
        <v>0.1741125760648204</v>
      </c>
      <c r="J3263">
        <v>0</v>
      </c>
      <c r="K3263">
        <v>0</v>
      </c>
      <c r="L3263" s="2">
        <v>0</v>
      </c>
      <c r="M3263">
        <v>35.21</v>
      </c>
      <c r="N3263" t="s">
        <v>10236</v>
      </c>
    </row>
    <row r="3264" spans="1:14">
      <c r="A3264" t="s">
        <v>218</v>
      </c>
      <c r="B3264" t="s">
        <v>3413</v>
      </c>
      <c r="C3264">
        <f>"inscls0035"</f>
        <v>0</v>
      </c>
      <c r="D3264">
        <v>0</v>
      </c>
      <c r="E3264">
        <v>0</v>
      </c>
      <c r="F3264" s="2">
        <v>0</v>
      </c>
      <c r="H3264">
        <v>0</v>
      </c>
      <c r="I3264">
        <v>0.1741125760648204</v>
      </c>
      <c r="J3264">
        <v>0</v>
      </c>
      <c r="K3264">
        <v>0</v>
      </c>
      <c r="L3264" s="2">
        <v>0</v>
      </c>
      <c r="M3264">
        <v>35.22</v>
      </c>
      <c r="N3264" t="s">
        <v>10236</v>
      </c>
    </row>
    <row r="3265" spans="1:14">
      <c r="A3265" t="s">
        <v>25</v>
      </c>
      <c r="B3265" t="s">
        <v>3414</v>
      </c>
      <c r="C3265">
        <f>"TR064"</f>
        <v>0</v>
      </c>
      <c r="D3265">
        <v>0</v>
      </c>
      <c r="E3265">
        <v>1</v>
      </c>
      <c r="F3265" s="2">
        <v>2</v>
      </c>
      <c r="H3265">
        <v>0</v>
      </c>
      <c r="I3265">
        <v>0.1741125760648204</v>
      </c>
      <c r="J3265">
        <v>0</v>
      </c>
      <c r="K3265">
        <v>0</v>
      </c>
      <c r="L3265" s="2">
        <v>0</v>
      </c>
      <c r="M3265">
        <v>35.23</v>
      </c>
      <c r="N3265" t="s">
        <v>10236</v>
      </c>
    </row>
    <row r="3266" spans="1:14">
      <c r="A3266" t="s">
        <v>25</v>
      </c>
      <c r="B3266" t="s">
        <v>3415</v>
      </c>
      <c r="C3266">
        <f>"PTBOLA"</f>
        <v>0</v>
      </c>
      <c r="D3266">
        <v>0</v>
      </c>
      <c r="E3266">
        <v>0</v>
      </c>
      <c r="F3266" s="2">
        <v>0</v>
      </c>
      <c r="H3266">
        <v>0</v>
      </c>
      <c r="I3266">
        <v>0.1741125760648204</v>
      </c>
      <c r="J3266">
        <v>0</v>
      </c>
      <c r="K3266">
        <v>0</v>
      </c>
      <c r="L3266" s="2">
        <v>0</v>
      </c>
      <c r="M3266">
        <v>35.23</v>
      </c>
      <c r="N3266" t="s">
        <v>10236</v>
      </c>
    </row>
    <row r="3267" spans="1:14">
      <c r="A3267" t="s">
        <v>35</v>
      </c>
      <c r="B3267" t="s">
        <v>3416</v>
      </c>
      <c r="C3267">
        <f>"PCM8030R"</f>
        <v>0</v>
      </c>
      <c r="D3267">
        <v>0</v>
      </c>
      <c r="E3267">
        <v>4</v>
      </c>
      <c r="F3267" s="2">
        <v>9</v>
      </c>
      <c r="H3267">
        <v>0</v>
      </c>
      <c r="I3267">
        <v>0.1741125760648204</v>
      </c>
      <c r="J3267">
        <v>0</v>
      </c>
      <c r="K3267">
        <v>0</v>
      </c>
      <c r="L3267" s="2">
        <v>0</v>
      </c>
      <c r="M3267">
        <v>35.24</v>
      </c>
      <c r="N3267" t="s">
        <v>10236</v>
      </c>
    </row>
    <row r="3268" spans="1:14">
      <c r="A3268" t="s">
        <v>35</v>
      </c>
      <c r="B3268" t="s">
        <v>3417</v>
      </c>
      <c r="C3268">
        <f>"PCM8030A"</f>
        <v>0</v>
      </c>
      <c r="D3268">
        <v>0</v>
      </c>
      <c r="E3268">
        <v>4</v>
      </c>
      <c r="F3268" s="2">
        <v>9</v>
      </c>
      <c r="H3268">
        <v>0</v>
      </c>
      <c r="I3268">
        <v>0.1741125760648204</v>
      </c>
      <c r="J3268">
        <v>0</v>
      </c>
      <c r="K3268">
        <v>0</v>
      </c>
      <c r="L3268" s="2">
        <v>0</v>
      </c>
      <c r="M3268">
        <v>35.25</v>
      </c>
      <c r="N3268" t="s">
        <v>10236</v>
      </c>
    </row>
    <row r="3269" spans="1:14">
      <c r="A3269" t="s">
        <v>35</v>
      </c>
      <c r="B3269" t="s">
        <v>3418</v>
      </c>
      <c r="C3269">
        <f>"PCM16030R"</f>
        <v>0</v>
      </c>
      <c r="D3269">
        <v>0</v>
      </c>
      <c r="E3269">
        <v>5</v>
      </c>
      <c r="F3269" s="2">
        <v>27</v>
      </c>
      <c r="H3269">
        <v>0</v>
      </c>
      <c r="I3269">
        <v>0.1741125760648204</v>
      </c>
      <c r="J3269">
        <v>0</v>
      </c>
      <c r="K3269">
        <v>0</v>
      </c>
      <c r="L3269" s="2">
        <v>0</v>
      </c>
      <c r="M3269">
        <v>35.26</v>
      </c>
      <c r="N3269" t="s">
        <v>10236</v>
      </c>
    </row>
    <row r="3270" spans="1:14">
      <c r="A3270" t="s">
        <v>35</v>
      </c>
      <c r="B3270" t="s">
        <v>3419</v>
      </c>
      <c r="C3270">
        <f>"PCM16030A"</f>
        <v>0</v>
      </c>
      <c r="D3270">
        <v>0</v>
      </c>
      <c r="E3270">
        <v>6</v>
      </c>
      <c r="F3270" s="2">
        <v>12</v>
      </c>
      <c r="H3270">
        <v>0</v>
      </c>
      <c r="I3270">
        <v>0.1741125760648204</v>
      </c>
      <c r="J3270">
        <v>0</v>
      </c>
      <c r="K3270">
        <v>0</v>
      </c>
      <c r="L3270" s="2">
        <v>0</v>
      </c>
      <c r="M3270">
        <v>35.27</v>
      </c>
      <c r="N3270" t="s">
        <v>10236</v>
      </c>
    </row>
    <row r="3271" spans="1:14">
      <c r="A3271" t="s">
        <v>203</v>
      </c>
      <c r="B3271" t="s">
        <v>3420</v>
      </c>
      <c r="C3271">
        <f>"PIPILAV"</f>
        <v>0</v>
      </c>
      <c r="D3271">
        <v>0</v>
      </c>
      <c r="E3271">
        <v>1</v>
      </c>
      <c r="F3271" s="2">
        <v>0</v>
      </c>
      <c r="H3271">
        <v>0</v>
      </c>
      <c r="I3271">
        <v>0.1741125760648204</v>
      </c>
      <c r="J3271">
        <v>0</v>
      </c>
      <c r="K3271">
        <v>0</v>
      </c>
      <c r="L3271" s="2">
        <v>0</v>
      </c>
      <c r="M3271">
        <v>35.28</v>
      </c>
      <c r="N3271" t="s">
        <v>10236</v>
      </c>
    </row>
    <row r="3272" spans="1:14">
      <c r="A3272" t="s">
        <v>195</v>
      </c>
      <c r="B3272" t="s">
        <v>3421</v>
      </c>
      <c r="C3272">
        <f>"25395998"</f>
        <v>0</v>
      </c>
      <c r="D3272">
        <v>0</v>
      </c>
      <c r="E3272">
        <v>0</v>
      </c>
      <c r="F3272" s="2">
        <v>0</v>
      </c>
      <c r="H3272">
        <v>0</v>
      </c>
      <c r="I3272">
        <v>0.1741125760648204</v>
      </c>
      <c r="J3272">
        <v>0</v>
      </c>
      <c r="K3272">
        <v>0</v>
      </c>
      <c r="L3272" s="2">
        <v>0</v>
      </c>
      <c r="M3272">
        <v>35.29</v>
      </c>
      <c r="N3272" t="s">
        <v>10236</v>
      </c>
    </row>
    <row r="3273" spans="1:14">
      <c r="A3273" t="s">
        <v>195</v>
      </c>
      <c r="B3273" t="s">
        <v>3422</v>
      </c>
      <c r="C3273">
        <f>"25395999"</f>
        <v>0</v>
      </c>
      <c r="D3273">
        <v>0</v>
      </c>
      <c r="E3273">
        <v>0</v>
      </c>
      <c r="F3273" s="2">
        <v>0</v>
      </c>
      <c r="H3273">
        <v>0</v>
      </c>
      <c r="I3273">
        <v>0.1741125760648204</v>
      </c>
      <c r="J3273">
        <v>0</v>
      </c>
      <c r="K3273">
        <v>0</v>
      </c>
      <c r="L3273" s="2">
        <v>0</v>
      </c>
      <c r="M3273">
        <v>35.3</v>
      </c>
      <c r="N3273" t="s">
        <v>10236</v>
      </c>
    </row>
    <row r="3274" spans="1:14">
      <c r="A3274" t="s">
        <v>25</v>
      </c>
      <c r="B3274" t="s">
        <v>3423</v>
      </c>
      <c r="C3274">
        <f>"TD07"</f>
        <v>0</v>
      </c>
      <c r="D3274">
        <v>0</v>
      </c>
      <c r="E3274">
        <v>1</v>
      </c>
      <c r="F3274" s="2">
        <v>6</v>
      </c>
      <c r="H3274">
        <v>0</v>
      </c>
      <c r="I3274">
        <v>0.1741125760648204</v>
      </c>
      <c r="J3274">
        <v>0</v>
      </c>
      <c r="K3274">
        <v>0</v>
      </c>
      <c r="L3274" s="2">
        <v>0</v>
      </c>
      <c r="M3274">
        <v>35.31</v>
      </c>
      <c r="N3274" t="s">
        <v>10236</v>
      </c>
    </row>
    <row r="3275" spans="1:14">
      <c r="A3275" t="s">
        <v>35</v>
      </c>
      <c r="B3275" t="s">
        <v>3424</v>
      </c>
      <c r="C3275">
        <f>"MSIDNAR"</f>
        <v>0</v>
      </c>
      <c r="D3275">
        <v>0</v>
      </c>
      <c r="E3275">
        <v>0</v>
      </c>
      <c r="F3275" s="2">
        <v>0</v>
      </c>
      <c r="H3275">
        <v>0</v>
      </c>
      <c r="I3275">
        <v>0.1741125760648204</v>
      </c>
      <c r="J3275">
        <v>0</v>
      </c>
      <c r="K3275">
        <v>0</v>
      </c>
      <c r="L3275" s="2">
        <v>0</v>
      </c>
      <c r="M3275">
        <v>35.32</v>
      </c>
      <c r="N3275" t="s">
        <v>10236</v>
      </c>
    </row>
    <row r="3276" spans="1:14">
      <c r="A3276" t="s">
        <v>41</v>
      </c>
      <c r="B3276" t="s">
        <v>3425</v>
      </c>
      <c r="C3276">
        <f>"PAPMDP0"</f>
        <v>0</v>
      </c>
      <c r="D3276">
        <v>0</v>
      </c>
      <c r="E3276">
        <v>0</v>
      </c>
      <c r="F3276" s="2">
        <v>0</v>
      </c>
      <c r="H3276">
        <v>0</v>
      </c>
      <c r="I3276">
        <v>0.1741125760648204</v>
      </c>
      <c r="J3276">
        <v>0</v>
      </c>
      <c r="K3276">
        <v>0</v>
      </c>
      <c r="L3276" s="2">
        <v>0</v>
      </c>
      <c r="M3276">
        <v>35.33</v>
      </c>
      <c r="N3276" t="s">
        <v>10236</v>
      </c>
    </row>
    <row r="3277" spans="1:14">
      <c r="A3277" t="s">
        <v>41</v>
      </c>
      <c r="B3277" t="s">
        <v>3426</v>
      </c>
      <c r="C3277">
        <f>"PAPMDG0"</f>
        <v>0</v>
      </c>
      <c r="D3277">
        <v>0</v>
      </c>
      <c r="E3277">
        <v>1</v>
      </c>
      <c r="F3277" s="2">
        <v>21</v>
      </c>
      <c r="H3277">
        <v>0</v>
      </c>
      <c r="I3277">
        <v>0.1741125760648204</v>
      </c>
      <c r="J3277">
        <v>0</v>
      </c>
      <c r="K3277">
        <v>0</v>
      </c>
      <c r="L3277" s="2">
        <v>0</v>
      </c>
      <c r="M3277">
        <v>35.34</v>
      </c>
      <c r="N3277" t="s">
        <v>10236</v>
      </c>
    </row>
    <row r="3278" spans="1:14">
      <c r="A3278" t="s">
        <v>216</v>
      </c>
      <c r="B3278" t="s">
        <v>3427</v>
      </c>
      <c r="C3278">
        <f>"PLVG"</f>
        <v>0</v>
      </c>
      <c r="D3278">
        <v>0</v>
      </c>
      <c r="E3278">
        <v>0</v>
      </c>
      <c r="F3278" s="2">
        <v>0</v>
      </c>
      <c r="H3278">
        <v>0</v>
      </c>
      <c r="I3278">
        <v>0.1741125760648204</v>
      </c>
      <c r="J3278">
        <v>0</v>
      </c>
      <c r="K3278">
        <v>0</v>
      </c>
      <c r="L3278" s="2">
        <v>0</v>
      </c>
      <c r="M3278">
        <v>35.35</v>
      </c>
      <c r="N3278" t="s">
        <v>10236</v>
      </c>
    </row>
    <row r="3279" spans="1:14">
      <c r="A3279" t="s">
        <v>216</v>
      </c>
      <c r="B3279" t="s">
        <v>3428</v>
      </c>
      <c r="C3279">
        <f>"PLVE"</f>
        <v>0</v>
      </c>
      <c r="D3279">
        <v>0</v>
      </c>
      <c r="E3279">
        <v>0</v>
      </c>
      <c r="F3279" s="2">
        <v>0</v>
      </c>
      <c r="H3279">
        <v>0</v>
      </c>
      <c r="I3279">
        <v>0.1741125760648204</v>
      </c>
      <c r="J3279">
        <v>0</v>
      </c>
      <c r="K3279">
        <v>0</v>
      </c>
      <c r="L3279" s="2">
        <v>0</v>
      </c>
      <c r="M3279">
        <v>35.35</v>
      </c>
      <c r="N3279" t="s">
        <v>10236</v>
      </c>
    </row>
    <row r="3280" spans="1:14">
      <c r="A3280" t="s">
        <v>29</v>
      </c>
      <c r="B3280" t="s">
        <v>3429</v>
      </c>
      <c r="C3280">
        <f>"MMIX2"</f>
        <v>0</v>
      </c>
      <c r="D3280">
        <v>0</v>
      </c>
      <c r="E3280">
        <v>0</v>
      </c>
      <c r="F3280" s="2">
        <v>0</v>
      </c>
      <c r="H3280">
        <v>0</v>
      </c>
      <c r="I3280">
        <v>0.1741125760648204</v>
      </c>
      <c r="J3280">
        <v>0</v>
      </c>
      <c r="K3280">
        <v>0</v>
      </c>
      <c r="L3280" s="2">
        <v>0</v>
      </c>
      <c r="M3280">
        <v>35.36</v>
      </c>
      <c r="N3280" t="s">
        <v>10236</v>
      </c>
    </row>
    <row r="3281" spans="1:14">
      <c r="A3281" t="s">
        <v>29</v>
      </c>
      <c r="B3281" t="s">
        <v>3430</v>
      </c>
      <c r="C3281">
        <f>"MMIX3"</f>
        <v>0</v>
      </c>
      <c r="D3281">
        <v>0</v>
      </c>
      <c r="E3281">
        <v>0</v>
      </c>
      <c r="F3281" s="2">
        <v>0</v>
      </c>
      <c r="H3281">
        <v>0</v>
      </c>
      <c r="I3281">
        <v>0.1741125760648204</v>
      </c>
      <c r="J3281">
        <v>0</v>
      </c>
      <c r="K3281">
        <v>0</v>
      </c>
      <c r="L3281" s="2">
        <v>0</v>
      </c>
      <c r="M3281">
        <v>35.37</v>
      </c>
      <c r="N3281" t="s">
        <v>10236</v>
      </c>
    </row>
    <row r="3282" spans="1:14">
      <c r="A3282" t="s">
        <v>216</v>
      </c>
      <c r="B3282" t="s">
        <v>3431</v>
      </c>
      <c r="C3282">
        <f>"PLP"</f>
        <v>0</v>
      </c>
      <c r="D3282">
        <v>0</v>
      </c>
      <c r="E3282">
        <v>0</v>
      </c>
      <c r="F3282" s="2">
        <v>0</v>
      </c>
      <c r="H3282">
        <v>0</v>
      </c>
      <c r="I3282">
        <v>0.1741125760648204</v>
      </c>
      <c r="J3282">
        <v>0</v>
      </c>
      <c r="K3282">
        <v>0</v>
      </c>
      <c r="L3282" s="2">
        <v>0</v>
      </c>
      <c r="M3282">
        <v>35.38</v>
      </c>
      <c r="N3282" t="s">
        <v>10236</v>
      </c>
    </row>
    <row r="3283" spans="1:14">
      <c r="A3283" t="s">
        <v>29</v>
      </c>
      <c r="B3283" t="s">
        <v>3432</v>
      </c>
      <c r="C3283">
        <f>"EL"</f>
        <v>0</v>
      </c>
      <c r="D3283">
        <v>0</v>
      </c>
      <c r="E3283">
        <v>0</v>
      </c>
      <c r="F3283" s="2">
        <v>0</v>
      </c>
      <c r="H3283">
        <v>0</v>
      </c>
      <c r="I3283">
        <v>0.1741125760648204</v>
      </c>
      <c r="J3283">
        <v>0</v>
      </c>
      <c r="K3283">
        <v>0</v>
      </c>
      <c r="L3283" s="2">
        <v>0</v>
      </c>
      <c r="M3283">
        <v>35.39</v>
      </c>
      <c r="N3283" t="s">
        <v>10236</v>
      </c>
    </row>
    <row r="3284" spans="1:14">
      <c r="A3284" t="s">
        <v>29</v>
      </c>
      <c r="B3284" t="s">
        <v>3433</v>
      </c>
      <c r="C3284">
        <f>"NF003V"</f>
        <v>0</v>
      </c>
      <c r="D3284">
        <v>0</v>
      </c>
      <c r="E3284">
        <v>0</v>
      </c>
      <c r="F3284" s="2">
        <v>0</v>
      </c>
      <c r="H3284">
        <v>0</v>
      </c>
      <c r="I3284">
        <v>0.1741125760648204</v>
      </c>
      <c r="J3284">
        <v>0</v>
      </c>
      <c r="K3284">
        <v>0</v>
      </c>
      <c r="L3284" s="2">
        <v>0</v>
      </c>
      <c r="M3284">
        <v>35.4</v>
      </c>
      <c r="N3284" t="s">
        <v>10236</v>
      </c>
    </row>
    <row r="3285" spans="1:14">
      <c r="A3285" t="s">
        <v>25</v>
      </c>
      <c r="B3285" t="s">
        <v>3434</v>
      </c>
      <c r="C3285">
        <f>"NR01020"</f>
        <v>0</v>
      </c>
      <c r="D3285">
        <v>0</v>
      </c>
      <c r="E3285">
        <v>0</v>
      </c>
      <c r="F3285" s="2">
        <v>0</v>
      </c>
      <c r="H3285">
        <v>0</v>
      </c>
      <c r="I3285">
        <v>0.1741125760648204</v>
      </c>
      <c r="J3285">
        <v>0</v>
      </c>
      <c r="K3285">
        <v>0</v>
      </c>
      <c r="L3285" s="2">
        <v>0</v>
      </c>
      <c r="M3285">
        <v>35.41</v>
      </c>
      <c r="N3285" t="s">
        <v>10236</v>
      </c>
    </row>
    <row r="3286" spans="1:14">
      <c r="A3286" t="s">
        <v>25</v>
      </c>
      <c r="B3286" t="s">
        <v>3435</v>
      </c>
      <c r="C3286">
        <f>"TD04"</f>
        <v>0</v>
      </c>
      <c r="D3286">
        <v>0</v>
      </c>
      <c r="E3286">
        <v>5</v>
      </c>
      <c r="F3286" s="2">
        <v>4</v>
      </c>
      <c r="H3286">
        <v>0</v>
      </c>
      <c r="I3286">
        <v>0.1741125760648204</v>
      </c>
      <c r="J3286">
        <v>0</v>
      </c>
      <c r="K3286">
        <v>0</v>
      </c>
      <c r="L3286" s="2">
        <v>0</v>
      </c>
      <c r="M3286">
        <v>35.42</v>
      </c>
      <c r="N3286" t="s">
        <v>10236</v>
      </c>
    </row>
    <row r="3287" spans="1:14">
      <c r="A3287" t="s">
        <v>29</v>
      </c>
      <c r="B3287" t="s">
        <v>3436</v>
      </c>
      <c r="C3287">
        <f>"NF003A"</f>
        <v>0</v>
      </c>
      <c r="D3287">
        <v>0</v>
      </c>
      <c r="E3287">
        <v>0</v>
      </c>
      <c r="F3287" s="2">
        <v>0</v>
      </c>
      <c r="H3287">
        <v>0</v>
      </c>
      <c r="I3287">
        <v>0.1741125760648204</v>
      </c>
      <c r="J3287">
        <v>0</v>
      </c>
      <c r="K3287">
        <v>0</v>
      </c>
      <c r="L3287" s="2">
        <v>0</v>
      </c>
      <c r="M3287">
        <v>35.43</v>
      </c>
      <c r="N3287" t="s">
        <v>10236</v>
      </c>
    </row>
    <row r="3288" spans="1:14">
      <c r="A3288" t="s">
        <v>216</v>
      </c>
      <c r="B3288" t="s">
        <v>3437</v>
      </c>
      <c r="C3288">
        <f>"PLC"</f>
        <v>0</v>
      </c>
      <c r="D3288">
        <v>0</v>
      </c>
      <c r="E3288">
        <v>0</v>
      </c>
      <c r="F3288" s="2">
        <v>0</v>
      </c>
      <c r="H3288">
        <v>0</v>
      </c>
      <c r="I3288">
        <v>0.1741125760648204</v>
      </c>
      <c r="J3288">
        <v>0</v>
      </c>
      <c r="K3288">
        <v>0</v>
      </c>
      <c r="L3288" s="2">
        <v>0</v>
      </c>
      <c r="M3288">
        <v>35.44</v>
      </c>
      <c r="N3288" t="s">
        <v>10236</v>
      </c>
    </row>
    <row r="3289" spans="1:14">
      <c r="A3289" t="s">
        <v>32</v>
      </c>
      <c r="B3289" t="s">
        <v>3438</v>
      </c>
      <c r="C3289">
        <f>"VETZTS0047"</f>
        <v>0</v>
      </c>
      <c r="D3289">
        <v>0</v>
      </c>
      <c r="E3289">
        <v>0</v>
      </c>
      <c r="F3289" s="2">
        <v>0</v>
      </c>
      <c r="H3289">
        <v>0</v>
      </c>
      <c r="I3289">
        <v>0.1741125760648204</v>
      </c>
      <c r="J3289">
        <v>0</v>
      </c>
      <c r="K3289">
        <v>0</v>
      </c>
      <c r="L3289" s="2">
        <v>0</v>
      </c>
      <c r="M3289">
        <v>35.45</v>
      </c>
      <c r="N3289" t="s">
        <v>10236</v>
      </c>
    </row>
    <row r="3290" spans="1:14">
      <c r="A3290" t="s">
        <v>35</v>
      </c>
      <c r="B3290" t="s">
        <v>3439</v>
      </c>
      <c r="C3290">
        <f>"CZ22"</f>
        <v>0</v>
      </c>
      <c r="D3290">
        <v>0</v>
      </c>
      <c r="E3290">
        <v>0</v>
      </c>
      <c r="F3290" s="2">
        <v>0</v>
      </c>
      <c r="H3290">
        <v>0</v>
      </c>
      <c r="I3290">
        <v>0.1741125760648204</v>
      </c>
      <c r="J3290">
        <v>0</v>
      </c>
      <c r="K3290">
        <v>0</v>
      </c>
      <c r="L3290" s="2">
        <v>0</v>
      </c>
      <c r="M3290">
        <v>35.46</v>
      </c>
      <c r="N3290" t="s">
        <v>10236</v>
      </c>
    </row>
    <row r="3291" spans="1:14">
      <c r="A3291" t="s">
        <v>35</v>
      </c>
      <c r="B3291" t="s">
        <v>3440</v>
      </c>
      <c r="C3291">
        <f>"CZ1"</f>
        <v>0</v>
      </c>
      <c r="D3291">
        <v>0</v>
      </c>
      <c r="E3291">
        <v>0</v>
      </c>
      <c r="F3291" s="2">
        <v>0</v>
      </c>
      <c r="H3291">
        <v>0</v>
      </c>
      <c r="I3291">
        <v>0.1741125760648204</v>
      </c>
      <c r="J3291">
        <v>0</v>
      </c>
      <c r="K3291">
        <v>0</v>
      </c>
      <c r="L3291" s="2">
        <v>0</v>
      </c>
      <c r="M3291">
        <v>35.47</v>
      </c>
      <c r="N3291" t="s">
        <v>10236</v>
      </c>
    </row>
    <row r="3292" spans="1:14">
      <c r="A3292" t="s">
        <v>35</v>
      </c>
      <c r="B3292" t="s">
        <v>3441</v>
      </c>
      <c r="C3292">
        <f>"CZ27"</f>
        <v>0</v>
      </c>
      <c r="D3292">
        <v>0</v>
      </c>
      <c r="E3292">
        <v>0</v>
      </c>
      <c r="F3292" s="2">
        <v>0</v>
      </c>
      <c r="H3292">
        <v>0</v>
      </c>
      <c r="I3292">
        <v>0.1741125760648204</v>
      </c>
      <c r="J3292">
        <v>0</v>
      </c>
      <c r="K3292">
        <v>0</v>
      </c>
      <c r="L3292" s="2">
        <v>0</v>
      </c>
      <c r="M3292">
        <v>35.47</v>
      </c>
      <c r="N3292" t="s">
        <v>10236</v>
      </c>
    </row>
    <row r="3293" spans="1:14">
      <c r="A3293" t="s">
        <v>32</v>
      </c>
      <c r="B3293" t="s">
        <v>816</v>
      </c>
      <c r="C3293">
        <f>"1022326"</f>
        <v>0</v>
      </c>
      <c r="D3293">
        <v>0</v>
      </c>
      <c r="E3293">
        <v>0</v>
      </c>
      <c r="F3293" s="2">
        <v>0</v>
      </c>
      <c r="H3293">
        <v>0</v>
      </c>
      <c r="I3293">
        <v>0.1741125760648204</v>
      </c>
      <c r="J3293">
        <v>0</v>
      </c>
      <c r="K3293">
        <v>0</v>
      </c>
      <c r="L3293" s="2">
        <v>0</v>
      </c>
      <c r="M3293">
        <v>35.48</v>
      </c>
      <c r="N3293" t="s">
        <v>10236</v>
      </c>
    </row>
    <row r="3294" spans="1:14">
      <c r="A3294" t="s">
        <v>32</v>
      </c>
      <c r="B3294" t="s">
        <v>816</v>
      </c>
      <c r="C3294">
        <f>"1020661"</f>
        <v>0</v>
      </c>
      <c r="D3294">
        <v>0</v>
      </c>
      <c r="E3294">
        <v>0</v>
      </c>
      <c r="F3294" s="2">
        <v>0</v>
      </c>
      <c r="H3294">
        <v>0</v>
      </c>
      <c r="I3294">
        <v>0.1741125760648204</v>
      </c>
      <c r="J3294">
        <v>0</v>
      </c>
      <c r="K3294">
        <v>0</v>
      </c>
      <c r="L3294" s="2">
        <v>0</v>
      </c>
      <c r="M3294">
        <v>35.49</v>
      </c>
      <c r="N3294" t="s">
        <v>10236</v>
      </c>
    </row>
    <row r="3295" spans="1:14">
      <c r="A3295" t="s">
        <v>35</v>
      </c>
      <c r="B3295" t="s">
        <v>3442</v>
      </c>
      <c r="C3295">
        <f>"MSIDAMA"</f>
        <v>0</v>
      </c>
      <c r="D3295">
        <v>0</v>
      </c>
      <c r="E3295">
        <v>0</v>
      </c>
      <c r="F3295" s="2">
        <v>0</v>
      </c>
      <c r="H3295">
        <v>0</v>
      </c>
      <c r="I3295">
        <v>0.1741125760648204</v>
      </c>
      <c r="J3295">
        <v>0</v>
      </c>
      <c r="K3295">
        <v>0</v>
      </c>
      <c r="L3295" s="2">
        <v>0</v>
      </c>
      <c r="M3295">
        <v>35.5</v>
      </c>
      <c r="N3295" t="s">
        <v>10236</v>
      </c>
    </row>
    <row r="3296" spans="1:14">
      <c r="A3296" t="s">
        <v>29</v>
      </c>
      <c r="B3296" t="s">
        <v>3443</v>
      </c>
      <c r="C3296">
        <f>"UF28P"</f>
        <v>0</v>
      </c>
      <c r="D3296">
        <v>0</v>
      </c>
      <c r="E3296">
        <v>0</v>
      </c>
      <c r="F3296" s="2">
        <v>0</v>
      </c>
      <c r="H3296">
        <v>0</v>
      </c>
      <c r="I3296">
        <v>0.1741125760648204</v>
      </c>
      <c r="J3296">
        <v>0</v>
      </c>
      <c r="K3296">
        <v>0</v>
      </c>
      <c r="L3296" s="2">
        <v>0</v>
      </c>
      <c r="M3296">
        <v>35.51</v>
      </c>
      <c r="N3296" t="s">
        <v>10236</v>
      </c>
    </row>
    <row r="3297" spans="1:14">
      <c r="A3297" t="s">
        <v>29</v>
      </c>
      <c r="B3297" t="s">
        <v>3444</v>
      </c>
      <c r="C3297">
        <f>"UF24P"</f>
        <v>0</v>
      </c>
      <c r="D3297">
        <v>0</v>
      </c>
      <c r="E3297">
        <v>2</v>
      </c>
      <c r="F3297" s="2">
        <v>1</v>
      </c>
      <c r="H3297">
        <v>0</v>
      </c>
      <c r="I3297">
        <v>0.1741125760648204</v>
      </c>
      <c r="J3297">
        <v>0</v>
      </c>
      <c r="K3297">
        <v>0</v>
      </c>
      <c r="L3297" s="2">
        <v>0</v>
      </c>
      <c r="M3297">
        <v>35.52</v>
      </c>
      <c r="N3297" t="s">
        <v>10236</v>
      </c>
    </row>
    <row r="3298" spans="1:14">
      <c r="A3298" t="s">
        <v>29</v>
      </c>
      <c r="B3298" t="s">
        <v>3445</v>
      </c>
      <c r="C3298">
        <f>"UF16P"</f>
        <v>0</v>
      </c>
      <c r="D3298">
        <v>0</v>
      </c>
      <c r="E3298">
        <v>0</v>
      </c>
      <c r="F3298" s="2">
        <v>0</v>
      </c>
      <c r="H3298">
        <v>0</v>
      </c>
      <c r="I3298">
        <v>0.1741125760648204</v>
      </c>
      <c r="J3298">
        <v>0</v>
      </c>
      <c r="K3298">
        <v>0</v>
      </c>
      <c r="L3298" s="2">
        <v>0</v>
      </c>
      <c r="M3298">
        <v>35.53</v>
      </c>
      <c r="N3298" t="s">
        <v>10236</v>
      </c>
    </row>
    <row r="3299" spans="1:14">
      <c r="A3299" t="s">
        <v>29</v>
      </c>
      <c r="B3299" t="s">
        <v>3446</v>
      </c>
      <c r="C3299">
        <f>"UF12P"</f>
        <v>0</v>
      </c>
      <c r="D3299">
        <v>0</v>
      </c>
      <c r="E3299">
        <v>0</v>
      </c>
      <c r="F3299" s="2">
        <v>0</v>
      </c>
      <c r="H3299">
        <v>0</v>
      </c>
      <c r="I3299">
        <v>0.1741125760648204</v>
      </c>
      <c r="J3299">
        <v>0</v>
      </c>
      <c r="K3299">
        <v>0</v>
      </c>
      <c r="L3299" s="2">
        <v>0</v>
      </c>
      <c r="M3299">
        <v>35.54</v>
      </c>
      <c r="N3299" t="s">
        <v>10236</v>
      </c>
    </row>
    <row r="3300" spans="1:14">
      <c r="A3300" t="s">
        <v>29</v>
      </c>
      <c r="B3300" t="s">
        <v>3447</v>
      </c>
      <c r="C3300">
        <f>"UF32P"</f>
        <v>0</v>
      </c>
      <c r="D3300">
        <v>0</v>
      </c>
      <c r="E3300">
        <v>1</v>
      </c>
      <c r="F3300" s="2">
        <v>0</v>
      </c>
      <c r="H3300">
        <v>0</v>
      </c>
      <c r="I3300">
        <v>0.1741125760648204</v>
      </c>
      <c r="J3300">
        <v>0</v>
      </c>
      <c r="K3300">
        <v>0</v>
      </c>
      <c r="L3300" s="2">
        <v>0</v>
      </c>
      <c r="M3300">
        <v>35.55</v>
      </c>
      <c r="N3300" t="s">
        <v>10236</v>
      </c>
    </row>
    <row r="3301" spans="1:14">
      <c r="A3301" t="s">
        <v>25</v>
      </c>
      <c r="B3301" t="s">
        <v>3448</v>
      </c>
      <c r="C3301">
        <f>"zy2035"</f>
        <v>0</v>
      </c>
      <c r="D3301">
        <v>0</v>
      </c>
      <c r="E3301">
        <v>2</v>
      </c>
      <c r="F3301" s="2">
        <v>9</v>
      </c>
      <c r="H3301">
        <v>0</v>
      </c>
      <c r="I3301">
        <v>0.1741125760648204</v>
      </c>
      <c r="J3301">
        <v>0</v>
      </c>
      <c r="K3301">
        <v>0</v>
      </c>
      <c r="L3301" s="2">
        <v>0</v>
      </c>
      <c r="M3301">
        <v>35.56</v>
      </c>
      <c r="N3301" t="s">
        <v>10236</v>
      </c>
    </row>
    <row r="3302" spans="1:14">
      <c r="A3302" t="s">
        <v>25</v>
      </c>
      <c r="B3302" t="s">
        <v>3449</v>
      </c>
      <c r="C3302">
        <f>"ZY1525"</f>
        <v>0</v>
      </c>
      <c r="D3302">
        <v>0</v>
      </c>
      <c r="E3302">
        <v>8</v>
      </c>
      <c r="F3302" s="2">
        <v>7</v>
      </c>
      <c r="H3302">
        <v>0</v>
      </c>
      <c r="I3302">
        <v>0.1741125760648204</v>
      </c>
      <c r="J3302">
        <v>0</v>
      </c>
      <c r="K3302">
        <v>0</v>
      </c>
      <c r="L3302" s="2">
        <v>0</v>
      </c>
      <c r="M3302">
        <v>35.57</v>
      </c>
      <c r="N3302" t="s">
        <v>10236</v>
      </c>
    </row>
    <row r="3303" spans="1:14">
      <c r="A3303" t="s">
        <v>209</v>
      </c>
      <c r="B3303" t="s">
        <v>3450</v>
      </c>
      <c r="C3303">
        <f>"1008LLA"</f>
        <v>0</v>
      </c>
      <c r="D3303">
        <v>0</v>
      </c>
      <c r="E3303">
        <v>24</v>
      </c>
      <c r="F3303" s="2">
        <v>1</v>
      </c>
      <c r="H3303">
        <v>0</v>
      </c>
      <c r="I3303">
        <v>0.1741125760648204</v>
      </c>
      <c r="J3303">
        <v>0</v>
      </c>
      <c r="K3303">
        <v>0</v>
      </c>
      <c r="L3303" s="2">
        <v>0</v>
      </c>
      <c r="M3303">
        <v>35.58</v>
      </c>
      <c r="N3303" t="s">
        <v>10236</v>
      </c>
    </row>
    <row r="3304" spans="1:14">
      <c r="A3304" t="s">
        <v>35</v>
      </c>
      <c r="B3304" t="s">
        <v>3451</v>
      </c>
      <c r="C3304">
        <f>"CZ8"</f>
        <v>0</v>
      </c>
      <c r="D3304">
        <v>0</v>
      </c>
      <c r="E3304">
        <v>0</v>
      </c>
      <c r="F3304" s="2">
        <v>0</v>
      </c>
      <c r="H3304">
        <v>0</v>
      </c>
      <c r="I3304">
        <v>0.1741125760648204</v>
      </c>
      <c r="J3304">
        <v>0</v>
      </c>
      <c r="K3304">
        <v>0</v>
      </c>
      <c r="L3304" s="2">
        <v>0</v>
      </c>
      <c r="M3304">
        <v>35.59</v>
      </c>
      <c r="N3304" t="s">
        <v>10236</v>
      </c>
    </row>
    <row r="3305" spans="1:14">
      <c r="A3305" t="s">
        <v>29</v>
      </c>
      <c r="B3305" t="s">
        <v>3452</v>
      </c>
      <c r="C3305">
        <f>"1863"</f>
        <v>0</v>
      </c>
      <c r="D3305">
        <v>0</v>
      </c>
      <c r="E3305">
        <v>0</v>
      </c>
      <c r="F3305" s="2">
        <v>0</v>
      </c>
      <c r="H3305">
        <v>0</v>
      </c>
      <c r="I3305">
        <v>0.1741125760648204</v>
      </c>
      <c r="J3305">
        <v>0</v>
      </c>
      <c r="K3305">
        <v>0</v>
      </c>
      <c r="L3305" s="2">
        <v>0</v>
      </c>
      <c r="M3305">
        <v>35.59</v>
      </c>
      <c r="N3305" t="s">
        <v>10236</v>
      </c>
    </row>
    <row r="3306" spans="1:14">
      <c r="A3306" t="s">
        <v>29</v>
      </c>
      <c r="B3306" t="s">
        <v>3453</v>
      </c>
      <c r="C3306">
        <f>"YBSZ05"</f>
        <v>0</v>
      </c>
      <c r="D3306">
        <v>0</v>
      </c>
      <c r="E3306">
        <v>2</v>
      </c>
      <c r="F3306" s="2">
        <v>4</v>
      </c>
      <c r="H3306">
        <v>0</v>
      </c>
      <c r="I3306">
        <v>0.1741125760648204</v>
      </c>
      <c r="J3306">
        <v>0</v>
      </c>
      <c r="K3306">
        <v>0</v>
      </c>
      <c r="L3306" s="2">
        <v>0</v>
      </c>
      <c r="M3306">
        <v>35.6</v>
      </c>
      <c r="N3306" t="s">
        <v>10236</v>
      </c>
    </row>
    <row r="3307" spans="1:14">
      <c r="A3307" t="s">
        <v>29</v>
      </c>
      <c r="B3307" t="s">
        <v>3454</v>
      </c>
      <c r="C3307">
        <f>"YBSZ02"</f>
        <v>0</v>
      </c>
      <c r="D3307">
        <v>0</v>
      </c>
      <c r="E3307">
        <v>0</v>
      </c>
      <c r="F3307" s="2">
        <v>0</v>
      </c>
      <c r="H3307">
        <v>0</v>
      </c>
      <c r="I3307">
        <v>0.1741125760648204</v>
      </c>
      <c r="J3307">
        <v>0</v>
      </c>
      <c r="K3307">
        <v>0</v>
      </c>
      <c r="L3307" s="2">
        <v>0</v>
      </c>
      <c r="M3307">
        <v>35.61</v>
      </c>
      <c r="N3307" t="s">
        <v>10236</v>
      </c>
    </row>
    <row r="3308" spans="1:14">
      <c r="A3308" t="s">
        <v>216</v>
      </c>
      <c r="B3308" t="s">
        <v>3455</v>
      </c>
      <c r="C3308">
        <f>"1576892390160"</f>
        <v>0</v>
      </c>
      <c r="D3308">
        <v>0</v>
      </c>
      <c r="E3308">
        <v>0</v>
      </c>
      <c r="F3308" s="2">
        <v>0</v>
      </c>
      <c r="H3308">
        <v>0</v>
      </c>
      <c r="I3308">
        <v>0.1741125760648204</v>
      </c>
      <c r="J3308">
        <v>0</v>
      </c>
      <c r="K3308">
        <v>0</v>
      </c>
      <c r="L3308" s="2">
        <v>0</v>
      </c>
      <c r="M3308">
        <v>35.62</v>
      </c>
      <c r="N3308" t="s">
        <v>10236</v>
      </c>
    </row>
    <row r="3309" spans="1:14">
      <c r="A3309" t="s">
        <v>216</v>
      </c>
      <c r="B3309" t="s">
        <v>3456</v>
      </c>
      <c r="C3309">
        <f>"PRF"</f>
        <v>0</v>
      </c>
      <c r="D3309">
        <v>0</v>
      </c>
      <c r="E3309">
        <v>0</v>
      </c>
      <c r="F3309" s="2">
        <v>0</v>
      </c>
      <c r="H3309">
        <v>0</v>
      </c>
      <c r="I3309">
        <v>0.1741125760648204</v>
      </c>
      <c r="J3309">
        <v>0</v>
      </c>
      <c r="K3309">
        <v>0</v>
      </c>
      <c r="L3309" s="2">
        <v>0</v>
      </c>
      <c r="M3309">
        <v>35.63</v>
      </c>
      <c r="N3309" t="s">
        <v>10236</v>
      </c>
    </row>
    <row r="3310" spans="1:14">
      <c r="A3310" t="s">
        <v>216</v>
      </c>
      <c r="B3310" t="s">
        <v>3457</v>
      </c>
      <c r="C3310">
        <f>"RASB"</f>
        <v>0</v>
      </c>
      <c r="D3310">
        <v>0</v>
      </c>
      <c r="E3310">
        <v>0</v>
      </c>
      <c r="F3310" s="2">
        <v>0</v>
      </c>
      <c r="H3310">
        <v>0</v>
      </c>
      <c r="I3310">
        <v>0.1741125760648204</v>
      </c>
      <c r="J3310">
        <v>0</v>
      </c>
      <c r="K3310">
        <v>0</v>
      </c>
      <c r="L3310" s="2">
        <v>0</v>
      </c>
      <c r="M3310">
        <v>35.64</v>
      </c>
      <c r="N3310" t="s">
        <v>10236</v>
      </c>
    </row>
    <row r="3311" spans="1:14">
      <c r="A3311" t="s">
        <v>216</v>
      </c>
      <c r="B3311" t="s">
        <v>3458</v>
      </c>
      <c r="C3311">
        <f>"72647314"</f>
        <v>0</v>
      </c>
      <c r="D3311">
        <v>0</v>
      </c>
      <c r="E3311">
        <v>0</v>
      </c>
      <c r="F3311" s="2">
        <v>0</v>
      </c>
      <c r="H3311">
        <v>0</v>
      </c>
      <c r="I3311">
        <v>0.1741125760648204</v>
      </c>
      <c r="J3311">
        <v>0</v>
      </c>
      <c r="K3311">
        <v>0</v>
      </c>
      <c r="L3311" s="2">
        <v>0</v>
      </c>
      <c r="M3311">
        <v>35.65</v>
      </c>
      <c r="N3311" t="s">
        <v>10236</v>
      </c>
    </row>
    <row r="3312" spans="1:14">
      <c r="A3312" t="s">
        <v>195</v>
      </c>
      <c r="B3312" t="s">
        <v>3459</v>
      </c>
      <c r="C3312">
        <f>"25002884"</f>
        <v>0</v>
      </c>
      <c r="D3312">
        <v>0</v>
      </c>
      <c r="E3312">
        <v>0</v>
      </c>
      <c r="F3312" s="2">
        <v>0</v>
      </c>
      <c r="H3312">
        <v>0</v>
      </c>
      <c r="I3312">
        <v>0.1741125760648204</v>
      </c>
      <c r="J3312">
        <v>0</v>
      </c>
      <c r="K3312">
        <v>0</v>
      </c>
      <c r="L3312" s="2">
        <v>0</v>
      </c>
      <c r="M3312">
        <v>35.66</v>
      </c>
      <c r="N3312" t="s">
        <v>10236</v>
      </c>
    </row>
    <row r="3313" spans="1:14">
      <c r="A3313" t="s">
        <v>195</v>
      </c>
      <c r="B3313" t="s">
        <v>3460</v>
      </c>
      <c r="C3313">
        <f>"25023228"</f>
        <v>0</v>
      </c>
      <c r="D3313">
        <v>0</v>
      </c>
      <c r="E3313">
        <v>0</v>
      </c>
      <c r="F3313" s="2">
        <v>0</v>
      </c>
      <c r="H3313">
        <v>0</v>
      </c>
      <c r="I3313">
        <v>0.1741125760648204</v>
      </c>
      <c r="J3313">
        <v>0</v>
      </c>
      <c r="K3313">
        <v>0</v>
      </c>
      <c r="L3313" s="2">
        <v>0</v>
      </c>
      <c r="M3313">
        <v>35.67</v>
      </c>
      <c r="N3313" t="s">
        <v>10236</v>
      </c>
    </row>
    <row r="3314" spans="1:14">
      <c r="A3314" t="s">
        <v>195</v>
      </c>
      <c r="B3314" t="s">
        <v>3461</v>
      </c>
      <c r="C3314">
        <f>"25002830"</f>
        <v>0</v>
      </c>
      <c r="D3314">
        <v>0</v>
      </c>
      <c r="E3314">
        <v>0</v>
      </c>
      <c r="F3314" s="2">
        <v>0</v>
      </c>
      <c r="H3314">
        <v>0</v>
      </c>
      <c r="I3314">
        <v>0.1741125760648204</v>
      </c>
      <c r="J3314">
        <v>0</v>
      </c>
      <c r="K3314">
        <v>0</v>
      </c>
      <c r="L3314" s="2">
        <v>0</v>
      </c>
      <c r="M3314">
        <v>35.68</v>
      </c>
      <c r="N3314" t="s">
        <v>10236</v>
      </c>
    </row>
    <row r="3315" spans="1:14">
      <c r="A3315" t="s">
        <v>195</v>
      </c>
      <c r="B3315" t="s">
        <v>3462</v>
      </c>
      <c r="C3315">
        <f>"25002831"</f>
        <v>0</v>
      </c>
      <c r="D3315">
        <v>0</v>
      </c>
      <c r="E3315">
        <v>0</v>
      </c>
      <c r="F3315" s="2">
        <v>0</v>
      </c>
      <c r="H3315">
        <v>0</v>
      </c>
      <c r="I3315">
        <v>0.1741125760648204</v>
      </c>
      <c r="J3315">
        <v>0</v>
      </c>
      <c r="K3315">
        <v>0</v>
      </c>
      <c r="L3315" s="2">
        <v>0</v>
      </c>
      <c r="M3315">
        <v>35.69</v>
      </c>
      <c r="N3315" t="s">
        <v>10236</v>
      </c>
    </row>
    <row r="3316" spans="1:14">
      <c r="A3316" t="s">
        <v>195</v>
      </c>
      <c r="B3316" t="s">
        <v>3463</v>
      </c>
      <c r="C3316">
        <f>"25002832"</f>
        <v>0</v>
      </c>
      <c r="D3316">
        <v>0</v>
      </c>
      <c r="E3316">
        <v>0</v>
      </c>
      <c r="F3316" s="2">
        <v>0</v>
      </c>
      <c r="H3316">
        <v>0</v>
      </c>
      <c r="I3316">
        <v>0.1741125760648204</v>
      </c>
      <c r="J3316">
        <v>0</v>
      </c>
      <c r="K3316">
        <v>0</v>
      </c>
      <c r="L3316" s="2">
        <v>0</v>
      </c>
      <c r="M3316">
        <v>35.7</v>
      </c>
      <c r="N3316" t="s">
        <v>10236</v>
      </c>
    </row>
    <row r="3317" spans="1:14">
      <c r="A3317" t="s">
        <v>195</v>
      </c>
      <c r="B3317" t="s">
        <v>3464</v>
      </c>
      <c r="C3317">
        <f>"25002829"</f>
        <v>0</v>
      </c>
      <c r="D3317">
        <v>0</v>
      </c>
      <c r="E3317">
        <v>0</v>
      </c>
      <c r="F3317" s="2">
        <v>0</v>
      </c>
      <c r="H3317">
        <v>0</v>
      </c>
      <c r="I3317">
        <v>0.1741125760648204</v>
      </c>
      <c r="J3317">
        <v>0</v>
      </c>
      <c r="K3317">
        <v>0</v>
      </c>
      <c r="L3317" s="2">
        <v>0</v>
      </c>
      <c r="M3317">
        <v>35.7</v>
      </c>
      <c r="N3317" t="s">
        <v>10236</v>
      </c>
    </row>
    <row r="3318" spans="1:14">
      <c r="A3318" t="s">
        <v>195</v>
      </c>
      <c r="B3318" t="s">
        <v>3465</v>
      </c>
      <c r="C3318">
        <f>"25002962"</f>
        <v>0</v>
      </c>
      <c r="D3318">
        <v>0</v>
      </c>
      <c r="E3318">
        <v>0</v>
      </c>
      <c r="F3318" s="2">
        <v>0</v>
      </c>
      <c r="H3318">
        <v>0</v>
      </c>
      <c r="I3318">
        <v>0.1741125760648204</v>
      </c>
      <c r="J3318">
        <v>0</v>
      </c>
      <c r="K3318">
        <v>0</v>
      </c>
      <c r="L3318" s="2">
        <v>0</v>
      </c>
      <c r="M3318">
        <v>35.71</v>
      </c>
      <c r="N3318" t="s">
        <v>10236</v>
      </c>
    </row>
    <row r="3319" spans="1:14">
      <c r="A3319" t="s">
        <v>195</v>
      </c>
      <c r="B3319" t="s">
        <v>3466</v>
      </c>
      <c r="C3319">
        <f>"25390008"</f>
        <v>0</v>
      </c>
      <c r="D3319">
        <v>0</v>
      </c>
      <c r="E3319">
        <v>0</v>
      </c>
      <c r="F3319" s="2">
        <v>0</v>
      </c>
      <c r="H3319">
        <v>0</v>
      </c>
      <c r="I3319">
        <v>0.1741125760648204</v>
      </c>
      <c r="J3319">
        <v>0</v>
      </c>
      <c r="K3319">
        <v>0</v>
      </c>
      <c r="L3319" s="2">
        <v>0</v>
      </c>
      <c r="M3319">
        <v>35.72</v>
      </c>
      <c r="N3319" t="s">
        <v>10236</v>
      </c>
    </row>
    <row r="3320" spans="1:14">
      <c r="A3320" t="s">
        <v>195</v>
      </c>
      <c r="B3320" t="s">
        <v>3467</v>
      </c>
      <c r="C3320">
        <f>"25002953"</f>
        <v>0</v>
      </c>
      <c r="D3320">
        <v>0</v>
      </c>
      <c r="E3320">
        <v>0</v>
      </c>
      <c r="F3320" s="2">
        <v>0</v>
      </c>
      <c r="H3320">
        <v>0</v>
      </c>
      <c r="I3320">
        <v>0.1741125760648204</v>
      </c>
      <c r="J3320">
        <v>0</v>
      </c>
      <c r="K3320">
        <v>0</v>
      </c>
      <c r="L3320" s="2">
        <v>0</v>
      </c>
      <c r="M3320">
        <v>35.73</v>
      </c>
      <c r="N3320" t="s">
        <v>10236</v>
      </c>
    </row>
    <row r="3321" spans="1:14">
      <c r="A3321" t="s">
        <v>195</v>
      </c>
      <c r="B3321" t="s">
        <v>3468</v>
      </c>
      <c r="C3321">
        <f>"25002954"</f>
        <v>0</v>
      </c>
      <c r="D3321">
        <v>0</v>
      </c>
      <c r="E3321">
        <v>0</v>
      </c>
      <c r="F3321" s="2">
        <v>0</v>
      </c>
      <c r="H3321">
        <v>0</v>
      </c>
      <c r="I3321">
        <v>0.1741125760648204</v>
      </c>
      <c r="J3321">
        <v>0</v>
      </c>
      <c r="K3321">
        <v>0</v>
      </c>
      <c r="L3321" s="2">
        <v>0</v>
      </c>
      <c r="M3321">
        <v>35.74</v>
      </c>
      <c r="N3321" t="s">
        <v>10236</v>
      </c>
    </row>
    <row r="3322" spans="1:14">
      <c r="A3322" t="s">
        <v>195</v>
      </c>
      <c r="B3322" t="s">
        <v>3469</v>
      </c>
      <c r="C3322">
        <f>"25002951"</f>
        <v>0</v>
      </c>
      <c r="D3322">
        <v>0</v>
      </c>
      <c r="E3322">
        <v>0</v>
      </c>
      <c r="F3322" s="2">
        <v>0</v>
      </c>
      <c r="H3322">
        <v>0</v>
      </c>
      <c r="I3322">
        <v>0.1741125760648204</v>
      </c>
      <c r="J3322">
        <v>0</v>
      </c>
      <c r="K3322">
        <v>0</v>
      </c>
      <c r="L3322" s="2">
        <v>0</v>
      </c>
      <c r="M3322">
        <v>35.75</v>
      </c>
      <c r="N3322" t="s">
        <v>10236</v>
      </c>
    </row>
    <row r="3323" spans="1:14">
      <c r="A3323" t="s">
        <v>195</v>
      </c>
      <c r="B3323" t="s">
        <v>3470</v>
      </c>
      <c r="C3323">
        <f>"25395693"</f>
        <v>0</v>
      </c>
      <c r="D3323">
        <v>0</v>
      </c>
      <c r="E3323">
        <v>0</v>
      </c>
      <c r="F3323" s="2">
        <v>0</v>
      </c>
      <c r="H3323">
        <v>0</v>
      </c>
      <c r="I3323">
        <v>0.1741125760648204</v>
      </c>
      <c r="J3323">
        <v>0</v>
      </c>
      <c r="K3323">
        <v>0</v>
      </c>
      <c r="L3323" s="2">
        <v>0</v>
      </c>
      <c r="M3323">
        <v>35.76</v>
      </c>
      <c r="N3323" t="s">
        <v>10236</v>
      </c>
    </row>
    <row r="3324" spans="1:14">
      <c r="A3324" t="s">
        <v>216</v>
      </c>
      <c r="B3324" t="s">
        <v>3471</v>
      </c>
      <c r="C3324">
        <f>"PLATTYMERI"</f>
        <v>0</v>
      </c>
      <c r="D3324">
        <v>0</v>
      </c>
      <c r="E3324">
        <v>0</v>
      </c>
      <c r="F3324" s="2">
        <v>0</v>
      </c>
      <c r="H3324">
        <v>0</v>
      </c>
      <c r="I3324">
        <v>0.1741125760648204</v>
      </c>
      <c r="J3324">
        <v>0</v>
      </c>
      <c r="K3324">
        <v>0</v>
      </c>
      <c r="L3324" s="2">
        <v>0</v>
      </c>
      <c r="M3324">
        <v>35.77</v>
      </c>
      <c r="N3324" t="s">
        <v>10236</v>
      </c>
    </row>
    <row r="3325" spans="1:14">
      <c r="A3325" t="s">
        <v>216</v>
      </c>
      <c r="B3325" t="s">
        <v>3472</v>
      </c>
      <c r="C3325">
        <f>"600800901"</f>
        <v>0</v>
      </c>
      <c r="D3325">
        <v>0</v>
      </c>
      <c r="E3325">
        <v>0</v>
      </c>
      <c r="F3325" s="2">
        <v>0</v>
      </c>
      <c r="H3325">
        <v>0</v>
      </c>
      <c r="I3325">
        <v>0.1741125760648204</v>
      </c>
      <c r="J3325">
        <v>0</v>
      </c>
      <c r="K3325">
        <v>0</v>
      </c>
      <c r="L3325" s="2">
        <v>0</v>
      </c>
      <c r="M3325">
        <v>35.78</v>
      </c>
      <c r="N3325" t="s">
        <v>10236</v>
      </c>
    </row>
    <row r="3326" spans="1:14">
      <c r="A3326" t="s">
        <v>216</v>
      </c>
      <c r="B3326" t="s">
        <v>3473</v>
      </c>
      <c r="C3326">
        <f>"123456"</f>
        <v>0</v>
      </c>
      <c r="D3326">
        <v>0</v>
      </c>
      <c r="E3326">
        <v>0</v>
      </c>
      <c r="F3326" s="2">
        <v>0</v>
      </c>
      <c r="H3326">
        <v>0</v>
      </c>
      <c r="I3326">
        <v>0.1741125760648204</v>
      </c>
      <c r="J3326">
        <v>0</v>
      </c>
      <c r="K3326">
        <v>0</v>
      </c>
      <c r="L3326" s="2">
        <v>0</v>
      </c>
      <c r="M3326">
        <v>35.79</v>
      </c>
      <c r="N3326" t="s">
        <v>10236</v>
      </c>
    </row>
    <row r="3327" spans="1:14">
      <c r="A3327" t="s">
        <v>216</v>
      </c>
      <c r="B3327" t="s">
        <v>3474</v>
      </c>
      <c r="C3327">
        <f>"1584278048529"</f>
        <v>0</v>
      </c>
      <c r="D3327">
        <v>0</v>
      </c>
      <c r="E3327">
        <v>0</v>
      </c>
      <c r="F3327" s="2">
        <v>0</v>
      </c>
      <c r="H3327">
        <v>0</v>
      </c>
      <c r="I3327">
        <v>0.1741125760648204</v>
      </c>
      <c r="J3327">
        <v>0</v>
      </c>
      <c r="K3327">
        <v>0</v>
      </c>
      <c r="L3327" s="2">
        <v>0</v>
      </c>
      <c r="M3327">
        <v>35.8</v>
      </c>
      <c r="N3327" t="s">
        <v>10236</v>
      </c>
    </row>
    <row r="3328" spans="1:14">
      <c r="A3328" t="s">
        <v>216</v>
      </c>
      <c r="B3328" t="s">
        <v>3475</v>
      </c>
      <c r="C3328">
        <f>"TELAP"</f>
        <v>0</v>
      </c>
      <c r="D3328">
        <v>0</v>
      </c>
      <c r="E3328">
        <v>0</v>
      </c>
      <c r="F3328" s="2">
        <v>0</v>
      </c>
      <c r="H3328">
        <v>0</v>
      </c>
      <c r="I3328">
        <v>0.1741125760648204</v>
      </c>
      <c r="J3328">
        <v>0</v>
      </c>
      <c r="K3328">
        <v>0</v>
      </c>
      <c r="L3328" s="2">
        <v>0</v>
      </c>
      <c r="M3328">
        <v>35.81</v>
      </c>
      <c r="N3328" t="s">
        <v>10236</v>
      </c>
    </row>
    <row r="3329" spans="1:14">
      <c r="A3329" t="s">
        <v>216</v>
      </c>
      <c r="B3329" t="s">
        <v>3476</v>
      </c>
      <c r="C3329">
        <f>"TCOLOM"</f>
        <v>0</v>
      </c>
      <c r="D3329">
        <v>0</v>
      </c>
      <c r="E3329">
        <v>0</v>
      </c>
      <c r="F3329" s="2">
        <v>0</v>
      </c>
      <c r="H3329">
        <v>0</v>
      </c>
      <c r="I3329">
        <v>0.1741125760648204</v>
      </c>
      <c r="J3329">
        <v>0</v>
      </c>
      <c r="K3329">
        <v>0</v>
      </c>
      <c r="L3329" s="2">
        <v>0</v>
      </c>
      <c r="M3329">
        <v>35.82</v>
      </c>
      <c r="N3329" t="s">
        <v>10236</v>
      </c>
    </row>
    <row r="3330" spans="1:14">
      <c r="A3330" t="s">
        <v>216</v>
      </c>
      <c r="B3330" t="s">
        <v>3477</v>
      </c>
      <c r="C3330">
        <f>"PTTR"</f>
        <v>0</v>
      </c>
      <c r="D3330">
        <v>0</v>
      </c>
      <c r="E3330">
        <v>0</v>
      </c>
      <c r="F3330" s="2">
        <v>0</v>
      </c>
      <c r="H3330">
        <v>0</v>
      </c>
      <c r="I3330">
        <v>0.1741125760648204</v>
      </c>
      <c r="J3330">
        <v>0</v>
      </c>
      <c r="K3330">
        <v>0</v>
      </c>
      <c r="L3330" s="2">
        <v>0</v>
      </c>
      <c r="M3330">
        <v>35.82</v>
      </c>
      <c r="N3330" t="s">
        <v>10236</v>
      </c>
    </row>
    <row r="3331" spans="1:14">
      <c r="A3331" t="s">
        <v>216</v>
      </c>
      <c r="B3331" t="s">
        <v>3478</v>
      </c>
      <c r="C3331">
        <f>"1656093039612"</f>
        <v>0</v>
      </c>
      <c r="D3331">
        <v>0</v>
      </c>
      <c r="E3331">
        <v>0</v>
      </c>
      <c r="F3331" s="2">
        <v>0</v>
      </c>
      <c r="H3331">
        <v>0</v>
      </c>
      <c r="I3331">
        <v>0.1741125760648204</v>
      </c>
      <c r="J3331">
        <v>0</v>
      </c>
      <c r="K3331">
        <v>0</v>
      </c>
      <c r="L3331" s="2">
        <v>0</v>
      </c>
      <c r="M3331">
        <v>35.83</v>
      </c>
      <c r="N3331" t="s">
        <v>10236</v>
      </c>
    </row>
    <row r="3332" spans="1:14">
      <c r="A3332" t="s">
        <v>216</v>
      </c>
      <c r="B3332" t="s">
        <v>3479</v>
      </c>
      <c r="C3332">
        <f>"PTTNV"</f>
        <v>0</v>
      </c>
      <c r="D3332">
        <v>0</v>
      </c>
      <c r="E3332">
        <v>0</v>
      </c>
      <c r="F3332" s="2">
        <v>0</v>
      </c>
      <c r="H3332">
        <v>0</v>
      </c>
      <c r="I3332">
        <v>0.1741125760648204</v>
      </c>
      <c r="J3332">
        <v>0</v>
      </c>
      <c r="K3332">
        <v>0</v>
      </c>
      <c r="L3332" s="2">
        <v>0</v>
      </c>
      <c r="M3332">
        <v>35.84</v>
      </c>
      <c r="N3332" t="s">
        <v>10236</v>
      </c>
    </row>
    <row r="3333" spans="1:14">
      <c r="A3333" t="s">
        <v>216</v>
      </c>
      <c r="B3333" t="s">
        <v>3480</v>
      </c>
      <c r="C3333">
        <f>"TETRAE"</f>
        <v>0</v>
      </c>
      <c r="D3333">
        <v>0</v>
      </c>
      <c r="E3333">
        <v>0</v>
      </c>
      <c r="F3333" s="2">
        <v>0</v>
      </c>
      <c r="H3333">
        <v>0</v>
      </c>
      <c r="I3333">
        <v>0.1741125760648204</v>
      </c>
      <c r="J3333">
        <v>0</v>
      </c>
      <c r="K3333">
        <v>0</v>
      </c>
      <c r="L3333" s="2">
        <v>0</v>
      </c>
      <c r="M3333">
        <v>35.85</v>
      </c>
      <c r="N3333" t="s">
        <v>10236</v>
      </c>
    </row>
    <row r="3334" spans="1:14">
      <c r="A3334" t="s">
        <v>195</v>
      </c>
      <c r="B3334" t="s">
        <v>3481</v>
      </c>
      <c r="C3334">
        <f>"25002952"</f>
        <v>0</v>
      </c>
      <c r="D3334">
        <v>0</v>
      </c>
      <c r="E3334">
        <v>0</v>
      </c>
      <c r="F3334" s="2">
        <v>0</v>
      </c>
      <c r="H3334">
        <v>0</v>
      </c>
      <c r="I3334">
        <v>0.1741125760648204</v>
      </c>
      <c r="J3334">
        <v>0</v>
      </c>
      <c r="K3334">
        <v>0</v>
      </c>
      <c r="L3334" s="2">
        <v>0</v>
      </c>
      <c r="M3334">
        <v>35.86</v>
      </c>
      <c r="N3334" t="s">
        <v>10236</v>
      </c>
    </row>
    <row r="3335" spans="1:14">
      <c r="A3335" t="s">
        <v>195</v>
      </c>
      <c r="B3335" t="s">
        <v>3482</v>
      </c>
      <c r="C3335">
        <f>"25395997"</f>
        <v>0</v>
      </c>
      <c r="D3335">
        <v>0</v>
      </c>
      <c r="E3335">
        <v>0</v>
      </c>
      <c r="F3335" s="2">
        <v>0</v>
      </c>
      <c r="H3335">
        <v>0</v>
      </c>
      <c r="I3335">
        <v>0.1741125760648204</v>
      </c>
      <c r="J3335">
        <v>0</v>
      </c>
      <c r="K3335">
        <v>0</v>
      </c>
      <c r="L3335" s="2">
        <v>0</v>
      </c>
      <c r="M3335">
        <v>35.87</v>
      </c>
      <c r="N3335" t="s">
        <v>10236</v>
      </c>
    </row>
    <row r="3336" spans="1:14">
      <c r="A3336" t="s">
        <v>32</v>
      </c>
      <c r="B3336" t="s">
        <v>816</v>
      </c>
      <c r="C3336">
        <f>"1020658"</f>
        <v>0</v>
      </c>
      <c r="D3336">
        <v>0</v>
      </c>
      <c r="E3336">
        <v>0</v>
      </c>
      <c r="F3336" s="2">
        <v>0</v>
      </c>
      <c r="H3336">
        <v>0</v>
      </c>
      <c r="I3336">
        <v>0.1741125760648204</v>
      </c>
      <c r="J3336">
        <v>0</v>
      </c>
      <c r="K3336">
        <v>0</v>
      </c>
      <c r="L3336" s="2">
        <v>0</v>
      </c>
      <c r="M3336">
        <v>35.88</v>
      </c>
      <c r="N3336" t="s">
        <v>10236</v>
      </c>
    </row>
    <row r="3337" spans="1:14">
      <c r="A3337" t="s">
        <v>32</v>
      </c>
      <c r="B3337" t="s">
        <v>816</v>
      </c>
      <c r="C3337">
        <f>"1020660"</f>
        <v>0</v>
      </c>
      <c r="D3337">
        <v>0</v>
      </c>
      <c r="E3337">
        <v>0</v>
      </c>
      <c r="F3337" s="2">
        <v>0</v>
      </c>
      <c r="H3337">
        <v>0</v>
      </c>
      <c r="I3337">
        <v>0.1741125760648204</v>
      </c>
      <c r="J3337">
        <v>0</v>
      </c>
      <c r="K3337">
        <v>0</v>
      </c>
      <c r="L3337" s="2">
        <v>0</v>
      </c>
      <c r="M3337">
        <v>35.89</v>
      </c>
      <c r="N3337" t="s">
        <v>10236</v>
      </c>
    </row>
    <row r="3338" spans="1:14">
      <c r="A3338" t="s">
        <v>32</v>
      </c>
      <c r="B3338" t="s">
        <v>816</v>
      </c>
      <c r="C3338">
        <f>"1018645"</f>
        <v>0</v>
      </c>
      <c r="D3338">
        <v>0</v>
      </c>
      <c r="E3338">
        <v>0</v>
      </c>
      <c r="F3338" s="2">
        <v>0</v>
      </c>
      <c r="H3338">
        <v>0</v>
      </c>
      <c r="I3338">
        <v>0.1741125760648204</v>
      </c>
      <c r="J3338">
        <v>0</v>
      </c>
      <c r="K3338">
        <v>0</v>
      </c>
      <c r="L3338" s="2">
        <v>0</v>
      </c>
      <c r="M3338">
        <v>35.9</v>
      </c>
      <c r="N3338" t="s">
        <v>10236</v>
      </c>
    </row>
    <row r="3339" spans="1:14">
      <c r="A3339" t="s">
        <v>32</v>
      </c>
      <c r="B3339" t="s">
        <v>816</v>
      </c>
      <c r="C3339">
        <f>"1007152"</f>
        <v>0</v>
      </c>
      <c r="D3339">
        <v>0</v>
      </c>
      <c r="E3339">
        <v>0</v>
      </c>
      <c r="F3339" s="2">
        <v>0</v>
      </c>
      <c r="H3339">
        <v>0</v>
      </c>
      <c r="I3339">
        <v>0.1741125760648204</v>
      </c>
      <c r="J3339">
        <v>0</v>
      </c>
      <c r="K3339">
        <v>0</v>
      </c>
      <c r="L3339" s="2">
        <v>0</v>
      </c>
      <c r="M3339">
        <v>35.91</v>
      </c>
      <c r="N3339" t="s">
        <v>10236</v>
      </c>
    </row>
    <row r="3340" spans="1:14">
      <c r="A3340" t="s">
        <v>31</v>
      </c>
      <c r="B3340" t="s">
        <v>3483</v>
      </c>
      <c r="C3340">
        <f>"FPP4060"</f>
        <v>0</v>
      </c>
      <c r="D3340">
        <v>0</v>
      </c>
      <c r="E3340">
        <v>5</v>
      </c>
      <c r="F3340" s="2">
        <v>9</v>
      </c>
      <c r="H3340">
        <v>0</v>
      </c>
      <c r="I3340">
        <v>0.1741125760648204</v>
      </c>
      <c r="J3340">
        <v>0</v>
      </c>
      <c r="K3340">
        <v>0</v>
      </c>
      <c r="L3340" s="2">
        <v>0</v>
      </c>
      <c r="M3340">
        <v>35.92</v>
      </c>
      <c r="N3340" t="s">
        <v>10236</v>
      </c>
    </row>
    <row r="3341" spans="1:14">
      <c r="A3341" t="s">
        <v>31</v>
      </c>
      <c r="B3341" t="s">
        <v>3484</v>
      </c>
      <c r="C3341">
        <f>"1020295"</f>
        <v>0</v>
      </c>
      <c r="D3341">
        <v>0</v>
      </c>
      <c r="E3341">
        <v>0</v>
      </c>
      <c r="F3341" s="2">
        <v>0</v>
      </c>
      <c r="H3341">
        <v>0</v>
      </c>
      <c r="I3341">
        <v>0.1741125760648204</v>
      </c>
      <c r="J3341">
        <v>0</v>
      </c>
      <c r="K3341">
        <v>0</v>
      </c>
      <c r="L3341" s="2">
        <v>0</v>
      </c>
      <c r="M3341">
        <v>35.93</v>
      </c>
      <c r="N3341" t="s">
        <v>10236</v>
      </c>
    </row>
    <row r="3342" spans="1:14">
      <c r="A3342" t="s">
        <v>25</v>
      </c>
      <c r="B3342" t="s">
        <v>3485</v>
      </c>
      <c r="C3342">
        <f>"NZ09"</f>
        <v>0</v>
      </c>
      <c r="D3342">
        <v>0</v>
      </c>
      <c r="E3342">
        <v>0</v>
      </c>
      <c r="F3342" s="2">
        <v>0</v>
      </c>
      <c r="H3342">
        <v>0</v>
      </c>
      <c r="I3342">
        <v>0.1741125760648204</v>
      </c>
      <c r="J3342">
        <v>0</v>
      </c>
      <c r="K3342">
        <v>0</v>
      </c>
      <c r="L3342" s="2">
        <v>0</v>
      </c>
      <c r="M3342">
        <v>35.94</v>
      </c>
      <c r="N3342" t="s">
        <v>10236</v>
      </c>
    </row>
    <row r="3343" spans="1:14">
      <c r="A3343" t="s">
        <v>29</v>
      </c>
      <c r="B3343" t="s">
        <v>3486</v>
      </c>
      <c r="C3343">
        <f>"YBSZ03"</f>
        <v>0</v>
      </c>
      <c r="D3343">
        <v>0</v>
      </c>
      <c r="E3343">
        <v>0</v>
      </c>
      <c r="F3343" s="2">
        <v>0</v>
      </c>
      <c r="H3343">
        <v>0</v>
      </c>
      <c r="I3343">
        <v>0.1741125760648204</v>
      </c>
      <c r="J3343">
        <v>0</v>
      </c>
      <c r="K3343">
        <v>0</v>
      </c>
      <c r="L3343" s="2">
        <v>0</v>
      </c>
      <c r="M3343">
        <v>35.94</v>
      </c>
      <c r="N3343" t="s">
        <v>10236</v>
      </c>
    </row>
    <row r="3344" spans="1:14">
      <c r="A3344" t="s">
        <v>195</v>
      </c>
      <c r="B3344" t="s">
        <v>3487</v>
      </c>
      <c r="C3344">
        <f>"25002882"</f>
        <v>0</v>
      </c>
      <c r="D3344">
        <v>0</v>
      </c>
      <c r="E3344">
        <v>0</v>
      </c>
      <c r="F3344" s="2">
        <v>0</v>
      </c>
      <c r="H3344">
        <v>0</v>
      </c>
      <c r="I3344">
        <v>0.1741125760648204</v>
      </c>
      <c r="J3344">
        <v>0</v>
      </c>
      <c r="K3344">
        <v>0</v>
      </c>
      <c r="L3344" s="2">
        <v>0</v>
      </c>
      <c r="M3344">
        <v>35.95</v>
      </c>
      <c r="N3344" t="s">
        <v>10236</v>
      </c>
    </row>
    <row r="3345" spans="1:14">
      <c r="A3345" t="s">
        <v>195</v>
      </c>
      <c r="B3345" t="s">
        <v>3488</v>
      </c>
      <c r="C3345">
        <f>"25002883"</f>
        <v>0</v>
      </c>
      <c r="D3345">
        <v>0</v>
      </c>
      <c r="E3345">
        <v>0</v>
      </c>
      <c r="F3345" s="2">
        <v>0</v>
      </c>
      <c r="H3345">
        <v>0</v>
      </c>
      <c r="I3345">
        <v>0.1741125760648204</v>
      </c>
      <c r="J3345">
        <v>0</v>
      </c>
      <c r="K3345">
        <v>0</v>
      </c>
      <c r="L3345" s="2">
        <v>0</v>
      </c>
      <c r="M3345">
        <v>35.96</v>
      </c>
      <c r="N3345" t="s">
        <v>10236</v>
      </c>
    </row>
    <row r="3346" spans="1:14">
      <c r="A3346" t="s">
        <v>218</v>
      </c>
      <c r="B3346" t="s">
        <v>3489</v>
      </c>
      <c r="C3346">
        <f>"inscls0047"</f>
        <v>0</v>
      </c>
      <c r="D3346">
        <v>0</v>
      </c>
      <c r="E3346">
        <v>0</v>
      </c>
      <c r="F3346" s="2">
        <v>0</v>
      </c>
      <c r="H3346">
        <v>0</v>
      </c>
      <c r="I3346">
        <v>0.1741125760648204</v>
      </c>
      <c r="J3346">
        <v>0</v>
      </c>
      <c r="K3346">
        <v>0</v>
      </c>
      <c r="L3346" s="2">
        <v>0</v>
      </c>
      <c r="M3346">
        <v>35.97</v>
      </c>
      <c r="N3346" t="s">
        <v>10236</v>
      </c>
    </row>
    <row r="3347" spans="1:14">
      <c r="A3347" t="s">
        <v>218</v>
      </c>
      <c r="B3347" t="s">
        <v>3490</v>
      </c>
      <c r="C3347">
        <f>"inscls0010"</f>
        <v>0</v>
      </c>
      <c r="D3347">
        <v>0</v>
      </c>
      <c r="E3347">
        <v>0</v>
      </c>
      <c r="F3347" s="2">
        <v>0</v>
      </c>
      <c r="H3347">
        <v>0</v>
      </c>
      <c r="I3347">
        <v>0.1741125760648204</v>
      </c>
      <c r="J3347">
        <v>0</v>
      </c>
      <c r="K3347">
        <v>0</v>
      </c>
      <c r="L3347" s="2">
        <v>0</v>
      </c>
      <c r="M3347">
        <v>35.98</v>
      </c>
      <c r="N3347" t="s">
        <v>10236</v>
      </c>
    </row>
    <row r="3348" spans="1:14">
      <c r="A3348" t="s">
        <v>218</v>
      </c>
      <c r="B3348" t="s">
        <v>3491</v>
      </c>
      <c r="C3348">
        <f>"inscls0011"</f>
        <v>0</v>
      </c>
      <c r="D3348">
        <v>0</v>
      </c>
      <c r="E3348">
        <v>0</v>
      </c>
      <c r="F3348" s="2">
        <v>0</v>
      </c>
      <c r="H3348">
        <v>0</v>
      </c>
      <c r="I3348">
        <v>0.1741125760648204</v>
      </c>
      <c r="J3348">
        <v>0</v>
      </c>
      <c r="K3348">
        <v>0</v>
      </c>
      <c r="L3348" s="2">
        <v>0</v>
      </c>
      <c r="M3348">
        <v>35.99</v>
      </c>
      <c r="N3348" t="s">
        <v>10236</v>
      </c>
    </row>
    <row r="3349" spans="1:14">
      <c r="A3349" t="s">
        <v>29</v>
      </c>
      <c r="B3349" t="s">
        <v>3492</v>
      </c>
      <c r="C3349">
        <f>"CH1865"</f>
        <v>0</v>
      </c>
      <c r="D3349">
        <v>0</v>
      </c>
      <c r="E3349">
        <v>0</v>
      </c>
      <c r="F3349" s="2">
        <v>0</v>
      </c>
      <c r="H3349">
        <v>0</v>
      </c>
      <c r="I3349">
        <v>0.1741125760648204</v>
      </c>
      <c r="J3349">
        <v>0</v>
      </c>
      <c r="K3349">
        <v>0</v>
      </c>
      <c r="L3349" s="2">
        <v>0</v>
      </c>
      <c r="M3349">
        <v>36</v>
      </c>
      <c r="N3349" t="s">
        <v>10236</v>
      </c>
    </row>
    <row r="3350" spans="1:14">
      <c r="A3350" t="s">
        <v>29</v>
      </c>
      <c r="B3350" t="s">
        <v>3493</v>
      </c>
      <c r="C3350">
        <f>"DU27"</f>
        <v>0</v>
      </c>
      <c r="D3350">
        <v>0</v>
      </c>
      <c r="E3350">
        <v>0</v>
      </c>
      <c r="F3350" s="2">
        <v>0</v>
      </c>
      <c r="H3350">
        <v>0</v>
      </c>
      <c r="I3350">
        <v>0.1741125760648204</v>
      </c>
      <c r="J3350">
        <v>0</v>
      </c>
      <c r="K3350">
        <v>0</v>
      </c>
      <c r="L3350" s="2">
        <v>0</v>
      </c>
      <c r="M3350">
        <v>36.01</v>
      </c>
      <c r="N3350" t="s">
        <v>10236</v>
      </c>
    </row>
    <row r="3351" spans="1:14">
      <c r="A3351" t="s">
        <v>195</v>
      </c>
      <c r="B3351" t="s">
        <v>3494</v>
      </c>
      <c r="C3351">
        <f>"25390104"</f>
        <v>0</v>
      </c>
      <c r="D3351">
        <v>0</v>
      </c>
      <c r="E3351">
        <v>0</v>
      </c>
      <c r="F3351" s="2">
        <v>0</v>
      </c>
      <c r="H3351">
        <v>0</v>
      </c>
      <c r="I3351">
        <v>0.1741125760648204</v>
      </c>
      <c r="J3351">
        <v>0</v>
      </c>
      <c r="K3351">
        <v>0</v>
      </c>
      <c r="L3351" s="2">
        <v>0</v>
      </c>
      <c r="M3351">
        <v>36.02</v>
      </c>
      <c r="N3351" t="s">
        <v>10236</v>
      </c>
    </row>
    <row r="3352" spans="1:14">
      <c r="A3352" t="s">
        <v>195</v>
      </c>
      <c r="B3352" t="s">
        <v>3495</v>
      </c>
      <c r="C3352">
        <f>"25390105"</f>
        <v>0</v>
      </c>
      <c r="D3352">
        <v>0</v>
      </c>
      <c r="E3352">
        <v>0</v>
      </c>
      <c r="F3352" s="2">
        <v>0</v>
      </c>
      <c r="H3352">
        <v>0</v>
      </c>
      <c r="I3352">
        <v>0.1741125760648204</v>
      </c>
      <c r="J3352">
        <v>0</v>
      </c>
      <c r="K3352">
        <v>0</v>
      </c>
      <c r="L3352" s="2">
        <v>0</v>
      </c>
      <c r="M3352">
        <v>36.03</v>
      </c>
      <c r="N3352" t="s">
        <v>10236</v>
      </c>
    </row>
    <row r="3353" spans="1:14">
      <c r="A3353" t="s">
        <v>195</v>
      </c>
      <c r="B3353" t="s">
        <v>3496</v>
      </c>
      <c r="C3353">
        <f>"25390049"</f>
        <v>0</v>
      </c>
      <c r="D3353">
        <v>0</v>
      </c>
      <c r="E3353">
        <v>0</v>
      </c>
      <c r="F3353" s="2">
        <v>0</v>
      </c>
      <c r="H3353">
        <v>0</v>
      </c>
      <c r="I3353">
        <v>0.1741125760648204</v>
      </c>
      <c r="J3353">
        <v>0</v>
      </c>
      <c r="K3353">
        <v>0</v>
      </c>
      <c r="L3353" s="2">
        <v>0</v>
      </c>
      <c r="M3353">
        <v>36.04</v>
      </c>
      <c r="N3353" t="s">
        <v>10236</v>
      </c>
    </row>
    <row r="3354" spans="1:14">
      <c r="A3354" t="s">
        <v>195</v>
      </c>
      <c r="B3354" t="s">
        <v>3497</v>
      </c>
      <c r="C3354">
        <f>"25395691"</f>
        <v>0</v>
      </c>
      <c r="D3354">
        <v>0</v>
      </c>
      <c r="E3354">
        <v>0</v>
      </c>
      <c r="F3354" s="2">
        <v>0</v>
      </c>
      <c r="H3354">
        <v>0</v>
      </c>
      <c r="I3354">
        <v>0.1741125760648204</v>
      </c>
      <c r="J3354">
        <v>0</v>
      </c>
      <c r="K3354">
        <v>0</v>
      </c>
      <c r="L3354" s="2">
        <v>0</v>
      </c>
      <c r="M3354">
        <v>36.05</v>
      </c>
      <c r="N3354" t="s">
        <v>10236</v>
      </c>
    </row>
    <row r="3355" spans="1:14">
      <c r="A3355" t="s">
        <v>29</v>
      </c>
      <c r="B3355" t="s">
        <v>3498</v>
      </c>
      <c r="C3355">
        <f>"80102"</f>
        <v>0</v>
      </c>
      <c r="D3355">
        <v>0</v>
      </c>
      <c r="E3355">
        <v>0</v>
      </c>
      <c r="F3355" s="2">
        <v>0</v>
      </c>
      <c r="H3355">
        <v>0</v>
      </c>
      <c r="I3355">
        <v>0.1741125760648204</v>
      </c>
      <c r="J3355">
        <v>0</v>
      </c>
      <c r="K3355">
        <v>0</v>
      </c>
      <c r="L3355" s="2">
        <v>0</v>
      </c>
      <c r="M3355">
        <v>36.06</v>
      </c>
      <c r="N3355" t="s">
        <v>10236</v>
      </c>
    </row>
    <row r="3356" spans="1:14">
      <c r="A3356" t="s">
        <v>216</v>
      </c>
      <c r="B3356" t="s">
        <v>3499</v>
      </c>
      <c r="C3356">
        <f>"1605803913575"</f>
        <v>0</v>
      </c>
      <c r="D3356">
        <v>0</v>
      </c>
      <c r="E3356">
        <v>0</v>
      </c>
      <c r="F3356" s="2">
        <v>0</v>
      </c>
      <c r="H3356">
        <v>0</v>
      </c>
      <c r="I3356">
        <v>0.1741125760648204</v>
      </c>
      <c r="J3356">
        <v>0</v>
      </c>
      <c r="K3356">
        <v>0</v>
      </c>
      <c r="L3356" s="2">
        <v>0</v>
      </c>
      <c r="M3356">
        <v>36.06</v>
      </c>
      <c r="N3356" t="s">
        <v>10236</v>
      </c>
    </row>
    <row r="3357" spans="1:14">
      <c r="A3357" t="s">
        <v>195</v>
      </c>
      <c r="B3357" t="s">
        <v>3500</v>
      </c>
      <c r="C3357">
        <f>"25390083"</f>
        <v>0</v>
      </c>
      <c r="D3357">
        <v>0</v>
      </c>
      <c r="E3357">
        <v>0</v>
      </c>
      <c r="F3357" s="2">
        <v>0</v>
      </c>
      <c r="H3357">
        <v>0</v>
      </c>
      <c r="I3357">
        <v>0.1741125760648204</v>
      </c>
      <c r="J3357">
        <v>0</v>
      </c>
      <c r="K3357">
        <v>0</v>
      </c>
      <c r="L3357" s="2">
        <v>0</v>
      </c>
      <c r="M3357">
        <v>36.07</v>
      </c>
      <c r="N3357" t="s">
        <v>10236</v>
      </c>
    </row>
    <row r="3358" spans="1:14">
      <c r="A3358" t="s">
        <v>195</v>
      </c>
      <c r="B3358" t="s">
        <v>3501</v>
      </c>
      <c r="C3358">
        <f>"25390072"</f>
        <v>0</v>
      </c>
      <c r="D3358">
        <v>0</v>
      </c>
      <c r="E3358">
        <v>0</v>
      </c>
      <c r="F3358" s="2">
        <v>0</v>
      </c>
      <c r="H3358">
        <v>0</v>
      </c>
      <c r="I3358">
        <v>0.1741125760648204</v>
      </c>
      <c r="J3358">
        <v>0</v>
      </c>
      <c r="K3358">
        <v>0</v>
      </c>
      <c r="L3358" s="2">
        <v>0</v>
      </c>
      <c r="M3358">
        <v>36.08</v>
      </c>
      <c r="N3358" t="s">
        <v>10236</v>
      </c>
    </row>
    <row r="3359" spans="1:14">
      <c r="A3359" t="s">
        <v>195</v>
      </c>
      <c r="B3359" t="s">
        <v>3502</v>
      </c>
      <c r="C3359">
        <f>"25390073"</f>
        <v>0</v>
      </c>
      <c r="D3359">
        <v>0</v>
      </c>
      <c r="E3359">
        <v>0</v>
      </c>
      <c r="F3359" s="2">
        <v>0</v>
      </c>
      <c r="H3359">
        <v>0</v>
      </c>
      <c r="I3359">
        <v>0.1741125760648204</v>
      </c>
      <c r="J3359">
        <v>0</v>
      </c>
      <c r="K3359">
        <v>0</v>
      </c>
      <c r="L3359" s="2">
        <v>0</v>
      </c>
      <c r="M3359">
        <v>36.09</v>
      </c>
      <c r="N3359" t="s">
        <v>10236</v>
      </c>
    </row>
    <row r="3360" spans="1:14">
      <c r="A3360" t="s">
        <v>195</v>
      </c>
      <c r="B3360" t="s">
        <v>3503</v>
      </c>
      <c r="C3360">
        <f>"25390074"</f>
        <v>0</v>
      </c>
      <c r="D3360">
        <v>0</v>
      </c>
      <c r="E3360">
        <v>0</v>
      </c>
      <c r="F3360" s="2">
        <v>0</v>
      </c>
      <c r="H3360">
        <v>0</v>
      </c>
      <c r="I3360">
        <v>0.1741125760648204</v>
      </c>
      <c r="J3360">
        <v>0</v>
      </c>
      <c r="K3360">
        <v>0</v>
      </c>
      <c r="L3360" s="2">
        <v>0</v>
      </c>
      <c r="M3360">
        <v>36.1</v>
      </c>
      <c r="N3360" t="s">
        <v>10236</v>
      </c>
    </row>
    <row r="3361" spans="1:14">
      <c r="A3361" t="s">
        <v>195</v>
      </c>
      <c r="B3361" t="s">
        <v>3504</v>
      </c>
      <c r="C3361">
        <f>"25390071"</f>
        <v>0</v>
      </c>
      <c r="D3361">
        <v>0</v>
      </c>
      <c r="E3361">
        <v>0</v>
      </c>
      <c r="F3361" s="2">
        <v>0</v>
      </c>
      <c r="H3361">
        <v>0</v>
      </c>
      <c r="I3361">
        <v>0.1741125760648204</v>
      </c>
      <c r="J3361">
        <v>0</v>
      </c>
      <c r="K3361">
        <v>0</v>
      </c>
      <c r="L3361" s="2">
        <v>0</v>
      </c>
      <c r="M3361">
        <v>36.11</v>
      </c>
      <c r="N3361" t="s">
        <v>10236</v>
      </c>
    </row>
    <row r="3362" spans="1:14">
      <c r="A3362" t="s">
        <v>35</v>
      </c>
      <c r="B3362" t="s">
        <v>3505</v>
      </c>
      <c r="C3362">
        <f>"PINP"</f>
        <v>0</v>
      </c>
      <c r="D3362">
        <v>0</v>
      </c>
      <c r="E3362">
        <v>0</v>
      </c>
      <c r="F3362" s="2">
        <v>0</v>
      </c>
      <c r="H3362">
        <v>0</v>
      </c>
      <c r="I3362">
        <v>0.1741125760648204</v>
      </c>
      <c r="J3362">
        <v>0</v>
      </c>
      <c r="K3362">
        <v>0</v>
      </c>
      <c r="L3362" s="2">
        <v>0</v>
      </c>
      <c r="M3362">
        <v>36.12</v>
      </c>
      <c r="N3362" t="s">
        <v>10236</v>
      </c>
    </row>
    <row r="3363" spans="1:14">
      <c r="A3363" t="s">
        <v>216</v>
      </c>
      <c r="B3363" t="s">
        <v>3506</v>
      </c>
      <c r="C3363">
        <f>"1598827665863"</f>
        <v>0</v>
      </c>
      <c r="D3363">
        <v>0</v>
      </c>
      <c r="E3363">
        <v>0</v>
      </c>
      <c r="F3363" s="2">
        <v>0</v>
      </c>
      <c r="H3363">
        <v>0</v>
      </c>
      <c r="I3363">
        <v>0.1741125760648204</v>
      </c>
      <c r="J3363">
        <v>0</v>
      </c>
      <c r="K3363">
        <v>0</v>
      </c>
      <c r="L3363" s="2">
        <v>0</v>
      </c>
      <c r="M3363">
        <v>36.13</v>
      </c>
      <c r="N3363" t="s">
        <v>10236</v>
      </c>
    </row>
    <row r="3364" spans="1:14">
      <c r="A3364" t="s">
        <v>218</v>
      </c>
      <c r="B3364" t="s">
        <v>3507</v>
      </c>
      <c r="C3364">
        <f>"inscls0028"</f>
        <v>0</v>
      </c>
      <c r="D3364">
        <v>0</v>
      </c>
      <c r="E3364">
        <v>0</v>
      </c>
      <c r="F3364" s="2">
        <v>0</v>
      </c>
      <c r="H3364">
        <v>0</v>
      </c>
      <c r="I3364">
        <v>0.1741125760648204</v>
      </c>
      <c r="J3364">
        <v>0</v>
      </c>
      <c r="K3364">
        <v>0</v>
      </c>
      <c r="L3364" s="2">
        <v>0</v>
      </c>
      <c r="M3364">
        <v>36.14</v>
      </c>
      <c r="N3364" t="s">
        <v>10236</v>
      </c>
    </row>
    <row r="3365" spans="1:14">
      <c r="A3365" t="s">
        <v>35</v>
      </c>
      <c r="B3365" t="s">
        <v>3508</v>
      </c>
      <c r="C3365">
        <f>"XC04N"</f>
        <v>0</v>
      </c>
      <c r="D3365">
        <v>0</v>
      </c>
      <c r="E3365">
        <v>0</v>
      </c>
      <c r="F3365" s="2">
        <v>0</v>
      </c>
      <c r="H3365">
        <v>0</v>
      </c>
      <c r="I3365">
        <v>0.1741125760648204</v>
      </c>
      <c r="J3365">
        <v>0</v>
      </c>
      <c r="K3365">
        <v>0</v>
      </c>
      <c r="L3365" s="2">
        <v>0</v>
      </c>
      <c r="M3365">
        <v>36.15</v>
      </c>
      <c r="N3365" t="s">
        <v>10236</v>
      </c>
    </row>
    <row r="3366" spans="1:14">
      <c r="A3366" t="s">
        <v>225</v>
      </c>
      <c r="B3366" t="s">
        <v>3509</v>
      </c>
      <c r="C3366">
        <f>"MM100"</f>
        <v>0</v>
      </c>
      <c r="D3366">
        <v>0</v>
      </c>
      <c r="E3366">
        <v>0</v>
      </c>
      <c r="F3366" s="2">
        <v>0</v>
      </c>
      <c r="H3366">
        <v>0</v>
      </c>
      <c r="I3366">
        <v>0.1741125760648204</v>
      </c>
      <c r="J3366">
        <v>0</v>
      </c>
      <c r="K3366">
        <v>0</v>
      </c>
      <c r="L3366" s="2">
        <v>0</v>
      </c>
      <c r="M3366">
        <v>36.16</v>
      </c>
      <c r="N3366" t="s">
        <v>10236</v>
      </c>
    </row>
    <row r="3367" spans="1:14">
      <c r="A3367" t="s">
        <v>29</v>
      </c>
      <c r="B3367" t="s">
        <v>3510</v>
      </c>
      <c r="C3367">
        <f>"MCAL"</f>
        <v>0</v>
      </c>
      <c r="D3367">
        <v>0</v>
      </c>
      <c r="E3367">
        <v>2</v>
      </c>
      <c r="F3367" s="2">
        <v>2</v>
      </c>
      <c r="H3367">
        <v>0</v>
      </c>
      <c r="I3367">
        <v>0.1741125760648204</v>
      </c>
      <c r="J3367">
        <v>0</v>
      </c>
      <c r="K3367">
        <v>0</v>
      </c>
      <c r="L3367" s="2">
        <v>0</v>
      </c>
      <c r="M3367">
        <v>36.17</v>
      </c>
      <c r="N3367" t="s">
        <v>10236</v>
      </c>
    </row>
    <row r="3368" spans="1:14">
      <c r="A3368" t="s">
        <v>213</v>
      </c>
      <c r="B3368" t="s">
        <v>3511</v>
      </c>
      <c r="C3368">
        <f>"500661"</f>
        <v>0</v>
      </c>
      <c r="D3368">
        <v>0</v>
      </c>
      <c r="E3368">
        <v>0</v>
      </c>
      <c r="F3368" s="2">
        <v>0</v>
      </c>
      <c r="H3368">
        <v>0</v>
      </c>
      <c r="I3368">
        <v>0.1741125760648204</v>
      </c>
      <c r="J3368">
        <v>0</v>
      </c>
      <c r="K3368">
        <v>0</v>
      </c>
      <c r="L3368" s="2">
        <v>0</v>
      </c>
      <c r="M3368">
        <v>36.18</v>
      </c>
      <c r="N3368" t="s">
        <v>10236</v>
      </c>
    </row>
    <row r="3369" spans="1:14">
      <c r="A3369" t="s">
        <v>35</v>
      </c>
      <c r="B3369" t="s">
        <v>3512</v>
      </c>
      <c r="C3369">
        <f>"MK01MM"</f>
        <v>0</v>
      </c>
      <c r="D3369">
        <v>0</v>
      </c>
      <c r="E3369">
        <v>0</v>
      </c>
      <c r="F3369" s="2">
        <v>0</v>
      </c>
      <c r="H3369">
        <v>0</v>
      </c>
      <c r="I3369">
        <v>0.1741125760648204</v>
      </c>
      <c r="J3369">
        <v>0</v>
      </c>
      <c r="K3369">
        <v>0</v>
      </c>
      <c r="L3369" s="2">
        <v>0</v>
      </c>
      <c r="M3369">
        <v>36.18</v>
      </c>
      <c r="N3369" t="s">
        <v>10236</v>
      </c>
    </row>
    <row r="3370" spans="1:14">
      <c r="A3370" t="s">
        <v>35</v>
      </c>
      <c r="B3370" t="s">
        <v>3513</v>
      </c>
      <c r="C3370">
        <f>"MK01LM"</f>
        <v>0</v>
      </c>
      <c r="D3370">
        <v>0</v>
      </c>
      <c r="E3370">
        <v>0</v>
      </c>
      <c r="F3370" s="2">
        <v>0</v>
      </c>
      <c r="H3370">
        <v>0</v>
      </c>
      <c r="I3370">
        <v>0.1741125760648204</v>
      </c>
      <c r="J3370">
        <v>0</v>
      </c>
      <c r="K3370">
        <v>0</v>
      </c>
      <c r="L3370" s="2">
        <v>0</v>
      </c>
      <c r="M3370">
        <v>36.19</v>
      </c>
      <c r="N3370" t="s">
        <v>10236</v>
      </c>
    </row>
    <row r="3371" spans="1:14">
      <c r="A3371" t="s">
        <v>35</v>
      </c>
      <c r="B3371" t="s">
        <v>3514</v>
      </c>
      <c r="C3371">
        <f>"MK01XLB"</f>
        <v>0</v>
      </c>
      <c r="D3371">
        <v>0</v>
      </c>
      <c r="E3371">
        <v>0</v>
      </c>
      <c r="F3371" s="2">
        <v>0</v>
      </c>
      <c r="H3371">
        <v>0</v>
      </c>
      <c r="I3371">
        <v>0.1741125760648204</v>
      </c>
      <c r="J3371">
        <v>0</v>
      </c>
      <c r="K3371">
        <v>0</v>
      </c>
      <c r="L3371" s="2">
        <v>0</v>
      </c>
      <c r="M3371">
        <v>36.2</v>
      </c>
      <c r="N3371" t="s">
        <v>10236</v>
      </c>
    </row>
    <row r="3372" spans="1:14">
      <c r="A3372" t="s">
        <v>35</v>
      </c>
      <c r="B3372" t="s">
        <v>3515</v>
      </c>
      <c r="C3372">
        <f>"MK01SB"</f>
        <v>0</v>
      </c>
      <c r="D3372">
        <v>0</v>
      </c>
      <c r="E3372">
        <v>0</v>
      </c>
      <c r="F3372" s="2">
        <v>0</v>
      </c>
      <c r="H3372">
        <v>0</v>
      </c>
      <c r="I3372">
        <v>0.1741125760648204</v>
      </c>
      <c r="J3372">
        <v>0</v>
      </c>
      <c r="K3372">
        <v>0</v>
      </c>
      <c r="L3372" s="2">
        <v>0</v>
      </c>
      <c r="M3372">
        <v>36.21</v>
      </c>
      <c r="N3372" t="s">
        <v>10236</v>
      </c>
    </row>
    <row r="3373" spans="1:14">
      <c r="A3373" t="s">
        <v>35</v>
      </c>
      <c r="B3373" t="s">
        <v>3516</v>
      </c>
      <c r="C3373">
        <f>"MK01MB"</f>
        <v>0</v>
      </c>
      <c r="D3373">
        <v>0</v>
      </c>
      <c r="E3373">
        <v>0</v>
      </c>
      <c r="F3373" s="2">
        <v>0</v>
      </c>
      <c r="H3373">
        <v>0</v>
      </c>
      <c r="I3373">
        <v>0.1741125760648204</v>
      </c>
      <c r="J3373">
        <v>0</v>
      </c>
      <c r="K3373">
        <v>0</v>
      </c>
      <c r="L3373" s="2">
        <v>0</v>
      </c>
      <c r="M3373">
        <v>36.22</v>
      </c>
      <c r="N3373" t="s">
        <v>10236</v>
      </c>
    </row>
    <row r="3374" spans="1:14">
      <c r="A3374" t="s">
        <v>35</v>
      </c>
      <c r="B3374" t="s">
        <v>3517</v>
      </c>
      <c r="C3374">
        <f>"MK01LB"</f>
        <v>0</v>
      </c>
      <c r="D3374">
        <v>0</v>
      </c>
      <c r="E3374">
        <v>0</v>
      </c>
      <c r="F3374" s="2">
        <v>0</v>
      </c>
      <c r="H3374">
        <v>0</v>
      </c>
      <c r="I3374">
        <v>0.1741125760648204</v>
      </c>
      <c r="J3374">
        <v>0</v>
      </c>
      <c r="K3374">
        <v>0</v>
      </c>
      <c r="L3374" s="2">
        <v>0</v>
      </c>
      <c r="M3374">
        <v>36.23</v>
      </c>
      <c r="N3374" t="s">
        <v>10236</v>
      </c>
    </row>
    <row r="3375" spans="1:14">
      <c r="A3375" t="s">
        <v>223</v>
      </c>
      <c r="B3375" t="s">
        <v>3518</v>
      </c>
      <c r="C3375">
        <f>"5101705"</f>
        <v>0</v>
      </c>
      <c r="D3375">
        <v>0</v>
      </c>
      <c r="E3375">
        <v>0</v>
      </c>
      <c r="F3375" s="2">
        <v>0</v>
      </c>
      <c r="H3375">
        <v>0</v>
      </c>
      <c r="I3375">
        <v>0.1741125760648204</v>
      </c>
      <c r="J3375">
        <v>0</v>
      </c>
      <c r="K3375">
        <v>0</v>
      </c>
      <c r="L3375" s="2">
        <v>0</v>
      </c>
      <c r="M3375">
        <v>36.24</v>
      </c>
      <c r="N3375" t="s">
        <v>10236</v>
      </c>
    </row>
    <row r="3376" spans="1:14">
      <c r="A3376" t="s">
        <v>41</v>
      </c>
      <c r="B3376" t="s">
        <v>3519</v>
      </c>
      <c r="C3376">
        <f>"VEINTMOM91"</f>
        <v>0</v>
      </c>
      <c r="D3376">
        <v>0</v>
      </c>
      <c r="E3376">
        <v>0</v>
      </c>
      <c r="F3376" s="2">
        <v>0</v>
      </c>
      <c r="H3376">
        <v>0</v>
      </c>
      <c r="I3376">
        <v>0.1741125760648204</v>
      </c>
      <c r="J3376">
        <v>0</v>
      </c>
      <c r="K3376">
        <v>0</v>
      </c>
      <c r="L3376" s="2">
        <v>0</v>
      </c>
      <c r="M3376">
        <v>36.25</v>
      </c>
      <c r="N3376" t="s">
        <v>10236</v>
      </c>
    </row>
    <row r="3377" spans="1:14">
      <c r="A3377" t="s">
        <v>192</v>
      </c>
      <c r="B3377" t="s">
        <v>3520</v>
      </c>
      <c r="C3377">
        <f>"LN056"</f>
        <v>0</v>
      </c>
      <c r="D3377">
        <v>0</v>
      </c>
      <c r="E3377">
        <v>0</v>
      </c>
      <c r="F3377" s="2">
        <v>0</v>
      </c>
      <c r="H3377">
        <v>0</v>
      </c>
      <c r="I3377">
        <v>0.1741125760648204</v>
      </c>
      <c r="J3377">
        <v>0</v>
      </c>
      <c r="K3377">
        <v>0</v>
      </c>
      <c r="L3377" s="2">
        <v>0</v>
      </c>
      <c r="M3377">
        <v>36.26</v>
      </c>
      <c r="N3377" t="s">
        <v>10236</v>
      </c>
    </row>
    <row r="3378" spans="1:14">
      <c r="A3378" t="s">
        <v>35</v>
      </c>
      <c r="B3378" t="s">
        <v>3521</v>
      </c>
      <c r="C3378">
        <f>"A17"</f>
        <v>0</v>
      </c>
      <c r="D3378">
        <v>0</v>
      </c>
      <c r="E3378">
        <v>0</v>
      </c>
      <c r="F3378" s="2">
        <v>0</v>
      </c>
      <c r="H3378">
        <v>0</v>
      </c>
      <c r="I3378">
        <v>0.1741125760648204</v>
      </c>
      <c r="J3378">
        <v>0</v>
      </c>
      <c r="K3378">
        <v>0</v>
      </c>
      <c r="L3378" s="2">
        <v>0</v>
      </c>
      <c r="M3378">
        <v>36.27</v>
      </c>
      <c r="N3378" t="s">
        <v>10236</v>
      </c>
    </row>
    <row r="3379" spans="1:14">
      <c r="A3379" t="s">
        <v>35</v>
      </c>
      <c r="B3379" t="s">
        <v>3522</v>
      </c>
      <c r="C3379">
        <f>"B1090484XLV"</f>
        <v>0</v>
      </c>
      <c r="D3379">
        <v>0</v>
      </c>
      <c r="E3379">
        <v>1</v>
      </c>
      <c r="F3379" s="2">
        <v>9</v>
      </c>
      <c r="H3379">
        <v>0</v>
      </c>
      <c r="I3379">
        <v>0.1741125760648204</v>
      </c>
      <c r="J3379">
        <v>0</v>
      </c>
      <c r="K3379">
        <v>0</v>
      </c>
      <c r="L3379" s="2">
        <v>0</v>
      </c>
      <c r="M3379">
        <v>36.28</v>
      </c>
      <c r="N3379" t="s">
        <v>10236</v>
      </c>
    </row>
    <row r="3380" spans="1:14">
      <c r="A3380" t="s">
        <v>35</v>
      </c>
      <c r="B3380" t="s">
        <v>3523</v>
      </c>
      <c r="C3380">
        <f>"9381GNA"</f>
        <v>0</v>
      </c>
      <c r="D3380">
        <v>0</v>
      </c>
      <c r="E3380">
        <v>0</v>
      </c>
      <c r="F3380" s="2">
        <v>0</v>
      </c>
      <c r="H3380">
        <v>0</v>
      </c>
      <c r="I3380">
        <v>0.1741125760648204</v>
      </c>
      <c r="J3380">
        <v>0</v>
      </c>
      <c r="K3380">
        <v>0</v>
      </c>
      <c r="L3380" s="2">
        <v>0</v>
      </c>
      <c r="M3380">
        <v>36.29</v>
      </c>
      <c r="N3380" t="s">
        <v>10236</v>
      </c>
    </row>
    <row r="3381" spans="1:14">
      <c r="A3381" t="s">
        <v>35</v>
      </c>
      <c r="B3381" t="s">
        <v>3524</v>
      </c>
      <c r="C3381">
        <f>"9381GC"</f>
        <v>0</v>
      </c>
      <c r="D3381">
        <v>0</v>
      </c>
      <c r="E3381">
        <v>2</v>
      </c>
      <c r="F3381" s="2">
        <v>9</v>
      </c>
      <c r="H3381">
        <v>0</v>
      </c>
      <c r="I3381">
        <v>0.1741125760648204</v>
      </c>
      <c r="J3381">
        <v>0</v>
      </c>
      <c r="K3381">
        <v>0</v>
      </c>
      <c r="L3381" s="2">
        <v>0</v>
      </c>
      <c r="M3381">
        <v>36.29</v>
      </c>
      <c r="N3381" t="s">
        <v>10236</v>
      </c>
    </row>
    <row r="3382" spans="1:14">
      <c r="A3382" t="s">
        <v>35</v>
      </c>
      <c r="B3382" t="s">
        <v>3525</v>
      </c>
      <c r="C3382">
        <f>"9381GA"</f>
        <v>0</v>
      </c>
      <c r="D3382">
        <v>0</v>
      </c>
      <c r="E3382">
        <v>0</v>
      </c>
      <c r="F3382" s="2">
        <v>0</v>
      </c>
      <c r="H3382">
        <v>0</v>
      </c>
      <c r="I3382">
        <v>0.1741125760648204</v>
      </c>
      <c r="J3382">
        <v>0</v>
      </c>
      <c r="K3382">
        <v>0</v>
      </c>
      <c r="L3382" s="2">
        <v>0</v>
      </c>
      <c r="M3382">
        <v>36.3</v>
      </c>
      <c r="N3382" t="s">
        <v>10236</v>
      </c>
    </row>
    <row r="3383" spans="1:14">
      <c r="A3383" t="s">
        <v>35</v>
      </c>
      <c r="B3383" t="s">
        <v>3526</v>
      </c>
      <c r="C3383">
        <f>"19192B"</f>
        <v>0</v>
      </c>
      <c r="D3383">
        <v>0</v>
      </c>
      <c r="E3383">
        <v>2</v>
      </c>
      <c r="F3383" s="2">
        <v>22</v>
      </c>
      <c r="H3383">
        <v>0</v>
      </c>
      <c r="I3383">
        <v>0.1741125760648204</v>
      </c>
      <c r="J3383">
        <v>0</v>
      </c>
      <c r="K3383">
        <v>0</v>
      </c>
      <c r="L3383" s="2">
        <v>0</v>
      </c>
      <c r="M3383">
        <v>36.31</v>
      </c>
      <c r="N3383" t="s">
        <v>10236</v>
      </c>
    </row>
    <row r="3384" spans="1:14">
      <c r="A3384" t="s">
        <v>35</v>
      </c>
      <c r="B3384" t="s">
        <v>3527</v>
      </c>
      <c r="C3384">
        <f>"763BOS"</f>
        <v>0</v>
      </c>
      <c r="D3384">
        <v>0</v>
      </c>
      <c r="E3384">
        <v>0</v>
      </c>
      <c r="F3384" s="2">
        <v>0</v>
      </c>
      <c r="H3384">
        <v>0</v>
      </c>
      <c r="I3384">
        <v>0.1741125760648204</v>
      </c>
      <c r="J3384">
        <v>0</v>
      </c>
      <c r="K3384">
        <v>0</v>
      </c>
      <c r="L3384" s="2">
        <v>0</v>
      </c>
      <c r="M3384">
        <v>36.32</v>
      </c>
      <c r="N3384" t="s">
        <v>10236</v>
      </c>
    </row>
    <row r="3385" spans="1:14">
      <c r="A3385" t="s">
        <v>35</v>
      </c>
      <c r="B3385" t="s">
        <v>3528</v>
      </c>
      <c r="C3385">
        <f>"FB896SNAR"</f>
        <v>0</v>
      </c>
      <c r="D3385">
        <v>0</v>
      </c>
      <c r="E3385">
        <v>0</v>
      </c>
      <c r="F3385" s="2">
        <v>0</v>
      </c>
      <c r="H3385">
        <v>0</v>
      </c>
      <c r="I3385">
        <v>0.1741125760648204</v>
      </c>
      <c r="J3385">
        <v>0</v>
      </c>
      <c r="K3385">
        <v>0</v>
      </c>
      <c r="L3385" s="2">
        <v>0</v>
      </c>
      <c r="M3385">
        <v>36.33</v>
      </c>
      <c r="N3385" t="s">
        <v>10236</v>
      </c>
    </row>
    <row r="3386" spans="1:14">
      <c r="A3386" t="s">
        <v>35</v>
      </c>
      <c r="B3386" t="s">
        <v>3529</v>
      </c>
      <c r="C3386">
        <f>"FB896SMOS"</f>
        <v>0</v>
      </c>
      <c r="D3386">
        <v>0</v>
      </c>
      <c r="E3386">
        <v>0</v>
      </c>
      <c r="F3386" s="2">
        <v>0</v>
      </c>
      <c r="H3386">
        <v>0</v>
      </c>
      <c r="I3386">
        <v>0.1741125760648204</v>
      </c>
      <c r="J3386">
        <v>0</v>
      </c>
      <c r="K3386">
        <v>0</v>
      </c>
      <c r="L3386" s="2">
        <v>0</v>
      </c>
      <c r="M3386">
        <v>36.34</v>
      </c>
      <c r="N3386" t="s">
        <v>10236</v>
      </c>
    </row>
    <row r="3387" spans="1:14">
      <c r="A3387" t="s">
        <v>35</v>
      </c>
      <c r="B3387" t="s">
        <v>3530</v>
      </c>
      <c r="C3387">
        <f>"FB896MV"</f>
        <v>0</v>
      </c>
      <c r="D3387">
        <v>0</v>
      </c>
      <c r="E3387">
        <v>0</v>
      </c>
      <c r="F3387" s="2">
        <v>0</v>
      </c>
      <c r="H3387">
        <v>0</v>
      </c>
      <c r="I3387">
        <v>0.1741125760648204</v>
      </c>
      <c r="J3387">
        <v>0</v>
      </c>
      <c r="K3387">
        <v>0</v>
      </c>
      <c r="L3387" s="2">
        <v>0</v>
      </c>
      <c r="M3387">
        <v>36.35</v>
      </c>
      <c r="N3387" t="s">
        <v>10236</v>
      </c>
    </row>
    <row r="3388" spans="1:14">
      <c r="A3388" t="s">
        <v>35</v>
      </c>
      <c r="B3388" t="s">
        <v>3531</v>
      </c>
      <c r="C3388">
        <f>"FB896MNAR"</f>
        <v>0</v>
      </c>
      <c r="D3388">
        <v>0</v>
      </c>
      <c r="E3388">
        <v>0</v>
      </c>
      <c r="F3388" s="2">
        <v>0</v>
      </c>
      <c r="H3388">
        <v>0</v>
      </c>
      <c r="I3388">
        <v>0.1741125760648204</v>
      </c>
      <c r="J3388">
        <v>0</v>
      </c>
      <c r="K3388">
        <v>0</v>
      </c>
      <c r="L3388" s="2">
        <v>0</v>
      </c>
      <c r="M3388">
        <v>36.36</v>
      </c>
      <c r="N3388" t="s">
        <v>10236</v>
      </c>
    </row>
    <row r="3389" spans="1:14">
      <c r="A3389" t="s">
        <v>35</v>
      </c>
      <c r="B3389" t="s">
        <v>3532</v>
      </c>
      <c r="C3389">
        <f>"FB896MM"</f>
        <v>0</v>
      </c>
      <c r="D3389">
        <v>0</v>
      </c>
      <c r="E3389">
        <v>0</v>
      </c>
      <c r="F3389" s="2">
        <v>0</v>
      </c>
      <c r="H3389">
        <v>0</v>
      </c>
      <c r="I3389">
        <v>0.1741125760648204</v>
      </c>
      <c r="J3389">
        <v>0</v>
      </c>
      <c r="K3389">
        <v>0</v>
      </c>
      <c r="L3389" s="2">
        <v>0</v>
      </c>
      <c r="M3389">
        <v>36.37</v>
      </c>
      <c r="N3389" t="s">
        <v>10236</v>
      </c>
    </row>
    <row r="3390" spans="1:14">
      <c r="A3390" t="s">
        <v>35</v>
      </c>
      <c r="B3390" t="s">
        <v>3533</v>
      </c>
      <c r="C3390">
        <f>"XC04C"</f>
        <v>0</v>
      </c>
      <c r="D3390">
        <v>0</v>
      </c>
      <c r="E3390">
        <v>0</v>
      </c>
      <c r="F3390" s="2">
        <v>0</v>
      </c>
      <c r="H3390">
        <v>0</v>
      </c>
      <c r="I3390">
        <v>0.1741125760648204</v>
      </c>
      <c r="J3390">
        <v>0</v>
      </c>
      <c r="K3390">
        <v>0</v>
      </c>
      <c r="L3390" s="2">
        <v>0</v>
      </c>
      <c r="M3390">
        <v>36.38</v>
      </c>
      <c r="N3390" t="s">
        <v>10236</v>
      </c>
    </row>
    <row r="3391" spans="1:14">
      <c r="A3391" t="s">
        <v>35</v>
      </c>
      <c r="B3391" t="s">
        <v>3534</v>
      </c>
      <c r="C3391">
        <f>"XC04B"</f>
        <v>0</v>
      </c>
      <c r="D3391">
        <v>0</v>
      </c>
      <c r="E3391">
        <v>0</v>
      </c>
      <c r="F3391" s="2">
        <v>0</v>
      </c>
      <c r="H3391">
        <v>0</v>
      </c>
      <c r="I3391">
        <v>0.1741125760648204</v>
      </c>
      <c r="J3391">
        <v>0</v>
      </c>
      <c r="K3391">
        <v>0</v>
      </c>
      <c r="L3391" s="2">
        <v>0</v>
      </c>
      <c r="M3391">
        <v>36.39</v>
      </c>
      <c r="N3391" t="s">
        <v>10236</v>
      </c>
    </row>
    <row r="3392" spans="1:14">
      <c r="A3392" t="s">
        <v>35</v>
      </c>
      <c r="B3392" t="s">
        <v>3535</v>
      </c>
      <c r="C3392">
        <f>"XC04A"</f>
        <v>0</v>
      </c>
      <c r="D3392">
        <v>0</v>
      </c>
      <c r="E3392">
        <v>0</v>
      </c>
      <c r="F3392" s="2">
        <v>0</v>
      </c>
      <c r="H3392">
        <v>0</v>
      </c>
      <c r="I3392">
        <v>0.1741125760648204</v>
      </c>
      <c r="J3392">
        <v>0</v>
      </c>
      <c r="K3392">
        <v>0</v>
      </c>
      <c r="L3392" s="2">
        <v>0</v>
      </c>
      <c r="M3392">
        <v>36.4</v>
      </c>
      <c r="N3392" t="s">
        <v>10236</v>
      </c>
    </row>
    <row r="3393" spans="1:14">
      <c r="A3393" t="s">
        <v>35</v>
      </c>
      <c r="B3393" t="s">
        <v>3536</v>
      </c>
      <c r="C3393">
        <f>"XC04"</f>
        <v>0</v>
      </c>
      <c r="D3393">
        <v>0</v>
      </c>
      <c r="E3393">
        <v>0</v>
      </c>
      <c r="F3393" s="2">
        <v>0</v>
      </c>
      <c r="H3393">
        <v>0</v>
      </c>
      <c r="I3393">
        <v>0.1741125760648204</v>
      </c>
      <c r="J3393">
        <v>0</v>
      </c>
      <c r="K3393">
        <v>0</v>
      </c>
      <c r="L3393" s="2">
        <v>0</v>
      </c>
      <c r="M3393">
        <v>36.41</v>
      </c>
      <c r="N3393" t="s">
        <v>10236</v>
      </c>
    </row>
    <row r="3394" spans="1:14">
      <c r="A3394" t="s">
        <v>35</v>
      </c>
      <c r="B3394" t="s">
        <v>3537</v>
      </c>
      <c r="C3394">
        <f>"9381GV"</f>
        <v>0</v>
      </c>
      <c r="D3394">
        <v>0</v>
      </c>
      <c r="E3394">
        <v>0</v>
      </c>
      <c r="F3394" s="2">
        <v>0</v>
      </c>
      <c r="H3394">
        <v>0</v>
      </c>
      <c r="I3394">
        <v>0.1741125760648204</v>
      </c>
      <c r="J3394">
        <v>0</v>
      </c>
      <c r="K3394">
        <v>0</v>
      </c>
      <c r="L3394" s="2">
        <v>0</v>
      </c>
      <c r="M3394">
        <v>36.41</v>
      </c>
      <c r="N3394" t="s">
        <v>10236</v>
      </c>
    </row>
    <row r="3395" spans="1:14">
      <c r="A3395" t="s">
        <v>209</v>
      </c>
      <c r="B3395" t="s">
        <v>3538</v>
      </c>
      <c r="C3395">
        <f>"C2272"</f>
        <v>0</v>
      </c>
      <c r="D3395">
        <v>0</v>
      </c>
      <c r="E3395">
        <v>0</v>
      </c>
      <c r="F3395" s="2">
        <v>0</v>
      </c>
      <c r="H3395">
        <v>0</v>
      </c>
      <c r="I3395">
        <v>0.1741125760648204</v>
      </c>
      <c r="J3395">
        <v>0</v>
      </c>
      <c r="K3395">
        <v>0</v>
      </c>
      <c r="L3395" s="2">
        <v>0</v>
      </c>
      <c r="M3395">
        <v>36.42</v>
      </c>
      <c r="N3395" t="s">
        <v>10236</v>
      </c>
    </row>
    <row r="3396" spans="1:14">
      <c r="A3396" t="s">
        <v>226</v>
      </c>
      <c r="B3396" t="s">
        <v>3539</v>
      </c>
      <c r="C3396">
        <f>"ARPP10KG"</f>
        <v>0</v>
      </c>
      <c r="D3396">
        <v>0</v>
      </c>
      <c r="E3396">
        <v>0</v>
      </c>
      <c r="F3396" s="2">
        <v>0</v>
      </c>
      <c r="H3396">
        <v>0</v>
      </c>
      <c r="I3396">
        <v>0.1741125760648204</v>
      </c>
      <c r="J3396">
        <v>0</v>
      </c>
      <c r="K3396">
        <v>0</v>
      </c>
      <c r="L3396" s="2">
        <v>0</v>
      </c>
      <c r="M3396">
        <v>36.43</v>
      </c>
      <c r="N3396" t="s">
        <v>10236</v>
      </c>
    </row>
    <row r="3397" spans="1:14">
      <c r="A3397" t="s">
        <v>226</v>
      </c>
      <c r="B3397" t="s">
        <v>3540</v>
      </c>
      <c r="C3397">
        <f>"MKGLGP"</f>
        <v>0</v>
      </c>
      <c r="D3397">
        <v>0</v>
      </c>
      <c r="E3397">
        <v>0</v>
      </c>
      <c r="F3397" s="2">
        <v>0</v>
      </c>
      <c r="H3397">
        <v>0</v>
      </c>
      <c r="I3397">
        <v>0.1741125760648204</v>
      </c>
      <c r="J3397">
        <v>0</v>
      </c>
      <c r="K3397">
        <v>0</v>
      </c>
      <c r="L3397" s="2">
        <v>0</v>
      </c>
      <c r="M3397">
        <v>36.44</v>
      </c>
      <c r="N3397" t="s">
        <v>10236</v>
      </c>
    </row>
    <row r="3398" spans="1:14">
      <c r="A3398" t="s">
        <v>226</v>
      </c>
      <c r="B3398" t="s">
        <v>3541</v>
      </c>
      <c r="C3398">
        <f>"GIP75KG"</f>
        <v>0</v>
      </c>
      <c r="D3398">
        <v>0</v>
      </c>
      <c r="E3398">
        <v>0</v>
      </c>
      <c r="F3398" s="2">
        <v>0</v>
      </c>
      <c r="H3398">
        <v>0</v>
      </c>
      <c r="I3398">
        <v>0.1741125760648204</v>
      </c>
      <c r="J3398">
        <v>0</v>
      </c>
      <c r="K3398">
        <v>0</v>
      </c>
      <c r="L3398" s="2">
        <v>0</v>
      </c>
      <c r="M3398">
        <v>36.45</v>
      </c>
      <c r="N3398" t="s">
        <v>10236</v>
      </c>
    </row>
    <row r="3399" spans="1:14">
      <c r="A3399" t="s">
        <v>226</v>
      </c>
      <c r="B3399" t="s">
        <v>3542</v>
      </c>
      <c r="C3399">
        <f>"GAP75KG"</f>
        <v>0</v>
      </c>
      <c r="D3399">
        <v>0</v>
      </c>
      <c r="E3399">
        <v>0</v>
      </c>
      <c r="F3399" s="2">
        <v>0</v>
      </c>
      <c r="H3399">
        <v>0</v>
      </c>
      <c r="I3399">
        <v>0.1741125760648204</v>
      </c>
      <c r="J3399">
        <v>0</v>
      </c>
      <c r="K3399">
        <v>0</v>
      </c>
      <c r="L3399" s="2">
        <v>0</v>
      </c>
      <c r="M3399">
        <v>36.46</v>
      </c>
      <c r="N3399" t="s">
        <v>10236</v>
      </c>
    </row>
    <row r="3400" spans="1:14">
      <c r="A3400" t="s">
        <v>226</v>
      </c>
      <c r="B3400" t="s">
        <v>3543</v>
      </c>
      <c r="C3400">
        <f>"CPP10KG"</f>
        <v>0</v>
      </c>
      <c r="D3400">
        <v>0</v>
      </c>
      <c r="E3400">
        <v>0</v>
      </c>
      <c r="F3400" s="2">
        <v>0</v>
      </c>
      <c r="H3400">
        <v>0</v>
      </c>
      <c r="I3400">
        <v>0.1741125760648204</v>
      </c>
      <c r="J3400">
        <v>0</v>
      </c>
      <c r="K3400">
        <v>0</v>
      </c>
      <c r="L3400" s="2">
        <v>0</v>
      </c>
      <c r="M3400">
        <v>36.47</v>
      </c>
      <c r="N3400" t="s">
        <v>10236</v>
      </c>
    </row>
    <row r="3401" spans="1:14">
      <c r="A3401" t="s">
        <v>213</v>
      </c>
      <c r="B3401" t="s">
        <v>3544</v>
      </c>
      <c r="C3401">
        <f>"500666"</f>
        <v>0</v>
      </c>
      <c r="D3401">
        <v>0</v>
      </c>
      <c r="E3401">
        <v>0</v>
      </c>
      <c r="F3401" s="2">
        <v>0</v>
      </c>
      <c r="H3401">
        <v>0</v>
      </c>
      <c r="I3401">
        <v>0.1741125760648204</v>
      </c>
      <c r="J3401">
        <v>0</v>
      </c>
      <c r="K3401">
        <v>0</v>
      </c>
      <c r="L3401" s="2">
        <v>0</v>
      </c>
      <c r="M3401">
        <v>36.48</v>
      </c>
      <c r="N3401" t="s">
        <v>10236</v>
      </c>
    </row>
    <row r="3402" spans="1:14">
      <c r="A3402" t="s">
        <v>39</v>
      </c>
      <c r="B3402" t="s">
        <v>3545</v>
      </c>
      <c r="C3402">
        <f>"VIRBA01073"</f>
        <v>0</v>
      </c>
      <c r="D3402">
        <v>0</v>
      </c>
      <c r="E3402">
        <v>1</v>
      </c>
      <c r="F3402" s="2">
        <v>16</v>
      </c>
      <c r="H3402">
        <v>0</v>
      </c>
      <c r="I3402">
        <v>0.1741125760648204</v>
      </c>
      <c r="J3402">
        <v>0</v>
      </c>
      <c r="K3402">
        <v>0</v>
      </c>
      <c r="L3402" s="2">
        <v>0</v>
      </c>
      <c r="M3402">
        <v>36.49</v>
      </c>
      <c r="N3402" t="s">
        <v>10236</v>
      </c>
    </row>
    <row r="3403" spans="1:14">
      <c r="A3403" t="s">
        <v>39</v>
      </c>
      <c r="B3403" t="s">
        <v>3546</v>
      </c>
      <c r="C3403">
        <f>"VIRBA01072"</f>
        <v>0</v>
      </c>
      <c r="D3403">
        <v>0</v>
      </c>
      <c r="E3403">
        <v>1</v>
      </c>
      <c r="F3403" s="2">
        <v>18</v>
      </c>
      <c r="H3403">
        <v>0</v>
      </c>
      <c r="I3403">
        <v>0.1741125760648204</v>
      </c>
      <c r="J3403">
        <v>0</v>
      </c>
      <c r="K3403">
        <v>0</v>
      </c>
      <c r="L3403" s="2">
        <v>0</v>
      </c>
      <c r="M3403">
        <v>36.5</v>
      </c>
      <c r="N3403" t="s">
        <v>10236</v>
      </c>
    </row>
    <row r="3404" spans="1:14">
      <c r="A3404" t="s">
        <v>223</v>
      </c>
      <c r="B3404" t="s">
        <v>3547</v>
      </c>
      <c r="C3404">
        <f>"249450"</f>
        <v>0</v>
      </c>
      <c r="D3404">
        <v>0</v>
      </c>
      <c r="E3404">
        <v>0</v>
      </c>
      <c r="F3404" s="2">
        <v>0</v>
      </c>
      <c r="H3404">
        <v>0</v>
      </c>
      <c r="I3404">
        <v>0.1741125760648204</v>
      </c>
      <c r="J3404">
        <v>0</v>
      </c>
      <c r="K3404">
        <v>0</v>
      </c>
      <c r="L3404" s="2">
        <v>0</v>
      </c>
      <c r="M3404">
        <v>36.51</v>
      </c>
      <c r="N3404" t="s">
        <v>10236</v>
      </c>
    </row>
    <row r="3405" spans="1:14">
      <c r="A3405" t="s">
        <v>193</v>
      </c>
      <c r="B3405" t="s">
        <v>3548</v>
      </c>
      <c r="C3405">
        <f>"804929"</f>
        <v>0</v>
      </c>
      <c r="D3405">
        <v>0</v>
      </c>
      <c r="E3405">
        <v>0</v>
      </c>
      <c r="F3405" s="2">
        <v>0</v>
      </c>
      <c r="H3405">
        <v>0</v>
      </c>
      <c r="I3405">
        <v>0.1741125760648204</v>
      </c>
      <c r="J3405">
        <v>0</v>
      </c>
      <c r="K3405">
        <v>0</v>
      </c>
      <c r="L3405" s="2">
        <v>0</v>
      </c>
      <c r="M3405">
        <v>36.52</v>
      </c>
      <c r="N3405" t="s">
        <v>10236</v>
      </c>
    </row>
    <row r="3406" spans="1:14">
      <c r="A3406" t="s">
        <v>193</v>
      </c>
      <c r="B3406" t="s">
        <v>3549</v>
      </c>
      <c r="C3406">
        <f>"804981"</f>
        <v>0</v>
      </c>
      <c r="D3406">
        <v>0</v>
      </c>
      <c r="E3406">
        <v>0</v>
      </c>
      <c r="F3406" s="2">
        <v>0</v>
      </c>
      <c r="H3406">
        <v>0</v>
      </c>
      <c r="I3406">
        <v>0.1741125760648204</v>
      </c>
      <c r="J3406">
        <v>0</v>
      </c>
      <c r="K3406">
        <v>0</v>
      </c>
      <c r="L3406" s="2">
        <v>0</v>
      </c>
      <c r="M3406">
        <v>36.53</v>
      </c>
      <c r="N3406" t="s">
        <v>10236</v>
      </c>
    </row>
    <row r="3407" spans="1:14">
      <c r="A3407" t="s">
        <v>29</v>
      </c>
      <c r="B3407" t="s">
        <v>3550</v>
      </c>
      <c r="C3407">
        <f>"67104"</f>
        <v>0</v>
      </c>
      <c r="D3407">
        <v>0</v>
      </c>
      <c r="E3407">
        <v>0</v>
      </c>
      <c r="F3407" s="2">
        <v>0</v>
      </c>
      <c r="H3407">
        <v>0</v>
      </c>
      <c r="I3407">
        <v>0.1741125760648204</v>
      </c>
      <c r="J3407">
        <v>0</v>
      </c>
      <c r="K3407">
        <v>0</v>
      </c>
      <c r="L3407" s="2">
        <v>0</v>
      </c>
      <c r="M3407">
        <v>36.53</v>
      </c>
      <c r="N3407" t="s">
        <v>10236</v>
      </c>
    </row>
    <row r="3408" spans="1:14">
      <c r="A3408" t="s">
        <v>24</v>
      </c>
      <c r="B3408" t="s">
        <v>3551</v>
      </c>
      <c r="C3408">
        <f>"1112322"</f>
        <v>0</v>
      </c>
      <c r="D3408">
        <v>0</v>
      </c>
      <c r="E3408">
        <v>0</v>
      </c>
      <c r="F3408" s="2">
        <v>0</v>
      </c>
      <c r="H3408">
        <v>0</v>
      </c>
      <c r="I3408">
        <v>0.1741125760648204</v>
      </c>
      <c r="J3408">
        <v>0</v>
      </c>
      <c r="K3408">
        <v>0</v>
      </c>
      <c r="L3408" s="2">
        <v>0</v>
      </c>
      <c r="M3408">
        <v>36.54</v>
      </c>
      <c r="N3408" t="s">
        <v>10236</v>
      </c>
    </row>
    <row r="3409" spans="1:14">
      <c r="A3409" t="s">
        <v>35</v>
      </c>
      <c r="B3409" t="s">
        <v>3552</v>
      </c>
      <c r="C3409">
        <f>"XC04R"</f>
        <v>0</v>
      </c>
      <c r="D3409">
        <v>0</v>
      </c>
      <c r="E3409">
        <v>0</v>
      </c>
      <c r="F3409" s="2">
        <v>0</v>
      </c>
      <c r="H3409">
        <v>0</v>
      </c>
      <c r="I3409">
        <v>0.1741125760648204</v>
      </c>
      <c r="J3409">
        <v>0</v>
      </c>
      <c r="K3409">
        <v>0</v>
      </c>
      <c r="L3409" s="2">
        <v>0</v>
      </c>
      <c r="M3409">
        <v>36.55</v>
      </c>
      <c r="N3409" t="s">
        <v>10236</v>
      </c>
    </row>
    <row r="3410" spans="1:14">
      <c r="A3410" t="s">
        <v>194</v>
      </c>
      <c r="B3410" t="s">
        <v>3553</v>
      </c>
      <c r="C3410">
        <f>"200100"</f>
        <v>0</v>
      </c>
      <c r="D3410">
        <v>0</v>
      </c>
      <c r="E3410">
        <v>0</v>
      </c>
      <c r="F3410" s="2">
        <v>0</v>
      </c>
      <c r="H3410">
        <v>0</v>
      </c>
      <c r="I3410">
        <v>0.1741125760648204</v>
      </c>
      <c r="J3410">
        <v>0</v>
      </c>
      <c r="K3410">
        <v>0</v>
      </c>
      <c r="L3410" s="2">
        <v>0</v>
      </c>
      <c r="M3410">
        <v>36.56</v>
      </c>
      <c r="N3410" t="s">
        <v>10236</v>
      </c>
    </row>
    <row r="3411" spans="1:14">
      <c r="A3411" t="s">
        <v>194</v>
      </c>
      <c r="B3411" t="s">
        <v>3554</v>
      </c>
      <c r="C3411">
        <f>"500100"</f>
        <v>0</v>
      </c>
      <c r="D3411">
        <v>0</v>
      </c>
      <c r="E3411">
        <v>0</v>
      </c>
      <c r="F3411" s="2">
        <v>0</v>
      </c>
      <c r="H3411">
        <v>0</v>
      </c>
      <c r="I3411">
        <v>0.1741125760648204</v>
      </c>
      <c r="J3411">
        <v>0</v>
      </c>
      <c r="K3411">
        <v>0</v>
      </c>
      <c r="L3411" s="2">
        <v>0</v>
      </c>
      <c r="M3411">
        <v>36.57</v>
      </c>
      <c r="N3411" t="s">
        <v>10236</v>
      </c>
    </row>
    <row r="3412" spans="1:14">
      <c r="A3412" t="s">
        <v>194</v>
      </c>
      <c r="B3412" t="s">
        <v>3555</v>
      </c>
      <c r="C3412">
        <f>"062101100100"</f>
        <v>0</v>
      </c>
      <c r="D3412">
        <v>0</v>
      </c>
      <c r="E3412">
        <v>0</v>
      </c>
      <c r="F3412" s="2">
        <v>0</v>
      </c>
      <c r="H3412">
        <v>0</v>
      </c>
      <c r="I3412">
        <v>0.1741125760648204</v>
      </c>
      <c r="J3412">
        <v>0</v>
      </c>
      <c r="K3412">
        <v>0</v>
      </c>
      <c r="L3412" s="2">
        <v>0</v>
      </c>
      <c r="M3412">
        <v>36.58</v>
      </c>
      <c r="N3412" t="s">
        <v>10236</v>
      </c>
    </row>
    <row r="3413" spans="1:14">
      <c r="A3413" t="s">
        <v>194</v>
      </c>
      <c r="B3413" t="s">
        <v>3556</v>
      </c>
      <c r="C3413">
        <f>"101700050"</f>
        <v>0</v>
      </c>
      <c r="D3413">
        <v>0</v>
      </c>
      <c r="E3413">
        <v>0</v>
      </c>
      <c r="F3413" s="2">
        <v>0</v>
      </c>
      <c r="H3413">
        <v>0</v>
      </c>
      <c r="I3413">
        <v>0.1741125760648204</v>
      </c>
      <c r="J3413">
        <v>0</v>
      </c>
      <c r="K3413">
        <v>0</v>
      </c>
      <c r="L3413" s="2">
        <v>0</v>
      </c>
      <c r="M3413">
        <v>36.59</v>
      </c>
      <c r="N3413" t="s">
        <v>10236</v>
      </c>
    </row>
    <row r="3414" spans="1:14">
      <c r="A3414" t="s">
        <v>194</v>
      </c>
      <c r="B3414" t="s">
        <v>3557</v>
      </c>
      <c r="C3414">
        <f>"2260710"</f>
        <v>0</v>
      </c>
      <c r="D3414">
        <v>0</v>
      </c>
      <c r="E3414">
        <v>0</v>
      </c>
      <c r="F3414" s="2">
        <v>0</v>
      </c>
      <c r="H3414">
        <v>0</v>
      </c>
      <c r="I3414">
        <v>0.1741125760648204</v>
      </c>
      <c r="J3414">
        <v>0</v>
      </c>
      <c r="K3414">
        <v>0</v>
      </c>
      <c r="L3414" s="2">
        <v>0</v>
      </c>
      <c r="M3414">
        <v>36.6</v>
      </c>
      <c r="N3414" t="s">
        <v>10236</v>
      </c>
    </row>
    <row r="3415" spans="1:14">
      <c r="A3415" t="s">
        <v>35</v>
      </c>
      <c r="B3415" t="s">
        <v>3558</v>
      </c>
      <c r="C3415">
        <f>"ATCB"</f>
        <v>0</v>
      </c>
      <c r="D3415">
        <v>0</v>
      </c>
      <c r="E3415">
        <v>0</v>
      </c>
      <c r="F3415" s="2">
        <v>0</v>
      </c>
      <c r="H3415">
        <v>0</v>
      </c>
      <c r="I3415">
        <v>0.1741125760648204</v>
      </c>
      <c r="J3415">
        <v>0</v>
      </c>
      <c r="K3415">
        <v>0</v>
      </c>
      <c r="L3415" s="2">
        <v>0</v>
      </c>
      <c r="M3415">
        <v>36.61</v>
      </c>
      <c r="N3415" t="s">
        <v>10236</v>
      </c>
    </row>
    <row r="3416" spans="1:14">
      <c r="A3416" t="s">
        <v>35</v>
      </c>
      <c r="B3416" t="s">
        <v>3559</v>
      </c>
      <c r="C3416">
        <f>"ATC15"</f>
        <v>0</v>
      </c>
      <c r="D3416">
        <v>0</v>
      </c>
      <c r="E3416">
        <v>0</v>
      </c>
      <c r="F3416" s="2">
        <v>0</v>
      </c>
      <c r="H3416">
        <v>0</v>
      </c>
      <c r="I3416">
        <v>0.1741125760648204</v>
      </c>
      <c r="J3416">
        <v>0</v>
      </c>
      <c r="K3416">
        <v>0</v>
      </c>
      <c r="L3416" s="2">
        <v>0</v>
      </c>
      <c r="M3416">
        <v>36.62</v>
      </c>
      <c r="N3416" t="s">
        <v>10236</v>
      </c>
    </row>
    <row r="3417" spans="1:14">
      <c r="A3417" t="s">
        <v>35</v>
      </c>
      <c r="B3417" t="s">
        <v>3560</v>
      </c>
      <c r="C3417">
        <f>"SILI32"</f>
        <v>0</v>
      </c>
      <c r="D3417">
        <v>0</v>
      </c>
      <c r="E3417">
        <v>0</v>
      </c>
      <c r="F3417" s="2">
        <v>0</v>
      </c>
      <c r="H3417">
        <v>0</v>
      </c>
      <c r="I3417">
        <v>0.1741125760648204</v>
      </c>
      <c r="J3417">
        <v>0</v>
      </c>
      <c r="K3417">
        <v>0</v>
      </c>
      <c r="L3417" s="2">
        <v>0</v>
      </c>
      <c r="M3417">
        <v>36.63</v>
      </c>
      <c r="N3417" t="s">
        <v>10236</v>
      </c>
    </row>
    <row r="3418" spans="1:14">
      <c r="A3418" t="s">
        <v>35</v>
      </c>
      <c r="B3418" t="s">
        <v>3561</v>
      </c>
      <c r="C3418">
        <f>"MSP002V"</f>
        <v>0</v>
      </c>
      <c r="D3418">
        <v>0</v>
      </c>
      <c r="E3418">
        <v>3</v>
      </c>
      <c r="F3418" s="2">
        <v>6</v>
      </c>
      <c r="H3418">
        <v>0</v>
      </c>
      <c r="I3418">
        <v>0.1741125760648204</v>
      </c>
      <c r="J3418">
        <v>0</v>
      </c>
      <c r="K3418">
        <v>0</v>
      </c>
      <c r="L3418" s="2">
        <v>0</v>
      </c>
      <c r="M3418">
        <v>36.64</v>
      </c>
      <c r="N3418" t="s">
        <v>10236</v>
      </c>
    </row>
    <row r="3419" spans="1:14">
      <c r="A3419" t="s">
        <v>35</v>
      </c>
      <c r="B3419" t="s">
        <v>3562</v>
      </c>
      <c r="C3419">
        <f>"MSP002R"</f>
        <v>0</v>
      </c>
      <c r="D3419">
        <v>0</v>
      </c>
      <c r="E3419">
        <v>6</v>
      </c>
      <c r="F3419" s="2">
        <v>6</v>
      </c>
      <c r="H3419">
        <v>0</v>
      </c>
      <c r="I3419">
        <v>0.1741125760648204</v>
      </c>
      <c r="J3419">
        <v>0</v>
      </c>
      <c r="K3419">
        <v>0</v>
      </c>
      <c r="L3419" s="2">
        <v>0</v>
      </c>
      <c r="M3419">
        <v>36.65</v>
      </c>
      <c r="N3419" t="s">
        <v>10236</v>
      </c>
    </row>
    <row r="3420" spans="1:14">
      <c r="A3420" t="s">
        <v>35</v>
      </c>
      <c r="B3420" t="s">
        <v>3563</v>
      </c>
      <c r="C3420">
        <f>"MSP002GRIS"</f>
        <v>0</v>
      </c>
      <c r="D3420">
        <v>0</v>
      </c>
      <c r="E3420">
        <v>0</v>
      </c>
      <c r="F3420" s="2">
        <v>0</v>
      </c>
      <c r="H3420">
        <v>0</v>
      </c>
      <c r="I3420">
        <v>0.1741125760648204</v>
      </c>
      <c r="J3420">
        <v>0</v>
      </c>
      <c r="K3420">
        <v>0</v>
      </c>
      <c r="L3420" s="2">
        <v>0</v>
      </c>
      <c r="M3420">
        <v>36.65</v>
      </c>
      <c r="N3420" t="s">
        <v>10236</v>
      </c>
    </row>
    <row r="3421" spans="1:14">
      <c r="A3421" t="s">
        <v>41</v>
      </c>
      <c r="B3421" t="s">
        <v>3564</v>
      </c>
      <c r="C3421">
        <f>"PANCTL0"</f>
        <v>0</v>
      </c>
      <c r="D3421">
        <v>0</v>
      </c>
      <c r="E3421">
        <v>2</v>
      </c>
      <c r="F3421" s="2">
        <v>13</v>
      </c>
      <c r="H3421">
        <v>0</v>
      </c>
      <c r="I3421">
        <v>0.1741125760648204</v>
      </c>
      <c r="J3421">
        <v>0</v>
      </c>
      <c r="K3421">
        <v>0</v>
      </c>
      <c r="L3421" s="2">
        <v>0</v>
      </c>
      <c r="M3421">
        <v>36.66</v>
      </c>
      <c r="N3421" t="s">
        <v>10236</v>
      </c>
    </row>
    <row r="3422" spans="1:14">
      <c r="A3422" t="s">
        <v>25</v>
      </c>
      <c r="B3422" t="s">
        <v>3565</v>
      </c>
      <c r="C3422">
        <f>"1893CAF"</f>
        <v>0</v>
      </c>
      <c r="D3422">
        <v>0</v>
      </c>
      <c r="E3422">
        <v>0</v>
      </c>
      <c r="F3422" s="2">
        <v>0</v>
      </c>
      <c r="H3422">
        <v>0</v>
      </c>
      <c r="I3422">
        <v>0.1741125760648204</v>
      </c>
      <c r="J3422">
        <v>0</v>
      </c>
      <c r="K3422">
        <v>0</v>
      </c>
      <c r="L3422" s="2">
        <v>0</v>
      </c>
      <c r="M3422">
        <v>36.67</v>
      </c>
      <c r="N3422" t="s">
        <v>10236</v>
      </c>
    </row>
    <row r="3423" spans="1:14">
      <c r="A3423" t="s">
        <v>35</v>
      </c>
      <c r="B3423" t="s">
        <v>3566</v>
      </c>
      <c r="C3423">
        <f>"1822"</f>
        <v>0</v>
      </c>
      <c r="D3423">
        <v>0</v>
      </c>
      <c r="E3423">
        <v>9</v>
      </c>
      <c r="F3423" s="2">
        <v>16</v>
      </c>
      <c r="H3423">
        <v>0</v>
      </c>
      <c r="I3423">
        <v>0.1741125760648204</v>
      </c>
      <c r="J3423">
        <v>0</v>
      </c>
      <c r="K3423">
        <v>0</v>
      </c>
      <c r="L3423" s="2">
        <v>0</v>
      </c>
      <c r="M3423">
        <v>36.68</v>
      </c>
      <c r="N3423" t="s">
        <v>10236</v>
      </c>
    </row>
    <row r="3424" spans="1:14">
      <c r="A3424" t="s">
        <v>34</v>
      </c>
      <c r="B3424" t="s">
        <v>3567</v>
      </c>
      <c r="C3424">
        <f>"14000162"</f>
        <v>0</v>
      </c>
      <c r="D3424">
        <v>0</v>
      </c>
      <c r="E3424">
        <v>0</v>
      </c>
      <c r="F3424" s="2">
        <v>0</v>
      </c>
      <c r="H3424">
        <v>0</v>
      </c>
      <c r="I3424">
        <v>0.1741125760648204</v>
      </c>
      <c r="J3424">
        <v>0</v>
      </c>
      <c r="K3424">
        <v>0</v>
      </c>
      <c r="L3424" s="2">
        <v>0</v>
      </c>
      <c r="M3424">
        <v>36.69</v>
      </c>
      <c r="N3424" t="s">
        <v>10236</v>
      </c>
    </row>
    <row r="3425" spans="1:14">
      <c r="A3425" t="s">
        <v>194</v>
      </c>
      <c r="B3425" t="s">
        <v>3568</v>
      </c>
      <c r="C3425">
        <f>"2260510"</f>
        <v>0</v>
      </c>
      <c r="D3425">
        <v>0</v>
      </c>
      <c r="E3425">
        <v>0</v>
      </c>
      <c r="F3425" s="2">
        <v>0</v>
      </c>
      <c r="H3425">
        <v>0</v>
      </c>
      <c r="I3425">
        <v>0.1741125760648204</v>
      </c>
      <c r="J3425">
        <v>0</v>
      </c>
      <c r="K3425">
        <v>0</v>
      </c>
      <c r="L3425" s="2">
        <v>0</v>
      </c>
      <c r="M3425">
        <v>36.7</v>
      </c>
      <c r="N3425" t="s">
        <v>10236</v>
      </c>
    </row>
    <row r="3426" spans="1:14">
      <c r="A3426" t="s">
        <v>35</v>
      </c>
      <c r="B3426" t="s">
        <v>3569</v>
      </c>
      <c r="C3426">
        <f>"MK01L"</f>
        <v>0</v>
      </c>
      <c r="D3426">
        <v>0</v>
      </c>
      <c r="E3426">
        <v>0</v>
      </c>
      <c r="F3426" s="2">
        <v>0</v>
      </c>
      <c r="H3426">
        <v>0</v>
      </c>
      <c r="I3426">
        <v>0.1741125760648204</v>
      </c>
      <c r="J3426">
        <v>0</v>
      </c>
      <c r="K3426">
        <v>0</v>
      </c>
      <c r="L3426" s="2">
        <v>0</v>
      </c>
      <c r="M3426">
        <v>36.71</v>
      </c>
      <c r="N3426" t="s">
        <v>10236</v>
      </c>
    </row>
    <row r="3427" spans="1:14">
      <c r="A3427" t="s">
        <v>35</v>
      </c>
      <c r="B3427" t="s">
        <v>3570</v>
      </c>
      <c r="C3427">
        <f>"A40"</f>
        <v>0</v>
      </c>
      <c r="D3427">
        <v>0</v>
      </c>
      <c r="E3427">
        <v>0</v>
      </c>
      <c r="F3427" s="2">
        <v>0</v>
      </c>
      <c r="H3427">
        <v>0</v>
      </c>
      <c r="I3427">
        <v>0.1741125760648204</v>
      </c>
      <c r="J3427">
        <v>0</v>
      </c>
      <c r="K3427">
        <v>0</v>
      </c>
      <c r="L3427" s="2">
        <v>0</v>
      </c>
      <c r="M3427">
        <v>36.72</v>
      </c>
      <c r="N3427" t="s">
        <v>10236</v>
      </c>
    </row>
    <row r="3428" spans="1:14">
      <c r="A3428" t="s">
        <v>35</v>
      </c>
      <c r="B3428" t="s">
        <v>3571</v>
      </c>
      <c r="C3428">
        <f>"MK01XLP"</f>
        <v>0</v>
      </c>
      <c r="D3428">
        <v>0</v>
      </c>
      <c r="E3428">
        <v>0</v>
      </c>
      <c r="F3428" s="2">
        <v>0</v>
      </c>
      <c r="H3428">
        <v>0</v>
      </c>
      <c r="I3428">
        <v>0.1741125760648204</v>
      </c>
      <c r="J3428">
        <v>0</v>
      </c>
      <c r="K3428">
        <v>0</v>
      </c>
      <c r="L3428" s="2">
        <v>0</v>
      </c>
      <c r="M3428">
        <v>36.73</v>
      </c>
      <c r="N3428" t="s">
        <v>10236</v>
      </c>
    </row>
    <row r="3429" spans="1:14">
      <c r="A3429" t="s">
        <v>35</v>
      </c>
      <c r="B3429" t="s">
        <v>3572</v>
      </c>
      <c r="C3429">
        <f>"MK01SP"</f>
        <v>0</v>
      </c>
      <c r="D3429">
        <v>0</v>
      </c>
      <c r="E3429">
        <v>0</v>
      </c>
      <c r="F3429" s="2">
        <v>0</v>
      </c>
      <c r="H3429">
        <v>0</v>
      </c>
      <c r="I3429">
        <v>0.1741125760648204</v>
      </c>
      <c r="J3429">
        <v>0</v>
      </c>
      <c r="K3429">
        <v>0</v>
      </c>
      <c r="L3429" s="2">
        <v>0</v>
      </c>
      <c r="M3429">
        <v>36.74</v>
      </c>
      <c r="N3429" t="s">
        <v>10236</v>
      </c>
    </row>
    <row r="3430" spans="1:14">
      <c r="A3430" t="s">
        <v>35</v>
      </c>
      <c r="B3430" t="s">
        <v>3573</v>
      </c>
      <c r="C3430">
        <f>"MK01MP"</f>
        <v>0</v>
      </c>
      <c r="D3430">
        <v>0</v>
      </c>
      <c r="E3430">
        <v>0</v>
      </c>
      <c r="F3430" s="2">
        <v>0</v>
      </c>
      <c r="H3430">
        <v>0</v>
      </c>
      <c r="I3430">
        <v>0.1741125760648204</v>
      </c>
      <c r="J3430">
        <v>0</v>
      </c>
      <c r="K3430">
        <v>0</v>
      </c>
      <c r="L3430" s="2">
        <v>0</v>
      </c>
      <c r="M3430">
        <v>36.75</v>
      </c>
      <c r="N3430" t="s">
        <v>10236</v>
      </c>
    </row>
    <row r="3431" spans="1:14">
      <c r="A3431" t="s">
        <v>35</v>
      </c>
      <c r="B3431" t="s">
        <v>3574</v>
      </c>
      <c r="C3431">
        <f>"MSBM"</f>
        <v>0</v>
      </c>
      <c r="D3431">
        <v>0</v>
      </c>
      <c r="E3431">
        <v>0</v>
      </c>
      <c r="F3431" s="2">
        <v>0</v>
      </c>
      <c r="H3431">
        <v>0</v>
      </c>
      <c r="I3431">
        <v>0.1741125760648204</v>
      </c>
      <c r="J3431">
        <v>0</v>
      </c>
      <c r="K3431">
        <v>0</v>
      </c>
      <c r="L3431" s="2">
        <v>0</v>
      </c>
      <c r="M3431">
        <v>36.76</v>
      </c>
      <c r="N3431" t="s">
        <v>10236</v>
      </c>
    </row>
    <row r="3432" spans="1:14">
      <c r="A3432" t="s">
        <v>223</v>
      </c>
      <c r="B3432" t="s">
        <v>3575</v>
      </c>
      <c r="C3432">
        <f>"2436030"</f>
        <v>0</v>
      </c>
      <c r="D3432">
        <v>0</v>
      </c>
      <c r="E3432">
        <v>0</v>
      </c>
      <c r="F3432" s="2">
        <v>0</v>
      </c>
      <c r="H3432">
        <v>0</v>
      </c>
      <c r="I3432">
        <v>0.1741125760648204</v>
      </c>
      <c r="J3432">
        <v>0</v>
      </c>
      <c r="K3432">
        <v>0</v>
      </c>
      <c r="L3432" s="2">
        <v>0</v>
      </c>
      <c r="M3432">
        <v>36.76</v>
      </c>
      <c r="N3432" t="s">
        <v>10236</v>
      </c>
    </row>
    <row r="3433" spans="1:14">
      <c r="A3433" t="s">
        <v>29</v>
      </c>
      <c r="B3433" t="s">
        <v>3576</v>
      </c>
      <c r="C3433">
        <f>"SK200"</f>
        <v>0</v>
      </c>
      <c r="D3433">
        <v>0</v>
      </c>
      <c r="E3433">
        <v>0</v>
      </c>
      <c r="F3433" s="2">
        <v>0</v>
      </c>
      <c r="H3433">
        <v>0</v>
      </c>
      <c r="I3433">
        <v>0.1741125760648204</v>
      </c>
      <c r="J3433">
        <v>0</v>
      </c>
      <c r="K3433">
        <v>0</v>
      </c>
      <c r="L3433" s="2">
        <v>0</v>
      </c>
      <c r="M3433">
        <v>36.77</v>
      </c>
      <c r="N3433" t="s">
        <v>10236</v>
      </c>
    </row>
    <row r="3434" spans="1:14">
      <c r="A3434" t="s">
        <v>35</v>
      </c>
      <c r="B3434" t="s">
        <v>3577</v>
      </c>
      <c r="C3434">
        <f>"WPS146"</f>
        <v>0</v>
      </c>
      <c r="D3434">
        <v>0</v>
      </c>
      <c r="E3434">
        <v>0</v>
      </c>
      <c r="F3434" s="2">
        <v>0</v>
      </c>
      <c r="H3434">
        <v>0</v>
      </c>
      <c r="I3434">
        <v>0.1741125760648204</v>
      </c>
      <c r="J3434">
        <v>0</v>
      </c>
      <c r="K3434">
        <v>0</v>
      </c>
      <c r="L3434" s="2">
        <v>0</v>
      </c>
      <c r="M3434">
        <v>36.78</v>
      </c>
      <c r="N3434" t="s">
        <v>10236</v>
      </c>
    </row>
    <row r="3435" spans="1:14">
      <c r="A3435" t="s">
        <v>35</v>
      </c>
      <c r="B3435" t="s">
        <v>3578</v>
      </c>
      <c r="C3435">
        <f>"252520"</f>
        <v>0</v>
      </c>
      <c r="D3435">
        <v>0</v>
      </c>
      <c r="E3435">
        <v>0</v>
      </c>
      <c r="F3435" s="2">
        <v>0</v>
      </c>
      <c r="H3435">
        <v>0</v>
      </c>
      <c r="I3435">
        <v>0.1741125760648204</v>
      </c>
      <c r="J3435">
        <v>0</v>
      </c>
      <c r="K3435">
        <v>0</v>
      </c>
      <c r="L3435" s="2">
        <v>0</v>
      </c>
      <c r="M3435">
        <v>36.79</v>
      </c>
      <c r="N3435" t="s">
        <v>10236</v>
      </c>
    </row>
    <row r="3436" spans="1:14">
      <c r="A3436" t="s">
        <v>35</v>
      </c>
      <c r="B3436" t="s">
        <v>3579</v>
      </c>
      <c r="C3436">
        <f>"1880R"</f>
        <v>0</v>
      </c>
      <c r="D3436">
        <v>0</v>
      </c>
      <c r="E3436">
        <v>0</v>
      </c>
      <c r="F3436" s="2">
        <v>0</v>
      </c>
      <c r="H3436">
        <v>0</v>
      </c>
      <c r="I3436">
        <v>0.1741125760648204</v>
      </c>
      <c r="J3436">
        <v>0</v>
      </c>
      <c r="K3436">
        <v>0</v>
      </c>
      <c r="L3436" s="2">
        <v>0</v>
      </c>
      <c r="M3436">
        <v>36.8</v>
      </c>
      <c r="N3436" t="s">
        <v>10236</v>
      </c>
    </row>
    <row r="3437" spans="1:14">
      <c r="A3437" t="s">
        <v>35</v>
      </c>
      <c r="B3437" t="s">
        <v>3580</v>
      </c>
      <c r="C3437">
        <f>"YK001NBAT"</f>
        <v>0</v>
      </c>
      <c r="D3437">
        <v>0</v>
      </c>
      <c r="E3437">
        <v>0</v>
      </c>
      <c r="F3437" s="2">
        <v>0</v>
      </c>
      <c r="H3437">
        <v>0</v>
      </c>
      <c r="I3437">
        <v>0.1741125760648204</v>
      </c>
      <c r="J3437">
        <v>0</v>
      </c>
      <c r="K3437">
        <v>0</v>
      </c>
      <c r="L3437" s="2">
        <v>0</v>
      </c>
      <c r="M3437">
        <v>36.81</v>
      </c>
      <c r="N3437" t="s">
        <v>10236</v>
      </c>
    </row>
    <row r="3438" spans="1:14">
      <c r="A3438" t="s">
        <v>35</v>
      </c>
      <c r="B3438" t="s">
        <v>3581</v>
      </c>
      <c r="C3438">
        <f>"1880M"</f>
        <v>0</v>
      </c>
      <c r="D3438">
        <v>0</v>
      </c>
      <c r="E3438">
        <v>0</v>
      </c>
      <c r="F3438" s="2">
        <v>0</v>
      </c>
      <c r="H3438">
        <v>0</v>
      </c>
      <c r="I3438">
        <v>0.1741125760648204</v>
      </c>
      <c r="J3438">
        <v>0</v>
      </c>
      <c r="K3438">
        <v>0</v>
      </c>
      <c r="L3438" s="2">
        <v>0</v>
      </c>
      <c r="M3438">
        <v>36.82</v>
      </c>
      <c r="N3438" t="s">
        <v>10236</v>
      </c>
    </row>
    <row r="3439" spans="1:14">
      <c r="A3439" t="s">
        <v>35</v>
      </c>
      <c r="B3439" t="s">
        <v>3582</v>
      </c>
      <c r="C3439">
        <f>"YK001FC"</f>
        <v>0</v>
      </c>
      <c r="D3439">
        <v>0</v>
      </c>
      <c r="E3439">
        <v>1</v>
      </c>
      <c r="F3439" s="2">
        <v>11</v>
      </c>
      <c r="H3439">
        <v>0</v>
      </c>
      <c r="I3439">
        <v>0.1741125760648204</v>
      </c>
      <c r="J3439">
        <v>0</v>
      </c>
      <c r="K3439">
        <v>0</v>
      </c>
      <c r="L3439" s="2">
        <v>0</v>
      </c>
      <c r="M3439">
        <v>36.83</v>
      </c>
      <c r="N3439" t="s">
        <v>10236</v>
      </c>
    </row>
    <row r="3440" spans="1:14">
      <c r="A3440" t="s">
        <v>35</v>
      </c>
      <c r="B3440" t="s">
        <v>3583</v>
      </c>
      <c r="C3440">
        <f>"MK01XLN"</f>
        <v>0</v>
      </c>
      <c r="D3440">
        <v>0</v>
      </c>
      <c r="E3440">
        <v>0</v>
      </c>
      <c r="F3440" s="2">
        <v>0</v>
      </c>
      <c r="H3440">
        <v>0</v>
      </c>
      <c r="I3440">
        <v>0.1741125760648204</v>
      </c>
      <c r="J3440">
        <v>0</v>
      </c>
      <c r="K3440">
        <v>0</v>
      </c>
      <c r="L3440" s="2">
        <v>0</v>
      </c>
      <c r="M3440">
        <v>36.84</v>
      </c>
      <c r="N3440" t="s">
        <v>10236</v>
      </c>
    </row>
    <row r="3441" spans="1:14">
      <c r="A3441" t="s">
        <v>35</v>
      </c>
      <c r="B3441" t="s">
        <v>3584</v>
      </c>
      <c r="C3441">
        <f>"1880A"</f>
        <v>0</v>
      </c>
      <c r="D3441">
        <v>0</v>
      </c>
      <c r="E3441">
        <v>3</v>
      </c>
      <c r="F3441" s="2">
        <v>10</v>
      </c>
      <c r="H3441">
        <v>0</v>
      </c>
      <c r="I3441">
        <v>0.1741125760648204</v>
      </c>
      <c r="J3441">
        <v>0</v>
      </c>
      <c r="K3441">
        <v>0</v>
      </c>
      <c r="L3441" s="2">
        <v>0</v>
      </c>
      <c r="M3441">
        <v>36.85</v>
      </c>
      <c r="N3441" t="s">
        <v>10236</v>
      </c>
    </row>
    <row r="3442" spans="1:14">
      <c r="A3442" t="s">
        <v>35</v>
      </c>
      <c r="B3442" t="s">
        <v>3585</v>
      </c>
      <c r="C3442">
        <f>"YK001AG"</f>
        <v>0</v>
      </c>
      <c r="D3442">
        <v>0</v>
      </c>
      <c r="E3442">
        <v>0</v>
      </c>
      <c r="F3442" s="2">
        <v>0</v>
      </c>
      <c r="H3442">
        <v>0</v>
      </c>
      <c r="I3442">
        <v>0.1741125760648204</v>
      </c>
      <c r="J3442">
        <v>0</v>
      </c>
      <c r="K3442">
        <v>0</v>
      </c>
      <c r="L3442" s="2">
        <v>0</v>
      </c>
      <c r="M3442">
        <v>36.86</v>
      </c>
      <c r="N3442" t="s">
        <v>10236</v>
      </c>
    </row>
    <row r="3443" spans="1:14">
      <c r="A3443" t="s">
        <v>35</v>
      </c>
      <c r="B3443" t="s">
        <v>3586</v>
      </c>
      <c r="C3443">
        <f>"1880AM"</f>
        <v>0</v>
      </c>
      <c r="D3443">
        <v>0</v>
      </c>
      <c r="E3443">
        <v>4</v>
      </c>
      <c r="F3443" s="2">
        <v>10</v>
      </c>
      <c r="H3443">
        <v>0</v>
      </c>
      <c r="I3443">
        <v>0.1741125760648204</v>
      </c>
      <c r="J3443">
        <v>0</v>
      </c>
      <c r="K3443">
        <v>0</v>
      </c>
      <c r="L3443" s="2">
        <v>0</v>
      </c>
      <c r="M3443">
        <v>36.87</v>
      </c>
      <c r="N3443" t="s">
        <v>10236</v>
      </c>
    </row>
    <row r="3444" spans="1:14">
      <c r="A3444" t="s">
        <v>35</v>
      </c>
      <c r="B3444" t="s">
        <v>3587</v>
      </c>
      <c r="C3444">
        <f>"YK001AP"</f>
        <v>0</v>
      </c>
      <c r="D3444">
        <v>0</v>
      </c>
      <c r="E3444">
        <v>4</v>
      </c>
      <c r="F3444" s="2">
        <v>11</v>
      </c>
      <c r="H3444">
        <v>0</v>
      </c>
      <c r="I3444">
        <v>0.1741125760648204</v>
      </c>
      <c r="J3444">
        <v>0</v>
      </c>
      <c r="K3444">
        <v>0</v>
      </c>
      <c r="L3444" s="2">
        <v>0</v>
      </c>
      <c r="M3444">
        <v>36.88</v>
      </c>
      <c r="N3444" t="s">
        <v>10236</v>
      </c>
    </row>
    <row r="3445" spans="1:14">
      <c r="A3445" t="s">
        <v>35</v>
      </c>
      <c r="B3445" t="s">
        <v>3588</v>
      </c>
      <c r="C3445">
        <f>"A002"</f>
        <v>0</v>
      </c>
      <c r="D3445">
        <v>0</v>
      </c>
      <c r="E3445">
        <v>3</v>
      </c>
      <c r="F3445" s="2">
        <v>13</v>
      </c>
      <c r="H3445">
        <v>0</v>
      </c>
      <c r="I3445">
        <v>0.1741125760648204</v>
      </c>
      <c r="J3445">
        <v>0</v>
      </c>
      <c r="K3445">
        <v>0</v>
      </c>
      <c r="L3445" s="2">
        <v>0</v>
      </c>
      <c r="M3445">
        <v>36.88</v>
      </c>
      <c r="N3445" t="s">
        <v>10236</v>
      </c>
    </row>
    <row r="3446" spans="1:14">
      <c r="A3446" t="s">
        <v>223</v>
      </c>
      <c r="B3446" t="s">
        <v>3589</v>
      </c>
      <c r="C3446">
        <f>"5454025"</f>
        <v>0</v>
      </c>
      <c r="D3446">
        <v>0</v>
      </c>
      <c r="E3446">
        <v>0</v>
      </c>
      <c r="F3446" s="2">
        <v>0</v>
      </c>
      <c r="H3446">
        <v>0</v>
      </c>
      <c r="I3446">
        <v>0.1741125760648204</v>
      </c>
      <c r="J3446">
        <v>0</v>
      </c>
      <c r="K3446">
        <v>0</v>
      </c>
      <c r="L3446" s="2">
        <v>0</v>
      </c>
      <c r="M3446">
        <v>36.89</v>
      </c>
      <c r="N3446" t="s">
        <v>10236</v>
      </c>
    </row>
    <row r="3447" spans="1:14">
      <c r="A3447" t="s">
        <v>35</v>
      </c>
      <c r="B3447" t="s">
        <v>3590</v>
      </c>
      <c r="C3447">
        <f>"LO80805"</f>
        <v>0</v>
      </c>
      <c r="D3447">
        <v>0</v>
      </c>
      <c r="E3447">
        <v>0</v>
      </c>
      <c r="F3447" s="2">
        <v>0</v>
      </c>
      <c r="H3447">
        <v>0</v>
      </c>
      <c r="I3447">
        <v>0.1741125760648204</v>
      </c>
      <c r="J3447">
        <v>0</v>
      </c>
      <c r="K3447">
        <v>0</v>
      </c>
      <c r="L3447" s="2">
        <v>0</v>
      </c>
      <c r="M3447">
        <v>36.9</v>
      </c>
      <c r="N3447" t="s">
        <v>10236</v>
      </c>
    </row>
    <row r="3448" spans="1:14">
      <c r="A3448" t="s">
        <v>35</v>
      </c>
      <c r="B3448" t="s">
        <v>3591</v>
      </c>
      <c r="C3448">
        <f>"2930MIX"</f>
        <v>0</v>
      </c>
      <c r="D3448">
        <v>0</v>
      </c>
      <c r="E3448">
        <v>0</v>
      </c>
      <c r="F3448" s="2">
        <v>0</v>
      </c>
      <c r="H3448">
        <v>0</v>
      </c>
      <c r="I3448">
        <v>0.1741125760648204</v>
      </c>
      <c r="J3448">
        <v>0</v>
      </c>
      <c r="K3448">
        <v>0</v>
      </c>
      <c r="L3448" s="2">
        <v>0</v>
      </c>
      <c r="M3448">
        <v>36.91</v>
      </c>
      <c r="N3448" t="s">
        <v>10236</v>
      </c>
    </row>
    <row r="3449" spans="1:14">
      <c r="A3449" t="s">
        <v>223</v>
      </c>
      <c r="B3449" t="s">
        <v>3592</v>
      </c>
      <c r="C3449">
        <f>"5101004"</f>
        <v>0</v>
      </c>
      <c r="D3449">
        <v>0</v>
      </c>
      <c r="E3449">
        <v>0</v>
      </c>
      <c r="F3449" s="2">
        <v>0</v>
      </c>
      <c r="H3449">
        <v>0</v>
      </c>
      <c r="I3449">
        <v>0.1741125760648204</v>
      </c>
      <c r="J3449">
        <v>0</v>
      </c>
      <c r="K3449">
        <v>0</v>
      </c>
      <c r="L3449" s="2">
        <v>0</v>
      </c>
      <c r="M3449">
        <v>36.92</v>
      </c>
      <c r="N3449" t="s">
        <v>10236</v>
      </c>
    </row>
    <row r="3450" spans="1:14">
      <c r="A3450" t="s">
        <v>25</v>
      </c>
      <c r="B3450" t="s">
        <v>3593</v>
      </c>
      <c r="C3450">
        <f>"D141"</f>
        <v>0</v>
      </c>
      <c r="D3450">
        <v>0</v>
      </c>
      <c r="E3450">
        <v>0</v>
      </c>
      <c r="F3450" s="2">
        <v>0</v>
      </c>
      <c r="H3450">
        <v>0</v>
      </c>
      <c r="I3450">
        <v>0.1741125760648204</v>
      </c>
      <c r="J3450">
        <v>0</v>
      </c>
      <c r="K3450">
        <v>0</v>
      </c>
      <c r="L3450" s="2">
        <v>0</v>
      </c>
      <c r="M3450">
        <v>36.93</v>
      </c>
      <c r="N3450" t="s">
        <v>10236</v>
      </c>
    </row>
    <row r="3451" spans="1:14">
      <c r="A3451" t="s">
        <v>25</v>
      </c>
      <c r="B3451" t="s">
        <v>3594</v>
      </c>
      <c r="C3451">
        <f>"110W"</f>
        <v>0</v>
      </c>
      <c r="D3451">
        <v>0</v>
      </c>
      <c r="E3451">
        <v>0</v>
      </c>
      <c r="F3451" s="2">
        <v>0</v>
      </c>
      <c r="H3451">
        <v>0</v>
      </c>
      <c r="I3451">
        <v>0.1741125760648204</v>
      </c>
      <c r="J3451">
        <v>0</v>
      </c>
      <c r="K3451">
        <v>0</v>
      </c>
      <c r="L3451" s="2">
        <v>0</v>
      </c>
      <c r="M3451">
        <v>36.94</v>
      </c>
      <c r="N3451" t="s">
        <v>10236</v>
      </c>
    </row>
    <row r="3452" spans="1:14">
      <c r="A3452" t="s">
        <v>35</v>
      </c>
      <c r="B3452" t="s">
        <v>3595</v>
      </c>
      <c r="C3452">
        <f>"WD927930"</f>
        <v>0</v>
      </c>
      <c r="D3452">
        <v>0</v>
      </c>
      <c r="E3452">
        <v>19</v>
      </c>
      <c r="F3452" s="2">
        <v>3</v>
      </c>
      <c r="H3452">
        <v>0</v>
      </c>
      <c r="I3452">
        <v>0.1741125760648204</v>
      </c>
      <c r="J3452">
        <v>0</v>
      </c>
      <c r="K3452">
        <v>0</v>
      </c>
      <c r="L3452" s="2">
        <v>0</v>
      </c>
      <c r="M3452">
        <v>36.95</v>
      </c>
      <c r="N3452" t="s">
        <v>10236</v>
      </c>
    </row>
    <row r="3453" spans="1:14">
      <c r="A3453" t="s">
        <v>35</v>
      </c>
      <c r="B3453" t="s">
        <v>3596</v>
      </c>
      <c r="C3453">
        <f>"wd928931"</f>
        <v>0</v>
      </c>
      <c r="D3453">
        <v>0</v>
      </c>
      <c r="E3453">
        <v>12</v>
      </c>
      <c r="F3453" s="2">
        <v>3</v>
      </c>
      <c r="H3453">
        <v>0</v>
      </c>
      <c r="I3453">
        <v>0.1741125760648204</v>
      </c>
      <c r="J3453">
        <v>0</v>
      </c>
      <c r="K3453">
        <v>0</v>
      </c>
      <c r="L3453" s="2">
        <v>0</v>
      </c>
      <c r="M3453">
        <v>36.96</v>
      </c>
      <c r="N3453" t="s">
        <v>10236</v>
      </c>
    </row>
    <row r="3454" spans="1:14">
      <c r="A3454" t="s">
        <v>35</v>
      </c>
      <c r="B3454" t="s">
        <v>3597</v>
      </c>
      <c r="C3454">
        <f>"AGMAM"</f>
        <v>0</v>
      </c>
      <c r="D3454">
        <v>0</v>
      </c>
      <c r="E3454">
        <v>1</v>
      </c>
      <c r="F3454" s="2">
        <v>2</v>
      </c>
      <c r="H3454">
        <v>0</v>
      </c>
      <c r="I3454">
        <v>0.1741125760648204</v>
      </c>
      <c r="J3454">
        <v>0</v>
      </c>
      <c r="K3454">
        <v>0</v>
      </c>
      <c r="L3454" s="2">
        <v>0</v>
      </c>
      <c r="M3454">
        <v>36.97</v>
      </c>
      <c r="N3454" t="s">
        <v>10236</v>
      </c>
    </row>
    <row r="3455" spans="1:14">
      <c r="A3455" t="s">
        <v>35</v>
      </c>
      <c r="B3455" t="s">
        <v>3598</v>
      </c>
      <c r="C3455">
        <f>"23HT26"</f>
        <v>0</v>
      </c>
      <c r="D3455">
        <v>0</v>
      </c>
      <c r="E3455">
        <v>3</v>
      </c>
      <c r="F3455" s="2">
        <v>3</v>
      </c>
      <c r="H3455">
        <v>0</v>
      </c>
      <c r="I3455">
        <v>0.1741125760648204</v>
      </c>
      <c r="J3455">
        <v>0</v>
      </c>
      <c r="K3455">
        <v>0</v>
      </c>
      <c r="L3455" s="2">
        <v>0</v>
      </c>
      <c r="M3455">
        <v>36.98</v>
      </c>
      <c r="N3455" t="s">
        <v>10236</v>
      </c>
    </row>
    <row r="3456" spans="1:14">
      <c r="A3456" t="s">
        <v>35</v>
      </c>
      <c r="B3456" t="s">
        <v>3599</v>
      </c>
      <c r="C3456">
        <f>"YK001LIM"</f>
        <v>0</v>
      </c>
      <c r="D3456">
        <v>0</v>
      </c>
      <c r="E3456">
        <v>4</v>
      </c>
      <c r="F3456" s="2">
        <v>11</v>
      </c>
      <c r="H3456">
        <v>0</v>
      </c>
      <c r="I3456">
        <v>0.1741125760648204</v>
      </c>
      <c r="J3456">
        <v>0</v>
      </c>
      <c r="K3456">
        <v>0</v>
      </c>
      <c r="L3456" s="2">
        <v>0</v>
      </c>
      <c r="M3456">
        <v>36.99</v>
      </c>
      <c r="N3456" t="s">
        <v>10236</v>
      </c>
    </row>
    <row r="3457" spans="1:14">
      <c r="A3457" t="s">
        <v>35</v>
      </c>
      <c r="B3457" t="s">
        <v>3600</v>
      </c>
      <c r="C3457">
        <f>"MK01SN"</f>
        <v>0</v>
      </c>
      <c r="D3457">
        <v>0</v>
      </c>
      <c r="E3457">
        <v>0</v>
      </c>
      <c r="F3457" s="2">
        <v>0</v>
      </c>
      <c r="H3457">
        <v>0</v>
      </c>
      <c r="I3457">
        <v>0.1741125760648204</v>
      </c>
      <c r="J3457">
        <v>0</v>
      </c>
      <c r="K3457">
        <v>0</v>
      </c>
      <c r="L3457" s="2">
        <v>0</v>
      </c>
      <c r="M3457">
        <v>37</v>
      </c>
      <c r="N3457" t="s">
        <v>10236</v>
      </c>
    </row>
    <row r="3458" spans="1:14">
      <c r="A3458" t="s">
        <v>35</v>
      </c>
      <c r="B3458" t="s">
        <v>3601</v>
      </c>
      <c r="C3458">
        <f>"MK01MN"</f>
        <v>0</v>
      </c>
      <c r="D3458">
        <v>0</v>
      </c>
      <c r="E3458">
        <v>0</v>
      </c>
      <c r="F3458" s="2">
        <v>0</v>
      </c>
      <c r="H3458">
        <v>0</v>
      </c>
      <c r="I3458">
        <v>0.1741125760648204</v>
      </c>
      <c r="J3458">
        <v>0</v>
      </c>
      <c r="K3458">
        <v>0</v>
      </c>
      <c r="L3458" s="2">
        <v>0</v>
      </c>
      <c r="M3458">
        <v>37</v>
      </c>
      <c r="N3458" t="s">
        <v>10236</v>
      </c>
    </row>
    <row r="3459" spans="1:14">
      <c r="A3459" t="s">
        <v>35</v>
      </c>
      <c r="B3459" t="s">
        <v>3602</v>
      </c>
      <c r="C3459">
        <f>"MK01LN"</f>
        <v>0</v>
      </c>
      <c r="D3459">
        <v>0</v>
      </c>
      <c r="E3459">
        <v>0</v>
      </c>
      <c r="F3459" s="2">
        <v>0</v>
      </c>
      <c r="H3459">
        <v>0</v>
      </c>
      <c r="I3459">
        <v>0.1741125760648204</v>
      </c>
      <c r="J3459">
        <v>0</v>
      </c>
      <c r="K3459">
        <v>0</v>
      </c>
      <c r="L3459" s="2">
        <v>0</v>
      </c>
      <c r="M3459">
        <v>37.01</v>
      </c>
      <c r="N3459" t="s">
        <v>10236</v>
      </c>
    </row>
    <row r="3460" spans="1:14">
      <c r="A3460" t="s">
        <v>35</v>
      </c>
      <c r="B3460" t="s">
        <v>3603</v>
      </c>
      <c r="C3460">
        <f>"MK01XLM"</f>
        <v>0</v>
      </c>
      <c r="D3460">
        <v>0</v>
      </c>
      <c r="E3460">
        <v>0</v>
      </c>
      <c r="F3460" s="2">
        <v>0</v>
      </c>
      <c r="H3460">
        <v>0</v>
      </c>
      <c r="I3460">
        <v>0.1741125760648204</v>
      </c>
      <c r="J3460">
        <v>0</v>
      </c>
      <c r="K3460">
        <v>0</v>
      </c>
      <c r="L3460" s="2">
        <v>0</v>
      </c>
      <c r="M3460">
        <v>37.02</v>
      </c>
      <c r="N3460" t="s">
        <v>10236</v>
      </c>
    </row>
    <row r="3461" spans="1:14">
      <c r="A3461" t="s">
        <v>35</v>
      </c>
      <c r="B3461" t="s">
        <v>3604</v>
      </c>
      <c r="C3461">
        <f>"MK01SM"</f>
        <v>0</v>
      </c>
      <c r="D3461">
        <v>0</v>
      </c>
      <c r="E3461">
        <v>0</v>
      </c>
      <c r="F3461" s="2">
        <v>0</v>
      </c>
      <c r="H3461">
        <v>0</v>
      </c>
      <c r="I3461">
        <v>0.1741125760648204</v>
      </c>
      <c r="J3461">
        <v>0</v>
      </c>
      <c r="K3461">
        <v>0</v>
      </c>
      <c r="L3461" s="2">
        <v>0</v>
      </c>
      <c r="M3461">
        <v>37.03</v>
      </c>
      <c r="N3461" t="s">
        <v>10236</v>
      </c>
    </row>
    <row r="3462" spans="1:14">
      <c r="A3462" t="s">
        <v>35</v>
      </c>
      <c r="B3462" t="s">
        <v>3605</v>
      </c>
      <c r="C3462">
        <f>"MK01LP"</f>
        <v>0</v>
      </c>
      <c r="D3462">
        <v>0</v>
      </c>
      <c r="E3462">
        <v>1</v>
      </c>
      <c r="F3462" s="2">
        <v>7</v>
      </c>
      <c r="H3462">
        <v>0</v>
      </c>
      <c r="I3462">
        <v>0.1741125760648204</v>
      </c>
      <c r="J3462">
        <v>0</v>
      </c>
      <c r="K3462">
        <v>0</v>
      </c>
      <c r="L3462" s="2">
        <v>0</v>
      </c>
      <c r="M3462">
        <v>37.04</v>
      </c>
      <c r="N3462" t="s">
        <v>10236</v>
      </c>
    </row>
    <row r="3463" spans="1:14">
      <c r="A3463" t="s">
        <v>35</v>
      </c>
      <c r="B3463" t="s">
        <v>3606</v>
      </c>
      <c r="C3463">
        <f>"1823ROS"</f>
        <v>0</v>
      </c>
      <c r="D3463">
        <v>0</v>
      </c>
      <c r="E3463">
        <v>0</v>
      </c>
      <c r="F3463" s="2">
        <v>0</v>
      </c>
      <c r="H3463">
        <v>0</v>
      </c>
      <c r="I3463">
        <v>0.1741125760648204</v>
      </c>
      <c r="J3463">
        <v>0</v>
      </c>
      <c r="K3463">
        <v>0</v>
      </c>
      <c r="L3463" s="2">
        <v>0</v>
      </c>
      <c r="M3463">
        <v>37.05</v>
      </c>
      <c r="N3463" t="s">
        <v>10236</v>
      </c>
    </row>
    <row r="3464" spans="1:14">
      <c r="A3464" t="s">
        <v>35</v>
      </c>
      <c r="B3464" t="s">
        <v>3607</v>
      </c>
      <c r="C3464">
        <f>"1823R"</f>
        <v>0</v>
      </c>
      <c r="D3464">
        <v>0</v>
      </c>
      <c r="E3464">
        <v>0</v>
      </c>
      <c r="F3464" s="2">
        <v>0</v>
      </c>
      <c r="H3464">
        <v>0</v>
      </c>
      <c r="I3464">
        <v>0.1741125760648204</v>
      </c>
      <c r="J3464">
        <v>0</v>
      </c>
      <c r="K3464">
        <v>0</v>
      </c>
      <c r="L3464" s="2">
        <v>0</v>
      </c>
      <c r="M3464">
        <v>37.06</v>
      </c>
      <c r="N3464" t="s">
        <v>10236</v>
      </c>
    </row>
    <row r="3465" spans="1:14">
      <c r="A3465" t="s">
        <v>35</v>
      </c>
      <c r="B3465" t="s">
        <v>3608</v>
      </c>
      <c r="C3465">
        <f>"1823A"</f>
        <v>0</v>
      </c>
      <c r="D3465">
        <v>0</v>
      </c>
      <c r="E3465">
        <v>0</v>
      </c>
      <c r="F3465" s="2">
        <v>0</v>
      </c>
      <c r="H3465">
        <v>0</v>
      </c>
      <c r="I3465">
        <v>0.1741125760648204</v>
      </c>
      <c r="J3465">
        <v>0</v>
      </c>
      <c r="K3465">
        <v>0</v>
      </c>
      <c r="L3465" s="2">
        <v>0</v>
      </c>
      <c r="M3465">
        <v>37.07</v>
      </c>
      <c r="N3465" t="s">
        <v>10236</v>
      </c>
    </row>
    <row r="3466" spans="1:14">
      <c r="A3466" t="s">
        <v>35</v>
      </c>
      <c r="B3466" t="s">
        <v>3609</v>
      </c>
      <c r="C3466">
        <f>"1880"</f>
        <v>0</v>
      </c>
      <c r="D3466">
        <v>0</v>
      </c>
      <c r="E3466">
        <v>0</v>
      </c>
      <c r="F3466" s="2">
        <v>0</v>
      </c>
      <c r="H3466">
        <v>0</v>
      </c>
      <c r="I3466">
        <v>0.1741125760648204</v>
      </c>
      <c r="J3466">
        <v>0</v>
      </c>
      <c r="K3466">
        <v>0</v>
      </c>
      <c r="L3466" s="2">
        <v>0</v>
      </c>
      <c r="M3466">
        <v>37.08</v>
      </c>
      <c r="N3466" t="s">
        <v>10236</v>
      </c>
    </row>
    <row r="3467" spans="1:14">
      <c r="A3467" t="s">
        <v>35</v>
      </c>
      <c r="B3467" t="s">
        <v>3610</v>
      </c>
      <c r="C3467">
        <f>"1880ROS"</f>
        <v>0</v>
      </c>
      <c r="D3467">
        <v>0</v>
      </c>
      <c r="E3467">
        <v>5</v>
      </c>
      <c r="F3467" s="2">
        <v>10</v>
      </c>
      <c r="H3467">
        <v>0</v>
      </c>
      <c r="I3467">
        <v>0.1741125760648204</v>
      </c>
      <c r="J3467">
        <v>0</v>
      </c>
      <c r="K3467">
        <v>0</v>
      </c>
      <c r="L3467" s="2">
        <v>0</v>
      </c>
      <c r="M3467">
        <v>37.09</v>
      </c>
      <c r="N3467" t="s">
        <v>10236</v>
      </c>
    </row>
    <row r="3468" spans="1:14">
      <c r="A3468" t="s">
        <v>35</v>
      </c>
      <c r="B3468" t="s">
        <v>3611</v>
      </c>
      <c r="C3468">
        <f>"1808"</f>
        <v>0</v>
      </c>
      <c r="D3468">
        <v>0</v>
      </c>
      <c r="E3468">
        <v>7</v>
      </c>
      <c r="F3468" s="2">
        <v>14</v>
      </c>
      <c r="H3468">
        <v>0</v>
      </c>
      <c r="I3468">
        <v>0.1741125760648204</v>
      </c>
      <c r="J3468">
        <v>0</v>
      </c>
      <c r="K3468">
        <v>0</v>
      </c>
      <c r="L3468" s="2">
        <v>0</v>
      </c>
      <c r="M3468">
        <v>37.1</v>
      </c>
      <c r="N3468" t="s">
        <v>10236</v>
      </c>
    </row>
    <row r="3469" spans="1:14">
      <c r="A3469" t="s">
        <v>35</v>
      </c>
      <c r="B3469" t="s">
        <v>3612</v>
      </c>
      <c r="C3469">
        <f>"LYC08033A"</f>
        <v>0</v>
      </c>
      <c r="D3469">
        <v>0</v>
      </c>
      <c r="E3469">
        <v>1</v>
      </c>
      <c r="F3469" s="2">
        <v>20</v>
      </c>
      <c r="H3469">
        <v>0</v>
      </c>
      <c r="I3469">
        <v>0.1741125760648204</v>
      </c>
      <c r="J3469">
        <v>0</v>
      </c>
      <c r="K3469">
        <v>0</v>
      </c>
      <c r="L3469" s="2">
        <v>0</v>
      </c>
      <c r="M3469">
        <v>37.11</v>
      </c>
      <c r="N3469" t="s">
        <v>10236</v>
      </c>
    </row>
    <row r="3470" spans="1:14">
      <c r="A3470" t="s">
        <v>35</v>
      </c>
      <c r="B3470" t="s">
        <v>3613</v>
      </c>
      <c r="C3470">
        <f>"1868V"</f>
        <v>0</v>
      </c>
      <c r="D3470">
        <v>0</v>
      </c>
      <c r="E3470">
        <v>2</v>
      </c>
      <c r="F3470" s="2">
        <v>20</v>
      </c>
      <c r="H3470">
        <v>0</v>
      </c>
      <c r="I3470">
        <v>0.1741125760648204</v>
      </c>
      <c r="J3470">
        <v>0</v>
      </c>
      <c r="K3470">
        <v>0</v>
      </c>
      <c r="L3470" s="2">
        <v>0</v>
      </c>
      <c r="M3470">
        <v>37.12</v>
      </c>
      <c r="N3470" t="s">
        <v>10236</v>
      </c>
    </row>
    <row r="3471" spans="1:14">
      <c r="A3471" t="s">
        <v>35</v>
      </c>
      <c r="B3471" t="s">
        <v>3614</v>
      </c>
      <c r="C3471">
        <f>"MK01M"</f>
        <v>0</v>
      </c>
      <c r="D3471">
        <v>0</v>
      </c>
      <c r="E3471">
        <v>0</v>
      </c>
      <c r="F3471" s="2">
        <v>0</v>
      </c>
      <c r="H3471">
        <v>0</v>
      </c>
      <c r="I3471">
        <v>0.1741125760648204</v>
      </c>
      <c r="J3471">
        <v>0</v>
      </c>
      <c r="K3471">
        <v>0</v>
      </c>
      <c r="L3471" s="2">
        <v>0</v>
      </c>
      <c r="M3471">
        <v>37.12</v>
      </c>
      <c r="N3471" t="s">
        <v>10236</v>
      </c>
    </row>
    <row r="3472" spans="1:14">
      <c r="A3472" t="s">
        <v>35</v>
      </c>
      <c r="B3472" t="s">
        <v>3615</v>
      </c>
      <c r="C3472">
        <f>"1868C"</f>
        <v>0</v>
      </c>
      <c r="D3472">
        <v>0</v>
      </c>
      <c r="E3472">
        <v>0</v>
      </c>
      <c r="F3472" s="2">
        <v>0</v>
      </c>
      <c r="H3472">
        <v>0</v>
      </c>
      <c r="I3472">
        <v>0.1741125760648204</v>
      </c>
      <c r="J3472">
        <v>0</v>
      </c>
      <c r="K3472">
        <v>0</v>
      </c>
      <c r="L3472" s="2">
        <v>0</v>
      </c>
      <c r="M3472">
        <v>37.13</v>
      </c>
      <c r="N3472" t="s">
        <v>10236</v>
      </c>
    </row>
    <row r="3473" spans="1:14">
      <c r="A3473" t="s">
        <v>35</v>
      </c>
      <c r="B3473" t="s">
        <v>3616</v>
      </c>
      <c r="C3473">
        <f>"1868AR"</f>
        <v>0</v>
      </c>
      <c r="D3473">
        <v>0</v>
      </c>
      <c r="E3473">
        <v>3</v>
      </c>
      <c r="F3473" s="2">
        <v>21</v>
      </c>
      <c r="H3473">
        <v>0</v>
      </c>
      <c r="I3473">
        <v>0.1741125760648204</v>
      </c>
      <c r="J3473">
        <v>0</v>
      </c>
      <c r="K3473">
        <v>0</v>
      </c>
      <c r="L3473" s="2">
        <v>0</v>
      </c>
      <c r="M3473">
        <v>37.14</v>
      </c>
      <c r="N3473" t="s">
        <v>10236</v>
      </c>
    </row>
    <row r="3474" spans="1:14">
      <c r="A3474" t="s">
        <v>35</v>
      </c>
      <c r="B3474" t="s">
        <v>3617</v>
      </c>
      <c r="C3474">
        <f>"763RECT"</f>
        <v>0</v>
      </c>
      <c r="D3474">
        <v>0</v>
      </c>
      <c r="E3474">
        <v>1</v>
      </c>
      <c r="F3474" s="2">
        <v>11</v>
      </c>
      <c r="H3474">
        <v>0</v>
      </c>
      <c r="I3474">
        <v>0.1741125760648204</v>
      </c>
      <c r="J3474">
        <v>0</v>
      </c>
      <c r="K3474">
        <v>0</v>
      </c>
      <c r="L3474" s="2">
        <v>0</v>
      </c>
      <c r="M3474">
        <v>37.15</v>
      </c>
      <c r="N3474" t="s">
        <v>10236</v>
      </c>
    </row>
    <row r="3475" spans="1:14">
      <c r="A3475" t="s">
        <v>35</v>
      </c>
      <c r="B3475" t="s">
        <v>3618</v>
      </c>
      <c r="C3475">
        <f>"763MIXAZUL"</f>
        <v>0</v>
      </c>
      <c r="D3475">
        <v>0</v>
      </c>
      <c r="E3475">
        <v>0</v>
      </c>
      <c r="F3475" s="2">
        <v>0</v>
      </c>
      <c r="H3475">
        <v>0</v>
      </c>
      <c r="I3475">
        <v>0.1741125760648204</v>
      </c>
      <c r="J3475">
        <v>0</v>
      </c>
      <c r="K3475">
        <v>0</v>
      </c>
      <c r="L3475" s="2">
        <v>0</v>
      </c>
      <c r="M3475">
        <v>37.16</v>
      </c>
      <c r="N3475" t="s">
        <v>10236</v>
      </c>
    </row>
    <row r="3476" spans="1:14">
      <c r="A3476" t="s">
        <v>35</v>
      </c>
      <c r="B3476" t="s">
        <v>3619</v>
      </c>
      <c r="C3476">
        <f>"763DES"</f>
        <v>0</v>
      </c>
      <c r="D3476">
        <v>0</v>
      </c>
      <c r="E3476">
        <v>1</v>
      </c>
      <c r="F3476" s="2">
        <v>11</v>
      </c>
      <c r="H3476">
        <v>0</v>
      </c>
      <c r="I3476">
        <v>0.1741125760648204</v>
      </c>
      <c r="J3476">
        <v>0</v>
      </c>
      <c r="K3476">
        <v>0</v>
      </c>
      <c r="L3476" s="2">
        <v>0</v>
      </c>
      <c r="M3476">
        <v>37.17</v>
      </c>
      <c r="N3476" t="s">
        <v>10236</v>
      </c>
    </row>
    <row r="3477" spans="1:14">
      <c r="A3477" t="s">
        <v>35</v>
      </c>
      <c r="B3477" t="s">
        <v>3620</v>
      </c>
      <c r="C3477">
        <f>"XCX3"</f>
        <v>0</v>
      </c>
      <c r="D3477">
        <v>0</v>
      </c>
      <c r="E3477">
        <v>0</v>
      </c>
      <c r="F3477" s="2">
        <v>0</v>
      </c>
      <c r="H3477">
        <v>0</v>
      </c>
      <c r="I3477">
        <v>0.1741125760648204</v>
      </c>
      <c r="J3477">
        <v>0</v>
      </c>
      <c r="K3477">
        <v>0</v>
      </c>
      <c r="L3477" s="2">
        <v>0</v>
      </c>
      <c r="M3477">
        <v>37.18</v>
      </c>
      <c r="N3477" t="s">
        <v>10236</v>
      </c>
    </row>
    <row r="3478" spans="1:14">
      <c r="A3478" t="s">
        <v>35</v>
      </c>
      <c r="B3478" t="s">
        <v>3621</v>
      </c>
      <c r="C3478">
        <f>"VH15015S"</f>
        <v>0</v>
      </c>
      <c r="D3478">
        <v>0</v>
      </c>
      <c r="E3478">
        <v>17</v>
      </c>
      <c r="F3478" s="2">
        <v>8</v>
      </c>
      <c r="H3478">
        <v>0</v>
      </c>
      <c r="I3478">
        <v>0.1741125760648204</v>
      </c>
      <c r="J3478">
        <v>0</v>
      </c>
      <c r="K3478">
        <v>0</v>
      </c>
      <c r="L3478" s="2">
        <v>0</v>
      </c>
      <c r="M3478">
        <v>37.19</v>
      </c>
      <c r="N3478" t="s">
        <v>10236</v>
      </c>
    </row>
    <row r="3479" spans="1:14">
      <c r="A3479" t="s">
        <v>35</v>
      </c>
      <c r="B3479" t="s">
        <v>3622</v>
      </c>
      <c r="C3479">
        <f>"VH15015M"</f>
        <v>0</v>
      </c>
      <c r="D3479">
        <v>0</v>
      </c>
      <c r="E3479">
        <v>0</v>
      </c>
      <c r="F3479" s="2">
        <v>0</v>
      </c>
      <c r="H3479">
        <v>0</v>
      </c>
      <c r="I3479">
        <v>0.1741125760648204</v>
      </c>
      <c r="J3479">
        <v>0</v>
      </c>
      <c r="K3479">
        <v>0</v>
      </c>
      <c r="L3479" s="2">
        <v>0</v>
      </c>
      <c r="M3479">
        <v>37.2</v>
      </c>
      <c r="N3479" t="s">
        <v>10236</v>
      </c>
    </row>
    <row r="3480" spans="1:14">
      <c r="A3480" t="s">
        <v>35</v>
      </c>
      <c r="B3480" t="s">
        <v>3623</v>
      </c>
      <c r="C3480">
        <f>"VH15015L"</f>
        <v>0</v>
      </c>
      <c r="D3480">
        <v>0</v>
      </c>
      <c r="E3480">
        <v>0</v>
      </c>
      <c r="F3480" s="2">
        <v>0</v>
      </c>
      <c r="H3480">
        <v>0</v>
      </c>
      <c r="I3480">
        <v>0.1741125760648204</v>
      </c>
      <c r="J3480">
        <v>0</v>
      </c>
      <c r="K3480">
        <v>0</v>
      </c>
      <c r="L3480" s="2">
        <v>0</v>
      </c>
      <c r="M3480">
        <v>37.21</v>
      </c>
      <c r="N3480" t="s">
        <v>10236</v>
      </c>
    </row>
    <row r="3481" spans="1:14">
      <c r="A3481" t="s">
        <v>223</v>
      </c>
      <c r="B3481" t="s">
        <v>3624</v>
      </c>
      <c r="C3481">
        <f>"2028100"</f>
        <v>0</v>
      </c>
      <c r="D3481">
        <v>0</v>
      </c>
      <c r="E3481">
        <v>0</v>
      </c>
      <c r="F3481" s="2">
        <v>0</v>
      </c>
      <c r="H3481">
        <v>0</v>
      </c>
      <c r="I3481">
        <v>0.1741125760648204</v>
      </c>
      <c r="J3481">
        <v>0</v>
      </c>
      <c r="K3481">
        <v>0</v>
      </c>
      <c r="L3481" s="2">
        <v>0</v>
      </c>
      <c r="M3481">
        <v>37.22</v>
      </c>
      <c r="N3481" t="s">
        <v>10236</v>
      </c>
    </row>
    <row r="3482" spans="1:14">
      <c r="A3482" t="s">
        <v>223</v>
      </c>
      <c r="B3482" t="s">
        <v>3625</v>
      </c>
      <c r="C3482">
        <f>"2018020"</f>
        <v>0</v>
      </c>
      <c r="D3482">
        <v>0</v>
      </c>
      <c r="E3482">
        <v>0</v>
      </c>
      <c r="F3482" s="2">
        <v>0</v>
      </c>
      <c r="H3482">
        <v>0</v>
      </c>
      <c r="I3482">
        <v>0.1741125760648204</v>
      </c>
      <c r="J3482">
        <v>0</v>
      </c>
      <c r="K3482">
        <v>0</v>
      </c>
      <c r="L3482" s="2">
        <v>0</v>
      </c>
      <c r="M3482">
        <v>37.23</v>
      </c>
      <c r="N3482" t="s">
        <v>10236</v>
      </c>
    </row>
    <row r="3483" spans="1:14">
      <c r="A3483" t="s">
        <v>35</v>
      </c>
      <c r="B3483" t="s">
        <v>3626</v>
      </c>
      <c r="C3483">
        <f>"FB896MCEL"</f>
        <v>0</v>
      </c>
      <c r="D3483">
        <v>0</v>
      </c>
      <c r="E3483">
        <v>0</v>
      </c>
      <c r="F3483" s="2">
        <v>0</v>
      </c>
      <c r="H3483">
        <v>0</v>
      </c>
      <c r="I3483">
        <v>0.1741125760648204</v>
      </c>
      <c r="J3483">
        <v>0</v>
      </c>
      <c r="K3483">
        <v>0</v>
      </c>
      <c r="L3483" s="2">
        <v>0</v>
      </c>
      <c r="M3483">
        <v>37.23</v>
      </c>
      <c r="N3483" t="s">
        <v>10236</v>
      </c>
    </row>
    <row r="3484" spans="1:14">
      <c r="A3484" t="s">
        <v>35</v>
      </c>
      <c r="B3484" t="s">
        <v>3627</v>
      </c>
      <c r="C3484">
        <f>"MK01XL"</f>
        <v>0</v>
      </c>
      <c r="D3484">
        <v>0</v>
      </c>
      <c r="E3484">
        <v>0</v>
      </c>
      <c r="F3484" s="2">
        <v>0</v>
      </c>
      <c r="H3484">
        <v>0</v>
      </c>
      <c r="I3484">
        <v>0.1741125760648204</v>
      </c>
      <c r="J3484">
        <v>0</v>
      </c>
      <c r="K3484">
        <v>0</v>
      </c>
      <c r="L3484" s="2">
        <v>0</v>
      </c>
      <c r="M3484">
        <v>37.24</v>
      </c>
      <c r="N3484" t="s">
        <v>10236</v>
      </c>
    </row>
    <row r="3485" spans="1:14">
      <c r="A3485" t="s">
        <v>35</v>
      </c>
      <c r="B3485" t="s">
        <v>3628</v>
      </c>
      <c r="C3485">
        <f>"A03"</f>
        <v>0</v>
      </c>
      <c r="D3485">
        <v>0</v>
      </c>
      <c r="E3485">
        <v>0</v>
      </c>
      <c r="F3485" s="2">
        <v>0</v>
      </c>
      <c r="H3485">
        <v>0</v>
      </c>
      <c r="I3485">
        <v>0.1741125760648204</v>
      </c>
      <c r="J3485">
        <v>0</v>
      </c>
      <c r="K3485">
        <v>0</v>
      </c>
      <c r="L3485" s="2">
        <v>0</v>
      </c>
      <c r="M3485">
        <v>37.25</v>
      </c>
      <c r="N3485" t="s">
        <v>10236</v>
      </c>
    </row>
    <row r="3486" spans="1:14">
      <c r="A3486" t="s">
        <v>35</v>
      </c>
      <c r="B3486" t="s">
        <v>3629</v>
      </c>
      <c r="C3486">
        <f>"MK01S"</f>
        <v>0</v>
      </c>
      <c r="D3486">
        <v>0</v>
      </c>
      <c r="E3486">
        <v>0</v>
      </c>
      <c r="F3486" s="2">
        <v>0</v>
      </c>
      <c r="H3486">
        <v>0</v>
      </c>
      <c r="I3486">
        <v>0.1741125760648204</v>
      </c>
      <c r="J3486">
        <v>0</v>
      </c>
      <c r="K3486">
        <v>0</v>
      </c>
      <c r="L3486" s="2">
        <v>0</v>
      </c>
      <c r="M3486">
        <v>37.26</v>
      </c>
      <c r="N3486" t="s">
        <v>10236</v>
      </c>
    </row>
    <row r="3487" spans="1:14">
      <c r="A3487" t="s">
        <v>35</v>
      </c>
      <c r="B3487" t="s">
        <v>3630</v>
      </c>
      <c r="C3487">
        <f>"1868G"</f>
        <v>0</v>
      </c>
      <c r="D3487">
        <v>0</v>
      </c>
      <c r="E3487">
        <v>0</v>
      </c>
      <c r="F3487" s="2">
        <v>0</v>
      </c>
      <c r="H3487">
        <v>0</v>
      </c>
      <c r="I3487">
        <v>0.1741125760648204</v>
      </c>
      <c r="J3487">
        <v>0</v>
      </c>
      <c r="K3487">
        <v>0</v>
      </c>
      <c r="L3487" s="2">
        <v>0</v>
      </c>
      <c r="M3487">
        <v>37.27</v>
      </c>
      <c r="N3487" t="s">
        <v>10236</v>
      </c>
    </row>
    <row r="3488" spans="1:14">
      <c r="A3488" t="s">
        <v>194</v>
      </c>
      <c r="B3488" t="s">
        <v>3631</v>
      </c>
      <c r="C3488">
        <f>"1100040"</f>
        <v>0</v>
      </c>
      <c r="D3488">
        <v>0</v>
      </c>
      <c r="E3488">
        <v>0</v>
      </c>
      <c r="F3488" s="2">
        <v>0</v>
      </c>
      <c r="H3488">
        <v>0</v>
      </c>
      <c r="I3488">
        <v>0.1741125760648204</v>
      </c>
      <c r="J3488">
        <v>0</v>
      </c>
      <c r="K3488">
        <v>0</v>
      </c>
      <c r="L3488" s="2">
        <v>0</v>
      </c>
      <c r="M3488">
        <v>37.28</v>
      </c>
      <c r="N3488" t="s">
        <v>10236</v>
      </c>
    </row>
    <row r="3489" spans="1:14">
      <c r="A3489" t="s">
        <v>194</v>
      </c>
      <c r="B3489" t="s">
        <v>3632</v>
      </c>
      <c r="C3489">
        <f>"1400040"</f>
        <v>0</v>
      </c>
      <c r="D3489">
        <v>0</v>
      </c>
      <c r="E3489">
        <v>0</v>
      </c>
      <c r="F3489" s="2">
        <v>0</v>
      </c>
      <c r="H3489">
        <v>0</v>
      </c>
      <c r="I3489">
        <v>0.1741125760648204</v>
      </c>
      <c r="J3489">
        <v>0</v>
      </c>
      <c r="K3489">
        <v>0</v>
      </c>
      <c r="L3489" s="2">
        <v>0</v>
      </c>
      <c r="M3489">
        <v>37.29</v>
      </c>
      <c r="N3489" t="s">
        <v>10236</v>
      </c>
    </row>
    <row r="3490" spans="1:14">
      <c r="A3490" t="s">
        <v>194</v>
      </c>
      <c r="B3490" t="s">
        <v>3633</v>
      </c>
      <c r="C3490">
        <f>"1400020"</f>
        <v>0</v>
      </c>
      <c r="D3490">
        <v>0</v>
      </c>
      <c r="E3490">
        <v>0</v>
      </c>
      <c r="F3490" s="2">
        <v>0</v>
      </c>
      <c r="H3490">
        <v>0</v>
      </c>
      <c r="I3490">
        <v>0.1741125760648204</v>
      </c>
      <c r="J3490">
        <v>0</v>
      </c>
      <c r="K3490">
        <v>0</v>
      </c>
      <c r="L3490" s="2">
        <v>0</v>
      </c>
      <c r="M3490">
        <v>37.3</v>
      </c>
      <c r="N3490" t="s">
        <v>10236</v>
      </c>
    </row>
    <row r="3491" spans="1:14">
      <c r="A3491" t="s">
        <v>25</v>
      </c>
      <c r="B3491" t="s">
        <v>3634</v>
      </c>
      <c r="C3491">
        <f>"ZVP1061"</f>
        <v>0</v>
      </c>
      <c r="D3491">
        <v>0</v>
      </c>
      <c r="E3491">
        <v>0</v>
      </c>
      <c r="F3491" s="2">
        <v>0</v>
      </c>
      <c r="H3491">
        <v>0</v>
      </c>
      <c r="I3491">
        <v>0.1741125760648204</v>
      </c>
      <c r="J3491">
        <v>0</v>
      </c>
      <c r="K3491">
        <v>0</v>
      </c>
      <c r="L3491" s="2">
        <v>0</v>
      </c>
      <c r="M3491">
        <v>37.31</v>
      </c>
      <c r="N3491" t="s">
        <v>10236</v>
      </c>
    </row>
    <row r="3492" spans="1:14">
      <c r="A3492" t="s">
        <v>29</v>
      </c>
      <c r="B3492" t="s">
        <v>3635</v>
      </c>
      <c r="C3492">
        <f>"DOPC1"</f>
        <v>0</v>
      </c>
      <c r="D3492">
        <v>0</v>
      </c>
      <c r="E3492">
        <v>0</v>
      </c>
      <c r="F3492" s="2">
        <v>0</v>
      </c>
      <c r="H3492">
        <v>0</v>
      </c>
      <c r="I3492">
        <v>0.1741125760648204</v>
      </c>
      <c r="J3492">
        <v>0</v>
      </c>
      <c r="K3492">
        <v>0</v>
      </c>
      <c r="L3492" s="2">
        <v>0</v>
      </c>
      <c r="M3492">
        <v>37.32</v>
      </c>
      <c r="N3492" t="s">
        <v>10236</v>
      </c>
    </row>
    <row r="3493" spans="1:14">
      <c r="A3493" t="s">
        <v>195</v>
      </c>
      <c r="B3493" t="s">
        <v>3636</v>
      </c>
      <c r="C3493">
        <f>"1710006"</f>
        <v>0</v>
      </c>
      <c r="D3493">
        <v>0</v>
      </c>
      <c r="E3493">
        <v>0</v>
      </c>
      <c r="F3493" s="2">
        <v>0</v>
      </c>
      <c r="H3493">
        <v>0</v>
      </c>
      <c r="I3493">
        <v>0.1741125760648204</v>
      </c>
      <c r="J3493">
        <v>0</v>
      </c>
      <c r="K3493">
        <v>0</v>
      </c>
      <c r="L3493" s="2">
        <v>0</v>
      </c>
      <c r="M3493">
        <v>37.33</v>
      </c>
      <c r="N3493" t="s">
        <v>10236</v>
      </c>
    </row>
    <row r="3494" spans="1:14">
      <c r="A3494" t="s">
        <v>195</v>
      </c>
      <c r="B3494" t="s">
        <v>3637</v>
      </c>
      <c r="C3494">
        <f>"1710015"</f>
        <v>0</v>
      </c>
      <c r="D3494">
        <v>0</v>
      </c>
      <c r="E3494">
        <v>0</v>
      </c>
      <c r="F3494" s="2">
        <v>0</v>
      </c>
      <c r="H3494">
        <v>0</v>
      </c>
      <c r="I3494">
        <v>0.1741125760648204</v>
      </c>
      <c r="J3494">
        <v>0</v>
      </c>
      <c r="K3494">
        <v>0</v>
      </c>
      <c r="L3494" s="2">
        <v>0</v>
      </c>
      <c r="M3494">
        <v>37.34</v>
      </c>
      <c r="N3494" t="s">
        <v>10236</v>
      </c>
    </row>
    <row r="3495" spans="1:14">
      <c r="A3495" t="s">
        <v>194</v>
      </c>
      <c r="B3495" t="s">
        <v>3638</v>
      </c>
      <c r="C3495">
        <f>"100120101"</f>
        <v>0</v>
      </c>
      <c r="D3495">
        <v>0</v>
      </c>
      <c r="E3495">
        <v>3</v>
      </c>
      <c r="F3495" s="2">
        <v>34</v>
      </c>
      <c r="H3495">
        <v>0</v>
      </c>
      <c r="I3495">
        <v>0.1741125760648204</v>
      </c>
      <c r="J3495">
        <v>0</v>
      </c>
      <c r="K3495">
        <v>0</v>
      </c>
      <c r="L3495" s="2">
        <v>0</v>
      </c>
      <c r="M3495">
        <v>37.35</v>
      </c>
      <c r="N3495" t="s">
        <v>10236</v>
      </c>
    </row>
    <row r="3496" spans="1:14">
      <c r="A3496" t="s">
        <v>194</v>
      </c>
      <c r="B3496" t="s">
        <v>3639</v>
      </c>
      <c r="C3496">
        <f>"100160015"</f>
        <v>0</v>
      </c>
      <c r="D3496">
        <v>0</v>
      </c>
      <c r="E3496">
        <v>0</v>
      </c>
      <c r="F3496" s="2">
        <v>0</v>
      </c>
      <c r="H3496">
        <v>0</v>
      </c>
      <c r="I3496">
        <v>0.1741125760648204</v>
      </c>
      <c r="J3496">
        <v>0</v>
      </c>
      <c r="K3496">
        <v>0</v>
      </c>
      <c r="L3496" s="2">
        <v>0</v>
      </c>
      <c r="M3496">
        <v>37.35</v>
      </c>
      <c r="N3496" t="s">
        <v>10236</v>
      </c>
    </row>
    <row r="3497" spans="1:14">
      <c r="A3497" t="s">
        <v>195</v>
      </c>
      <c r="B3497" t="s">
        <v>3640</v>
      </c>
      <c r="C3497">
        <f>"25702829"</f>
        <v>0</v>
      </c>
      <c r="D3497">
        <v>0</v>
      </c>
      <c r="E3497">
        <v>0</v>
      </c>
      <c r="F3497" s="2">
        <v>0</v>
      </c>
      <c r="H3497">
        <v>0</v>
      </c>
      <c r="I3497">
        <v>0.1741125760648204</v>
      </c>
      <c r="J3497">
        <v>0</v>
      </c>
      <c r="K3497">
        <v>0</v>
      </c>
      <c r="L3497" s="2">
        <v>0</v>
      </c>
      <c r="M3497">
        <v>37.36</v>
      </c>
      <c r="N3497" t="s">
        <v>10236</v>
      </c>
    </row>
    <row r="3498" spans="1:14">
      <c r="A3498" t="s">
        <v>195</v>
      </c>
      <c r="B3498" t="s">
        <v>3641</v>
      </c>
      <c r="C3498">
        <f>"25702826"</f>
        <v>0</v>
      </c>
      <c r="D3498">
        <v>0</v>
      </c>
      <c r="E3498">
        <v>0</v>
      </c>
      <c r="F3498" s="2">
        <v>0</v>
      </c>
      <c r="H3498">
        <v>0</v>
      </c>
      <c r="I3498">
        <v>0.1741125760648204</v>
      </c>
      <c r="J3498">
        <v>0</v>
      </c>
      <c r="K3498">
        <v>0</v>
      </c>
      <c r="L3498" s="2">
        <v>0</v>
      </c>
      <c r="M3498">
        <v>37.37</v>
      </c>
      <c r="N3498" t="s">
        <v>10236</v>
      </c>
    </row>
    <row r="3499" spans="1:14">
      <c r="A3499" t="s">
        <v>195</v>
      </c>
      <c r="B3499" t="s">
        <v>3642</v>
      </c>
      <c r="C3499">
        <f>"25702798"</f>
        <v>0</v>
      </c>
      <c r="D3499">
        <v>0</v>
      </c>
      <c r="E3499">
        <v>0</v>
      </c>
      <c r="F3499" s="2">
        <v>0</v>
      </c>
      <c r="H3499">
        <v>0</v>
      </c>
      <c r="I3499">
        <v>0.1741125760648204</v>
      </c>
      <c r="J3499">
        <v>0</v>
      </c>
      <c r="K3499">
        <v>0</v>
      </c>
      <c r="L3499" s="2">
        <v>0</v>
      </c>
      <c r="M3499">
        <v>37.38</v>
      </c>
      <c r="N3499" t="s">
        <v>10236</v>
      </c>
    </row>
    <row r="3500" spans="1:14">
      <c r="A3500" t="s">
        <v>195</v>
      </c>
      <c r="B3500" t="s">
        <v>3643</v>
      </c>
      <c r="C3500">
        <f>"25702799"</f>
        <v>0</v>
      </c>
      <c r="D3500">
        <v>0</v>
      </c>
      <c r="E3500">
        <v>0</v>
      </c>
      <c r="F3500" s="2">
        <v>0</v>
      </c>
      <c r="H3500">
        <v>0</v>
      </c>
      <c r="I3500">
        <v>0.1741125760648204</v>
      </c>
      <c r="J3500">
        <v>0</v>
      </c>
      <c r="K3500">
        <v>0</v>
      </c>
      <c r="L3500" s="2">
        <v>0</v>
      </c>
      <c r="M3500">
        <v>37.39</v>
      </c>
      <c r="N3500" t="s">
        <v>10236</v>
      </c>
    </row>
    <row r="3501" spans="1:14">
      <c r="A3501" t="s">
        <v>195</v>
      </c>
      <c r="B3501" t="s">
        <v>3644</v>
      </c>
      <c r="C3501">
        <f>"25702800"</f>
        <v>0</v>
      </c>
      <c r="D3501">
        <v>0</v>
      </c>
      <c r="E3501">
        <v>0</v>
      </c>
      <c r="F3501" s="2">
        <v>0</v>
      </c>
      <c r="H3501">
        <v>0</v>
      </c>
      <c r="I3501">
        <v>0.1741125760648204</v>
      </c>
      <c r="J3501">
        <v>0</v>
      </c>
      <c r="K3501">
        <v>0</v>
      </c>
      <c r="L3501" s="2">
        <v>0</v>
      </c>
      <c r="M3501">
        <v>37.4</v>
      </c>
      <c r="N3501" t="s">
        <v>10236</v>
      </c>
    </row>
    <row r="3502" spans="1:14">
      <c r="A3502" t="s">
        <v>209</v>
      </c>
      <c r="B3502" t="s">
        <v>3645</v>
      </c>
      <c r="C3502">
        <f>"C2234"</f>
        <v>0</v>
      </c>
      <c r="D3502">
        <v>0</v>
      </c>
      <c r="E3502">
        <v>0</v>
      </c>
      <c r="F3502" s="2">
        <v>0</v>
      </c>
      <c r="H3502">
        <v>0</v>
      </c>
      <c r="I3502">
        <v>0.1741125760648204</v>
      </c>
      <c r="J3502">
        <v>0</v>
      </c>
      <c r="K3502">
        <v>0</v>
      </c>
      <c r="L3502" s="2">
        <v>0</v>
      </c>
      <c r="M3502">
        <v>37.41</v>
      </c>
      <c r="N3502" t="s">
        <v>10236</v>
      </c>
    </row>
    <row r="3503" spans="1:14">
      <c r="A3503" t="s">
        <v>32</v>
      </c>
      <c r="B3503" t="s">
        <v>3646</v>
      </c>
      <c r="C3503">
        <f>"ANS20"</f>
        <v>0</v>
      </c>
      <c r="D3503">
        <v>0</v>
      </c>
      <c r="E3503">
        <v>2</v>
      </c>
      <c r="F3503" s="2">
        <v>0</v>
      </c>
      <c r="H3503">
        <v>0</v>
      </c>
      <c r="I3503">
        <v>0.1741125760648204</v>
      </c>
      <c r="J3503">
        <v>0</v>
      </c>
      <c r="K3503">
        <v>0</v>
      </c>
      <c r="L3503" s="2">
        <v>0</v>
      </c>
      <c r="M3503">
        <v>37.42</v>
      </c>
      <c r="N3503" t="s">
        <v>10236</v>
      </c>
    </row>
    <row r="3504" spans="1:14">
      <c r="A3504" t="s">
        <v>35</v>
      </c>
      <c r="B3504" t="s">
        <v>3647</v>
      </c>
      <c r="C3504">
        <f>"PS1024"</f>
        <v>0</v>
      </c>
      <c r="D3504">
        <v>0</v>
      </c>
      <c r="E3504">
        <v>3</v>
      </c>
      <c r="F3504" s="2">
        <v>3</v>
      </c>
      <c r="H3504">
        <v>0</v>
      </c>
      <c r="I3504">
        <v>0.1741125760648204</v>
      </c>
      <c r="J3504">
        <v>0</v>
      </c>
      <c r="K3504">
        <v>0</v>
      </c>
      <c r="L3504" s="2">
        <v>0</v>
      </c>
      <c r="M3504">
        <v>37.43</v>
      </c>
      <c r="N3504" t="s">
        <v>10236</v>
      </c>
    </row>
    <row r="3505" spans="1:14">
      <c r="A3505" t="s">
        <v>195</v>
      </c>
      <c r="B3505" t="s">
        <v>3648</v>
      </c>
      <c r="C3505">
        <f>"25570222"</f>
        <v>0</v>
      </c>
      <c r="D3505">
        <v>0</v>
      </c>
      <c r="E3505">
        <v>0</v>
      </c>
      <c r="F3505" s="2">
        <v>0</v>
      </c>
      <c r="H3505">
        <v>0</v>
      </c>
      <c r="I3505">
        <v>0.1741125760648204</v>
      </c>
      <c r="J3505">
        <v>0</v>
      </c>
      <c r="K3505">
        <v>0</v>
      </c>
      <c r="L3505" s="2">
        <v>0</v>
      </c>
      <c r="M3505">
        <v>37.44</v>
      </c>
      <c r="N3505" t="s">
        <v>10236</v>
      </c>
    </row>
    <row r="3506" spans="1:14">
      <c r="A3506" t="s">
        <v>195</v>
      </c>
      <c r="B3506" t="s">
        <v>3649</v>
      </c>
      <c r="C3506">
        <f>"25570207"</f>
        <v>0</v>
      </c>
      <c r="D3506">
        <v>0</v>
      </c>
      <c r="E3506">
        <v>0</v>
      </c>
      <c r="F3506" s="2">
        <v>0</v>
      </c>
      <c r="H3506">
        <v>0</v>
      </c>
      <c r="I3506">
        <v>0.1741125760648204</v>
      </c>
      <c r="J3506">
        <v>0</v>
      </c>
      <c r="K3506">
        <v>0</v>
      </c>
      <c r="L3506" s="2">
        <v>0</v>
      </c>
      <c r="M3506">
        <v>37.45</v>
      </c>
      <c r="N3506" t="s">
        <v>10236</v>
      </c>
    </row>
    <row r="3507" spans="1:14">
      <c r="A3507" t="s">
        <v>195</v>
      </c>
      <c r="B3507" t="s">
        <v>3650</v>
      </c>
      <c r="C3507">
        <f>"25570204"</f>
        <v>0</v>
      </c>
      <c r="D3507">
        <v>0</v>
      </c>
      <c r="E3507">
        <v>0</v>
      </c>
      <c r="F3507" s="2">
        <v>0</v>
      </c>
      <c r="H3507">
        <v>0</v>
      </c>
      <c r="I3507">
        <v>0.1741125760648204</v>
      </c>
      <c r="J3507">
        <v>0</v>
      </c>
      <c r="K3507">
        <v>0</v>
      </c>
      <c r="L3507" s="2">
        <v>0</v>
      </c>
      <c r="M3507">
        <v>37.46</v>
      </c>
      <c r="N3507" t="s">
        <v>10236</v>
      </c>
    </row>
    <row r="3508" spans="1:14">
      <c r="A3508" t="s">
        <v>195</v>
      </c>
      <c r="B3508" t="s">
        <v>3651</v>
      </c>
      <c r="C3508">
        <f>"25570237"</f>
        <v>0</v>
      </c>
      <c r="D3508">
        <v>0</v>
      </c>
      <c r="E3508">
        <v>0</v>
      </c>
      <c r="F3508" s="2">
        <v>0</v>
      </c>
      <c r="H3508">
        <v>0</v>
      </c>
      <c r="I3508">
        <v>0.1741125760648204</v>
      </c>
      <c r="J3508">
        <v>0</v>
      </c>
      <c r="K3508">
        <v>0</v>
      </c>
      <c r="L3508" s="2">
        <v>0</v>
      </c>
      <c r="M3508">
        <v>37.47</v>
      </c>
      <c r="N3508" t="s">
        <v>10236</v>
      </c>
    </row>
    <row r="3509" spans="1:14">
      <c r="A3509" t="s">
        <v>195</v>
      </c>
      <c r="B3509" t="s">
        <v>3652</v>
      </c>
      <c r="C3509">
        <f>"25702792"</f>
        <v>0</v>
      </c>
      <c r="D3509">
        <v>0</v>
      </c>
      <c r="E3509">
        <v>0</v>
      </c>
      <c r="F3509" s="2">
        <v>0</v>
      </c>
      <c r="H3509">
        <v>0</v>
      </c>
      <c r="I3509">
        <v>0.1741125760648204</v>
      </c>
      <c r="J3509">
        <v>0</v>
      </c>
      <c r="K3509">
        <v>0</v>
      </c>
      <c r="L3509" s="2">
        <v>0</v>
      </c>
      <c r="M3509">
        <v>37.47</v>
      </c>
      <c r="N3509" t="s">
        <v>10236</v>
      </c>
    </row>
    <row r="3510" spans="1:14">
      <c r="A3510" t="s">
        <v>195</v>
      </c>
      <c r="B3510" t="s">
        <v>3653</v>
      </c>
      <c r="C3510">
        <f>"25702793"</f>
        <v>0</v>
      </c>
      <c r="D3510">
        <v>0</v>
      </c>
      <c r="E3510">
        <v>0</v>
      </c>
      <c r="F3510" s="2">
        <v>0</v>
      </c>
      <c r="H3510">
        <v>0</v>
      </c>
      <c r="I3510">
        <v>0.1741125760648204</v>
      </c>
      <c r="J3510">
        <v>0</v>
      </c>
      <c r="K3510">
        <v>0</v>
      </c>
      <c r="L3510" s="2">
        <v>0</v>
      </c>
      <c r="M3510">
        <v>37.48</v>
      </c>
      <c r="N3510" t="s">
        <v>10236</v>
      </c>
    </row>
    <row r="3511" spans="1:14">
      <c r="A3511" t="s">
        <v>195</v>
      </c>
      <c r="B3511" t="s">
        <v>3654</v>
      </c>
      <c r="C3511">
        <f>"25702831"</f>
        <v>0</v>
      </c>
      <c r="D3511">
        <v>0</v>
      </c>
      <c r="E3511">
        <v>0</v>
      </c>
      <c r="F3511" s="2">
        <v>0</v>
      </c>
      <c r="H3511">
        <v>0</v>
      </c>
      <c r="I3511">
        <v>0.1741125760648204</v>
      </c>
      <c r="J3511">
        <v>0</v>
      </c>
      <c r="K3511">
        <v>0</v>
      </c>
      <c r="L3511" s="2">
        <v>0</v>
      </c>
      <c r="M3511">
        <v>37.49</v>
      </c>
      <c r="N3511" t="s">
        <v>10236</v>
      </c>
    </row>
    <row r="3512" spans="1:14">
      <c r="A3512" t="s">
        <v>195</v>
      </c>
      <c r="B3512" t="s">
        <v>3655</v>
      </c>
      <c r="C3512">
        <f>"25570212"</f>
        <v>0</v>
      </c>
      <c r="D3512">
        <v>0</v>
      </c>
      <c r="E3512">
        <v>0</v>
      </c>
      <c r="F3512" s="2">
        <v>0</v>
      </c>
      <c r="H3512">
        <v>0</v>
      </c>
      <c r="I3512">
        <v>0.1741125760648204</v>
      </c>
      <c r="J3512">
        <v>0</v>
      </c>
      <c r="K3512">
        <v>0</v>
      </c>
      <c r="L3512" s="2">
        <v>0</v>
      </c>
      <c r="M3512">
        <v>37.5</v>
      </c>
      <c r="N3512" t="s">
        <v>10236</v>
      </c>
    </row>
    <row r="3513" spans="1:14">
      <c r="A3513" t="s">
        <v>195</v>
      </c>
      <c r="B3513" t="s">
        <v>3656</v>
      </c>
      <c r="C3513">
        <f>"25570213"</f>
        <v>0</v>
      </c>
      <c r="D3513">
        <v>0</v>
      </c>
      <c r="E3513">
        <v>0</v>
      </c>
      <c r="F3513" s="2">
        <v>0</v>
      </c>
      <c r="H3513">
        <v>0</v>
      </c>
      <c r="I3513">
        <v>0.1741125760648204</v>
      </c>
      <c r="J3513">
        <v>0</v>
      </c>
      <c r="K3513">
        <v>0</v>
      </c>
      <c r="L3513" s="2">
        <v>0</v>
      </c>
      <c r="M3513">
        <v>37.51</v>
      </c>
      <c r="N3513" t="s">
        <v>10236</v>
      </c>
    </row>
    <row r="3514" spans="1:14">
      <c r="A3514" t="s">
        <v>195</v>
      </c>
      <c r="B3514" t="s">
        <v>3657</v>
      </c>
      <c r="C3514">
        <f>"25570214"</f>
        <v>0</v>
      </c>
      <c r="D3514">
        <v>0</v>
      </c>
      <c r="E3514">
        <v>0</v>
      </c>
      <c r="F3514" s="2">
        <v>0</v>
      </c>
      <c r="H3514">
        <v>0</v>
      </c>
      <c r="I3514">
        <v>0.1741125760648204</v>
      </c>
      <c r="J3514">
        <v>0</v>
      </c>
      <c r="K3514">
        <v>0</v>
      </c>
      <c r="L3514" s="2">
        <v>0</v>
      </c>
      <c r="M3514">
        <v>37.52</v>
      </c>
      <c r="N3514" t="s">
        <v>10236</v>
      </c>
    </row>
    <row r="3515" spans="1:14">
      <c r="A3515" t="s">
        <v>195</v>
      </c>
      <c r="B3515" t="s">
        <v>3658</v>
      </c>
      <c r="C3515">
        <f>"25570215"</f>
        <v>0</v>
      </c>
      <c r="D3515">
        <v>0</v>
      </c>
      <c r="E3515">
        <v>0</v>
      </c>
      <c r="F3515" s="2">
        <v>0</v>
      </c>
      <c r="H3515">
        <v>0</v>
      </c>
      <c r="I3515">
        <v>0.1741125760648204</v>
      </c>
      <c r="J3515">
        <v>0</v>
      </c>
      <c r="K3515">
        <v>0</v>
      </c>
      <c r="L3515" s="2">
        <v>0</v>
      </c>
      <c r="M3515">
        <v>37.53</v>
      </c>
      <c r="N3515" t="s">
        <v>10236</v>
      </c>
    </row>
    <row r="3516" spans="1:14">
      <c r="A3516" t="s">
        <v>195</v>
      </c>
      <c r="B3516" t="s">
        <v>3659</v>
      </c>
      <c r="C3516">
        <f>"25570239"</f>
        <v>0</v>
      </c>
      <c r="D3516">
        <v>0</v>
      </c>
      <c r="E3516">
        <v>0</v>
      </c>
      <c r="F3516" s="2">
        <v>0</v>
      </c>
      <c r="H3516">
        <v>0</v>
      </c>
      <c r="I3516">
        <v>0.1741125760648204</v>
      </c>
      <c r="J3516">
        <v>0</v>
      </c>
      <c r="K3516">
        <v>0</v>
      </c>
      <c r="L3516" s="2">
        <v>0</v>
      </c>
      <c r="M3516">
        <v>37.54</v>
      </c>
      <c r="N3516" t="s">
        <v>10236</v>
      </c>
    </row>
    <row r="3517" spans="1:14">
      <c r="A3517" t="s">
        <v>35</v>
      </c>
      <c r="B3517" t="s">
        <v>3660</v>
      </c>
      <c r="C3517">
        <f>"25702813"</f>
        <v>0</v>
      </c>
      <c r="D3517">
        <v>0</v>
      </c>
      <c r="E3517">
        <v>0</v>
      </c>
      <c r="F3517" s="2">
        <v>0</v>
      </c>
      <c r="H3517">
        <v>0</v>
      </c>
      <c r="I3517">
        <v>0.1741125760648204</v>
      </c>
      <c r="J3517">
        <v>0</v>
      </c>
      <c r="K3517">
        <v>0</v>
      </c>
      <c r="L3517" s="2">
        <v>0</v>
      </c>
      <c r="M3517">
        <v>37.55</v>
      </c>
      <c r="N3517" t="s">
        <v>10236</v>
      </c>
    </row>
    <row r="3518" spans="1:14">
      <c r="A3518" t="s">
        <v>195</v>
      </c>
      <c r="B3518" t="s">
        <v>3661</v>
      </c>
      <c r="C3518">
        <f>"25702801"</f>
        <v>0</v>
      </c>
      <c r="D3518">
        <v>0</v>
      </c>
      <c r="E3518">
        <v>0</v>
      </c>
      <c r="F3518" s="2">
        <v>0</v>
      </c>
      <c r="H3518">
        <v>0</v>
      </c>
      <c r="I3518">
        <v>0.1741125760648204</v>
      </c>
      <c r="J3518">
        <v>0</v>
      </c>
      <c r="K3518">
        <v>0</v>
      </c>
      <c r="L3518" s="2">
        <v>0</v>
      </c>
      <c r="M3518">
        <v>37.56</v>
      </c>
      <c r="N3518" t="s">
        <v>10236</v>
      </c>
    </row>
    <row r="3519" spans="1:14">
      <c r="A3519" t="s">
        <v>192</v>
      </c>
      <c r="B3519" t="s">
        <v>3662</v>
      </c>
      <c r="C3519">
        <f>"618067"</f>
        <v>0</v>
      </c>
      <c r="D3519">
        <v>0</v>
      </c>
      <c r="E3519">
        <v>0</v>
      </c>
      <c r="F3519" s="2">
        <v>0</v>
      </c>
      <c r="H3519">
        <v>0</v>
      </c>
      <c r="I3519">
        <v>0.1741125760648204</v>
      </c>
      <c r="J3519">
        <v>0</v>
      </c>
      <c r="K3519">
        <v>0</v>
      </c>
      <c r="L3519" s="2">
        <v>0</v>
      </c>
      <c r="M3519">
        <v>37.57</v>
      </c>
      <c r="N3519" t="s">
        <v>10236</v>
      </c>
    </row>
    <row r="3520" spans="1:14">
      <c r="A3520" t="s">
        <v>31</v>
      </c>
      <c r="B3520" t="s">
        <v>3663</v>
      </c>
      <c r="C3520">
        <f>"RCM055"</f>
        <v>0</v>
      </c>
      <c r="D3520">
        <v>0</v>
      </c>
      <c r="E3520">
        <v>0</v>
      </c>
      <c r="F3520" s="2">
        <v>0</v>
      </c>
      <c r="H3520">
        <v>0</v>
      </c>
      <c r="I3520">
        <v>0.1741125760648204</v>
      </c>
      <c r="J3520">
        <v>0</v>
      </c>
      <c r="K3520">
        <v>0</v>
      </c>
      <c r="L3520" s="2">
        <v>0</v>
      </c>
      <c r="M3520">
        <v>37.58</v>
      </c>
      <c r="N3520" t="s">
        <v>10236</v>
      </c>
    </row>
    <row r="3521" spans="1:14">
      <c r="A3521" t="s">
        <v>29</v>
      </c>
      <c r="B3521" t="s">
        <v>3664</v>
      </c>
      <c r="C3521">
        <f>"RS160"</f>
        <v>0</v>
      </c>
      <c r="D3521">
        <v>0</v>
      </c>
      <c r="E3521">
        <v>0</v>
      </c>
      <c r="F3521" s="2">
        <v>0</v>
      </c>
      <c r="H3521">
        <v>0</v>
      </c>
      <c r="I3521">
        <v>0.1741125760648204</v>
      </c>
      <c r="J3521">
        <v>0</v>
      </c>
      <c r="K3521">
        <v>0</v>
      </c>
      <c r="L3521" s="2">
        <v>0</v>
      </c>
      <c r="M3521">
        <v>37.59</v>
      </c>
      <c r="N3521" t="s">
        <v>10236</v>
      </c>
    </row>
    <row r="3522" spans="1:14">
      <c r="A3522" t="s">
        <v>29</v>
      </c>
      <c r="B3522" t="s">
        <v>3665</v>
      </c>
      <c r="C3522">
        <f>"BB10200"</f>
        <v>0</v>
      </c>
      <c r="D3522">
        <v>0</v>
      </c>
      <c r="E3522">
        <v>1</v>
      </c>
      <c r="F3522" s="2">
        <v>20</v>
      </c>
      <c r="H3522">
        <v>0</v>
      </c>
      <c r="I3522">
        <v>0.1741125760648204</v>
      </c>
      <c r="J3522">
        <v>0</v>
      </c>
      <c r="K3522">
        <v>0</v>
      </c>
      <c r="L3522" s="2">
        <v>0</v>
      </c>
      <c r="M3522">
        <v>37.59</v>
      </c>
      <c r="N3522" t="s">
        <v>10236</v>
      </c>
    </row>
    <row r="3523" spans="1:14">
      <c r="A3523" t="s">
        <v>29</v>
      </c>
      <c r="B3523" t="s">
        <v>3666</v>
      </c>
      <c r="C3523">
        <f>"BP1"</f>
        <v>0</v>
      </c>
      <c r="D3523">
        <v>0</v>
      </c>
      <c r="E3523">
        <v>0</v>
      </c>
      <c r="F3523" s="2">
        <v>0</v>
      </c>
      <c r="H3523">
        <v>0</v>
      </c>
      <c r="I3523">
        <v>0.1741125760648204</v>
      </c>
      <c r="J3523">
        <v>0</v>
      </c>
      <c r="K3523">
        <v>0</v>
      </c>
      <c r="L3523" s="2">
        <v>0</v>
      </c>
      <c r="M3523">
        <v>37.6</v>
      </c>
      <c r="N3523" t="s">
        <v>10236</v>
      </c>
    </row>
    <row r="3524" spans="1:14">
      <c r="A3524" t="s">
        <v>29</v>
      </c>
      <c r="B3524" t="s">
        <v>3667</v>
      </c>
      <c r="C3524">
        <f>"BP3"</f>
        <v>0</v>
      </c>
      <c r="D3524">
        <v>0</v>
      </c>
      <c r="E3524">
        <v>0</v>
      </c>
      <c r="F3524" s="2">
        <v>0</v>
      </c>
      <c r="H3524">
        <v>0</v>
      </c>
      <c r="I3524">
        <v>0.1741125760648204</v>
      </c>
      <c r="J3524">
        <v>0</v>
      </c>
      <c r="K3524">
        <v>0</v>
      </c>
      <c r="L3524" s="2">
        <v>0</v>
      </c>
      <c r="M3524">
        <v>37.61</v>
      </c>
      <c r="N3524" t="s">
        <v>10236</v>
      </c>
    </row>
    <row r="3525" spans="1:14">
      <c r="A3525" t="s">
        <v>29</v>
      </c>
      <c r="B3525" t="s">
        <v>3668</v>
      </c>
      <c r="C3525">
        <f>"RS1000"</f>
        <v>0</v>
      </c>
      <c r="D3525">
        <v>0</v>
      </c>
      <c r="E3525">
        <v>1</v>
      </c>
      <c r="F3525" s="2">
        <v>13</v>
      </c>
      <c r="H3525">
        <v>0</v>
      </c>
      <c r="I3525">
        <v>0.1741125760648204</v>
      </c>
      <c r="J3525">
        <v>0</v>
      </c>
      <c r="K3525">
        <v>0</v>
      </c>
      <c r="L3525" s="2">
        <v>0</v>
      </c>
      <c r="M3525">
        <v>37.62</v>
      </c>
      <c r="N3525" t="s">
        <v>10236</v>
      </c>
    </row>
    <row r="3526" spans="1:14">
      <c r="A3526" t="s">
        <v>35</v>
      </c>
      <c r="B3526" t="s">
        <v>3669</v>
      </c>
      <c r="C3526">
        <f>"PT005SROS"</f>
        <v>0</v>
      </c>
      <c r="D3526">
        <v>0</v>
      </c>
      <c r="E3526">
        <v>1</v>
      </c>
      <c r="F3526" s="2">
        <v>3</v>
      </c>
      <c r="H3526">
        <v>0</v>
      </c>
      <c r="I3526">
        <v>0.1741125760648204</v>
      </c>
      <c r="J3526">
        <v>0</v>
      </c>
      <c r="K3526">
        <v>0</v>
      </c>
      <c r="L3526" s="2">
        <v>0</v>
      </c>
      <c r="M3526">
        <v>37.63</v>
      </c>
      <c r="N3526" t="s">
        <v>10236</v>
      </c>
    </row>
    <row r="3527" spans="1:14">
      <c r="A3527" t="s">
        <v>35</v>
      </c>
      <c r="B3527" t="s">
        <v>3670</v>
      </c>
      <c r="C3527">
        <f>"PT005MC"</f>
        <v>0</v>
      </c>
      <c r="D3527">
        <v>0</v>
      </c>
      <c r="E3527">
        <v>0</v>
      </c>
      <c r="F3527" s="2">
        <v>0</v>
      </c>
      <c r="H3527">
        <v>0</v>
      </c>
      <c r="I3527">
        <v>0.1741125760648204</v>
      </c>
      <c r="J3527">
        <v>0</v>
      </c>
      <c r="K3527">
        <v>0</v>
      </c>
      <c r="L3527" s="2">
        <v>0</v>
      </c>
      <c r="M3527">
        <v>37.64</v>
      </c>
      <c r="N3527" t="s">
        <v>10236</v>
      </c>
    </row>
    <row r="3528" spans="1:14">
      <c r="A3528" t="s">
        <v>35</v>
      </c>
      <c r="B3528" t="s">
        <v>3671</v>
      </c>
      <c r="C3528">
        <f>"PT005SA"</f>
        <v>0</v>
      </c>
      <c r="D3528">
        <v>0</v>
      </c>
      <c r="E3528">
        <v>1</v>
      </c>
      <c r="F3528" s="2">
        <v>3</v>
      </c>
      <c r="H3528">
        <v>0</v>
      </c>
      <c r="I3528">
        <v>0.1741125760648204</v>
      </c>
      <c r="J3528">
        <v>0</v>
      </c>
      <c r="K3528">
        <v>0</v>
      </c>
      <c r="L3528" s="2">
        <v>0</v>
      </c>
      <c r="M3528">
        <v>37.65</v>
      </c>
      <c r="N3528" t="s">
        <v>10236</v>
      </c>
    </row>
    <row r="3529" spans="1:14">
      <c r="A3529" t="s">
        <v>35</v>
      </c>
      <c r="B3529" t="s">
        <v>3672</v>
      </c>
      <c r="C3529">
        <f>"PT005MA"</f>
        <v>0</v>
      </c>
      <c r="D3529">
        <v>0</v>
      </c>
      <c r="E3529">
        <v>1</v>
      </c>
      <c r="F3529" s="2">
        <v>4</v>
      </c>
      <c r="H3529">
        <v>0</v>
      </c>
      <c r="I3529">
        <v>0.1741125760648204</v>
      </c>
      <c r="J3529">
        <v>0</v>
      </c>
      <c r="K3529">
        <v>0</v>
      </c>
      <c r="L3529" s="2">
        <v>0</v>
      </c>
      <c r="M3529">
        <v>37.66</v>
      </c>
      <c r="N3529" t="s">
        <v>10236</v>
      </c>
    </row>
    <row r="3530" spans="1:14">
      <c r="A3530" t="s">
        <v>35</v>
      </c>
      <c r="B3530" t="s">
        <v>3673</v>
      </c>
      <c r="C3530">
        <f>"PT005LA"</f>
        <v>0</v>
      </c>
      <c r="D3530">
        <v>0</v>
      </c>
      <c r="E3530">
        <v>0</v>
      </c>
      <c r="F3530" s="2">
        <v>0</v>
      </c>
      <c r="H3530">
        <v>0</v>
      </c>
      <c r="I3530">
        <v>0.1741125760648204</v>
      </c>
      <c r="J3530">
        <v>0</v>
      </c>
      <c r="K3530">
        <v>0</v>
      </c>
      <c r="L3530" s="2">
        <v>0</v>
      </c>
      <c r="M3530">
        <v>37.67</v>
      </c>
      <c r="N3530" t="s">
        <v>10236</v>
      </c>
    </row>
    <row r="3531" spans="1:14">
      <c r="A3531" t="s">
        <v>35</v>
      </c>
      <c r="B3531" t="s">
        <v>3674</v>
      </c>
      <c r="C3531">
        <f>"1015MBI"</f>
        <v>0</v>
      </c>
      <c r="D3531">
        <v>0</v>
      </c>
      <c r="E3531">
        <v>0</v>
      </c>
      <c r="F3531" s="2">
        <v>0</v>
      </c>
      <c r="H3531">
        <v>0</v>
      </c>
      <c r="I3531">
        <v>0.1741125760648204</v>
      </c>
      <c r="J3531">
        <v>0</v>
      </c>
      <c r="K3531">
        <v>0</v>
      </c>
      <c r="L3531" s="2">
        <v>0</v>
      </c>
      <c r="M3531">
        <v>37.68</v>
      </c>
      <c r="N3531" t="s">
        <v>10236</v>
      </c>
    </row>
    <row r="3532" spans="1:14">
      <c r="A3532" t="s">
        <v>29</v>
      </c>
      <c r="B3532" t="s">
        <v>3675</v>
      </c>
      <c r="C3532">
        <f>"HQJ1000B"</f>
        <v>0</v>
      </c>
      <c r="D3532">
        <v>0</v>
      </c>
      <c r="E3532">
        <v>0</v>
      </c>
      <c r="F3532" s="2">
        <v>0</v>
      </c>
      <c r="H3532">
        <v>0</v>
      </c>
      <c r="I3532">
        <v>0.1741125760648204</v>
      </c>
      <c r="J3532">
        <v>0</v>
      </c>
      <c r="K3532">
        <v>0</v>
      </c>
      <c r="L3532" s="2">
        <v>0</v>
      </c>
      <c r="M3532">
        <v>37.69</v>
      </c>
      <c r="N3532" t="s">
        <v>10236</v>
      </c>
    </row>
    <row r="3533" spans="1:14">
      <c r="A3533" t="s">
        <v>194</v>
      </c>
      <c r="B3533" t="s">
        <v>3676</v>
      </c>
      <c r="C3533">
        <f>"1500040"</f>
        <v>0</v>
      </c>
      <c r="D3533">
        <v>0</v>
      </c>
      <c r="E3533">
        <v>0</v>
      </c>
      <c r="F3533" s="2">
        <v>0</v>
      </c>
      <c r="H3533">
        <v>0</v>
      </c>
      <c r="I3533">
        <v>0.1741125760648204</v>
      </c>
      <c r="J3533">
        <v>0</v>
      </c>
      <c r="K3533">
        <v>0</v>
      </c>
      <c r="L3533" s="2">
        <v>0</v>
      </c>
      <c r="M3533">
        <v>37.7</v>
      </c>
      <c r="N3533" t="s">
        <v>10236</v>
      </c>
    </row>
    <row r="3534" spans="1:14">
      <c r="A3534" t="s">
        <v>35</v>
      </c>
      <c r="B3534" t="s">
        <v>3677</v>
      </c>
      <c r="C3534">
        <f>"SAS"</f>
        <v>0</v>
      </c>
      <c r="D3534">
        <v>0</v>
      </c>
      <c r="E3534">
        <v>22</v>
      </c>
      <c r="F3534" s="2">
        <v>3</v>
      </c>
      <c r="H3534">
        <v>0</v>
      </c>
      <c r="I3534">
        <v>0.1741125760648204</v>
      </c>
      <c r="J3534">
        <v>0</v>
      </c>
      <c r="K3534">
        <v>0</v>
      </c>
      <c r="L3534" s="2">
        <v>0</v>
      </c>
      <c r="M3534">
        <v>37.71</v>
      </c>
      <c r="N3534" t="s">
        <v>10236</v>
      </c>
    </row>
    <row r="3535" spans="1:14">
      <c r="A3535" t="s">
        <v>35</v>
      </c>
      <c r="B3535" t="s">
        <v>3678</v>
      </c>
      <c r="C3535">
        <f>"SAM"</f>
        <v>0</v>
      </c>
      <c r="D3535">
        <v>0</v>
      </c>
      <c r="E3535">
        <v>0</v>
      </c>
      <c r="F3535" s="2">
        <v>0</v>
      </c>
      <c r="H3535">
        <v>0</v>
      </c>
      <c r="I3535">
        <v>0.1741125760648204</v>
      </c>
      <c r="J3535">
        <v>0</v>
      </c>
      <c r="K3535">
        <v>0</v>
      </c>
      <c r="L3535" s="2">
        <v>0</v>
      </c>
      <c r="M3535">
        <v>37.71</v>
      </c>
      <c r="N3535" t="s">
        <v>10236</v>
      </c>
    </row>
    <row r="3536" spans="1:14">
      <c r="A3536" t="s">
        <v>35</v>
      </c>
      <c r="B3536" t="s">
        <v>3679</v>
      </c>
      <c r="C3536">
        <f>"SAL"</f>
        <v>0</v>
      </c>
      <c r="D3536">
        <v>0</v>
      </c>
      <c r="E3536">
        <v>0</v>
      </c>
      <c r="F3536" s="2">
        <v>0</v>
      </c>
      <c r="H3536">
        <v>0</v>
      </c>
      <c r="I3536">
        <v>0.1741125760648204</v>
      </c>
      <c r="J3536">
        <v>0</v>
      </c>
      <c r="K3536">
        <v>0</v>
      </c>
      <c r="L3536" s="2">
        <v>0</v>
      </c>
      <c r="M3536">
        <v>37.72</v>
      </c>
      <c r="N3536" t="s">
        <v>10236</v>
      </c>
    </row>
    <row r="3537" spans="1:14">
      <c r="A3537" t="s">
        <v>195</v>
      </c>
      <c r="B3537" t="s">
        <v>3680</v>
      </c>
      <c r="C3537">
        <f>"25570223"</f>
        <v>0</v>
      </c>
      <c r="D3537">
        <v>0</v>
      </c>
      <c r="E3537">
        <v>0</v>
      </c>
      <c r="F3537" s="2">
        <v>0</v>
      </c>
      <c r="H3537">
        <v>0</v>
      </c>
      <c r="I3537">
        <v>0.1741125760648204</v>
      </c>
      <c r="J3537">
        <v>0</v>
      </c>
      <c r="K3537">
        <v>0</v>
      </c>
      <c r="L3537" s="2">
        <v>0</v>
      </c>
      <c r="M3537">
        <v>37.73</v>
      </c>
      <c r="N3537" t="s">
        <v>10236</v>
      </c>
    </row>
    <row r="3538" spans="1:14">
      <c r="A3538" t="s">
        <v>195</v>
      </c>
      <c r="B3538" t="s">
        <v>3681</v>
      </c>
      <c r="C3538">
        <f>"25570224"</f>
        <v>0</v>
      </c>
      <c r="D3538">
        <v>0</v>
      </c>
      <c r="E3538">
        <v>0</v>
      </c>
      <c r="F3538" s="2">
        <v>0</v>
      </c>
      <c r="H3538">
        <v>0</v>
      </c>
      <c r="I3538">
        <v>0.1741125760648204</v>
      </c>
      <c r="J3538">
        <v>0</v>
      </c>
      <c r="K3538">
        <v>0</v>
      </c>
      <c r="L3538" s="2">
        <v>0</v>
      </c>
      <c r="M3538">
        <v>37.74</v>
      </c>
      <c r="N3538" t="s">
        <v>10236</v>
      </c>
    </row>
    <row r="3539" spans="1:14">
      <c r="A3539" t="s">
        <v>195</v>
      </c>
      <c r="B3539" t="s">
        <v>3682</v>
      </c>
      <c r="C3539">
        <f>"25570233"</f>
        <v>0</v>
      </c>
      <c r="D3539">
        <v>0</v>
      </c>
      <c r="E3539">
        <v>0</v>
      </c>
      <c r="F3539" s="2">
        <v>0</v>
      </c>
      <c r="H3539">
        <v>0</v>
      </c>
      <c r="I3539">
        <v>0.1741125760648204</v>
      </c>
      <c r="J3539">
        <v>0</v>
      </c>
      <c r="K3539">
        <v>0</v>
      </c>
      <c r="L3539" s="2">
        <v>0</v>
      </c>
      <c r="M3539">
        <v>37.75</v>
      </c>
      <c r="N3539" t="s">
        <v>10236</v>
      </c>
    </row>
    <row r="3540" spans="1:14">
      <c r="A3540" t="s">
        <v>195</v>
      </c>
      <c r="B3540" t="s">
        <v>3683</v>
      </c>
      <c r="C3540">
        <f>"25570234"</f>
        <v>0</v>
      </c>
      <c r="D3540">
        <v>0</v>
      </c>
      <c r="E3540">
        <v>0</v>
      </c>
      <c r="F3540" s="2">
        <v>0</v>
      </c>
      <c r="H3540">
        <v>0</v>
      </c>
      <c r="I3540">
        <v>0.1741125760648204</v>
      </c>
      <c r="J3540">
        <v>0</v>
      </c>
      <c r="K3540">
        <v>0</v>
      </c>
      <c r="L3540" s="2">
        <v>0</v>
      </c>
      <c r="M3540">
        <v>37.76</v>
      </c>
      <c r="N3540" t="s">
        <v>10236</v>
      </c>
    </row>
    <row r="3541" spans="1:14">
      <c r="A3541" t="s">
        <v>195</v>
      </c>
      <c r="B3541" t="s">
        <v>3684</v>
      </c>
      <c r="C3541">
        <f>"25570235"</f>
        <v>0</v>
      </c>
      <c r="D3541">
        <v>0</v>
      </c>
      <c r="E3541">
        <v>0</v>
      </c>
      <c r="F3541" s="2">
        <v>0</v>
      </c>
      <c r="H3541">
        <v>0</v>
      </c>
      <c r="I3541">
        <v>0.1741125760648204</v>
      </c>
      <c r="J3541">
        <v>0</v>
      </c>
      <c r="K3541">
        <v>0</v>
      </c>
      <c r="L3541" s="2">
        <v>0</v>
      </c>
      <c r="M3541">
        <v>37.77</v>
      </c>
      <c r="N3541" t="s">
        <v>10236</v>
      </c>
    </row>
    <row r="3542" spans="1:14">
      <c r="A3542" t="s">
        <v>195</v>
      </c>
      <c r="B3542" t="s">
        <v>3685</v>
      </c>
      <c r="C3542">
        <f>"25570236"</f>
        <v>0</v>
      </c>
      <c r="D3542">
        <v>0</v>
      </c>
      <c r="E3542">
        <v>0</v>
      </c>
      <c r="F3542" s="2">
        <v>0</v>
      </c>
      <c r="H3542">
        <v>0</v>
      </c>
      <c r="I3542">
        <v>0.1741125760648204</v>
      </c>
      <c r="J3542">
        <v>0</v>
      </c>
      <c r="K3542">
        <v>0</v>
      </c>
      <c r="L3542" s="2">
        <v>0</v>
      </c>
      <c r="M3542">
        <v>37.78</v>
      </c>
      <c r="N3542" t="s">
        <v>10236</v>
      </c>
    </row>
    <row r="3543" spans="1:14">
      <c r="A3543" t="s">
        <v>227</v>
      </c>
      <c r="B3543" t="s">
        <v>3686</v>
      </c>
      <c r="C3543">
        <f>"100764"</f>
        <v>0</v>
      </c>
      <c r="D3543">
        <v>0</v>
      </c>
      <c r="E3543">
        <v>0</v>
      </c>
      <c r="F3543" s="2">
        <v>0</v>
      </c>
      <c r="H3543">
        <v>0</v>
      </c>
      <c r="I3543">
        <v>0.1741125760648204</v>
      </c>
      <c r="J3543">
        <v>0</v>
      </c>
      <c r="K3543">
        <v>0</v>
      </c>
      <c r="L3543" s="2">
        <v>0</v>
      </c>
      <c r="M3543">
        <v>37.79</v>
      </c>
      <c r="N3543" t="s">
        <v>10236</v>
      </c>
    </row>
    <row r="3544" spans="1:14">
      <c r="A3544" t="s">
        <v>227</v>
      </c>
      <c r="B3544" t="s">
        <v>3687</v>
      </c>
      <c r="C3544">
        <f>"100752"</f>
        <v>0</v>
      </c>
      <c r="D3544">
        <v>0</v>
      </c>
      <c r="E3544">
        <v>0</v>
      </c>
      <c r="F3544" s="2">
        <v>0</v>
      </c>
      <c r="H3544">
        <v>0</v>
      </c>
      <c r="I3544">
        <v>0.1741125760648204</v>
      </c>
      <c r="J3544">
        <v>0</v>
      </c>
      <c r="K3544">
        <v>0</v>
      </c>
      <c r="L3544" s="2">
        <v>0</v>
      </c>
      <c r="M3544">
        <v>37.8</v>
      </c>
      <c r="N3544" t="s">
        <v>10236</v>
      </c>
    </row>
    <row r="3545" spans="1:14">
      <c r="A3545" t="s">
        <v>227</v>
      </c>
      <c r="B3545" t="s">
        <v>3688</v>
      </c>
      <c r="C3545">
        <f>"100748"</f>
        <v>0</v>
      </c>
      <c r="D3545">
        <v>0</v>
      </c>
      <c r="E3545">
        <v>0</v>
      </c>
      <c r="F3545" s="2">
        <v>0</v>
      </c>
      <c r="H3545">
        <v>0</v>
      </c>
      <c r="I3545">
        <v>0.1741125760648204</v>
      </c>
      <c r="J3545">
        <v>0</v>
      </c>
      <c r="K3545">
        <v>0</v>
      </c>
      <c r="L3545" s="2">
        <v>0</v>
      </c>
      <c r="M3545">
        <v>37.81</v>
      </c>
      <c r="N3545" t="s">
        <v>10236</v>
      </c>
    </row>
    <row r="3546" spans="1:14">
      <c r="A3546" t="s">
        <v>194</v>
      </c>
      <c r="B3546" t="s">
        <v>3689</v>
      </c>
      <c r="C3546">
        <f>"100110250"</f>
        <v>0</v>
      </c>
      <c r="D3546">
        <v>0</v>
      </c>
      <c r="E3546">
        <v>3</v>
      </c>
      <c r="F3546" s="2">
        <v>15</v>
      </c>
      <c r="H3546">
        <v>0</v>
      </c>
      <c r="I3546">
        <v>0.1741125760648204</v>
      </c>
      <c r="J3546">
        <v>0</v>
      </c>
      <c r="K3546">
        <v>0</v>
      </c>
      <c r="L3546" s="2">
        <v>0</v>
      </c>
      <c r="M3546">
        <v>37.82</v>
      </c>
      <c r="N3546" t="s">
        <v>10236</v>
      </c>
    </row>
    <row r="3547" spans="1:14">
      <c r="A3547" t="s">
        <v>35</v>
      </c>
      <c r="B3547" t="s">
        <v>3690</v>
      </c>
      <c r="C3547">
        <f>"AGMROS"</f>
        <v>0</v>
      </c>
      <c r="D3547">
        <v>0</v>
      </c>
      <c r="E3547">
        <v>0</v>
      </c>
      <c r="F3547" s="2">
        <v>0</v>
      </c>
      <c r="H3547">
        <v>0</v>
      </c>
      <c r="I3547">
        <v>0.1741125760648204</v>
      </c>
      <c r="J3547">
        <v>0</v>
      </c>
      <c r="K3547">
        <v>0</v>
      </c>
      <c r="L3547" s="2">
        <v>0</v>
      </c>
      <c r="M3547">
        <v>37.82</v>
      </c>
      <c r="N3547" t="s">
        <v>10236</v>
      </c>
    </row>
    <row r="3548" spans="1:14">
      <c r="A3548" t="s">
        <v>35</v>
      </c>
      <c r="B3548" t="s">
        <v>3691</v>
      </c>
      <c r="C3548">
        <f>"AGMAZ"</f>
        <v>0</v>
      </c>
      <c r="D3548">
        <v>0</v>
      </c>
      <c r="E3548">
        <v>1</v>
      </c>
      <c r="F3548" s="2">
        <v>2</v>
      </c>
      <c r="H3548">
        <v>0</v>
      </c>
      <c r="I3548">
        <v>0.1741125760648204</v>
      </c>
      <c r="J3548">
        <v>0</v>
      </c>
      <c r="K3548">
        <v>0</v>
      </c>
      <c r="L3548" s="2">
        <v>0</v>
      </c>
      <c r="M3548">
        <v>37.83</v>
      </c>
      <c r="N3548" t="s">
        <v>10236</v>
      </c>
    </row>
    <row r="3549" spans="1:14">
      <c r="A3549" t="s">
        <v>29</v>
      </c>
      <c r="B3549" t="s">
        <v>3692</v>
      </c>
      <c r="C3549">
        <f>"P350"</f>
        <v>0</v>
      </c>
      <c r="D3549">
        <v>0</v>
      </c>
      <c r="E3549">
        <v>0</v>
      </c>
      <c r="F3549" s="2">
        <v>0</v>
      </c>
      <c r="H3549">
        <v>0</v>
      </c>
      <c r="I3549">
        <v>0.1741125760648204</v>
      </c>
      <c r="J3549">
        <v>0</v>
      </c>
      <c r="K3549">
        <v>0</v>
      </c>
      <c r="L3549" s="2">
        <v>0</v>
      </c>
      <c r="M3549">
        <v>37.84</v>
      </c>
      <c r="N3549" t="s">
        <v>10236</v>
      </c>
    </row>
    <row r="3550" spans="1:14">
      <c r="A3550" t="s">
        <v>195</v>
      </c>
      <c r="B3550" t="s">
        <v>3693</v>
      </c>
      <c r="C3550">
        <f>"25570210"</f>
        <v>0</v>
      </c>
      <c r="D3550">
        <v>0</v>
      </c>
      <c r="E3550">
        <v>0</v>
      </c>
      <c r="F3550" s="2">
        <v>0</v>
      </c>
      <c r="H3550">
        <v>0</v>
      </c>
      <c r="I3550">
        <v>0.1741125760648204</v>
      </c>
      <c r="J3550">
        <v>0</v>
      </c>
      <c r="K3550">
        <v>0</v>
      </c>
      <c r="L3550" s="2">
        <v>0</v>
      </c>
      <c r="M3550">
        <v>37.85</v>
      </c>
      <c r="N3550" t="s">
        <v>10236</v>
      </c>
    </row>
    <row r="3551" spans="1:14">
      <c r="A3551" t="s">
        <v>195</v>
      </c>
      <c r="B3551" t="s">
        <v>3694</v>
      </c>
      <c r="C3551">
        <f>"25570211"</f>
        <v>0</v>
      </c>
      <c r="D3551">
        <v>0</v>
      </c>
      <c r="E3551">
        <v>0</v>
      </c>
      <c r="F3551" s="2">
        <v>0</v>
      </c>
      <c r="H3551">
        <v>0</v>
      </c>
      <c r="I3551">
        <v>0.1741125760648204</v>
      </c>
      <c r="J3551">
        <v>0</v>
      </c>
      <c r="K3551">
        <v>0</v>
      </c>
      <c r="L3551" s="2">
        <v>0</v>
      </c>
      <c r="M3551">
        <v>37.86</v>
      </c>
      <c r="N3551" t="s">
        <v>10236</v>
      </c>
    </row>
    <row r="3552" spans="1:14">
      <c r="A3552" t="s">
        <v>226</v>
      </c>
      <c r="B3552" t="s">
        <v>3695</v>
      </c>
      <c r="C3552">
        <f>"ASOCP15KG"</f>
        <v>0</v>
      </c>
      <c r="D3552">
        <v>0</v>
      </c>
      <c r="E3552">
        <v>0</v>
      </c>
      <c r="F3552" s="2">
        <v>0</v>
      </c>
      <c r="H3552">
        <v>0</v>
      </c>
      <c r="I3552">
        <v>0.1741125760648204</v>
      </c>
      <c r="J3552">
        <v>0</v>
      </c>
      <c r="K3552">
        <v>0</v>
      </c>
      <c r="L3552" s="2">
        <v>0</v>
      </c>
      <c r="M3552">
        <v>37.87</v>
      </c>
      <c r="N3552" t="s">
        <v>10236</v>
      </c>
    </row>
    <row r="3553" spans="1:14">
      <c r="A3553" t="s">
        <v>226</v>
      </c>
      <c r="B3553" t="s">
        <v>3696</v>
      </c>
      <c r="C3553">
        <f>"ASP15KG"</f>
        <v>0</v>
      </c>
      <c r="D3553">
        <v>0</v>
      </c>
      <c r="E3553">
        <v>0</v>
      </c>
      <c r="F3553" s="2">
        <v>0</v>
      </c>
      <c r="H3553">
        <v>0</v>
      </c>
      <c r="I3553">
        <v>0.1741125760648204</v>
      </c>
      <c r="J3553">
        <v>0</v>
      </c>
      <c r="K3553">
        <v>0</v>
      </c>
      <c r="L3553" s="2">
        <v>0</v>
      </c>
      <c r="M3553">
        <v>37.88</v>
      </c>
      <c r="N3553" t="s">
        <v>10236</v>
      </c>
    </row>
    <row r="3554" spans="1:14">
      <c r="A3554" t="s">
        <v>226</v>
      </c>
      <c r="B3554" t="s">
        <v>3697</v>
      </c>
      <c r="C3554">
        <f>"ARPP15KG"</f>
        <v>0</v>
      </c>
      <c r="D3554">
        <v>0</v>
      </c>
      <c r="E3554">
        <v>0</v>
      </c>
      <c r="F3554" s="2">
        <v>0</v>
      </c>
      <c r="H3554">
        <v>0</v>
      </c>
      <c r="I3554">
        <v>0.1741125760648204</v>
      </c>
      <c r="J3554">
        <v>0</v>
      </c>
      <c r="K3554">
        <v>0</v>
      </c>
      <c r="L3554" s="2">
        <v>0</v>
      </c>
      <c r="M3554">
        <v>37.89</v>
      </c>
      <c r="N3554" t="s">
        <v>10236</v>
      </c>
    </row>
    <row r="3555" spans="1:14">
      <c r="A3555" t="s">
        <v>226</v>
      </c>
      <c r="B3555" t="s">
        <v>3698</v>
      </c>
      <c r="C3555">
        <f>"APP15KG"</f>
        <v>0</v>
      </c>
      <c r="D3555">
        <v>0</v>
      </c>
      <c r="E3555">
        <v>0</v>
      </c>
      <c r="F3555" s="2">
        <v>0</v>
      </c>
      <c r="H3555">
        <v>0</v>
      </c>
      <c r="I3555">
        <v>0.1741125760648204</v>
      </c>
      <c r="J3555">
        <v>0</v>
      </c>
      <c r="K3555">
        <v>0</v>
      </c>
      <c r="L3555" s="2">
        <v>0</v>
      </c>
      <c r="M3555">
        <v>37.9</v>
      </c>
      <c r="N3555" t="s">
        <v>10236</v>
      </c>
    </row>
    <row r="3556" spans="1:14">
      <c r="A3556" t="s">
        <v>226</v>
      </c>
      <c r="B3556" t="s">
        <v>3699</v>
      </c>
      <c r="C3556">
        <f>"ABJP15KG"</f>
        <v>0</v>
      </c>
      <c r="D3556">
        <v>0</v>
      </c>
      <c r="E3556">
        <v>0</v>
      </c>
      <c r="F3556" s="2">
        <v>0</v>
      </c>
      <c r="H3556">
        <v>0</v>
      </c>
      <c r="I3556">
        <v>0.1741125760648204</v>
      </c>
      <c r="J3556">
        <v>0</v>
      </c>
      <c r="K3556">
        <v>0</v>
      </c>
      <c r="L3556" s="2">
        <v>0</v>
      </c>
      <c r="M3556">
        <v>37.91</v>
      </c>
      <c r="N3556" t="s">
        <v>10236</v>
      </c>
    </row>
    <row r="3557" spans="1:14">
      <c r="A3557" t="s">
        <v>193</v>
      </c>
      <c r="B3557" t="s">
        <v>3700</v>
      </c>
      <c r="C3557">
        <f>"804943"</f>
        <v>0</v>
      </c>
      <c r="D3557">
        <v>0</v>
      </c>
      <c r="E3557">
        <v>0</v>
      </c>
      <c r="F3557" s="2">
        <v>0</v>
      </c>
      <c r="H3557">
        <v>0</v>
      </c>
      <c r="I3557">
        <v>0.1741125760648204</v>
      </c>
      <c r="J3557">
        <v>0</v>
      </c>
      <c r="K3557">
        <v>0</v>
      </c>
      <c r="L3557" s="2">
        <v>0</v>
      </c>
      <c r="M3557">
        <v>37.92</v>
      </c>
      <c r="N3557" t="s">
        <v>10236</v>
      </c>
    </row>
    <row r="3558" spans="1:14">
      <c r="A3558" t="s">
        <v>195</v>
      </c>
      <c r="B3558" t="s">
        <v>3701</v>
      </c>
      <c r="C3558">
        <f>"25395947"</f>
        <v>0</v>
      </c>
      <c r="D3558">
        <v>0</v>
      </c>
      <c r="E3558">
        <v>0</v>
      </c>
      <c r="F3558" s="2">
        <v>0</v>
      </c>
      <c r="H3558">
        <v>0</v>
      </c>
      <c r="I3558">
        <v>0.1741125760648204</v>
      </c>
      <c r="J3558">
        <v>0</v>
      </c>
      <c r="K3558">
        <v>0</v>
      </c>
      <c r="L3558" s="2">
        <v>0</v>
      </c>
      <c r="M3558">
        <v>37.93</v>
      </c>
      <c r="N3558" t="s">
        <v>10236</v>
      </c>
    </row>
    <row r="3559" spans="1:14">
      <c r="A3559" t="s">
        <v>29</v>
      </c>
      <c r="B3559" t="s">
        <v>3702</v>
      </c>
      <c r="C3559">
        <f>"E168"</f>
        <v>0</v>
      </c>
      <c r="D3559">
        <v>0</v>
      </c>
      <c r="E3559">
        <v>0</v>
      </c>
      <c r="F3559" s="2">
        <v>0</v>
      </c>
      <c r="H3559">
        <v>0</v>
      </c>
      <c r="I3559">
        <v>0.1741125760648204</v>
      </c>
      <c r="J3559">
        <v>0</v>
      </c>
      <c r="K3559">
        <v>0</v>
      </c>
      <c r="L3559" s="2">
        <v>0</v>
      </c>
      <c r="M3559">
        <v>37.94</v>
      </c>
      <c r="N3559" t="s">
        <v>10236</v>
      </c>
    </row>
    <row r="3560" spans="1:14">
      <c r="A3560" t="s">
        <v>200</v>
      </c>
      <c r="B3560" t="s">
        <v>3703</v>
      </c>
      <c r="C3560">
        <f>"W0010"</f>
        <v>0</v>
      </c>
      <c r="D3560">
        <v>0</v>
      </c>
      <c r="E3560">
        <v>0</v>
      </c>
      <c r="F3560" s="2">
        <v>0</v>
      </c>
      <c r="H3560">
        <v>0</v>
      </c>
      <c r="I3560">
        <v>0.1741125760648204</v>
      </c>
      <c r="J3560">
        <v>0</v>
      </c>
      <c r="K3560">
        <v>0</v>
      </c>
      <c r="L3560" s="2">
        <v>0</v>
      </c>
      <c r="M3560">
        <v>37.94</v>
      </c>
      <c r="N3560" t="s">
        <v>10236</v>
      </c>
    </row>
    <row r="3561" spans="1:14">
      <c r="A3561" t="s">
        <v>29</v>
      </c>
      <c r="B3561" t="s">
        <v>3704</v>
      </c>
      <c r="C3561">
        <f>"JTP16000R"</f>
        <v>0</v>
      </c>
      <c r="D3561">
        <v>0</v>
      </c>
      <c r="E3561">
        <v>0</v>
      </c>
      <c r="F3561" s="2">
        <v>0</v>
      </c>
      <c r="H3561">
        <v>0</v>
      </c>
      <c r="I3561">
        <v>0.1741125760648204</v>
      </c>
      <c r="J3561">
        <v>0</v>
      </c>
      <c r="K3561">
        <v>0</v>
      </c>
      <c r="L3561" s="2">
        <v>0</v>
      </c>
      <c r="M3561">
        <v>37.95</v>
      </c>
      <c r="N3561" t="s">
        <v>10236</v>
      </c>
    </row>
    <row r="3562" spans="1:14">
      <c r="A3562" t="s">
        <v>35</v>
      </c>
      <c r="B3562" t="s">
        <v>3705</v>
      </c>
      <c r="C3562">
        <f>"SA1NE"</f>
        <v>0</v>
      </c>
      <c r="D3562">
        <v>0</v>
      </c>
      <c r="E3562">
        <v>0</v>
      </c>
      <c r="F3562" s="2">
        <v>0</v>
      </c>
      <c r="H3562">
        <v>0</v>
      </c>
      <c r="I3562">
        <v>0.1741125760648204</v>
      </c>
      <c r="J3562">
        <v>0</v>
      </c>
      <c r="K3562">
        <v>0</v>
      </c>
      <c r="L3562" s="2">
        <v>0</v>
      </c>
      <c r="M3562">
        <v>37.96</v>
      </c>
      <c r="N3562" t="s">
        <v>10236</v>
      </c>
    </row>
    <row r="3563" spans="1:14">
      <c r="A3563" t="s">
        <v>35</v>
      </c>
      <c r="B3563" t="s">
        <v>3706</v>
      </c>
      <c r="C3563">
        <f>"SA1NA"</f>
        <v>0</v>
      </c>
      <c r="D3563">
        <v>0</v>
      </c>
      <c r="E3563">
        <v>1</v>
      </c>
      <c r="F3563" s="2">
        <v>13</v>
      </c>
      <c r="H3563">
        <v>0</v>
      </c>
      <c r="I3563">
        <v>0.1741125760648204</v>
      </c>
      <c r="J3563">
        <v>0</v>
      </c>
      <c r="K3563">
        <v>0</v>
      </c>
      <c r="L3563" s="2">
        <v>0</v>
      </c>
      <c r="M3563">
        <v>37.97</v>
      </c>
      <c r="N3563" t="s">
        <v>10236</v>
      </c>
    </row>
    <row r="3564" spans="1:14">
      <c r="A3564" t="s">
        <v>195</v>
      </c>
      <c r="B3564" t="s">
        <v>3707</v>
      </c>
      <c r="C3564">
        <f>"25702833"</f>
        <v>0</v>
      </c>
      <c r="D3564">
        <v>0</v>
      </c>
      <c r="E3564">
        <v>0</v>
      </c>
      <c r="F3564" s="2">
        <v>0</v>
      </c>
      <c r="H3564">
        <v>0</v>
      </c>
      <c r="I3564">
        <v>0.1741125760648204</v>
      </c>
      <c r="J3564">
        <v>0</v>
      </c>
      <c r="K3564">
        <v>0</v>
      </c>
      <c r="L3564" s="2">
        <v>0</v>
      </c>
      <c r="M3564">
        <v>37.98</v>
      </c>
      <c r="N3564" t="s">
        <v>10236</v>
      </c>
    </row>
    <row r="3565" spans="1:14">
      <c r="A3565" t="s">
        <v>25</v>
      </c>
      <c r="B3565" t="s">
        <v>3708</v>
      </c>
      <c r="C3565">
        <f>"919V"</f>
        <v>0</v>
      </c>
      <c r="D3565">
        <v>0</v>
      </c>
      <c r="E3565">
        <v>0</v>
      </c>
      <c r="F3565" s="2">
        <v>0</v>
      </c>
      <c r="H3565">
        <v>0</v>
      </c>
      <c r="I3565">
        <v>0.1741125760648204</v>
      </c>
      <c r="J3565">
        <v>0</v>
      </c>
      <c r="K3565">
        <v>0</v>
      </c>
      <c r="L3565" s="2">
        <v>0</v>
      </c>
      <c r="M3565">
        <v>37.99</v>
      </c>
      <c r="N3565" t="s">
        <v>10236</v>
      </c>
    </row>
    <row r="3566" spans="1:14">
      <c r="A3566" t="s">
        <v>35</v>
      </c>
      <c r="B3566" t="s">
        <v>3709</v>
      </c>
      <c r="C3566">
        <f>"919ROS"</f>
        <v>0</v>
      </c>
      <c r="D3566">
        <v>0</v>
      </c>
      <c r="E3566">
        <v>1</v>
      </c>
      <c r="F3566" s="2">
        <v>9</v>
      </c>
      <c r="H3566">
        <v>0</v>
      </c>
      <c r="I3566">
        <v>0.1741125760648204</v>
      </c>
      <c r="J3566">
        <v>0</v>
      </c>
      <c r="K3566">
        <v>0</v>
      </c>
      <c r="L3566" s="2">
        <v>0</v>
      </c>
      <c r="M3566">
        <v>38</v>
      </c>
      <c r="N3566" t="s">
        <v>10236</v>
      </c>
    </row>
    <row r="3567" spans="1:14">
      <c r="A3567" t="s">
        <v>25</v>
      </c>
      <c r="B3567" t="s">
        <v>3710</v>
      </c>
      <c r="C3567">
        <f>"919NA"</f>
        <v>0</v>
      </c>
      <c r="D3567">
        <v>0</v>
      </c>
      <c r="E3567">
        <v>1</v>
      </c>
      <c r="F3567" s="2">
        <v>7</v>
      </c>
      <c r="H3567">
        <v>0</v>
      </c>
      <c r="I3567">
        <v>0.1741125760648204</v>
      </c>
      <c r="J3567">
        <v>0</v>
      </c>
      <c r="K3567">
        <v>0</v>
      </c>
      <c r="L3567" s="2">
        <v>0</v>
      </c>
      <c r="M3567">
        <v>38.01</v>
      </c>
      <c r="N3567" t="s">
        <v>10236</v>
      </c>
    </row>
    <row r="3568" spans="1:14">
      <c r="A3568" t="s">
        <v>25</v>
      </c>
      <c r="B3568" t="s">
        <v>3711</v>
      </c>
      <c r="C3568">
        <f>"919CE"</f>
        <v>0</v>
      </c>
      <c r="D3568">
        <v>0</v>
      </c>
      <c r="E3568">
        <v>1</v>
      </c>
      <c r="F3568" s="2">
        <v>7</v>
      </c>
      <c r="H3568">
        <v>0</v>
      </c>
      <c r="I3568">
        <v>0.1741125760648204</v>
      </c>
      <c r="J3568">
        <v>0</v>
      </c>
      <c r="K3568">
        <v>0</v>
      </c>
      <c r="L3568" s="2">
        <v>0</v>
      </c>
      <c r="M3568">
        <v>38.02</v>
      </c>
      <c r="N3568" t="s">
        <v>10236</v>
      </c>
    </row>
    <row r="3569" spans="1:14">
      <c r="A3569" t="s">
        <v>35</v>
      </c>
      <c r="B3569" t="s">
        <v>3712</v>
      </c>
      <c r="C3569">
        <f>"PT004N"</f>
        <v>0</v>
      </c>
      <c r="D3569">
        <v>0</v>
      </c>
      <c r="E3569">
        <v>2</v>
      </c>
      <c r="F3569" s="2">
        <v>5</v>
      </c>
      <c r="H3569">
        <v>0</v>
      </c>
      <c r="I3569">
        <v>0.1741125760648204</v>
      </c>
      <c r="J3569">
        <v>0</v>
      </c>
      <c r="K3569">
        <v>0</v>
      </c>
      <c r="L3569" s="2">
        <v>0</v>
      </c>
      <c r="M3569">
        <v>38.03</v>
      </c>
      <c r="N3569" t="s">
        <v>10236</v>
      </c>
    </row>
    <row r="3570" spans="1:14">
      <c r="A3570" t="s">
        <v>35</v>
      </c>
      <c r="B3570" t="s">
        <v>3713</v>
      </c>
      <c r="C3570">
        <f>"PT002"</f>
        <v>0</v>
      </c>
      <c r="D3570">
        <v>0</v>
      </c>
      <c r="E3570">
        <v>1</v>
      </c>
      <c r="F3570" s="2">
        <v>5</v>
      </c>
      <c r="H3570">
        <v>0</v>
      </c>
      <c r="I3570">
        <v>0.1741125760648204</v>
      </c>
      <c r="J3570">
        <v>0</v>
      </c>
      <c r="K3570">
        <v>0</v>
      </c>
      <c r="L3570" s="2">
        <v>0</v>
      </c>
      <c r="M3570">
        <v>38.04</v>
      </c>
      <c r="N3570" t="s">
        <v>10236</v>
      </c>
    </row>
    <row r="3571" spans="1:14">
      <c r="A3571" t="s">
        <v>29</v>
      </c>
      <c r="B3571" t="s">
        <v>3714</v>
      </c>
      <c r="C3571">
        <f>"RS360"</f>
        <v>0</v>
      </c>
      <c r="D3571">
        <v>0</v>
      </c>
      <c r="E3571">
        <v>11</v>
      </c>
      <c r="F3571" s="2">
        <v>4</v>
      </c>
      <c r="H3571">
        <v>0</v>
      </c>
      <c r="I3571">
        <v>0.1741125760648204</v>
      </c>
      <c r="J3571">
        <v>0</v>
      </c>
      <c r="K3571">
        <v>0</v>
      </c>
      <c r="L3571" s="2">
        <v>0</v>
      </c>
      <c r="M3571">
        <v>38.05</v>
      </c>
      <c r="N3571" t="s">
        <v>10236</v>
      </c>
    </row>
    <row r="3572" spans="1:14">
      <c r="A3572" t="s">
        <v>29</v>
      </c>
      <c r="B3572" t="s">
        <v>3715</v>
      </c>
      <c r="C3572">
        <f>"RS1500"</f>
        <v>0</v>
      </c>
      <c r="D3572">
        <v>0</v>
      </c>
      <c r="E3572">
        <v>1</v>
      </c>
      <c r="F3572" s="2">
        <v>27</v>
      </c>
      <c r="H3572">
        <v>0</v>
      </c>
      <c r="I3572">
        <v>0.1741125760648204</v>
      </c>
      <c r="J3572">
        <v>0</v>
      </c>
      <c r="K3572">
        <v>0</v>
      </c>
      <c r="L3572" s="2">
        <v>0</v>
      </c>
      <c r="M3572">
        <v>38.06</v>
      </c>
      <c r="N3572" t="s">
        <v>10236</v>
      </c>
    </row>
    <row r="3573" spans="1:14">
      <c r="A3573" t="s">
        <v>24</v>
      </c>
      <c r="B3573" t="s">
        <v>3716</v>
      </c>
      <c r="C3573">
        <f>"DPI077"</f>
        <v>0</v>
      </c>
      <c r="D3573">
        <v>0</v>
      </c>
      <c r="E3573">
        <v>2</v>
      </c>
      <c r="F3573" s="2">
        <v>8</v>
      </c>
      <c r="H3573">
        <v>0</v>
      </c>
      <c r="I3573">
        <v>0.1741125760648204</v>
      </c>
      <c r="J3573">
        <v>0</v>
      </c>
      <c r="K3573">
        <v>0</v>
      </c>
      <c r="L3573" s="2">
        <v>0</v>
      </c>
      <c r="M3573">
        <v>38.06</v>
      </c>
      <c r="N3573" t="s">
        <v>10236</v>
      </c>
    </row>
    <row r="3574" spans="1:14">
      <c r="A3574" t="s">
        <v>195</v>
      </c>
      <c r="B3574" t="s">
        <v>3717</v>
      </c>
      <c r="C3574">
        <f>"27962125"</f>
        <v>0</v>
      </c>
      <c r="D3574">
        <v>0</v>
      </c>
      <c r="E3574">
        <v>0</v>
      </c>
      <c r="F3574" s="2">
        <v>0</v>
      </c>
      <c r="H3574">
        <v>0</v>
      </c>
      <c r="I3574">
        <v>0.1741125760648204</v>
      </c>
      <c r="J3574">
        <v>0</v>
      </c>
      <c r="K3574">
        <v>0</v>
      </c>
      <c r="L3574" s="2">
        <v>0</v>
      </c>
      <c r="M3574">
        <v>38.07</v>
      </c>
      <c r="N3574" t="s">
        <v>10236</v>
      </c>
    </row>
    <row r="3575" spans="1:14">
      <c r="A3575" t="s">
        <v>195</v>
      </c>
      <c r="B3575" t="s">
        <v>3718</v>
      </c>
      <c r="C3575">
        <f>"27962305"</f>
        <v>0</v>
      </c>
      <c r="D3575">
        <v>0</v>
      </c>
      <c r="E3575">
        <v>0</v>
      </c>
      <c r="F3575" s="2">
        <v>0</v>
      </c>
      <c r="H3575">
        <v>0</v>
      </c>
      <c r="I3575">
        <v>0.1741125760648204</v>
      </c>
      <c r="J3575">
        <v>0</v>
      </c>
      <c r="K3575">
        <v>0</v>
      </c>
      <c r="L3575" s="2">
        <v>0</v>
      </c>
      <c r="M3575">
        <v>38.08</v>
      </c>
      <c r="N3575" t="s">
        <v>10236</v>
      </c>
    </row>
    <row r="3576" spans="1:14">
      <c r="A3576" t="s">
        <v>195</v>
      </c>
      <c r="B3576" t="s">
        <v>3719</v>
      </c>
      <c r="C3576">
        <f>"27962025"</f>
        <v>0</v>
      </c>
      <c r="D3576">
        <v>0</v>
      </c>
      <c r="E3576">
        <v>0</v>
      </c>
      <c r="F3576" s="2">
        <v>0</v>
      </c>
      <c r="H3576">
        <v>0</v>
      </c>
      <c r="I3576">
        <v>0.1741125760648204</v>
      </c>
      <c r="J3576">
        <v>0</v>
      </c>
      <c r="K3576">
        <v>0</v>
      </c>
      <c r="L3576" s="2">
        <v>0</v>
      </c>
      <c r="M3576">
        <v>38.09</v>
      </c>
      <c r="N3576" t="s">
        <v>10236</v>
      </c>
    </row>
    <row r="3577" spans="1:14">
      <c r="A3577" t="s">
        <v>195</v>
      </c>
      <c r="B3577" t="s">
        <v>3720</v>
      </c>
      <c r="C3577">
        <f>"23437225"</f>
        <v>0</v>
      </c>
      <c r="D3577">
        <v>0</v>
      </c>
      <c r="E3577">
        <v>0</v>
      </c>
      <c r="F3577" s="2">
        <v>0</v>
      </c>
      <c r="H3577">
        <v>0</v>
      </c>
      <c r="I3577">
        <v>0.1741125760648204</v>
      </c>
      <c r="J3577">
        <v>0</v>
      </c>
      <c r="K3577">
        <v>0</v>
      </c>
      <c r="L3577" s="2">
        <v>0</v>
      </c>
      <c r="M3577">
        <v>38.1</v>
      </c>
      <c r="N3577" t="s">
        <v>10236</v>
      </c>
    </row>
    <row r="3578" spans="1:14">
      <c r="A3578" t="s">
        <v>195</v>
      </c>
      <c r="B3578" t="s">
        <v>3721</v>
      </c>
      <c r="C3578">
        <f>"23437226"</f>
        <v>0</v>
      </c>
      <c r="D3578">
        <v>0</v>
      </c>
      <c r="E3578">
        <v>0</v>
      </c>
      <c r="F3578" s="2">
        <v>0</v>
      </c>
      <c r="H3578">
        <v>0</v>
      </c>
      <c r="I3578">
        <v>0.1741125760648204</v>
      </c>
      <c r="J3578">
        <v>0</v>
      </c>
      <c r="K3578">
        <v>0</v>
      </c>
      <c r="L3578" s="2">
        <v>0</v>
      </c>
      <c r="M3578">
        <v>38.11</v>
      </c>
      <c r="N3578" t="s">
        <v>10236</v>
      </c>
    </row>
    <row r="3579" spans="1:14">
      <c r="A3579" t="s">
        <v>195</v>
      </c>
      <c r="B3579" t="s">
        <v>3722</v>
      </c>
      <c r="C3579">
        <f>"23437231"</f>
        <v>0</v>
      </c>
      <c r="D3579">
        <v>0</v>
      </c>
      <c r="E3579">
        <v>0</v>
      </c>
      <c r="F3579" s="2">
        <v>0</v>
      </c>
      <c r="H3579">
        <v>0</v>
      </c>
      <c r="I3579">
        <v>0.1741125760648204</v>
      </c>
      <c r="J3579">
        <v>0</v>
      </c>
      <c r="K3579">
        <v>0</v>
      </c>
      <c r="L3579" s="2">
        <v>0</v>
      </c>
      <c r="M3579">
        <v>38.12</v>
      </c>
      <c r="N3579" t="s">
        <v>10236</v>
      </c>
    </row>
    <row r="3580" spans="1:14">
      <c r="A3580" t="s">
        <v>35</v>
      </c>
      <c r="B3580" t="s">
        <v>3723</v>
      </c>
      <c r="C3580">
        <f>"SA1CE"</f>
        <v>0</v>
      </c>
      <c r="D3580">
        <v>0</v>
      </c>
      <c r="E3580">
        <v>0</v>
      </c>
      <c r="F3580" s="2">
        <v>0</v>
      </c>
      <c r="H3580">
        <v>0</v>
      </c>
      <c r="I3580">
        <v>0.1741125760648204</v>
      </c>
      <c r="J3580">
        <v>0</v>
      </c>
      <c r="K3580">
        <v>0</v>
      </c>
      <c r="L3580" s="2">
        <v>0</v>
      </c>
      <c r="M3580">
        <v>38.13</v>
      </c>
      <c r="N3580" t="s">
        <v>10236</v>
      </c>
    </row>
    <row r="3581" spans="1:14">
      <c r="A3581" t="s">
        <v>195</v>
      </c>
      <c r="B3581" t="s">
        <v>3724</v>
      </c>
      <c r="C3581">
        <f>"25702812"</f>
        <v>0</v>
      </c>
      <c r="D3581">
        <v>0</v>
      </c>
      <c r="E3581">
        <v>0</v>
      </c>
      <c r="F3581" s="2">
        <v>0</v>
      </c>
      <c r="H3581">
        <v>0</v>
      </c>
      <c r="I3581">
        <v>0.1741125760648204</v>
      </c>
      <c r="J3581">
        <v>0</v>
      </c>
      <c r="K3581">
        <v>0</v>
      </c>
      <c r="L3581" s="2">
        <v>0</v>
      </c>
      <c r="M3581">
        <v>38.14</v>
      </c>
      <c r="N3581" t="s">
        <v>10236</v>
      </c>
    </row>
    <row r="3582" spans="1:14">
      <c r="A3582" t="s">
        <v>195</v>
      </c>
      <c r="B3582" t="s">
        <v>3725</v>
      </c>
      <c r="C3582">
        <f>"25702811"</f>
        <v>0</v>
      </c>
      <c r="D3582">
        <v>0</v>
      </c>
      <c r="E3582">
        <v>0</v>
      </c>
      <c r="F3582" s="2">
        <v>0</v>
      </c>
      <c r="H3582">
        <v>0</v>
      </c>
      <c r="I3582">
        <v>0.1741125760648204</v>
      </c>
      <c r="J3582">
        <v>0</v>
      </c>
      <c r="K3582">
        <v>0</v>
      </c>
      <c r="L3582" s="2">
        <v>0</v>
      </c>
      <c r="M3582">
        <v>38.15</v>
      </c>
      <c r="N3582" t="s">
        <v>10236</v>
      </c>
    </row>
    <row r="3583" spans="1:14">
      <c r="A3583" t="s">
        <v>195</v>
      </c>
      <c r="B3583" t="s">
        <v>3726</v>
      </c>
      <c r="C3583">
        <f>"25702827"</f>
        <v>0</v>
      </c>
      <c r="D3583">
        <v>0</v>
      </c>
      <c r="E3583">
        <v>0</v>
      </c>
      <c r="F3583" s="2">
        <v>0</v>
      </c>
      <c r="H3583">
        <v>0</v>
      </c>
      <c r="I3583">
        <v>0.1741125760648204</v>
      </c>
      <c r="J3583">
        <v>0</v>
      </c>
      <c r="K3583">
        <v>0</v>
      </c>
      <c r="L3583" s="2">
        <v>0</v>
      </c>
      <c r="M3583">
        <v>38.16</v>
      </c>
      <c r="N3583" t="s">
        <v>10236</v>
      </c>
    </row>
    <row r="3584" spans="1:14">
      <c r="A3584" t="s">
        <v>195</v>
      </c>
      <c r="B3584" t="s">
        <v>3727</v>
      </c>
      <c r="C3584">
        <f>"25570208"</f>
        <v>0</v>
      </c>
      <c r="D3584">
        <v>0</v>
      </c>
      <c r="E3584">
        <v>0</v>
      </c>
      <c r="F3584" s="2">
        <v>0</v>
      </c>
      <c r="H3584">
        <v>0</v>
      </c>
      <c r="I3584">
        <v>0.1741125760648204</v>
      </c>
      <c r="J3584">
        <v>0</v>
      </c>
      <c r="K3584">
        <v>0</v>
      </c>
      <c r="L3584" s="2">
        <v>0</v>
      </c>
      <c r="M3584">
        <v>38.17</v>
      </c>
      <c r="N3584" t="s">
        <v>10236</v>
      </c>
    </row>
    <row r="3585" spans="1:14">
      <c r="A3585" t="s">
        <v>195</v>
      </c>
      <c r="B3585" t="s">
        <v>3728</v>
      </c>
      <c r="C3585">
        <f>"25570238"</f>
        <v>0</v>
      </c>
      <c r="D3585">
        <v>0</v>
      </c>
      <c r="E3585">
        <v>0</v>
      </c>
      <c r="F3585" s="2">
        <v>0</v>
      </c>
      <c r="H3585">
        <v>0</v>
      </c>
      <c r="I3585">
        <v>0.1741125760648204</v>
      </c>
      <c r="J3585">
        <v>0</v>
      </c>
      <c r="K3585">
        <v>0</v>
      </c>
      <c r="L3585" s="2">
        <v>0</v>
      </c>
      <c r="M3585">
        <v>38.18</v>
      </c>
      <c r="N3585" t="s">
        <v>10236</v>
      </c>
    </row>
    <row r="3586" spans="1:14">
      <c r="A3586" t="s">
        <v>35</v>
      </c>
      <c r="B3586" t="s">
        <v>3729</v>
      </c>
      <c r="C3586">
        <f>"25395634"</f>
        <v>0</v>
      </c>
      <c r="D3586">
        <v>0</v>
      </c>
      <c r="E3586">
        <v>0</v>
      </c>
      <c r="F3586" s="2">
        <v>0</v>
      </c>
      <c r="H3586">
        <v>0</v>
      </c>
      <c r="I3586">
        <v>0.1741125760648204</v>
      </c>
      <c r="J3586">
        <v>0</v>
      </c>
      <c r="K3586">
        <v>0</v>
      </c>
      <c r="L3586" s="2">
        <v>0</v>
      </c>
      <c r="M3586">
        <v>38.18</v>
      </c>
      <c r="N3586" t="s">
        <v>10236</v>
      </c>
    </row>
    <row r="3587" spans="1:14">
      <c r="A3587" t="s">
        <v>195</v>
      </c>
      <c r="B3587" t="s">
        <v>3730</v>
      </c>
      <c r="C3587">
        <f>"25395715"</f>
        <v>0</v>
      </c>
      <c r="D3587">
        <v>0</v>
      </c>
      <c r="E3587">
        <v>0</v>
      </c>
      <c r="F3587" s="2">
        <v>0</v>
      </c>
      <c r="H3587">
        <v>0</v>
      </c>
      <c r="I3587">
        <v>0.1741125760648204</v>
      </c>
      <c r="J3587">
        <v>0</v>
      </c>
      <c r="K3587">
        <v>0</v>
      </c>
      <c r="L3587" s="2">
        <v>0</v>
      </c>
      <c r="M3587">
        <v>38.19</v>
      </c>
      <c r="N3587" t="s">
        <v>10236</v>
      </c>
    </row>
    <row r="3588" spans="1:14">
      <c r="A3588" t="s">
        <v>195</v>
      </c>
      <c r="B3588" t="s">
        <v>3731</v>
      </c>
      <c r="C3588">
        <f>"25395808"</f>
        <v>0</v>
      </c>
      <c r="D3588">
        <v>0</v>
      </c>
      <c r="E3588">
        <v>0</v>
      </c>
      <c r="F3588" s="2">
        <v>0</v>
      </c>
      <c r="H3588">
        <v>0</v>
      </c>
      <c r="I3588">
        <v>0.1741125760648204</v>
      </c>
      <c r="J3588">
        <v>0</v>
      </c>
      <c r="K3588">
        <v>0</v>
      </c>
      <c r="L3588" s="2">
        <v>0</v>
      </c>
      <c r="M3588">
        <v>38.2</v>
      </c>
      <c r="N3588" t="s">
        <v>10236</v>
      </c>
    </row>
    <row r="3589" spans="1:14">
      <c r="A3589" t="s">
        <v>195</v>
      </c>
      <c r="B3589" t="s">
        <v>3732</v>
      </c>
      <c r="C3589">
        <f>"25702828"</f>
        <v>0</v>
      </c>
      <c r="D3589">
        <v>0</v>
      </c>
      <c r="E3589">
        <v>0</v>
      </c>
      <c r="F3589" s="2">
        <v>0</v>
      </c>
      <c r="H3589">
        <v>0</v>
      </c>
      <c r="I3589">
        <v>0.1741125760648204</v>
      </c>
      <c r="J3589">
        <v>0</v>
      </c>
      <c r="K3589">
        <v>0</v>
      </c>
      <c r="L3589" s="2">
        <v>0</v>
      </c>
      <c r="M3589">
        <v>38.21</v>
      </c>
      <c r="N3589" t="s">
        <v>10236</v>
      </c>
    </row>
    <row r="3590" spans="1:14">
      <c r="A3590" t="s">
        <v>195</v>
      </c>
      <c r="B3590" t="s">
        <v>3733</v>
      </c>
      <c r="C3590">
        <f>"25570216"</f>
        <v>0</v>
      </c>
      <c r="D3590">
        <v>0</v>
      </c>
      <c r="E3590">
        <v>0</v>
      </c>
      <c r="F3590" s="2">
        <v>0</v>
      </c>
      <c r="H3590">
        <v>0</v>
      </c>
      <c r="I3590">
        <v>0.1741125760648204</v>
      </c>
      <c r="J3590">
        <v>0</v>
      </c>
      <c r="K3590">
        <v>0</v>
      </c>
      <c r="L3590" s="2">
        <v>0</v>
      </c>
      <c r="M3590">
        <v>38.22</v>
      </c>
      <c r="N3590" t="s">
        <v>10236</v>
      </c>
    </row>
    <row r="3591" spans="1:14">
      <c r="A3591" t="s">
        <v>195</v>
      </c>
      <c r="B3591" t="s">
        <v>3734</v>
      </c>
      <c r="C3591">
        <f>"25570217"</f>
        <v>0</v>
      </c>
      <c r="D3591">
        <v>0</v>
      </c>
      <c r="E3591">
        <v>0</v>
      </c>
      <c r="F3591" s="2">
        <v>0</v>
      </c>
      <c r="H3591">
        <v>0</v>
      </c>
      <c r="I3591">
        <v>0.1741125760648204</v>
      </c>
      <c r="J3591">
        <v>0</v>
      </c>
      <c r="K3591">
        <v>0</v>
      </c>
      <c r="L3591" s="2">
        <v>0</v>
      </c>
      <c r="M3591">
        <v>38.23</v>
      </c>
      <c r="N3591" t="s">
        <v>10236</v>
      </c>
    </row>
    <row r="3592" spans="1:14">
      <c r="A3592" t="s">
        <v>195</v>
      </c>
      <c r="B3592" t="s">
        <v>3735</v>
      </c>
      <c r="C3592">
        <f>"25570218"</f>
        <v>0</v>
      </c>
      <c r="D3592">
        <v>0</v>
      </c>
      <c r="E3592">
        <v>0</v>
      </c>
      <c r="F3592" s="2">
        <v>0</v>
      </c>
      <c r="H3592">
        <v>0</v>
      </c>
      <c r="I3592">
        <v>0.1741125760648204</v>
      </c>
      <c r="J3592">
        <v>0</v>
      </c>
      <c r="K3592">
        <v>0</v>
      </c>
      <c r="L3592" s="2">
        <v>0</v>
      </c>
      <c r="M3592">
        <v>38.24</v>
      </c>
      <c r="N3592" t="s">
        <v>10236</v>
      </c>
    </row>
    <row r="3593" spans="1:14">
      <c r="A3593" t="s">
        <v>195</v>
      </c>
      <c r="B3593" t="s">
        <v>3736</v>
      </c>
      <c r="C3593">
        <f>"25570225"</f>
        <v>0</v>
      </c>
      <c r="D3593">
        <v>0</v>
      </c>
      <c r="E3593">
        <v>0</v>
      </c>
      <c r="F3593" s="2">
        <v>0</v>
      </c>
      <c r="H3593">
        <v>0</v>
      </c>
      <c r="I3593">
        <v>0.1741125760648204</v>
      </c>
      <c r="J3593">
        <v>0</v>
      </c>
      <c r="K3593">
        <v>0</v>
      </c>
      <c r="L3593" s="2">
        <v>0</v>
      </c>
      <c r="M3593">
        <v>38.25</v>
      </c>
      <c r="N3593" t="s">
        <v>10236</v>
      </c>
    </row>
    <row r="3594" spans="1:14">
      <c r="A3594" t="s">
        <v>195</v>
      </c>
      <c r="B3594" t="s">
        <v>3737</v>
      </c>
      <c r="C3594">
        <f>"25570226"</f>
        <v>0</v>
      </c>
      <c r="D3594">
        <v>0</v>
      </c>
      <c r="E3594">
        <v>0</v>
      </c>
      <c r="F3594" s="2">
        <v>0</v>
      </c>
      <c r="H3594">
        <v>0</v>
      </c>
      <c r="I3594">
        <v>0.1741125760648204</v>
      </c>
      <c r="J3594">
        <v>0</v>
      </c>
      <c r="K3594">
        <v>0</v>
      </c>
      <c r="L3594" s="2">
        <v>0</v>
      </c>
      <c r="M3594">
        <v>38.26</v>
      </c>
      <c r="N3594" t="s">
        <v>10236</v>
      </c>
    </row>
    <row r="3595" spans="1:14">
      <c r="A3595" t="s">
        <v>195</v>
      </c>
      <c r="B3595" t="s">
        <v>3738</v>
      </c>
      <c r="C3595">
        <f>"25570209"</f>
        <v>0</v>
      </c>
      <c r="D3595">
        <v>0</v>
      </c>
      <c r="E3595">
        <v>0</v>
      </c>
      <c r="F3595" s="2">
        <v>0</v>
      </c>
      <c r="H3595">
        <v>0</v>
      </c>
      <c r="I3595">
        <v>0.1741125760648204</v>
      </c>
      <c r="J3595">
        <v>0</v>
      </c>
      <c r="K3595">
        <v>0</v>
      </c>
      <c r="L3595" s="2">
        <v>0</v>
      </c>
      <c r="M3595">
        <v>38.27</v>
      </c>
      <c r="N3595" t="s">
        <v>10236</v>
      </c>
    </row>
    <row r="3596" spans="1:14">
      <c r="A3596" t="s">
        <v>195</v>
      </c>
      <c r="B3596" t="s">
        <v>3739</v>
      </c>
      <c r="C3596">
        <f>"25570228"</f>
        <v>0</v>
      </c>
      <c r="D3596">
        <v>0</v>
      </c>
      <c r="E3596">
        <v>0</v>
      </c>
      <c r="F3596" s="2">
        <v>0</v>
      </c>
      <c r="H3596">
        <v>0</v>
      </c>
      <c r="I3596">
        <v>0.1741125760648204</v>
      </c>
      <c r="J3596">
        <v>0</v>
      </c>
      <c r="K3596">
        <v>0</v>
      </c>
      <c r="L3596" s="2">
        <v>0</v>
      </c>
      <c r="M3596">
        <v>38.28</v>
      </c>
      <c r="N3596" t="s">
        <v>10236</v>
      </c>
    </row>
    <row r="3597" spans="1:14">
      <c r="A3597" t="s">
        <v>195</v>
      </c>
      <c r="B3597" t="s">
        <v>3740</v>
      </c>
      <c r="C3597">
        <f>"25570205"</f>
        <v>0</v>
      </c>
      <c r="D3597">
        <v>0</v>
      </c>
      <c r="E3597">
        <v>0</v>
      </c>
      <c r="F3597" s="2">
        <v>0</v>
      </c>
      <c r="H3597">
        <v>0</v>
      </c>
      <c r="I3597">
        <v>0.1741125760648204</v>
      </c>
      <c r="J3597">
        <v>0</v>
      </c>
      <c r="K3597">
        <v>0</v>
      </c>
      <c r="L3597" s="2">
        <v>0</v>
      </c>
      <c r="M3597">
        <v>38.29</v>
      </c>
      <c r="N3597" t="s">
        <v>10236</v>
      </c>
    </row>
    <row r="3598" spans="1:14">
      <c r="A3598" t="s">
        <v>195</v>
      </c>
      <c r="B3598" t="s">
        <v>3741</v>
      </c>
      <c r="C3598">
        <f>"25570206"</f>
        <v>0</v>
      </c>
      <c r="D3598">
        <v>0</v>
      </c>
      <c r="E3598">
        <v>0</v>
      </c>
      <c r="F3598" s="2">
        <v>0</v>
      </c>
      <c r="H3598">
        <v>0</v>
      </c>
      <c r="I3598">
        <v>0.1741125760648204</v>
      </c>
      <c r="J3598">
        <v>0</v>
      </c>
      <c r="K3598">
        <v>0</v>
      </c>
      <c r="L3598" s="2">
        <v>0</v>
      </c>
      <c r="M3598">
        <v>38.29</v>
      </c>
      <c r="N3598" t="s">
        <v>10236</v>
      </c>
    </row>
    <row r="3599" spans="1:14">
      <c r="A3599" t="s">
        <v>195</v>
      </c>
      <c r="B3599" t="s">
        <v>3742</v>
      </c>
      <c r="C3599">
        <f>"23437232"</f>
        <v>0</v>
      </c>
      <c r="D3599">
        <v>0</v>
      </c>
      <c r="E3599">
        <v>0</v>
      </c>
      <c r="F3599" s="2">
        <v>0</v>
      </c>
      <c r="H3599">
        <v>0</v>
      </c>
      <c r="I3599">
        <v>0.1741125760648204</v>
      </c>
      <c r="J3599">
        <v>0</v>
      </c>
      <c r="K3599">
        <v>0</v>
      </c>
      <c r="L3599" s="2">
        <v>0</v>
      </c>
      <c r="M3599">
        <v>38.3</v>
      </c>
      <c r="N3599" t="s">
        <v>10236</v>
      </c>
    </row>
    <row r="3600" spans="1:14">
      <c r="A3600" t="s">
        <v>195</v>
      </c>
      <c r="B3600" t="s">
        <v>3743</v>
      </c>
      <c r="C3600">
        <f>"23437228"</f>
        <v>0</v>
      </c>
      <c r="D3600">
        <v>0</v>
      </c>
      <c r="E3600">
        <v>0</v>
      </c>
      <c r="F3600" s="2">
        <v>0</v>
      </c>
      <c r="H3600">
        <v>0</v>
      </c>
      <c r="I3600">
        <v>0.1741125760648204</v>
      </c>
      <c r="J3600">
        <v>0</v>
      </c>
      <c r="K3600">
        <v>0</v>
      </c>
      <c r="L3600" s="2">
        <v>0</v>
      </c>
      <c r="M3600">
        <v>38.31</v>
      </c>
      <c r="N3600" t="s">
        <v>10236</v>
      </c>
    </row>
    <row r="3601" spans="1:14">
      <c r="A3601" t="s">
        <v>195</v>
      </c>
      <c r="B3601" t="s">
        <v>3744</v>
      </c>
      <c r="C3601">
        <f>"23437229"</f>
        <v>0</v>
      </c>
      <c r="D3601">
        <v>0</v>
      </c>
      <c r="E3601">
        <v>0</v>
      </c>
      <c r="F3601" s="2">
        <v>0</v>
      </c>
      <c r="H3601">
        <v>0</v>
      </c>
      <c r="I3601">
        <v>0.1741125760648204</v>
      </c>
      <c r="J3601">
        <v>0</v>
      </c>
      <c r="K3601">
        <v>0</v>
      </c>
      <c r="L3601" s="2">
        <v>0</v>
      </c>
      <c r="M3601">
        <v>38.32</v>
      </c>
      <c r="N3601" t="s">
        <v>10236</v>
      </c>
    </row>
    <row r="3602" spans="1:14">
      <c r="A3602" t="s">
        <v>209</v>
      </c>
      <c r="B3602" t="s">
        <v>3745</v>
      </c>
      <c r="C3602">
        <f>"C2265"</f>
        <v>0</v>
      </c>
      <c r="D3602">
        <v>0</v>
      </c>
      <c r="E3602">
        <v>0</v>
      </c>
      <c r="F3602" s="2">
        <v>0</v>
      </c>
      <c r="H3602">
        <v>0</v>
      </c>
      <c r="I3602">
        <v>0.1741125760648204</v>
      </c>
      <c r="J3602">
        <v>0</v>
      </c>
      <c r="K3602">
        <v>0</v>
      </c>
      <c r="L3602" s="2">
        <v>0</v>
      </c>
      <c r="M3602">
        <v>38.33</v>
      </c>
      <c r="N3602" t="s">
        <v>10236</v>
      </c>
    </row>
    <row r="3603" spans="1:14">
      <c r="A3603" t="s">
        <v>209</v>
      </c>
      <c r="B3603" t="s">
        <v>3746</v>
      </c>
      <c r="C3603">
        <f>"C2258"</f>
        <v>0</v>
      </c>
      <c r="D3603">
        <v>0</v>
      </c>
      <c r="E3603">
        <v>0</v>
      </c>
      <c r="F3603" s="2">
        <v>0</v>
      </c>
      <c r="H3603">
        <v>0</v>
      </c>
      <c r="I3603">
        <v>0.1741125760648204</v>
      </c>
      <c r="J3603">
        <v>0</v>
      </c>
      <c r="K3603">
        <v>0</v>
      </c>
      <c r="L3603" s="2">
        <v>0</v>
      </c>
      <c r="M3603">
        <v>38.34</v>
      </c>
      <c r="N3603" t="s">
        <v>10236</v>
      </c>
    </row>
    <row r="3604" spans="1:14">
      <c r="A3604" t="s">
        <v>195</v>
      </c>
      <c r="B3604" t="s">
        <v>3747</v>
      </c>
      <c r="C3604">
        <f>"25570220"</f>
        <v>0</v>
      </c>
      <c r="D3604">
        <v>0</v>
      </c>
      <c r="E3604">
        <v>0</v>
      </c>
      <c r="F3604" s="2">
        <v>0</v>
      </c>
      <c r="H3604">
        <v>0</v>
      </c>
      <c r="I3604">
        <v>0.1741125760648204</v>
      </c>
      <c r="J3604">
        <v>0</v>
      </c>
      <c r="K3604">
        <v>0</v>
      </c>
      <c r="L3604" s="2">
        <v>0</v>
      </c>
      <c r="M3604">
        <v>38.35</v>
      </c>
      <c r="N3604" t="s">
        <v>10236</v>
      </c>
    </row>
    <row r="3605" spans="1:14">
      <c r="A3605" t="s">
        <v>195</v>
      </c>
      <c r="B3605" t="s">
        <v>3748</v>
      </c>
      <c r="C3605">
        <f>"25570221"</f>
        <v>0</v>
      </c>
      <c r="D3605">
        <v>0</v>
      </c>
      <c r="E3605">
        <v>0</v>
      </c>
      <c r="F3605" s="2">
        <v>0</v>
      </c>
      <c r="H3605">
        <v>0</v>
      </c>
      <c r="I3605">
        <v>0.1741125760648204</v>
      </c>
      <c r="J3605">
        <v>0</v>
      </c>
      <c r="K3605">
        <v>0</v>
      </c>
      <c r="L3605" s="2">
        <v>0</v>
      </c>
      <c r="M3605">
        <v>38.36</v>
      </c>
      <c r="N3605" t="s">
        <v>10236</v>
      </c>
    </row>
    <row r="3606" spans="1:14">
      <c r="A3606" t="s">
        <v>195</v>
      </c>
      <c r="B3606" t="s">
        <v>3749</v>
      </c>
      <c r="C3606">
        <f>"25570219"</f>
        <v>0</v>
      </c>
      <c r="D3606">
        <v>0</v>
      </c>
      <c r="E3606">
        <v>0</v>
      </c>
      <c r="F3606" s="2">
        <v>0</v>
      </c>
      <c r="H3606">
        <v>0</v>
      </c>
      <c r="I3606">
        <v>0.1741125760648204</v>
      </c>
      <c r="J3606">
        <v>0</v>
      </c>
      <c r="K3606">
        <v>0</v>
      </c>
      <c r="L3606" s="2">
        <v>0</v>
      </c>
      <c r="M3606">
        <v>38.37</v>
      </c>
      <c r="N3606" t="s">
        <v>10236</v>
      </c>
    </row>
    <row r="3607" spans="1:14">
      <c r="A3607" t="s">
        <v>195</v>
      </c>
      <c r="B3607" t="s">
        <v>3750</v>
      </c>
      <c r="C3607">
        <f>"25570230"</f>
        <v>0</v>
      </c>
      <c r="D3607">
        <v>0</v>
      </c>
      <c r="E3607">
        <v>0</v>
      </c>
      <c r="F3607" s="2">
        <v>0</v>
      </c>
      <c r="H3607">
        <v>0</v>
      </c>
      <c r="I3607">
        <v>0.1741125760648204</v>
      </c>
      <c r="J3607">
        <v>0</v>
      </c>
      <c r="K3607">
        <v>0</v>
      </c>
      <c r="L3607" s="2">
        <v>0</v>
      </c>
      <c r="M3607">
        <v>38.38</v>
      </c>
      <c r="N3607" t="s">
        <v>10236</v>
      </c>
    </row>
    <row r="3608" spans="1:14">
      <c r="A3608" t="s">
        <v>195</v>
      </c>
      <c r="B3608" t="s">
        <v>3751</v>
      </c>
      <c r="C3608">
        <f>"25570231"</f>
        <v>0</v>
      </c>
      <c r="D3608">
        <v>0</v>
      </c>
      <c r="E3608">
        <v>0</v>
      </c>
      <c r="F3608" s="2">
        <v>0</v>
      </c>
      <c r="H3608">
        <v>0</v>
      </c>
      <c r="I3608">
        <v>0.1741125760648204</v>
      </c>
      <c r="J3608">
        <v>0</v>
      </c>
      <c r="K3608">
        <v>0</v>
      </c>
      <c r="L3608" s="2">
        <v>0</v>
      </c>
      <c r="M3608">
        <v>38.39</v>
      </c>
      <c r="N3608" t="s">
        <v>10236</v>
      </c>
    </row>
    <row r="3609" spans="1:14">
      <c r="A3609" t="s">
        <v>195</v>
      </c>
      <c r="B3609" t="s">
        <v>3752</v>
      </c>
      <c r="C3609">
        <f>"25570232"</f>
        <v>0</v>
      </c>
      <c r="D3609">
        <v>0</v>
      </c>
      <c r="E3609">
        <v>0</v>
      </c>
      <c r="F3609" s="2">
        <v>0</v>
      </c>
      <c r="H3609">
        <v>0</v>
      </c>
      <c r="I3609">
        <v>0.1741125760648204</v>
      </c>
      <c r="J3609">
        <v>0</v>
      </c>
      <c r="K3609">
        <v>0</v>
      </c>
      <c r="L3609" s="2">
        <v>0</v>
      </c>
      <c r="M3609">
        <v>38.4</v>
      </c>
      <c r="N3609" t="s">
        <v>10236</v>
      </c>
    </row>
    <row r="3610" spans="1:14">
      <c r="A3610" t="s">
        <v>195</v>
      </c>
      <c r="B3610" t="s">
        <v>3753</v>
      </c>
      <c r="C3610">
        <f>"25570229"</f>
        <v>0</v>
      </c>
      <c r="D3610">
        <v>0</v>
      </c>
      <c r="E3610">
        <v>0</v>
      </c>
      <c r="F3610" s="2">
        <v>0</v>
      </c>
      <c r="H3610">
        <v>0</v>
      </c>
      <c r="I3610">
        <v>0.1741125760648204</v>
      </c>
      <c r="J3610">
        <v>0</v>
      </c>
      <c r="K3610">
        <v>0</v>
      </c>
      <c r="L3610" s="2">
        <v>0</v>
      </c>
      <c r="M3610">
        <v>38.41</v>
      </c>
      <c r="N3610" t="s">
        <v>10236</v>
      </c>
    </row>
    <row r="3611" spans="1:14">
      <c r="A3611" t="s">
        <v>195</v>
      </c>
      <c r="B3611" t="s">
        <v>3754</v>
      </c>
      <c r="C3611">
        <f>"25570227"</f>
        <v>0</v>
      </c>
      <c r="D3611">
        <v>0</v>
      </c>
      <c r="E3611">
        <v>0</v>
      </c>
      <c r="F3611" s="2">
        <v>0</v>
      </c>
      <c r="H3611">
        <v>0</v>
      </c>
      <c r="I3611">
        <v>0.1741125760648204</v>
      </c>
      <c r="J3611">
        <v>0</v>
      </c>
      <c r="K3611">
        <v>0</v>
      </c>
      <c r="L3611" s="2">
        <v>0</v>
      </c>
      <c r="M3611">
        <v>38.41</v>
      </c>
      <c r="N3611" t="s">
        <v>10236</v>
      </c>
    </row>
    <row r="3612" spans="1:14">
      <c r="A3612" t="s">
        <v>194</v>
      </c>
      <c r="B3612" t="s">
        <v>3755</v>
      </c>
      <c r="C3612">
        <f>"10667"</f>
        <v>0</v>
      </c>
      <c r="D3612">
        <v>0</v>
      </c>
      <c r="E3612">
        <v>1</v>
      </c>
      <c r="F3612" s="2">
        <v>4</v>
      </c>
      <c r="H3612">
        <v>0</v>
      </c>
      <c r="I3612">
        <v>0.1741125760648204</v>
      </c>
      <c r="J3612">
        <v>0</v>
      </c>
      <c r="K3612">
        <v>0</v>
      </c>
      <c r="L3612" s="2">
        <v>0</v>
      </c>
      <c r="M3612">
        <v>38.42</v>
      </c>
      <c r="N3612" t="s">
        <v>10236</v>
      </c>
    </row>
    <row r="3613" spans="1:14">
      <c r="A3613" t="s">
        <v>194</v>
      </c>
      <c r="B3613" t="s">
        <v>3756</v>
      </c>
      <c r="C3613">
        <f>"10668"</f>
        <v>0</v>
      </c>
      <c r="D3613">
        <v>0</v>
      </c>
      <c r="E3613">
        <v>0</v>
      </c>
      <c r="F3613" s="2">
        <v>0</v>
      </c>
      <c r="H3613">
        <v>0</v>
      </c>
      <c r="I3613">
        <v>0.1741125760648204</v>
      </c>
      <c r="J3613">
        <v>0</v>
      </c>
      <c r="K3613">
        <v>0</v>
      </c>
      <c r="L3613" s="2">
        <v>0</v>
      </c>
      <c r="M3613">
        <v>38.43</v>
      </c>
      <c r="N3613" t="s">
        <v>10236</v>
      </c>
    </row>
    <row r="3614" spans="1:14">
      <c r="A3614" t="s">
        <v>194</v>
      </c>
      <c r="B3614" t="s">
        <v>3757</v>
      </c>
      <c r="C3614">
        <f>"AGR099"</f>
        <v>0</v>
      </c>
      <c r="D3614">
        <v>0</v>
      </c>
      <c r="E3614">
        <v>0</v>
      </c>
      <c r="F3614" s="2">
        <v>0</v>
      </c>
      <c r="H3614">
        <v>0</v>
      </c>
      <c r="I3614">
        <v>0.1741125760648204</v>
      </c>
      <c r="J3614">
        <v>0</v>
      </c>
      <c r="K3614">
        <v>0</v>
      </c>
      <c r="L3614" s="2">
        <v>0</v>
      </c>
      <c r="M3614">
        <v>38.44</v>
      </c>
      <c r="N3614" t="s">
        <v>10236</v>
      </c>
    </row>
    <row r="3615" spans="1:14">
      <c r="A3615" t="s">
        <v>35</v>
      </c>
      <c r="B3615" t="s">
        <v>3758</v>
      </c>
      <c r="C3615">
        <f>"PCM60S"</f>
        <v>0</v>
      </c>
      <c r="D3615">
        <v>0</v>
      </c>
      <c r="E3615">
        <v>0</v>
      </c>
      <c r="F3615" s="2">
        <v>0</v>
      </c>
      <c r="H3615">
        <v>0</v>
      </c>
      <c r="I3615">
        <v>0.1741125760648204</v>
      </c>
      <c r="J3615">
        <v>0</v>
      </c>
      <c r="K3615">
        <v>0</v>
      </c>
      <c r="L3615" s="2">
        <v>0</v>
      </c>
      <c r="M3615">
        <v>38.45</v>
      </c>
      <c r="N3615" t="s">
        <v>10236</v>
      </c>
    </row>
    <row r="3616" spans="1:14">
      <c r="A3616" t="s">
        <v>35</v>
      </c>
      <c r="B3616" t="s">
        <v>3759</v>
      </c>
      <c r="C3616">
        <f>"PCM60N"</f>
        <v>0</v>
      </c>
      <c r="D3616">
        <v>0</v>
      </c>
      <c r="E3616">
        <v>0</v>
      </c>
      <c r="F3616" s="2">
        <v>0</v>
      </c>
      <c r="H3616">
        <v>0</v>
      </c>
      <c r="I3616">
        <v>0.1741125760648204</v>
      </c>
      <c r="J3616">
        <v>0</v>
      </c>
      <c r="K3616">
        <v>0</v>
      </c>
      <c r="L3616" s="2">
        <v>0</v>
      </c>
      <c r="M3616">
        <v>38.46</v>
      </c>
      <c r="N3616" t="s">
        <v>10236</v>
      </c>
    </row>
    <row r="3617" spans="1:14">
      <c r="A3617" t="s">
        <v>35</v>
      </c>
      <c r="B3617" t="s">
        <v>3760</v>
      </c>
      <c r="C3617">
        <f>"PCM60K"</f>
        <v>0</v>
      </c>
      <c r="D3617">
        <v>0</v>
      </c>
      <c r="E3617">
        <v>0</v>
      </c>
      <c r="F3617" s="2">
        <v>0</v>
      </c>
      <c r="H3617">
        <v>0</v>
      </c>
      <c r="I3617">
        <v>0.1741125760648204</v>
      </c>
      <c r="J3617">
        <v>0</v>
      </c>
      <c r="K3617">
        <v>0</v>
      </c>
      <c r="L3617" s="2">
        <v>0</v>
      </c>
      <c r="M3617">
        <v>38.47</v>
      </c>
      <c r="N3617" t="s">
        <v>10236</v>
      </c>
    </row>
    <row r="3618" spans="1:14">
      <c r="A3618" t="s">
        <v>29</v>
      </c>
      <c r="B3618" t="s">
        <v>3761</v>
      </c>
      <c r="C3618">
        <f>"80428"</f>
        <v>0</v>
      </c>
      <c r="D3618">
        <v>0</v>
      </c>
      <c r="E3618">
        <v>1</v>
      </c>
      <c r="F3618" s="2">
        <v>41</v>
      </c>
      <c r="H3618">
        <v>0</v>
      </c>
      <c r="I3618">
        <v>0.1741125760648204</v>
      </c>
      <c r="J3618">
        <v>0</v>
      </c>
      <c r="K3618">
        <v>0</v>
      </c>
      <c r="L3618" s="2">
        <v>0</v>
      </c>
      <c r="M3618">
        <v>38.48</v>
      </c>
      <c r="N3618" t="s">
        <v>10236</v>
      </c>
    </row>
    <row r="3619" spans="1:14">
      <c r="A3619" t="s">
        <v>29</v>
      </c>
      <c r="B3619" t="s">
        <v>3762</v>
      </c>
      <c r="C3619">
        <f>"77514"</f>
        <v>0</v>
      </c>
      <c r="D3619">
        <v>0</v>
      </c>
      <c r="E3619">
        <v>0</v>
      </c>
      <c r="F3619" s="2">
        <v>0</v>
      </c>
      <c r="H3619">
        <v>0</v>
      </c>
      <c r="I3619">
        <v>0.1741125760648204</v>
      </c>
      <c r="J3619">
        <v>0</v>
      </c>
      <c r="K3619">
        <v>0</v>
      </c>
      <c r="L3619" s="2">
        <v>0</v>
      </c>
      <c r="M3619">
        <v>38.49</v>
      </c>
      <c r="N3619" t="s">
        <v>10236</v>
      </c>
    </row>
    <row r="3620" spans="1:14">
      <c r="A3620" t="s">
        <v>29</v>
      </c>
      <c r="B3620" t="s">
        <v>3763</v>
      </c>
      <c r="C3620">
        <f>"77516"</f>
        <v>0</v>
      </c>
      <c r="D3620">
        <v>0</v>
      </c>
      <c r="E3620">
        <v>0</v>
      </c>
      <c r="F3620" s="2">
        <v>0</v>
      </c>
      <c r="H3620">
        <v>0</v>
      </c>
      <c r="I3620">
        <v>0.1741125760648204</v>
      </c>
      <c r="J3620">
        <v>0</v>
      </c>
      <c r="K3620">
        <v>0</v>
      </c>
      <c r="L3620" s="2">
        <v>0</v>
      </c>
      <c r="M3620">
        <v>38.5</v>
      </c>
      <c r="N3620" t="s">
        <v>10236</v>
      </c>
    </row>
    <row r="3621" spans="1:14">
      <c r="A3621" t="s">
        <v>29</v>
      </c>
      <c r="B3621" t="s">
        <v>3764</v>
      </c>
      <c r="C3621">
        <f>"61224"</f>
        <v>0</v>
      </c>
      <c r="D3621">
        <v>0</v>
      </c>
      <c r="E3621">
        <v>0</v>
      </c>
      <c r="F3621" s="2">
        <v>0</v>
      </c>
      <c r="H3621">
        <v>0</v>
      </c>
      <c r="I3621">
        <v>0.1741125760648204</v>
      </c>
      <c r="J3621">
        <v>0</v>
      </c>
      <c r="K3621">
        <v>0</v>
      </c>
      <c r="L3621" s="2">
        <v>0</v>
      </c>
      <c r="M3621">
        <v>38.51</v>
      </c>
      <c r="N3621" t="s">
        <v>10236</v>
      </c>
    </row>
    <row r="3622" spans="1:14">
      <c r="A3622" t="s">
        <v>29</v>
      </c>
      <c r="B3622" t="s">
        <v>3765</v>
      </c>
      <c r="C3622">
        <f>"61226"</f>
        <v>0</v>
      </c>
      <c r="D3622">
        <v>0</v>
      </c>
      <c r="E3622">
        <v>0</v>
      </c>
      <c r="F3622" s="2">
        <v>0</v>
      </c>
      <c r="H3622">
        <v>0</v>
      </c>
      <c r="I3622">
        <v>0.1741125760648204</v>
      </c>
      <c r="J3622">
        <v>0</v>
      </c>
      <c r="K3622">
        <v>0</v>
      </c>
      <c r="L3622" s="2">
        <v>0</v>
      </c>
      <c r="M3622">
        <v>38.52</v>
      </c>
      <c r="N3622" t="s">
        <v>10236</v>
      </c>
    </row>
    <row r="3623" spans="1:14">
      <c r="A3623" t="s">
        <v>29</v>
      </c>
      <c r="B3623" t="s">
        <v>3766</v>
      </c>
      <c r="C3623">
        <f>"61176"</f>
        <v>0</v>
      </c>
      <c r="D3623">
        <v>0</v>
      </c>
      <c r="E3623">
        <v>1</v>
      </c>
      <c r="F3623" s="2">
        <v>11</v>
      </c>
      <c r="H3623">
        <v>0</v>
      </c>
      <c r="I3623">
        <v>0.1741125760648204</v>
      </c>
      <c r="J3623">
        <v>0</v>
      </c>
      <c r="K3623">
        <v>0</v>
      </c>
      <c r="L3623" s="2">
        <v>0</v>
      </c>
      <c r="M3623">
        <v>38.53</v>
      </c>
      <c r="N3623" t="s">
        <v>10236</v>
      </c>
    </row>
    <row r="3624" spans="1:14">
      <c r="A3624" t="s">
        <v>29</v>
      </c>
      <c r="B3624" t="s">
        <v>3767</v>
      </c>
      <c r="C3624">
        <f>"61214"</f>
        <v>0</v>
      </c>
      <c r="D3624">
        <v>0</v>
      </c>
      <c r="E3624">
        <v>0</v>
      </c>
      <c r="F3624" s="2">
        <v>0</v>
      </c>
      <c r="H3624">
        <v>0</v>
      </c>
      <c r="I3624">
        <v>0.1741125760648204</v>
      </c>
      <c r="J3624">
        <v>0</v>
      </c>
      <c r="K3624">
        <v>0</v>
      </c>
      <c r="L3624" s="2">
        <v>0</v>
      </c>
      <c r="M3624">
        <v>38.53</v>
      </c>
      <c r="N3624" t="s">
        <v>10236</v>
      </c>
    </row>
    <row r="3625" spans="1:14">
      <c r="A3625" t="s">
        <v>29</v>
      </c>
      <c r="B3625" t="s">
        <v>3768</v>
      </c>
      <c r="C3625">
        <f>"61216"</f>
        <v>0</v>
      </c>
      <c r="D3625">
        <v>0</v>
      </c>
      <c r="E3625">
        <v>0</v>
      </c>
      <c r="F3625" s="2">
        <v>0</v>
      </c>
      <c r="H3625">
        <v>0</v>
      </c>
      <c r="I3625">
        <v>0.1741125760648204</v>
      </c>
      <c r="J3625">
        <v>0</v>
      </c>
      <c r="K3625">
        <v>0</v>
      </c>
      <c r="L3625" s="2">
        <v>0</v>
      </c>
      <c r="M3625">
        <v>38.54</v>
      </c>
      <c r="N3625" t="s">
        <v>10236</v>
      </c>
    </row>
    <row r="3626" spans="1:14">
      <c r="A3626" t="s">
        <v>35</v>
      </c>
      <c r="B3626" t="s">
        <v>3769</v>
      </c>
      <c r="C3626">
        <f>"23HT27"</f>
        <v>0</v>
      </c>
      <c r="D3626">
        <v>0</v>
      </c>
      <c r="E3626">
        <v>1</v>
      </c>
      <c r="F3626" s="2">
        <v>3</v>
      </c>
      <c r="H3626">
        <v>0</v>
      </c>
      <c r="I3626">
        <v>0.1741125760648204</v>
      </c>
      <c r="J3626">
        <v>0</v>
      </c>
      <c r="K3626">
        <v>0</v>
      </c>
      <c r="L3626" s="2">
        <v>0</v>
      </c>
      <c r="M3626">
        <v>38.55</v>
      </c>
      <c r="N3626" t="s">
        <v>10236</v>
      </c>
    </row>
    <row r="3627" spans="1:14">
      <c r="A3627" t="s">
        <v>29</v>
      </c>
      <c r="B3627" t="s">
        <v>3770</v>
      </c>
      <c r="C3627">
        <f>"61253"</f>
        <v>0</v>
      </c>
      <c r="D3627">
        <v>0</v>
      </c>
      <c r="E3627">
        <v>0</v>
      </c>
      <c r="F3627" s="2">
        <v>0</v>
      </c>
      <c r="H3627">
        <v>0</v>
      </c>
      <c r="I3627">
        <v>0.1741125760648204</v>
      </c>
      <c r="J3627">
        <v>0</v>
      </c>
      <c r="K3627">
        <v>0</v>
      </c>
      <c r="L3627" s="2">
        <v>0</v>
      </c>
      <c r="M3627">
        <v>38.56</v>
      </c>
      <c r="N3627" t="s">
        <v>10236</v>
      </c>
    </row>
    <row r="3628" spans="1:14">
      <c r="A3628" t="s">
        <v>24</v>
      </c>
      <c r="B3628" t="s">
        <v>3771</v>
      </c>
      <c r="C3628">
        <f>"1012673"</f>
        <v>0</v>
      </c>
      <c r="D3628">
        <v>0</v>
      </c>
      <c r="E3628">
        <v>0</v>
      </c>
      <c r="F3628" s="2">
        <v>0</v>
      </c>
      <c r="H3628">
        <v>0</v>
      </c>
      <c r="I3628">
        <v>0.1741125760648204</v>
      </c>
      <c r="J3628">
        <v>0</v>
      </c>
      <c r="K3628">
        <v>0</v>
      </c>
      <c r="L3628" s="2">
        <v>0</v>
      </c>
      <c r="M3628">
        <v>38.57</v>
      </c>
      <c r="N3628" t="s">
        <v>10236</v>
      </c>
    </row>
    <row r="3629" spans="1:14">
      <c r="A3629" t="s">
        <v>24</v>
      </c>
      <c r="B3629" t="s">
        <v>3772</v>
      </c>
      <c r="C3629">
        <f>"1012671"</f>
        <v>0</v>
      </c>
      <c r="D3629">
        <v>0</v>
      </c>
      <c r="E3629">
        <v>0</v>
      </c>
      <c r="F3629" s="2">
        <v>0</v>
      </c>
      <c r="H3629">
        <v>0</v>
      </c>
      <c r="I3629">
        <v>0.1741125760648204</v>
      </c>
      <c r="J3629">
        <v>0</v>
      </c>
      <c r="K3629">
        <v>0</v>
      </c>
      <c r="L3629" s="2">
        <v>0</v>
      </c>
      <c r="M3629">
        <v>38.58</v>
      </c>
      <c r="N3629" t="s">
        <v>10236</v>
      </c>
    </row>
    <row r="3630" spans="1:14">
      <c r="A3630" t="s">
        <v>35</v>
      </c>
      <c r="B3630" t="s">
        <v>3773</v>
      </c>
      <c r="C3630">
        <f>"16804"</f>
        <v>0</v>
      </c>
      <c r="D3630">
        <v>0</v>
      </c>
      <c r="E3630">
        <v>0</v>
      </c>
      <c r="F3630" s="2">
        <v>0</v>
      </c>
      <c r="H3630">
        <v>0</v>
      </c>
      <c r="I3630">
        <v>0.1741125760648204</v>
      </c>
      <c r="J3630">
        <v>0</v>
      </c>
      <c r="K3630">
        <v>0</v>
      </c>
      <c r="L3630" s="2">
        <v>0</v>
      </c>
      <c r="M3630">
        <v>38.59</v>
      </c>
      <c r="N3630" t="s">
        <v>10236</v>
      </c>
    </row>
    <row r="3631" spans="1:14">
      <c r="A3631" t="s">
        <v>213</v>
      </c>
      <c r="B3631" t="s">
        <v>3774</v>
      </c>
      <c r="C3631">
        <f>"138112"</f>
        <v>0</v>
      </c>
      <c r="D3631">
        <v>0</v>
      </c>
      <c r="E3631">
        <v>3</v>
      </c>
      <c r="F3631" s="2">
        <v>1</v>
      </c>
      <c r="H3631">
        <v>0</v>
      </c>
      <c r="I3631">
        <v>0.1741125760648204</v>
      </c>
      <c r="J3631">
        <v>0</v>
      </c>
      <c r="K3631">
        <v>0</v>
      </c>
      <c r="L3631" s="2">
        <v>0</v>
      </c>
      <c r="M3631">
        <v>38.6</v>
      </c>
      <c r="N3631" t="s">
        <v>10236</v>
      </c>
    </row>
    <row r="3632" spans="1:14">
      <c r="A3632" t="s">
        <v>35</v>
      </c>
      <c r="B3632" t="s">
        <v>3775</v>
      </c>
      <c r="C3632">
        <f>"CP6530"</f>
        <v>0</v>
      </c>
      <c r="D3632">
        <v>0</v>
      </c>
      <c r="E3632">
        <v>0</v>
      </c>
      <c r="F3632" s="2">
        <v>0</v>
      </c>
      <c r="H3632">
        <v>0</v>
      </c>
      <c r="I3632">
        <v>0.1741125760648204</v>
      </c>
      <c r="J3632">
        <v>0</v>
      </c>
      <c r="K3632">
        <v>0</v>
      </c>
      <c r="L3632" s="2">
        <v>0</v>
      </c>
      <c r="M3632">
        <v>38.61</v>
      </c>
      <c r="N3632" t="s">
        <v>10236</v>
      </c>
    </row>
    <row r="3633" spans="1:14">
      <c r="A3633" t="s">
        <v>35</v>
      </c>
      <c r="B3633" t="s">
        <v>3776</v>
      </c>
      <c r="C3633">
        <f>"CPX5"</f>
        <v>0</v>
      </c>
      <c r="D3633">
        <v>0</v>
      </c>
      <c r="E3633">
        <v>4</v>
      </c>
      <c r="F3633" s="2">
        <v>8</v>
      </c>
      <c r="H3633">
        <v>0</v>
      </c>
      <c r="I3633">
        <v>0.1741125760648204</v>
      </c>
      <c r="J3633">
        <v>0</v>
      </c>
      <c r="K3633">
        <v>0</v>
      </c>
      <c r="L3633" s="2">
        <v>0</v>
      </c>
      <c r="M3633">
        <v>38.62</v>
      </c>
      <c r="N3633" t="s">
        <v>10236</v>
      </c>
    </row>
    <row r="3634" spans="1:14">
      <c r="A3634" t="s">
        <v>35</v>
      </c>
      <c r="B3634" t="s">
        <v>3777</v>
      </c>
      <c r="C3634">
        <f>"KC6011AZ"</f>
        <v>0</v>
      </c>
      <c r="D3634">
        <v>0</v>
      </c>
      <c r="E3634">
        <v>1</v>
      </c>
      <c r="F3634" s="2">
        <v>2</v>
      </c>
      <c r="H3634">
        <v>0</v>
      </c>
      <c r="I3634">
        <v>0.1741125760648204</v>
      </c>
      <c r="J3634">
        <v>0</v>
      </c>
      <c r="K3634">
        <v>0</v>
      </c>
      <c r="L3634" s="2">
        <v>0</v>
      </c>
      <c r="M3634">
        <v>38.63</v>
      </c>
      <c r="N3634" t="s">
        <v>10236</v>
      </c>
    </row>
    <row r="3635" spans="1:14">
      <c r="A3635" t="s">
        <v>35</v>
      </c>
      <c r="B3635" t="s">
        <v>3778</v>
      </c>
      <c r="C3635">
        <f>"16307"</f>
        <v>0</v>
      </c>
      <c r="D3635">
        <v>0</v>
      </c>
      <c r="E3635">
        <v>0</v>
      </c>
      <c r="F3635" s="2">
        <v>0</v>
      </c>
      <c r="H3635">
        <v>0</v>
      </c>
      <c r="I3635">
        <v>0.1741125760648204</v>
      </c>
      <c r="J3635">
        <v>0</v>
      </c>
      <c r="K3635">
        <v>0</v>
      </c>
      <c r="L3635" s="2">
        <v>0</v>
      </c>
      <c r="M3635">
        <v>38.64</v>
      </c>
      <c r="N3635" t="s">
        <v>10236</v>
      </c>
    </row>
    <row r="3636" spans="1:14">
      <c r="A3636" t="s">
        <v>35</v>
      </c>
      <c r="B3636" t="s">
        <v>3779</v>
      </c>
      <c r="C3636">
        <f>"1207S"</f>
        <v>0</v>
      </c>
      <c r="D3636">
        <v>0</v>
      </c>
      <c r="E3636">
        <v>0</v>
      </c>
      <c r="F3636" s="2">
        <v>0</v>
      </c>
      <c r="H3636">
        <v>0</v>
      </c>
      <c r="I3636">
        <v>0.1741125760648204</v>
      </c>
      <c r="J3636">
        <v>0</v>
      </c>
      <c r="K3636">
        <v>0</v>
      </c>
      <c r="L3636" s="2">
        <v>0</v>
      </c>
      <c r="M3636">
        <v>38.65</v>
      </c>
      <c r="N3636" t="s">
        <v>10236</v>
      </c>
    </row>
    <row r="3637" spans="1:14">
      <c r="A3637" t="s">
        <v>35</v>
      </c>
      <c r="B3637" t="s">
        <v>3780</v>
      </c>
      <c r="C3637">
        <f>"1207MROS"</f>
        <v>0</v>
      </c>
      <c r="D3637">
        <v>0</v>
      </c>
      <c r="E3637">
        <v>1</v>
      </c>
      <c r="F3637" s="2">
        <v>2</v>
      </c>
      <c r="H3637">
        <v>0</v>
      </c>
      <c r="I3637">
        <v>0.1741125760648204</v>
      </c>
      <c r="J3637">
        <v>0</v>
      </c>
      <c r="K3637">
        <v>0</v>
      </c>
      <c r="L3637" s="2">
        <v>0</v>
      </c>
      <c r="M3637">
        <v>38.65</v>
      </c>
      <c r="N3637" t="s">
        <v>10236</v>
      </c>
    </row>
    <row r="3638" spans="1:14">
      <c r="A3638" t="s">
        <v>35</v>
      </c>
      <c r="B3638" t="s">
        <v>3781</v>
      </c>
      <c r="C3638">
        <f>"1207MNE"</f>
        <v>0</v>
      </c>
      <c r="D3638">
        <v>0</v>
      </c>
      <c r="E3638">
        <v>1</v>
      </c>
      <c r="F3638" s="2">
        <v>2</v>
      </c>
      <c r="H3638">
        <v>0</v>
      </c>
      <c r="I3638">
        <v>0.1741125760648204</v>
      </c>
      <c r="J3638">
        <v>0</v>
      </c>
      <c r="K3638">
        <v>0</v>
      </c>
      <c r="L3638" s="2">
        <v>0</v>
      </c>
      <c r="M3638">
        <v>38.66</v>
      </c>
      <c r="N3638" t="s">
        <v>10236</v>
      </c>
    </row>
    <row r="3639" spans="1:14">
      <c r="A3639" t="s">
        <v>35</v>
      </c>
      <c r="B3639" t="s">
        <v>3782</v>
      </c>
      <c r="C3639">
        <f>"1207MGR"</f>
        <v>0</v>
      </c>
      <c r="D3639">
        <v>0</v>
      </c>
      <c r="E3639">
        <v>1</v>
      </c>
      <c r="F3639" s="2">
        <v>2</v>
      </c>
      <c r="H3639">
        <v>0</v>
      </c>
      <c r="I3639">
        <v>0.1741125760648204</v>
      </c>
      <c r="J3639">
        <v>0</v>
      </c>
      <c r="K3639">
        <v>0</v>
      </c>
      <c r="L3639" s="2">
        <v>0</v>
      </c>
      <c r="M3639">
        <v>38.67</v>
      </c>
      <c r="N3639" t="s">
        <v>10236</v>
      </c>
    </row>
    <row r="3640" spans="1:14">
      <c r="A3640" t="s">
        <v>35</v>
      </c>
      <c r="B3640" t="s">
        <v>3783</v>
      </c>
      <c r="C3640">
        <f>"1207MCEL"</f>
        <v>0</v>
      </c>
      <c r="D3640">
        <v>0</v>
      </c>
      <c r="E3640">
        <v>0</v>
      </c>
      <c r="F3640" s="2">
        <v>0</v>
      </c>
      <c r="H3640">
        <v>0</v>
      </c>
      <c r="I3640">
        <v>0.1741125760648204</v>
      </c>
      <c r="J3640">
        <v>0</v>
      </c>
      <c r="K3640">
        <v>0</v>
      </c>
      <c r="L3640" s="2">
        <v>0</v>
      </c>
      <c r="M3640">
        <v>38.68</v>
      </c>
      <c r="N3640" t="s">
        <v>10236</v>
      </c>
    </row>
    <row r="3641" spans="1:14">
      <c r="A3641" t="s">
        <v>35</v>
      </c>
      <c r="B3641" t="s">
        <v>3784</v>
      </c>
      <c r="C3641">
        <f>"1207M"</f>
        <v>0</v>
      </c>
      <c r="D3641">
        <v>0</v>
      </c>
      <c r="E3641">
        <v>0</v>
      </c>
      <c r="F3641" s="2">
        <v>0</v>
      </c>
      <c r="H3641">
        <v>0</v>
      </c>
      <c r="I3641">
        <v>0.1741125760648204</v>
      </c>
      <c r="J3641">
        <v>0</v>
      </c>
      <c r="K3641">
        <v>0</v>
      </c>
      <c r="L3641" s="2">
        <v>0</v>
      </c>
      <c r="M3641">
        <v>38.69</v>
      </c>
      <c r="N3641" t="s">
        <v>10236</v>
      </c>
    </row>
    <row r="3642" spans="1:14">
      <c r="A3642" t="s">
        <v>29</v>
      </c>
      <c r="B3642" t="s">
        <v>3785</v>
      </c>
      <c r="C3642">
        <f>"61263"</f>
        <v>0</v>
      </c>
      <c r="D3642">
        <v>0</v>
      </c>
      <c r="E3642">
        <v>0</v>
      </c>
      <c r="F3642" s="2">
        <v>0</v>
      </c>
      <c r="H3642">
        <v>0</v>
      </c>
      <c r="I3642">
        <v>0.1741125760648204</v>
      </c>
      <c r="J3642">
        <v>0</v>
      </c>
      <c r="K3642">
        <v>0</v>
      </c>
      <c r="L3642" s="2">
        <v>0</v>
      </c>
      <c r="M3642">
        <v>38.7</v>
      </c>
      <c r="N3642" t="s">
        <v>10236</v>
      </c>
    </row>
    <row r="3643" spans="1:14">
      <c r="A3643" t="s">
        <v>223</v>
      </c>
      <c r="B3643" t="s">
        <v>3786</v>
      </c>
      <c r="C3643">
        <f>"10300093"</f>
        <v>0</v>
      </c>
      <c r="D3643">
        <v>0</v>
      </c>
      <c r="E3643">
        <v>0</v>
      </c>
      <c r="F3643" s="2">
        <v>0</v>
      </c>
      <c r="H3643">
        <v>0</v>
      </c>
      <c r="I3643">
        <v>0.1741125760648204</v>
      </c>
      <c r="J3643">
        <v>0</v>
      </c>
      <c r="K3643">
        <v>0</v>
      </c>
      <c r="L3643" s="2">
        <v>0</v>
      </c>
      <c r="M3643">
        <v>38.71</v>
      </c>
      <c r="N3643" t="s">
        <v>10236</v>
      </c>
    </row>
    <row r="3644" spans="1:14">
      <c r="A3644" t="s">
        <v>223</v>
      </c>
      <c r="B3644" t="s">
        <v>3787</v>
      </c>
      <c r="C3644">
        <f>"4503100"</f>
        <v>0</v>
      </c>
      <c r="D3644">
        <v>0</v>
      </c>
      <c r="E3644">
        <v>0</v>
      </c>
      <c r="F3644" s="2">
        <v>0</v>
      </c>
      <c r="H3644">
        <v>0</v>
      </c>
      <c r="I3644">
        <v>0.1741125760648204</v>
      </c>
      <c r="J3644">
        <v>0</v>
      </c>
      <c r="K3644">
        <v>0</v>
      </c>
      <c r="L3644" s="2">
        <v>0</v>
      </c>
      <c r="M3644">
        <v>38.72</v>
      </c>
      <c r="N3644" t="s">
        <v>10236</v>
      </c>
    </row>
    <row r="3645" spans="1:14">
      <c r="A3645" t="s">
        <v>223</v>
      </c>
      <c r="B3645" t="s">
        <v>3788</v>
      </c>
      <c r="C3645">
        <f>"5103129"</f>
        <v>0</v>
      </c>
      <c r="D3645">
        <v>0</v>
      </c>
      <c r="E3645">
        <v>0</v>
      </c>
      <c r="F3645" s="2">
        <v>0</v>
      </c>
      <c r="H3645">
        <v>0</v>
      </c>
      <c r="I3645">
        <v>0.1741125760648204</v>
      </c>
      <c r="J3645">
        <v>0</v>
      </c>
      <c r="K3645">
        <v>0</v>
      </c>
      <c r="L3645" s="2">
        <v>0</v>
      </c>
      <c r="M3645">
        <v>38.73</v>
      </c>
      <c r="N3645" t="s">
        <v>10236</v>
      </c>
    </row>
    <row r="3646" spans="1:14">
      <c r="A3646" t="s">
        <v>223</v>
      </c>
      <c r="B3646" t="s">
        <v>3789</v>
      </c>
      <c r="C3646">
        <f>"5414150"</f>
        <v>0</v>
      </c>
      <c r="D3646">
        <v>0</v>
      </c>
      <c r="E3646">
        <v>0</v>
      </c>
      <c r="F3646" s="2">
        <v>0</v>
      </c>
      <c r="H3646">
        <v>0</v>
      </c>
      <c r="I3646">
        <v>0.1741125760648204</v>
      </c>
      <c r="J3646">
        <v>0</v>
      </c>
      <c r="K3646">
        <v>0</v>
      </c>
      <c r="L3646" s="2">
        <v>0</v>
      </c>
      <c r="M3646">
        <v>38.74</v>
      </c>
      <c r="N3646" t="s">
        <v>10236</v>
      </c>
    </row>
    <row r="3647" spans="1:14">
      <c r="A3647" t="s">
        <v>223</v>
      </c>
      <c r="B3647" t="s">
        <v>3790</v>
      </c>
      <c r="C3647">
        <f>"101918187"</f>
        <v>0</v>
      </c>
      <c r="D3647">
        <v>0</v>
      </c>
      <c r="E3647">
        <v>0</v>
      </c>
      <c r="F3647" s="2">
        <v>0</v>
      </c>
      <c r="H3647">
        <v>0</v>
      </c>
      <c r="I3647">
        <v>0.1741125760648204</v>
      </c>
      <c r="J3647">
        <v>0</v>
      </c>
      <c r="K3647">
        <v>0</v>
      </c>
      <c r="L3647" s="2">
        <v>0</v>
      </c>
      <c r="M3647">
        <v>38.75</v>
      </c>
      <c r="N3647" t="s">
        <v>10236</v>
      </c>
    </row>
    <row r="3648" spans="1:14">
      <c r="A3648" t="s">
        <v>223</v>
      </c>
      <c r="B3648" t="s">
        <v>3791</v>
      </c>
      <c r="C3648">
        <f>"5101129"</f>
        <v>0</v>
      </c>
      <c r="D3648">
        <v>0</v>
      </c>
      <c r="E3648">
        <v>0</v>
      </c>
      <c r="F3648" s="2">
        <v>0</v>
      </c>
      <c r="H3648">
        <v>0</v>
      </c>
      <c r="I3648">
        <v>0.1741125760648204</v>
      </c>
      <c r="J3648">
        <v>0</v>
      </c>
      <c r="K3648">
        <v>0</v>
      </c>
      <c r="L3648" s="2">
        <v>0</v>
      </c>
      <c r="M3648">
        <v>38.76</v>
      </c>
      <c r="N3648" t="s">
        <v>10236</v>
      </c>
    </row>
    <row r="3649" spans="1:14">
      <c r="A3649" t="s">
        <v>223</v>
      </c>
      <c r="B3649" t="s">
        <v>3792</v>
      </c>
      <c r="C3649">
        <f>"5105129"</f>
        <v>0</v>
      </c>
      <c r="D3649">
        <v>0</v>
      </c>
      <c r="E3649">
        <v>0</v>
      </c>
      <c r="F3649" s="2">
        <v>0</v>
      </c>
      <c r="H3649">
        <v>0</v>
      </c>
      <c r="I3649">
        <v>0.1741125760648204</v>
      </c>
      <c r="J3649">
        <v>0</v>
      </c>
      <c r="K3649">
        <v>0</v>
      </c>
      <c r="L3649" s="2">
        <v>0</v>
      </c>
      <c r="M3649">
        <v>38.77</v>
      </c>
      <c r="N3649" t="s">
        <v>10236</v>
      </c>
    </row>
    <row r="3650" spans="1:14">
      <c r="A3650" t="s">
        <v>223</v>
      </c>
      <c r="B3650" t="s">
        <v>3793</v>
      </c>
      <c r="C3650">
        <f>"1233015"</f>
        <v>0</v>
      </c>
      <c r="D3650">
        <v>0</v>
      </c>
      <c r="E3650">
        <v>0</v>
      </c>
      <c r="F3650" s="2">
        <v>0</v>
      </c>
      <c r="H3650">
        <v>0</v>
      </c>
      <c r="I3650">
        <v>0.1741125760648204</v>
      </c>
      <c r="J3650">
        <v>0</v>
      </c>
      <c r="K3650">
        <v>0</v>
      </c>
      <c r="L3650" s="2">
        <v>0</v>
      </c>
      <c r="M3650">
        <v>38.77</v>
      </c>
      <c r="N3650" t="s">
        <v>10236</v>
      </c>
    </row>
    <row r="3651" spans="1:14">
      <c r="A3651" t="s">
        <v>223</v>
      </c>
      <c r="B3651" t="s">
        <v>3794</v>
      </c>
      <c r="C3651">
        <f>"42045"</f>
        <v>0</v>
      </c>
      <c r="D3651">
        <v>0</v>
      </c>
      <c r="E3651">
        <v>0</v>
      </c>
      <c r="F3651" s="2">
        <v>0</v>
      </c>
      <c r="H3651">
        <v>0</v>
      </c>
      <c r="I3651">
        <v>0.1741125760648204</v>
      </c>
      <c r="J3651">
        <v>0</v>
      </c>
      <c r="K3651">
        <v>0</v>
      </c>
      <c r="L3651" s="2">
        <v>0</v>
      </c>
      <c r="M3651">
        <v>38.78</v>
      </c>
      <c r="N3651" t="s">
        <v>10236</v>
      </c>
    </row>
    <row r="3652" spans="1:14">
      <c r="A3652" t="s">
        <v>194</v>
      </c>
      <c r="B3652" t="s">
        <v>3795</v>
      </c>
      <c r="C3652">
        <f>"AGR098"</f>
        <v>0</v>
      </c>
      <c r="D3652">
        <v>0</v>
      </c>
      <c r="E3652">
        <v>0</v>
      </c>
      <c r="F3652" s="2">
        <v>0</v>
      </c>
      <c r="H3652">
        <v>0</v>
      </c>
      <c r="I3652">
        <v>0.1741125760648204</v>
      </c>
      <c r="J3652">
        <v>0</v>
      </c>
      <c r="K3652">
        <v>0</v>
      </c>
      <c r="L3652" s="2">
        <v>0</v>
      </c>
      <c r="M3652">
        <v>38.79</v>
      </c>
      <c r="N3652" t="s">
        <v>10236</v>
      </c>
    </row>
    <row r="3653" spans="1:14">
      <c r="A3653" t="s">
        <v>194</v>
      </c>
      <c r="B3653" t="s">
        <v>3796</v>
      </c>
      <c r="C3653">
        <f>"AGR097"</f>
        <v>0</v>
      </c>
      <c r="D3653">
        <v>0</v>
      </c>
      <c r="E3653">
        <v>0</v>
      </c>
      <c r="F3653" s="2">
        <v>0</v>
      </c>
      <c r="H3653">
        <v>0</v>
      </c>
      <c r="I3653">
        <v>0.1741125760648204</v>
      </c>
      <c r="J3653">
        <v>0</v>
      </c>
      <c r="K3653">
        <v>0</v>
      </c>
      <c r="L3653" s="2">
        <v>0</v>
      </c>
      <c r="M3653">
        <v>38.8</v>
      </c>
      <c r="N3653" t="s">
        <v>10236</v>
      </c>
    </row>
    <row r="3654" spans="1:14">
      <c r="A3654" t="s">
        <v>29</v>
      </c>
      <c r="B3654" t="s">
        <v>3797</v>
      </c>
      <c r="C3654">
        <f>"61234"</f>
        <v>0</v>
      </c>
      <c r="D3654">
        <v>0</v>
      </c>
      <c r="E3654">
        <v>1</v>
      </c>
      <c r="F3654" s="2">
        <v>8</v>
      </c>
      <c r="H3654">
        <v>0</v>
      </c>
      <c r="I3654">
        <v>0.1741125760648204</v>
      </c>
      <c r="J3654">
        <v>0</v>
      </c>
      <c r="K3654">
        <v>0</v>
      </c>
      <c r="L3654" s="2">
        <v>0</v>
      </c>
      <c r="M3654">
        <v>38.81</v>
      </c>
      <c r="N3654" t="s">
        <v>10236</v>
      </c>
    </row>
    <row r="3655" spans="1:14">
      <c r="A3655" t="s">
        <v>29</v>
      </c>
      <c r="B3655" t="s">
        <v>3798</v>
      </c>
      <c r="C3655">
        <f>"61236"</f>
        <v>0</v>
      </c>
      <c r="D3655">
        <v>0</v>
      </c>
      <c r="E3655">
        <v>0</v>
      </c>
      <c r="F3655" s="2">
        <v>0</v>
      </c>
      <c r="H3655">
        <v>0</v>
      </c>
      <c r="I3655">
        <v>0.1741125760648204</v>
      </c>
      <c r="J3655">
        <v>0</v>
      </c>
      <c r="K3655">
        <v>0</v>
      </c>
      <c r="L3655" s="2">
        <v>0</v>
      </c>
      <c r="M3655">
        <v>38.82</v>
      </c>
      <c r="N3655" t="s">
        <v>10236</v>
      </c>
    </row>
    <row r="3656" spans="1:14">
      <c r="A3656" t="s">
        <v>29</v>
      </c>
      <c r="B3656" t="s">
        <v>3799</v>
      </c>
      <c r="C3656">
        <f>"80426"</f>
        <v>0</v>
      </c>
      <c r="D3656">
        <v>0</v>
      </c>
      <c r="E3656">
        <v>2</v>
      </c>
      <c r="F3656" s="2">
        <v>14</v>
      </c>
      <c r="H3656">
        <v>0</v>
      </c>
      <c r="I3656">
        <v>0.1741125760648204</v>
      </c>
      <c r="J3656">
        <v>0</v>
      </c>
      <c r="K3656">
        <v>0</v>
      </c>
      <c r="L3656" s="2">
        <v>0</v>
      </c>
      <c r="M3656">
        <v>38.83</v>
      </c>
      <c r="N3656" t="s">
        <v>10236</v>
      </c>
    </row>
    <row r="3657" spans="1:14">
      <c r="A3657" t="s">
        <v>218</v>
      </c>
      <c r="B3657" t="s">
        <v>3800</v>
      </c>
      <c r="C3657">
        <f>"INSZHJ0005"</f>
        <v>0</v>
      </c>
      <c r="D3657">
        <v>0</v>
      </c>
      <c r="E3657">
        <v>0</v>
      </c>
      <c r="F3657" s="2">
        <v>0</v>
      </c>
      <c r="H3657">
        <v>0</v>
      </c>
      <c r="I3657">
        <v>0.1741125760648204</v>
      </c>
      <c r="J3657">
        <v>0</v>
      </c>
      <c r="K3657">
        <v>0</v>
      </c>
      <c r="L3657" s="2">
        <v>0</v>
      </c>
      <c r="M3657">
        <v>38.84</v>
      </c>
      <c r="N3657" t="s">
        <v>10236</v>
      </c>
    </row>
    <row r="3658" spans="1:14">
      <c r="A3658" t="s">
        <v>29</v>
      </c>
      <c r="B3658" t="s">
        <v>3801</v>
      </c>
      <c r="C3658">
        <f>"MFS"</f>
        <v>0</v>
      </c>
      <c r="D3658">
        <v>0</v>
      </c>
      <c r="E3658">
        <v>0</v>
      </c>
      <c r="F3658" s="2">
        <v>0</v>
      </c>
      <c r="H3658">
        <v>0</v>
      </c>
      <c r="I3658">
        <v>0.1741125760648204</v>
      </c>
      <c r="J3658">
        <v>0</v>
      </c>
      <c r="K3658">
        <v>0</v>
      </c>
      <c r="L3658" s="2">
        <v>0</v>
      </c>
      <c r="M3658">
        <v>38.85</v>
      </c>
      <c r="N3658" t="s">
        <v>10236</v>
      </c>
    </row>
    <row r="3659" spans="1:14">
      <c r="A3659" t="s">
        <v>29</v>
      </c>
      <c r="B3659" t="s">
        <v>3802</v>
      </c>
      <c r="C3659">
        <f>"MFN"</f>
        <v>0</v>
      </c>
      <c r="D3659">
        <v>0</v>
      </c>
      <c r="E3659">
        <v>0</v>
      </c>
      <c r="F3659" s="2">
        <v>0</v>
      </c>
      <c r="H3659">
        <v>0</v>
      </c>
      <c r="I3659">
        <v>0.1741125760648204</v>
      </c>
      <c r="J3659">
        <v>0</v>
      </c>
      <c r="K3659">
        <v>0</v>
      </c>
      <c r="L3659" s="2">
        <v>0</v>
      </c>
      <c r="M3659">
        <v>38.86</v>
      </c>
      <c r="N3659" t="s">
        <v>10236</v>
      </c>
    </row>
    <row r="3660" spans="1:14">
      <c r="A3660" t="s">
        <v>29</v>
      </c>
      <c r="B3660" t="s">
        <v>3803</v>
      </c>
      <c r="C3660">
        <f>"MFF"</f>
        <v>0</v>
      </c>
      <c r="D3660">
        <v>0</v>
      </c>
      <c r="E3660">
        <v>0</v>
      </c>
      <c r="F3660" s="2">
        <v>0</v>
      </c>
      <c r="H3660">
        <v>0</v>
      </c>
      <c r="I3660">
        <v>0.1741125760648204</v>
      </c>
      <c r="J3660">
        <v>0</v>
      </c>
      <c r="K3660">
        <v>0</v>
      </c>
      <c r="L3660" s="2">
        <v>0</v>
      </c>
      <c r="M3660">
        <v>38.87</v>
      </c>
      <c r="N3660" t="s">
        <v>10236</v>
      </c>
    </row>
    <row r="3661" spans="1:14">
      <c r="A3661" t="s">
        <v>29</v>
      </c>
      <c r="B3661" t="s">
        <v>3804</v>
      </c>
      <c r="C3661">
        <f>"MFC"</f>
        <v>0</v>
      </c>
      <c r="D3661">
        <v>0</v>
      </c>
      <c r="E3661">
        <v>1</v>
      </c>
      <c r="F3661" s="2">
        <v>2</v>
      </c>
      <c r="H3661">
        <v>0</v>
      </c>
      <c r="I3661">
        <v>0.1741125760648204</v>
      </c>
      <c r="J3661">
        <v>0</v>
      </c>
      <c r="K3661">
        <v>0</v>
      </c>
      <c r="L3661" s="2">
        <v>0</v>
      </c>
      <c r="M3661">
        <v>38.88</v>
      </c>
      <c r="N3661" t="s">
        <v>10236</v>
      </c>
    </row>
    <row r="3662" spans="1:14">
      <c r="A3662" t="s">
        <v>196</v>
      </c>
      <c r="B3662" t="s">
        <v>3805</v>
      </c>
      <c r="C3662">
        <f>"2554"</f>
        <v>0</v>
      </c>
      <c r="D3662">
        <v>0</v>
      </c>
      <c r="E3662">
        <v>0</v>
      </c>
      <c r="F3662" s="2">
        <v>0</v>
      </c>
      <c r="H3662">
        <v>0</v>
      </c>
      <c r="I3662">
        <v>0.1741125760648204</v>
      </c>
      <c r="J3662">
        <v>0</v>
      </c>
      <c r="K3662">
        <v>0</v>
      </c>
      <c r="L3662" s="2">
        <v>0</v>
      </c>
      <c r="M3662">
        <v>38.88</v>
      </c>
      <c r="N3662" t="s">
        <v>10236</v>
      </c>
    </row>
    <row r="3663" spans="1:14">
      <c r="A3663" t="s">
        <v>196</v>
      </c>
      <c r="B3663" t="s">
        <v>3806</v>
      </c>
      <c r="C3663">
        <f>"2537"</f>
        <v>0</v>
      </c>
      <c r="D3663">
        <v>0</v>
      </c>
      <c r="E3663">
        <v>0</v>
      </c>
      <c r="F3663" s="2">
        <v>0</v>
      </c>
      <c r="H3663">
        <v>0</v>
      </c>
      <c r="I3663">
        <v>0.1741125760648204</v>
      </c>
      <c r="J3663">
        <v>0</v>
      </c>
      <c r="K3663">
        <v>0</v>
      </c>
      <c r="L3663" s="2">
        <v>0</v>
      </c>
      <c r="M3663">
        <v>38.89</v>
      </c>
      <c r="N3663" t="s">
        <v>10236</v>
      </c>
    </row>
    <row r="3664" spans="1:14">
      <c r="A3664" t="s">
        <v>196</v>
      </c>
      <c r="B3664" t="s">
        <v>3807</v>
      </c>
      <c r="C3664">
        <f>"2546"</f>
        <v>0</v>
      </c>
      <c r="D3664">
        <v>0</v>
      </c>
      <c r="E3664">
        <v>0</v>
      </c>
      <c r="F3664" s="2">
        <v>0</v>
      </c>
      <c r="H3664">
        <v>0</v>
      </c>
      <c r="I3664">
        <v>0.1741125760648204</v>
      </c>
      <c r="J3664">
        <v>0</v>
      </c>
      <c r="K3664">
        <v>0</v>
      </c>
      <c r="L3664" s="2">
        <v>0</v>
      </c>
      <c r="M3664">
        <v>38.9</v>
      </c>
      <c r="N3664" t="s">
        <v>10236</v>
      </c>
    </row>
    <row r="3665" spans="1:14">
      <c r="A3665" t="s">
        <v>196</v>
      </c>
      <c r="B3665" t="s">
        <v>3808</v>
      </c>
      <c r="C3665">
        <f>"2543"</f>
        <v>0</v>
      </c>
      <c r="D3665">
        <v>0</v>
      </c>
      <c r="E3665">
        <v>4</v>
      </c>
      <c r="F3665" s="2">
        <v>0</v>
      </c>
      <c r="H3665">
        <v>0</v>
      </c>
      <c r="I3665">
        <v>0.1741125760648204</v>
      </c>
      <c r="J3665">
        <v>0</v>
      </c>
      <c r="K3665">
        <v>0</v>
      </c>
      <c r="L3665" s="2">
        <v>0</v>
      </c>
      <c r="M3665">
        <v>38.91</v>
      </c>
      <c r="N3665" t="s">
        <v>10236</v>
      </c>
    </row>
    <row r="3666" spans="1:14">
      <c r="A3666" t="s">
        <v>25</v>
      </c>
      <c r="B3666" t="s">
        <v>3809</v>
      </c>
      <c r="C3666">
        <f>"MC20"</f>
        <v>0</v>
      </c>
      <c r="D3666">
        <v>0</v>
      </c>
      <c r="E3666">
        <v>1</v>
      </c>
      <c r="F3666" s="2">
        <v>24</v>
      </c>
      <c r="H3666">
        <v>0</v>
      </c>
      <c r="I3666">
        <v>0.1741125760648204</v>
      </c>
      <c r="J3666">
        <v>0</v>
      </c>
      <c r="K3666">
        <v>0</v>
      </c>
      <c r="L3666" s="2">
        <v>0</v>
      </c>
      <c r="M3666">
        <v>38.92</v>
      </c>
      <c r="N3666" t="s">
        <v>10236</v>
      </c>
    </row>
    <row r="3667" spans="1:14">
      <c r="A3667" t="s">
        <v>25</v>
      </c>
      <c r="B3667" t="s">
        <v>3810</v>
      </c>
      <c r="C3667">
        <f>"ZT1501"</f>
        <v>0</v>
      </c>
      <c r="D3667">
        <v>0</v>
      </c>
      <c r="E3667">
        <v>0</v>
      </c>
      <c r="F3667" s="2">
        <v>0</v>
      </c>
      <c r="H3667">
        <v>0</v>
      </c>
      <c r="I3667">
        <v>0.1741125760648204</v>
      </c>
      <c r="J3667">
        <v>0</v>
      </c>
      <c r="K3667">
        <v>0</v>
      </c>
      <c r="L3667" s="2">
        <v>0</v>
      </c>
      <c r="M3667">
        <v>38.93</v>
      </c>
      <c r="N3667" t="s">
        <v>10236</v>
      </c>
    </row>
    <row r="3668" spans="1:14">
      <c r="A3668" t="s">
        <v>35</v>
      </c>
      <c r="B3668" t="s">
        <v>3811</v>
      </c>
      <c r="C3668">
        <f>"ER999"</f>
        <v>0</v>
      </c>
      <c r="D3668">
        <v>0</v>
      </c>
      <c r="E3668">
        <v>0</v>
      </c>
      <c r="F3668" s="2">
        <v>0</v>
      </c>
      <c r="H3668">
        <v>0</v>
      </c>
      <c r="I3668">
        <v>0.1741125760648204</v>
      </c>
      <c r="J3668">
        <v>0</v>
      </c>
      <c r="K3668">
        <v>0</v>
      </c>
      <c r="L3668" s="2">
        <v>0</v>
      </c>
      <c r="M3668">
        <v>38.94</v>
      </c>
      <c r="N3668" t="s">
        <v>10236</v>
      </c>
    </row>
    <row r="3669" spans="1:14">
      <c r="A3669" t="s">
        <v>35</v>
      </c>
      <c r="B3669" t="s">
        <v>3812</v>
      </c>
      <c r="C3669">
        <f>"ER43PS"</f>
        <v>0</v>
      </c>
      <c r="D3669">
        <v>0</v>
      </c>
      <c r="E3669">
        <v>0</v>
      </c>
      <c r="F3669" s="2">
        <v>0</v>
      </c>
      <c r="H3669">
        <v>0</v>
      </c>
      <c r="I3669">
        <v>0.1741125760648204</v>
      </c>
      <c r="J3669">
        <v>0</v>
      </c>
      <c r="K3669">
        <v>0</v>
      </c>
      <c r="L3669" s="2">
        <v>0</v>
      </c>
      <c r="M3669">
        <v>38.95</v>
      </c>
      <c r="N3669" t="s">
        <v>10236</v>
      </c>
    </row>
    <row r="3670" spans="1:14">
      <c r="A3670" t="s">
        <v>35</v>
      </c>
      <c r="B3670" t="s">
        <v>3813</v>
      </c>
      <c r="C3670">
        <f>"CP1178"</f>
        <v>0</v>
      </c>
      <c r="D3670">
        <v>0</v>
      </c>
      <c r="E3670">
        <v>5</v>
      </c>
      <c r="F3670" s="2">
        <v>6</v>
      </c>
      <c r="H3670">
        <v>0</v>
      </c>
      <c r="I3670">
        <v>0.1741125760648204</v>
      </c>
      <c r="J3670">
        <v>0</v>
      </c>
      <c r="K3670">
        <v>0</v>
      </c>
      <c r="L3670" s="2">
        <v>0</v>
      </c>
      <c r="M3670">
        <v>38.96</v>
      </c>
      <c r="N3670" t="s">
        <v>10236</v>
      </c>
    </row>
    <row r="3671" spans="1:14">
      <c r="A3671" t="s">
        <v>193</v>
      </c>
      <c r="B3671" t="s">
        <v>3814</v>
      </c>
      <c r="C3671">
        <f>"675296"</f>
        <v>0</v>
      </c>
      <c r="D3671">
        <v>0</v>
      </c>
      <c r="E3671">
        <v>17</v>
      </c>
      <c r="F3671" s="2">
        <v>3</v>
      </c>
      <c r="H3671">
        <v>0</v>
      </c>
      <c r="I3671">
        <v>0.1741125760648204</v>
      </c>
      <c r="J3671">
        <v>0</v>
      </c>
      <c r="K3671">
        <v>0</v>
      </c>
      <c r="L3671" s="2">
        <v>0</v>
      </c>
      <c r="M3671">
        <v>38.97</v>
      </c>
      <c r="N3671" t="s">
        <v>10236</v>
      </c>
    </row>
    <row r="3672" spans="1:14">
      <c r="A3672" t="s">
        <v>193</v>
      </c>
      <c r="B3672" t="s">
        <v>3815</v>
      </c>
      <c r="C3672">
        <f>"671649"</f>
        <v>0</v>
      </c>
      <c r="D3672">
        <v>0</v>
      </c>
      <c r="E3672">
        <v>0</v>
      </c>
      <c r="F3672" s="2">
        <v>0</v>
      </c>
      <c r="H3672">
        <v>0</v>
      </c>
      <c r="I3672">
        <v>0.1741125760648204</v>
      </c>
      <c r="J3672">
        <v>0</v>
      </c>
      <c r="K3672">
        <v>0</v>
      </c>
      <c r="L3672" s="2">
        <v>0</v>
      </c>
      <c r="M3672">
        <v>38.98</v>
      </c>
      <c r="N3672" t="s">
        <v>10236</v>
      </c>
    </row>
    <row r="3673" spans="1:14">
      <c r="A3673" t="s">
        <v>29</v>
      </c>
      <c r="B3673" t="s">
        <v>3816</v>
      </c>
      <c r="C3673">
        <f>"F208"</f>
        <v>0</v>
      </c>
      <c r="D3673">
        <v>0</v>
      </c>
      <c r="E3673">
        <v>0</v>
      </c>
      <c r="F3673" s="2">
        <v>0</v>
      </c>
      <c r="H3673">
        <v>0</v>
      </c>
      <c r="I3673">
        <v>0.1741125760648204</v>
      </c>
      <c r="J3673">
        <v>0</v>
      </c>
      <c r="K3673">
        <v>0</v>
      </c>
      <c r="L3673" s="2">
        <v>0</v>
      </c>
      <c r="M3673">
        <v>38.99</v>
      </c>
      <c r="N3673" t="s">
        <v>10236</v>
      </c>
    </row>
    <row r="3674" spans="1:14">
      <c r="A3674" t="s">
        <v>35</v>
      </c>
      <c r="B3674" t="s">
        <v>3817</v>
      </c>
      <c r="C3674">
        <f>"8620"</f>
        <v>0</v>
      </c>
      <c r="D3674">
        <v>0</v>
      </c>
      <c r="E3674">
        <v>4</v>
      </c>
      <c r="F3674" s="2">
        <v>1</v>
      </c>
      <c r="H3674">
        <v>0</v>
      </c>
      <c r="I3674">
        <v>0.1741125760648204</v>
      </c>
      <c r="J3674">
        <v>0</v>
      </c>
      <c r="K3674">
        <v>0</v>
      </c>
      <c r="L3674" s="2">
        <v>0</v>
      </c>
      <c r="M3674">
        <v>39</v>
      </c>
      <c r="N3674" t="s">
        <v>10236</v>
      </c>
    </row>
    <row r="3675" spans="1:14">
      <c r="A3675" t="s">
        <v>35</v>
      </c>
      <c r="B3675" t="s">
        <v>3818</v>
      </c>
      <c r="C3675">
        <f>"8615"</f>
        <v>0</v>
      </c>
      <c r="D3675">
        <v>0</v>
      </c>
      <c r="E3675">
        <v>0</v>
      </c>
      <c r="F3675" s="2">
        <v>0</v>
      </c>
      <c r="H3675">
        <v>0</v>
      </c>
      <c r="I3675">
        <v>0.1741125760648204</v>
      </c>
      <c r="J3675">
        <v>0</v>
      </c>
      <c r="K3675">
        <v>0</v>
      </c>
      <c r="L3675" s="2">
        <v>0</v>
      </c>
      <c r="M3675">
        <v>39</v>
      </c>
      <c r="N3675" t="s">
        <v>10236</v>
      </c>
    </row>
    <row r="3676" spans="1:14">
      <c r="A3676" t="s">
        <v>35</v>
      </c>
      <c r="B3676" t="s">
        <v>3819</v>
      </c>
      <c r="C3676">
        <f>"8610"</f>
        <v>0</v>
      </c>
      <c r="D3676">
        <v>0</v>
      </c>
      <c r="E3676">
        <v>4</v>
      </c>
      <c r="F3676" s="2">
        <v>1</v>
      </c>
      <c r="H3676">
        <v>0</v>
      </c>
      <c r="I3676">
        <v>0.1741125760648204</v>
      </c>
      <c r="J3676">
        <v>0</v>
      </c>
      <c r="K3676">
        <v>0</v>
      </c>
      <c r="L3676" s="2">
        <v>0</v>
      </c>
      <c r="M3676">
        <v>39.01</v>
      </c>
      <c r="N3676" t="s">
        <v>10236</v>
      </c>
    </row>
    <row r="3677" spans="1:14">
      <c r="A3677" t="s">
        <v>35</v>
      </c>
      <c r="B3677" t="s">
        <v>3820</v>
      </c>
      <c r="C3677">
        <f>"LYC03019R"</f>
        <v>0</v>
      </c>
      <c r="D3677">
        <v>0</v>
      </c>
      <c r="E3677">
        <v>0</v>
      </c>
      <c r="F3677" s="2">
        <v>0</v>
      </c>
      <c r="H3677">
        <v>0</v>
      </c>
      <c r="I3677">
        <v>0.1741125760648204</v>
      </c>
      <c r="J3677">
        <v>0</v>
      </c>
      <c r="K3677">
        <v>0</v>
      </c>
      <c r="L3677" s="2">
        <v>0</v>
      </c>
      <c r="M3677">
        <v>39.02</v>
      </c>
      <c r="N3677" t="s">
        <v>10236</v>
      </c>
    </row>
    <row r="3678" spans="1:14">
      <c r="A3678" t="s">
        <v>35</v>
      </c>
      <c r="B3678" t="s">
        <v>3821</v>
      </c>
      <c r="C3678">
        <f>"LYC03019G"</f>
        <v>0</v>
      </c>
      <c r="D3678">
        <v>0</v>
      </c>
      <c r="E3678">
        <v>0</v>
      </c>
      <c r="F3678" s="2">
        <v>0</v>
      </c>
      <c r="H3678">
        <v>0</v>
      </c>
      <c r="I3678">
        <v>0.1741125760648204</v>
      </c>
      <c r="J3678">
        <v>0</v>
      </c>
      <c r="K3678">
        <v>0</v>
      </c>
      <c r="L3678" s="2">
        <v>0</v>
      </c>
      <c r="M3678">
        <v>39.03</v>
      </c>
      <c r="N3678" t="s">
        <v>10236</v>
      </c>
    </row>
    <row r="3679" spans="1:14">
      <c r="A3679" t="s">
        <v>35</v>
      </c>
      <c r="B3679" t="s">
        <v>3822</v>
      </c>
      <c r="C3679">
        <f>"MSPB09ROS"</f>
        <v>0</v>
      </c>
      <c r="D3679">
        <v>0</v>
      </c>
      <c r="E3679">
        <v>0</v>
      </c>
      <c r="F3679" s="2">
        <v>0</v>
      </c>
      <c r="H3679">
        <v>0</v>
      </c>
      <c r="I3679">
        <v>0.1741125760648204</v>
      </c>
      <c r="J3679">
        <v>0</v>
      </c>
      <c r="K3679">
        <v>0</v>
      </c>
      <c r="L3679" s="2">
        <v>0</v>
      </c>
      <c r="M3679">
        <v>39.04</v>
      </c>
      <c r="N3679" t="s">
        <v>10236</v>
      </c>
    </row>
    <row r="3680" spans="1:14">
      <c r="A3680" t="s">
        <v>35</v>
      </c>
      <c r="B3680" t="s">
        <v>3823</v>
      </c>
      <c r="C3680">
        <f>"WD05340C"</f>
        <v>0</v>
      </c>
      <c r="D3680">
        <v>0</v>
      </c>
      <c r="E3680">
        <v>11</v>
      </c>
      <c r="F3680" s="2">
        <v>6</v>
      </c>
      <c r="H3680">
        <v>0</v>
      </c>
      <c r="I3680">
        <v>0.1741125760648204</v>
      </c>
      <c r="J3680">
        <v>0</v>
      </c>
      <c r="K3680">
        <v>0</v>
      </c>
      <c r="L3680" s="2">
        <v>0</v>
      </c>
      <c r="M3680">
        <v>39.05</v>
      </c>
      <c r="N3680" t="s">
        <v>10236</v>
      </c>
    </row>
    <row r="3681" spans="1:14">
      <c r="A3681" t="s">
        <v>35</v>
      </c>
      <c r="B3681" t="s">
        <v>3824</v>
      </c>
      <c r="C3681">
        <f>"WD05330R"</f>
        <v>0</v>
      </c>
      <c r="D3681">
        <v>0</v>
      </c>
      <c r="E3681">
        <v>4</v>
      </c>
      <c r="F3681" s="2">
        <v>5</v>
      </c>
      <c r="H3681">
        <v>0</v>
      </c>
      <c r="I3681">
        <v>0.1741125760648204</v>
      </c>
      <c r="J3681">
        <v>0</v>
      </c>
      <c r="K3681">
        <v>0</v>
      </c>
      <c r="L3681" s="2">
        <v>0</v>
      </c>
      <c r="M3681">
        <v>39.06</v>
      </c>
      <c r="N3681" t="s">
        <v>10236</v>
      </c>
    </row>
    <row r="3682" spans="1:14">
      <c r="A3682" t="s">
        <v>35</v>
      </c>
      <c r="B3682" t="s">
        <v>3825</v>
      </c>
      <c r="C3682">
        <f>"WD05330C"</f>
        <v>0</v>
      </c>
      <c r="D3682">
        <v>0</v>
      </c>
      <c r="E3682">
        <v>5</v>
      </c>
      <c r="F3682" s="2">
        <v>5</v>
      </c>
      <c r="H3682">
        <v>0</v>
      </c>
      <c r="I3682">
        <v>0.1741125760648204</v>
      </c>
      <c r="J3682">
        <v>0</v>
      </c>
      <c r="K3682">
        <v>0</v>
      </c>
      <c r="L3682" s="2">
        <v>0</v>
      </c>
      <c r="M3682">
        <v>39.07</v>
      </c>
      <c r="N3682" t="s">
        <v>10236</v>
      </c>
    </row>
    <row r="3683" spans="1:14">
      <c r="A3683" t="s">
        <v>213</v>
      </c>
      <c r="B3683" t="s">
        <v>3826</v>
      </c>
      <c r="C3683">
        <f>"VQM025"</f>
        <v>0</v>
      </c>
      <c r="D3683">
        <v>0</v>
      </c>
      <c r="E3683">
        <v>0</v>
      </c>
      <c r="F3683" s="2">
        <v>0</v>
      </c>
      <c r="H3683">
        <v>0</v>
      </c>
      <c r="I3683">
        <v>0.1741125760648204</v>
      </c>
      <c r="J3683">
        <v>0</v>
      </c>
      <c r="K3683">
        <v>0</v>
      </c>
      <c r="L3683" s="2">
        <v>0</v>
      </c>
      <c r="M3683">
        <v>39.08</v>
      </c>
      <c r="N3683" t="s">
        <v>10236</v>
      </c>
    </row>
    <row r="3684" spans="1:14">
      <c r="A3684" t="s">
        <v>35</v>
      </c>
      <c r="B3684" t="s">
        <v>3827</v>
      </c>
      <c r="C3684">
        <f>"25024775"</f>
        <v>0</v>
      </c>
      <c r="D3684">
        <v>0</v>
      </c>
      <c r="E3684">
        <v>0</v>
      </c>
      <c r="F3684" s="2">
        <v>0</v>
      </c>
      <c r="H3684">
        <v>0</v>
      </c>
      <c r="I3684">
        <v>0.1741125760648204</v>
      </c>
      <c r="J3684">
        <v>0</v>
      </c>
      <c r="K3684">
        <v>0</v>
      </c>
      <c r="L3684" s="2">
        <v>0</v>
      </c>
      <c r="M3684">
        <v>39.09</v>
      </c>
      <c r="N3684" t="s">
        <v>10236</v>
      </c>
    </row>
    <row r="3685" spans="1:14">
      <c r="A3685" t="s">
        <v>35</v>
      </c>
      <c r="B3685" t="s">
        <v>3828</v>
      </c>
      <c r="C3685">
        <f>"25024782"</f>
        <v>0</v>
      </c>
      <c r="D3685">
        <v>0</v>
      </c>
      <c r="E3685">
        <v>0</v>
      </c>
      <c r="F3685" s="2">
        <v>0</v>
      </c>
      <c r="H3685">
        <v>0</v>
      </c>
      <c r="I3685">
        <v>0.1741125760648204</v>
      </c>
      <c r="J3685">
        <v>0</v>
      </c>
      <c r="K3685">
        <v>0</v>
      </c>
      <c r="L3685" s="2">
        <v>0</v>
      </c>
      <c r="M3685">
        <v>39.1</v>
      </c>
      <c r="N3685" t="s">
        <v>10236</v>
      </c>
    </row>
    <row r="3686" spans="1:14">
      <c r="A3686" t="s">
        <v>195</v>
      </c>
      <c r="B3686" t="s">
        <v>3829</v>
      </c>
      <c r="C3686">
        <f>"25395672"</f>
        <v>0</v>
      </c>
      <c r="D3686">
        <v>0</v>
      </c>
      <c r="E3686">
        <v>0</v>
      </c>
      <c r="F3686" s="2">
        <v>0</v>
      </c>
      <c r="H3686">
        <v>0</v>
      </c>
      <c r="I3686">
        <v>0.1741125760648204</v>
      </c>
      <c r="J3686">
        <v>0</v>
      </c>
      <c r="K3686">
        <v>0</v>
      </c>
      <c r="L3686" s="2">
        <v>0</v>
      </c>
      <c r="M3686">
        <v>39.11</v>
      </c>
      <c r="N3686" t="s">
        <v>10236</v>
      </c>
    </row>
    <row r="3687" spans="1:14">
      <c r="A3687" t="s">
        <v>195</v>
      </c>
      <c r="B3687" t="s">
        <v>3830</v>
      </c>
      <c r="C3687">
        <f>"25395671"</f>
        <v>0</v>
      </c>
      <c r="D3687">
        <v>0</v>
      </c>
      <c r="E3687">
        <v>0</v>
      </c>
      <c r="F3687" s="2">
        <v>0</v>
      </c>
      <c r="H3687">
        <v>0</v>
      </c>
      <c r="I3687">
        <v>0.1741125760648204</v>
      </c>
      <c r="J3687">
        <v>0</v>
      </c>
      <c r="K3687">
        <v>0</v>
      </c>
      <c r="L3687" s="2">
        <v>0</v>
      </c>
      <c r="M3687">
        <v>39.12</v>
      </c>
      <c r="N3687" t="s">
        <v>10236</v>
      </c>
    </row>
    <row r="3688" spans="1:14">
      <c r="A3688" t="s">
        <v>35</v>
      </c>
      <c r="B3688" t="s">
        <v>3831</v>
      </c>
      <c r="C3688">
        <f>"1207L"</f>
        <v>0</v>
      </c>
      <c r="D3688">
        <v>0</v>
      </c>
      <c r="E3688">
        <v>0</v>
      </c>
      <c r="F3688" s="2">
        <v>0</v>
      </c>
      <c r="H3688">
        <v>0</v>
      </c>
      <c r="I3688">
        <v>0.1741125760648204</v>
      </c>
      <c r="J3688">
        <v>0</v>
      </c>
      <c r="K3688">
        <v>0</v>
      </c>
      <c r="L3688" s="2">
        <v>0</v>
      </c>
      <c r="M3688">
        <v>39.12</v>
      </c>
      <c r="N3688" t="s">
        <v>10236</v>
      </c>
    </row>
    <row r="3689" spans="1:14">
      <c r="A3689" t="s">
        <v>25</v>
      </c>
      <c r="B3689" t="s">
        <v>3832</v>
      </c>
      <c r="C3689">
        <f>"AYCS228"</f>
        <v>0</v>
      </c>
      <c r="D3689">
        <v>0</v>
      </c>
      <c r="E3689">
        <v>0</v>
      </c>
      <c r="F3689" s="2">
        <v>0</v>
      </c>
      <c r="H3689">
        <v>0</v>
      </c>
      <c r="I3689">
        <v>0.1741125760648204</v>
      </c>
      <c r="J3689">
        <v>0</v>
      </c>
      <c r="K3689">
        <v>0</v>
      </c>
      <c r="L3689" s="2">
        <v>0</v>
      </c>
      <c r="M3689">
        <v>39.13</v>
      </c>
      <c r="N3689" t="s">
        <v>10236</v>
      </c>
    </row>
    <row r="3690" spans="1:14">
      <c r="A3690" t="s">
        <v>29</v>
      </c>
      <c r="B3690" t="s">
        <v>3833</v>
      </c>
      <c r="C3690">
        <f>"DR08002A"</f>
        <v>0</v>
      </c>
      <c r="D3690">
        <v>0</v>
      </c>
      <c r="E3690">
        <v>0</v>
      </c>
      <c r="F3690" s="2">
        <v>0</v>
      </c>
      <c r="H3690">
        <v>0</v>
      </c>
      <c r="I3690">
        <v>0.1741125760648204</v>
      </c>
      <c r="J3690">
        <v>0</v>
      </c>
      <c r="K3690">
        <v>0</v>
      </c>
      <c r="L3690" s="2">
        <v>0</v>
      </c>
      <c r="M3690">
        <v>39.14</v>
      </c>
      <c r="N3690" t="s">
        <v>10236</v>
      </c>
    </row>
    <row r="3691" spans="1:14">
      <c r="A3691" t="s">
        <v>29</v>
      </c>
      <c r="B3691" t="s">
        <v>3834</v>
      </c>
      <c r="C3691">
        <f>"DR081"</f>
        <v>0</v>
      </c>
      <c r="D3691">
        <v>0</v>
      </c>
      <c r="E3691">
        <v>0</v>
      </c>
      <c r="F3691" s="2">
        <v>0</v>
      </c>
      <c r="H3691">
        <v>0</v>
      </c>
      <c r="I3691">
        <v>0.1741125760648204</v>
      </c>
      <c r="J3691">
        <v>0</v>
      </c>
      <c r="K3691">
        <v>0</v>
      </c>
      <c r="L3691" s="2">
        <v>0</v>
      </c>
      <c r="M3691">
        <v>39.15</v>
      </c>
      <c r="N3691" t="s">
        <v>10236</v>
      </c>
    </row>
    <row r="3692" spans="1:14">
      <c r="A3692" t="s">
        <v>29</v>
      </c>
      <c r="B3692" t="s">
        <v>3835</v>
      </c>
      <c r="C3692">
        <f>"DR082"</f>
        <v>0</v>
      </c>
      <c r="D3692">
        <v>0</v>
      </c>
      <c r="E3692">
        <v>0</v>
      </c>
      <c r="F3692" s="2">
        <v>0</v>
      </c>
      <c r="H3692">
        <v>0</v>
      </c>
      <c r="I3692">
        <v>0.1741125760648204</v>
      </c>
      <c r="J3692">
        <v>0</v>
      </c>
      <c r="K3692">
        <v>0</v>
      </c>
      <c r="L3692" s="2">
        <v>0</v>
      </c>
      <c r="M3692">
        <v>39.16</v>
      </c>
      <c r="N3692" t="s">
        <v>10236</v>
      </c>
    </row>
    <row r="3693" spans="1:14">
      <c r="A3693" t="s">
        <v>29</v>
      </c>
      <c r="B3693" t="s">
        <v>3836</v>
      </c>
      <c r="C3693">
        <f>"DR09002"</f>
        <v>0</v>
      </c>
      <c r="D3693">
        <v>0</v>
      </c>
      <c r="E3693">
        <v>0</v>
      </c>
      <c r="F3693" s="2">
        <v>0</v>
      </c>
      <c r="H3693">
        <v>0</v>
      </c>
      <c r="I3693">
        <v>0.1741125760648204</v>
      </c>
      <c r="J3693">
        <v>0</v>
      </c>
      <c r="K3693">
        <v>0</v>
      </c>
      <c r="L3693" s="2">
        <v>0</v>
      </c>
      <c r="M3693">
        <v>39.17</v>
      </c>
      <c r="N3693" t="s">
        <v>10236</v>
      </c>
    </row>
    <row r="3694" spans="1:14">
      <c r="A3694" t="s">
        <v>29</v>
      </c>
      <c r="B3694" t="s">
        <v>3836</v>
      </c>
      <c r="C3694">
        <f>"DR08002"</f>
        <v>0</v>
      </c>
      <c r="D3694">
        <v>0</v>
      </c>
      <c r="E3694">
        <v>0</v>
      </c>
      <c r="F3694" s="2">
        <v>0</v>
      </c>
      <c r="H3694">
        <v>0</v>
      </c>
      <c r="I3694">
        <v>0.1741125760648204</v>
      </c>
      <c r="J3694">
        <v>0</v>
      </c>
      <c r="K3694">
        <v>0</v>
      </c>
      <c r="L3694" s="2">
        <v>0</v>
      </c>
      <c r="M3694">
        <v>39.18</v>
      </c>
      <c r="N3694" t="s">
        <v>10236</v>
      </c>
    </row>
    <row r="3695" spans="1:14">
      <c r="A3695" t="s">
        <v>29</v>
      </c>
      <c r="B3695" t="s">
        <v>3837</v>
      </c>
      <c r="C3695">
        <f>"MALAWI250ML"</f>
        <v>0</v>
      </c>
      <c r="D3695">
        <v>0</v>
      </c>
      <c r="E3695">
        <v>0</v>
      </c>
      <c r="F3695" s="2">
        <v>0</v>
      </c>
      <c r="H3695">
        <v>0</v>
      </c>
      <c r="I3695">
        <v>0.1741125760648204</v>
      </c>
      <c r="J3695">
        <v>0</v>
      </c>
      <c r="K3695">
        <v>0</v>
      </c>
      <c r="L3695" s="2">
        <v>0</v>
      </c>
      <c r="M3695">
        <v>39.19</v>
      </c>
      <c r="N3695" t="s">
        <v>10236</v>
      </c>
    </row>
    <row r="3696" spans="1:14">
      <c r="A3696" t="s">
        <v>193</v>
      </c>
      <c r="B3696" t="s">
        <v>3838</v>
      </c>
      <c r="C3696">
        <f>"2GA3233MAS2"</f>
        <v>0</v>
      </c>
      <c r="D3696">
        <v>0</v>
      </c>
      <c r="E3696">
        <v>0</v>
      </c>
      <c r="F3696" s="2">
        <v>0</v>
      </c>
      <c r="H3696">
        <v>0</v>
      </c>
      <c r="I3696">
        <v>0.1741125760648204</v>
      </c>
      <c r="J3696">
        <v>0</v>
      </c>
      <c r="K3696">
        <v>0</v>
      </c>
      <c r="L3696" s="2">
        <v>0</v>
      </c>
      <c r="M3696">
        <v>39.2</v>
      </c>
      <c r="N3696" t="s">
        <v>10236</v>
      </c>
    </row>
    <row r="3697" spans="1:14">
      <c r="A3697" t="s">
        <v>193</v>
      </c>
      <c r="B3697" t="s">
        <v>3839</v>
      </c>
      <c r="C3697">
        <f>"564578"</f>
        <v>0</v>
      </c>
      <c r="D3697">
        <v>0</v>
      </c>
      <c r="E3697">
        <v>0</v>
      </c>
      <c r="F3697" s="2">
        <v>0</v>
      </c>
      <c r="H3697">
        <v>0</v>
      </c>
      <c r="I3697">
        <v>0.1741125760648204</v>
      </c>
      <c r="J3697">
        <v>0</v>
      </c>
      <c r="K3697">
        <v>0</v>
      </c>
      <c r="L3697" s="2">
        <v>0</v>
      </c>
      <c r="M3697">
        <v>39.21</v>
      </c>
      <c r="N3697" t="s">
        <v>10236</v>
      </c>
    </row>
    <row r="3698" spans="1:14">
      <c r="A3698" t="s">
        <v>29</v>
      </c>
      <c r="B3698" t="s">
        <v>3840</v>
      </c>
      <c r="C3698">
        <f>"LS60A"</f>
        <v>0</v>
      </c>
      <c r="D3698">
        <v>0</v>
      </c>
      <c r="E3698">
        <v>0</v>
      </c>
      <c r="F3698" s="2">
        <v>0</v>
      </c>
      <c r="H3698">
        <v>0</v>
      </c>
      <c r="I3698">
        <v>0.1741125760648204</v>
      </c>
      <c r="J3698">
        <v>0</v>
      </c>
      <c r="K3698">
        <v>0</v>
      </c>
      <c r="L3698" s="2">
        <v>0</v>
      </c>
      <c r="M3698">
        <v>39.22</v>
      </c>
      <c r="N3698" t="s">
        <v>10236</v>
      </c>
    </row>
    <row r="3699" spans="1:14">
      <c r="A3699" t="s">
        <v>29</v>
      </c>
      <c r="B3699" t="s">
        <v>3841</v>
      </c>
      <c r="C3699">
        <f>"LS50T"</f>
        <v>0</v>
      </c>
      <c r="D3699">
        <v>0</v>
      </c>
      <c r="E3699">
        <v>0</v>
      </c>
      <c r="F3699" s="2">
        <v>0</v>
      </c>
      <c r="H3699">
        <v>0</v>
      </c>
      <c r="I3699">
        <v>0.1741125760648204</v>
      </c>
      <c r="J3699">
        <v>0</v>
      </c>
      <c r="K3699">
        <v>0</v>
      </c>
      <c r="L3699" s="2">
        <v>0</v>
      </c>
      <c r="M3699">
        <v>39.23</v>
      </c>
      <c r="N3699" t="s">
        <v>10236</v>
      </c>
    </row>
    <row r="3700" spans="1:14">
      <c r="A3700" t="s">
        <v>29</v>
      </c>
      <c r="B3700" t="s">
        <v>3842</v>
      </c>
      <c r="C3700">
        <f>"LS50R"</f>
        <v>0</v>
      </c>
      <c r="D3700">
        <v>0</v>
      </c>
      <c r="E3700">
        <v>10</v>
      </c>
      <c r="F3700" s="2">
        <v>2</v>
      </c>
      <c r="H3700">
        <v>0</v>
      </c>
      <c r="I3700">
        <v>0.1741125760648204</v>
      </c>
      <c r="J3700">
        <v>0</v>
      </c>
      <c r="K3700">
        <v>0</v>
      </c>
      <c r="L3700" s="2">
        <v>0</v>
      </c>
      <c r="M3700">
        <v>39.24</v>
      </c>
      <c r="N3700" t="s">
        <v>10236</v>
      </c>
    </row>
    <row r="3701" spans="1:14">
      <c r="A3701" t="s">
        <v>29</v>
      </c>
      <c r="B3701" t="s">
        <v>3843</v>
      </c>
      <c r="C3701">
        <f>"LS50B"</f>
        <v>0</v>
      </c>
      <c r="D3701">
        <v>0</v>
      </c>
      <c r="E3701">
        <v>0</v>
      </c>
      <c r="F3701" s="2">
        <v>0</v>
      </c>
      <c r="H3701">
        <v>0</v>
      </c>
      <c r="I3701">
        <v>0.1741125760648204</v>
      </c>
      <c r="J3701">
        <v>0</v>
      </c>
      <c r="K3701">
        <v>0</v>
      </c>
      <c r="L3701" s="2">
        <v>0</v>
      </c>
      <c r="M3701">
        <v>39.24</v>
      </c>
      <c r="N3701" t="s">
        <v>10236</v>
      </c>
    </row>
    <row r="3702" spans="1:14">
      <c r="A3702" t="s">
        <v>29</v>
      </c>
      <c r="B3702" t="s">
        <v>3844</v>
      </c>
      <c r="C3702">
        <f>"LS50A"</f>
        <v>0</v>
      </c>
      <c r="D3702">
        <v>0</v>
      </c>
      <c r="E3702">
        <v>0</v>
      </c>
      <c r="F3702" s="2">
        <v>0</v>
      </c>
      <c r="H3702">
        <v>0</v>
      </c>
      <c r="I3702">
        <v>0.1741125760648204</v>
      </c>
      <c r="J3702">
        <v>0</v>
      </c>
      <c r="K3702">
        <v>0</v>
      </c>
      <c r="L3702" s="2">
        <v>0</v>
      </c>
      <c r="M3702">
        <v>39.25</v>
      </c>
      <c r="N3702" t="s">
        <v>10236</v>
      </c>
    </row>
    <row r="3703" spans="1:14">
      <c r="A3703" t="s">
        <v>29</v>
      </c>
      <c r="B3703" t="s">
        <v>3845</v>
      </c>
      <c r="C3703">
        <f>"LS30T"</f>
        <v>0</v>
      </c>
      <c r="D3703">
        <v>0</v>
      </c>
      <c r="E3703">
        <v>0</v>
      </c>
      <c r="F3703" s="2">
        <v>0</v>
      </c>
      <c r="H3703">
        <v>0</v>
      </c>
      <c r="I3703">
        <v>0.1741125760648204</v>
      </c>
      <c r="J3703">
        <v>0</v>
      </c>
      <c r="K3703">
        <v>0</v>
      </c>
      <c r="L3703" s="2">
        <v>0</v>
      </c>
      <c r="M3703">
        <v>39.26</v>
      </c>
      <c r="N3703" t="s">
        <v>10236</v>
      </c>
    </row>
    <row r="3704" spans="1:14">
      <c r="A3704" t="s">
        <v>225</v>
      </c>
      <c r="B3704" t="s">
        <v>3846</v>
      </c>
      <c r="C3704">
        <f>"MTR"</f>
        <v>0</v>
      </c>
      <c r="D3704">
        <v>0</v>
      </c>
      <c r="E3704">
        <v>0</v>
      </c>
      <c r="F3704" s="2">
        <v>0</v>
      </c>
      <c r="H3704">
        <v>0</v>
      </c>
      <c r="I3704">
        <v>0.1741125760648204</v>
      </c>
      <c r="J3704">
        <v>0</v>
      </c>
      <c r="K3704">
        <v>0</v>
      </c>
      <c r="L3704" s="2">
        <v>0</v>
      </c>
      <c r="M3704">
        <v>39.27</v>
      </c>
      <c r="N3704" t="s">
        <v>10236</v>
      </c>
    </row>
    <row r="3705" spans="1:14">
      <c r="A3705" t="s">
        <v>29</v>
      </c>
      <c r="B3705" t="s">
        <v>3847</v>
      </c>
      <c r="C3705">
        <f>"CHJ600"</f>
        <v>0</v>
      </c>
      <c r="D3705">
        <v>0</v>
      </c>
      <c r="E3705">
        <v>0</v>
      </c>
      <c r="F3705" s="2">
        <v>0</v>
      </c>
      <c r="H3705">
        <v>0</v>
      </c>
      <c r="I3705">
        <v>0.1741125760648204</v>
      </c>
      <c r="J3705">
        <v>0</v>
      </c>
      <c r="K3705">
        <v>0</v>
      </c>
      <c r="L3705" s="2">
        <v>0</v>
      </c>
      <c r="M3705">
        <v>39.28</v>
      </c>
      <c r="N3705" t="s">
        <v>10236</v>
      </c>
    </row>
    <row r="3706" spans="1:14">
      <c r="A3706" t="s">
        <v>29</v>
      </c>
      <c r="B3706" t="s">
        <v>3848</v>
      </c>
      <c r="C3706">
        <f>"RS1201"</f>
        <v>0</v>
      </c>
      <c r="D3706">
        <v>0</v>
      </c>
      <c r="E3706">
        <v>0</v>
      </c>
      <c r="F3706" s="2">
        <v>0</v>
      </c>
      <c r="H3706">
        <v>0</v>
      </c>
      <c r="I3706">
        <v>0.1741125760648204</v>
      </c>
      <c r="J3706">
        <v>0</v>
      </c>
      <c r="K3706">
        <v>0</v>
      </c>
      <c r="L3706" s="2">
        <v>0</v>
      </c>
      <c r="M3706">
        <v>39.29</v>
      </c>
      <c r="N3706" t="s">
        <v>10236</v>
      </c>
    </row>
    <row r="3707" spans="1:14">
      <c r="A3707" t="s">
        <v>29</v>
      </c>
      <c r="B3707" t="s">
        <v>3849</v>
      </c>
      <c r="C3707">
        <f>"RS4100A"</f>
        <v>0</v>
      </c>
      <c r="D3707">
        <v>0</v>
      </c>
      <c r="E3707">
        <v>0</v>
      </c>
      <c r="F3707" s="2">
        <v>0</v>
      </c>
      <c r="H3707">
        <v>0</v>
      </c>
      <c r="I3707">
        <v>0.1741125760648204</v>
      </c>
      <c r="J3707">
        <v>0</v>
      </c>
      <c r="K3707">
        <v>0</v>
      </c>
      <c r="L3707" s="2">
        <v>0</v>
      </c>
      <c r="M3707">
        <v>39.3</v>
      </c>
      <c r="N3707" t="s">
        <v>10236</v>
      </c>
    </row>
    <row r="3708" spans="1:14">
      <c r="A3708" t="s">
        <v>29</v>
      </c>
      <c r="B3708" t="s">
        <v>3850</v>
      </c>
      <c r="C3708">
        <f>"RS5100"</f>
        <v>0</v>
      </c>
      <c r="D3708">
        <v>0</v>
      </c>
      <c r="E3708">
        <v>0</v>
      </c>
      <c r="F3708" s="2">
        <v>0</v>
      </c>
      <c r="H3708">
        <v>0</v>
      </c>
      <c r="I3708">
        <v>0.1741125760648204</v>
      </c>
      <c r="J3708">
        <v>0</v>
      </c>
      <c r="K3708">
        <v>0</v>
      </c>
      <c r="L3708" s="2">
        <v>0</v>
      </c>
      <c r="M3708">
        <v>39.31</v>
      </c>
      <c r="N3708" t="s">
        <v>10236</v>
      </c>
    </row>
    <row r="3709" spans="1:14">
      <c r="A3709" t="s">
        <v>29</v>
      </c>
      <c r="B3709" t="s">
        <v>3851</v>
      </c>
      <c r="C3709">
        <f>"JEP1500"</f>
        <v>0</v>
      </c>
      <c r="D3709">
        <v>0</v>
      </c>
      <c r="E3709">
        <v>1</v>
      </c>
      <c r="F3709" s="2">
        <v>66</v>
      </c>
      <c r="H3709">
        <v>0</v>
      </c>
      <c r="I3709">
        <v>0.1741125760648204</v>
      </c>
      <c r="J3709">
        <v>0</v>
      </c>
      <c r="K3709">
        <v>0</v>
      </c>
      <c r="L3709" s="2">
        <v>0</v>
      </c>
      <c r="M3709">
        <v>39.32</v>
      </c>
      <c r="N3709" t="s">
        <v>10236</v>
      </c>
    </row>
    <row r="3710" spans="1:14">
      <c r="A3710" t="s">
        <v>35</v>
      </c>
      <c r="B3710" t="s">
        <v>3852</v>
      </c>
      <c r="C3710">
        <f>"PD50021"</f>
        <v>0</v>
      </c>
      <c r="D3710">
        <v>0</v>
      </c>
      <c r="E3710">
        <v>4</v>
      </c>
      <c r="F3710" s="2">
        <v>9</v>
      </c>
      <c r="H3710">
        <v>0</v>
      </c>
      <c r="I3710">
        <v>0.1741125760648204</v>
      </c>
      <c r="J3710">
        <v>0</v>
      </c>
      <c r="K3710">
        <v>0</v>
      </c>
      <c r="L3710" s="2">
        <v>0</v>
      </c>
      <c r="M3710">
        <v>39.33</v>
      </c>
      <c r="N3710" t="s">
        <v>10236</v>
      </c>
    </row>
    <row r="3711" spans="1:14">
      <c r="A3711" t="s">
        <v>35</v>
      </c>
      <c r="B3711" t="s">
        <v>3853</v>
      </c>
      <c r="C3711">
        <f>"LYC090425L"</f>
        <v>0</v>
      </c>
      <c r="D3711">
        <v>0</v>
      </c>
      <c r="E3711">
        <v>0</v>
      </c>
      <c r="F3711" s="2">
        <v>0</v>
      </c>
      <c r="H3711">
        <v>0</v>
      </c>
      <c r="I3711">
        <v>0.1741125760648204</v>
      </c>
      <c r="J3711">
        <v>0</v>
      </c>
      <c r="K3711">
        <v>0</v>
      </c>
      <c r="L3711" s="2">
        <v>0</v>
      </c>
      <c r="M3711">
        <v>39.34</v>
      </c>
      <c r="N3711" t="s">
        <v>10236</v>
      </c>
    </row>
    <row r="3712" spans="1:14">
      <c r="A3712" t="s">
        <v>29</v>
      </c>
      <c r="B3712" t="s">
        <v>3854</v>
      </c>
      <c r="C3712">
        <f>"DR082Y"</f>
        <v>0</v>
      </c>
      <c r="D3712">
        <v>0</v>
      </c>
      <c r="E3712">
        <v>0</v>
      </c>
      <c r="F3712" s="2">
        <v>0</v>
      </c>
      <c r="H3712">
        <v>0</v>
      </c>
      <c r="I3712">
        <v>0.1741125760648204</v>
      </c>
      <c r="J3712">
        <v>0</v>
      </c>
      <c r="K3712">
        <v>0</v>
      </c>
      <c r="L3712" s="2">
        <v>0</v>
      </c>
      <c r="M3712">
        <v>39.35</v>
      </c>
      <c r="N3712" t="s">
        <v>10236</v>
      </c>
    </row>
    <row r="3713" spans="1:14">
      <c r="A3713" t="s">
        <v>29</v>
      </c>
      <c r="B3713" t="s">
        <v>3854</v>
      </c>
      <c r="C3713">
        <f>"DR081Y"</f>
        <v>0</v>
      </c>
      <c r="D3713">
        <v>0</v>
      </c>
      <c r="E3713">
        <v>0</v>
      </c>
      <c r="F3713" s="2">
        <v>0</v>
      </c>
      <c r="H3713">
        <v>0</v>
      </c>
      <c r="I3713">
        <v>0.1741125760648204</v>
      </c>
      <c r="J3713">
        <v>0</v>
      </c>
      <c r="K3713">
        <v>0</v>
      </c>
      <c r="L3713" s="2">
        <v>0</v>
      </c>
      <c r="M3713">
        <v>39.35</v>
      </c>
      <c r="N3713" t="s">
        <v>10236</v>
      </c>
    </row>
    <row r="3714" spans="1:14">
      <c r="A3714" t="s">
        <v>29</v>
      </c>
      <c r="B3714" t="s">
        <v>3833</v>
      </c>
      <c r="C3714">
        <f>"DR08003B"</f>
        <v>0</v>
      </c>
      <c r="D3714">
        <v>0</v>
      </c>
      <c r="E3714">
        <v>0</v>
      </c>
      <c r="F3714" s="2">
        <v>0</v>
      </c>
      <c r="H3714">
        <v>0</v>
      </c>
      <c r="I3714">
        <v>0.1741125760648204</v>
      </c>
      <c r="J3714">
        <v>0</v>
      </c>
      <c r="K3714">
        <v>0</v>
      </c>
      <c r="L3714" s="2">
        <v>0</v>
      </c>
      <c r="M3714">
        <v>39.36</v>
      </c>
      <c r="N3714" t="s">
        <v>10236</v>
      </c>
    </row>
    <row r="3715" spans="1:14">
      <c r="A3715" t="s">
        <v>35</v>
      </c>
      <c r="B3715" t="s">
        <v>3855</v>
      </c>
      <c r="C3715">
        <f>"RJ504"</f>
        <v>0</v>
      </c>
      <c r="D3715">
        <v>0</v>
      </c>
      <c r="E3715">
        <v>0</v>
      </c>
      <c r="F3715" s="2">
        <v>0</v>
      </c>
      <c r="H3715">
        <v>0</v>
      </c>
      <c r="I3715">
        <v>0.1741125760648204</v>
      </c>
      <c r="J3715">
        <v>0</v>
      </c>
      <c r="K3715">
        <v>0</v>
      </c>
      <c r="L3715" s="2">
        <v>0</v>
      </c>
      <c r="M3715">
        <v>39.37</v>
      </c>
      <c r="N3715" t="s">
        <v>10236</v>
      </c>
    </row>
    <row r="3716" spans="1:14">
      <c r="A3716" t="s">
        <v>205</v>
      </c>
      <c r="B3716" t="s">
        <v>3856</v>
      </c>
      <c r="C3716">
        <f>"DG083M"</f>
        <v>0</v>
      </c>
      <c r="D3716">
        <v>0</v>
      </c>
      <c r="E3716">
        <v>0</v>
      </c>
      <c r="F3716" s="2">
        <v>0</v>
      </c>
      <c r="H3716">
        <v>0</v>
      </c>
      <c r="I3716">
        <v>0.1741125760648204</v>
      </c>
      <c r="J3716">
        <v>0</v>
      </c>
      <c r="K3716">
        <v>0</v>
      </c>
      <c r="L3716" s="2">
        <v>0</v>
      </c>
      <c r="M3716">
        <v>39.38</v>
      </c>
      <c r="N3716" t="s">
        <v>10236</v>
      </c>
    </row>
    <row r="3717" spans="1:14">
      <c r="A3717" t="s">
        <v>205</v>
      </c>
      <c r="B3717" t="s">
        <v>3857</v>
      </c>
      <c r="C3717">
        <f>"DG083S"</f>
        <v>0</v>
      </c>
      <c r="D3717">
        <v>0</v>
      </c>
      <c r="E3717">
        <v>0</v>
      </c>
      <c r="F3717" s="2">
        <v>0</v>
      </c>
      <c r="H3717">
        <v>0</v>
      </c>
      <c r="I3717">
        <v>0.1741125760648204</v>
      </c>
      <c r="J3717">
        <v>0</v>
      </c>
      <c r="K3717">
        <v>0</v>
      </c>
      <c r="L3717" s="2">
        <v>0</v>
      </c>
      <c r="M3717">
        <v>39.39</v>
      </c>
      <c r="N3717" t="s">
        <v>10236</v>
      </c>
    </row>
    <row r="3718" spans="1:14">
      <c r="A3718" t="s">
        <v>29</v>
      </c>
      <c r="B3718" t="s">
        <v>3858</v>
      </c>
      <c r="C3718">
        <f>"200M"</f>
        <v>0</v>
      </c>
      <c r="D3718">
        <v>0</v>
      </c>
      <c r="E3718">
        <v>65</v>
      </c>
      <c r="F3718" s="2">
        <v>0</v>
      </c>
      <c r="H3718">
        <v>0</v>
      </c>
      <c r="I3718">
        <v>0.1741125760648204</v>
      </c>
      <c r="J3718">
        <v>0</v>
      </c>
      <c r="K3718">
        <v>0</v>
      </c>
      <c r="L3718" s="2">
        <v>0</v>
      </c>
      <c r="M3718">
        <v>39.4</v>
      </c>
      <c r="N3718" t="s">
        <v>10236</v>
      </c>
    </row>
    <row r="3719" spans="1:14">
      <c r="A3719" t="s">
        <v>35</v>
      </c>
      <c r="B3719" t="s">
        <v>3859</v>
      </c>
      <c r="C3719">
        <f>"8625"</f>
        <v>0</v>
      </c>
      <c r="D3719">
        <v>0</v>
      </c>
      <c r="E3719">
        <v>1</v>
      </c>
      <c r="F3719" s="2">
        <v>2</v>
      </c>
      <c r="H3719">
        <v>0</v>
      </c>
      <c r="I3719">
        <v>0.1741125760648204</v>
      </c>
      <c r="J3719">
        <v>0</v>
      </c>
      <c r="K3719">
        <v>0</v>
      </c>
      <c r="L3719" s="2">
        <v>0</v>
      </c>
      <c r="M3719">
        <v>39.41</v>
      </c>
      <c r="N3719" t="s">
        <v>10236</v>
      </c>
    </row>
    <row r="3720" spans="1:14">
      <c r="A3720" t="s">
        <v>29</v>
      </c>
      <c r="B3720" t="s">
        <v>3860</v>
      </c>
      <c r="C3720">
        <f>"ACO2"</f>
        <v>0</v>
      </c>
      <c r="D3720">
        <v>0</v>
      </c>
      <c r="E3720">
        <v>0</v>
      </c>
      <c r="F3720" s="2">
        <v>0</v>
      </c>
      <c r="H3720">
        <v>0</v>
      </c>
      <c r="I3720">
        <v>0.1741125760648204</v>
      </c>
      <c r="J3720">
        <v>0</v>
      </c>
      <c r="K3720">
        <v>0</v>
      </c>
      <c r="L3720" s="2">
        <v>0</v>
      </c>
      <c r="M3720">
        <v>39.42</v>
      </c>
      <c r="N3720" t="s">
        <v>10236</v>
      </c>
    </row>
    <row r="3721" spans="1:14">
      <c r="A3721" t="s">
        <v>29</v>
      </c>
      <c r="B3721" t="s">
        <v>3861</v>
      </c>
      <c r="C3721">
        <f>"ACO1"</f>
        <v>0</v>
      </c>
      <c r="D3721">
        <v>0</v>
      </c>
      <c r="E3721">
        <v>0</v>
      </c>
      <c r="F3721" s="2">
        <v>0</v>
      </c>
      <c r="H3721">
        <v>0</v>
      </c>
      <c r="I3721">
        <v>0.1741125760648204</v>
      </c>
      <c r="J3721">
        <v>0</v>
      </c>
      <c r="K3721">
        <v>0</v>
      </c>
      <c r="L3721" s="2">
        <v>0</v>
      </c>
      <c r="M3721">
        <v>39.43</v>
      </c>
      <c r="N3721" t="s">
        <v>10236</v>
      </c>
    </row>
    <row r="3722" spans="1:14">
      <c r="A3722" t="s">
        <v>218</v>
      </c>
      <c r="B3722" t="s">
        <v>3862</v>
      </c>
      <c r="C3722">
        <f>"inscls0006"</f>
        <v>0</v>
      </c>
      <c r="D3722">
        <v>0</v>
      </c>
      <c r="E3722">
        <v>0</v>
      </c>
      <c r="F3722" s="2">
        <v>0</v>
      </c>
      <c r="H3722">
        <v>0</v>
      </c>
      <c r="I3722">
        <v>0.1741125760648204</v>
      </c>
      <c r="J3722">
        <v>0</v>
      </c>
      <c r="K3722">
        <v>0</v>
      </c>
      <c r="L3722" s="2">
        <v>0</v>
      </c>
      <c r="M3722">
        <v>39.44</v>
      </c>
      <c r="N3722" t="s">
        <v>10236</v>
      </c>
    </row>
    <row r="3723" spans="1:14">
      <c r="A3723" t="s">
        <v>193</v>
      </c>
      <c r="B3723" t="s">
        <v>3863</v>
      </c>
      <c r="C3723">
        <f>"2GA32312"</f>
        <v>0</v>
      </c>
      <c r="D3723">
        <v>0</v>
      </c>
      <c r="E3723">
        <v>0</v>
      </c>
      <c r="F3723" s="2">
        <v>0</v>
      </c>
      <c r="H3723">
        <v>0</v>
      </c>
      <c r="I3723">
        <v>0.1741125760648204</v>
      </c>
      <c r="J3723">
        <v>0</v>
      </c>
      <c r="K3723">
        <v>0</v>
      </c>
      <c r="L3723" s="2">
        <v>0</v>
      </c>
      <c r="M3723">
        <v>39.45</v>
      </c>
      <c r="N3723" t="s">
        <v>10236</v>
      </c>
    </row>
    <row r="3724" spans="1:14">
      <c r="A3724" t="s">
        <v>193</v>
      </c>
      <c r="B3724" t="s">
        <v>3864</v>
      </c>
      <c r="C3724">
        <f>"564943A"</f>
        <v>0</v>
      </c>
      <c r="D3724">
        <v>0</v>
      </c>
      <c r="E3724">
        <v>0</v>
      </c>
      <c r="F3724" s="2">
        <v>0</v>
      </c>
      <c r="H3724">
        <v>0</v>
      </c>
      <c r="I3724">
        <v>0.1741125760648204</v>
      </c>
      <c r="J3724">
        <v>0</v>
      </c>
      <c r="K3724">
        <v>0</v>
      </c>
      <c r="L3724" s="2">
        <v>0</v>
      </c>
      <c r="M3724">
        <v>39.46</v>
      </c>
      <c r="N3724" t="s">
        <v>10236</v>
      </c>
    </row>
    <row r="3725" spans="1:14">
      <c r="A3725" t="s">
        <v>193</v>
      </c>
      <c r="B3725" t="s">
        <v>3865</v>
      </c>
      <c r="C3725">
        <f>"2GA320"</f>
        <v>0</v>
      </c>
      <c r="D3725">
        <v>0</v>
      </c>
      <c r="E3725">
        <v>0</v>
      </c>
      <c r="F3725" s="2">
        <v>0</v>
      </c>
      <c r="H3725">
        <v>0</v>
      </c>
      <c r="I3725">
        <v>0.1741125760648204</v>
      </c>
      <c r="J3725">
        <v>0</v>
      </c>
      <c r="K3725">
        <v>0</v>
      </c>
      <c r="L3725" s="2">
        <v>0</v>
      </c>
      <c r="M3725">
        <v>39.47</v>
      </c>
      <c r="N3725" t="s">
        <v>10236</v>
      </c>
    </row>
    <row r="3726" spans="1:14">
      <c r="A3726" t="s">
        <v>35</v>
      </c>
      <c r="B3726" t="s">
        <v>3866</v>
      </c>
      <c r="C3726">
        <f>"LS144ROS"</f>
        <v>0</v>
      </c>
      <c r="D3726">
        <v>0</v>
      </c>
      <c r="E3726">
        <v>0</v>
      </c>
      <c r="F3726" s="2">
        <v>0</v>
      </c>
      <c r="H3726">
        <v>0</v>
      </c>
      <c r="I3726">
        <v>0.1741125760648204</v>
      </c>
      <c r="J3726">
        <v>0</v>
      </c>
      <c r="K3726">
        <v>0</v>
      </c>
      <c r="L3726" s="2">
        <v>0</v>
      </c>
      <c r="M3726">
        <v>39.47</v>
      </c>
      <c r="N3726" t="s">
        <v>10236</v>
      </c>
    </row>
    <row r="3727" spans="1:14">
      <c r="A3727" t="s">
        <v>35</v>
      </c>
      <c r="B3727" t="s">
        <v>3867</v>
      </c>
      <c r="C3727">
        <f>"LS144"</f>
        <v>0</v>
      </c>
      <c r="D3727">
        <v>0</v>
      </c>
      <c r="E3727">
        <v>0</v>
      </c>
      <c r="F3727" s="2">
        <v>0</v>
      </c>
      <c r="H3727">
        <v>0</v>
      </c>
      <c r="I3727">
        <v>0.1741125760648204</v>
      </c>
      <c r="J3727">
        <v>0</v>
      </c>
      <c r="K3727">
        <v>0</v>
      </c>
      <c r="L3727" s="2">
        <v>0</v>
      </c>
      <c r="M3727">
        <v>39.48</v>
      </c>
      <c r="N3727" t="s">
        <v>10236</v>
      </c>
    </row>
    <row r="3728" spans="1:14">
      <c r="A3728" t="s">
        <v>35</v>
      </c>
      <c r="B3728" t="s">
        <v>3868</v>
      </c>
      <c r="C3728">
        <f>"LS143VE"</f>
        <v>0</v>
      </c>
      <c r="D3728">
        <v>0</v>
      </c>
      <c r="E3728">
        <v>1</v>
      </c>
      <c r="F3728" s="2">
        <v>1</v>
      </c>
      <c r="H3728">
        <v>0</v>
      </c>
      <c r="I3728">
        <v>0.1741125760648204</v>
      </c>
      <c r="J3728">
        <v>0</v>
      </c>
      <c r="K3728">
        <v>0</v>
      </c>
      <c r="L3728" s="2">
        <v>0</v>
      </c>
      <c r="M3728">
        <v>39.49</v>
      </c>
      <c r="N3728" t="s">
        <v>10236</v>
      </c>
    </row>
    <row r="3729" spans="1:14">
      <c r="A3729" t="s">
        <v>35</v>
      </c>
      <c r="B3729" t="s">
        <v>3869</v>
      </c>
      <c r="C3729">
        <f>"LS143AM"</f>
        <v>0</v>
      </c>
      <c r="D3729">
        <v>0</v>
      </c>
      <c r="E3729">
        <v>1</v>
      </c>
      <c r="F3729" s="2">
        <v>1</v>
      </c>
      <c r="H3729">
        <v>0</v>
      </c>
      <c r="I3729">
        <v>0.1741125760648204</v>
      </c>
      <c r="J3729">
        <v>0</v>
      </c>
      <c r="K3729">
        <v>0</v>
      </c>
      <c r="L3729" s="2">
        <v>0</v>
      </c>
      <c r="M3729">
        <v>39.5</v>
      </c>
      <c r="N3729" t="s">
        <v>10236</v>
      </c>
    </row>
    <row r="3730" spans="1:14">
      <c r="A3730" t="s">
        <v>35</v>
      </c>
      <c r="B3730" t="s">
        <v>3870</v>
      </c>
      <c r="C3730">
        <f>"LS143"</f>
        <v>0</v>
      </c>
      <c r="D3730">
        <v>0</v>
      </c>
      <c r="E3730">
        <v>0</v>
      </c>
      <c r="F3730" s="2">
        <v>0</v>
      </c>
      <c r="H3730">
        <v>0</v>
      </c>
      <c r="I3730">
        <v>0.1741125760648204</v>
      </c>
      <c r="J3730">
        <v>0</v>
      </c>
      <c r="K3730">
        <v>0</v>
      </c>
      <c r="L3730" s="2">
        <v>0</v>
      </c>
      <c r="M3730">
        <v>39.51</v>
      </c>
      <c r="N3730" t="s">
        <v>10236</v>
      </c>
    </row>
    <row r="3731" spans="1:14">
      <c r="A3731" t="s">
        <v>223</v>
      </c>
      <c r="B3731" t="s">
        <v>3871</v>
      </c>
      <c r="C3731">
        <f>"5501904"</f>
        <v>0</v>
      </c>
      <c r="D3731">
        <v>0</v>
      </c>
      <c r="E3731">
        <v>0</v>
      </c>
      <c r="F3731" s="2">
        <v>0</v>
      </c>
      <c r="H3731">
        <v>0</v>
      </c>
      <c r="I3731">
        <v>0.1741125760648204</v>
      </c>
      <c r="J3731">
        <v>0</v>
      </c>
      <c r="K3731">
        <v>0</v>
      </c>
      <c r="L3731" s="2">
        <v>0</v>
      </c>
      <c r="M3731">
        <v>39.52</v>
      </c>
      <c r="N3731" t="s">
        <v>10236</v>
      </c>
    </row>
    <row r="3732" spans="1:14">
      <c r="A3732" t="s">
        <v>25</v>
      </c>
      <c r="B3732" t="s">
        <v>3872</v>
      </c>
      <c r="C3732">
        <f>"SP001M"</f>
        <v>0</v>
      </c>
      <c r="D3732">
        <v>0</v>
      </c>
      <c r="E3732">
        <v>2</v>
      </c>
      <c r="F3732" s="2">
        <v>3</v>
      </c>
      <c r="H3732">
        <v>0</v>
      </c>
      <c r="I3732">
        <v>0.1741125760648204</v>
      </c>
      <c r="J3732">
        <v>0</v>
      </c>
      <c r="K3732">
        <v>0</v>
      </c>
      <c r="L3732" s="2">
        <v>0</v>
      </c>
      <c r="M3732">
        <v>39.53</v>
      </c>
      <c r="N3732" t="s">
        <v>10236</v>
      </c>
    </row>
    <row r="3733" spans="1:14">
      <c r="A3733" t="s">
        <v>213</v>
      </c>
      <c r="B3733" t="s">
        <v>3873</v>
      </c>
      <c r="C3733">
        <f>"500614"</f>
        <v>0</v>
      </c>
      <c r="D3733">
        <v>0</v>
      </c>
      <c r="E3733">
        <v>2</v>
      </c>
      <c r="F3733" s="2">
        <v>12</v>
      </c>
      <c r="H3733">
        <v>0</v>
      </c>
      <c r="I3733">
        <v>0.1741125760648204</v>
      </c>
      <c r="J3733">
        <v>0</v>
      </c>
      <c r="K3733">
        <v>0</v>
      </c>
      <c r="L3733" s="2">
        <v>0</v>
      </c>
      <c r="M3733">
        <v>39.54</v>
      </c>
      <c r="N3733" t="s">
        <v>10236</v>
      </c>
    </row>
    <row r="3734" spans="1:14">
      <c r="A3734" t="s">
        <v>35</v>
      </c>
      <c r="B3734" t="s">
        <v>3874</v>
      </c>
      <c r="C3734">
        <f>"WIN101"</f>
        <v>0</v>
      </c>
      <c r="D3734">
        <v>0</v>
      </c>
      <c r="E3734">
        <v>18</v>
      </c>
      <c r="F3734" s="2">
        <v>2</v>
      </c>
      <c r="H3734">
        <v>0</v>
      </c>
      <c r="I3734">
        <v>0.1741125760648204</v>
      </c>
      <c r="J3734">
        <v>0</v>
      </c>
      <c r="K3734">
        <v>0</v>
      </c>
      <c r="L3734" s="2">
        <v>0</v>
      </c>
      <c r="M3734">
        <v>39.55</v>
      </c>
      <c r="N3734" t="s">
        <v>10236</v>
      </c>
    </row>
    <row r="3735" spans="1:14">
      <c r="A3735" t="s">
        <v>29</v>
      </c>
      <c r="B3735" t="s">
        <v>3875</v>
      </c>
      <c r="C3735">
        <f>"ACO3"</f>
        <v>0</v>
      </c>
      <c r="D3735">
        <v>0</v>
      </c>
      <c r="E3735">
        <v>0</v>
      </c>
      <c r="F3735" s="2">
        <v>0</v>
      </c>
      <c r="H3735">
        <v>0</v>
      </c>
      <c r="I3735">
        <v>0.1741125760648204</v>
      </c>
      <c r="J3735">
        <v>0</v>
      </c>
      <c r="K3735">
        <v>0</v>
      </c>
      <c r="L3735" s="2">
        <v>0</v>
      </c>
      <c r="M3735">
        <v>39.56</v>
      </c>
      <c r="N3735" t="s">
        <v>10236</v>
      </c>
    </row>
    <row r="3736" spans="1:14">
      <c r="A3736" t="s">
        <v>29</v>
      </c>
      <c r="B3736" t="s">
        <v>3876</v>
      </c>
      <c r="C3736">
        <f>"MCA60"</f>
        <v>0</v>
      </c>
      <c r="D3736">
        <v>0</v>
      </c>
      <c r="E3736">
        <v>21</v>
      </c>
      <c r="F3736" s="2">
        <v>1</v>
      </c>
      <c r="H3736">
        <v>0</v>
      </c>
      <c r="I3736">
        <v>0.1741125760648204</v>
      </c>
      <c r="J3736">
        <v>0</v>
      </c>
      <c r="K3736">
        <v>0</v>
      </c>
      <c r="L3736" s="2">
        <v>0</v>
      </c>
      <c r="M3736">
        <v>39.57</v>
      </c>
      <c r="N3736" t="s">
        <v>10236</v>
      </c>
    </row>
    <row r="3737" spans="1:14">
      <c r="A3737" t="s">
        <v>29</v>
      </c>
      <c r="B3737" t="s">
        <v>3877</v>
      </c>
      <c r="C3737">
        <f>"MCA50"</f>
        <v>0</v>
      </c>
      <c r="D3737">
        <v>0</v>
      </c>
      <c r="E3737">
        <v>5</v>
      </c>
      <c r="F3737" s="2">
        <v>1</v>
      </c>
      <c r="H3737">
        <v>0</v>
      </c>
      <c r="I3737">
        <v>0.1741125760648204</v>
      </c>
      <c r="J3737">
        <v>0</v>
      </c>
      <c r="K3737">
        <v>0</v>
      </c>
      <c r="L3737" s="2">
        <v>0</v>
      </c>
      <c r="M3737">
        <v>39.58</v>
      </c>
      <c r="N3737" t="s">
        <v>10236</v>
      </c>
    </row>
    <row r="3738" spans="1:14">
      <c r="A3738" t="s">
        <v>29</v>
      </c>
      <c r="B3738" t="s">
        <v>3878</v>
      </c>
      <c r="C3738">
        <f>"MCA40"</f>
        <v>0</v>
      </c>
      <c r="D3738">
        <v>0</v>
      </c>
      <c r="E3738">
        <v>18</v>
      </c>
      <c r="F3738" s="2">
        <v>1</v>
      </c>
      <c r="H3738">
        <v>0</v>
      </c>
      <c r="I3738">
        <v>0.1741125760648204</v>
      </c>
      <c r="J3738">
        <v>0</v>
      </c>
      <c r="K3738">
        <v>0</v>
      </c>
      <c r="L3738" s="2">
        <v>0</v>
      </c>
      <c r="M3738">
        <v>39.59</v>
      </c>
      <c r="N3738" t="s">
        <v>10236</v>
      </c>
    </row>
    <row r="3739" spans="1:14">
      <c r="A3739" t="s">
        <v>29</v>
      </c>
      <c r="B3739" t="s">
        <v>3879</v>
      </c>
      <c r="C3739">
        <f>"MCA100"</f>
        <v>0</v>
      </c>
      <c r="D3739">
        <v>0</v>
      </c>
      <c r="E3739">
        <v>23</v>
      </c>
      <c r="F3739" s="2">
        <v>1</v>
      </c>
      <c r="H3739">
        <v>0</v>
      </c>
      <c r="I3739">
        <v>0.1741125760648204</v>
      </c>
      <c r="J3739">
        <v>0</v>
      </c>
      <c r="K3739">
        <v>0</v>
      </c>
      <c r="L3739" s="2">
        <v>0</v>
      </c>
      <c r="M3739">
        <v>39.59</v>
      </c>
      <c r="N3739" t="s">
        <v>10236</v>
      </c>
    </row>
    <row r="3740" spans="1:14">
      <c r="A3740" t="s">
        <v>29</v>
      </c>
      <c r="B3740" t="s">
        <v>3880</v>
      </c>
      <c r="C3740">
        <f>"BT111"</f>
        <v>0</v>
      </c>
      <c r="D3740">
        <v>0</v>
      </c>
      <c r="E3740">
        <v>0</v>
      </c>
      <c r="F3740" s="2">
        <v>0</v>
      </c>
      <c r="H3740">
        <v>0</v>
      </c>
      <c r="I3740">
        <v>0.1741125760648204</v>
      </c>
      <c r="J3740">
        <v>0</v>
      </c>
      <c r="K3740">
        <v>0</v>
      </c>
      <c r="L3740" s="2">
        <v>0</v>
      </c>
      <c r="M3740">
        <v>39.6</v>
      </c>
      <c r="N3740" t="s">
        <v>10236</v>
      </c>
    </row>
    <row r="3741" spans="1:14">
      <c r="A3741" t="s">
        <v>29</v>
      </c>
      <c r="B3741" t="s">
        <v>3881</v>
      </c>
      <c r="C3741">
        <f>"ATS320"</f>
        <v>0</v>
      </c>
      <c r="D3741">
        <v>0</v>
      </c>
      <c r="E3741">
        <v>0</v>
      </c>
      <c r="F3741" s="2">
        <v>0</v>
      </c>
      <c r="H3741">
        <v>0</v>
      </c>
      <c r="I3741">
        <v>0.1741125760648204</v>
      </c>
      <c r="J3741">
        <v>0</v>
      </c>
      <c r="K3741">
        <v>0</v>
      </c>
      <c r="L3741" s="2">
        <v>0</v>
      </c>
      <c r="M3741">
        <v>39.61</v>
      </c>
      <c r="N3741" t="s">
        <v>10236</v>
      </c>
    </row>
    <row r="3742" spans="1:14">
      <c r="A3742" t="s">
        <v>195</v>
      </c>
      <c r="B3742" t="s">
        <v>3882</v>
      </c>
      <c r="C3742">
        <f>"25395699"</f>
        <v>0</v>
      </c>
      <c r="D3742">
        <v>0</v>
      </c>
      <c r="E3742">
        <v>0</v>
      </c>
      <c r="F3742" s="2">
        <v>0</v>
      </c>
      <c r="H3742">
        <v>0</v>
      </c>
      <c r="I3742">
        <v>0.1741125760648204</v>
      </c>
      <c r="J3742">
        <v>0</v>
      </c>
      <c r="K3742">
        <v>0</v>
      </c>
      <c r="L3742" s="2">
        <v>0</v>
      </c>
      <c r="M3742">
        <v>39.62</v>
      </c>
      <c r="N3742" t="s">
        <v>10236</v>
      </c>
    </row>
    <row r="3743" spans="1:14">
      <c r="A3743" t="s">
        <v>195</v>
      </c>
      <c r="B3743" t="s">
        <v>3883</v>
      </c>
      <c r="C3743">
        <f>"25395805"</f>
        <v>0</v>
      </c>
      <c r="D3743">
        <v>0</v>
      </c>
      <c r="E3743">
        <v>0</v>
      </c>
      <c r="F3743" s="2">
        <v>0</v>
      </c>
      <c r="H3743">
        <v>0</v>
      </c>
      <c r="I3743">
        <v>0.1741125760648204</v>
      </c>
      <c r="J3743">
        <v>0</v>
      </c>
      <c r="K3743">
        <v>0</v>
      </c>
      <c r="L3743" s="2">
        <v>0</v>
      </c>
      <c r="M3743">
        <v>39.63</v>
      </c>
      <c r="N3743" t="s">
        <v>10236</v>
      </c>
    </row>
    <row r="3744" spans="1:14">
      <c r="A3744" t="s">
        <v>195</v>
      </c>
      <c r="B3744" t="s">
        <v>3884</v>
      </c>
      <c r="C3744">
        <f>"25395776"</f>
        <v>0</v>
      </c>
      <c r="D3744">
        <v>0</v>
      </c>
      <c r="E3744">
        <v>0</v>
      </c>
      <c r="F3744" s="2">
        <v>0</v>
      </c>
      <c r="H3744">
        <v>0</v>
      </c>
      <c r="I3744">
        <v>0.1741125760648204</v>
      </c>
      <c r="J3744">
        <v>0</v>
      </c>
      <c r="K3744">
        <v>0</v>
      </c>
      <c r="L3744" s="2">
        <v>0</v>
      </c>
      <c r="M3744">
        <v>39.64</v>
      </c>
      <c r="N3744" t="s">
        <v>10236</v>
      </c>
    </row>
    <row r="3745" spans="1:14">
      <c r="A3745" t="s">
        <v>195</v>
      </c>
      <c r="B3745" t="s">
        <v>3885</v>
      </c>
      <c r="C3745">
        <f>"25395777"</f>
        <v>0</v>
      </c>
      <c r="D3745">
        <v>0</v>
      </c>
      <c r="E3745">
        <v>0</v>
      </c>
      <c r="F3745" s="2">
        <v>0</v>
      </c>
      <c r="H3745">
        <v>0</v>
      </c>
      <c r="I3745">
        <v>0.1741125760648204</v>
      </c>
      <c r="J3745">
        <v>0</v>
      </c>
      <c r="K3745">
        <v>0</v>
      </c>
      <c r="L3745" s="2">
        <v>0</v>
      </c>
      <c r="M3745">
        <v>39.65</v>
      </c>
      <c r="N3745" t="s">
        <v>10236</v>
      </c>
    </row>
    <row r="3746" spans="1:14">
      <c r="A3746" t="s">
        <v>195</v>
      </c>
      <c r="B3746" t="s">
        <v>3886</v>
      </c>
      <c r="C3746">
        <f>"25395778"</f>
        <v>0</v>
      </c>
      <c r="D3746">
        <v>0</v>
      </c>
      <c r="E3746">
        <v>0</v>
      </c>
      <c r="F3746" s="2">
        <v>0</v>
      </c>
      <c r="H3746">
        <v>0</v>
      </c>
      <c r="I3746">
        <v>0.1741125760648204</v>
      </c>
      <c r="J3746">
        <v>0</v>
      </c>
      <c r="K3746">
        <v>0</v>
      </c>
      <c r="L3746" s="2">
        <v>0</v>
      </c>
      <c r="M3746">
        <v>39.66</v>
      </c>
      <c r="N3746" t="s">
        <v>10236</v>
      </c>
    </row>
    <row r="3747" spans="1:14">
      <c r="A3747" t="s">
        <v>195</v>
      </c>
      <c r="B3747" t="s">
        <v>3887</v>
      </c>
      <c r="C3747">
        <f>"25395775"</f>
        <v>0</v>
      </c>
      <c r="D3747">
        <v>0</v>
      </c>
      <c r="E3747">
        <v>0</v>
      </c>
      <c r="F3747" s="2">
        <v>0</v>
      </c>
      <c r="H3747">
        <v>0</v>
      </c>
      <c r="I3747">
        <v>0.1741125760648204</v>
      </c>
      <c r="J3747">
        <v>0</v>
      </c>
      <c r="K3747">
        <v>0</v>
      </c>
      <c r="L3747" s="2">
        <v>0</v>
      </c>
      <c r="M3747">
        <v>39.67</v>
      </c>
      <c r="N3747" t="s">
        <v>10236</v>
      </c>
    </row>
    <row r="3748" spans="1:14">
      <c r="A3748" t="s">
        <v>223</v>
      </c>
      <c r="B3748" t="s">
        <v>3888</v>
      </c>
      <c r="C3748">
        <f>"ROYAL1"</f>
        <v>0</v>
      </c>
      <c r="D3748">
        <v>0</v>
      </c>
      <c r="E3748">
        <v>0</v>
      </c>
      <c r="F3748" s="2">
        <v>0</v>
      </c>
      <c r="H3748">
        <v>0</v>
      </c>
      <c r="I3748">
        <v>0.1741125760648204</v>
      </c>
      <c r="J3748">
        <v>0</v>
      </c>
      <c r="K3748">
        <v>0</v>
      </c>
      <c r="L3748" s="2">
        <v>0</v>
      </c>
      <c r="M3748">
        <v>39.68</v>
      </c>
      <c r="N3748" t="s">
        <v>10236</v>
      </c>
    </row>
    <row r="3749" spans="1:14">
      <c r="A3749" t="s">
        <v>223</v>
      </c>
      <c r="B3749" t="s">
        <v>3889</v>
      </c>
      <c r="C3749">
        <f>"250940"</f>
        <v>0</v>
      </c>
      <c r="D3749">
        <v>0</v>
      </c>
      <c r="E3749">
        <v>0</v>
      </c>
      <c r="F3749" s="2">
        <v>0</v>
      </c>
      <c r="H3749">
        <v>0</v>
      </c>
      <c r="I3749">
        <v>0.1741125760648204</v>
      </c>
      <c r="J3749">
        <v>0</v>
      </c>
      <c r="K3749">
        <v>0</v>
      </c>
      <c r="L3749" s="2">
        <v>0</v>
      </c>
      <c r="M3749">
        <v>39.69</v>
      </c>
      <c r="N3749" t="s">
        <v>10236</v>
      </c>
    </row>
    <row r="3750" spans="1:14">
      <c r="A3750" t="s">
        <v>218</v>
      </c>
      <c r="B3750" t="s">
        <v>3890</v>
      </c>
      <c r="C3750">
        <f>"1004371"</f>
        <v>0</v>
      </c>
      <c r="D3750">
        <v>0</v>
      </c>
      <c r="E3750">
        <v>0</v>
      </c>
      <c r="F3750" s="2">
        <v>0</v>
      </c>
      <c r="H3750">
        <v>0</v>
      </c>
      <c r="I3750">
        <v>0.1741125760648204</v>
      </c>
      <c r="J3750">
        <v>0</v>
      </c>
      <c r="K3750">
        <v>0</v>
      </c>
      <c r="L3750" s="2">
        <v>0</v>
      </c>
      <c r="M3750">
        <v>39.7</v>
      </c>
      <c r="N3750" t="s">
        <v>10236</v>
      </c>
    </row>
    <row r="3751" spans="1:14">
      <c r="A3751" t="s">
        <v>24</v>
      </c>
      <c r="B3751" t="s">
        <v>3891</v>
      </c>
      <c r="C3751">
        <f>"1320721"</f>
        <v>0</v>
      </c>
      <c r="D3751">
        <v>0</v>
      </c>
      <c r="E3751">
        <v>0</v>
      </c>
      <c r="F3751" s="2">
        <v>0</v>
      </c>
      <c r="H3751">
        <v>0</v>
      </c>
      <c r="I3751">
        <v>0.1741125760648204</v>
      </c>
      <c r="J3751">
        <v>0</v>
      </c>
      <c r="K3751">
        <v>0</v>
      </c>
      <c r="L3751" s="2">
        <v>0</v>
      </c>
      <c r="M3751">
        <v>39.71</v>
      </c>
      <c r="N3751" t="s">
        <v>10236</v>
      </c>
    </row>
    <row r="3752" spans="1:14">
      <c r="A3752" t="s">
        <v>25</v>
      </c>
      <c r="B3752" t="s">
        <v>3892</v>
      </c>
      <c r="C3752">
        <f>"ZVP2753"</f>
        <v>0</v>
      </c>
      <c r="D3752">
        <v>0</v>
      </c>
      <c r="E3752">
        <v>0</v>
      </c>
      <c r="F3752" s="2">
        <v>0</v>
      </c>
      <c r="H3752">
        <v>0</v>
      </c>
      <c r="I3752">
        <v>0.1741125760648204</v>
      </c>
      <c r="J3752">
        <v>0</v>
      </c>
      <c r="K3752">
        <v>0</v>
      </c>
      <c r="L3752" s="2">
        <v>0</v>
      </c>
      <c r="M3752">
        <v>39.71</v>
      </c>
      <c r="N3752" t="s">
        <v>10236</v>
      </c>
    </row>
    <row r="3753" spans="1:14">
      <c r="A3753" t="s">
        <v>25</v>
      </c>
      <c r="B3753" t="s">
        <v>3893</v>
      </c>
      <c r="C3753">
        <f>"ZVP2755"</f>
        <v>0</v>
      </c>
      <c r="D3753">
        <v>0</v>
      </c>
      <c r="E3753">
        <v>0</v>
      </c>
      <c r="F3753" s="2">
        <v>0</v>
      </c>
      <c r="H3753">
        <v>0</v>
      </c>
      <c r="I3753">
        <v>0.1741125760648204</v>
      </c>
      <c r="J3753">
        <v>0</v>
      </c>
      <c r="K3753">
        <v>0</v>
      </c>
      <c r="L3753" s="2">
        <v>0</v>
      </c>
      <c r="M3753">
        <v>39.72</v>
      </c>
      <c r="N3753" t="s">
        <v>10236</v>
      </c>
    </row>
    <row r="3754" spans="1:14">
      <c r="A3754" t="s">
        <v>192</v>
      </c>
      <c r="B3754" t="s">
        <v>3894</v>
      </c>
      <c r="C3754">
        <f>"ZVP2056"</f>
        <v>0</v>
      </c>
      <c r="D3754">
        <v>0</v>
      </c>
      <c r="E3754">
        <v>0</v>
      </c>
      <c r="F3754" s="2">
        <v>0</v>
      </c>
      <c r="H3754">
        <v>0</v>
      </c>
      <c r="I3754">
        <v>0.1741125760648204</v>
      </c>
      <c r="J3754">
        <v>0</v>
      </c>
      <c r="K3754">
        <v>0</v>
      </c>
      <c r="L3754" s="2">
        <v>0</v>
      </c>
      <c r="M3754">
        <v>39.73</v>
      </c>
      <c r="N3754" t="s">
        <v>10236</v>
      </c>
    </row>
    <row r="3755" spans="1:14">
      <c r="A3755" t="s">
        <v>25</v>
      </c>
      <c r="B3755" t="s">
        <v>3895</v>
      </c>
      <c r="C3755">
        <f>"AYCS167"</f>
        <v>0</v>
      </c>
      <c r="D3755">
        <v>0</v>
      </c>
      <c r="E3755">
        <v>4</v>
      </c>
      <c r="F3755" s="2">
        <v>1</v>
      </c>
      <c r="H3755">
        <v>0</v>
      </c>
      <c r="I3755">
        <v>0.1741125760648204</v>
      </c>
      <c r="J3755">
        <v>0</v>
      </c>
      <c r="K3755">
        <v>0</v>
      </c>
      <c r="L3755" s="2">
        <v>0</v>
      </c>
      <c r="M3755">
        <v>39.74</v>
      </c>
      <c r="N3755" t="s">
        <v>10236</v>
      </c>
    </row>
    <row r="3756" spans="1:14">
      <c r="A3756" t="s">
        <v>25</v>
      </c>
      <c r="B3756" t="s">
        <v>3896</v>
      </c>
      <c r="C3756">
        <f>"ZVP1059"</f>
        <v>0</v>
      </c>
      <c r="D3756">
        <v>0</v>
      </c>
      <c r="E3756">
        <v>0</v>
      </c>
      <c r="F3756" s="2">
        <v>0</v>
      </c>
      <c r="H3756">
        <v>0</v>
      </c>
      <c r="I3756">
        <v>0.1741125760648204</v>
      </c>
      <c r="J3756">
        <v>0</v>
      </c>
      <c r="K3756">
        <v>0</v>
      </c>
      <c r="L3756" s="2">
        <v>0</v>
      </c>
      <c r="M3756">
        <v>39.75</v>
      </c>
      <c r="N3756" t="s">
        <v>10236</v>
      </c>
    </row>
    <row r="3757" spans="1:14">
      <c r="A3757" t="s">
        <v>25</v>
      </c>
      <c r="B3757" t="s">
        <v>3897</v>
      </c>
      <c r="C3757">
        <f>"ZVP1069"</f>
        <v>0</v>
      </c>
      <c r="D3757">
        <v>0</v>
      </c>
      <c r="E3757">
        <v>0</v>
      </c>
      <c r="F3757" s="2">
        <v>0</v>
      </c>
      <c r="H3757">
        <v>0</v>
      </c>
      <c r="I3757">
        <v>0.1741125760648204</v>
      </c>
      <c r="J3757">
        <v>0</v>
      </c>
      <c r="K3757">
        <v>0</v>
      </c>
      <c r="L3757" s="2">
        <v>0</v>
      </c>
      <c r="M3757">
        <v>39.76</v>
      </c>
      <c r="N3757" t="s">
        <v>10236</v>
      </c>
    </row>
    <row r="3758" spans="1:14">
      <c r="A3758" t="s">
        <v>194</v>
      </c>
      <c r="B3758" t="s">
        <v>3898</v>
      </c>
      <c r="C3758">
        <f>"734004"</f>
        <v>0</v>
      </c>
      <c r="D3758">
        <v>0</v>
      </c>
      <c r="E3758">
        <v>8</v>
      </c>
      <c r="F3758" s="2">
        <v>19</v>
      </c>
      <c r="H3758">
        <v>0</v>
      </c>
      <c r="I3758">
        <v>0.1741125760648204</v>
      </c>
      <c r="J3758">
        <v>0</v>
      </c>
      <c r="K3758">
        <v>0</v>
      </c>
      <c r="L3758" s="2">
        <v>0</v>
      </c>
      <c r="M3758">
        <v>39.77</v>
      </c>
      <c r="N3758" t="s">
        <v>10236</v>
      </c>
    </row>
    <row r="3759" spans="1:14">
      <c r="A3759" t="s">
        <v>194</v>
      </c>
      <c r="B3759" t="s">
        <v>3899</v>
      </c>
      <c r="C3759">
        <f>"2055015"</f>
        <v>0</v>
      </c>
      <c r="D3759">
        <v>0</v>
      </c>
      <c r="E3759">
        <v>0</v>
      </c>
      <c r="F3759" s="2">
        <v>0</v>
      </c>
      <c r="H3759">
        <v>0</v>
      </c>
      <c r="I3759">
        <v>0.1741125760648204</v>
      </c>
      <c r="J3759">
        <v>0</v>
      </c>
      <c r="K3759">
        <v>0</v>
      </c>
      <c r="L3759" s="2">
        <v>0</v>
      </c>
      <c r="M3759">
        <v>39.78</v>
      </c>
      <c r="N3759" t="s">
        <v>10236</v>
      </c>
    </row>
    <row r="3760" spans="1:14">
      <c r="A3760" t="s">
        <v>194</v>
      </c>
      <c r="B3760" t="s">
        <v>3900</v>
      </c>
      <c r="C3760">
        <f>"2355015"</f>
        <v>0</v>
      </c>
      <c r="D3760">
        <v>0</v>
      </c>
      <c r="E3760">
        <v>0</v>
      </c>
      <c r="F3760" s="2">
        <v>0</v>
      </c>
      <c r="H3760">
        <v>0</v>
      </c>
      <c r="I3760">
        <v>0.1741125760648204</v>
      </c>
      <c r="J3760">
        <v>0</v>
      </c>
      <c r="K3760">
        <v>0</v>
      </c>
      <c r="L3760" s="2">
        <v>0</v>
      </c>
      <c r="M3760">
        <v>39.79</v>
      </c>
      <c r="N3760" t="s">
        <v>10236</v>
      </c>
    </row>
    <row r="3761" spans="1:14">
      <c r="A3761" t="s">
        <v>194</v>
      </c>
      <c r="B3761" t="s">
        <v>3901</v>
      </c>
      <c r="C3761">
        <f>"2755015"</f>
        <v>0</v>
      </c>
      <c r="D3761">
        <v>0</v>
      </c>
      <c r="E3761">
        <v>8</v>
      </c>
      <c r="F3761" s="2">
        <v>45</v>
      </c>
      <c r="H3761">
        <v>0</v>
      </c>
      <c r="I3761">
        <v>0.1741125760648204</v>
      </c>
      <c r="J3761">
        <v>0</v>
      </c>
      <c r="K3761">
        <v>0</v>
      </c>
      <c r="L3761" s="2">
        <v>0</v>
      </c>
      <c r="M3761">
        <v>39.8</v>
      </c>
      <c r="N3761" t="s">
        <v>10236</v>
      </c>
    </row>
    <row r="3762" spans="1:14">
      <c r="A3762" t="s">
        <v>195</v>
      </c>
      <c r="B3762" t="s">
        <v>3902</v>
      </c>
      <c r="C3762">
        <f>"25702657"</f>
        <v>0</v>
      </c>
      <c r="D3762">
        <v>0</v>
      </c>
      <c r="E3762">
        <v>0</v>
      </c>
      <c r="F3762" s="2">
        <v>0</v>
      </c>
      <c r="H3762">
        <v>0</v>
      </c>
      <c r="I3762">
        <v>0.1741125760648204</v>
      </c>
      <c r="J3762">
        <v>0</v>
      </c>
      <c r="K3762">
        <v>0</v>
      </c>
      <c r="L3762" s="2">
        <v>0</v>
      </c>
      <c r="M3762">
        <v>39.81</v>
      </c>
      <c r="N3762" t="s">
        <v>10236</v>
      </c>
    </row>
    <row r="3763" spans="1:14">
      <c r="A3763" t="s">
        <v>29</v>
      </c>
      <c r="B3763" t="s">
        <v>3903</v>
      </c>
      <c r="C3763">
        <f>"77622"</f>
        <v>0</v>
      </c>
      <c r="D3763">
        <v>0</v>
      </c>
      <c r="E3763">
        <v>0</v>
      </c>
      <c r="F3763" s="2">
        <v>0</v>
      </c>
      <c r="H3763">
        <v>0</v>
      </c>
      <c r="I3763">
        <v>0.1741125760648204</v>
      </c>
      <c r="J3763">
        <v>0</v>
      </c>
      <c r="K3763">
        <v>0</v>
      </c>
      <c r="L3763" s="2">
        <v>0</v>
      </c>
      <c r="M3763">
        <v>39.82</v>
      </c>
      <c r="N3763" t="s">
        <v>10236</v>
      </c>
    </row>
    <row r="3764" spans="1:14">
      <c r="A3764" t="s">
        <v>216</v>
      </c>
      <c r="B3764" t="s">
        <v>3904</v>
      </c>
      <c r="C3764">
        <f>"77602"</f>
        <v>0</v>
      </c>
      <c r="D3764">
        <v>0</v>
      </c>
      <c r="E3764">
        <v>0</v>
      </c>
      <c r="F3764" s="2">
        <v>0</v>
      </c>
      <c r="H3764">
        <v>0</v>
      </c>
      <c r="I3764">
        <v>0.1741125760648204</v>
      </c>
      <c r="J3764">
        <v>0</v>
      </c>
      <c r="K3764">
        <v>0</v>
      </c>
      <c r="L3764" s="2">
        <v>0</v>
      </c>
      <c r="M3764">
        <v>39.82</v>
      </c>
      <c r="N3764" t="s">
        <v>10236</v>
      </c>
    </row>
    <row r="3765" spans="1:14">
      <c r="A3765" t="s">
        <v>195</v>
      </c>
      <c r="B3765" t="s">
        <v>3905</v>
      </c>
      <c r="C3765">
        <f>"25395727"</f>
        <v>0</v>
      </c>
      <c r="D3765">
        <v>0</v>
      </c>
      <c r="E3765">
        <v>0</v>
      </c>
      <c r="F3765" s="2">
        <v>0</v>
      </c>
      <c r="H3765">
        <v>0</v>
      </c>
      <c r="I3765">
        <v>0.1741125760648204</v>
      </c>
      <c r="J3765">
        <v>0</v>
      </c>
      <c r="K3765">
        <v>0</v>
      </c>
      <c r="L3765" s="2">
        <v>0</v>
      </c>
      <c r="M3765">
        <v>39.83</v>
      </c>
      <c r="N3765" t="s">
        <v>10236</v>
      </c>
    </row>
    <row r="3766" spans="1:14">
      <c r="A3766" t="s">
        <v>29</v>
      </c>
      <c r="B3766" t="s">
        <v>3906</v>
      </c>
      <c r="C3766">
        <f>"ATS220"</f>
        <v>0</v>
      </c>
      <c r="D3766">
        <v>0</v>
      </c>
      <c r="E3766">
        <v>0</v>
      </c>
      <c r="F3766" s="2">
        <v>0</v>
      </c>
      <c r="H3766">
        <v>0</v>
      </c>
      <c r="I3766">
        <v>0.1741125760648204</v>
      </c>
      <c r="J3766">
        <v>0</v>
      </c>
      <c r="K3766">
        <v>0</v>
      </c>
      <c r="L3766" s="2">
        <v>0</v>
      </c>
      <c r="M3766">
        <v>39.84</v>
      </c>
      <c r="N3766" t="s">
        <v>10236</v>
      </c>
    </row>
    <row r="3767" spans="1:14">
      <c r="A3767" t="s">
        <v>35</v>
      </c>
      <c r="B3767" t="s">
        <v>3907</v>
      </c>
      <c r="C3767">
        <f>"MSPB10VER"</f>
        <v>0</v>
      </c>
      <c r="D3767">
        <v>0</v>
      </c>
      <c r="E3767">
        <v>1</v>
      </c>
      <c r="F3767" s="2">
        <v>5</v>
      </c>
      <c r="H3767">
        <v>0</v>
      </c>
      <c r="I3767">
        <v>0.1741125760648204</v>
      </c>
      <c r="J3767">
        <v>0</v>
      </c>
      <c r="K3767">
        <v>0</v>
      </c>
      <c r="L3767" s="2">
        <v>0</v>
      </c>
      <c r="M3767">
        <v>39.85</v>
      </c>
      <c r="N3767" t="s">
        <v>10236</v>
      </c>
    </row>
    <row r="3768" spans="1:14">
      <c r="A3768" t="s">
        <v>35</v>
      </c>
      <c r="B3768" t="s">
        <v>3908</v>
      </c>
      <c r="C3768">
        <f>"MSPB10GR"</f>
        <v>0</v>
      </c>
      <c r="D3768">
        <v>0</v>
      </c>
      <c r="E3768">
        <v>1</v>
      </c>
      <c r="F3768" s="2">
        <v>5</v>
      </c>
      <c r="H3768">
        <v>0</v>
      </c>
      <c r="I3768">
        <v>0.1741125760648204</v>
      </c>
      <c r="J3768">
        <v>0</v>
      </c>
      <c r="K3768">
        <v>0</v>
      </c>
      <c r="L3768" s="2">
        <v>0</v>
      </c>
      <c r="M3768">
        <v>39.86</v>
      </c>
      <c r="N3768" t="s">
        <v>10236</v>
      </c>
    </row>
    <row r="3769" spans="1:14">
      <c r="A3769" t="s">
        <v>194</v>
      </c>
      <c r="B3769" t="s">
        <v>3909</v>
      </c>
      <c r="C3769">
        <f>"1201100"</f>
        <v>0</v>
      </c>
      <c r="D3769">
        <v>0</v>
      </c>
      <c r="E3769">
        <v>0</v>
      </c>
      <c r="F3769" s="2">
        <v>0</v>
      </c>
      <c r="H3769">
        <v>0</v>
      </c>
      <c r="I3769">
        <v>0.1741125760648204</v>
      </c>
      <c r="J3769">
        <v>0</v>
      </c>
      <c r="K3769">
        <v>0</v>
      </c>
      <c r="L3769" s="2">
        <v>0</v>
      </c>
      <c r="M3769">
        <v>39.87</v>
      </c>
      <c r="N3769" t="s">
        <v>10236</v>
      </c>
    </row>
    <row r="3770" spans="1:14">
      <c r="A3770" t="s">
        <v>194</v>
      </c>
      <c r="B3770" t="s">
        <v>3910</v>
      </c>
      <c r="C3770">
        <f>"13100"</f>
        <v>0</v>
      </c>
      <c r="D3770">
        <v>0</v>
      </c>
      <c r="E3770">
        <v>0</v>
      </c>
      <c r="F3770" s="2">
        <v>0</v>
      </c>
      <c r="H3770">
        <v>0</v>
      </c>
      <c r="I3770">
        <v>0.1741125760648204</v>
      </c>
      <c r="J3770">
        <v>0</v>
      </c>
      <c r="K3770">
        <v>0</v>
      </c>
      <c r="L3770" s="2">
        <v>0</v>
      </c>
      <c r="M3770">
        <v>39.88</v>
      </c>
      <c r="N3770" t="s">
        <v>10236</v>
      </c>
    </row>
    <row r="3771" spans="1:14">
      <c r="A3771" t="s">
        <v>35</v>
      </c>
      <c r="B3771" t="s">
        <v>3911</v>
      </c>
      <c r="C3771">
        <f>"MSPB09VE"</f>
        <v>0</v>
      </c>
      <c r="D3771">
        <v>0</v>
      </c>
      <c r="E3771">
        <v>0</v>
      </c>
      <c r="F3771" s="2">
        <v>0</v>
      </c>
      <c r="H3771">
        <v>0</v>
      </c>
      <c r="I3771">
        <v>0.1741125760648204</v>
      </c>
      <c r="J3771">
        <v>0</v>
      </c>
      <c r="K3771">
        <v>0</v>
      </c>
      <c r="L3771" s="2">
        <v>0</v>
      </c>
      <c r="M3771">
        <v>39.89</v>
      </c>
      <c r="N3771" t="s">
        <v>10236</v>
      </c>
    </row>
    <row r="3772" spans="1:14">
      <c r="A3772" t="s">
        <v>35</v>
      </c>
      <c r="B3772" t="s">
        <v>3912</v>
      </c>
      <c r="C3772">
        <f>"MSPB09CEL"</f>
        <v>0</v>
      </c>
      <c r="D3772">
        <v>0</v>
      </c>
      <c r="E3772">
        <v>0</v>
      </c>
      <c r="F3772" s="2">
        <v>0</v>
      </c>
      <c r="H3772">
        <v>0</v>
      </c>
      <c r="I3772">
        <v>0.1741125760648204</v>
      </c>
      <c r="J3772">
        <v>0</v>
      </c>
      <c r="K3772">
        <v>0</v>
      </c>
      <c r="L3772" s="2">
        <v>0</v>
      </c>
      <c r="M3772">
        <v>39.9</v>
      </c>
      <c r="N3772" t="s">
        <v>10236</v>
      </c>
    </row>
    <row r="3773" spans="1:14">
      <c r="A3773" t="s">
        <v>29</v>
      </c>
      <c r="B3773" t="s">
        <v>3913</v>
      </c>
      <c r="C3773">
        <f>"LBL02"</f>
        <v>0</v>
      </c>
      <c r="D3773">
        <v>0</v>
      </c>
      <c r="E3773">
        <v>0</v>
      </c>
      <c r="F3773" s="2">
        <v>0</v>
      </c>
      <c r="H3773">
        <v>0</v>
      </c>
      <c r="I3773">
        <v>0.1741125760648204</v>
      </c>
      <c r="J3773">
        <v>0</v>
      </c>
      <c r="K3773">
        <v>0</v>
      </c>
      <c r="L3773" s="2">
        <v>0</v>
      </c>
      <c r="M3773">
        <v>39.91</v>
      </c>
      <c r="N3773" t="s">
        <v>10236</v>
      </c>
    </row>
    <row r="3774" spans="1:14">
      <c r="A3774" t="s">
        <v>36</v>
      </c>
      <c r="B3774" t="s">
        <v>3914</v>
      </c>
      <c r="C3774">
        <f>"1213031"</f>
        <v>0</v>
      </c>
      <c r="D3774">
        <v>0</v>
      </c>
      <c r="E3774">
        <v>0</v>
      </c>
      <c r="F3774" s="2">
        <v>0</v>
      </c>
      <c r="H3774">
        <v>0</v>
      </c>
      <c r="I3774">
        <v>0.1741125760648204</v>
      </c>
      <c r="J3774">
        <v>0</v>
      </c>
      <c r="K3774">
        <v>0</v>
      </c>
      <c r="L3774" s="2">
        <v>0</v>
      </c>
      <c r="M3774">
        <v>39.92</v>
      </c>
      <c r="N3774" t="s">
        <v>10236</v>
      </c>
    </row>
    <row r="3775" spans="1:14">
      <c r="A3775" t="s">
        <v>223</v>
      </c>
      <c r="B3775" t="s">
        <v>3915</v>
      </c>
      <c r="C3775">
        <f>"5456025"</f>
        <v>0</v>
      </c>
      <c r="D3775">
        <v>0</v>
      </c>
      <c r="E3775">
        <v>0</v>
      </c>
      <c r="F3775" s="2">
        <v>0</v>
      </c>
      <c r="H3775">
        <v>0</v>
      </c>
      <c r="I3775">
        <v>0.1741125760648204</v>
      </c>
      <c r="J3775">
        <v>0</v>
      </c>
      <c r="K3775">
        <v>0</v>
      </c>
      <c r="L3775" s="2">
        <v>0</v>
      </c>
      <c r="M3775">
        <v>39.93</v>
      </c>
      <c r="N3775" t="s">
        <v>10236</v>
      </c>
    </row>
    <row r="3776" spans="1:14">
      <c r="A3776" t="s">
        <v>223</v>
      </c>
      <c r="B3776" t="s">
        <v>3916</v>
      </c>
      <c r="C3776">
        <f>"5001089"</f>
        <v>0</v>
      </c>
      <c r="D3776">
        <v>0</v>
      </c>
      <c r="E3776">
        <v>0</v>
      </c>
      <c r="F3776" s="2">
        <v>0</v>
      </c>
      <c r="H3776">
        <v>0</v>
      </c>
      <c r="I3776">
        <v>0.1741125760648204</v>
      </c>
      <c r="J3776">
        <v>0</v>
      </c>
      <c r="K3776">
        <v>0</v>
      </c>
      <c r="L3776" s="2">
        <v>0</v>
      </c>
      <c r="M3776">
        <v>39.94</v>
      </c>
      <c r="N3776" t="s">
        <v>10236</v>
      </c>
    </row>
    <row r="3777" spans="1:14">
      <c r="A3777" t="s">
        <v>223</v>
      </c>
      <c r="B3777" t="s">
        <v>3917</v>
      </c>
      <c r="C3777">
        <f>"5201079"</f>
        <v>0</v>
      </c>
      <c r="D3777">
        <v>0</v>
      </c>
      <c r="E3777">
        <v>0</v>
      </c>
      <c r="F3777" s="2">
        <v>0</v>
      </c>
      <c r="H3777">
        <v>0</v>
      </c>
      <c r="I3777">
        <v>0.1741125760648204</v>
      </c>
      <c r="J3777">
        <v>0</v>
      </c>
      <c r="K3777">
        <v>0</v>
      </c>
      <c r="L3777" s="2">
        <v>0</v>
      </c>
      <c r="M3777">
        <v>39.94</v>
      </c>
      <c r="N3777" t="s">
        <v>10236</v>
      </c>
    </row>
    <row r="3778" spans="1:14">
      <c r="A3778" t="s">
        <v>223</v>
      </c>
      <c r="B3778" t="s">
        <v>3918</v>
      </c>
      <c r="C3778">
        <f>"5201025"</f>
        <v>0</v>
      </c>
      <c r="D3778">
        <v>0</v>
      </c>
      <c r="E3778">
        <v>0</v>
      </c>
      <c r="F3778" s="2">
        <v>0</v>
      </c>
      <c r="H3778">
        <v>0</v>
      </c>
      <c r="I3778">
        <v>0.1741125760648204</v>
      </c>
      <c r="J3778">
        <v>0</v>
      </c>
      <c r="K3778">
        <v>0</v>
      </c>
      <c r="L3778" s="2">
        <v>0</v>
      </c>
      <c r="M3778">
        <v>39.95</v>
      </c>
      <c r="N3778" t="s">
        <v>10236</v>
      </c>
    </row>
    <row r="3779" spans="1:14">
      <c r="A3779" t="s">
        <v>223</v>
      </c>
      <c r="B3779" t="s">
        <v>3919</v>
      </c>
      <c r="C3779">
        <f>"5001049"</f>
        <v>0</v>
      </c>
      <c r="D3779">
        <v>0</v>
      </c>
      <c r="E3779">
        <v>0</v>
      </c>
      <c r="F3779" s="2">
        <v>0</v>
      </c>
      <c r="H3779">
        <v>0</v>
      </c>
      <c r="I3779">
        <v>0.1741125760648204</v>
      </c>
      <c r="J3779">
        <v>0</v>
      </c>
      <c r="K3779">
        <v>0</v>
      </c>
      <c r="L3779" s="2">
        <v>0</v>
      </c>
      <c r="M3779">
        <v>39.96</v>
      </c>
      <c r="N3779" t="s">
        <v>10236</v>
      </c>
    </row>
    <row r="3780" spans="1:14">
      <c r="A3780" t="s">
        <v>223</v>
      </c>
      <c r="B3780" t="s">
        <v>3920</v>
      </c>
      <c r="C3780">
        <f>"5010025"</f>
        <v>0</v>
      </c>
      <c r="D3780">
        <v>0</v>
      </c>
      <c r="E3780">
        <v>0</v>
      </c>
      <c r="F3780" s="2">
        <v>0</v>
      </c>
      <c r="H3780">
        <v>0</v>
      </c>
      <c r="I3780">
        <v>0.1741125760648204</v>
      </c>
      <c r="J3780">
        <v>0</v>
      </c>
      <c r="K3780">
        <v>0</v>
      </c>
      <c r="L3780" s="2">
        <v>0</v>
      </c>
      <c r="M3780">
        <v>39.97</v>
      </c>
      <c r="N3780" t="s">
        <v>10236</v>
      </c>
    </row>
    <row r="3781" spans="1:14">
      <c r="A3781" t="s">
        <v>29</v>
      </c>
      <c r="B3781" t="s">
        <v>3921</v>
      </c>
      <c r="C3781">
        <f>"MCA70"</f>
        <v>0</v>
      </c>
      <c r="D3781">
        <v>0</v>
      </c>
      <c r="E3781">
        <v>17</v>
      </c>
      <c r="F3781" s="2">
        <v>1</v>
      </c>
      <c r="H3781">
        <v>0</v>
      </c>
      <c r="I3781">
        <v>0.1741125760648204</v>
      </c>
      <c r="J3781">
        <v>0</v>
      </c>
      <c r="K3781">
        <v>0</v>
      </c>
      <c r="L3781" s="2">
        <v>0</v>
      </c>
      <c r="M3781">
        <v>39.98</v>
      </c>
      <c r="N3781" t="s">
        <v>10236</v>
      </c>
    </row>
    <row r="3782" spans="1:14">
      <c r="A3782" t="s">
        <v>35</v>
      </c>
      <c r="B3782" t="s">
        <v>3922</v>
      </c>
      <c r="C3782">
        <f>"LO75575"</f>
        <v>0</v>
      </c>
      <c r="D3782">
        <v>0</v>
      </c>
      <c r="E3782">
        <v>0</v>
      </c>
      <c r="F3782" s="2">
        <v>0</v>
      </c>
      <c r="H3782">
        <v>0</v>
      </c>
      <c r="I3782">
        <v>0.1741125760648204</v>
      </c>
      <c r="J3782">
        <v>0</v>
      </c>
      <c r="K3782">
        <v>0</v>
      </c>
      <c r="L3782" s="2">
        <v>0</v>
      </c>
      <c r="M3782">
        <v>39.99</v>
      </c>
      <c r="N3782" t="s">
        <v>10236</v>
      </c>
    </row>
    <row r="3783" spans="1:14">
      <c r="A3783" t="s">
        <v>223</v>
      </c>
      <c r="B3783" t="s">
        <v>3923</v>
      </c>
      <c r="C3783">
        <f>"2453030"</f>
        <v>0</v>
      </c>
      <c r="D3783">
        <v>0</v>
      </c>
      <c r="E3783">
        <v>0</v>
      </c>
      <c r="F3783" s="2">
        <v>0</v>
      </c>
      <c r="H3783">
        <v>0</v>
      </c>
      <c r="I3783">
        <v>0.1741125760648204</v>
      </c>
      <c r="J3783">
        <v>0</v>
      </c>
      <c r="K3783">
        <v>0</v>
      </c>
      <c r="L3783" s="2">
        <v>0</v>
      </c>
      <c r="M3783">
        <v>40</v>
      </c>
      <c r="N3783" t="s">
        <v>10236</v>
      </c>
    </row>
    <row r="3784" spans="1:14">
      <c r="A3784" t="s">
        <v>223</v>
      </c>
      <c r="B3784" t="s">
        <v>3924</v>
      </c>
      <c r="C3784">
        <f>"5453025"</f>
        <v>0</v>
      </c>
      <c r="D3784">
        <v>0</v>
      </c>
      <c r="E3784">
        <v>0</v>
      </c>
      <c r="F3784" s="2">
        <v>0</v>
      </c>
      <c r="H3784">
        <v>0</v>
      </c>
      <c r="I3784">
        <v>0.1741125760648204</v>
      </c>
      <c r="J3784">
        <v>0</v>
      </c>
      <c r="K3784">
        <v>0</v>
      </c>
      <c r="L3784" s="2">
        <v>0</v>
      </c>
      <c r="M3784">
        <v>40.01</v>
      </c>
      <c r="N3784" t="s">
        <v>10236</v>
      </c>
    </row>
    <row r="3785" spans="1:14">
      <c r="A3785" t="s">
        <v>223</v>
      </c>
      <c r="B3785" t="s">
        <v>3925</v>
      </c>
      <c r="C3785">
        <f>"5430030"</f>
        <v>0</v>
      </c>
      <c r="D3785">
        <v>0</v>
      </c>
      <c r="E3785">
        <v>0</v>
      </c>
      <c r="F3785" s="2">
        <v>0</v>
      </c>
      <c r="H3785">
        <v>0</v>
      </c>
      <c r="I3785">
        <v>0.1741125760648204</v>
      </c>
      <c r="J3785">
        <v>0</v>
      </c>
      <c r="K3785">
        <v>0</v>
      </c>
      <c r="L3785" s="2">
        <v>0</v>
      </c>
      <c r="M3785">
        <v>40.02</v>
      </c>
      <c r="N3785" t="s">
        <v>10236</v>
      </c>
    </row>
    <row r="3786" spans="1:14">
      <c r="A3786" t="s">
        <v>223</v>
      </c>
      <c r="B3786" t="s">
        <v>3926</v>
      </c>
      <c r="C3786">
        <f>"5430025"</f>
        <v>0</v>
      </c>
      <c r="D3786">
        <v>0</v>
      </c>
      <c r="E3786">
        <v>0</v>
      </c>
      <c r="F3786" s="2">
        <v>0</v>
      </c>
      <c r="H3786">
        <v>0</v>
      </c>
      <c r="I3786">
        <v>0.1741125760648204</v>
      </c>
      <c r="J3786">
        <v>0</v>
      </c>
      <c r="K3786">
        <v>0</v>
      </c>
      <c r="L3786" s="2">
        <v>0</v>
      </c>
      <c r="M3786">
        <v>40.03</v>
      </c>
      <c r="N3786" t="s">
        <v>10236</v>
      </c>
    </row>
    <row r="3787" spans="1:14">
      <c r="A3787" t="s">
        <v>223</v>
      </c>
      <c r="B3787" t="s">
        <v>3927</v>
      </c>
      <c r="C3787">
        <f>"5437010"</f>
        <v>0</v>
      </c>
      <c r="D3787">
        <v>0</v>
      </c>
      <c r="E3787">
        <v>0</v>
      </c>
      <c r="F3787" s="2">
        <v>0</v>
      </c>
      <c r="H3787">
        <v>0</v>
      </c>
      <c r="I3787">
        <v>0.1741125760648204</v>
      </c>
      <c r="J3787">
        <v>0</v>
      </c>
      <c r="K3787">
        <v>0</v>
      </c>
      <c r="L3787" s="2">
        <v>0</v>
      </c>
      <c r="M3787">
        <v>40.04</v>
      </c>
      <c r="N3787" t="s">
        <v>10236</v>
      </c>
    </row>
    <row r="3788" spans="1:14">
      <c r="A3788" t="s">
        <v>223</v>
      </c>
      <c r="B3788" t="s">
        <v>3928</v>
      </c>
      <c r="C3788">
        <f>"2464030"</f>
        <v>0</v>
      </c>
      <c r="D3788">
        <v>0</v>
      </c>
      <c r="E3788">
        <v>0</v>
      </c>
      <c r="F3788" s="2">
        <v>0</v>
      </c>
      <c r="H3788">
        <v>0</v>
      </c>
      <c r="I3788">
        <v>0.1741125760648204</v>
      </c>
      <c r="J3788">
        <v>0</v>
      </c>
      <c r="K3788">
        <v>0</v>
      </c>
      <c r="L3788" s="2">
        <v>0</v>
      </c>
      <c r="M3788">
        <v>40.05</v>
      </c>
      <c r="N3788" t="s">
        <v>10236</v>
      </c>
    </row>
    <row r="3789" spans="1:14">
      <c r="A3789" t="s">
        <v>25</v>
      </c>
      <c r="B3789" t="s">
        <v>3929</v>
      </c>
      <c r="C3789">
        <f>"ZVP1070"</f>
        <v>0</v>
      </c>
      <c r="D3789">
        <v>0</v>
      </c>
      <c r="E3789">
        <v>0</v>
      </c>
      <c r="F3789" s="2">
        <v>0</v>
      </c>
      <c r="H3789">
        <v>0</v>
      </c>
      <c r="I3789">
        <v>0.1741125760648204</v>
      </c>
      <c r="J3789">
        <v>0</v>
      </c>
      <c r="K3789">
        <v>0</v>
      </c>
      <c r="L3789" s="2">
        <v>0</v>
      </c>
      <c r="M3789">
        <v>40.06</v>
      </c>
      <c r="N3789" t="s">
        <v>10236</v>
      </c>
    </row>
    <row r="3790" spans="1:14">
      <c r="A3790" t="s">
        <v>25</v>
      </c>
      <c r="B3790" t="s">
        <v>3930</v>
      </c>
      <c r="C3790">
        <f>"ZVP1057"</f>
        <v>0</v>
      </c>
      <c r="D3790">
        <v>0</v>
      </c>
      <c r="E3790">
        <v>0</v>
      </c>
      <c r="F3790" s="2">
        <v>0</v>
      </c>
      <c r="H3790">
        <v>0</v>
      </c>
      <c r="I3790">
        <v>0.1741125760648204</v>
      </c>
      <c r="J3790">
        <v>0</v>
      </c>
      <c r="K3790">
        <v>0</v>
      </c>
      <c r="L3790" s="2">
        <v>0</v>
      </c>
      <c r="M3790">
        <v>40.06</v>
      </c>
      <c r="N3790" t="s">
        <v>10236</v>
      </c>
    </row>
    <row r="3791" spans="1:14">
      <c r="A3791" t="s">
        <v>25</v>
      </c>
      <c r="B3791" t="s">
        <v>3931</v>
      </c>
      <c r="C3791">
        <f>"ZVP1062"</f>
        <v>0</v>
      </c>
      <c r="D3791">
        <v>0</v>
      </c>
      <c r="E3791">
        <v>0</v>
      </c>
      <c r="F3791" s="2">
        <v>0</v>
      </c>
      <c r="H3791">
        <v>0</v>
      </c>
      <c r="I3791">
        <v>0.1741125760648204</v>
      </c>
      <c r="J3791">
        <v>0</v>
      </c>
      <c r="K3791">
        <v>0</v>
      </c>
      <c r="L3791" s="2">
        <v>0</v>
      </c>
      <c r="M3791">
        <v>40.07</v>
      </c>
      <c r="N3791" t="s">
        <v>10236</v>
      </c>
    </row>
    <row r="3792" spans="1:14">
      <c r="A3792" t="s">
        <v>25</v>
      </c>
      <c r="B3792" t="s">
        <v>3932</v>
      </c>
      <c r="C3792">
        <f>"ZVP1058"</f>
        <v>0</v>
      </c>
      <c r="D3792">
        <v>0</v>
      </c>
      <c r="E3792">
        <v>0</v>
      </c>
      <c r="F3792" s="2">
        <v>0</v>
      </c>
      <c r="H3792">
        <v>0</v>
      </c>
      <c r="I3792">
        <v>0.1741125760648204</v>
      </c>
      <c r="J3792">
        <v>0</v>
      </c>
      <c r="K3792">
        <v>0</v>
      </c>
      <c r="L3792" s="2">
        <v>0</v>
      </c>
      <c r="M3792">
        <v>40.08</v>
      </c>
      <c r="N3792" t="s">
        <v>10236</v>
      </c>
    </row>
    <row r="3793" spans="1:14">
      <c r="A3793" t="s">
        <v>192</v>
      </c>
      <c r="B3793" t="s">
        <v>3933</v>
      </c>
      <c r="C3793">
        <f>"ZVP2054"</f>
        <v>0</v>
      </c>
      <c r="D3793">
        <v>0</v>
      </c>
      <c r="E3793">
        <v>0</v>
      </c>
      <c r="F3793" s="2">
        <v>0</v>
      </c>
      <c r="H3793">
        <v>0</v>
      </c>
      <c r="I3793">
        <v>0.1741125760648204</v>
      </c>
      <c r="J3793">
        <v>0</v>
      </c>
      <c r="K3793">
        <v>0</v>
      </c>
      <c r="L3793" s="2">
        <v>0</v>
      </c>
      <c r="M3793">
        <v>40.09</v>
      </c>
      <c r="N3793" t="s">
        <v>10236</v>
      </c>
    </row>
    <row r="3794" spans="1:14">
      <c r="A3794" t="s">
        <v>192</v>
      </c>
      <c r="B3794" t="s">
        <v>3934</v>
      </c>
      <c r="C3794">
        <f>"ZVP2055"</f>
        <v>0</v>
      </c>
      <c r="D3794">
        <v>0</v>
      </c>
      <c r="E3794">
        <v>0</v>
      </c>
      <c r="F3794" s="2">
        <v>0</v>
      </c>
      <c r="H3794">
        <v>0</v>
      </c>
      <c r="I3794">
        <v>0.1741125760648204</v>
      </c>
      <c r="J3794">
        <v>0</v>
      </c>
      <c r="K3794">
        <v>0</v>
      </c>
      <c r="L3794" s="2">
        <v>0</v>
      </c>
      <c r="M3794">
        <v>40.1</v>
      </c>
      <c r="N3794" t="s">
        <v>10236</v>
      </c>
    </row>
    <row r="3795" spans="1:14">
      <c r="A3795" t="s">
        <v>25</v>
      </c>
      <c r="B3795" t="s">
        <v>3935</v>
      </c>
      <c r="C3795">
        <f>"721802"</f>
        <v>0</v>
      </c>
      <c r="D3795">
        <v>0</v>
      </c>
      <c r="E3795">
        <v>0</v>
      </c>
      <c r="F3795" s="2">
        <v>0</v>
      </c>
      <c r="H3795">
        <v>0</v>
      </c>
      <c r="I3795">
        <v>0.1741125760648204</v>
      </c>
      <c r="J3795">
        <v>0</v>
      </c>
      <c r="K3795">
        <v>0</v>
      </c>
      <c r="L3795" s="2">
        <v>0</v>
      </c>
      <c r="M3795">
        <v>40.11</v>
      </c>
      <c r="N3795" t="s">
        <v>10236</v>
      </c>
    </row>
    <row r="3796" spans="1:14">
      <c r="A3796" t="s">
        <v>29</v>
      </c>
      <c r="B3796" t="s">
        <v>3936</v>
      </c>
      <c r="C3796">
        <f>"HW602B"</f>
        <v>0</v>
      </c>
      <c r="D3796">
        <v>0</v>
      </c>
      <c r="E3796">
        <v>0</v>
      </c>
      <c r="F3796" s="2">
        <v>0</v>
      </c>
      <c r="H3796">
        <v>0</v>
      </c>
      <c r="I3796">
        <v>0.1741125760648204</v>
      </c>
      <c r="J3796">
        <v>0</v>
      </c>
      <c r="K3796">
        <v>0</v>
      </c>
      <c r="L3796" s="2">
        <v>0</v>
      </c>
      <c r="M3796">
        <v>40.12</v>
      </c>
      <c r="N3796" t="s">
        <v>10236</v>
      </c>
    </row>
    <row r="3797" spans="1:14">
      <c r="A3797" t="s">
        <v>223</v>
      </c>
      <c r="B3797" t="s">
        <v>3937</v>
      </c>
      <c r="C3797">
        <f>"5437075"</f>
        <v>0</v>
      </c>
      <c r="D3797">
        <v>0</v>
      </c>
      <c r="E3797">
        <v>0</v>
      </c>
      <c r="F3797" s="2">
        <v>0</v>
      </c>
      <c r="H3797">
        <v>0</v>
      </c>
      <c r="I3797">
        <v>0.1741125760648204</v>
      </c>
      <c r="J3797">
        <v>0</v>
      </c>
      <c r="K3797">
        <v>0</v>
      </c>
      <c r="L3797" s="2">
        <v>0</v>
      </c>
      <c r="M3797">
        <v>40.13</v>
      </c>
      <c r="N3797" t="s">
        <v>10236</v>
      </c>
    </row>
    <row r="3798" spans="1:14">
      <c r="A3798" t="s">
        <v>25</v>
      </c>
      <c r="B3798" t="s">
        <v>3938</v>
      </c>
      <c r="C3798">
        <f>"40403"</f>
        <v>0</v>
      </c>
      <c r="D3798">
        <v>0</v>
      </c>
      <c r="E3798">
        <v>0</v>
      </c>
      <c r="F3798" s="2">
        <v>0</v>
      </c>
      <c r="H3798">
        <v>0</v>
      </c>
      <c r="I3798">
        <v>0.1741125760648204</v>
      </c>
      <c r="J3798">
        <v>0</v>
      </c>
      <c r="K3798">
        <v>0</v>
      </c>
      <c r="L3798" s="2">
        <v>0</v>
      </c>
      <c r="M3798">
        <v>40.14</v>
      </c>
      <c r="N3798" t="s">
        <v>10236</v>
      </c>
    </row>
    <row r="3799" spans="1:14">
      <c r="A3799" t="s">
        <v>194</v>
      </c>
      <c r="B3799" t="s">
        <v>3939</v>
      </c>
      <c r="C3799">
        <f>"5045010"</f>
        <v>0</v>
      </c>
      <c r="D3799">
        <v>0</v>
      </c>
      <c r="E3799">
        <v>0</v>
      </c>
      <c r="F3799" s="2">
        <v>0</v>
      </c>
      <c r="H3799">
        <v>0</v>
      </c>
      <c r="I3799">
        <v>0.1741125760648204</v>
      </c>
      <c r="J3799">
        <v>0</v>
      </c>
      <c r="K3799">
        <v>0</v>
      </c>
      <c r="L3799" s="2">
        <v>0</v>
      </c>
      <c r="M3799">
        <v>40.15</v>
      </c>
      <c r="N3799" t="s">
        <v>10236</v>
      </c>
    </row>
    <row r="3800" spans="1:14">
      <c r="A3800" t="s">
        <v>195</v>
      </c>
      <c r="B3800" t="s">
        <v>3940</v>
      </c>
      <c r="C3800">
        <f>"25702061"</f>
        <v>0</v>
      </c>
      <c r="D3800">
        <v>0</v>
      </c>
      <c r="E3800">
        <v>0</v>
      </c>
      <c r="F3800" s="2">
        <v>0</v>
      </c>
      <c r="H3800">
        <v>0</v>
      </c>
      <c r="I3800">
        <v>0.1741125760648204</v>
      </c>
      <c r="J3800">
        <v>0</v>
      </c>
      <c r="K3800">
        <v>0</v>
      </c>
      <c r="L3800" s="2">
        <v>0</v>
      </c>
      <c r="M3800">
        <v>40.16</v>
      </c>
      <c r="N3800" t="s">
        <v>10236</v>
      </c>
    </row>
    <row r="3801" spans="1:14">
      <c r="A3801" t="s">
        <v>195</v>
      </c>
      <c r="B3801" t="s">
        <v>3941</v>
      </c>
      <c r="C3801">
        <f>"25702062"</f>
        <v>0</v>
      </c>
      <c r="D3801">
        <v>0</v>
      </c>
      <c r="E3801">
        <v>0</v>
      </c>
      <c r="F3801" s="2">
        <v>0</v>
      </c>
      <c r="H3801">
        <v>0</v>
      </c>
      <c r="I3801">
        <v>0.1741125760648204</v>
      </c>
      <c r="J3801">
        <v>0</v>
      </c>
      <c r="K3801">
        <v>0</v>
      </c>
      <c r="L3801" s="2">
        <v>0</v>
      </c>
      <c r="M3801">
        <v>40.17</v>
      </c>
      <c r="N3801" t="s">
        <v>10236</v>
      </c>
    </row>
    <row r="3802" spans="1:14">
      <c r="A3802" t="s">
        <v>195</v>
      </c>
      <c r="B3802" t="s">
        <v>3942</v>
      </c>
      <c r="C3802">
        <f>"25702060"</f>
        <v>0</v>
      </c>
      <c r="D3802">
        <v>0</v>
      </c>
      <c r="E3802">
        <v>0</v>
      </c>
      <c r="F3802" s="2">
        <v>0</v>
      </c>
      <c r="H3802">
        <v>0</v>
      </c>
      <c r="I3802">
        <v>0.1741125760648204</v>
      </c>
      <c r="J3802">
        <v>0</v>
      </c>
      <c r="K3802">
        <v>0</v>
      </c>
      <c r="L3802" s="2">
        <v>0</v>
      </c>
      <c r="M3802">
        <v>40.18</v>
      </c>
      <c r="N3802" t="s">
        <v>10236</v>
      </c>
    </row>
    <row r="3803" spans="1:14">
      <c r="A3803" t="s">
        <v>195</v>
      </c>
      <c r="B3803" t="s">
        <v>3943</v>
      </c>
      <c r="C3803">
        <f>"25702092"</f>
        <v>0</v>
      </c>
      <c r="D3803">
        <v>0</v>
      </c>
      <c r="E3803">
        <v>0</v>
      </c>
      <c r="F3803" s="2">
        <v>0</v>
      </c>
      <c r="H3803">
        <v>0</v>
      </c>
      <c r="I3803">
        <v>0.1741125760648204</v>
      </c>
      <c r="J3803">
        <v>0</v>
      </c>
      <c r="K3803">
        <v>0</v>
      </c>
      <c r="L3803" s="2">
        <v>0</v>
      </c>
      <c r="M3803">
        <v>40.18</v>
      </c>
      <c r="N3803" t="s">
        <v>10236</v>
      </c>
    </row>
    <row r="3804" spans="1:14">
      <c r="A3804" t="s">
        <v>195</v>
      </c>
      <c r="B3804" t="s">
        <v>3944</v>
      </c>
      <c r="C3804">
        <f>"25702051"</f>
        <v>0</v>
      </c>
      <c r="D3804">
        <v>0</v>
      </c>
      <c r="E3804">
        <v>0</v>
      </c>
      <c r="F3804" s="2">
        <v>0</v>
      </c>
      <c r="H3804">
        <v>0</v>
      </c>
      <c r="I3804">
        <v>0.1741125760648204</v>
      </c>
      <c r="J3804">
        <v>0</v>
      </c>
      <c r="K3804">
        <v>0</v>
      </c>
      <c r="L3804" s="2">
        <v>0</v>
      </c>
      <c r="M3804">
        <v>40.19</v>
      </c>
      <c r="N3804" t="s">
        <v>10236</v>
      </c>
    </row>
    <row r="3805" spans="1:14">
      <c r="A3805" t="s">
        <v>195</v>
      </c>
      <c r="B3805" t="s">
        <v>3945</v>
      </c>
      <c r="C3805">
        <f>"25702052"</f>
        <v>0</v>
      </c>
      <c r="D3805">
        <v>0</v>
      </c>
      <c r="E3805">
        <v>0</v>
      </c>
      <c r="F3805" s="2">
        <v>0</v>
      </c>
      <c r="H3805">
        <v>0</v>
      </c>
      <c r="I3805">
        <v>0.1741125760648204</v>
      </c>
      <c r="J3805">
        <v>0</v>
      </c>
      <c r="K3805">
        <v>0</v>
      </c>
      <c r="L3805" s="2">
        <v>0</v>
      </c>
      <c r="M3805">
        <v>40.2</v>
      </c>
      <c r="N3805" t="s">
        <v>10236</v>
      </c>
    </row>
    <row r="3806" spans="1:14">
      <c r="A3806" t="s">
        <v>195</v>
      </c>
      <c r="B3806" t="s">
        <v>3946</v>
      </c>
      <c r="C3806">
        <f>"25702050"</f>
        <v>0</v>
      </c>
      <c r="D3806">
        <v>0</v>
      </c>
      <c r="E3806">
        <v>0</v>
      </c>
      <c r="F3806" s="2">
        <v>0</v>
      </c>
      <c r="H3806">
        <v>0</v>
      </c>
      <c r="I3806">
        <v>0.1741125760648204</v>
      </c>
      <c r="J3806">
        <v>0</v>
      </c>
      <c r="K3806">
        <v>0</v>
      </c>
      <c r="L3806" s="2">
        <v>0</v>
      </c>
      <c r="M3806">
        <v>40.21</v>
      </c>
      <c r="N3806" t="s">
        <v>10236</v>
      </c>
    </row>
    <row r="3807" spans="1:14">
      <c r="A3807" t="s">
        <v>35</v>
      </c>
      <c r="B3807" t="s">
        <v>3947</v>
      </c>
      <c r="C3807">
        <f>"07646"</f>
        <v>0</v>
      </c>
      <c r="D3807">
        <v>0</v>
      </c>
      <c r="E3807">
        <v>0</v>
      </c>
      <c r="F3807" s="2">
        <v>0</v>
      </c>
      <c r="H3807">
        <v>0</v>
      </c>
      <c r="I3807">
        <v>0.1741125760648204</v>
      </c>
      <c r="J3807">
        <v>0</v>
      </c>
      <c r="K3807">
        <v>0</v>
      </c>
      <c r="L3807" s="2">
        <v>0</v>
      </c>
      <c r="M3807">
        <v>40.22</v>
      </c>
      <c r="N3807" t="s">
        <v>10236</v>
      </c>
    </row>
    <row r="3808" spans="1:14">
      <c r="A3808" t="s">
        <v>223</v>
      </c>
      <c r="B3808" t="s">
        <v>3948</v>
      </c>
      <c r="C3808">
        <f>"2425030"</f>
        <v>0</v>
      </c>
      <c r="D3808">
        <v>0</v>
      </c>
      <c r="E3808">
        <v>0</v>
      </c>
      <c r="F3808" s="2">
        <v>0</v>
      </c>
      <c r="H3808">
        <v>0</v>
      </c>
      <c r="I3808">
        <v>0.1741125760648204</v>
      </c>
      <c r="J3808">
        <v>0</v>
      </c>
      <c r="K3808">
        <v>0</v>
      </c>
      <c r="L3808" s="2">
        <v>0</v>
      </c>
      <c r="M3808">
        <v>40.23</v>
      </c>
      <c r="N3808" t="s">
        <v>10236</v>
      </c>
    </row>
    <row r="3809" spans="1:14">
      <c r="A3809" t="s">
        <v>223</v>
      </c>
      <c r="B3809" t="s">
        <v>3949</v>
      </c>
      <c r="C3809">
        <f>"10200019"</f>
        <v>0</v>
      </c>
      <c r="D3809">
        <v>0</v>
      </c>
      <c r="E3809">
        <v>0</v>
      </c>
      <c r="F3809" s="2">
        <v>0</v>
      </c>
      <c r="H3809">
        <v>0</v>
      </c>
      <c r="I3809">
        <v>0.1741125760648204</v>
      </c>
      <c r="J3809">
        <v>0</v>
      </c>
      <c r="K3809">
        <v>0</v>
      </c>
      <c r="L3809" s="2">
        <v>0</v>
      </c>
      <c r="M3809">
        <v>40.24</v>
      </c>
      <c r="N3809" t="s">
        <v>10236</v>
      </c>
    </row>
    <row r="3810" spans="1:14">
      <c r="A3810" t="s">
        <v>35</v>
      </c>
      <c r="B3810" t="s">
        <v>3950</v>
      </c>
      <c r="C3810">
        <f>"10200093"</f>
        <v>0</v>
      </c>
      <c r="D3810">
        <v>0</v>
      </c>
      <c r="E3810">
        <v>0</v>
      </c>
      <c r="F3810" s="2">
        <v>0</v>
      </c>
      <c r="H3810">
        <v>0</v>
      </c>
      <c r="I3810">
        <v>0.1741125760648204</v>
      </c>
      <c r="J3810">
        <v>0</v>
      </c>
      <c r="K3810">
        <v>0</v>
      </c>
      <c r="L3810" s="2">
        <v>0</v>
      </c>
      <c r="M3810">
        <v>40.25</v>
      </c>
      <c r="N3810" t="s">
        <v>10236</v>
      </c>
    </row>
    <row r="3811" spans="1:14">
      <c r="A3811" t="s">
        <v>223</v>
      </c>
      <c r="B3811" t="s">
        <v>3951</v>
      </c>
      <c r="C3811">
        <f>"5426150"</f>
        <v>0</v>
      </c>
      <c r="D3811">
        <v>0</v>
      </c>
      <c r="E3811">
        <v>0</v>
      </c>
      <c r="F3811" s="2">
        <v>0</v>
      </c>
      <c r="H3811">
        <v>0</v>
      </c>
      <c r="I3811">
        <v>0.1741125760648204</v>
      </c>
      <c r="J3811">
        <v>0</v>
      </c>
      <c r="K3811">
        <v>0</v>
      </c>
      <c r="L3811" s="2">
        <v>0</v>
      </c>
      <c r="M3811">
        <v>40.26</v>
      </c>
      <c r="N3811" t="s">
        <v>10236</v>
      </c>
    </row>
    <row r="3812" spans="1:14">
      <c r="A3812" t="s">
        <v>195</v>
      </c>
      <c r="B3812" t="s">
        <v>3952</v>
      </c>
      <c r="C3812">
        <f>"25395728"</f>
        <v>0</v>
      </c>
      <c r="D3812">
        <v>0</v>
      </c>
      <c r="E3812">
        <v>0</v>
      </c>
      <c r="F3812" s="2">
        <v>0</v>
      </c>
      <c r="H3812">
        <v>0</v>
      </c>
      <c r="I3812">
        <v>0.1741125760648204</v>
      </c>
      <c r="J3812">
        <v>0</v>
      </c>
      <c r="K3812">
        <v>0</v>
      </c>
      <c r="L3812" s="2">
        <v>0</v>
      </c>
      <c r="M3812">
        <v>40.27</v>
      </c>
      <c r="N3812" t="s">
        <v>10236</v>
      </c>
    </row>
    <row r="3813" spans="1:14">
      <c r="A3813" t="s">
        <v>223</v>
      </c>
      <c r="B3813" t="s">
        <v>3953</v>
      </c>
      <c r="C3813">
        <f>"5426151"</f>
        <v>0</v>
      </c>
      <c r="D3813">
        <v>0</v>
      </c>
      <c r="E3813">
        <v>0</v>
      </c>
      <c r="F3813" s="2">
        <v>0</v>
      </c>
      <c r="H3813">
        <v>0</v>
      </c>
      <c r="I3813">
        <v>0.1741125760648204</v>
      </c>
      <c r="J3813">
        <v>0</v>
      </c>
      <c r="K3813">
        <v>0</v>
      </c>
      <c r="L3813" s="2">
        <v>0</v>
      </c>
      <c r="M3813">
        <v>40.28</v>
      </c>
      <c r="N3813" t="s">
        <v>10236</v>
      </c>
    </row>
    <row r="3814" spans="1:14">
      <c r="A3814" t="s">
        <v>35</v>
      </c>
      <c r="B3814" t="s">
        <v>3954</v>
      </c>
      <c r="C3814">
        <f>"ZJ325003M"</f>
        <v>0</v>
      </c>
      <c r="D3814">
        <v>0</v>
      </c>
      <c r="E3814">
        <v>21</v>
      </c>
      <c r="F3814" s="2">
        <v>2</v>
      </c>
      <c r="H3814">
        <v>0</v>
      </c>
      <c r="I3814">
        <v>0.1741125760648204</v>
      </c>
      <c r="J3814">
        <v>0</v>
      </c>
      <c r="K3814">
        <v>0</v>
      </c>
      <c r="L3814" s="2">
        <v>0</v>
      </c>
      <c r="M3814">
        <v>40.29</v>
      </c>
      <c r="N3814" t="s">
        <v>10236</v>
      </c>
    </row>
    <row r="3815" spans="1:14">
      <c r="A3815" t="s">
        <v>35</v>
      </c>
      <c r="B3815" t="s">
        <v>3955</v>
      </c>
      <c r="C3815">
        <f>"ZJ325003L"</f>
        <v>0</v>
      </c>
      <c r="D3815">
        <v>0</v>
      </c>
      <c r="E3815">
        <v>14</v>
      </c>
      <c r="F3815" s="2">
        <v>4</v>
      </c>
      <c r="H3815">
        <v>0</v>
      </c>
      <c r="I3815">
        <v>0.1741125760648204</v>
      </c>
      <c r="J3815">
        <v>0</v>
      </c>
      <c r="K3815">
        <v>0</v>
      </c>
      <c r="L3815" s="2">
        <v>0</v>
      </c>
      <c r="M3815">
        <v>40.3</v>
      </c>
      <c r="N3815" t="s">
        <v>10236</v>
      </c>
    </row>
    <row r="3816" spans="1:14">
      <c r="A3816" t="s">
        <v>35</v>
      </c>
      <c r="B3816" t="s">
        <v>3956</v>
      </c>
      <c r="C3816">
        <f>"WD05240"</f>
        <v>0</v>
      </c>
      <c r="D3816">
        <v>0</v>
      </c>
      <c r="E3816">
        <v>0</v>
      </c>
      <c r="F3816" s="2">
        <v>0</v>
      </c>
      <c r="H3816">
        <v>0</v>
      </c>
      <c r="I3816">
        <v>0.1741125760648204</v>
      </c>
      <c r="J3816">
        <v>0</v>
      </c>
      <c r="K3816">
        <v>0</v>
      </c>
      <c r="L3816" s="2">
        <v>0</v>
      </c>
      <c r="M3816">
        <v>40.3</v>
      </c>
      <c r="N3816" t="s">
        <v>10236</v>
      </c>
    </row>
    <row r="3817" spans="1:14">
      <c r="A3817" t="s">
        <v>35</v>
      </c>
      <c r="B3817" t="s">
        <v>3957</v>
      </c>
      <c r="C3817">
        <f>"MSPB01G"</f>
        <v>0</v>
      </c>
      <c r="D3817">
        <v>0</v>
      </c>
      <c r="E3817">
        <v>0</v>
      </c>
      <c r="F3817" s="2">
        <v>0</v>
      </c>
      <c r="H3817">
        <v>0</v>
      </c>
      <c r="I3817">
        <v>0.1741125760648204</v>
      </c>
      <c r="J3817">
        <v>0</v>
      </c>
      <c r="K3817">
        <v>0</v>
      </c>
      <c r="L3817" s="2">
        <v>0</v>
      </c>
      <c r="M3817">
        <v>40.31</v>
      </c>
      <c r="N3817" t="s">
        <v>10236</v>
      </c>
    </row>
    <row r="3818" spans="1:14">
      <c r="A3818" t="s">
        <v>35</v>
      </c>
      <c r="B3818" t="s">
        <v>3958</v>
      </c>
      <c r="C3818">
        <f>"MSP001V"</f>
        <v>0</v>
      </c>
      <c r="D3818">
        <v>0</v>
      </c>
      <c r="E3818">
        <v>0</v>
      </c>
      <c r="F3818" s="2">
        <v>0</v>
      </c>
      <c r="H3818">
        <v>0</v>
      </c>
      <c r="I3818">
        <v>0.1741125760648204</v>
      </c>
      <c r="J3818">
        <v>0</v>
      </c>
      <c r="K3818">
        <v>0</v>
      </c>
      <c r="L3818" s="2">
        <v>0</v>
      </c>
      <c r="M3818">
        <v>40.32</v>
      </c>
      <c r="N3818" t="s">
        <v>10236</v>
      </c>
    </row>
    <row r="3819" spans="1:14">
      <c r="A3819" t="s">
        <v>35</v>
      </c>
      <c r="B3819" t="s">
        <v>3959</v>
      </c>
      <c r="C3819">
        <f>"MSP001M"</f>
        <v>0</v>
      </c>
      <c r="D3819">
        <v>0</v>
      </c>
      <c r="E3819">
        <v>0</v>
      </c>
      <c r="F3819" s="2">
        <v>0</v>
      </c>
      <c r="H3819">
        <v>0</v>
      </c>
      <c r="I3819">
        <v>0.1741125760648204</v>
      </c>
      <c r="J3819">
        <v>0</v>
      </c>
      <c r="K3819">
        <v>0</v>
      </c>
      <c r="L3819" s="2">
        <v>0</v>
      </c>
      <c r="M3819">
        <v>40.33</v>
      </c>
      <c r="N3819" t="s">
        <v>10236</v>
      </c>
    </row>
    <row r="3820" spans="1:14">
      <c r="A3820" t="s">
        <v>35</v>
      </c>
      <c r="B3820" t="s">
        <v>3960</v>
      </c>
      <c r="C3820">
        <f>"MSP001A"</f>
        <v>0</v>
      </c>
      <c r="D3820">
        <v>0</v>
      </c>
      <c r="E3820">
        <v>0</v>
      </c>
      <c r="F3820" s="2">
        <v>0</v>
      </c>
      <c r="H3820">
        <v>0</v>
      </c>
      <c r="I3820">
        <v>0.1741125760648204</v>
      </c>
      <c r="J3820">
        <v>0</v>
      </c>
      <c r="K3820">
        <v>0</v>
      </c>
      <c r="L3820" s="2">
        <v>0</v>
      </c>
      <c r="M3820">
        <v>40.34</v>
      </c>
      <c r="N3820" t="s">
        <v>10236</v>
      </c>
    </row>
    <row r="3821" spans="1:14">
      <c r="A3821" t="s">
        <v>222</v>
      </c>
      <c r="B3821" t="s">
        <v>3961</v>
      </c>
      <c r="C3821">
        <f>"GBM20"</f>
        <v>0</v>
      </c>
      <c r="D3821">
        <v>0</v>
      </c>
      <c r="E3821">
        <v>1</v>
      </c>
      <c r="F3821" s="2">
        <v>20</v>
      </c>
      <c r="H3821">
        <v>0</v>
      </c>
      <c r="I3821">
        <v>0.1741125760648204</v>
      </c>
      <c r="J3821">
        <v>0</v>
      </c>
      <c r="K3821">
        <v>0</v>
      </c>
      <c r="L3821" s="2">
        <v>0</v>
      </c>
      <c r="M3821">
        <v>40.35</v>
      </c>
      <c r="N3821" t="s">
        <v>10236</v>
      </c>
    </row>
    <row r="3822" spans="1:14">
      <c r="A3822" t="s">
        <v>222</v>
      </c>
      <c r="B3822" t="s">
        <v>3962</v>
      </c>
      <c r="C3822">
        <f>"GBL20"</f>
        <v>0</v>
      </c>
      <c r="D3822">
        <v>0</v>
      </c>
      <c r="E3822">
        <v>1</v>
      </c>
      <c r="F3822" s="2">
        <v>21</v>
      </c>
      <c r="H3822">
        <v>0</v>
      </c>
      <c r="I3822">
        <v>0.1741125760648204</v>
      </c>
      <c r="J3822">
        <v>0</v>
      </c>
      <c r="K3822">
        <v>0</v>
      </c>
      <c r="L3822" s="2">
        <v>0</v>
      </c>
      <c r="M3822">
        <v>40.36</v>
      </c>
      <c r="N3822" t="s">
        <v>10236</v>
      </c>
    </row>
    <row r="3823" spans="1:14">
      <c r="A3823" t="s">
        <v>223</v>
      </c>
      <c r="B3823" t="s">
        <v>3963</v>
      </c>
      <c r="C3823">
        <f>"5006129"</f>
        <v>0</v>
      </c>
      <c r="D3823">
        <v>0</v>
      </c>
      <c r="E3823">
        <v>0</v>
      </c>
      <c r="F3823" s="2">
        <v>0</v>
      </c>
      <c r="H3823">
        <v>0</v>
      </c>
      <c r="I3823">
        <v>0.1741125760648204</v>
      </c>
      <c r="J3823">
        <v>0</v>
      </c>
      <c r="K3823">
        <v>0</v>
      </c>
      <c r="L3823" s="2">
        <v>0</v>
      </c>
      <c r="M3823">
        <v>40.37</v>
      </c>
      <c r="N3823" t="s">
        <v>10236</v>
      </c>
    </row>
    <row r="3824" spans="1:14">
      <c r="A3824" t="s">
        <v>223</v>
      </c>
      <c r="B3824" t="s">
        <v>3964</v>
      </c>
      <c r="C3824">
        <f>"5001025"</f>
        <v>0</v>
      </c>
      <c r="D3824">
        <v>0</v>
      </c>
      <c r="E3824">
        <v>0</v>
      </c>
      <c r="F3824" s="2">
        <v>0</v>
      </c>
      <c r="H3824">
        <v>0</v>
      </c>
      <c r="I3824">
        <v>0.1741125760648204</v>
      </c>
      <c r="J3824">
        <v>0</v>
      </c>
      <c r="K3824">
        <v>0</v>
      </c>
      <c r="L3824" s="2">
        <v>0</v>
      </c>
      <c r="M3824">
        <v>40.38</v>
      </c>
      <c r="N3824" t="s">
        <v>10236</v>
      </c>
    </row>
    <row r="3825" spans="1:14">
      <c r="A3825" t="s">
        <v>35</v>
      </c>
      <c r="B3825" t="s">
        <v>3965</v>
      </c>
      <c r="C3825">
        <f>"FV002"</f>
        <v>0</v>
      </c>
      <c r="D3825">
        <v>0</v>
      </c>
      <c r="E3825">
        <v>0</v>
      </c>
      <c r="F3825" s="2">
        <v>0</v>
      </c>
      <c r="H3825">
        <v>0</v>
      </c>
      <c r="I3825">
        <v>0.1741125760648204</v>
      </c>
      <c r="J3825">
        <v>0</v>
      </c>
      <c r="K3825">
        <v>0</v>
      </c>
      <c r="L3825" s="2">
        <v>0</v>
      </c>
      <c r="M3825">
        <v>40.39</v>
      </c>
      <c r="N3825" t="s">
        <v>10236</v>
      </c>
    </row>
    <row r="3826" spans="1:14">
      <c r="A3826" t="s">
        <v>196</v>
      </c>
      <c r="B3826" t="s">
        <v>3966</v>
      </c>
      <c r="C3826">
        <f>"2544"</f>
        <v>0</v>
      </c>
      <c r="D3826">
        <v>0</v>
      </c>
      <c r="E3826">
        <v>0</v>
      </c>
      <c r="F3826" s="2">
        <v>0</v>
      </c>
      <c r="H3826">
        <v>0</v>
      </c>
      <c r="I3826">
        <v>0.1741125760648204</v>
      </c>
      <c r="J3826">
        <v>0</v>
      </c>
      <c r="K3826">
        <v>0</v>
      </c>
      <c r="L3826" s="2">
        <v>0</v>
      </c>
      <c r="M3826">
        <v>40.4</v>
      </c>
      <c r="N3826" t="s">
        <v>10236</v>
      </c>
    </row>
    <row r="3827" spans="1:14">
      <c r="A3827" t="s">
        <v>196</v>
      </c>
      <c r="B3827" t="s">
        <v>3967</v>
      </c>
      <c r="C3827">
        <f>"2545"</f>
        <v>0</v>
      </c>
      <c r="D3827">
        <v>0</v>
      </c>
      <c r="E3827">
        <v>0</v>
      </c>
      <c r="F3827" s="2">
        <v>0</v>
      </c>
      <c r="H3827">
        <v>0</v>
      </c>
      <c r="I3827">
        <v>0.1741125760648204</v>
      </c>
      <c r="J3827">
        <v>0</v>
      </c>
      <c r="K3827">
        <v>0</v>
      </c>
      <c r="L3827" s="2">
        <v>0</v>
      </c>
      <c r="M3827">
        <v>40.41</v>
      </c>
      <c r="N3827" t="s">
        <v>10236</v>
      </c>
    </row>
    <row r="3828" spans="1:14">
      <c r="A3828" t="s">
        <v>223</v>
      </c>
      <c r="B3828" t="s">
        <v>3968</v>
      </c>
      <c r="C3828">
        <f>"5633150"</f>
        <v>0</v>
      </c>
      <c r="D3828">
        <v>0</v>
      </c>
      <c r="E3828">
        <v>0</v>
      </c>
      <c r="F3828" s="2">
        <v>0</v>
      </c>
      <c r="H3828">
        <v>0</v>
      </c>
      <c r="I3828">
        <v>0.1741125760648204</v>
      </c>
      <c r="J3828">
        <v>0</v>
      </c>
      <c r="K3828">
        <v>0</v>
      </c>
      <c r="L3828" s="2">
        <v>0</v>
      </c>
      <c r="M3828">
        <v>40.41</v>
      </c>
      <c r="N3828" t="s">
        <v>10236</v>
      </c>
    </row>
    <row r="3829" spans="1:14">
      <c r="A3829" t="s">
        <v>195</v>
      </c>
      <c r="B3829" t="s">
        <v>3969</v>
      </c>
      <c r="C3829">
        <f>"25395726"</f>
        <v>0</v>
      </c>
      <c r="D3829">
        <v>0</v>
      </c>
      <c r="E3829">
        <v>0</v>
      </c>
      <c r="F3829" s="2">
        <v>0</v>
      </c>
      <c r="H3829">
        <v>0</v>
      </c>
      <c r="I3829">
        <v>0.1741125760648204</v>
      </c>
      <c r="J3829">
        <v>0</v>
      </c>
      <c r="K3829">
        <v>0</v>
      </c>
      <c r="L3829" s="2">
        <v>0</v>
      </c>
      <c r="M3829">
        <v>40.42</v>
      </c>
      <c r="N3829" t="s">
        <v>10236</v>
      </c>
    </row>
    <row r="3830" spans="1:14">
      <c r="A3830" t="s">
        <v>195</v>
      </c>
      <c r="B3830" t="s">
        <v>3970</v>
      </c>
      <c r="C3830">
        <f>"25395700"</f>
        <v>0</v>
      </c>
      <c r="D3830">
        <v>0</v>
      </c>
      <c r="E3830">
        <v>0</v>
      </c>
      <c r="F3830" s="2">
        <v>0</v>
      </c>
      <c r="H3830">
        <v>0</v>
      </c>
      <c r="I3830">
        <v>0.1741125760648204</v>
      </c>
      <c r="J3830">
        <v>0</v>
      </c>
      <c r="K3830">
        <v>0</v>
      </c>
      <c r="L3830" s="2">
        <v>0</v>
      </c>
      <c r="M3830">
        <v>40.43</v>
      </c>
      <c r="N3830" t="s">
        <v>10236</v>
      </c>
    </row>
    <row r="3831" spans="1:14">
      <c r="A3831" t="s">
        <v>195</v>
      </c>
      <c r="B3831" t="s">
        <v>3971</v>
      </c>
      <c r="C3831">
        <f>"25395701"</f>
        <v>0</v>
      </c>
      <c r="D3831">
        <v>0</v>
      </c>
      <c r="E3831">
        <v>0</v>
      </c>
      <c r="F3831" s="2">
        <v>0</v>
      </c>
      <c r="H3831">
        <v>0</v>
      </c>
      <c r="I3831">
        <v>0.1741125760648204</v>
      </c>
      <c r="J3831">
        <v>0</v>
      </c>
      <c r="K3831">
        <v>0</v>
      </c>
      <c r="L3831" s="2">
        <v>0</v>
      </c>
      <c r="M3831">
        <v>40.44</v>
      </c>
      <c r="N3831" t="s">
        <v>10236</v>
      </c>
    </row>
    <row r="3832" spans="1:14">
      <c r="A3832" t="s">
        <v>195</v>
      </c>
      <c r="B3832" t="s">
        <v>3972</v>
      </c>
      <c r="C3832">
        <f>"25395702"</f>
        <v>0</v>
      </c>
      <c r="D3832">
        <v>0</v>
      </c>
      <c r="E3832">
        <v>0</v>
      </c>
      <c r="F3832" s="2">
        <v>0</v>
      </c>
      <c r="H3832">
        <v>0</v>
      </c>
      <c r="I3832">
        <v>0.1741125760648204</v>
      </c>
      <c r="J3832">
        <v>0</v>
      </c>
      <c r="K3832">
        <v>0</v>
      </c>
      <c r="L3832" s="2">
        <v>0</v>
      </c>
      <c r="M3832">
        <v>40.45</v>
      </c>
      <c r="N3832" t="s">
        <v>10236</v>
      </c>
    </row>
    <row r="3833" spans="1:14">
      <c r="A3833" t="s">
        <v>218</v>
      </c>
      <c r="B3833" t="s">
        <v>3973</v>
      </c>
      <c r="C3833">
        <f>"5006352"</f>
        <v>0</v>
      </c>
      <c r="D3833">
        <v>0</v>
      </c>
      <c r="E3833">
        <v>0</v>
      </c>
      <c r="F3833" s="2">
        <v>0</v>
      </c>
      <c r="H3833">
        <v>0</v>
      </c>
      <c r="I3833">
        <v>0.1741125760648204</v>
      </c>
      <c r="J3833">
        <v>0</v>
      </c>
      <c r="K3833">
        <v>0</v>
      </c>
      <c r="L3833" s="2">
        <v>0</v>
      </c>
      <c r="M3833">
        <v>40.46</v>
      </c>
      <c r="N3833" t="s">
        <v>10236</v>
      </c>
    </row>
    <row r="3834" spans="1:14">
      <c r="A3834" t="s">
        <v>216</v>
      </c>
      <c r="B3834" t="s">
        <v>3974</v>
      </c>
      <c r="C3834">
        <f>"MELANOPREA"</f>
        <v>0</v>
      </c>
      <c r="D3834">
        <v>0</v>
      </c>
      <c r="E3834">
        <v>0</v>
      </c>
      <c r="F3834" s="2">
        <v>0</v>
      </c>
      <c r="H3834">
        <v>0</v>
      </c>
      <c r="I3834">
        <v>0.1741125760648204</v>
      </c>
      <c r="J3834">
        <v>0</v>
      </c>
      <c r="K3834">
        <v>0</v>
      </c>
      <c r="L3834" s="2">
        <v>0</v>
      </c>
      <c r="M3834">
        <v>40.47</v>
      </c>
      <c r="N3834" t="s">
        <v>10236</v>
      </c>
    </row>
    <row r="3835" spans="1:14">
      <c r="A3835" t="s">
        <v>223</v>
      </c>
      <c r="B3835" t="s">
        <v>3975</v>
      </c>
      <c r="C3835">
        <f>"5624100"</f>
        <v>0</v>
      </c>
      <c r="D3835">
        <v>0</v>
      </c>
      <c r="E3835">
        <v>0</v>
      </c>
      <c r="F3835" s="2">
        <v>0</v>
      </c>
      <c r="H3835">
        <v>0</v>
      </c>
      <c r="I3835">
        <v>0.1741125760648204</v>
      </c>
      <c r="J3835">
        <v>0</v>
      </c>
      <c r="K3835">
        <v>0</v>
      </c>
      <c r="L3835" s="2">
        <v>0</v>
      </c>
      <c r="M3835">
        <v>40.48</v>
      </c>
      <c r="N3835" t="s">
        <v>10236</v>
      </c>
    </row>
    <row r="3836" spans="1:14">
      <c r="A3836" t="s">
        <v>35</v>
      </c>
      <c r="B3836" t="s">
        <v>3976</v>
      </c>
      <c r="C3836">
        <f>"07660"</f>
        <v>0</v>
      </c>
      <c r="D3836">
        <v>0</v>
      </c>
      <c r="E3836">
        <v>0</v>
      </c>
      <c r="F3836" s="2">
        <v>0</v>
      </c>
      <c r="H3836">
        <v>0</v>
      </c>
      <c r="I3836">
        <v>0.1741125760648204</v>
      </c>
      <c r="J3836">
        <v>0</v>
      </c>
      <c r="K3836">
        <v>0</v>
      </c>
      <c r="L3836" s="2">
        <v>0</v>
      </c>
      <c r="M3836">
        <v>40.49</v>
      </c>
      <c r="N3836" t="s">
        <v>10236</v>
      </c>
    </row>
    <row r="3837" spans="1:14">
      <c r="A3837" t="s">
        <v>35</v>
      </c>
      <c r="B3837" t="s">
        <v>3977</v>
      </c>
      <c r="C3837">
        <f>"07653"</f>
        <v>0</v>
      </c>
      <c r="D3837">
        <v>0</v>
      </c>
      <c r="E3837">
        <v>0</v>
      </c>
      <c r="F3837" s="2">
        <v>0</v>
      </c>
      <c r="H3837">
        <v>0</v>
      </c>
      <c r="I3837">
        <v>0.1741125760648204</v>
      </c>
      <c r="J3837">
        <v>0</v>
      </c>
      <c r="K3837">
        <v>0</v>
      </c>
      <c r="L3837" s="2">
        <v>0</v>
      </c>
      <c r="M3837">
        <v>40.5</v>
      </c>
      <c r="N3837" t="s">
        <v>10236</v>
      </c>
    </row>
    <row r="3838" spans="1:14">
      <c r="A3838" t="s">
        <v>32</v>
      </c>
      <c r="B3838" t="s">
        <v>3978</v>
      </c>
      <c r="C3838">
        <f>"1013763"</f>
        <v>0</v>
      </c>
      <c r="D3838">
        <v>0</v>
      </c>
      <c r="E3838">
        <v>0</v>
      </c>
      <c r="F3838" s="2">
        <v>0</v>
      </c>
      <c r="H3838">
        <v>0</v>
      </c>
      <c r="I3838">
        <v>0.1741125760648204</v>
      </c>
      <c r="J3838">
        <v>0</v>
      </c>
      <c r="K3838">
        <v>0</v>
      </c>
      <c r="L3838" s="2">
        <v>0</v>
      </c>
      <c r="M3838">
        <v>40.51</v>
      </c>
      <c r="N3838" t="s">
        <v>10236</v>
      </c>
    </row>
    <row r="3839" spans="1:14">
      <c r="A3839" t="s">
        <v>218</v>
      </c>
      <c r="B3839" t="s">
        <v>3979</v>
      </c>
      <c r="C3839">
        <f>"1004265"</f>
        <v>0</v>
      </c>
      <c r="D3839">
        <v>0</v>
      </c>
      <c r="E3839">
        <v>0</v>
      </c>
      <c r="F3839" s="2">
        <v>0</v>
      </c>
      <c r="H3839">
        <v>0</v>
      </c>
      <c r="I3839">
        <v>0.1741125760648204</v>
      </c>
      <c r="J3839">
        <v>0</v>
      </c>
      <c r="K3839">
        <v>0</v>
      </c>
      <c r="L3839" s="2">
        <v>0</v>
      </c>
      <c r="M3839">
        <v>40.52</v>
      </c>
      <c r="N3839" t="s">
        <v>10236</v>
      </c>
    </row>
    <row r="3840" spans="1:14">
      <c r="A3840" t="s">
        <v>194</v>
      </c>
      <c r="B3840" t="s">
        <v>3980</v>
      </c>
      <c r="C3840">
        <f>"4145010"</f>
        <v>0</v>
      </c>
      <c r="D3840">
        <v>0</v>
      </c>
      <c r="E3840">
        <v>0</v>
      </c>
      <c r="F3840" s="2">
        <v>0</v>
      </c>
      <c r="H3840">
        <v>0</v>
      </c>
      <c r="I3840">
        <v>0.1741125760648204</v>
      </c>
      <c r="J3840">
        <v>0</v>
      </c>
      <c r="K3840">
        <v>0</v>
      </c>
      <c r="L3840" s="2">
        <v>0</v>
      </c>
      <c r="M3840">
        <v>40.53</v>
      </c>
      <c r="N3840" t="s">
        <v>10236</v>
      </c>
    </row>
    <row r="3841" spans="1:14">
      <c r="A3841" t="s">
        <v>29</v>
      </c>
      <c r="B3841" t="s">
        <v>3981</v>
      </c>
      <c r="C3841">
        <f>"RS701"</f>
        <v>0</v>
      </c>
      <c r="D3841">
        <v>0</v>
      </c>
      <c r="E3841">
        <v>2</v>
      </c>
      <c r="F3841" s="2">
        <v>2</v>
      </c>
      <c r="H3841">
        <v>0</v>
      </c>
      <c r="I3841">
        <v>0.1741125760648204</v>
      </c>
      <c r="J3841">
        <v>0</v>
      </c>
      <c r="K3841">
        <v>0</v>
      </c>
      <c r="L3841" s="2">
        <v>0</v>
      </c>
      <c r="M3841">
        <v>40.53</v>
      </c>
      <c r="N3841" t="s">
        <v>10236</v>
      </c>
    </row>
    <row r="3842" spans="1:14">
      <c r="A3842" t="s">
        <v>29</v>
      </c>
      <c r="B3842" t="s">
        <v>3982</v>
      </c>
      <c r="C3842">
        <f>"P608"</f>
        <v>0</v>
      </c>
      <c r="D3842">
        <v>0</v>
      </c>
      <c r="E3842">
        <v>1</v>
      </c>
      <c r="F3842" s="2">
        <v>10</v>
      </c>
      <c r="H3842">
        <v>0</v>
      </c>
      <c r="I3842">
        <v>0.1741125760648204</v>
      </c>
      <c r="J3842">
        <v>0</v>
      </c>
      <c r="K3842">
        <v>0</v>
      </c>
      <c r="L3842" s="2">
        <v>0</v>
      </c>
      <c r="M3842">
        <v>40.54</v>
      </c>
      <c r="N3842" t="s">
        <v>10236</v>
      </c>
    </row>
    <row r="3843" spans="1:14">
      <c r="A3843" t="s">
        <v>25</v>
      </c>
      <c r="B3843" t="s">
        <v>3983</v>
      </c>
      <c r="C3843">
        <f>"40402"</f>
        <v>0</v>
      </c>
      <c r="D3843">
        <v>0</v>
      </c>
      <c r="E3843">
        <v>0</v>
      </c>
      <c r="F3843" s="2">
        <v>0</v>
      </c>
      <c r="H3843">
        <v>0</v>
      </c>
      <c r="I3843">
        <v>0.1741125760648204</v>
      </c>
      <c r="J3843">
        <v>0</v>
      </c>
      <c r="K3843">
        <v>0</v>
      </c>
      <c r="L3843" s="2">
        <v>0</v>
      </c>
      <c r="M3843">
        <v>40.55</v>
      </c>
      <c r="N3843" t="s">
        <v>10236</v>
      </c>
    </row>
    <row r="3844" spans="1:14">
      <c r="A3844" t="s">
        <v>35</v>
      </c>
      <c r="B3844" t="s">
        <v>3984</v>
      </c>
      <c r="C3844">
        <f>"ABTB2"</f>
        <v>0</v>
      </c>
      <c r="D3844">
        <v>0</v>
      </c>
      <c r="E3844">
        <v>0</v>
      </c>
      <c r="F3844" s="2">
        <v>0</v>
      </c>
      <c r="H3844">
        <v>0</v>
      </c>
      <c r="I3844">
        <v>0.1741125760648204</v>
      </c>
      <c r="J3844">
        <v>0</v>
      </c>
      <c r="K3844">
        <v>0</v>
      </c>
      <c r="L3844" s="2">
        <v>0</v>
      </c>
      <c r="M3844">
        <v>40.56</v>
      </c>
      <c r="N3844" t="s">
        <v>10236</v>
      </c>
    </row>
    <row r="3845" spans="1:14">
      <c r="A3845" t="s">
        <v>35</v>
      </c>
      <c r="B3845" t="s">
        <v>3985</v>
      </c>
      <c r="C3845">
        <f>"ABTB3"</f>
        <v>0</v>
      </c>
      <c r="D3845">
        <v>0</v>
      </c>
      <c r="E3845">
        <v>0</v>
      </c>
      <c r="F3845" s="2">
        <v>0</v>
      </c>
      <c r="H3845">
        <v>0</v>
      </c>
      <c r="I3845">
        <v>0.1741125760648204</v>
      </c>
      <c r="J3845">
        <v>0</v>
      </c>
      <c r="K3845">
        <v>0</v>
      </c>
      <c r="L3845" s="2">
        <v>0</v>
      </c>
      <c r="M3845">
        <v>40.57</v>
      </c>
      <c r="N3845" t="s">
        <v>10236</v>
      </c>
    </row>
    <row r="3846" spans="1:14">
      <c r="A3846" t="s">
        <v>35</v>
      </c>
      <c r="B3846" t="s">
        <v>3986</v>
      </c>
      <c r="C3846">
        <f>"BOXOUC40L"</f>
        <v>0</v>
      </c>
      <c r="D3846">
        <v>0</v>
      </c>
      <c r="E3846">
        <v>0</v>
      </c>
      <c r="F3846" s="2">
        <v>0</v>
      </c>
      <c r="H3846">
        <v>0</v>
      </c>
      <c r="I3846">
        <v>0.1741125760648204</v>
      </c>
      <c r="J3846">
        <v>0</v>
      </c>
      <c r="K3846">
        <v>0</v>
      </c>
      <c r="L3846" s="2">
        <v>0</v>
      </c>
      <c r="M3846">
        <v>40.58</v>
      </c>
      <c r="N3846" t="s">
        <v>10236</v>
      </c>
    </row>
    <row r="3847" spans="1:14">
      <c r="A3847" t="s">
        <v>25</v>
      </c>
      <c r="B3847" t="s">
        <v>3987</v>
      </c>
      <c r="C3847">
        <f>"BOXOUC20LL"</f>
        <v>0</v>
      </c>
      <c r="D3847">
        <v>0</v>
      </c>
      <c r="E3847">
        <v>1</v>
      </c>
      <c r="F3847" s="2">
        <v>6</v>
      </c>
      <c r="H3847">
        <v>0</v>
      </c>
      <c r="I3847">
        <v>0.1741125760648204</v>
      </c>
      <c r="J3847">
        <v>0</v>
      </c>
      <c r="K3847">
        <v>0</v>
      </c>
      <c r="L3847" s="2">
        <v>0</v>
      </c>
      <c r="M3847">
        <v>40.59</v>
      </c>
      <c r="N3847" t="s">
        <v>10236</v>
      </c>
    </row>
    <row r="3848" spans="1:14">
      <c r="A3848" t="s">
        <v>223</v>
      </c>
      <c r="B3848" t="s">
        <v>3988</v>
      </c>
      <c r="C3848">
        <f>"5500011"</f>
        <v>0</v>
      </c>
      <c r="D3848">
        <v>0</v>
      </c>
      <c r="E3848">
        <v>0</v>
      </c>
      <c r="F3848" s="2">
        <v>0</v>
      </c>
      <c r="H3848">
        <v>0</v>
      </c>
      <c r="I3848">
        <v>0.1741125760648204</v>
      </c>
      <c r="J3848">
        <v>0</v>
      </c>
      <c r="K3848">
        <v>0</v>
      </c>
      <c r="L3848" s="2">
        <v>0</v>
      </c>
      <c r="M3848">
        <v>40.6</v>
      </c>
      <c r="N3848" t="s">
        <v>10236</v>
      </c>
    </row>
    <row r="3849" spans="1:14">
      <c r="A3849" t="s">
        <v>29</v>
      </c>
      <c r="B3849" t="s">
        <v>3989</v>
      </c>
      <c r="C3849">
        <f>"HJ1543"</f>
        <v>0</v>
      </c>
      <c r="D3849">
        <v>0</v>
      </c>
      <c r="E3849">
        <v>1</v>
      </c>
      <c r="F3849" s="2">
        <v>19</v>
      </c>
      <c r="H3849">
        <v>0</v>
      </c>
      <c r="I3849">
        <v>0.1741125760648204</v>
      </c>
      <c r="J3849">
        <v>0</v>
      </c>
      <c r="K3849">
        <v>0</v>
      </c>
      <c r="L3849" s="2">
        <v>0</v>
      </c>
      <c r="M3849">
        <v>40.61</v>
      </c>
      <c r="N3849" t="s">
        <v>10236</v>
      </c>
    </row>
    <row r="3850" spans="1:14">
      <c r="A3850" t="s">
        <v>29</v>
      </c>
      <c r="B3850" t="s">
        <v>3990</v>
      </c>
      <c r="C3850">
        <f>"P200"</f>
        <v>0</v>
      </c>
      <c r="D3850">
        <v>0</v>
      </c>
      <c r="E3850">
        <v>3</v>
      </c>
      <c r="F3850" s="2">
        <v>2</v>
      </c>
      <c r="H3850">
        <v>0</v>
      </c>
      <c r="I3850">
        <v>0.1741125760648204</v>
      </c>
      <c r="J3850">
        <v>0</v>
      </c>
      <c r="K3850">
        <v>0</v>
      </c>
      <c r="L3850" s="2">
        <v>0</v>
      </c>
      <c r="M3850">
        <v>40.62</v>
      </c>
      <c r="N3850" t="s">
        <v>10236</v>
      </c>
    </row>
    <row r="3851" spans="1:14">
      <c r="A3851" t="s">
        <v>29</v>
      </c>
      <c r="B3851" t="s">
        <v>3991</v>
      </c>
      <c r="C3851">
        <f>"P150"</f>
        <v>0</v>
      </c>
      <c r="D3851">
        <v>0</v>
      </c>
      <c r="E3851">
        <v>2</v>
      </c>
      <c r="F3851" s="2">
        <v>3</v>
      </c>
      <c r="H3851">
        <v>0</v>
      </c>
      <c r="I3851">
        <v>0.1741125760648204</v>
      </c>
      <c r="J3851">
        <v>0</v>
      </c>
      <c r="K3851">
        <v>0</v>
      </c>
      <c r="L3851" s="2">
        <v>0</v>
      </c>
      <c r="M3851">
        <v>40.63</v>
      </c>
      <c r="N3851" t="s">
        <v>10236</v>
      </c>
    </row>
    <row r="3852" spans="1:14">
      <c r="A3852" t="s">
        <v>29</v>
      </c>
      <c r="B3852" t="s">
        <v>3992</v>
      </c>
      <c r="C3852">
        <f>"P808"</f>
        <v>0</v>
      </c>
      <c r="D3852">
        <v>0</v>
      </c>
      <c r="E3852">
        <v>1</v>
      </c>
      <c r="F3852" s="2">
        <v>18</v>
      </c>
      <c r="H3852">
        <v>0</v>
      </c>
      <c r="I3852">
        <v>0.1741125760648204</v>
      </c>
      <c r="J3852">
        <v>0</v>
      </c>
      <c r="K3852">
        <v>0</v>
      </c>
      <c r="L3852" s="2">
        <v>0</v>
      </c>
      <c r="M3852">
        <v>40.64</v>
      </c>
      <c r="N3852" t="s">
        <v>10236</v>
      </c>
    </row>
    <row r="3853" spans="1:14">
      <c r="A3853" t="s">
        <v>29</v>
      </c>
      <c r="B3853" t="s">
        <v>3993</v>
      </c>
      <c r="C3853">
        <f>"P708"</f>
        <v>0</v>
      </c>
      <c r="D3853">
        <v>0</v>
      </c>
      <c r="E3853">
        <v>1</v>
      </c>
      <c r="F3853" s="2">
        <v>16</v>
      </c>
      <c r="H3853">
        <v>0</v>
      </c>
      <c r="I3853">
        <v>0.1741125760648204</v>
      </c>
      <c r="J3853">
        <v>0</v>
      </c>
      <c r="K3853">
        <v>0</v>
      </c>
      <c r="L3853" s="2">
        <v>0</v>
      </c>
      <c r="M3853">
        <v>40.65</v>
      </c>
      <c r="N3853" t="s">
        <v>10236</v>
      </c>
    </row>
    <row r="3854" spans="1:14">
      <c r="A3854" t="s">
        <v>29</v>
      </c>
      <c r="B3854" t="s">
        <v>3994</v>
      </c>
      <c r="C3854">
        <f>"HQJ500G"</f>
        <v>0</v>
      </c>
      <c r="D3854">
        <v>0</v>
      </c>
      <c r="E3854">
        <v>1</v>
      </c>
      <c r="F3854" s="2">
        <v>3</v>
      </c>
      <c r="H3854">
        <v>0</v>
      </c>
      <c r="I3854">
        <v>0.1741125760648204</v>
      </c>
      <c r="J3854">
        <v>0</v>
      </c>
      <c r="K3854">
        <v>0</v>
      </c>
      <c r="L3854" s="2">
        <v>0</v>
      </c>
      <c r="M3854">
        <v>40.65</v>
      </c>
      <c r="N3854" t="s">
        <v>10236</v>
      </c>
    </row>
    <row r="3855" spans="1:14">
      <c r="A3855" t="s">
        <v>29</v>
      </c>
      <c r="B3855" t="s">
        <v>3995</v>
      </c>
      <c r="C3855">
        <f>"HQJ900Q"</f>
        <v>0</v>
      </c>
      <c r="D3855">
        <v>0</v>
      </c>
      <c r="E3855">
        <v>0</v>
      </c>
      <c r="F3855" s="2">
        <v>0</v>
      </c>
      <c r="H3855">
        <v>0</v>
      </c>
      <c r="I3855">
        <v>0.1741125760648204</v>
      </c>
      <c r="J3855">
        <v>0</v>
      </c>
      <c r="K3855">
        <v>0</v>
      </c>
      <c r="L3855" s="2">
        <v>0</v>
      </c>
      <c r="M3855">
        <v>40.66</v>
      </c>
      <c r="N3855" t="s">
        <v>10236</v>
      </c>
    </row>
    <row r="3856" spans="1:14">
      <c r="A3856" t="s">
        <v>194</v>
      </c>
      <c r="B3856" t="s">
        <v>3996</v>
      </c>
      <c r="C3856">
        <f>"834004"</f>
        <v>0</v>
      </c>
      <c r="D3856">
        <v>0</v>
      </c>
      <c r="E3856">
        <v>10</v>
      </c>
      <c r="F3856" s="2">
        <v>20</v>
      </c>
      <c r="H3856">
        <v>0</v>
      </c>
      <c r="I3856">
        <v>0.1741125760648204</v>
      </c>
      <c r="J3856">
        <v>0</v>
      </c>
      <c r="K3856">
        <v>0</v>
      </c>
      <c r="L3856" s="2">
        <v>0</v>
      </c>
      <c r="M3856">
        <v>40.67</v>
      </c>
      <c r="N3856" t="s">
        <v>10236</v>
      </c>
    </row>
    <row r="3857" spans="1:14">
      <c r="A3857" t="s">
        <v>29</v>
      </c>
      <c r="B3857" t="s">
        <v>3997</v>
      </c>
      <c r="C3857">
        <f>"NFF04"</f>
        <v>0</v>
      </c>
      <c r="D3857">
        <v>0</v>
      </c>
      <c r="E3857">
        <v>2</v>
      </c>
      <c r="F3857" s="2">
        <v>140</v>
      </c>
      <c r="H3857">
        <v>0</v>
      </c>
      <c r="I3857">
        <v>0.1741125760648204</v>
      </c>
      <c r="J3857">
        <v>0</v>
      </c>
      <c r="K3857">
        <v>0</v>
      </c>
      <c r="L3857" s="2">
        <v>0</v>
      </c>
      <c r="M3857">
        <v>40.68</v>
      </c>
      <c r="N3857" t="s">
        <v>10236</v>
      </c>
    </row>
    <row r="3858" spans="1:14">
      <c r="A3858" t="s">
        <v>25</v>
      </c>
      <c r="B3858" t="s">
        <v>3998</v>
      </c>
      <c r="C3858">
        <f>"s205"</f>
        <v>0</v>
      </c>
      <c r="D3858">
        <v>0</v>
      </c>
      <c r="E3858">
        <v>0</v>
      </c>
      <c r="F3858" s="2">
        <v>0</v>
      </c>
      <c r="H3858">
        <v>0</v>
      </c>
      <c r="I3858">
        <v>0.1741125760648204</v>
      </c>
      <c r="J3858">
        <v>0</v>
      </c>
      <c r="K3858">
        <v>0</v>
      </c>
      <c r="L3858" s="2">
        <v>0</v>
      </c>
      <c r="M3858">
        <v>40.69</v>
      </c>
      <c r="N3858" t="s">
        <v>10236</v>
      </c>
    </row>
    <row r="3859" spans="1:14">
      <c r="A3859" t="s">
        <v>35</v>
      </c>
      <c r="B3859" t="s">
        <v>3999</v>
      </c>
      <c r="C3859">
        <f>"ABTB1"</f>
        <v>0</v>
      </c>
      <c r="D3859">
        <v>0</v>
      </c>
      <c r="E3859">
        <v>11</v>
      </c>
      <c r="F3859" s="2">
        <v>5</v>
      </c>
      <c r="H3859">
        <v>0</v>
      </c>
      <c r="I3859">
        <v>0.1741125760648204</v>
      </c>
      <c r="J3859">
        <v>0</v>
      </c>
      <c r="K3859">
        <v>0</v>
      </c>
      <c r="L3859" s="2">
        <v>0</v>
      </c>
      <c r="M3859">
        <v>40.7</v>
      </c>
      <c r="N3859" t="s">
        <v>10236</v>
      </c>
    </row>
    <row r="3860" spans="1:14">
      <c r="A3860" t="s">
        <v>35</v>
      </c>
      <c r="B3860" t="s">
        <v>4000</v>
      </c>
      <c r="C3860">
        <f>"C118354SC"</f>
        <v>0</v>
      </c>
      <c r="D3860">
        <v>0</v>
      </c>
      <c r="E3860">
        <v>2</v>
      </c>
      <c r="F3860" s="2">
        <v>6</v>
      </c>
      <c r="H3860">
        <v>0</v>
      </c>
      <c r="I3860">
        <v>0.1741125760648204</v>
      </c>
      <c r="J3860">
        <v>0</v>
      </c>
      <c r="K3860">
        <v>0</v>
      </c>
      <c r="L3860" s="2">
        <v>0</v>
      </c>
      <c r="M3860">
        <v>40.71</v>
      </c>
      <c r="N3860" t="s">
        <v>10236</v>
      </c>
    </row>
    <row r="3861" spans="1:14">
      <c r="A3861" t="s">
        <v>35</v>
      </c>
      <c r="B3861" t="s">
        <v>4001</v>
      </c>
      <c r="C3861">
        <f>"B109006SA"</f>
        <v>0</v>
      </c>
      <c r="D3861">
        <v>0</v>
      </c>
      <c r="E3861">
        <v>2</v>
      </c>
      <c r="F3861" s="2">
        <v>6</v>
      </c>
      <c r="H3861">
        <v>0</v>
      </c>
      <c r="I3861">
        <v>0.1741125760648204</v>
      </c>
      <c r="J3861">
        <v>0</v>
      </c>
      <c r="K3861">
        <v>0</v>
      </c>
      <c r="L3861" s="2">
        <v>0</v>
      </c>
      <c r="M3861">
        <v>40.72</v>
      </c>
      <c r="N3861" t="s">
        <v>10236</v>
      </c>
    </row>
    <row r="3862" spans="1:14">
      <c r="A3862" t="s">
        <v>35</v>
      </c>
      <c r="B3862" t="s">
        <v>4002</v>
      </c>
      <c r="C3862">
        <f>"C118354SA"</f>
        <v>0</v>
      </c>
      <c r="D3862">
        <v>0</v>
      </c>
      <c r="E3862">
        <v>1</v>
      </c>
      <c r="F3862" s="2">
        <v>6</v>
      </c>
      <c r="H3862">
        <v>0</v>
      </c>
      <c r="I3862">
        <v>0.1741125760648204</v>
      </c>
      <c r="J3862">
        <v>0</v>
      </c>
      <c r="K3862">
        <v>0</v>
      </c>
      <c r="L3862" s="2">
        <v>0</v>
      </c>
      <c r="M3862">
        <v>40.73</v>
      </c>
      <c r="N3862" t="s">
        <v>10236</v>
      </c>
    </row>
    <row r="3863" spans="1:14">
      <c r="A3863" t="s">
        <v>35</v>
      </c>
      <c r="B3863" t="s">
        <v>4003</v>
      </c>
      <c r="C3863">
        <f>"C118354MV"</f>
        <v>0</v>
      </c>
      <c r="D3863">
        <v>0</v>
      </c>
      <c r="E3863">
        <v>2</v>
      </c>
      <c r="F3863" s="2">
        <v>6</v>
      </c>
      <c r="H3863">
        <v>0</v>
      </c>
      <c r="I3863">
        <v>0.1741125760648204</v>
      </c>
      <c r="J3863">
        <v>0</v>
      </c>
      <c r="K3863">
        <v>0</v>
      </c>
      <c r="L3863" s="2">
        <v>0</v>
      </c>
      <c r="M3863">
        <v>40.74</v>
      </c>
      <c r="N3863" t="s">
        <v>10236</v>
      </c>
    </row>
    <row r="3864" spans="1:14">
      <c r="A3864" t="s">
        <v>35</v>
      </c>
      <c r="B3864" t="s">
        <v>4004</v>
      </c>
      <c r="C3864">
        <f>"6836XLA"</f>
        <v>0</v>
      </c>
      <c r="D3864">
        <v>0</v>
      </c>
      <c r="E3864">
        <v>0</v>
      </c>
      <c r="F3864" s="2">
        <v>0</v>
      </c>
      <c r="H3864">
        <v>0</v>
      </c>
      <c r="I3864">
        <v>0.1741125760648204</v>
      </c>
      <c r="J3864">
        <v>0</v>
      </c>
      <c r="K3864">
        <v>0</v>
      </c>
      <c r="L3864" s="2">
        <v>0</v>
      </c>
      <c r="M3864">
        <v>40.75</v>
      </c>
      <c r="N3864" t="s">
        <v>10236</v>
      </c>
    </row>
    <row r="3865" spans="1:14">
      <c r="A3865" t="s">
        <v>35</v>
      </c>
      <c r="B3865" t="s">
        <v>4005</v>
      </c>
      <c r="C3865">
        <f>"6835XLN"</f>
        <v>0</v>
      </c>
      <c r="D3865">
        <v>0</v>
      </c>
      <c r="E3865">
        <v>0</v>
      </c>
      <c r="F3865" s="2">
        <v>0</v>
      </c>
      <c r="H3865">
        <v>0</v>
      </c>
      <c r="I3865">
        <v>0.1741125760648204</v>
      </c>
      <c r="J3865">
        <v>0</v>
      </c>
      <c r="K3865">
        <v>0</v>
      </c>
      <c r="L3865" s="2">
        <v>0</v>
      </c>
      <c r="M3865">
        <v>40.76</v>
      </c>
      <c r="N3865" t="s">
        <v>10236</v>
      </c>
    </row>
    <row r="3866" spans="1:14">
      <c r="A3866" t="s">
        <v>35</v>
      </c>
      <c r="B3866" t="s">
        <v>4006</v>
      </c>
      <c r="C3866">
        <f>"6835XLGO"</f>
        <v>0</v>
      </c>
      <c r="D3866">
        <v>0</v>
      </c>
      <c r="E3866">
        <v>0</v>
      </c>
      <c r="F3866" s="2">
        <v>0</v>
      </c>
      <c r="H3866">
        <v>0</v>
      </c>
      <c r="I3866">
        <v>0.1741125760648204</v>
      </c>
      <c r="J3866">
        <v>0</v>
      </c>
      <c r="K3866">
        <v>0</v>
      </c>
      <c r="L3866" s="2">
        <v>0</v>
      </c>
      <c r="M3866">
        <v>40.77</v>
      </c>
      <c r="N3866" t="s">
        <v>10236</v>
      </c>
    </row>
    <row r="3867" spans="1:14">
      <c r="A3867" t="s">
        <v>35</v>
      </c>
      <c r="B3867" t="s">
        <v>4007</v>
      </c>
      <c r="C3867">
        <f>"6835XLGC"</f>
        <v>0</v>
      </c>
      <c r="D3867">
        <v>0</v>
      </c>
      <c r="E3867">
        <v>1</v>
      </c>
      <c r="F3867" s="2">
        <v>9</v>
      </c>
      <c r="H3867">
        <v>0</v>
      </c>
      <c r="I3867">
        <v>0.1741125760648204</v>
      </c>
      <c r="J3867">
        <v>0</v>
      </c>
      <c r="K3867">
        <v>0</v>
      </c>
      <c r="L3867" s="2">
        <v>0</v>
      </c>
      <c r="M3867">
        <v>40.77</v>
      </c>
      <c r="N3867" t="s">
        <v>10236</v>
      </c>
    </row>
    <row r="3868" spans="1:14">
      <c r="A3868" t="s">
        <v>35</v>
      </c>
      <c r="B3868" t="s">
        <v>4008</v>
      </c>
      <c r="C3868">
        <f>"6835XLA"</f>
        <v>0</v>
      </c>
      <c r="D3868">
        <v>0</v>
      </c>
      <c r="E3868">
        <v>1</v>
      </c>
      <c r="F3868" s="2">
        <v>10</v>
      </c>
      <c r="H3868">
        <v>0</v>
      </c>
      <c r="I3868">
        <v>0.1741125760648204</v>
      </c>
      <c r="J3868">
        <v>0</v>
      </c>
      <c r="K3868">
        <v>0</v>
      </c>
      <c r="L3868" s="2">
        <v>0</v>
      </c>
      <c r="M3868">
        <v>40.78</v>
      </c>
      <c r="N3868" t="s">
        <v>10236</v>
      </c>
    </row>
    <row r="3869" spans="1:14">
      <c r="A3869" t="s">
        <v>35</v>
      </c>
      <c r="B3869" t="s">
        <v>4009</v>
      </c>
      <c r="C3869">
        <f>"6834XLN"</f>
        <v>0</v>
      </c>
      <c r="D3869">
        <v>0</v>
      </c>
      <c r="E3869">
        <v>0</v>
      </c>
      <c r="F3869" s="2">
        <v>0</v>
      </c>
      <c r="H3869">
        <v>0</v>
      </c>
      <c r="I3869">
        <v>0.1741125760648204</v>
      </c>
      <c r="J3869">
        <v>0</v>
      </c>
      <c r="K3869">
        <v>0</v>
      </c>
      <c r="L3869" s="2">
        <v>0</v>
      </c>
      <c r="M3869">
        <v>40.79</v>
      </c>
      <c r="N3869" t="s">
        <v>10236</v>
      </c>
    </row>
    <row r="3870" spans="1:14">
      <c r="A3870" t="s">
        <v>35</v>
      </c>
      <c r="B3870" t="s">
        <v>4010</v>
      </c>
      <c r="C3870">
        <f>"B109006LV"</f>
        <v>0</v>
      </c>
      <c r="D3870">
        <v>0</v>
      </c>
      <c r="E3870">
        <v>2</v>
      </c>
      <c r="F3870" s="2">
        <v>7</v>
      </c>
      <c r="H3870">
        <v>0</v>
      </c>
      <c r="I3870">
        <v>0.1741125760648204</v>
      </c>
      <c r="J3870">
        <v>0</v>
      </c>
      <c r="K3870">
        <v>0</v>
      </c>
      <c r="L3870" s="2">
        <v>0</v>
      </c>
      <c r="M3870">
        <v>40.8</v>
      </c>
      <c r="N3870" t="s">
        <v>10236</v>
      </c>
    </row>
    <row r="3871" spans="1:14">
      <c r="A3871" t="s">
        <v>35</v>
      </c>
      <c r="B3871" t="s">
        <v>4011</v>
      </c>
      <c r="C3871">
        <f>"B109006LN"</f>
        <v>0</v>
      </c>
      <c r="D3871">
        <v>0</v>
      </c>
      <c r="E3871">
        <v>1</v>
      </c>
      <c r="F3871" s="2">
        <v>7</v>
      </c>
      <c r="H3871">
        <v>0</v>
      </c>
      <c r="I3871">
        <v>0.1741125760648204</v>
      </c>
      <c r="J3871">
        <v>0</v>
      </c>
      <c r="K3871">
        <v>0</v>
      </c>
      <c r="L3871" s="2">
        <v>0</v>
      </c>
      <c r="M3871">
        <v>40.81</v>
      </c>
      <c r="N3871" t="s">
        <v>10236</v>
      </c>
    </row>
    <row r="3872" spans="1:14">
      <c r="A3872" t="s">
        <v>35</v>
      </c>
      <c r="B3872" t="s">
        <v>4012</v>
      </c>
      <c r="C3872">
        <f>"C118354LC"</f>
        <v>0</v>
      </c>
      <c r="D3872">
        <v>0</v>
      </c>
      <c r="E3872">
        <v>1</v>
      </c>
      <c r="F3872" s="2">
        <v>7</v>
      </c>
      <c r="H3872">
        <v>0</v>
      </c>
      <c r="I3872">
        <v>0.1741125760648204</v>
      </c>
      <c r="J3872">
        <v>0</v>
      </c>
      <c r="K3872">
        <v>0</v>
      </c>
      <c r="L3872" s="2">
        <v>0</v>
      </c>
      <c r="M3872">
        <v>40.82</v>
      </c>
      <c r="N3872" t="s">
        <v>10236</v>
      </c>
    </row>
    <row r="3873" spans="1:14">
      <c r="A3873" t="s">
        <v>35</v>
      </c>
      <c r="B3873" t="s">
        <v>4013</v>
      </c>
      <c r="C3873">
        <f>"C118354LA"</f>
        <v>0</v>
      </c>
      <c r="D3873">
        <v>0</v>
      </c>
      <c r="E3873">
        <v>3</v>
      </c>
      <c r="F3873" s="2">
        <v>7</v>
      </c>
      <c r="H3873">
        <v>0</v>
      </c>
      <c r="I3873">
        <v>0.1741125760648204</v>
      </c>
      <c r="J3873">
        <v>0</v>
      </c>
      <c r="K3873">
        <v>0</v>
      </c>
      <c r="L3873" s="2">
        <v>0</v>
      </c>
      <c r="M3873">
        <v>40.83</v>
      </c>
      <c r="N3873" t="s">
        <v>10236</v>
      </c>
    </row>
    <row r="3874" spans="1:14">
      <c r="A3874" t="s">
        <v>192</v>
      </c>
      <c r="B3874" t="s">
        <v>4014</v>
      </c>
      <c r="C3874">
        <f>"911469"</f>
        <v>0</v>
      </c>
      <c r="D3874">
        <v>0</v>
      </c>
      <c r="E3874">
        <v>0</v>
      </c>
      <c r="F3874" s="2">
        <v>0</v>
      </c>
      <c r="H3874">
        <v>0</v>
      </c>
      <c r="I3874">
        <v>0.1741125760648204</v>
      </c>
      <c r="J3874">
        <v>0</v>
      </c>
      <c r="K3874">
        <v>0</v>
      </c>
      <c r="L3874" s="2">
        <v>0</v>
      </c>
      <c r="M3874">
        <v>40.84</v>
      </c>
      <c r="N3874" t="s">
        <v>10236</v>
      </c>
    </row>
    <row r="3875" spans="1:14">
      <c r="A3875" t="s">
        <v>35</v>
      </c>
      <c r="B3875" t="s">
        <v>4015</v>
      </c>
      <c r="C3875">
        <f>"C1183544XLV"</f>
        <v>0</v>
      </c>
      <c r="D3875">
        <v>0</v>
      </c>
      <c r="E3875">
        <v>1</v>
      </c>
      <c r="F3875" s="2">
        <v>11</v>
      </c>
      <c r="H3875">
        <v>0</v>
      </c>
      <c r="I3875">
        <v>0.1741125760648204</v>
      </c>
      <c r="J3875">
        <v>0</v>
      </c>
      <c r="K3875">
        <v>0</v>
      </c>
      <c r="L3875" s="2">
        <v>0</v>
      </c>
      <c r="M3875">
        <v>40.85</v>
      </c>
      <c r="N3875" t="s">
        <v>10236</v>
      </c>
    </row>
    <row r="3876" spans="1:14">
      <c r="A3876" t="s">
        <v>35</v>
      </c>
      <c r="B3876" t="s">
        <v>4016</v>
      </c>
      <c r="C3876">
        <f>"B1090064XLV"</f>
        <v>0</v>
      </c>
      <c r="D3876">
        <v>0</v>
      </c>
      <c r="E3876">
        <v>1</v>
      </c>
      <c r="F3876" s="2">
        <v>11</v>
      </c>
      <c r="H3876">
        <v>0</v>
      </c>
      <c r="I3876">
        <v>0.1741125760648204</v>
      </c>
      <c r="J3876">
        <v>0</v>
      </c>
      <c r="K3876">
        <v>0</v>
      </c>
      <c r="L3876" s="2">
        <v>0</v>
      </c>
      <c r="M3876">
        <v>40.86</v>
      </c>
      <c r="N3876" t="s">
        <v>10236</v>
      </c>
    </row>
    <row r="3877" spans="1:14">
      <c r="A3877" t="s">
        <v>35</v>
      </c>
      <c r="B3877" t="s">
        <v>4017</v>
      </c>
      <c r="C3877">
        <f>"B1090064XLN"</f>
        <v>0</v>
      </c>
      <c r="D3877">
        <v>0</v>
      </c>
      <c r="E3877">
        <v>1</v>
      </c>
      <c r="F3877" s="2">
        <v>11</v>
      </c>
      <c r="H3877">
        <v>0</v>
      </c>
      <c r="I3877">
        <v>0.1741125760648204</v>
      </c>
      <c r="J3877">
        <v>0</v>
      </c>
      <c r="K3877">
        <v>0</v>
      </c>
      <c r="L3877" s="2">
        <v>0</v>
      </c>
      <c r="M3877">
        <v>40.87</v>
      </c>
      <c r="N3877" t="s">
        <v>10236</v>
      </c>
    </row>
    <row r="3878" spans="1:14">
      <c r="A3878" t="s">
        <v>35</v>
      </c>
      <c r="B3878" t="s">
        <v>4018</v>
      </c>
      <c r="C3878">
        <f>"C1183544XLC"</f>
        <v>0</v>
      </c>
      <c r="D3878">
        <v>0</v>
      </c>
      <c r="E3878">
        <v>1</v>
      </c>
      <c r="F3878" s="2">
        <v>11</v>
      </c>
      <c r="H3878">
        <v>0</v>
      </c>
      <c r="I3878">
        <v>0.1741125760648204</v>
      </c>
      <c r="J3878">
        <v>0</v>
      </c>
      <c r="K3878">
        <v>0</v>
      </c>
      <c r="L3878" s="2">
        <v>0</v>
      </c>
      <c r="M3878">
        <v>40.88</v>
      </c>
      <c r="N3878" t="s">
        <v>10236</v>
      </c>
    </row>
    <row r="3879" spans="1:14">
      <c r="A3879" t="s">
        <v>35</v>
      </c>
      <c r="B3879" t="s">
        <v>4019</v>
      </c>
      <c r="C3879">
        <f>"C1183544XLA"</f>
        <v>0</v>
      </c>
      <c r="D3879">
        <v>0</v>
      </c>
      <c r="E3879">
        <v>2</v>
      </c>
      <c r="F3879" s="2">
        <v>11</v>
      </c>
      <c r="H3879">
        <v>0</v>
      </c>
      <c r="I3879">
        <v>0.1741125760648204</v>
      </c>
      <c r="J3879">
        <v>0</v>
      </c>
      <c r="K3879">
        <v>0</v>
      </c>
      <c r="L3879" s="2">
        <v>0</v>
      </c>
      <c r="M3879">
        <v>40.88</v>
      </c>
      <c r="N3879" t="s">
        <v>10236</v>
      </c>
    </row>
    <row r="3880" spans="1:14">
      <c r="A3880" t="s">
        <v>35</v>
      </c>
      <c r="B3880" t="s">
        <v>4020</v>
      </c>
      <c r="C3880">
        <f>"6832XLA"</f>
        <v>0</v>
      </c>
      <c r="D3880">
        <v>0</v>
      </c>
      <c r="E3880">
        <v>0</v>
      </c>
      <c r="F3880" s="2">
        <v>0</v>
      </c>
      <c r="H3880">
        <v>0</v>
      </c>
      <c r="I3880">
        <v>0.1741125760648204</v>
      </c>
      <c r="J3880">
        <v>0</v>
      </c>
      <c r="K3880">
        <v>0</v>
      </c>
      <c r="L3880" s="2">
        <v>0</v>
      </c>
      <c r="M3880">
        <v>40.89</v>
      </c>
      <c r="N3880" t="s">
        <v>10236</v>
      </c>
    </row>
    <row r="3881" spans="1:14">
      <c r="A3881" t="s">
        <v>25</v>
      </c>
      <c r="B3881" t="s">
        <v>4021</v>
      </c>
      <c r="C3881">
        <f>"CH5858"</f>
        <v>0</v>
      </c>
      <c r="D3881">
        <v>0</v>
      </c>
      <c r="E3881">
        <v>0</v>
      </c>
      <c r="F3881" s="2">
        <v>0</v>
      </c>
      <c r="H3881">
        <v>0</v>
      </c>
      <c r="I3881">
        <v>0.1741125760648204</v>
      </c>
      <c r="J3881">
        <v>0</v>
      </c>
      <c r="K3881">
        <v>0</v>
      </c>
      <c r="L3881" s="2">
        <v>0</v>
      </c>
      <c r="M3881">
        <v>40.9</v>
      </c>
      <c r="N3881" t="s">
        <v>10236</v>
      </c>
    </row>
    <row r="3882" spans="1:14">
      <c r="A3882" t="s">
        <v>218</v>
      </c>
      <c r="B3882" t="s">
        <v>4022</v>
      </c>
      <c r="C3882">
        <f>"1013728"</f>
        <v>0</v>
      </c>
      <c r="D3882">
        <v>0</v>
      </c>
      <c r="E3882">
        <v>0</v>
      </c>
      <c r="F3882" s="2">
        <v>0</v>
      </c>
      <c r="H3882">
        <v>0</v>
      </c>
      <c r="I3882">
        <v>0.1741125760648204</v>
      </c>
      <c r="J3882">
        <v>0</v>
      </c>
      <c r="K3882">
        <v>0</v>
      </c>
      <c r="L3882" s="2">
        <v>0</v>
      </c>
      <c r="M3882">
        <v>40.91</v>
      </c>
      <c r="N3882" t="s">
        <v>10236</v>
      </c>
    </row>
    <row r="3883" spans="1:14">
      <c r="A3883" t="s">
        <v>35</v>
      </c>
      <c r="B3883" t="s">
        <v>4023</v>
      </c>
      <c r="C3883">
        <f>"PARCHE"</f>
        <v>0</v>
      </c>
      <c r="D3883">
        <v>0</v>
      </c>
      <c r="E3883">
        <v>48</v>
      </c>
      <c r="F3883" s="2">
        <v>2</v>
      </c>
      <c r="H3883">
        <v>0</v>
      </c>
      <c r="I3883">
        <v>0.1741125760648204</v>
      </c>
      <c r="J3883">
        <v>0</v>
      </c>
      <c r="K3883">
        <v>0</v>
      </c>
      <c r="L3883" s="2">
        <v>0</v>
      </c>
      <c r="M3883">
        <v>40.92</v>
      </c>
      <c r="N3883" t="s">
        <v>10236</v>
      </c>
    </row>
    <row r="3884" spans="1:14">
      <c r="A3884" t="s">
        <v>217</v>
      </c>
      <c r="B3884" t="s">
        <v>4024</v>
      </c>
      <c r="C3884">
        <f>"PP0100"</f>
        <v>0</v>
      </c>
      <c r="D3884">
        <v>0</v>
      </c>
      <c r="E3884">
        <v>2</v>
      </c>
      <c r="F3884" s="2">
        <v>6</v>
      </c>
      <c r="H3884">
        <v>0</v>
      </c>
      <c r="I3884">
        <v>0.1741125760648204</v>
      </c>
      <c r="J3884">
        <v>0</v>
      </c>
      <c r="K3884">
        <v>0</v>
      </c>
      <c r="L3884" s="2">
        <v>0</v>
      </c>
      <c r="M3884">
        <v>40.93</v>
      </c>
      <c r="N3884" t="s">
        <v>10236</v>
      </c>
    </row>
    <row r="3885" spans="1:14">
      <c r="A3885" t="s">
        <v>35</v>
      </c>
      <c r="B3885" t="s">
        <v>4025</v>
      </c>
      <c r="C3885">
        <f>"WQ4508C"</f>
        <v>0</v>
      </c>
      <c r="D3885">
        <v>0</v>
      </c>
      <c r="E3885">
        <v>0</v>
      </c>
      <c r="F3885" s="2">
        <v>0</v>
      </c>
      <c r="H3885">
        <v>0</v>
      </c>
      <c r="I3885">
        <v>0.1741125760648204</v>
      </c>
      <c r="J3885">
        <v>0</v>
      </c>
      <c r="K3885">
        <v>0</v>
      </c>
      <c r="L3885" s="2">
        <v>0</v>
      </c>
      <c r="M3885">
        <v>40.94</v>
      </c>
      <c r="N3885" t="s">
        <v>10236</v>
      </c>
    </row>
    <row r="3886" spans="1:14">
      <c r="A3886" t="s">
        <v>35</v>
      </c>
      <c r="B3886" t="s">
        <v>4026</v>
      </c>
      <c r="C3886">
        <f>"B1090063XLA"</f>
        <v>0</v>
      </c>
      <c r="D3886">
        <v>0</v>
      </c>
      <c r="E3886">
        <v>3</v>
      </c>
      <c r="F3886" s="2">
        <v>10</v>
      </c>
      <c r="H3886">
        <v>0</v>
      </c>
      <c r="I3886">
        <v>0.1741125760648204</v>
      </c>
      <c r="J3886">
        <v>0</v>
      </c>
      <c r="K3886">
        <v>0</v>
      </c>
      <c r="L3886" s="2">
        <v>0</v>
      </c>
      <c r="M3886">
        <v>40.95</v>
      </c>
      <c r="N3886" t="s">
        <v>10236</v>
      </c>
    </row>
    <row r="3887" spans="1:14">
      <c r="A3887" t="s">
        <v>35</v>
      </c>
      <c r="B3887" t="s">
        <v>4027</v>
      </c>
      <c r="C3887">
        <f>"C1183542XLV"</f>
        <v>0</v>
      </c>
      <c r="D3887">
        <v>0</v>
      </c>
      <c r="E3887">
        <v>0</v>
      </c>
      <c r="F3887" s="2">
        <v>0</v>
      </c>
      <c r="H3887">
        <v>0</v>
      </c>
      <c r="I3887">
        <v>0.1741125760648204</v>
      </c>
      <c r="J3887">
        <v>0</v>
      </c>
      <c r="K3887">
        <v>0</v>
      </c>
      <c r="L3887" s="2">
        <v>0</v>
      </c>
      <c r="M3887">
        <v>40.96</v>
      </c>
      <c r="N3887" t="s">
        <v>10236</v>
      </c>
    </row>
    <row r="3888" spans="1:14">
      <c r="A3888" t="s">
        <v>35</v>
      </c>
      <c r="B3888" t="s">
        <v>4028</v>
      </c>
      <c r="C3888">
        <f>"B1090062XLV"</f>
        <v>0</v>
      </c>
      <c r="D3888">
        <v>0</v>
      </c>
      <c r="E3888">
        <v>2</v>
      </c>
      <c r="F3888" s="2">
        <v>9</v>
      </c>
      <c r="H3888">
        <v>0</v>
      </c>
      <c r="I3888">
        <v>0.1741125760648204</v>
      </c>
      <c r="J3888">
        <v>0</v>
      </c>
      <c r="K3888">
        <v>0</v>
      </c>
      <c r="L3888" s="2">
        <v>0</v>
      </c>
      <c r="M3888">
        <v>40.97</v>
      </c>
      <c r="N3888" t="s">
        <v>10236</v>
      </c>
    </row>
    <row r="3889" spans="1:14">
      <c r="A3889" t="s">
        <v>35</v>
      </c>
      <c r="B3889" t="s">
        <v>4029</v>
      </c>
      <c r="C3889">
        <f>"B1090062XLN"</f>
        <v>0</v>
      </c>
      <c r="D3889">
        <v>0</v>
      </c>
      <c r="E3889">
        <v>3</v>
      </c>
      <c r="F3889" s="2">
        <v>9</v>
      </c>
      <c r="H3889">
        <v>0</v>
      </c>
      <c r="I3889">
        <v>0.1741125760648204</v>
      </c>
      <c r="J3889">
        <v>0</v>
      </c>
      <c r="K3889">
        <v>0</v>
      </c>
      <c r="L3889" s="2">
        <v>0</v>
      </c>
      <c r="M3889">
        <v>40.98</v>
      </c>
      <c r="N3889" t="s">
        <v>10236</v>
      </c>
    </row>
    <row r="3890" spans="1:14">
      <c r="A3890" t="s">
        <v>35</v>
      </c>
      <c r="B3890" t="s">
        <v>4030</v>
      </c>
      <c r="C3890">
        <f>"B109006LA"</f>
        <v>0</v>
      </c>
      <c r="D3890">
        <v>0</v>
      </c>
      <c r="E3890">
        <v>1</v>
      </c>
      <c r="F3890" s="2">
        <v>7</v>
      </c>
      <c r="H3890">
        <v>0</v>
      </c>
      <c r="I3890">
        <v>0.1741125760648204</v>
      </c>
      <c r="J3890">
        <v>0</v>
      </c>
      <c r="K3890">
        <v>0</v>
      </c>
      <c r="L3890" s="2">
        <v>0</v>
      </c>
      <c r="M3890">
        <v>40.99</v>
      </c>
      <c r="N3890" t="s">
        <v>10236</v>
      </c>
    </row>
    <row r="3891" spans="1:14">
      <c r="A3891" t="s">
        <v>35</v>
      </c>
      <c r="B3891" t="s">
        <v>4031</v>
      </c>
      <c r="C3891">
        <f>"B109048LV"</f>
        <v>0</v>
      </c>
      <c r="D3891">
        <v>0</v>
      </c>
      <c r="E3891">
        <v>1</v>
      </c>
      <c r="F3891" s="2">
        <v>6</v>
      </c>
      <c r="H3891">
        <v>0</v>
      </c>
      <c r="I3891">
        <v>0.1741125760648204</v>
      </c>
      <c r="J3891">
        <v>0</v>
      </c>
      <c r="K3891">
        <v>0</v>
      </c>
      <c r="L3891" s="2">
        <v>0</v>
      </c>
      <c r="M3891">
        <v>41</v>
      </c>
      <c r="N3891" t="s">
        <v>10236</v>
      </c>
    </row>
    <row r="3892" spans="1:14">
      <c r="A3892" t="s">
        <v>35</v>
      </c>
      <c r="B3892" t="s">
        <v>4032</v>
      </c>
      <c r="C3892">
        <f>"B109048LA"</f>
        <v>0</v>
      </c>
      <c r="D3892">
        <v>0</v>
      </c>
      <c r="E3892">
        <v>2</v>
      </c>
      <c r="F3892" s="2">
        <v>6</v>
      </c>
      <c r="H3892">
        <v>0</v>
      </c>
      <c r="I3892">
        <v>0.1741125760648204</v>
      </c>
      <c r="J3892">
        <v>0</v>
      </c>
      <c r="K3892">
        <v>0</v>
      </c>
      <c r="L3892" s="2">
        <v>0</v>
      </c>
      <c r="M3892">
        <v>41</v>
      </c>
      <c r="N3892" t="s">
        <v>10236</v>
      </c>
    </row>
    <row r="3893" spans="1:14">
      <c r="A3893" t="s">
        <v>35</v>
      </c>
      <c r="B3893" t="s">
        <v>4033</v>
      </c>
      <c r="C3893">
        <f>"B1090484XLG"</f>
        <v>0</v>
      </c>
      <c r="D3893">
        <v>0</v>
      </c>
      <c r="E3893">
        <v>2</v>
      </c>
      <c r="F3893" s="2">
        <v>9</v>
      </c>
      <c r="H3893">
        <v>0</v>
      </c>
      <c r="I3893">
        <v>0.1741125760648204</v>
      </c>
      <c r="J3893">
        <v>0</v>
      </c>
      <c r="K3893">
        <v>0</v>
      </c>
      <c r="L3893" s="2">
        <v>0</v>
      </c>
      <c r="M3893">
        <v>41.01</v>
      </c>
      <c r="N3893" t="s">
        <v>10236</v>
      </c>
    </row>
    <row r="3894" spans="1:14">
      <c r="A3894" t="s">
        <v>35</v>
      </c>
      <c r="B3894" t="s">
        <v>4034</v>
      </c>
      <c r="C3894">
        <f>"B109006MV"</f>
        <v>0</v>
      </c>
      <c r="D3894">
        <v>0</v>
      </c>
      <c r="E3894">
        <v>3</v>
      </c>
      <c r="F3894" s="2">
        <v>6</v>
      </c>
      <c r="H3894">
        <v>0</v>
      </c>
      <c r="I3894">
        <v>0.1741125760648204</v>
      </c>
      <c r="J3894">
        <v>0</v>
      </c>
      <c r="K3894">
        <v>0</v>
      </c>
      <c r="L3894" s="2">
        <v>0</v>
      </c>
      <c r="M3894">
        <v>41.02</v>
      </c>
      <c r="N3894" t="s">
        <v>10236</v>
      </c>
    </row>
    <row r="3895" spans="1:14">
      <c r="A3895" t="s">
        <v>35</v>
      </c>
      <c r="B3895" t="s">
        <v>4035</v>
      </c>
      <c r="C3895">
        <f>"B109006MN"</f>
        <v>0</v>
      </c>
      <c r="D3895">
        <v>0</v>
      </c>
      <c r="E3895">
        <v>1</v>
      </c>
      <c r="F3895" s="2">
        <v>6</v>
      </c>
      <c r="H3895">
        <v>0</v>
      </c>
      <c r="I3895">
        <v>0.1741125760648204</v>
      </c>
      <c r="J3895">
        <v>0</v>
      </c>
      <c r="K3895">
        <v>0</v>
      </c>
      <c r="L3895" s="2">
        <v>0</v>
      </c>
      <c r="M3895">
        <v>41.03</v>
      </c>
      <c r="N3895" t="s">
        <v>10236</v>
      </c>
    </row>
    <row r="3896" spans="1:14">
      <c r="A3896" t="s">
        <v>35</v>
      </c>
      <c r="B3896" t="s">
        <v>4036</v>
      </c>
      <c r="C3896">
        <f>"C118354MC"</f>
        <v>0</v>
      </c>
      <c r="D3896">
        <v>0</v>
      </c>
      <c r="E3896">
        <v>1</v>
      </c>
      <c r="F3896" s="2">
        <v>6</v>
      </c>
      <c r="H3896">
        <v>0</v>
      </c>
      <c r="I3896">
        <v>0.1741125760648204</v>
      </c>
      <c r="J3896">
        <v>0</v>
      </c>
      <c r="K3896">
        <v>0</v>
      </c>
      <c r="L3896" s="2">
        <v>0</v>
      </c>
      <c r="M3896">
        <v>41.04</v>
      </c>
      <c r="N3896" t="s">
        <v>10236</v>
      </c>
    </row>
    <row r="3897" spans="1:14">
      <c r="A3897" t="s">
        <v>35</v>
      </c>
      <c r="B3897" t="s">
        <v>4037</v>
      </c>
      <c r="C3897">
        <f>"B109006MA"</f>
        <v>0</v>
      </c>
      <c r="D3897">
        <v>0</v>
      </c>
      <c r="E3897">
        <v>2</v>
      </c>
      <c r="F3897" s="2">
        <v>6</v>
      </c>
      <c r="H3897">
        <v>0</v>
      </c>
      <c r="I3897">
        <v>0.1741125760648204</v>
      </c>
      <c r="J3897">
        <v>0</v>
      </c>
      <c r="K3897">
        <v>0</v>
      </c>
      <c r="L3897" s="2">
        <v>0</v>
      </c>
      <c r="M3897">
        <v>41.05</v>
      </c>
      <c r="N3897" t="s">
        <v>10236</v>
      </c>
    </row>
    <row r="3898" spans="1:14">
      <c r="A3898" t="s">
        <v>35</v>
      </c>
      <c r="B3898" t="s">
        <v>4038</v>
      </c>
      <c r="C3898">
        <f>"C118354MA"</f>
        <v>0</v>
      </c>
      <c r="D3898">
        <v>0</v>
      </c>
      <c r="E3898">
        <v>1</v>
      </c>
      <c r="F3898" s="2">
        <v>6</v>
      </c>
      <c r="H3898">
        <v>0</v>
      </c>
      <c r="I3898">
        <v>0.1741125760648204</v>
      </c>
      <c r="J3898">
        <v>0</v>
      </c>
      <c r="K3898">
        <v>0</v>
      </c>
      <c r="L3898" s="2">
        <v>0</v>
      </c>
      <c r="M3898">
        <v>41.06</v>
      </c>
      <c r="N3898" t="s">
        <v>10236</v>
      </c>
    </row>
    <row r="3899" spans="1:14">
      <c r="A3899" t="s">
        <v>35</v>
      </c>
      <c r="B3899" t="s">
        <v>4039</v>
      </c>
      <c r="C3899">
        <f>"C118354LV"</f>
        <v>0</v>
      </c>
      <c r="D3899">
        <v>0</v>
      </c>
      <c r="E3899">
        <v>1</v>
      </c>
      <c r="F3899" s="2">
        <v>7</v>
      </c>
      <c r="H3899">
        <v>0</v>
      </c>
      <c r="I3899">
        <v>0.1741125760648204</v>
      </c>
      <c r="J3899">
        <v>0</v>
      </c>
      <c r="K3899">
        <v>0</v>
      </c>
      <c r="L3899" s="2">
        <v>0</v>
      </c>
      <c r="M3899">
        <v>41.07</v>
      </c>
      <c r="N3899" t="s">
        <v>10236</v>
      </c>
    </row>
    <row r="3900" spans="1:14">
      <c r="A3900" t="s">
        <v>35</v>
      </c>
      <c r="B3900" t="s">
        <v>4040</v>
      </c>
      <c r="C3900">
        <f>"B1090482XLV"</f>
        <v>0</v>
      </c>
      <c r="D3900">
        <v>0</v>
      </c>
      <c r="E3900">
        <v>1</v>
      </c>
      <c r="F3900" s="2">
        <v>8</v>
      </c>
      <c r="H3900">
        <v>0</v>
      </c>
      <c r="I3900">
        <v>0.1741125760648204</v>
      </c>
      <c r="J3900">
        <v>0</v>
      </c>
      <c r="K3900">
        <v>0</v>
      </c>
      <c r="L3900" s="2">
        <v>0</v>
      </c>
      <c r="M3900">
        <v>41.08</v>
      </c>
      <c r="N3900" t="s">
        <v>10236</v>
      </c>
    </row>
    <row r="3901" spans="1:14">
      <c r="A3901" t="s">
        <v>35</v>
      </c>
      <c r="B3901" t="s">
        <v>4041</v>
      </c>
      <c r="C3901">
        <f>"B1090482XLA"</f>
        <v>0</v>
      </c>
      <c r="D3901">
        <v>0</v>
      </c>
      <c r="E3901">
        <v>1</v>
      </c>
      <c r="F3901" s="2">
        <v>8</v>
      </c>
      <c r="H3901">
        <v>0</v>
      </c>
      <c r="I3901">
        <v>0.1741125760648204</v>
      </c>
      <c r="J3901">
        <v>0</v>
      </c>
      <c r="K3901">
        <v>0</v>
      </c>
      <c r="L3901" s="2">
        <v>0</v>
      </c>
      <c r="M3901">
        <v>41.09</v>
      </c>
      <c r="N3901" t="s">
        <v>10236</v>
      </c>
    </row>
    <row r="3902" spans="1:14">
      <c r="A3902" t="s">
        <v>35</v>
      </c>
      <c r="B3902" t="s">
        <v>4042</v>
      </c>
      <c r="C3902">
        <f>"A731xxl"</f>
        <v>0</v>
      </c>
      <c r="D3902">
        <v>0</v>
      </c>
      <c r="E3902">
        <v>0</v>
      </c>
      <c r="F3902" s="2">
        <v>0</v>
      </c>
      <c r="H3902">
        <v>0</v>
      </c>
      <c r="I3902">
        <v>0.1741125760648204</v>
      </c>
      <c r="J3902">
        <v>0</v>
      </c>
      <c r="K3902">
        <v>0</v>
      </c>
      <c r="L3902" s="2">
        <v>0</v>
      </c>
      <c r="M3902">
        <v>41.1</v>
      </c>
      <c r="N3902" t="s">
        <v>10236</v>
      </c>
    </row>
    <row r="3903" spans="1:14">
      <c r="A3903" t="s">
        <v>35</v>
      </c>
      <c r="B3903" t="s">
        <v>4043</v>
      </c>
      <c r="C3903">
        <f>"A731xl"</f>
        <v>0</v>
      </c>
      <c r="D3903">
        <v>0</v>
      </c>
      <c r="E3903">
        <v>0</v>
      </c>
      <c r="F3903" s="2">
        <v>0</v>
      </c>
      <c r="H3903">
        <v>0</v>
      </c>
      <c r="I3903">
        <v>0.1741125760648204</v>
      </c>
      <c r="J3903">
        <v>0</v>
      </c>
      <c r="K3903">
        <v>0</v>
      </c>
      <c r="L3903" s="2">
        <v>0</v>
      </c>
      <c r="M3903">
        <v>41.11</v>
      </c>
      <c r="N3903" t="s">
        <v>10236</v>
      </c>
    </row>
    <row r="3904" spans="1:14">
      <c r="A3904" t="s">
        <v>35</v>
      </c>
      <c r="B3904" t="s">
        <v>4044</v>
      </c>
      <c r="C3904">
        <f>"A731S"</f>
        <v>0</v>
      </c>
      <c r="D3904">
        <v>0</v>
      </c>
      <c r="E3904">
        <v>6</v>
      </c>
      <c r="F3904" s="2">
        <v>4</v>
      </c>
      <c r="H3904">
        <v>0</v>
      </c>
      <c r="I3904">
        <v>0.1741125760648204</v>
      </c>
      <c r="J3904">
        <v>0</v>
      </c>
      <c r="K3904">
        <v>0</v>
      </c>
      <c r="L3904" s="2">
        <v>0</v>
      </c>
      <c r="M3904">
        <v>41.12</v>
      </c>
      <c r="N3904" t="s">
        <v>10236</v>
      </c>
    </row>
    <row r="3905" spans="1:14">
      <c r="A3905" t="s">
        <v>35</v>
      </c>
      <c r="B3905" t="s">
        <v>4045</v>
      </c>
      <c r="C3905">
        <f>"B109006SN"</f>
        <v>0</v>
      </c>
      <c r="D3905">
        <v>0</v>
      </c>
      <c r="E3905">
        <v>0</v>
      </c>
      <c r="F3905" s="2">
        <v>0</v>
      </c>
      <c r="H3905">
        <v>0</v>
      </c>
      <c r="I3905">
        <v>0.1741125760648204</v>
      </c>
      <c r="J3905">
        <v>0</v>
      </c>
      <c r="K3905">
        <v>0</v>
      </c>
      <c r="L3905" s="2">
        <v>0</v>
      </c>
      <c r="M3905">
        <v>41.12</v>
      </c>
      <c r="N3905" t="s">
        <v>10236</v>
      </c>
    </row>
    <row r="3906" spans="1:14">
      <c r="A3906" t="s">
        <v>35</v>
      </c>
      <c r="B3906" t="s">
        <v>4046</v>
      </c>
      <c r="C3906">
        <f>"A731l"</f>
        <v>0</v>
      </c>
      <c r="D3906">
        <v>0</v>
      </c>
      <c r="E3906">
        <v>0</v>
      </c>
      <c r="F3906" s="2">
        <v>0</v>
      </c>
      <c r="H3906">
        <v>0</v>
      </c>
      <c r="I3906">
        <v>0.1741125760648204</v>
      </c>
      <c r="J3906">
        <v>0</v>
      </c>
      <c r="K3906">
        <v>0</v>
      </c>
      <c r="L3906" s="2">
        <v>0</v>
      </c>
      <c r="M3906">
        <v>41.13</v>
      </c>
      <c r="N3906" t="s">
        <v>10236</v>
      </c>
    </row>
    <row r="3907" spans="1:14">
      <c r="A3907" t="s">
        <v>35</v>
      </c>
      <c r="B3907" t="s">
        <v>4047</v>
      </c>
      <c r="C3907">
        <f>"B109006XSV"</f>
        <v>0</v>
      </c>
      <c r="D3907">
        <v>0</v>
      </c>
      <c r="E3907">
        <v>1</v>
      </c>
      <c r="F3907" s="2">
        <v>6</v>
      </c>
      <c r="H3907">
        <v>0</v>
      </c>
      <c r="I3907">
        <v>0.1741125760648204</v>
      </c>
      <c r="J3907">
        <v>0</v>
      </c>
      <c r="K3907">
        <v>0</v>
      </c>
      <c r="L3907" s="2">
        <v>0</v>
      </c>
      <c r="M3907">
        <v>41.14</v>
      </c>
      <c r="N3907" t="s">
        <v>10236</v>
      </c>
    </row>
    <row r="3908" spans="1:14">
      <c r="A3908" t="s">
        <v>35</v>
      </c>
      <c r="B3908" t="s">
        <v>4048</v>
      </c>
      <c r="C3908">
        <f>"C118354XSV"</f>
        <v>0</v>
      </c>
      <c r="D3908">
        <v>0</v>
      </c>
      <c r="E3908">
        <v>2</v>
      </c>
      <c r="F3908" s="2">
        <v>6</v>
      </c>
      <c r="H3908">
        <v>0</v>
      </c>
      <c r="I3908">
        <v>0.1741125760648204</v>
      </c>
      <c r="J3908">
        <v>0</v>
      </c>
      <c r="K3908">
        <v>0</v>
      </c>
      <c r="L3908" s="2">
        <v>0</v>
      </c>
      <c r="M3908">
        <v>41.15</v>
      </c>
      <c r="N3908" t="s">
        <v>10236</v>
      </c>
    </row>
    <row r="3909" spans="1:14">
      <c r="A3909" t="s">
        <v>35</v>
      </c>
      <c r="B3909" t="s">
        <v>4049</v>
      </c>
      <c r="C3909">
        <f>"B109006XSN"</f>
        <v>0</v>
      </c>
      <c r="D3909">
        <v>0</v>
      </c>
      <c r="E3909">
        <v>3</v>
      </c>
      <c r="F3909" s="2">
        <v>6</v>
      </c>
      <c r="H3909">
        <v>0</v>
      </c>
      <c r="I3909">
        <v>0.1741125760648204</v>
      </c>
      <c r="J3909">
        <v>0</v>
      </c>
      <c r="K3909">
        <v>0</v>
      </c>
      <c r="L3909" s="2">
        <v>0</v>
      </c>
      <c r="M3909">
        <v>41.16</v>
      </c>
      <c r="N3909" t="s">
        <v>10236</v>
      </c>
    </row>
    <row r="3910" spans="1:14">
      <c r="A3910" t="s">
        <v>35</v>
      </c>
      <c r="B3910" t="s">
        <v>4050</v>
      </c>
      <c r="C3910">
        <f>"B1090064XLA"</f>
        <v>0</v>
      </c>
      <c r="D3910">
        <v>0</v>
      </c>
      <c r="E3910">
        <v>2</v>
      </c>
      <c r="F3910" s="2">
        <v>11</v>
      </c>
      <c r="H3910">
        <v>0</v>
      </c>
      <c r="I3910">
        <v>0.1741125760648204</v>
      </c>
      <c r="J3910">
        <v>0</v>
      </c>
      <c r="K3910">
        <v>0</v>
      </c>
      <c r="L3910" s="2">
        <v>0</v>
      </c>
      <c r="M3910">
        <v>41.17</v>
      </c>
      <c r="N3910" t="s">
        <v>10236</v>
      </c>
    </row>
    <row r="3911" spans="1:14">
      <c r="A3911" t="s">
        <v>35</v>
      </c>
      <c r="B3911" t="s">
        <v>4051</v>
      </c>
      <c r="C3911">
        <f>"C1183543XLV"</f>
        <v>0</v>
      </c>
      <c r="D3911">
        <v>0</v>
      </c>
      <c r="E3911">
        <v>1</v>
      </c>
      <c r="F3911" s="2">
        <v>10</v>
      </c>
      <c r="H3911">
        <v>0</v>
      </c>
      <c r="I3911">
        <v>0.1741125760648204</v>
      </c>
      <c r="J3911">
        <v>0</v>
      </c>
      <c r="K3911">
        <v>0</v>
      </c>
      <c r="L3911" s="2">
        <v>0</v>
      </c>
      <c r="M3911">
        <v>41.18</v>
      </c>
      <c r="N3911" t="s">
        <v>10236</v>
      </c>
    </row>
    <row r="3912" spans="1:14">
      <c r="A3912" t="s">
        <v>35</v>
      </c>
      <c r="B3912" t="s">
        <v>4052</v>
      </c>
      <c r="C3912">
        <f>"B1090063XLV"</f>
        <v>0</v>
      </c>
      <c r="D3912">
        <v>0</v>
      </c>
      <c r="E3912">
        <v>1</v>
      </c>
      <c r="F3912" s="2">
        <v>10</v>
      </c>
      <c r="H3912">
        <v>0</v>
      </c>
      <c r="I3912">
        <v>0.1741125760648204</v>
      </c>
      <c r="J3912">
        <v>0</v>
      </c>
      <c r="K3912">
        <v>0</v>
      </c>
      <c r="L3912" s="2">
        <v>0</v>
      </c>
      <c r="M3912">
        <v>41.19</v>
      </c>
      <c r="N3912" t="s">
        <v>10236</v>
      </c>
    </row>
    <row r="3913" spans="1:14">
      <c r="A3913" t="s">
        <v>35</v>
      </c>
      <c r="B3913" t="s">
        <v>4053</v>
      </c>
      <c r="C3913">
        <f>"B1090063XLN"</f>
        <v>0</v>
      </c>
      <c r="D3913">
        <v>0</v>
      </c>
      <c r="E3913">
        <v>2</v>
      </c>
      <c r="F3913" s="2">
        <v>10</v>
      </c>
      <c r="H3913">
        <v>0</v>
      </c>
      <c r="I3913">
        <v>0.1741125760648204</v>
      </c>
      <c r="J3913">
        <v>0</v>
      </c>
      <c r="K3913">
        <v>0</v>
      </c>
      <c r="L3913" s="2">
        <v>0</v>
      </c>
      <c r="M3913">
        <v>41.2</v>
      </c>
      <c r="N3913" t="s">
        <v>10236</v>
      </c>
    </row>
    <row r="3914" spans="1:14">
      <c r="A3914" t="s">
        <v>35</v>
      </c>
      <c r="B3914" t="s">
        <v>4054</v>
      </c>
      <c r="C3914">
        <f>"C1183543XLC"</f>
        <v>0</v>
      </c>
      <c r="D3914">
        <v>0</v>
      </c>
      <c r="E3914">
        <v>2</v>
      </c>
      <c r="F3914" s="2">
        <v>10</v>
      </c>
      <c r="H3914">
        <v>0</v>
      </c>
      <c r="I3914">
        <v>0.1741125760648204</v>
      </c>
      <c r="J3914">
        <v>0</v>
      </c>
      <c r="K3914">
        <v>0</v>
      </c>
      <c r="L3914" s="2">
        <v>0</v>
      </c>
      <c r="M3914">
        <v>41.21</v>
      </c>
      <c r="N3914" t="s">
        <v>10236</v>
      </c>
    </row>
    <row r="3915" spans="1:14">
      <c r="A3915" t="s">
        <v>35</v>
      </c>
      <c r="B3915" t="s">
        <v>4055</v>
      </c>
      <c r="C3915">
        <f>"C1183543XLA"</f>
        <v>0</v>
      </c>
      <c r="D3915">
        <v>0</v>
      </c>
      <c r="E3915">
        <v>1</v>
      </c>
      <c r="F3915" s="2">
        <v>10</v>
      </c>
      <c r="H3915">
        <v>0</v>
      </c>
      <c r="I3915">
        <v>0.1741125760648204</v>
      </c>
      <c r="J3915">
        <v>0</v>
      </c>
      <c r="K3915">
        <v>0</v>
      </c>
      <c r="L3915" s="2">
        <v>0</v>
      </c>
      <c r="M3915">
        <v>41.22</v>
      </c>
      <c r="N3915" t="s">
        <v>10236</v>
      </c>
    </row>
    <row r="3916" spans="1:14">
      <c r="A3916" t="s">
        <v>35</v>
      </c>
      <c r="B3916" t="s">
        <v>4056</v>
      </c>
      <c r="C3916">
        <f>"C118354XLC"</f>
        <v>0</v>
      </c>
      <c r="D3916">
        <v>0</v>
      </c>
      <c r="E3916">
        <v>2</v>
      </c>
      <c r="F3916" s="2">
        <v>8</v>
      </c>
      <c r="H3916">
        <v>0</v>
      </c>
      <c r="I3916">
        <v>0.1741125760648204</v>
      </c>
      <c r="J3916">
        <v>0</v>
      </c>
      <c r="K3916">
        <v>0</v>
      </c>
      <c r="L3916" s="2">
        <v>0</v>
      </c>
      <c r="M3916">
        <v>41.23</v>
      </c>
      <c r="N3916" t="s">
        <v>10236</v>
      </c>
    </row>
    <row r="3917" spans="1:14">
      <c r="A3917" t="s">
        <v>35</v>
      </c>
      <c r="B3917" t="s">
        <v>4057</v>
      </c>
      <c r="C3917">
        <f>"C118354XLA"</f>
        <v>0</v>
      </c>
      <c r="D3917">
        <v>0</v>
      </c>
      <c r="E3917">
        <v>1</v>
      </c>
      <c r="F3917" s="2">
        <v>8</v>
      </c>
      <c r="H3917">
        <v>0</v>
      </c>
      <c r="I3917">
        <v>0.1741125760648204</v>
      </c>
      <c r="J3917">
        <v>0</v>
      </c>
      <c r="K3917">
        <v>0</v>
      </c>
      <c r="L3917" s="2">
        <v>0</v>
      </c>
      <c r="M3917">
        <v>41.24</v>
      </c>
      <c r="N3917" t="s">
        <v>10236</v>
      </c>
    </row>
    <row r="3918" spans="1:14">
      <c r="A3918" t="s">
        <v>35</v>
      </c>
      <c r="B3918" t="s">
        <v>4058</v>
      </c>
      <c r="C3918">
        <f>"B109006XLA"</f>
        <v>0</v>
      </c>
      <c r="D3918">
        <v>0</v>
      </c>
      <c r="E3918">
        <v>2</v>
      </c>
      <c r="F3918" s="2">
        <v>8</v>
      </c>
      <c r="H3918">
        <v>0</v>
      </c>
      <c r="I3918">
        <v>0.1741125760648204</v>
      </c>
      <c r="J3918">
        <v>0</v>
      </c>
      <c r="K3918">
        <v>0</v>
      </c>
      <c r="L3918" s="2">
        <v>0</v>
      </c>
      <c r="M3918">
        <v>41.24</v>
      </c>
      <c r="N3918" t="s">
        <v>10236</v>
      </c>
    </row>
    <row r="3919" spans="1:14">
      <c r="A3919" t="s">
        <v>35</v>
      </c>
      <c r="B3919" t="s">
        <v>4059</v>
      </c>
      <c r="C3919">
        <f>"B109006SV"</f>
        <v>0</v>
      </c>
      <c r="D3919">
        <v>0</v>
      </c>
      <c r="E3919">
        <v>1</v>
      </c>
      <c r="F3919" s="2">
        <v>6</v>
      </c>
      <c r="H3919">
        <v>0</v>
      </c>
      <c r="I3919">
        <v>0.1741125760648204</v>
      </c>
      <c r="J3919">
        <v>0</v>
      </c>
      <c r="K3919">
        <v>0</v>
      </c>
      <c r="L3919" s="2">
        <v>0</v>
      </c>
      <c r="M3919">
        <v>41.25</v>
      </c>
      <c r="N3919" t="s">
        <v>10236</v>
      </c>
    </row>
    <row r="3920" spans="1:14">
      <c r="A3920" t="s">
        <v>35</v>
      </c>
      <c r="B3920" t="s">
        <v>4060</v>
      </c>
      <c r="C3920">
        <f>"C118354SV"</f>
        <v>0</v>
      </c>
      <c r="D3920">
        <v>0</v>
      </c>
      <c r="E3920">
        <v>1</v>
      </c>
      <c r="F3920" s="2">
        <v>6</v>
      </c>
      <c r="H3920">
        <v>0</v>
      </c>
      <c r="I3920">
        <v>0.1741125760648204</v>
      </c>
      <c r="J3920">
        <v>0</v>
      </c>
      <c r="K3920">
        <v>0</v>
      </c>
      <c r="L3920" s="2">
        <v>0</v>
      </c>
      <c r="M3920">
        <v>41.26</v>
      </c>
      <c r="N3920" t="s">
        <v>10236</v>
      </c>
    </row>
    <row r="3921" spans="1:14">
      <c r="A3921" t="s">
        <v>35</v>
      </c>
      <c r="B3921" t="s">
        <v>4061</v>
      </c>
      <c r="C3921">
        <f>"A731m"</f>
        <v>0</v>
      </c>
      <c r="D3921">
        <v>0</v>
      </c>
      <c r="E3921">
        <v>1</v>
      </c>
      <c r="F3921" s="2">
        <v>3</v>
      </c>
      <c r="H3921">
        <v>0</v>
      </c>
      <c r="I3921">
        <v>0.1741125760648204</v>
      </c>
      <c r="J3921">
        <v>0</v>
      </c>
      <c r="K3921">
        <v>0</v>
      </c>
      <c r="L3921" s="2">
        <v>0</v>
      </c>
      <c r="M3921">
        <v>41.27</v>
      </c>
      <c r="N3921" t="s">
        <v>10236</v>
      </c>
    </row>
    <row r="3922" spans="1:14">
      <c r="A3922" t="s">
        <v>35</v>
      </c>
      <c r="B3922" t="s">
        <v>4062</v>
      </c>
      <c r="C3922">
        <f>"MCW162"</f>
        <v>0</v>
      </c>
      <c r="D3922">
        <v>0</v>
      </c>
      <c r="E3922">
        <v>0</v>
      </c>
      <c r="F3922" s="2">
        <v>0</v>
      </c>
      <c r="H3922">
        <v>0</v>
      </c>
      <c r="I3922">
        <v>0.1741125760648204</v>
      </c>
      <c r="J3922">
        <v>0</v>
      </c>
      <c r="K3922">
        <v>0</v>
      </c>
      <c r="L3922" s="2">
        <v>0</v>
      </c>
      <c r="M3922">
        <v>41.28</v>
      </c>
      <c r="N3922" t="s">
        <v>10236</v>
      </c>
    </row>
    <row r="3923" spans="1:14">
      <c r="A3923" t="s">
        <v>35</v>
      </c>
      <c r="B3923" t="s">
        <v>4063</v>
      </c>
      <c r="C3923">
        <f>"ANS23"</f>
        <v>0</v>
      </c>
      <c r="D3923">
        <v>0</v>
      </c>
      <c r="E3923">
        <v>0</v>
      </c>
      <c r="F3923" s="2">
        <v>0</v>
      </c>
      <c r="H3923">
        <v>0</v>
      </c>
      <c r="I3923">
        <v>0.1741125760648204</v>
      </c>
      <c r="J3923">
        <v>0</v>
      </c>
      <c r="K3923">
        <v>0</v>
      </c>
      <c r="L3923" s="2">
        <v>0</v>
      </c>
      <c r="M3923">
        <v>41.29</v>
      </c>
      <c r="N3923" t="s">
        <v>10236</v>
      </c>
    </row>
    <row r="3924" spans="1:14">
      <c r="A3924" t="s">
        <v>35</v>
      </c>
      <c r="B3924" t="s">
        <v>4064</v>
      </c>
      <c r="C3924">
        <f>"TP50A"</f>
        <v>0</v>
      </c>
      <c r="D3924">
        <v>0</v>
      </c>
      <c r="E3924">
        <v>0</v>
      </c>
      <c r="F3924" s="2">
        <v>0</v>
      </c>
      <c r="H3924">
        <v>0</v>
      </c>
      <c r="I3924">
        <v>0.1741125760648204</v>
      </c>
      <c r="J3924">
        <v>0</v>
      </c>
      <c r="K3924">
        <v>0</v>
      </c>
      <c r="L3924" s="2">
        <v>0</v>
      </c>
      <c r="M3924">
        <v>41.3</v>
      </c>
      <c r="N3924" t="s">
        <v>10236</v>
      </c>
    </row>
    <row r="3925" spans="1:14">
      <c r="A3925" t="s">
        <v>35</v>
      </c>
      <c r="B3925" t="s">
        <v>4065</v>
      </c>
      <c r="C3925">
        <f>"TP10"</f>
        <v>0</v>
      </c>
      <c r="D3925">
        <v>0</v>
      </c>
      <c r="E3925">
        <v>0</v>
      </c>
      <c r="F3925" s="2">
        <v>0</v>
      </c>
      <c r="H3925">
        <v>0</v>
      </c>
      <c r="I3925">
        <v>0.1741125760648204</v>
      </c>
      <c r="J3925">
        <v>0</v>
      </c>
      <c r="K3925">
        <v>0</v>
      </c>
      <c r="L3925" s="2">
        <v>0</v>
      </c>
      <c r="M3925">
        <v>41.31</v>
      </c>
      <c r="N3925" t="s">
        <v>10236</v>
      </c>
    </row>
    <row r="3926" spans="1:14">
      <c r="A3926" t="s">
        <v>35</v>
      </c>
      <c r="B3926" t="s">
        <v>4066</v>
      </c>
      <c r="C3926">
        <f>"C608AZ"</f>
        <v>0</v>
      </c>
      <c r="D3926">
        <v>0</v>
      </c>
      <c r="E3926">
        <v>0</v>
      </c>
      <c r="F3926" s="2">
        <v>0</v>
      </c>
      <c r="H3926">
        <v>0</v>
      </c>
      <c r="I3926">
        <v>0.1741125760648204</v>
      </c>
      <c r="J3926">
        <v>0</v>
      </c>
      <c r="K3926">
        <v>0</v>
      </c>
      <c r="L3926" s="2">
        <v>0</v>
      </c>
      <c r="M3926">
        <v>41.32</v>
      </c>
      <c r="N3926" t="s">
        <v>10236</v>
      </c>
    </row>
    <row r="3927" spans="1:14">
      <c r="A3927" t="s">
        <v>192</v>
      </c>
      <c r="B3927" t="s">
        <v>4067</v>
      </c>
      <c r="C3927">
        <f>"LN010LVE"</f>
        <v>0</v>
      </c>
      <c r="D3927">
        <v>0</v>
      </c>
      <c r="E3927">
        <v>3</v>
      </c>
      <c r="F3927" s="2">
        <v>0</v>
      </c>
      <c r="H3927">
        <v>0</v>
      </c>
      <c r="I3927">
        <v>0.1741125760648204</v>
      </c>
      <c r="J3927">
        <v>0</v>
      </c>
      <c r="K3927">
        <v>0</v>
      </c>
      <c r="L3927" s="2">
        <v>0</v>
      </c>
      <c r="M3927">
        <v>41.33</v>
      </c>
      <c r="N3927" t="s">
        <v>10236</v>
      </c>
    </row>
    <row r="3928" spans="1:14">
      <c r="A3928" t="s">
        <v>192</v>
      </c>
      <c r="B3928" t="s">
        <v>4068</v>
      </c>
      <c r="C3928">
        <f>"LN010LCEL"</f>
        <v>0</v>
      </c>
      <c r="D3928">
        <v>0</v>
      </c>
      <c r="E3928">
        <v>0</v>
      </c>
      <c r="F3928" s="2">
        <v>0</v>
      </c>
      <c r="H3928">
        <v>0</v>
      </c>
      <c r="I3928">
        <v>0.1741125760648204</v>
      </c>
      <c r="J3928">
        <v>0</v>
      </c>
      <c r="K3928">
        <v>0</v>
      </c>
      <c r="L3928" s="2">
        <v>0</v>
      </c>
      <c r="M3928">
        <v>41.34</v>
      </c>
      <c r="N3928" t="s">
        <v>10236</v>
      </c>
    </row>
    <row r="3929" spans="1:14">
      <c r="A3929" t="s">
        <v>192</v>
      </c>
      <c r="B3929" t="s">
        <v>4069</v>
      </c>
      <c r="C3929">
        <f>"LN010LAZ"</f>
        <v>0</v>
      </c>
      <c r="D3929">
        <v>0</v>
      </c>
      <c r="E3929">
        <v>0</v>
      </c>
      <c r="F3929" s="2">
        <v>0</v>
      </c>
      <c r="H3929">
        <v>0</v>
      </c>
      <c r="I3929">
        <v>0.1741125760648204</v>
      </c>
      <c r="J3929">
        <v>0</v>
      </c>
      <c r="K3929">
        <v>0</v>
      </c>
      <c r="L3929" s="2">
        <v>0</v>
      </c>
      <c r="M3929">
        <v>41.35</v>
      </c>
      <c r="N3929" t="s">
        <v>10236</v>
      </c>
    </row>
    <row r="3930" spans="1:14">
      <c r="A3930" t="s">
        <v>35</v>
      </c>
      <c r="B3930" t="s">
        <v>4070</v>
      </c>
      <c r="C3930">
        <f>"PT005LDC"</f>
        <v>0</v>
      </c>
      <c r="D3930">
        <v>0</v>
      </c>
      <c r="E3930">
        <v>0</v>
      </c>
      <c r="F3930" s="2">
        <v>0</v>
      </c>
      <c r="H3930">
        <v>0</v>
      </c>
      <c r="I3930">
        <v>0.1741125760648204</v>
      </c>
      <c r="J3930">
        <v>0</v>
      </c>
      <c r="K3930">
        <v>0</v>
      </c>
      <c r="L3930" s="2">
        <v>0</v>
      </c>
      <c r="M3930">
        <v>41.36</v>
      </c>
      <c r="N3930" t="s">
        <v>10236</v>
      </c>
    </row>
    <row r="3931" spans="1:14">
      <c r="A3931" t="s">
        <v>35</v>
      </c>
      <c r="B3931" t="s">
        <v>4071</v>
      </c>
      <c r="C3931">
        <f>"QC10R"</f>
        <v>0</v>
      </c>
      <c r="D3931">
        <v>0</v>
      </c>
      <c r="E3931">
        <v>0</v>
      </c>
      <c r="F3931" s="2">
        <v>0</v>
      </c>
      <c r="H3931">
        <v>0</v>
      </c>
      <c r="I3931">
        <v>0.1741125760648204</v>
      </c>
      <c r="J3931">
        <v>0</v>
      </c>
      <c r="K3931">
        <v>0</v>
      </c>
      <c r="L3931" s="2">
        <v>0</v>
      </c>
      <c r="M3931">
        <v>41.36</v>
      </c>
      <c r="N3931" t="s">
        <v>10236</v>
      </c>
    </row>
    <row r="3932" spans="1:14">
      <c r="A3932" t="s">
        <v>35</v>
      </c>
      <c r="B3932" t="s">
        <v>4072</v>
      </c>
      <c r="C3932">
        <f>"QC10A"</f>
        <v>0</v>
      </c>
      <c r="D3932">
        <v>0</v>
      </c>
      <c r="E3932">
        <v>0</v>
      </c>
      <c r="F3932" s="2">
        <v>0</v>
      </c>
      <c r="H3932">
        <v>0</v>
      </c>
      <c r="I3932">
        <v>0.1741125760648204</v>
      </c>
      <c r="J3932">
        <v>0</v>
      </c>
      <c r="K3932">
        <v>0</v>
      </c>
      <c r="L3932" s="2">
        <v>0</v>
      </c>
      <c r="M3932">
        <v>41.37</v>
      </c>
      <c r="N3932" t="s">
        <v>10236</v>
      </c>
    </row>
    <row r="3933" spans="1:14">
      <c r="A3933" t="s">
        <v>35</v>
      </c>
      <c r="B3933" t="s">
        <v>4073</v>
      </c>
      <c r="C3933">
        <f>"A661"</f>
        <v>0</v>
      </c>
      <c r="D3933">
        <v>0</v>
      </c>
      <c r="E3933">
        <v>0</v>
      </c>
      <c r="F3933" s="2">
        <v>0</v>
      </c>
      <c r="H3933">
        <v>0</v>
      </c>
      <c r="I3933">
        <v>0.1741125760648204</v>
      </c>
      <c r="J3933">
        <v>0</v>
      </c>
      <c r="K3933">
        <v>0</v>
      </c>
      <c r="L3933" s="2">
        <v>0</v>
      </c>
      <c r="M3933">
        <v>41.38</v>
      </c>
      <c r="N3933" t="s">
        <v>10236</v>
      </c>
    </row>
    <row r="3934" spans="1:14">
      <c r="A3934" t="s">
        <v>35</v>
      </c>
      <c r="B3934" t="s">
        <v>4074</v>
      </c>
      <c r="C3934">
        <f>"35096ROS"</f>
        <v>0</v>
      </c>
      <c r="D3934">
        <v>0</v>
      </c>
      <c r="E3934">
        <v>0</v>
      </c>
      <c r="F3934" s="2">
        <v>0</v>
      </c>
      <c r="H3934">
        <v>0</v>
      </c>
      <c r="I3934">
        <v>0.1741125760648204</v>
      </c>
      <c r="J3934">
        <v>0</v>
      </c>
      <c r="K3934">
        <v>0</v>
      </c>
      <c r="L3934" s="2">
        <v>0</v>
      </c>
      <c r="M3934">
        <v>41.39</v>
      </c>
      <c r="N3934" t="s">
        <v>10236</v>
      </c>
    </row>
    <row r="3935" spans="1:14">
      <c r="A3935" t="s">
        <v>35</v>
      </c>
      <c r="B3935" t="s">
        <v>4075</v>
      </c>
      <c r="C3935">
        <f>"35096B"</f>
        <v>0</v>
      </c>
      <c r="D3935">
        <v>0</v>
      </c>
      <c r="E3935">
        <v>1</v>
      </c>
      <c r="F3935" s="2">
        <v>27</v>
      </c>
      <c r="H3935">
        <v>0</v>
      </c>
      <c r="I3935">
        <v>0.1741125760648204</v>
      </c>
      <c r="J3935">
        <v>0</v>
      </c>
      <c r="K3935">
        <v>0</v>
      </c>
      <c r="L3935" s="2">
        <v>0</v>
      </c>
      <c r="M3935">
        <v>41.4</v>
      </c>
      <c r="N3935" t="s">
        <v>10236</v>
      </c>
    </row>
    <row r="3936" spans="1:14">
      <c r="A3936" t="s">
        <v>35</v>
      </c>
      <c r="B3936" t="s">
        <v>4076</v>
      </c>
      <c r="C3936">
        <f>"C1183542XLC"</f>
        <v>0</v>
      </c>
      <c r="D3936">
        <v>0</v>
      </c>
      <c r="E3936">
        <v>1</v>
      </c>
      <c r="F3936" s="2">
        <v>9</v>
      </c>
      <c r="H3936">
        <v>0</v>
      </c>
      <c r="I3936">
        <v>0.1741125760648204</v>
      </c>
      <c r="J3936">
        <v>0</v>
      </c>
      <c r="K3936">
        <v>0</v>
      </c>
      <c r="L3936" s="2">
        <v>0</v>
      </c>
      <c r="M3936">
        <v>41.41</v>
      </c>
      <c r="N3936" t="s">
        <v>10236</v>
      </c>
    </row>
    <row r="3937" spans="1:14">
      <c r="A3937" t="s">
        <v>35</v>
      </c>
      <c r="B3937" t="s">
        <v>4077</v>
      </c>
      <c r="C3937">
        <f>"1802L"</f>
        <v>0</v>
      </c>
      <c r="D3937">
        <v>0</v>
      </c>
      <c r="E3937">
        <v>0</v>
      </c>
      <c r="F3937" s="2">
        <v>0</v>
      </c>
      <c r="H3937">
        <v>0</v>
      </c>
      <c r="I3937">
        <v>0.1741125760648204</v>
      </c>
      <c r="J3937">
        <v>0</v>
      </c>
      <c r="K3937">
        <v>0</v>
      </c>
      <c r="L3937" s="2">
        <v>0</v>
      </c>
      <c r="M3937">
        <v>41.42</v>
      </c>
      <c r="N3937" t="s">
        <v>10236</v>
      </c>
    </row>
    <row r="3938" spans="1:14">
      <c r="A3938" t="s">
        <v>25</v>
      </c>
      <c r="B3938" t="s">
        <v>4078</v>
      </c>
      <c r="C3938">
        <f>"BBC01"</f>
        <v>0</v>
      </c>
      <c r="D3938">
        <v>0</v>
      </c>
      <c r="E3938">
        <v>0</v>
      </c>
      <c r="F3938" s="2">
        <v>0</v>
      </c>
      <c r="H3938">
        <v>0</v>
      </c>
      <c r="I3938">
        <v>0.1741125760648204</v>
      </c>
      <c r="J3938">
        <v>0</v>
      </c>
      <c r="K3938">
        <v>0</v>
      </c>
      <c r="L3938" s="2">
        <v>0</v>
      </c>
      <c r="M3938">
        <v>41.43</v>
      </c>
      <c r="N3938" t="s">
        <v>10236</v>
      </c>
    </row>
    <row r="3939" spans="1:14">
      <c r="A3939" t="s">
        <v>35</v>
      </c>
      <c r="B3939" t="s">
        <v>4079</v>
      </c>
      <c r="C3939">
        <f>"1811SGV"</f>
        <v>0</v>
      </c>
      <c r="D3939">
        <v>0</v>
      </c>
      <c r="E3939">
        <v>0</v>
      </c>
      <c r="F3939" s="2">
        <v>0</v>
      </c>
      <c r="H3939">
        <v>0</v>
      </c>
      <c r="I3939">
        <v>0.1741125760648204</v>
      </c>
      <c r="J3939">
        <v>0</v>
      </c>
      <c r="K3939">
        <v>0</v>
      </c>
      <c r="L3939" s="2">
        <v>0</v>
      </c>
      <c r="M3939">
        <v>41.44</v>
      </c>
      <c r="N3939" t="s">
        <v>10236</v>
      </c>
    </row>
    <row r="3940" spans="1:14">
      <c r="A3940" t="s">
        <v>35</v>
      </c>
      <c r="B3940" t="s">
        <v>4080</v>
      </c>
      <c r="C3940">
        <f>"PRO01NE"</f>
        <v>0</v>
      </c>
      <c r="D3940">
        <v>0</v>
      </c>
      <c r="E3940">
        <v>0</v>
      </c>
      <c r="F3940" s="2">
        <v>0</v>
      </c>
      <c r="H3940">
        <v>0</v>
      </c>
      <c r="I3940">
        <v>0.1741125760648204</v>
      </c>
      <c r="J3940">
        <v>0</v>
      </c>
      <c r="K3940">
        <v>0</v>
      </c>
      <c r="L3940" s="2">
        <v>0</v>
      </c>
      <c r="M3940">
        <v>41.45</v>
      </c>
      <c r="N3940" t="s">
        <v>10236</v>
      </c>
    </row>
    <row r="3941" spans="1:14">
      <c r="A3941" t="s">
        <v>35</v>
      </c>
      <c r="B3941" t="s">
        <v>4081</v>
      </c>
      <c r="C3941">
        <f>"PRO01G"</f>
        <v>0</v>
      </c>
      <c r="D3941">
        <v>0</v>
      </c>
      <c r="E3941">
        <v>0</v>
      </c>
      <c r="F3941" s="2">
        <v>0</v>
      </c>
      <c r="H3941">
        <v>0</v>
      </c>
      <c r="I3941">
        <v>0.1741125760648204</v>
      </c>
      <c r="J3941">
        <v>0</v>
      </c>
      <c r="K3941">
        <v>0</v>
      </c>
      <c r="L3941" s="2">
        <v>0</v>
      </c>
      <c r="M3941">
        <v>41.46</v>
      </c>
      <c r="N3941" t="s">
        <v>10236</v>
      </c>
    </row>
    <row r="3942" spans="1:14">
      <c r="A3942" t="s">
        <v>35</v>
      </c>
      <c r="B3942" t="s">
        <v>4082</v>
      </c>
      <c r="C3942">
        <f>"PRO01AZ"</f>
        <v>0</v>
      </c>
      <c r="D3942">
        <v>0</v>
      </c>
      <c r="E3942">
        <v>0</v>
      </c>
      <c r="F3942" s="2">
        <v>0</v>
      </c>
      <c r="H3942">
        <v>0</v>
      </c>
      <c r="I3942">
        <v>0.1741125760648204</v>
      </c>
      <c r="J3942">
        <v>0</v>
      </c>
      <c r="K3942">
        <v>0</v>
      </c>
      <c r="L3942" s="2">
        <v>0</v>
      </c>
      <c r="M3942">
        <v>41.47</v>
      </c>
      <c r="N3942" t="s">
        <v>10236</v>
      </c>
    </row>
    <row r="3943" spans="1:14">
      <c r="A3943" t="s">
        <v>35</v>
      </c>
      <c r="B3943" t="s">
        <v>4083</v>
      </c>
      <c r="C3943">
        <f>"BK01M"</f>
        <v>0</v>
      </c>
      <c r="D3943">
        <v>0</v>
      </c>
      <c r="E3943">
        <v>3</v>
      </c>
      <c r="F3943" s="2">
        <v>5</v>
      </c>
      <c r="H3943">
        <v>0</v>
      </c>
      <c r="I3943">
        <v>0.1741125760648204</v>
      </c>
      <c r="J3943">
        <v>0</v>
      </c>
      <c r="K3943">
        <v>0</v>
      </c>
      <c r="L3943" s="2">
        <v>0</v>
      </c>
      <c r="M3943">
        <v>41.47</v>
      </c>
      <c r="N3943" t="s">
        <v>10236</v>
      </c>
    </row>
    <row r="3944" spans="1:14">
      <c r="A3944" t="s">
        <v>35</v>
      </c>
      <c r="B3944" t="s">
        <v>4084</v>
      </c>
      <c r="C3944">
        <f>"BK01S"</f>
        <v>0</v>
      </c>
      <c r="D3944">
        <v>0</v>
      </c>
      <c r="E3944">
        <v>0</v>
      </c>
      <c r="F3944" s="2">
        <v>0</v>
      </c>
      <c r="H3944">
        <v>0</v>
      </c>
      <c r="I3944">
        <v>0.1741125760648204</v>
      </c>
      <c r="J3944">
        <v>0</v>
      </c>
      <c r="K3944">
        <v>0</v>
      </c>
      <c r="L3944" s="2">
        <v>0</v>
      </c>
      <c r="M3944">
        <v>41.48</v>
      </c>
      <c r="N3944" t="s">
        <v>10236</v>
      </c>
    </row>
    <row r="3945" spans="1:14">
      <c r="A3945" t="s">
        <v>35</v>
      </c>
      <c r="B3945" t="s">
        <v>4085</v>
      </c>
      <c r="C3945">
        <f>"BK01ME"</f>
        <v>0</v>
      </c>
      <c r="D3945">
        <v>0</v>
      </c>
      <c r="E3945">
        <v>0</v>
      </c>
      <c r="F3945" s="2">
        <v>0</v>
      </c>
      <c r="H3945">
        <v>0</v>
      </c>
      <c r="I3945">
        <v>0.1741125760648204</v>
      </c>
      <c r="J3945">
        <v>0</v>
      </c>
      <c r="K3945">
        <v>0</v>
      </c>
      <c r="L3945" s="2">
        <v>0</v>
      </c>
      <c r="M3945">
        <v>41.49</v>
      </c>
      <c r="N3945" t="s">
        <v>10236</v>
      </c>
    </row>
    <row r="3946" spans="1:14">
      <c r="A3946" t="s">
        <v>25</v>
      </c>
      <c r="B3946" t="s">
        <v>4086</v>
      </c>
      <c r="C3946">
        <f>"MS001"</f>
        <v>0</v>
      </c>
      <c r="D3946">
        <v>0</v>
      </c>
      <c r="E3946">
        <v>0</v>
      </c>
      <c r="F3946" s="2">
        <v>0</v>
      </c>
      <c r="H3946">
        <v>0</v>
      </c>
      <c r="I3946">
        <v>0.1741125760648204</v>
      </c>
      <c r="J3946">
        <v>0</v>
      </c>
      <c r="K3946">
        <v>0</v>
      </c>
      <c r="L3946" s="2">
        <v>0</v>
      </c>
      <c r="M3946">
        <v>41.5</v>
      </c>
      <c r="N3946" t="s">
        <v>10236</v>
      </c>
    </row>
    <row r="3947" spans="1:14">
      <c r="A3947" t="s">
        <v>35</v>
      </c>
      <c r="B3947" t="s">
        <v>4087</v>
      </c>
      <c r="C3947">
        <f>"CTB56"</f>
        <v>0</v>
      </c>
      <c r="D3947">
        <v>0</v>
      </c>
      <c r="E3947">
        <v>0</v>
      </c>
      <c r="F3947" s="2">
        <v>0</v>
      </c>
      <c r="H3947">
        <v>0</v>
      </c>
      <c r="I3947">
        <v>0.1741125760648204</v>
      </c>
      <c r="J3947">
        <v>0</v>
      </c>
      <c r="K3947">
        <v>0</v>
      </c>
      <c r="L3947" s="2">
        <v>0</v>
      </c>
      <c r="M3947">
        <v>41.51</v>
      </c>
      <c r="N3947" t="s">
        <v>10236</v>
      </c>
    </row>
    <row r="3948" spans="1:14">
      <c r="A3948" t="s">
        <v>35</v>
      </c>
      <c r="B3948" t="s">
        <v>4088</v>
      </c>
      <c r="C3948">
        <f>"HC0109"</f>
        <v>0</v>
      </c>
      <c r="D3948">
        <v>0</v>
      </c>
      <c r="E3948">
        <v>0</v>
      </c>
      <c r="F3948" s="2">
        <v>0</v>
      </c>
      <c r="H3948">
        <v>0</v>
      </c>
      <c r="I3948">
        <v>0.1741125760648204</v>
      </c>
      <c r="J3948">
        <v>0</v>
      </c>
      <c r="K3948">
        <v>0</v>
      </c>
      <c r="L3948" s="2">
        <v>0</v>
      </c>
      <c r="M3948">
        <v>41.52</v>
      </c>
      <c r="N3948" t="s">
        <v>10236</v>
      </c>
    </row>
    <row r="3949" spans="1:14">
      <c r="A3949" t="s">
        <v>35</v>
      </c>
      <c r="B3949" t="s">
        <v>4089</v>
      </c>
      <c r="C3949">
        <f>"C210"</f>
        <v>0</v>
      </c>
      <c r="D3949">
        <v>0</v>
      </c>
      <c r="E3949">
        <v>0</v>
      </c>
      <c r="F3949" s="2">
        <v>0</v>
      </c>
      <c r="H3949">
        <v>0</v>
      </c>
      <c r="I3949">
        <v>0.1741125760648204</v>
      </c>
      <c r="J3949">
        <v>0</v>
      </c>
      <c r="K3949">
        <v>0</v>
      </c>
      <c r="L3949" s="2">
        <v>0</v>
      </c>
      <c r="M3949">
        <v>41.53</v>
      </c>
      <c r="N3949" t="s">
        <v>10236</v>
      </c>
    </row>
    <row r="3950" spans="1:14">
      <c r="A3950" t="s">
        <v>24</v>
      </c>
      <c r="B3950" t="s">
        <v>4090</v>
      </c>
      <c r="C3950">
        <f>"DPI081"</f>
        <v>0</v>
      </c>
      <c r="D3950">
        <v>0</v>
      </c>
      <c r="E3950">
        <v>0</v>
      </c>
      <c r="F3950" s="2">
        <v>0</v>
      </c>
      <c r="H3950">
        <v>0</v>
      </c>
      <c r="I3950">
        <v>0.1741125760648204</v>
      </c>
      <c r="J3950">
        <v>0</v>
      </c>
      <c r="K3950">
        <v>0</v>
      </c>
      <c r="L3950" s="2">
        <v>0</v>
      </c>
      <c r="M3950">
        <v>41.54</v>
      </c>
      <c r="N3950" t="s">
        <v>10236</v>
      </c>
    </row>
    <row r="3951" spans="1:14">
      <c r="A3951" t="s">
        <v>35</v>
      </c>
      <c r="B3951" t="s">
        <v>4091</v>
      </c>
      <c r="C3951">
        <f>"MCW169"</f>
        <v>0</v>
      </c>
      <c r="D3951">
        <v>0</v>
      </c>
      <c r="E3951">
        <v>0</v>
      </c>
      <c r="F3951" s="2">
        <v>0</v>
      </c>
      <c r="H3951">
        <v>0</v>
      </c>
      <c r="I3951">
        <v>0.1741125760648204</v>
      </c>
      <c r="J3951">
        <v>0</v>
      </c>
      <c r="K3951">
        <v>0</v>
      </c>
      <c r="L3951" s="2">
        <v>0</v>
      </c>
      <c r="M3951">
        <v>41.55</v>
      </c>
      <c r="N3951" t="s">
        <v>10236</v>
      </c>
    </row>
    <row r="3952" spans="1:14">
      <c r="A3952" t="s">
        <v>35</v>
      </c>
      <c r="B3952" t="s">
        <v>4092</v>
      </c>
      <c r="C3952">
        <f>"1802S"</f>
        <v>0</v>
      </c>
      <c r="D3952">
        <v>0</v>
      </c>
      <c r="E3952">
        <v>4</v>
      </c>
      <c r="F3952" s="2">
        <v>12</v>
      </c>
      <c r="H3952">
        <v>0</v>
      </c>
      <c r="I3952">
        <v>0.1741125760648204</v>
      </c>
      <c r="J3952">
        <v>0</v>
      </c>
      <c r="K3952">
        <v>0</v>
      </c>
      <c r="L3952" s="2">
        <v>0</v>
      </c>
      <c r="M3952">
        <v>41.56</v>
      </c>
      <c r="N3952" t="s">
        <v>10236</v>
      </c>
    </row>
    <row r="3953" spans="1:14">
      <c r="A3953" t="s">
        <v>35</v>
      </c>
      <c r="B3953" t="s">
        <v>4093</v>
      </c>
      <c r="C3953">
        <f>"C1183542XLA"</f>
        <v>0</v>
      </c>
      <c r="D3953">
        <v>0</v>
      </c>
      <c r="E3953">
        <v>1</v>
      </c>
      <c r="F3953" s="2">
        <v>9</v>
      </c>
      <c r="H3953">
        <v>0</v>
      </c>
      <c r="I3953">
        <v>0.1741125760648204</v>
      </c>
      <c r="J3953">
        <v>0</v>
      </c>
      <c r="K3953">
        <v>0</v>
      </c>
      <c r="L3953" s="2">
        <v>0</v>
      </c>
      <c r="M3953">
        <v>41.57</v>
      </c>
      <c r="N3953" t="s">
        <v>10236</v>
      </c>
    </row>
    <row r="3954" spans="1:14">
      <c r="A3954" t="s">
        <v>35</v>
      </c>
      <c r="B3954" t="s">
        <v>4094</v>
      </c>
      <c r="C3954">
        <f>"b1090062XLA"</f>
        <v>0</v>
      </c>
      <c r="D3954">
        <v>0</v>
      </c>
      <c r="E3954">
        <v>1</v>
      </c>
      <c r="F3954" s="2">
        <v>9</v>
      </c>
      <c r="H3954">
        <v>0</v>
      </c>
      <c r="I3954">
        <v>0.1741125760648204</v>
      </c>
      <c r="J3954">
        <v>0</v>
      </c>
      <c r="K3954">
        <v>0</v>
      </c>
      <c r="L3954" s="2">
        <v>0</v>
      </c>
      <c r="M3954">
        <v>41.58</v>
      </c>
      <c r="N3954" t="s">
        <v>10236</v>
      </c>
    </row>
    <row r="3955" spans="1:14">
      <c r="A3955" t="s">
        <v>35</v>
      </c>
      <c r="B3955" t="s">
        <v>4095</v>
      </c>
      <c r="C3955">
        <f>"6836XLN"</f>
        <v>0</v>
      </c>
      <c r="D3955">
        <v>0</v>
      </c>
      <c r="E3955">
        <v>0</v>
      </c>
      <c r="F3955" s="2">
        <v>0</v>
      </c>
      <c r="H3955">
        <v>0</v>
      </c>
      <c r="I3955">
        <v>0.1741125760648204</v>
      </c>
      <c r="J3955">
        <v>0</v>
      </c>
      <c r="K3955">
        <v>0</v>
      </c>
      <c r="L3955" s="2">
        <v>0</v>
      </c>
      <c r="M3955">
        <v>41.59</v>
      </c>
      <c r="N3955" t="s">
        <v>10236</v>
      </c>
    </row>
    <row r="3956" spans="1:14">
      <c r="A3956" t="s">
        <v>35</v>
      </c>
      <c r="B3956" t="s">
        <v>4096</v>
      </c>
      <c r="C3956">
        <f>"6836XLGO"</f>
        <v>0</v>
      </c>
      <c r="D3956">
        <v>0</v>
      </c>
      <c r="E3956">
        <v>0</v>
      </c>
      <c r="F3956" s="2">
        <v>0</v>
      </c>
      <c r="H3956">
        <v>0</v>
      </c>
      <c r="I3956">
        <v>0.1741125760648204</v>
      </c>
      <c r="J3956">
        <v>0</v>
      </c>
      <c r="K3956">
        <v>0</v>
      </c>
      <c r="L3956" s="2">
        <v>0</v>
      </c>
      <c r="M3956">
        <v>41.59</v>
      </c>
      <c r="N3956" t="s">
        <v>10236</v>
      </c>
    </row>
    <row r="3957" spans="1:14">
      <c r="A3957" t="s">
        <v>35</v>
      </c>
      <c r="B3957" t="s">
        <v>4097</v>
      </c>
      <c r="C3957">
        <f>"6836XLGC"</f>
        <v>0</v>
      </c>
      <c r="D3957">
        <v>0</v>
      </c>
      <c r="E3957">
        <v>2</v>
      </c>
      <c r="F3957" s="2">
        <v>10</v>
      </c>
      <c r="H3957">
        <v>0</v>
      </c>
      <c r="I3957">
        <v>0.1741125760648204</v>
      </c>
      <c r="J3957">
        <v>0</v>
      </c>
      <c r="K3957">
        <v>0</v>
      </c>
      <c r="L3957" s="2">
        <v>0</v>
      </c>
      <c r="M3957">
        <v>41.6</v>
      </c>
      <c r="N3957" t="s">
        <v>10236</v>
      </c>
    </row>
    <row r="3958" spans="1:14">
      <c r="A3958" t="s">
        <v>218</v>
      </c>
      <c r="B3958" t="s">
        <v>4098</v>
      </c>
      <c r="C3958">
        <f>"BAR04"</f>
        <v>0</v>
      </c>
      <c r="D3958">
        <v>0</v>
      </c>
      <c r="E3958">
        <v>0</v>
      </c>
      <c r="F3958" s="2">
        <v>0</v>
      </c>
      <c r="H3958">
        <v>0</v>
      </c>
      <c r="I3958">
        <v>0.1741125760648204</v>
      </c>
      <c r="J3958">
        <v>0</v>
      </c>
      <c r="K3958">
        <v>0</v>
      </c>
      <c r="L3958" s="2">
        <v>0</v>
      </c>
      <c r="M3958">
        <v>41.61</v>
      </c>
      <c r="N3958" t="s">
        <v>10236</v>
      </c>
    </row>
    <row r="3959" spans="1:14">
      <c r="A3959" t="s">
        <v>218</v>
      </c>
      <c r="B3959" t="s">
        <v>4099</v>
      </c>
      <c r="C3959">
        <f>"INSPRM0006"</f>
        <v>0</v>
      </c>
      <c r="D3959">
        <v>0</v>
      </c>
      <c r="E3959">
        <v>0</v>
      </c>
      <c r="F3959" s="2">
        <v>0</v>
      </c>
      <c r="H3959">
        <v>0</v>
      </c>
      <c r="I3959">
        <v>0.1741125760648204</v>
      </c>
      <c r="J3959">
        <v>0</v>
      </c>
      <c r="K3959">
        <v>0</v>
      </c>
      <c r="L3959" s="2">
        <v>0</v>
      </c>
      <c r="M3959">
        <v>41.62</v>
      </c>
      <c r="N3959" t="s">
        <v>10236</v>
      </c>
    </row>
    <row r="3960" spans="1:14">
      <c r="A3960" t="s">
        <v>35</v>
      </c>
      <c r="B3960" t="s">
        <v>4100</v>
      </c>
      <c r="C3960">
        <f>"2529"</f>
        <v>0</v>
      </c>
      <c r="D3960">
        <v>0</v>
      </c>
      <c r="E3960">
        <v>0</v>
      </c>
      <c r="F3960" s="2">
        <v>0</v>
      </c>
      <c r="H3960">
        <v>0</v>
      </c>
      <c r="I3960">
        <v>0.1741125760648204</v>
      </c>
      <c r="J3960">
        <v>0</v>
      </c>
      <c r="K3960">
        <v>0</v>
      </c>
      <c r="L3960" s="2">
        <v>0</v>
      </c>
      <c r="M3960">
        <v>41.63</v>
      </c>
      <c r="N3960" t="s">
        <v>10236</v>
      </c>
    </row>
    <row r="3961" spans="1:14">
      <c r="A3961" t="s">
        <v>35</v>
      </c>
      <c r="B3961" t="s">
        <v>4101</v>
      </c>
      <c r="C3961">
        <f>"2530"</f>
        <v>0</v>
      </c>
      <c r="D3961">
        <v>0</v>
      </c>
      <c r="E3961">
        <v>0</v>
      </c>
      <c r="F3961" s="2">
        <v>0</v>
      </c>
      <c r="H3961">
        <v>0</v>
      </c>
      <c r="I3961">
        <v>0.1741125760648204</v>
      </c>
      <c r="J3961">
        <v>0</v>
      </c>
      <c r="K3961">
        <v>0</v>
      </c>
      <c r="L3961" s="2">
        <v>0</v>
      </c>
      <c r="M3961">
        <v>41.64</v>
      </c>
      <c r="N3961" t="s">
        <v>10236</v>
      </c>
    </row>
    <row r="3962" spans="1:14">
      <c r="A3962" t="s">
        <v>35</v>
      </c>
      <c r="B3962" t="s">
        <v>4102</v>
      </c>
      <c r="C3962">
        <f>"6834XLGO"</f>
        <v>0</v>
      </c>
      <c r="D3962">
        <v>0</v>
      </c>
      <c r="E3962">
        <v>0</v>
      </c>
      <c r="F3962" s="2">
        <v>0</v>
      </c>
      <c r="H3962">
        <v>0</v>
      </c>
      <c r="I3962">
        <v>0.1741125760648204</v>
      </c>
      <c r="J3962">
        <v>0</v>
      </c>
      <c r="K3962">
        <v>0</v>
      </c>
      <c r="L3962" s="2">
        <v>0</v>
      </c>
      <c r="M3962">
        <v>41.65</v>
      </c>
      <c r="N3962" t="s">
        <v>10236</v>
      </c>
    </row>
    <row r="3963" spans="1:14">
      <c r="A3963" t="s">
        <v>35</v>
      </c>
      <c r="B3963" t="s">
        <v>4103</v>
      </c>
      <c r="C3963">
        <f>"6834XLGC"</f>
        <v>0</v>
      </c>
      <c r="D3963">
        <v>0</v>
      </c>
      <c r="E3963">
        <v>0</v>
      </c>
      <c r="F3963" s="2">
        <v>0</v>
      </c>
      <c r="H3963">
        <v>0</v>
      </c>
      <c r="I3963">
        <v>0.1741125760648204</v>
      </c>
      <c r="J3963">
        <v>0</v>
      </c>
      <c r="K3963">
        <v>0</v>
      </c>
      <c r="L3963" s="2">
        <v>0</v>
      </c>
      <c r="M3963">
        <v>41.66</v>
      </c>
      <c r="N3963" t="s">
        <v>10236</v>
      </c>
    </row>
    <row r="3964" spans="1:14">
      <c r="A3964" t="s">
        <v>35</v>
      </c>
      <c r="B3964" t="s">
        <v>4104</v>
      </c>
      <c r="C3964">
        <f>"6834XLCE"</f>
        <v>0</v>
      </c>
      <c r="D3964">
        <v>0</v>
      </c>
      <c r="E3964">
        <v>0</v>
      </c>
      <c r="F3964" s="2">
        <v>0</v>
      </c>
      <c r="H3964">
        <v>0</v>
      </c>
      <c r="I3964">
        <v>0.1741125760648204</v>
      </c>
      <c r="J3964">
        <v>0</v>
      </c>
      <c r="K3964">
        <v>0</v>
      </c>
      <c r="L3964" s="2">
        <v>0</v>
      </c>
      <c r="M3964">
        <v>41.67</v>
      </c>
      <c r="N3964" t="s">
        <v>10236</v>
      </c>
    </row>
    <row r="3965" spans="1:14">
      <c r="A3965" t="s">
        <v>35</v>
      </c>
      <c r="B3965" t="s">
        <v>4105</v>
      </c>
      <c r="C3965">
        <f>"6833XLN"</f>
        <v>0</v>
      </c>
      <c r="D3965">
        <v>0</v>
      </c>
      <c r="E3965">
        <v>0</v>
      </c>
      <c r="F3965" s="2">
        <v>0</v>
      </c>
      <c r="H3965">
        <v>0</v>
      </c>
      <c r="I3965">
        <v>0.1741125760648204</v>
      </c>
      <c r="J3965">
        <v>0</v>
      </c>
      <c r="K3965">
        <v>0</v>
      </c>
      <c r="L3965" s="2">
        <v>0</v>
      </c>
      <c r="M3965">
        <v>41.68</v>
      </c>
      <c r="N3965" t="s">
        <v>10236</v>
      </c>
    </row>
    <row r="3966" spans="1:14">
      <c r="A3966" t="s">
        <v>35</v>
      </c>
      <c r="B3966" t="s">
        <v>4106</v>
      </c>
      <c r="C3966">
        <f>"6833XLGO"</f>
        <v>0</v>
      </c>
      <c r="D3966">
        <v>0</v>
      </c>
      <c r="E3966">
        <v>1</v>
      </c>
      <c r="F3966" s="2">
        <v>8</v>
      </c>
      <c r="H3966">
        <v>0</v>
      </c>
      <c r="I3966">
        <v>0.1741125760648204</v>
      </c>
      <c r="J3966">
        <v>0</v>
      </c>
      <c r="K3966">
        <v>0</v>
      </c>
      <c r="L3966" s="2">
        <v>0</v>
      </c>
      <c r="M3966">
        <v>41.69</v>
      </c>
      <c r="N3966" t="s">
        <v>10236</v>
      </c>
    </row>
    <row r="3967" spans="1:14">
      <c r="A3967" t="s">
        <v>35</v>
      </c>
      <c r="B3967" t="s">
        <v>4107</v>
      </c>
      <c r="C3967">
        <f>"PA402262"</f>
        <v>0</v>
      </c>
      <c r="D3967">
        <v>0</v>
      </c>
      <c r="E3967">
        <v>0</v>
      </c>
      <c r="F3967" s="2">
        <v>0</v>
      </c>
      <c r="H3967">
        <v>0</v>
      </c>
      <c r="I3967">
        <v>0.1741125760648204</v>
      </c>
      <c r="J3967">
        <v>0</v>
      </c>
      <c r="K3967">
        <v>0</v>
      </c>
      <c r="L3967" s="2">
        <v>0</v>
      </c>
      <c r="M3967">
        <v>41.7</v>
      </c>
      <c r="N3967" t="s">
        <v>10236</v>
      </c>
    </row>
    <row r="3968" spans="1:14">
      <c r="A3968" t="s">
        <v>35</v>
      </c>
      <c r="B3968" t="s">
        <v>4108</v>
      </c>
      <c r="C3968">
        <f>"6833XLA"</f>
        <v>0</v>
      </c>
      <c r="D3968">
        <v>0</v>
      </c>
      <c r="E3968">
        <v>0</v>
      </c>
      <c r="F3968" s="2">
        <v>0</v>
      </c>
      <c r="H3968">
        <v>0</v>
      </c>
      <c r="I3968">
        <v>0.1741125760648204</v>
      </c>
      <c r="J3968">
        <v>0</v>
      </c>
      <c r="K3968">
        <v>0</v>
      </c>
      <c r="L3968" s="2">
        <v>0</v>
      </c>
      <c r="M3968">
        <v>41.71</v>
      </c>
      <c r="N3968" t="s">
        <v>10236</v>
      </c>
    </row>
    <row r="3969" spans="1:14">
      <c r="A3969" t="s">
        <v>35</v>
      </c>
      <c r="B3969" t="s">
        <v>4109</v>
      </c>
      <c r="C3969">
        <f>"6832XLN"</f>
        <v>0</v>
      </c>
      <c r="D3969">
        <v>0</v>
      </c>
      <c r="E3969">
        <v>0</v>
      </c>
      <c r="F3969" s="2">
        <v>0</v>
      </c>
      <c r="H3969">
        <v>0</v>
      </c>
      <c r="I3969">
        <v>0.1741125760648204</v>
      </c>
      <c r="J3969">
        <v>0</v>
      </c>
      <c r="K3969">
        <v>0</v>
      </c>
      <c r="L3969" s="2">
        <v>0</v>
      </c>
      <c r="M3969">
        <v>41.71</v>
      </c>
      <c r="N3969" t="s">
        <v>10236</v>
      </c>
    </row>
    <row r="3970" spans="1:14">
      <c r="A3970" t="s">
        <v>35</v>
      </c>
      <c r="B3970" t="s">
        <v>4110</v>
      </c>
      <c r="C3970">
        <f>"6832XLGO"</f>
        <v>0</v>
      </c>
      <c r="D3970">
        <v>0</v>
      </c>
      <c r="E3970">
        <v>0</v>
      </c>
      <c r="F3970" s="2">
        <v>0</v>
      </c>
      <c r="H3970">
        <v>0</v>
      </c>
      <c r="I3970">
        <v>0.1741125760648204</v>
      </c>
      <c r="J3970">
        <v>0</v>
      </c>
      <c r="K3970">
        <v>0</v>
      </c>
      <c r="L3970" s="2">
        <v>0</v>
      </c>
      <c r="M3970">
        <v>41.72</v>
      </c>
      <c r="N3970" t="s">
        <v>10236</v>
      </c>
    </row>
    <row r="3971" spans="1:14">
      <c r="A3971" t="s">
        <v>35</v>
      </c>
      <c r="B3971" t="s">
        <v>4111</v>
      </c>
      <c r="C3971">
        <f>"6832XLGC"</f>
        <v>0</v>
      </c>
      <c r="D3971">
        <v>0</v>
      </c>
      <c r="E3971">
        <v>1</v>
      </c>
      <c r="F3971" s="2">
        <v>8</v>
      </c>
      <c r="H3971">
        <v>0</v>
      </c>
      <c r="I3971">
        <v>0.1741125760648204</v>
      </c>
      <c r="J3971">
        <v>0</v>
      </c>
      <c r="K3971">
        <v>0</v>
      </c>
      <c r="L3971" s="2">
        <v>0</v>
      </c>
      <c r="M3971">
        <v>41.73</v>
      </c>
      <c r="N3971" t="s">
        <v>10236</v>
      </c>
    </row>
    <row r="3972" spans="1:14">
      <c r="A3972" t="s">
        <v>32</v>
      </c>
      <c r="B3972" t="s">
        <v>4112</v>
      </c>
      <c r="C3972">
        <f>"1004924"</f>
        <v>0</v>
      </c>
      <c r="D3972">
        <v>0</v>
      </c>
      <c r="E3972">
        <v>0</v>
      </c>
      <c r="F3972" s="2">
        <v>0</v>
      </c>
      <c r="H3972">
        <v>0</v>
      </c>
      <c r="I3972">
        <v>0.1741125760648204</v>
      </c>
      <c r="J3972">
        <v>0</v>
      </c>
      <c r="K3972">
        <v>0</v>
      </c>
      <c r="L3972" s="2">
        <v>0</v>
      </c>
      <c r="M3972">
        <v>41.74</v>
      </c>
      <c r="N3972" t="s">
        <v>10236</v>
      </c>
    </row>
    <row r="3973" spans="1:14">
      <c r="A3973" t="s">
        <v>192</v>
      </c>
      <c r="B3973" t="s">
        <v>4113</v>
      </c>
      <c r="C3973">
        <f>"LN010SVE"</f>
        <v>0</v>
      </c>
      <c r="D3973">
        <v>0</v>
      </c>
      <c r="E3973">
        <v>0</v>
      </c>
      <c r="F3973" s="2">
        <v>0</v>
      </c>
      <c r="H3973">
        <v>0</v>
      </c>
      <c r="I3973">
        <v>0.1741125760648204</v>
      </c>
      <c r="J3973">
        <v>0</v>
      </c>
      <c r="K3973">
        <v>0</v>
      </c>
      <c r="L3973" s="2">
        <v>0</v>
      </c>
      <c r="M3973">
        <v>41.75</v>
      </c>
      <c r="N3973" t="s">
        <v>10236</v>
      </c>
    </row>
    <row r="3974" spans="1:14">
      <c r="A3974" t="s">
        <v>192</v>
      </c>
      <c r="B3974" t="s">
        <v>4114</v>
      </c>
      <c r="C3974">
        <f>"LN010SCEL"</f>
        <v>0</v>
      </c>
      <c r="D3974">
        <v>0</v>
      </c>
      <c r="E3974">
        <v>0</v>
      </c>
      <c r="F3974" s="2">
        <v>0</v>
      </c>
      <c r="H3974">
        <v>0</v>
      </c>
      <c r="I3974">
        <v>0.1741125760648204</v>
      </c>
      <c r="J3974">
        <v>0</v>
      </c>
      <c r="K3974">
        <v>0</v>
      </c>
      <c r="L3974" s="2">
        <v>0</v>
      </c>
      <c r="M3974">
        <v>41.76</v>
      </c>
      <c r="N3974" t="s">
        <v>10236</v>
      </c>
    </row>
    <row r="3975" spans="1:14">
      <c r="A3975" t="s">
        <v>192</v>
      </c>
      <c r="B3975" t="s">
        <v>4115</v>
      </c>
      <c r="C3975">
        <f>"LN010SAZ"</f>
        <v>0</v>
      </c>
      <c r="D3975">
        <v>0</v>
      </c>
      <c r="E3975">
        <v>0</v>
      </c>
      <c r="F3975" s="2">
        <v>0</v>
      </c>
      <c r="H3975">
        <v>0</v>
      </c>
      <c r="I3975">
        <v>0.1741125760648204</v>
      </c>
      <c r="J3975">
        <v>0</v>
      </c>
      <c r="K3975">
        <v>0</v>
      </c>
      <c r="L3975" s="2">
        <v>0</v>
      </c>
      <c r="M3975">
        <v>41.77</v>
      </c>
      <c r="N3975" t="s">
        <v>10236</v>
      </c>
    </row>
    <row r="3976" spans="1:14">
      <c r="A3976" t="s">
        <v>32</v>
      </c>
      <c r="B3976" t="s">
        <v>4116</v>
      </c>
      <c r="C3976">
        <f>"5000009"</f>
        <v>0</v>
      </c>
      <c r="D3976">
        <v>0</v>
      </c>
      <c r="E3976">
        <v>0</v>
      </c>
      <c r="F3976" s="2">
        <v>0</v>
      </c>
      <c r="H3976">
        <v>0</v>
      </c>
      <c r="I3976">
        <v>0.1741125760648204</v>
      </c>
      <c r="J3976">
        <v>0</v>
      </c>
      <c r="K3976">
        <v>0</v>
      </c>
      <c r="L3976" s="2">
        <v>0</v>
      </c>
      <c r="M3976">
        <v>41.78</v>
      </c>
      <c r="N3976" t="s">
        <v>10236</v>
      </c>
    </row>
    <row r="3977" spans="1:14">
      <c r="A3977" t="s">
        <v>218</v>
      </c>
      <c r="B3977" t="s">
        <v>4117</v>
      </c>
      <c r="C3977">
        <f>"987parunid"</f>
        <v>0</v>
      </c>
      <c r="D3977">
        <v>0</v>
      </c>
      <c r="E3977">
        <v>0</v>
      </c>
      <c r="F3977" s="2">
        <v>0</v>
      </c>
      <c r="H3977">
        <v>0</v>
      </c>
      <c r="I3977">
        <v>0.1741125760648204</v>
      </c>
      <c r="J3977">
        <v>0</v>
      </c>
      <c r="K3977">
        <v>0</v>
      </c>
      <c r="L3977" s="2">
        <v>0</v>
      </c>
      <c r="M3977">
        <v>41.79</v>
      </c>
      <c r="N3977" t="s">
        <v>10236</v>
      </c>
    </row>
    <row r="3978" spans="1:14">
      <c r="A3978" t="s">
        <v>32</v>
      </c>
      <c r="B3978" t="s">
        <v>4118</v>
      </c>
      <c r="C3978">
        <f>"1021925"</f>
        <v>0</v>
      </c>
      <c r="D3978">
        <v>0</v>
      </c>
      <c r="E3978">
        <v>0</v>
      </c>
      <c r="F3978" s="2">
        <v>0</v>
      </c>
      <c r="H3978">
        <v>0</v>
      </c>
      <c r="I3978">
        <v>0.1741125760648204</v>
      </c>
      <c r="J3978">
        <v>0</v>
      </c>
      <c r="K3978">
        <v>0</v>
      </c>
      <c r="L3978" s="2">
        <v>0</v>
      </c>
      <c r="M3978">
        <v>41.8</v>
      </c>
      <c r="N3978" t="s">
        <v>10236</v>
      </c>
    </row>
    <row r="3979" spans="1:14">
      <c r="A3979" t="s">
        <v>32</v>
      </c>
      <c r="B3979" t="s">
        <v>4119</v>
      </c>
      <c r="C3979">
        <f>"1016286"</f>
        <v>0</v>
      </c>
      <c r="D3979">
        <v>0</v>
      </c>
      <c r="E3979">
        <v>0</v>
      </c>
      <c r="F3979" s="2">
        <v>0</v>
      </c>
      <c r="H3979">
        <v>0</v>
      </c>
      <c r="I3979">
        <v>0.1741125760648204</v>
      </c>
      <c r="J3979">
        <v>0</v>
      </c>
      <c r="K3979">
        <v>0</v>
      </c>
      <c r="L3979" s="2">
        <v>0</v>
      </c>
      <c r="M3979">
        <v>41.81</v>
      </c>
      <c r="N3979" t="s">
        <v>10236</v>
      </c>
    </row>
    <row r="3980" spans="1:14">
      <c r="A3980" t="s">
        <v>35</v>
      </c>
      <c r="B3980" t="s">
        <v>4120</v>
      </c>
      <c r="C3980">
        <f>"HC0110"</f>
        <v>0</v>
      </c>
      <c r="D3980">
        <v>0</v>
      </c>
      <c r="E3980">
        <v>0</v>
      </c>
      <c r="F3980" s="2">
        <v>0</v>
      </c>
      <c r="H3980">
        <v>0</v>
      </c>
      <c r="I3980">
        <v>0.1741125760648204</v>
      </c>
      <c r="J3980">
        <v>0</v>
      </c>
      <c r="K3980">
        <v>0</v>
      </c>
      <c r="L3980" s="2">
        <v>0</v>
      </c>
      <c r="M3980">
        <v>41.82</v>
      </c>
      <c r="N3980" t="s">
        <v>10236</v>
      </c>
    </row>
    <row r="3981" spans="1:14">
      <c r="A3981" t="s">
        <v>35</v>
      </c>
      <c r="B3981" t="s">
        <v>4121</v>
      </c>
      <c r="C3981">
        <f>"TF1032"</f>
        <v>0</v>
      </c>
      <c r="D3981">
        <v>0</v>
      </c>
      <c r="E3981">
        <v>0</v>
      </c>
      <c r="F3981" s="2">
        <v>0</v>
      </c>
      <c r="H3981">
        <v>0</v>
      </c>
      <c r="I3981">
        <v>0.1741125760648204</v>
      </c>
      <c r="J3981">
        <v>0</v>
      </c>
      <c r="K3981">
        <v>0</v>
      </c>
      <c r="L3981" s="2">
        <v>0</v>
      </c>
      <c r="M3981">
        <v>41.83</v>
      </c>
      <c r="N3981" t="s">
        <v>10236</v>
      </c>
    </row>
    <row r="3982" spans="1:14">
      <c r="A3982" t="s">
        <v>35</v>
      </c>
      <c r="B3982" t="s">
        <v>4122</v>
      </c>
      <c r="C3982">
        <f>"HC1020"</f>
        <v>0</v>
      </c>
      <c r="D3982">
        <v>0</v>
      </c>
      <c r="E3982">
        <v>0</v>
      </c>
      <c r="F3982" s="2">
        <v>0</v>
      </c>
      <c r="H3982">
        <v>0</v>
      </c>
      <c r="I3982">
        <v>0.1741125760648204</v>
      </c>
      <c r="J3982">
        <v>0</v>
      </c>
      <c r="K3982">
        <v>0</v>
      </c>
      <c r="L3982" s="2">
        <v>0</v>
      </c>
      <c r="M3982">
        <v>41.83</v>
      </c>
      <c r="N3982" t="s">
        <v>10236</v>
      </c>
    </row>
    <row r="3983" spans="1:14">
      <c r="A3983" t="s">
        <v>35</v>
      </c>
      <c r="B3983" t="s">
        <v>4123</v>
      </c>
      <c r="C3983">
        <f>"6833XLGC"</f>
        <v>0</v>
      </c>
      <c r="D3983">
        <v>0</v>
      </c>
      <c r="E3983">
        <v>1</v>
      </c>
      <c r="F3983" s="2">
        <v>8</v>
      </c>
      <c r="H3983">
        <v>0</v>
      </c>
      <c r="I3983">
        <v>0.1741125760648204</v>
      </c>
      <c r="J3983">
        <v>0</v>
      </c>
      <c r="K3983">
        <v>0</v>
      </c>
      <c r="L3983" s="2">
        <v>0</v>
      </c>
      <c r="M3983">
        <v>41.84</v>
      </c>
      <c r="N3983" t="s">
        <v>10236</v>
      </c>
    </row>
    <row r="3984" spans="1:14">
      <c r="A3984" t="s">
        <v>35</v>
      </c>
      <c r="B3984" t="s">
        <v>4124</v>
      </c>
      <c r="C3984">
        <f>"DW26XL"</f>
        <v>0</v>
      </c>
      <c r="D3984">
        <v>0</v>
      </c>
      <c r="E3984">
        <v>0</v>
      </c>
      <c r="F3984" s="2">
        <v>0</v>
      </c>
      <c r="H3984">
        <v>0</v>
      </c>
      <c r="I3984">
        <v>0.1741125760648204</v>
      </c>
      <c r="J3984">
        <v>0</v>
      </c>
      <c r="K3984">
        <v>0</v>
      </c>
      <c r="L3984" s="2">
        <v>0</v>
      </c>
      <c r="M3984">
        <v>41.85</v>
      </c>
      <c r="N3984" t="s">
        <v>10236</v>
      </c>
    </row>
    <row r="3985" spans="1:14">
      <c r="A3985" t="s">
        <v>35</v>
      </c>
      <c r="B3985" t="s">
        <v>4125</v>
      </c>
      <c r="C3985">
        <f>"DW26S"</f>
        <v>0</v>
      </c>
      <c r="D3985">
        <v>0</v>
      </c>
      <c r="E3985">
        <v>0</v>
      </c>
      <c r="F3985" s="2">
        <v>0</v>
      </c>
      <c r="H3985">
        <v>0</v>
      </c>
      <c r="I3985">
        <v>0.1741125760648204</v>
      </c>
      <c r="J3985">
        <v>0</v>
      </c>
      <c r="K3985">
        <v>0</v>
      </c>
      <c r="L3985" s="2">
        <v>0</v>
      </c>
      <c r="M3985">
        <v>41.86</v>
      </c>
      <c r="N3985" t="s">
        <v>10236</v>
      </c>
    </row>
    <row r="3986" spans="1:14">
      <c r="A3986" t="s">
        <v>35</v>
      </c>
      <c r="B3986" t="s">
        <v>4126</v>
      </c>
      <c r="C3986">
        <f>"DW26M"</f>
        <v>0</v>
      </c>
      <c r="D3986">
        <v>0</v>
      </c>
      <c r="E3986">
        <v>4</v>
      </c>
      <c r="F3986" s="2">
        <v>3</v>
      </c>
      <c r="H3986">
        <v>0</v>
      </c>
      <c r="I3986">
        <v>0.1741125760648204</v>
      </c>
      <c r="J3986">
        <v>0</v>
      </c>
      <c r="K3986">
        <v>0</v>
      </c>
      <c r="L3986" s="2">
        <v>0</v>
      </c>
      <c r="M3986">
        <v>41.87</v>
      </c>
      <c r="N3986" t="s">
        <v>10236</v>
      </c>
    </row>
    <row r="3987" spans="1:14">
      <c r="A3987" t="s">
        <v>35</v>
      </c>
      <c r="B3987" t="s">
        <v>4127</v>
      </c>
      <c r="C3987">
        <f>"DW26L"</f>
        <v>0</v>
      </c>
      <c r="D3987">
        <v>0</v>
      </c>
      <c r="E3987">
        <v>0</v>
      </c>
      <c r="F3987" s="2">
        <v>0</v>
      </c>
      <c r="H3987">
        <v>0</v>
      </c>
      <c r="I3987">
        <v>0.1741125760648204</v>
      </c>
      <c r="J3987">
        <v>0</v>
      </c>
      <c r="K3987">
        <v>0</v>
      </c>
      <c r="L3987" s="2">
        <v>0</v>
      </c>
      <c r="M3987">
        <v>41.88</v>
      </c>
      <c r="N3987" t="s">
        <v>10236</v>
      </c>
    </row>
    <row r="3988" spans="1:14">
      <c r="A3988" t="s">
        <v>35</v>
      </c>
      <c r="B3988" t="s">
        <v>4128</v>
      </c>
      <c r="C3988">
        <f>"YP42SA"</f>
        <v>0</v>
      </c>
      <c r="D3988">
        <v>0</v>
      </c>
      <c r="E3988">
        <v>0</v>
      </c>
      <c r="F3988" s="2">
        <v>0</v>
      </c>
      <c r="H3988">
        <v>0</v>
      </c>
      <c r="I3988">
        <v>0.1741125760648204</v>
      </c>
      <c r="J3988">
        <v>0</v>
      </c>
      <c r="K3988">
        <v>0</v>
      </c>
      <c r="L3988" s="2">
        <v>0</v>
      </c>
      <c r="M3988">
        <v>41.89</v>
      </c>
      <c r="N3988" t="s">
        <v>10236</v>
      </c>
    </row>
    <row r="3989" spans="1:14">
      <c r="A3989" t="s">
        <v>35</v>
      </c>
      <c r="B3989" t="s">
        <v>4129</v>
      </c>
      <c r="C3989">
        <f>"YP42MR"</f>
        <v>0</v>
      </c>
      <c r="D3989">
        <v>0</v>
      </c>
      <c r="E3989">
        <v>3</v>
      </c>
      <c r="F3989" s="2">
        <v>5</v>
      </c>
      <c r="H3989">
        <v>0</v>
      </c>
      <c r="I3989">
        <v>0.1741125760648204</v>
      </c>
      <c r="J3989">
        <v>0</v>
      </c>
      <c r="K3989">
        <v>0</v>
      </c>
      <c r="L3989" s="2">
        <v>0</v>
      </c>
      <c r="M3989">
        <v>41.9</v>
      </c>
      <c r="N3989" t="s">
        <v>10236</v>
      </c>
    </row>
    <row r="3990" spans="1:14">
      <c r="A3990" t="s">
        <v>35</v>
      </c>
      <c r="B3990" t="s">
        <v>4130</v>
      </c>
      <c r="C3990">
        <f>"YP42LR"</f>
        <v>0</v>
      </c>
      <c r="D3990">
        <v>0</v>
      </c>
      <c r="E3990">
        <v>1</v>
      </c>
      <c r="F3990" s="2">
        <v>6</v>
      </c>
      <c r="H3990">
        <v>0</v>
      </c>
      <c r="I3990">
        <v>0.1741125760648204</v>
      </c>
      <c r="J3990">
        <v>0</v>
      </c>
      <c r="K3990">
        <v>0</v>
      </c>
      <c r="L3990" s="2">
        <v>0</v>
      </c>
      <c r="M3990">
        <v>41.91</v>
      </c>
      <c r="N3990" t="s">
        <v>10236</v>
      </c>
    </row>
    <row r="3991" spans="1:14">
      <c r="A3991" t="s">
        <v>35</v>
      </c>
      <c r="B3991" t="s">
        <v>4131</v>
      </c>
      <c r="C3991">
        <f>"FB6785XL"</f>
        <v>0</v>
      </c>
      <c r="D3991">
        <v>0</v>
      </c>
      <c r="E3991">
        <v>0</v>
      </c>
      <c r="F3991" s="2">
        <v>0</v>
      </c>
      <c r="H3991">
        <v>0</v>
      </c>
      <c r="I3991">
        <v>0.1741125760648204</v>
      </c>
      <c r="J3991">
        <v>0</v>
      </c>
      <c r="K3991">
        <v>0</v>
      </c>
      <c r="L3991" s="2">
        <v>0</v>
      </c>
      <c r="M3991">
        <v>41.92</v>
      </c>
      <c r="N3991" t="s">
        <v>10236</v>
      </c>
    </row>
    <row r="3992" spans="1:14">
      <c r="A3992" t="s">
        <v>35</v>
      </c>
      <c r="B3992" t="s">
        <v>4132</v>
      </c>
      <c r="C3992">
        <f>"FB6784XL"</f>
        <v>0</v>
      </c>
      <c r="D3992">
        <v>0</v>
      </c>
      <c r="E3992">
        <v>1</v>
      </c>
      <c r="F3992" s="2">
        <v>6</v>
      </c>
      <c r="H3992">
        <v>0</v>
      </c>
      <c r="I3992">
        <v>0.1741125760648204</v>
      </c>
      <c r="J3992">
        <v>0</v>
      </c>
      <c r="K3992">
        <v>0</v>
      </c>
      <c r="L3992" s="2">
        <v>0</v>
      </c>
      <c r="M3992">
        <v>41.93</v>
      </c>
      <c r="N3992" t="s">
        <v>10236</v>
      </c>
    </row>
    <row r="3993" spans="1:14">
      <c r="A3993" t="s">
        <v>35</v>
      </c>
      <c r="B3993" t="s">
        <v>4133</v>
      </c>
      <c r="C3993">
        <f>"FB6783XL"</f>
        <v>0</v>
      </c>
      <c r="D3993">
        <v>0</v>
      </c>
      <c r="E3993">
        <v>0</v>
      </c>
      <c r="F3993" s="2">
        <v>0</v>
      </c>
      <c r="H3993">
        <v>0</v>
      </c>
      <c r="I3993">
        <v>0.1741125760648204</v>
      </c>
      <c r="J3993">
        <v>0</v>
      </c>
      <c r="K3993">
        <v>0</v>
      </c>
      <c r="L3993" s="2">
        <v>0</v>
      </c>
      <c r="M3993">
        <v>41.94</v>
      </c>
      <c r="N3993" t="s">
        <v>10236</v>
      </c>
    </row>
    <row r="3994" spans="1:14">
      <c r="A3994" t="s">
        <v>35</v>
      </c>
      <c r="B3994" t="s">
        <v>4134</v>
      </c>
      <c r="C3994">
        <f>"FB6782XL"</f>
        <v>0</v>
      </c>
      <c r="D3994">
        <v>0</v>
      </c>
      <c r="E3994">
        <v>0</v>
      </c>
      <c r="F3994" s="2">
        <v>0</v>
      </c>
      <c r="H3994">
        <v>0</v>
      </c>
      <c r="I3994">
        <v>0.1741125760648204</v>
      </c>
      <c r="J3994">
        <v>0</v>
      </c>
      <c r="K3994">
        <v>0</v>
      </c>
      <c r="L3994" s="2">
        <v>0</v>
      </c>
      <c r="M3994">
        <v>41.94</v>
      </c>
      <c r="N3994" t="s">
        <v>10236</v>
      </c>
    </row>
    <row r="3995" spans="1:14">
      <c r="A3995" t="s">
        <v>35</v>
      </c>
      <c r="B3995" t="s">
        <v>4135</v>
      </c>
      <c r="C3995">
        <f>"B109218XSP"</f>
        <v>0</v>
      </c>
      <c r="D3995">
        <v>0</v>
      </c>
      <c r="E3995">
        <v>1</v>
      </c>
      <c r="F3995" s="2">
        <v>8</v>
      </c>
      <c r="H3995">
        <v>0</v>
      </c>
      <c r="I3995">
        <v>0.1741125760648204</v>
      </c>
      <c r="J3995">
        <v>0</v>
      </c>
      <c r="K3995">
        <v>0</v>
      </c>
      <c r="L3995" s="2">
        <v>0</v>
      </c>
      <c r="M3995">
        <v>41.95</v>
      </c>
      <c r="N3995" t="s">
        <v>10236</v>
      </c>
    </row>
    <row r="3996" spans="1:14">
      <c r="A3996" t="s">
        <v>35</v>
      </c>
      <c r="B3996" t="s">
        <v>4136</v>
      </c>
      <c r="C3996">
        <f>"FB681SR"</f>
        <v>0</v>
      </c>
      <c r="D3996">
        <v>0</v>
      </c>
      <c r="E3996">
        <v>7</v>
      </c>
      <c r="F3996" s="2">
        <v>5</v>
      </c>
      <c r="H3996">
        <v>0</v>
      </c>
      <c r="I3996">
        <v>0.1741125760648204</v>
      </c>
      <c r="J3996">
        <v>0</v>
      </c>
      <c r="K3996">
        <v>0</v>
      </c>
      <c r="L3996" s="2">
        <v>0</v>
      </c>
      <c r="M3996">
        <v>41.96</v>
      </c>
      <c r="N3996" t="s">
        <v>10236</v>
      </c>
    </row>
    <row r="3997" spans="1:14">
      <c r="A3997" t="s">
        <v>35</v>
      </c>
      <c r="B3997" t="s">
        <v>4137</v>
      </c>
      <c r="C3997">
        <f>"FB681SA"</f>
        <v>0</v>
      </c>
      <c r="D3997">
        <v>0</v>
      </c>
      <c r="E3997">
        <v>6</v>
      </c>
      <c r="F3997" s="2">
        <v>5</v>
      </c>
      <c r="H3997">
        <v>0</v>
      </c>
      <c r="I3997">
        <v>0.1741125760648204</v>
      </c>
      <c r="J3997">
        <v>0</v>
      </c>
      <c r="K3997">
        <v>0</v>
      </c>
      <c r="L3997" s="2">
        <v>0</v>
      </c>
      <c r="M3997">
        <v>41.97</v>
      </c>
      <c r="N3997" t="s">
        <v>10236</v>
      </c>
    </row>
    <row r="3998" spans="1:14">
      <c r="A3998" t="s">
        <v>35</v>
      </c>
      <c r="B3998" t="s">
        <v>4138</v>
      </c>
      <c r="C3998">
        <f>"B109048LG"</f>
        <v>0</v>
      </c>
      <c r="D3998">
        <v>0</v>
      </c>
      <c r="E3998">
        <v>1</v>
      </c>
      <c r="F3998" s="2">
        <v>6</v>
      </c>
      <c r="H3998">
        <v>0</v>
      </c>
      <c r="I3998">
        <v>0.1741125760648204</v>
      </c>
      <c r="J3998">
        <v>0</v>
      </c>
      <c r="K3998">
        <v>0</v>
      </c>
      <c r="L3998" s="2">
        <v>0</v>
      </c>
      <c r="M3998">
        <v>41.98</v>
      </c>
      <c r="N3998" t="s">
        <v>10236</v>
      </c>
    </row>
    <row r="3999" spans="1:14">
      <c r="A3999" t="s">
        <v>35</v>
      </c>
      <c r="B3999" t="s">
        <v>4139</v>
      </c>
      <c r="C3999">
        <f>"FB681MR"</f>
        <v>0</v>
      </c>
      <c r="D3999">
        <v>0</v>
      </c>
      <c r="E3999">
        <v>12</v>
      </c>
      <c r="F3999" s="2">
        <v>5</v>
      </c>
      <c r="H3999">
        <v>0</v>
      </c>
      <c r="I3999">
        <v>0.1741125760648204</v>
      </c>
      <c r="J3999">
        <v>0</v>
      </c>
      <c r="K3999">
        <v>0</v>
      </c>
      <c r="L3999" s="2">
        <v>0</v>
      </c>
      <c r="M3999">
        <v>41.99</v>
      </c>
      <c r="N3999" t="s">
        <v>10236</v>
      </c>
    </row>
    <row r="4000" spans="1:14">
      <c r="A4000" t="s">
        <v>35</v>
      </c>
      <c r="B4000" t="s">
        <v>4140</v>
      </c>
      <c r="C4000">
        <f>"FB681MA"</f>
        <v>0</v>
      </c>
      <c r="D4000">
        <v>0</v>
      </c>
      <c r="E4000">
        <v>3</v>
      </c>
      <c r="F4000" s="2">
        <v>5</v>
      </c>
      <c r="H4000">
        <v>0</v>
      </c>
      <c r="I4000">
        <v>0.1741125760648204</v>
      </c>
      <c r="J4000">
        <v>0</v>
      </c>
      <c r="K4000">
        <v>0</v>
      </c>
      <c r="L4000" s="2">
        <v>0</v>
      </c>
      <c r="M4000">
        <v>42</v>
      </c>
      <c r="N4000" t="s">
        <v>10236</v>
      </c>
    </row>
    <row r="4001" spans="1:14">
      <c r="A4001" t="s">
        <v>35</v>
      </c>
      <c r="B4001" t="s">
        <v>4141</v>
      </c>
      <c r="C4001">
        <f>"FB681LV"</f>
        <v>0</v>
      </c>
      <c r="D4001">
        <v>0</v>
      </c>
      <c r="E4001">
        <v>4</v>
      </c>
      <c r="F4001" s="2">
        <v>6</v>
      </c>
      <c r="H4001">
        <v>0</v>
      </c>
      <c r="I4001">
        <v>0.1741125760648204</v>
      </c>
      <c r="J4001">
        <v>0</v>
      </c>
      <c r="K4001">
        <v>0</v>
      </c>
      <c r="L4001" s="2">
        <v>0</v>
      </c>
      <c r="M4001">
        <v>42.01</v>
      </c>
      <c r="N4001" t="s">
        <v>10236</v>
      </c>
    </row>
    <row r="4002" spans="1:14">
      <c r="A4002" t="s">
        <v>35</v>
      </c>
      <c r="B4002" t="s">
        <v>4142</v>
      </c>
      <c r="C4002">
        <f>"FB681LR"</f>
        <v>0</v>
      </c>
      <c r="D4002">
        <v>0</v>
      </c>
      <c r="E4002">
        <v>1</v>
      </c>
      <c r="F4002" s="2">
        <v>6</v>
      </c>
      <c r="H4002">
        <v>0</v>
      </c>
      <c r="I4002">
        <v>0.1741125760648204</v>
      </c>
      <c r="J4002">
        <v>0</v>
      </c>
      <c r="K4002">
        <v>0</v>
      </c>
      <c r="L4002" s="2">
        <v>0</v>
      </c>
      <c r="M4002">
        <v>42.02</v>
      </c>
      <c r="N4002" t="s">
        <v>10236</v>
      </c>
    </row>
    <row r="4003" spans="1:14">
      <c r="A4003" t="s">
        <v>27</v>
      </c>
      <c r="B4003" t="s">
        <v>4143</v>
      </c>
      <c r="C4003">
        <f>"ALCR04"</f>
        <v>0</v>
      </c>
      <c r="D4003">
        <v>0</v>
      </c>
      <c r="E4003">
        <v>5</v>
      </c>
      <c r="F4003" s="2">
        <v>9</v>
      </c>
      <c r="H4003">
        <v>0</v>
      </c>
      <c r="I4003">
        <v>0.1741125760648204</v>
      </c>
      <c r="J4003">
        <v>0</v>
      </c>
      <c r="K4003">
        <v>0</v>
      </c>
      <c r="L4003" s="2">
        <v>0</v>
      </c>
      <c r="M4003">
        <v>42.03</v>
      </c>
      <c r="N4003" t="s">
        <v>10236</v>
      </c>
    </row>
    <row r="4004" spans="1:14">
      <c r="A4004" t="s">
        <v>27</v>
      </c>
      <c r="B4004" t="s">
        <v>4144</v>
      </c>
      <c r="C4004">
        <f>"ALCP07"</f>
        <v>0</v>
      </c>
      <c r="D4004">
        <v>0</v>
      </c>
      <c r="E4004">
        <v>0</v>
      </c>
      <c r="F4004" s="2">
        <v>0</v>
      </c>
      <c r="H4004">
        <v>0</v>
      </c>
      <c r="I4004">
        <v>0.1741125760648204</v>
      </c>
      <c r="J4004">
        <v>0</v>
      </c>
      <c r="K4004">
        <v>0</v>
      </c>
      <c r="L4004" s="2">
        <v>0</v>
      </c>
      <c r="M4004">
        <v>42.04</v>
      </c>
      <c r="N4004" t="s">
        <v>10236</v>
      </c>
    </row>
    <row r="4005" spans="1:14">
      <c r="A4005" t="s">
        <v>33</v>
      </c>
      <c r="B4005" t="s">
        <v>4145</v>
      </c>
      <c r="C4005">
        <f>"AGLUT9"</f>
        <v>0</v>
      </c>
      <c r="D4005">
        <v>0</v>
      </c>
      <c r="E4005">
        <v>0</v>
      </c>
      <c r="F4005" s="2">
        <v>0</v>
      </c>
      <c r="H4005">
        <v>0</v>
      </c>
      <c r="I4005">
        <v>0.1741125760648204</v>
      </c>
      <c r="J4005">
        <v>0</v>
      </c>
      <c r="K4005">
        <v>0</v>
      </c>
      <c r="L4005" s="2">
        <v>0</v>
      </c>
      <c r="M4005">
        <v>42.05</v>
      </c>
      <c r="N4005" t="s">
        <v>10236</v>
      </c>
    </row>
    <row r="4006" spans="1:14">
      <c r="A4006" t="s">
        <v>194</v>
      </c>
      <c r="B4006" t="s">
        <v>4146</v>
      </c>
      <c r="C4006">
        <f>"2110050"</f>
        <v>0</v>
      </c>
      <c r="D4006">
        <v>0</v>
      </c>
      <c r="E4006">
        <v>0</v>
      </c>
      <c r="F4006" s="2">
        <v>0</v>
      </c>
      <c r="H4006">
        <v>0</v>
      </c>
      <c r="I4006">
        <v>0.1741125760648204</v>
      </c>
      <c r="J4006">
        <v>0</v>
      </c>
      <c r="K4006">
        <v>0</v>
      </c>
      <c r="L4006" s="2">
        <v>0</v>
      </c>
      <c r="M4006">
        <v>42.06</v>
      </c>
      <c r="N4006" t="s">
        <v>10236</v>
      </c>
    </row>
    <row r="4007" spans="1:14">
      <c r="A4007" t="s">
        <v>194</v>
      </c>
      <c r="B4007" t="s">
        <v>4147</v>
      </c>
      <c r="C4007">
        <f>"100200"</f>
        <v>0</v>
      </c>
      <c r="D4007">
        <v>0</v>
      </c>
      <c r="E4007">
        <v>0</v>
      </c>
      <c r="F4007" s="2">
        <v>0</v>
      </c>
      <c r="H4007">
        <v>0</v>
      </c>
      <c r="I4007">
        <v>0.1741125760648204</v>
      </c>
      <c r="J4007">
        <v>0</v>
      </c>
      <c r="K4007">
        <v>0</v>
      </c>
      <c r="L4007" s="2">
        <v>0</v>
      </c>
      <c r="M4007">
        <v>42.06</v>
      </c>
      <c r="N4007" t="s">
        <v>10236</v>
      </c>
    </row>
    <row r="4008" spans="1:14">
      <c r="A4008" t="s">
        <v>194</v>
      </c>
      <c r="B4008" t="s">
        <v>4148</v>
      </c>
      <c r="C4008">
        <f>"102100100"</f>
        <v>0</v>
      </c>
      <c r="D4008">
        <v>0</v>
      </c>
      <c r="E4008">
        <v>0</v>
      </c>
      <c r="F4008" s="2">
        <v>0</v>
      </c>
      <c r="H4008">
        <v>0</v>
      </c>
      <c r="I4008">
        <v>0.1741125760648204</v>
      </c>
      <c r="J4008">
        <v>0</v>
      </c>
      <c r="K4008">
        <v>0</v>
      </c>
      <c r="L4008" s="2">
        <v>0</v>
      </c>
      <c r="M4008">
        <v>42.07</v>
      </c>
      <c r="N4008" t="s">
        <v>10236</v>
      </c>
    </row>
    <row r="4009" spans="1:14">
      <c r="A4009" t="s">
        <v>194</v>
      </c>
      <c r="B4009" t="s">
        <v>4149</v>
      </c>
      <c r="C4009">
        <f>"100050"</f>
        <v>0</v>
      </c>
      <c r="D4009">
        <v>0</v>
      </c>
      <c r="E4009">
        <v>0</v>
      </c>
      <c r="F4009" s="2">
        <v>0</v>
      </c>
      <c r="H4009">
        <v>0</v>
      </c>
      <c r="I4009">
        <v>0.1741125760648204</v>
      </c>
      <c r="J4009">
        <v>0</v>
      </c>
      <c r="K4009">
        <v>0</v>
      </c>
      <c r="L4009" s="2">
        <v>0</v>
      </c>
      <c r="M4009">
        <v>42.08</v>
      </c>
      <c r="N4009" t="s">
        <v>10236</v>
      </c>
    </row>
    <row r="4010" spans="1:14">
      <c r="A4010" t="s">
        <v>194</v>
      </c>
      <c r="B4010" t="s">
        <v>4150</v>
      </c>
      <c r="C4010">
        <f>"300200"</f>
        <v>0</v>
      </c>
      <c r="D4010">
        <v>0</v>
      </c>
      <c r="E4010">
        <v>0</v>
      </c>
      <c r="F4010" s="2">
        <v>0</v>
      </c>
      <c r="H4010">
        <v>0</v>
      </c>
      <c r="I4010">
        <v>0.1741125760648204</v>
      </c>
      <c r="J4010">
        <v>0</v>
      </c>
      <c r="K4010">
        <v>0</v>
      </c>
      <c r="L4010" s="2">
        <v>0</v>
      </c>
      <c r="M4010">
        <v>42.09</v>
      </c>
      <c r="N4010" t="s">
        <v>10236</v>
      </c>
    </row>
    <row r="4011" spans="1:14">
      <c r="A4011" t="s">
        <v>210</v>
      </c>
      <c r="B4011" t="s">
        <v>4151</v>
      </c>
      <c r="C4011">
        <f>"140802102002"</f>
        <v>0</v>
      </c>
      <c r="D4011">
        <v>0</v>
      </c>
      <c r="E4011">
        <v>0</v>
      </c>
      <c r="F4011" s="2">
        <v>0</v>
      </c>
      <c r="H4011">
        <v>0</v>
      </c>
      <c r="I4011">
        <v>0.1741125760648204</v>
      </c>
      <c r="J4011">
        <v>0</v>
      </c>
      <c r="K4011">
        <v>0</v>
      </c>
      <c r="L4011" s="2">
        <v>0</v>
      </c>
      <c r="M4011">
        <v>42.1</v>
      </c>
      <c r="N4011" t="s">
        <v>10236</v>
      </c>
    </row>
    <row r="4012" spans="1:14">
      <c r="A4012" t="s">
        <v>210</v>
      </c>
      <c r="B4012" t="s">
        <v>4152</v>
      </c>
      <c r="C4012">
        <f>"140802102000"</f>
        <v>0</v>
      </c>
      <c r="D4012">
        <v>0</v>
      </c>
      <c r="E4012">
        <v>0</v>
      </c>
      <c r="F4012" s="2">
        <v>0</v>
      </c>
      <c r="H4012">
        <v>0</v>
      </c>
      <c r="I4012">
        <v>0.1741125760648204</v>
      </c>
      <c r="J4012">
        <v>0</v>
      </c>
      <c r="K4012">
        <v>0</v>
      </c>
      <c r="L4012" s="2">
        <v>0</v>
      </c>
      <c r="M4012">
        <v>42.11</v>
      </c>
      <c r="N4012" t="s">
        <v>10236</v>
      </c>
    </row>
    <row r="4013" spans="1:14">
      <c r="A4013" t="s">
        <v>35</v>
      </c>
      <c r="B4013" t="s">
        <v>4153</v>
      </c>
      <c r="C4013">
        <f>"ARECC20LAV"</f>
        <v>0</v>
      </c>
      <c r="D4013">
        <v>0</v>
      </c>
      <c r="E4013">
        <v>0</v>
      </c>
      <c r="F4013" s="2">
        <v>0</v>
      </c>
      <c r="H4013">
        <v>0</v>
      </c>
      <c r="I4013">
        <v>0.1741125760648204</v>
      </c>
      <c r="J4013">
        <v>0</v>
      </c>
      <c r="K4013">
        <v>0</v>
      </c>
      <c r="L4013" s="2">
        <v>0</v>
      </c>
      <c r="M4013">
        <v>42.12</v>
      </c>
      <c r="N4013" t="s">
        <v>10236</v>
      </c>
    </row>
    <row r="4014" spans="1:14">
      <c r="A4014" t="s">
        <v>35</v>
      </c>
      <c r="B4014" t="s">
        <v>4154</v>
      </c>
      <c r="C4014">
        <f>"FB681MV"</f>
        <v>0</v>
      </c>
      <c r="D4014">
        <v>0</v>
      </c>
      <c r="E4014">
        <v>2</v>
      </c>
      <c r="F4014" s="2">
        <v>5</v>
      </c>
      <c r="H4014">
        <v>0</v>
      </c>
      <c r="I4014">
        <v>0.1741125760648204</v>
      </c>
      <c r="J4014">
        <v>0</v>
      </c>
      <c r="K4014">
        <v>0</v>
      </c>
      <c r="L4014" s="2">
        <v>0</v>
      </c>
      <c r="M4014">
        <v>42.13</v>
      </c>
      <c r="N4014" t="s">
        <v>10236</v>
      </c>
    </row>
    <row r="4015" spans="1:14">
      <c r="A4015" t="s">
        <v>35</v>
      </c>
      <c r="B4015" t="s">
        <v>4155</v>
      </c>
      <c r="C4015">
        <f>"B1180623XLG"</f>
        <v>0</v>
      </c>
      <c r="D4015">
        <v>0</v>
      </c>
      <c r="E4015">
        <v>1</v>
      </c>
      <c r="F4015" s="2">
        <v>7</v>
      </c>
      <c r="H4015">
        <v>0</v>
      </c>
      <c r="I4015">
        <v>0.1741125760648204</v>
      </c>
      <c r="J4015">
        <v>0</v>
      </c>
      <c r="K4015">
        <v>0</v>
      </c>
      <c r="L4015" s="2">
        <v>0</v>
      </c>
      <c r="M4015">
        <v>42.14</v>
      </c>
      <c r="N4015" t="s">
        <v>10236</v>
      </c>
    </row>
    <row r="4016" spans="1:14">
      <c r="A4016" t="s">
        <v>35</v>
      </c>
      <c r="B4016" t="s">
        <v>4156</v>
      </c>
      <c r="C4016">
        <f>"B1180624XLR"</f>
        <v>0</v>
      </c>
      <c r="D4016">
        <v>0</v>
      </c>
      <c r="E4016">
        <v>1</v>
      </c>
      <c r="F4016" s="2">
        <v>8</v>
      </c>
      <c r="H4016">
        <v>0</v>
      </c>
      <c r="I4016">
        <v>0.1741125760648204</v>
      </c>
      <c r="J4016">
        <v>0</v>
      </c>
      <c r="K4016">
        <v>0</v>
      </c>
      <c r="L4016" s="2">
        <v>0</v>
      </c>
      <c r="M4016">
        <v>42.15</v>
      </c>
      <c r="N4016" t="s">
        <v>10236</v>
      </c>
    </row>
    <row r="4017" spans="1:14">
      <c r="A4017" t="s">
        <v>35</v>
      </c>
      <c r="B4017" t="s">
        <v>4157</v>
      </c>
      <c r="C4017">
        <f>"B1180623XLA"</f>
        <v>0</v>
      </c>
      <c r="D4017">
        <v>0</v>
      </c>
      <c r="E4017">
        <v>1</v>
      </c>
      <c r="F4017" s="2">
        <v>7</v>
      </c>
      <c r="H4017">
        <v>0</v>
      </c>
      <c r="I4017">
        <v>0.1741125760648204</v>
      </c>
      <c r="J4017">
        <v>0</v>
      </c>
      <c r="K4017">
        <v>0</v>
      </c>
      <c r="L4017" s="2">
        <v>0</v>
      </c>
      <c r="M4017">
        <v>42.16</v>
      </c>
      <c r="N4017" t="s">
        <v>10236</v>
      </c>
    </row>
    <row r="4018" spans="1:14">
      <c r="A4018" t="s">
        <v>35</v>
      </c>
      <c r="B4018" t="s">
        <v>4158</v>
      </c>
      <c r="C4018">
        <f>"B1180622XLR"</f>
        <v>0</v>
      </c>
      <c r="D4018">
        <v>0</v>
      </c>
      <c r="E4018">
        <v>1</v>
      </c>
      <c r="F4018" s="2">
        <v>7</v>
      </c>
      <c r="H4018">
        <v>0</v>
      </c>
      <c r="I4018">
        <v>0.1741125760648204</v>
      </c>
      <c r="J4018">
        <v>0</v>
      </c>
      <c r="K4018">
        <v>0</v>
      </c>
      <c r="L4018" s="2">
        <v>0</v>
      </c>
      <c r="M4018">
        <v>42.17</v>
      </c>
      <c r="N4018" t="s">
        <v>10236</v>
      </c>
    </row>
    <row r="4019" spans="1:14">
      <c r="A4019" t="s">
        <v>35</v>
      </c>
      <c r="B4019" t="s">
        <v>4159</v>
      </c>
      <c r="C4019">
        <f>"B1180622XLG"</f>
        <v>0</v>
      </c>
      <c r="D4019">
        <v>0</v>
      </c>
      <c r="E4019">
        <v>1</v>
      </c>
      <c r="F4019" s="2">
        <v>7</v>
      </c>
      <c r="H4019">
        <v>0</v>
      </c>
      <c r="I4019">
        <v>0.1741125760648204</v>
      </c>
      <c r="J4019">
        <v>0</v>
      </c>
      <c r="K4019">
        <v>0</v>
      </c>
      <c r="L4019" s="2">
        <v>0</v>
      </c>
      <c r="M4019">
        <v>42.18</v>
      </c>
      <c r="N4019" t="s">
        <v>10236</v>
      </c>
    </row>
    <row r="4020" spans="1:14">
      <c r="A4020" t="s">
        <v>35</v>
      </c>
      <c r="B4020" t="s">
        <v>4160</v>
      </c>
      <c r="C4020">
        <f>"B1180622XLA"</f>
        <v>0</v>
      </c>
      <c r="D4020">
        <v>0</v>
      </c>
      <c r="E4020">
        <v>0</v>
      </c>
      <c r="F4020" s="2">
        <v>0</v>
      </c>
      <c r="H4020">
        <v>0</v>
      </c>
      <c r="I4020">
        <v>0.1741125760648204</v>
      </c>
      <c r="J4020">
        <v>0</v>
      </c>
      <c r="K4020">
        <v>0</v>
      </c>
      <c r="L4020" s="2">
        <v>0</v>
      </c>
      <c r="M4020">
        <v>42.18</v>
      </c>
      <c r="N4020" t="s">
        <v>10236</v>
      </c>
    </row>
    <row r="4021" spans="1:14">
      <c r="A4021" t="s">
        <v>35</v>
      </c>
      <c r="B4021" t="s">
        <v>4161</v>
      </c>
      <c r="C4021">
        <f>"YP42XLA"</f>
        <v>0</v>
      </c>
      <c r="D4021">
        <v>0</v>
      </c>
      <c r="E4021">
        <v>0</v>
      </c>
      <c r="F4021" s="2">
        <v>0</v>
      </c>
      <c r="H4021">
        <v>0</v>
      </c>
      <c r="I4021">
        <v>0.1741125760648204</v>
      </c>
      <c r="J4021">
        <v>0</v>
      </c>
      <c r="K4021">
        <v>0</v>
      </c>
      <c r="L4021" s="2">
        <v>0</v>
      </c>
      <c r="M4021">
        <v>42.19</v>
      </c>
      <c r="N4021" t="s">
        <v>10236</v>
      </c>
    </row>
    <row r="4022" spans="1:14">
      <c r="A4022" t="s">
        <v>35</v>
      </c>
      <c r="B4022" t="s">
        <v>4162</v>
      </c>
      <c r="C4022">
        <f>"YP42LA"</f>
        <v>0</v>
      </c>
      <c r="D4022">
        <v>0</v>
      </c>
      <c r="E4022">
        <v>1</v>
      </c>
      <c r="F4022" s="2">
        <v>6</v>
      </c>
      <c r="H4022">
        <v>0</v>
      </c>
      <c r="I4022">
        <v>0.1741125760648204</v>
      </c>
      <c r="J4022">
        <v>0</v>
      </c>
      <c r="K4022">
        <v>0</v>
      </c>
      <c r="L4022" s="2">
        <v>0</v>
      </c>
      <c r="M4022">
        <v>42.2</v>
      </c>
      <c r="N4022" t="s">
        <v>10236</v>
      </c>
    </row>
    <row r="4023" spans="1:14">
      <c r="A4023" t="s">
        <v>35</v>
      </c>
      <c r="B4023" t="s">
        <v>4163</v>
      </c>
      <c r="C4023">
        <f>"FB681XLV"</f>
        <v>0</v>
      </c>
      <c r="D4023">
        <v>0</v>
      </c>
      <c r="E4023">
        <v>5</v>
      </c>
      <c r="F4023" s="2">
        <v>7</v>
      </c>
      <c r="H4023">
        <v>0</v>
      </c>
      <c r="I4023">
        <v>0.1741125760648204</v>
      </c>
      <c r="J4023">
        <v>0</v>
      </c>
      <c r="K4023">
        <v>0</v>
      </c>
      <c r="L4023" s="2">
        <v>0</v>
      </c>
      <c r="M4023">
        <v>42.21</v>
      </c>
      <c r="N4023" t="s">
        <v>10236</v>
      </c>
    </row>
    <row r="4024" spans="1:14">
      <c r="A4024" t="s">
        <v>35</v>
      </c>
      <c r="B4024" t="s">
        <v>4164</v>
      </c>
      <c r="C4024">
        <f>"FB681XLR"</f>
        <v>0</v>
      </c>
      <c r="D4024">
        <v>0</v>
      </c>
      <c r="E4024">
        <v>0</v>
      </c>
      <c r="F4024" s="2">
        <v>0</v>
      </c>
      <c r="H4024">
        <v>0</v>
      </c>
      <c r="I4024">
        <v>0.1741125760648204</v>
      </c>
      <c r="J4024">
        <v>0</v>
      </c>
      <c r="K4024">
        <v>0</v>
      </c>
      <c r="L4024" s="2">
        <v>0</v>
      </c>
      <c r="M4024">
        <v>42.22</v>
      </c>
      <c r="N4024" t="s">
        <v>10236</v>
      </c>
    </row>
    <row r="4025" spans="1:14">
      <c r="A4025" t="s">
        <v>35</v>
      </c>
      <c r="B4025" t="s">
        <v>4165</v>
      </c>
      <c r="C4025">
        <f>"FB681XLA"</f>
        <v>0</v>
      </c>
      <c r="D4025">
        <v>0</v>
      </c>
      <c r="E4025">
        <v>0</v>
      </c>
      <c r="F4025" s="2">
        <v>0</v>
      </c>
      <c r="H4025">
        <v>0</v>
      </c>
      <c r="I4025">
        <v>0.1741125760648204</v>
      </c>
      <c r="J4025">
        <v>0</v>
      </c>
      <c r="K4025">
        <v>0</v>
      </c>
      <c r="L4025" s="2">
        <v>0</v>
      </c>
      <c r="M4025">
        <v>42.23</v>
      </c>
      <c r="N4025" t="s">
        <v>10236</v>
      </c>
    </row>
    <row r="4026" spans="1:14">
      <c r="A4026" t="s">
        <v>35</v>
      </c>
      <c r="B4026" t="s">
        <v>4166</v>
      </c>
      <c r="C4026">
        <f>"FB681SV"</f>
        <v>0</v>
      </c>
      <c r="D4026">
        <v>0</v>
      </c>
      <c r="E4026">
        <v>7</v>
      </c>
      <c r="F4026" s="2">
        <v>5</v>
      </c>
      <c r="H4026">
        <v>0</v>
      </c>
      <c r="I4026">
        <v>0.1741125760648204</v>
      </c>
      <c r="J4026">
        <v>0</v>
      </c>
      <c r="K4026">
        <v>0</v>
      </c>
      <c r="L4026" s="2">
        <v>0</v>
      </c>
      <c r="M4026">
        <v>42.24</v>
      </c>
      <c r="N4026" t="s">
        <v>10236</v>
      </c>
    </row>
    <row r="4027" spans="1:14">
      <c r="A4027" t="s">
        <v>35</v>
      </c>
      <c r="B4027" t="s">
        <v>4167</v>
      </c>
      <c r="C4027">
        <f>"B116003SV"</f>
        <v>0</v>
      </c>
      <c r="D4027">
        <v>0</v>
      </c>
      <c r="E4027">
        <v>1</v>
      </c>
      <c r="F4027" s="2">
        <v>8</v>
      </c>
      <c r="H4027">
        <v>0</v>
      </c>
      <c r="I4027">
        <v>0.1741125760648204</v>
      </c>
      <c r="J4027">
        <v>0</v>
      </c>
      <c r="K4027">
        <v>0</v>
      </c>
      <c r="L4027" s="2">
        <v>0</v>
      </c>
      <c r="M4027">
        <v>42.25</v>
      </c>
      <c r="N4027" t="s">
        <v>10236</v>
      </c>
    </row>
    <row r="4028" spans="1:14">
      <c r="A4028" t="s">
        <v>35</v>
      </c>
      <c r="B4028" t="s">
        <v>4168</v>
      </c>
      <c r="C4028">
        <f>"B116003SM"</f>
        <v>0</v>
      </c>
      <c r="D4028">
        <v>0</v>
      </c>
      <c r="E4028">
        <v>2</v>
      </c>
      <c r="F4028" s="2">
        <v>8</v>
      </c>
      <c r="H4028">
        <v>0</v>
      </c>
      <c r="I4028">
        <v>0.1741125760648204</v>
      </c>
      <c r="J4028">
        <v>0</v>
      </c>
      <c r="K4028">
        <v>0</v>
      </c>
      <c r="L4028" s="2">
        <v>0</v>
      </c>
      <c r="M4028">
        <v>42.26</v>
      </c>
      <c r="N4028" t="s">
        <v>10236</v>
      </c>
    </row>
    <row r="4029" spans="1:14">
      <c r="A4029" t="s">
        <v>35</v>
      </c>
      <c r="B4029" t="s">
        <v>4169</v>
      </c>
      <c r="C4029">
        <f>"DW26XXL"</f>
        <v>0</v>
      </c>
      <c r="D4029">
        <v>0</v>
      </c>
      <c r="E4029">
        <v>0</v>
      </c>
      <c r="F4029" s="2">
        <v>0</v>
      </c>
      <c r="H4029">
        <v>0</v>
      </c>
      <c r="I4029">
        <v>0.1741125760648204</v>
      </c>
      <c r="J4029">
        <v>0</v>
      </c>
      <c r="K4029">
        <v>0</v>
      </c>
      <c r="L4029" s="2">
        <v>0</v>
      </c>
      <c r="M4029">
        <v>42.27</v>
      </c>
      <c r="N4029" t="s">
        <v>10236</v>
      </c>
    </row>
    <row r="4030" spans="1:14">
      <c r="A4030" t="s">
        <v>35</v>
      </c>
      <c r="B4030" t="s">
        <v>4170</v>
      </c>
      <c r="C4030">
        <f>"B116003MV"</f>
        <v>0</v>
      </c>
      <c r="D4030">
        <v>0</v>
      </c>
      <c r="E4030">
        <v>2</v>
      </c>
      <c r="F4030" s="2">
        <v>8</v>
      </c>
      <c r="H4030">
        <v>0</v>
      </c>
      <c r="I4030">
        <v>0.1741125760648204</v>
      </c>
      <c r="J4030">
        <v>0</v>
      </c>
      <c r="K4030">
        <v>0</v>
      </c>
      <c r="L4030" s="2">
        <v>0</v>
      </c>
      <c r="M4030">
        <v>42.28</v>
      </c>
      <c r="N4030" t="s">
        <v>10236</v>
      </c>
    </row>
    <row r="4031" spans="1:14">
      <c r="A4031" t="s">
        <v>35</v>
      </c>
      <c r="B4031" t="s">
        <v>4171</v>
      </c>
      <c r="C4031">
        <f>"B116003MM"</f>
        <v>0</v>
      </c>
      <c r="D4031">
        <v>0</v>
      </c>
      <c r="E4031">
        <v>2</v>
      </c>
      <c r="F4031" s="2">
        <v>8</v>
      </c>
      <c r="H4031">
        <v>0</v>
      </c>
      <c r="I4031">
        <v>0.1741125760648204</v>
      </c>
      <c r="J4031">
        <v>0</v>
      </c>
      <c r="K4031">
        <v>0</v>
      </c>
      <c r="L4031" s="2">
        <v>0</v>
      </c>
      <c r="M4031">
        <v>42.29</v>
      </c>
      <c r="N4031" t="s">
        <v>10236</v>
      </c>
    </row>
    <row r="4032" spans="1:14">
      <c r="A4032" t="s">
        <v>35</v>
      </c>
      <c r="B4032" t="s">
        <v>4172</v>
      </c>
      <c r="C4032">
        <f>"B116003MA"</f>
        <v>0</v>
      </c>
      <c r="D4032">
        <v>0</v>
      </c>
      <c r="E4032">
        <v>2</v>
      </c>
      <c r="F4032" s="2">
        <v>8</v>
      </c>
      <c r="H4032">
        <v>0</v>
      </c>
      <c r="I4032">
        <v>0.1741125760648204</v>
      </c>
      <c r="J4032">
        <v>0</v>
      </c>
      <c r="K4032">
        <v>0</v>
      </c>
      <c r="L4032" s="2">
        <v>0</v>
      </c>
      <c r="M4032">
        <v>42.3</v>
      </c>
      <c r="N4032" t="s">
        <v>10236</v>
      </c>
    </row>
    <row r="4033" spans="1:14">
      <c r="A4033" t="s">
        <v>35</v>
      </c>
      <c r="B4033" t="s">
        <v>4173</v>
      </c>
      <c r="C4033">
        <f>"B116003LV"</f>
        <v>0</v>
      </c>
      <c r="D4033">
        <v>0</v>
      </c>
      <c r="E4033">
        <v>2</v>
      </c>
      <c r="F4033" s="2">
        <v>8</v>
      </c>
      <c r="H4033">
        <v>0</v>
      </c>
      <c r="I4033">
        <v>0.1741125760648204</v>
      </c>
      <c r="J4033">
        <v>0</v>
      </c>
      <c r="K4033">
        <v>0</v>
      </c>
      <c r="L4033" s="2">
        <v>0</v>
      </c>
      <c r="M4033">
        <v>42.3</v>
      </c>
      <c r="N4033" t="s">
        <v>10236</v>
      </c>
    </row>
    <row r="4034" spans="1:14">
      <c r="A4034" t="s">
        <v>35</v>
      </c>
      <c r="B4034" t="s">
        <v>4174</v>
      </c>
      <c r="C4034">
        <f>"B116003LM"</f>
        <v>0</v>
      </c>
      <c r="D4034">
        <v>0</v>
      </c>
      <c r="E4034">
        <v>3</v>
      </c>
      <c r="F4034" s="2">
        <v>8</v>
      </c>
      <c r="H4034">
        <v>0</v>
      </c>
      <c r="I4034">
        <v>0.1741125760648204</v>
      </c>
      <c r="J4034">
        <v>0</v>
      </c>
      <c r="K4034">
        <v>0</v>
      </c>
      <c r="L4034" s="2">
        <v>0</v>
      </c>
      <c r="M4034">
        <v>42.31</v>
      </c>
      <c r="N4034" t="s">
        <v>10236</v>
      </c>
    </row>
    <row r="4035" spans="1:14">
      <c r="A4035" t="s">
        <v>35</v>
      </c>
      <c r="B4035" t="s">
        <v>4175</v>
      </c>
      <c r="C4035">
        <f>"B116003LA"</f>
        <v>0</v>
      </c>
      <c r="D4035">
        <v>0</v>
      </c>
      <c r="E4035">
        <v>2</v>
      </c>
      <c r="F4035" s="2">
        <v>8</v>
      </c>
      <c r="H4035">
        <v>0</v>
      </c>
      <c r="I4035">
        <v>0.1741125760648204</v>
      </c>
      <c r="J4035">
        <v>0</v>
      </c>
      <c r="K4035">
        <v>0</v>
      </c>
      <c r="L4035" s="2">
        <v>0</v>
      </c>
      <c r="M4035">
        <v>42.32</v>
      </c>
      <c r="N4035" t="s">
        <v>10236</v>
      </c>
    </row>
    <row r="4036" spans="1:14">
      <c r="A4036" t="s">
        <v>35</v>
      </c>
      <c r="B4036" t="s">
        <v>4176</v>
      </c>
      <c r="C4036">
        <f>"B11600324XLV"</f>
        <v>0</v>
      </c>
      <c r="D4036">
        <v>0</v>
      </c>
      <c r="E4036">
        <v>2</v>
      </c>
      <c r="F4036" s="2">
        <v>11</v>
      </c>
      <c r="H4036">
        <v>0</v>
      </c>
      <c r="I4036">
        <v>0.1741125760648204</v>
      </c>
      <c r="J4036">
        <v>0</v>
      </c>
      <c r="K4036">
        <v>0</v>
      </c>
      <c r="L4036" s="2">
        <v>0</v>
      </c>
      <c r="M4036">
        <v>42.33</v>
      </c>
      <c r="N4036" t="s">
        <v>10236</v>
      </c>
    </row>
    <row r="4037" spans="1:14">
      <c r="A4037" t="s">
        <v>35</v>
      </c>
      <c r="B4037" t="s">
        <v>4177</v>
      </c>
      <c r="C4037">
        <f>"FB6816XLA"</f>
        <v>0</v>
      </c>
      <c r="D4037">
        <v>0</v>
      </c>
      <c r="E4037">
        <v>0</v>
      </c>
      <c r="F4037" s="2">
        <v>0</v>
      </c>
      <c r="H4037">
        <v>0</v>
      </c>
      <c r="I4037">
        <v>0.1741125760648204</v>
      </c>
      <c r="J4037">
        <v>0</v>
      </c>
      <c r="K4037">
        <v>0</v>
      </c>
      <c r="L4037" s="2">
        <v>0</v>
      </c>
      <c r="M4037">
        <v>42.34</v>
      </c>
      <c r="N4037" t="s">
        <v>10236</v>
      </c>
    </row>
    <row r="4038" spans="1:14">
      <c r="A4038" t="s">
        <v>35</v>
      </c>
      <c r="B4038" t="s">
        <v>4178</v>
      </c>
      <c r="C4038">
        <f>"FB6815XLV"</f>
        <v>0</v>
      </c>
      <c r="D4038">
        <v>0</v>
      </c>
      <c r="E4038">
        <v>0</v>
      </c>
      <c r="F4038" s="2">
        <v>0</v>
      </c>
      <c r="H4038">
        <v>0</v>
      </c>
      <c r="I4038">
        <v>0.1741125760648204</v>
      </c>
      <c r="J4038">
        <v>0</v>
      </c>
      <c r="K4038">
        <v>0</v>
      </c>
      <c r="L4038" s="2">
        <v>0</v>
      </c>
      <c r="M4038">
        <v>42.35</v>
      </c>
      <c r="N4038" t="s">
        <v>10236</v>
      </c>
    </row>
    <row r="4039" spans="1:14">
      <c r="A4039" t="s">
        <v>35</v>
      </c>
      <c r="B4039" t="s">
        <v>4179</v>
      </c>
      <c r="C4039">
        <f>"FB6815XLR"</f>
        <v>0</v>
      </c>
      <c r="D4039">
        <v>0</v>
      </c>
      <c r="E4039">
        <v>0</v>
      </c>
      <c r="F4039" s="2">
        <v>0</v>
      </c>
      <c r="H4039">
        <v>0</v>
      </c>
      <c r="I4039">
        <v>0.1741125760648204</v>
      </c>
      <c r="J4039">
        <v>0</v>
      </c>
      <c r="K4039">
        <v>0</v>
      </c>
      <c r="L4039" s="2">
        <v>0</v>
      </c>
      <c r="M4039">
        <v>42.36</v>
      </c>
      <c r="N4039" t="s">
        <v>10236</v>
      </c>
    </row>
    <row r="4040" spans="1:14">
      <c r="A4040" t="s">
        <v>35</v>
      </c>
      <c r="B4040" t="s">
        <v>4180</v>
      </c>
      <c r="C4040">
        <f>"FB6815XLA"</f>
        <v>0</v>
      </c>
      <c r="D4040">
        <v>0</v>
      </c>
      <c r="E4040">
        <v>0</v>
      </c>
      <c r="F4040" s="2">
        <v>0</v>
      </c>
      <c r="H4040">
        <v>0</v>
      </c>
      <c r="I4040">
        <v>0.1741125760648204</v>
      </c>
      <c r="J4040">
        <v>0</v>
      </c>
      <c r="K4040">
        <v>0</v>
      </c>
      <c r="L4040" s="2">
        <v>0</v>
      </c>
      <c r="M4040">
        <v>42.37</v>
      </c>
      <c r="N4040" t="s">
        <v>10236</v>
      </c>
    </row>
    <row r="4041" spans="1:14">
      <c r="A4041" t="s">
        <v>35</v>
      </c>
      <c r="B4041" t="s">
        <v>4181</v>
      </c>
      <c r="C4041">
        <f>"FB6814XLV"</f>
        <v>0</v>
      </c>
      <c r="D4041">
        <v>0</v>
      </c>
      <c r="E4041">
        <v>2</v>
      </c>
      <c r="F4041" s="2">
        <v>9</v>
      </c>
      <c r="H4041">
        <v>0</v>
      </c>
      <c r="I4041">
        <v>0.1741125760648204</v>
      </c>
      <c r="J4041">
        <v>0</v>
      </c>
      <c r="K4041">
        <v>0</v>
      </c>
      <c r="L4041" s="2">
        <v>0</v>
      </c>
      <c r="M4041">
        <v>42.38</v>
      </c>
      <c r="N4041" t="s">
        <v>10236</v>
      </c>
    </row>
    <row r="4042" spans="1:14">
      <c r="A4042" t="s">
        <v>35</v>
      </c>
      <c r="B4042" t="s">
        <v>4182</v>
      </c>
      <c r="C4042">
        <f>"FB6814XLR"</f>
        <v>0</v>
      </c>
      <c r="D4042">
        <v>0</v>
      </c>
      <c r="E4042">
        <v>3</v>
      </c>
      <c r="F4042" s="2">
        <v>9</v>
      </c>
      <c r="H4042">
        <v>0</v>
      </c>
      <c r="I4042">
        <v>0.1741125760648204</v>
      </c>
      <c r="J4042">
        <v>0</v>
      </c>
      <c r="K4042">
        <v>0</v>
      </c>
      <c r="L4042" s="2">
        <v>0</v>
      </c>
      <c r="M4042">
        <v>42.39</v>
      </c>
      <c r="N4042" t="s">
        <v>10236</v>
      </c>
    </row>
    <row r="4043" spans="1:14">
      <c r="A4043" t="s">
        <v>35</v>
      </c>
      <c r="B4043" t="s">
        <v>4183</v>
      </c>
      <c r="C4043">
        <f>"B1160032XLM"</f>
        <v>0</v>
      </c>
      <c r="D4043">
        <v>0</v>
      </c>
      <c r="E4043">
        <v>1</v>
      </c>
      <c r="F4043" s="2">
        <v>10</v>
      </c>
      <c r="H4043">
        <v>0</v>
      </c>
      <c r="I4043">
        <v>0.1741125760648204</v>
      </c>
      <c r="J4043">
        <v>0</v>
      </c>
      <c r="K4043">
        <v>0</v>
      </c>
      <c r="L4043" s="2">
        <v>0</v>
      </c>
      <c r="M4043">
        <v>42.4</v>
      </c>
      <c r="N4043" t="s">
        <v>10236</v>
      </c>
    </row>
    <row r="4044" spans="1:14">
      <c r="A4044" t="s">
        <v>35</v>
      </c>
      <c r="B4044" t="s">
        <v>4184</v>
      </c>
      <c r="C4044">
        <f>"B1160032XLA"</f>
        <v>0</v>
      </c>
      <c r="D4044">
        <v>0</v>
      </c>
      <c r="E4044">
        <v>1</v>
      </c>
      <c r="F4044" s="2">
        <v>10</v>
      </c>
      <c r="H4044">
        <v>0</v>
      </c>
      <c r="I4044">
        <v>0.1741125760648204</v>
      </c>
      <c r="J4044">
        <v>0</v>
      </c>
      <c r="K4044">
        <v>0</v>
      </c>
      <c r="L4044" s="2">
        <v>0</v>
      </c>
      <c r="M4044">
        <v>42.41</v>
      </c>
      <c r="N4044" t="s">
        <v>10236</v>
      </c>
    </row>
    <row r="4045" spans="1:14">
      <c r="A4045" t="s">
        <v>35</v>
      </c>
      <c r="B4045" t="s">
        <v>4185</v>
      </c>
      <c r="C4045">
        <f>"B116003SA"</f>
        <v>0</v>
      </c>
      <c r="D4045">
        <v>0</v>
      </c>
      <c r="E4045">
        <v>2</v>
      </c>
      <c r="F4045" s="2">
        <v>8</v>
      </c>
      <c r="H4045">
        <v>0</v>
      </c>
      <c r="I4045">
        <v>0.1741125760648204</v>
      </c>
      <c r="J4045">
        <v>0</v>
      </c>
      <c r="K4045">
        <v>0</v>
      </c>
      <c r="L4045" s="2">
        <v>0</v>
      </c>
      <c r="M4045">
        <v>42.41</v>
      </c>
      <c r="N4045" t="s">
        <v>10236</v>
      </c>
    </row>
    <row r="4046" spans="1:14">
      <c r="A4046" t="s">
        <v>35</v>
      </c>
      <c r="B4046" t="s">
        <v>4186</v>
      </c>
      <c r="C4046">
        <f>"B109218LO"</f>
        <v>0</v>
      </c>
      <c r="D4046">
        <v>0</v>
      </c>
      <c r="E4046">
        <v>1</v>
      </c>
      <c r="F4046" s="2">
        <v>9</v>
      </c>
      <c r="H4046">
        <v>0</v>
      </c>
      <c r="I4046">
        <v>0.1741125760648204</v>
      </c>
      <c r="J4046">
        <v>0</v>
      </c>
      <c r="K4046">
        <v>0</v>
      </c>
      <c r="L4046" s="2">
        <v>0</v>
      </c>
      <c r="M4046">
        <v>42.42</v>
      </c>
      <c r="N4046" t="s">
        <v>10236</v>
      </c>
    </row>
    <row r="4047" spans="1:14">
      <c r="A4047" t="s">
        <v>35</v>
      </c>
      <c r="B4047" t="s">
        <v>4187</v>
      </c>
      <c r="C4047">
        <f>"B1092184XLP"</f>
        <v>0</v>
      </c>
      <c r="D4047">
        <v>0</v>
      </c>
      <c r="E4047">
        <v>2</v>
      </c>
      <c r="F4047" s="2">
        <v>11</v>
      </c>
      <c r="H4047">
        <v>0</v>
      </c>
      <c r="I4047">
        <v>0.1741125760648204</v>
      </c>
      <c r="J4047">
        <v>0</v>
      </c>
      <c r="K4047">
        <v>0</v>
      </c>
      <c r="L4047" s="2">
        <v>0</v>
      </c>
      <c r="M4047">
        <v>42.43</v>
      </c>
      <c r="N4047" t="s">
        <v>10236</v>
      </c>
    </row>
    <row r="4048" spans="1:14">
      <c r="A4048" t="s">
        <v>35</v>
      </c>
      <c r="B4048" t="s">
        <v>4188</v>
      </c>
      <c r="C4048">
        <f>"CTB1"</f>
        <v>0</v>
      </c>
      <c r="D4048">
        <v>0</v>
      </c>
      <c r="E4048">
        <v>8</v>
      </c>
      <c r="F4048" s="2">
        <v>1</v>
      </c>
      <c r="H4048">
        <v>0</v>
      </c>
      <c r="I4048">
        <v>0.1741125760648204</v>
      </c>
      <c r="J4048">
        <v>0</v>
      </c>
      <c r="K4048">
        <v>0</v>
      </c>
      <c r="L4048" s="2">
        <v>0</v>
      </c>
      <c r="M4048">
        <v>42.44</v>
      </c>
      <c r="N4048" t="s">
        <v>10236</v>
      </c>
    </row>
    <row r="4049" spans="1:14">
      <c r="A4049" t="s">
        <v>35</v>
      </c>
      <c r="B4049" t="s">
        <v>4189</v>
      </c>
      <c r="C4049">
        <f>"B1090484XLA"</f>
        <v>0</v>
      </c>
      <c r="D4049">
        <v>0</v>
      </c>
      <c r="E4049">
        <v>1</v>
      </c>
      <c r="F4049" s="2">
        <v>9</v>
      </c>
      <c r="H4049">
        <v>0</v>
      </c>
      <c r="I4049">
        <v>0.1741125760648204</v>
      </c>
      <c r="J4049">
        <v>0</v>
      </c>
      <c r="K4049">
        <v>0</v>
      </c>
      <c r="L4049" s="2">
        <v>0</v>
      </c>
      <c r="M4049">
        <v>42.45</v>
      </c>
      <c r="N4049" t="s">
        <v>10236</v>
      </c>
    </row>
    <row r="4050" spans="1:14">
      <c r="A4050" t="s">
        <v>35</v>
      </c>
      <c r="B4050" t="s">
        <v>4190</v>
      </c>
      <c r="C4050">
        <f>"B1090483XLG"</f>
        <v>0</v>
      </c>
      <c r="D4050">
        <v>0</v>
      </c>
      <c r="E4050">
        <v>1</v>
      </c>
      <c r="F4050" s="2">
        <v>9</v>
      </c>
      <c r="H4050">
        <v>0</v>
      </c>
      <c r="I4050">
        <v>0.1741125760648204</v>
      </c>
      <c r="J4050">
        <v>0</v>
      </c>
      <c r="K4050">
        <v>0</v>
      </c>
      <c r="L4050" s="2">
        <v>0</v>
      </c>
      <c r="M4050">
        <v>42.46</v>
      </c>
      <c r="N4050" t="s">
        <v>10236</v>
      </c>
    </row>
    <row r="4051" spans="1:14">
      <c r="A4051" t="s">
        <v>35</v>
      </c>
      <c r="B4051" t="s">
        <v>4191</v>
      </c>
      <c r="C4051">
        <f>"B1090483XLV"</f>
        <v>0</v>
      </c>
      <c r="D4051">
        <v>0</v>
      </c>
      <c r="E4051">
        <v>1</v>
      </c>
      <c r="F4051" s="2">
        <v>9</v>
      </c>
      <c r="H4051">
        <v>0</v>
      </c>
      <c r="I4051">
        <v>0.1741125760648204</v>
      </c>
      <c r="J4051">
        <v>0</v>
      </c>
      <c r="K4051">
        <v>0</v>
      </c>
      <c r="L4051" s="2">
        <v>0</v>
      </c>
      <c r="M4051">
        <v>42.47</v>
      </c>
      <c r="N4051" t="s">
        <v>10236</v>
      </c>
    </row>
    <row r="4052" spans="1:14">
      <c r="A4052" t="s">
        <v>35</v>
      </c>
      <c r="B4052" t="s">
        <v>4192</v>
      </c>
      <c r="C4052">
        <f>"B1090483XLA"</f>
        <v>0</v>
      </c>
      <c r="D4052">
        <v>0</v>
      </c>
      <c r="E4052">
        <v>1</v>
      </c>
      <c r="F4052" s="2">
        <v>9</v>
      </c>
      <c r="H4052">
        <v>0</v>
      </c>
      <c r="I4052">
        <v>0.1741125760648204</v>
      </c>
      <c r="J4052">
        <v>0</v>
      </c>
      <c r="K4052">
        <v>0</v>
      </c>
      <c r="L4052" s="2">
        <v>0</v>
      </c>
      <c r="M4052">
        <v>42.48</v>
      </c>
      <c r="N4052" t="s">
        <v>10236</v>
      </c>
    </row>
    <row r="4053" spans="1:14">
      <c r="A4053" t="s">
        <v>35</v>
      </c>
      <c r="B4053" t="s">
        <v>4193</v>
      </c>
      <c r="C4053">
        <f>"B1090482XLG"</f>
        <v>0</v>
      </c>
      <c r="D4053">
        <v>0</v>
      </c>
      <c r="E4053">
        <v>1</v>
      </c>
      <c r="F4053" s="2">
        <v>8</v>
      </c>
      <c r="H4053">
        <v>0</v>
      </c>
      <c r="I4053">
        <v>0.1741125760648204</v>
      </c>
      <c r="J4053">
        <v>0</v>
      </c>
      <c r="K4053">
        <v>0</v>
      </c>
      <c r="L4053" s="2">
        <v>0</v>
      </c>
      <c r="M4053">
        <v>42.49</v>
      </c>
      <c r="N4053" t="s">
        <v>10236</v>
      </c>
    </row>
    <row r="4054" spans="1:14">
      <c r="A4054" t="s">
        <v>35</v>
      </c>
      <c r="B4054" t="s">
        <v>4194</v>
      </c>
      <c r="C4054">
        <f>"54B123058XL"</f>
        <v>0</v>
      </c>
      <c r="D4054">
        <v>0</v>
      </c>
      <c r="E4054">
        <v>2</v>
      </c>
      <c r="F4054" s="2">
        <v>9</v>
      </c>
      <c r="H4054">
        <v>0</v>
      </c>
      <c r="I4054">
        <v>0.1741125760648204</v>
      </c>
      <c r="J4054">
        <v>0</v>
      </c>
      <c r="K4054">
        <v>0</v>
      </c>
      <c r="L4054" s="2">
        <v>0</v>
      </c>
      <c r="M4054">
        <v>42.5</v>
      </c>
      <c r="N4054" t="s">
        <v>10236</v>
      </c>
    </row>
    <row r="4055" spans="1:14">
      <c r="A4055" t="s">
        <v>35</v>
      </c>
      <c r="B4055" t="s">
        <v>4195</v>
      </c>
      <c r="C4055">
        <f>"54B123058S"</f>
        <v>0</v>
      </c>
      <c r="D4055">
        <v>0</v>
      </c>
      <c r="E4055">
        <v>1</v>
      </c>
      <c r="F4055" s="2">
        <v>7</v>
      </c>
      <c r="H4055">
        <v>0</v>
      </c>
      <c r="I4055">
        <v>0.1741125760648204</v>
      </c>
      <c r="J4055">
        <v>0</v>
      </c>
      <c r="K4055">
        <v>0</v>
      </c>
      <c r="L4055" s="2">
        <v>0</v>
      </c>
      <c r="M4055">
        <v>42.51</v>
      </c>
      <c r="N4055" t="s">
        <v>10236</v>
      </c>
    </row>
    <row r="4056" spans="1:14">
      <c r="A4056" t="s">
        <v>35</v>
      </c>
      <c r="B4056" t="s">
        <v>4196</v>
      </c>
      <c r="C4056">
        <f>"54B123058M"</f>
        <v>0</v>
      </c>
      <c r="D4056">
        <v>0</v>
      </c>
      <c r="E4056">
        <v>1</v>
      </c>
      <c r="F4056" s="2">
        <v>8</v>
      </c>
      <c r="H4056">
        <v>0</v>
      </c>
      <c r="I4056">
        <v>0.1741125760648204</v>
      </c>
      <c r="J4056">
        <v>0</v>
      </c>
      <c r="K4056">
        <v>0</v>
      </c>
      <c r="L4056" s="2">
        <v>0</v>
      </c>
      <c r="M4056">
        <v>42.52</v>
      </c>
      <c r="N4056" t="s">
        <v>10236</v>
      </c>
    </row>
    <row r="4057" spans="1:14">
      <c r="A4057" t="s">
        <v>35</v>
      </c>
      <c r="B4057" t="s">
        <v>4197</v>
      </c>
      <c r="C4057">
        <f>"54B123058L"</f>
        <v>0</v>
      </c>
      <c r="D4057">
        <v>0</v>
      </c>
      <c r="E4057">
        <v>3</v>
      </c>
      <c r="F4057" s="2">
        <v>9</v>
      </c>
      <c r="H4057">
        <v>0</v>
      </c>
      <c r="I4057">
        <v>0.1741125760648204</v>
      </c>
      <c r="J4057">
        <v>0</v>
      </c>
      <c r="K4057">
        <v>0</v>
      </c>
      <c r="L4057" s="2">
        <v>0</v>
      </c>
      <c r="M4057">
        <v>42.53</v>
      </c>
      <c r="N4057" t="s">
        <v>10236</v>
      </c>
    </row>
    <row r="4058" spans="1:14">
      <c r="A4058" t="s">
        <v>35</v>
      </c>
      <c r="B4058" t="s">
        <v>4198</v>
      </c>
      <c r="C4058">
        <f>"54B1230584XL"</f>
        <v>0</v>
      </c>
      <c r="D4058">
        <v>0</v>
      </c>
      <c r="E4058">
        <v>1</v>
      </c>
      <c r="F4058" s="2">
        <v>12</v>
      </c>
      <c r="H4058">
        <v>0</v>
      </c>
      <c r="I4058">
        <v>0.1741125760648204</v>
      </c>
      <c r="J4058">
        <v>0</v>
      </c>
      <c r="K4058">
        <v>0</v>
      </c>
      <c r="L4058" s="2">
        <v>0</v>
      </c>
      <c r="M4058">
        <v>42.53</v>
      </c>
      <c r="N4058" t="s">
        <v>10236</v>
      </c>
    </row>
    <row r="4059" spans="1:14">
      <c r="A4059" t="s">
        <v>35</v>
      </c>
      <c r="B4059" t="s">
        <v>4199</v>
      </c>
      <c r="C4059">
        <f>"54B1230583XL"</f>
        <v>0</v>
      </c>
      <c r="D4059">
        <v>0</v>
      </c>
      <c r="E4059">
        <v>1</v>
      </c>
      <c r="F4059" s="2">
        <v>11</v>
      </c>
      <c r="H4059">
        <v>0</v>
      </c>
      <c r="I4059">
        <v>0.1741125760648204</v>
      </c>
      <c r="J4059">
        <v>0</v>
      </c>
      <c r="K4059">
        <v>0</v>
      </c>
      <c r="L4059" s="2">
        <v>0</v>
      </c>
      <c r="M4059">
        <v>42.54</v>
      </c>
      <c r="N4059" t="s">
        <v>10236</v>
      </c>
    </row>
    <row r="4060" spans="1:14">
      <c r="A4060" t="s">
        <v>35</v>
      </c>
      <c r="B4060" t="s">
        <v>4200</v>
      </c>
      <c r="C4060">
        <f>"FB681LA"</f>
        <v>0</v>
      </c>
      <c r="D4060">
        <v>0</v>
      </c>
      <c r="E4060">
        <v>2</v>
      </c>
      <c r="F4060" s="2">
        <v>6</v>
      </c>
      <c r="H4060">
        <v>0</v>
      </c>
      <c r="I4060">
        <v>0.1741125760648204</v>
      </c>
      <c r="J4060">
        <v>0</v>
      </c>
      <c r="K4060">
        <v>0</v>
      </c>
      <c r="L4060" s="2">
        <v>0</v>
      </c>
      <c r="M4060">
        <v>42.55</v>
      </c>
      <c r="N4060" t="s">
        <v>10236</v>
      </c>
    </row>
    <row r="4061" spans="1:14">
      <c r="A4061" t="s">
        <v>35</v>
      </c>
      <c r="B4061" t="s">
        <v>4201</v>
      </c>
      <c r="C4061">
        <f>"PDISN"</f>
        <v>0</v>
      </c>
      <c r="D4061">
        <v>0</v>
      </c>
      <c r="E4061">
        <v>0</v>
      </c>
      <c r="F4061" s="2">
        <v>0</v>
      </c>
      <c r="H4061">
        <v>0</v>
      </c>
      <c r="I4061">
        <v>0.1741125760648204</v>
      </c>
      <c r="J4061">
        <v>0</v>
      </c>
      <c r="K4061">
        <v>0</v>
      </c>
      <c r="L4061" s="2">
        <v>0</v>
      </c>
      <c r="M4061">
        <v>42.56</v>
      </c>
      <c r="N4061" t="s">
        <v>10236</v>
      </c>
    </row>
    <row r="4062" spans="1:14">
      <c r="A4062" t="s">
        <v>35</v>
      </c>
      <c r="B4062" t="s">
        <v>4201</v>
      </c>
      <c r="C4062">
        <f>"PDISNM"</f>
        <v>0</v>
      </c>
      <c r="D4062">
        <v>0</v>
      </c>
      <c r="E4062">
        <v>0</v>
      </c>
      <c r="F4062" s="2">
        <v>0</v>
      </c>
      <c r="H4062">
        <v>0</v>
      </c>
      <c r="I4062">
        <v>0.1741125760648204</v>
      </c>
      <c r="J4062">
        <v>0</v>
      </c>
      <c r="K4062">
        <v>0</v>
      </c>
      <c r="L4062" s="2">
        <v>0</v>
      </c>
      <c r="M4062">
        <v>42.57</v>
      </c>
      <c r="N4062" t="s">
        <v>10236</v>
      </c>
    </row>
    <row r="4063" spans="1:14">
      <c r="A4063" t="s">
        <v>35</v>
      </c>
      <c r="B4063" t="s">
        <v>4201</v>
      </c>
      <c r="C4063">
        <f>"PDISNL"</f>
        <v>0</v>
      </c>
      <c r="D4063">
        <v>0</v>
      </c>
      <c r="E4063">
        <v>0</v>
      </c>
      <c r="F4063" s="2">
        <v>0</v>
      </c>
      <c r="H4063">
        <v>0</v>
      </c>
      <c r="I4063">
        <v>0.1741125760648204</v>
      </c>
      <c r="J4063">
        <v>0</v>
      </c>
      <c r="K4063">
        <v>0</v>
      </c>
      <c r="L4063" s="2">
        <v>0</v>
      </c>
      <c r="M4063">
        <v>42.58</v>
      </c>
      <c r="N4063" t="s">
        <v>10236</v>
      </c>
    </row>
    <row r="4064" spans="1:14">
      <c r="A4064" t="s">
        <v>35</v>
      </c>
      <c r="B4064" t="s">
        <v>4202</v>
      </c>
      <c r="C4064">
        <f>"C118354XSC"</f>
        <v>0</v>
      </c>
      <c r="D4064">
        <v>0</v>
      </c>
      <c r="E4064">
        <v>1</v>
      </c>
      <c r="F4064" s="2">
        <v>6</v>
      </c>
      <c r="H4064">
        <v>0</v>
      </c>
      <c r="I4064">
        <v>0.1741125760648204</v>
      </c>
      <c r="J4064">
        <v>0</v>
      </c>
      <c r="K4064">
        <v>0</v>
      </c>
      <c r="L4064" s="2">
        <v>0</v>
      </c>
      <c r="M4064">
        <v>42.59</v>
      </c>
      <c r="N4064" t="s">
        <v>10236</v>
      </c>
    </row>
    <row r="4065" spans="1:14">
      <c r="A4065" t="s">
        <v>35</v>
      </c>
      <c r="B4065" t="s">
        <v>4203</v>
      </c>
      <c r="C4065">
        <f>"B109006XSA"</f>
        <v>0</v>
      </c>
      <c r="D4065">
        <v>0</v>
      </c>
      <c r="E4065">
        <v>1</v>
      </c>
      <c r="F4065" s="2">
        <v>6</v>
      </c>
      <c r="H4065">
        <v>0</v>
      </c>
      <c r="I4065">
        <v>0.1741125760648204</v>
      </c>
      <c r="J4065">
        <v>0</v>
      </c>
      <c r="K4065">
        <v>0</v>
      </c>
      <c r="L4065" s="2">
        <v>0</v>
      </c>
      <c r="M4065">
        <v>42.6</v>
      </c>
      <c r="N4065" t="s">
        <v>10236</v>
      </c>
    </row>
    <row r="4066" spans="1:14">
      <c r="A4066" t="s">
        <v>35</v>
      </c>
      <c r="B4066" t="s">
        <v>4204</v>
      </c>
      <c r="C4066">
        <f>"C118354XSA"</f>
        <v>0</v>
      </c>
      <c r="D4066">
        <v>0</v>
      </c>
      <c r="E4066">
        <v>1</v>
      </c>
      <c r="F4066" s="2">
        <v>6</v>
      </c>
      <c r="H4066">
        <v>0</v>
      </c>
      <c r="I4066">
        <v>0.1741125760648204</v>
      </c>
      <c r="J4066">
        <v>0</v>
      </c>
      <c r="K4066">
        <v>0</v>
      </c>
      <c r="L4066" s="2">
        <v>0</v>
      </c>
      <c r="M4066">
        <v>42.61</v>
      </c>
      <c r="N4066" t="s">
        <v>10236</v>
      </c>
    </row>
    <row r="4067" spans="1:14">
      <c r="A4067" t="s">
        <v>35</v>
      </c>
      <c r="B4067" t="s">
        <v>4205</v>
      </c>
      <c r="C4067">
        <f>"C118354XLV"</f>
        <v>0</v>
      </c>
      <c r="D4067">
        <v>0</v>
      </c>
      <c r="E4067">
        <v>3</v>
      </c>
      <c r="F4067" s="2">
        <v>8</v>
      </c>
      <c r="H4067">
        <v>0</v>
      </c>
      <c r="I4067">
        <v>0.1741125760648204</v>
      </c>
      <c r="J4067">
        <v>0</v>
      </c>
      <c r="K4067">
        <v>0</v>
      </c>
      <c r="L4067" s="2">
        <v>0</v>
      </c>
      <c r="M4067">
        <v>42.62</v>
      </c>
      <c r="N4067" t="s">
        <v>10236</v>
      </c>
    </row>
    <row r="4068" spans="1:14">
      <c r="A4068" t="s">
        <v>35</v>
      </c>
      <c r="B4068" t="s">
        <v>4206</v>
      </c>
      <c r="C4068">
        <f>"B109006XLV"</f>
        <v>0</v>
      </c>
      <c r="D4068">
        <v>0</v>
      </c>
      <c r="E4068">
        <v>1</v>
      </c>
      <c r="F4068" s="2">
        <v>8</v>
      </c>
      <c r="H4068">
        <v>0</v>
      </c>
      <c r="I4068">
        <v>0.1741125760648204</v>
      </c>
      <c r="J4068">
        <v>0</v>
      </c>
      <c r="K4068">
        <v>0</v>
      </c>
      <c r="L4068" s="2">
        <v>0</v>
      </c>
      <c r="M4068">
        <v>42.63</v>
      </c>
      <c r="N4068" t="s">
        <v>10236</v>
      </c>
    </row>
    <row r="4069" spans="1:14">
      <c r="A4069" t="s">
        <v>35</v>
      </c>
      <c r="B4069" t="s">
        <v>4207</v>
      </c>
      <c r="C4069">
        <f>"B109006XLN"</f>
        <v>0</v>
      </c>
      <c r="D4069">
        <v>0</v>
      </c>
      <c r="E4069">
        <v>1</v>
      </c>
      <c r="F4069" s="2">
        <v>8</v>
      </c>
      <c r="H4069">
        <v>0</v>
      </c>
      <c r="I4069">
        <v>0.1741125760648204</v>
      </c>
      <c r="J4069">
        <v>0</v>
      </c>
      <c r="K4069">
        <v>0</v>
      </c>
      <c r="L4069" s="2">
        <v>0</v>
      </c>
      <c r="M4069">
        <v>42.64</v>
      </c>
      <c r="N4069" t="s">
        <v>10236</v>
      </c>
    </row>
    <row r="4070" spans="1:14">
      <c r="A4070" t="s">
        <v>35</v>
      </c>
      <c r="B4070" t="s">
        <v>4208</v>
      </c>
      <c r="C4070">
        <f>"B109048SG"</f>
        <v>0</v>
      </c>
      <c r="D4070">
        <v>0</v>
      </c>
      <c r="E4070">
        <v>3</v>
      </c>
      <c r="F4070" s="2">
        <v>6</v>
      </c>
      <c r="H4070">
        <v>0</v>
      </c>
      <c r="I4070">
        <v>0.1741125760648204</v>
      </c>
      <c r="J4070">
        <v>0</v>
      </c>
      <c r="K4070">
        <v>0</v>
      </c>
      <c r="L4070" s="2">
        <v>0</v>
      </c>
      <c r="M4070">
        <v>42.65</v>
      </c>
      <c r="N4070" t="s">
        <v>10236</v>
      </c>
    </row>
    <row r="4071" spans="1:14">
      <c r="A4071" t="s">
        <v>35</v>
      </c>
      <c r="B4071" t="s">
        <v>4209</v>
      </c>
      <c r="C4071">
        <f>"B109048SV"</f>
        <v>0</v>
      </c>
      <c r="D4071">
        <v>0</v>
      </c>
      <c r="E4071">
        <v>1</v>
      </c>
      <c r="F4071" s="2">
        <v>6</v>
      </c>
      <c r="H4071">
        <v>0</v>
      </c>
      <c r="I4071">
        <v>0.1741125760648204</v>
      </c>
      <c r="J4071">
        <v>0</v>
      </c>
      <c r="K4071">
        <v>0</v>
      </c>
      <c r="L4071" s="2">
        <v>0</v>
      </c>
      <c r="M4071">
        <v>42.65</v>
      </c>
      <c r="N4071" t="s">
        <v>10236</v>
      </c>
    </row>
    <row r="4072" spans="1:14">
      <c r="A4072" t="s">
        <v>35</v>
      </c>
      <c r="B4072" t="s">
        <v>4210</v>
      </c>
      <c r="C4072">
        <f>"B109048SA"</f>
        <v>0</v>
      </c>
      <c r="D4072">
        <v>0</v>
      </c>
      <c r="E4072">
        <v>1</v>
      </c>
      <c r="F4072" s="2">
        <v>6</v>
      </c>
      <c r="H4072">
        <v>0</v>
      </c>
      <c r="I4072">
        <v>0.1741125760648204</v>
      </c>
      <c r="J4072">
        <v>0</v>
      </c>
      <c r="K4072">
        <v>0</v>
      </c>
      <c r="L4072" s="2">
        <v>0</v>
      </c>
      <c r="M4072">
        <v>42.66</v>
      </c>
      <c r="N4072" t="s">
        <v>10236</v>
      </c>
    </row>
    <row r="4073" spans="1:14">
      <c r="A4073" t="s">
        <v>35</v>
      </c>
      <c r="B4073" t="s">
        <v>4211</v>
      </c>
      <c r="C4073">
        <f>"B109048MG"</f>
        <v>0</v>
      </c>
      <c r="D4073">
        <v>0</v>
      </c>
      <c r="E4073">
        <v>1</v>
      </c>
      <c r="F4073" s="2">
        <v>6</v>
      </c>
      <c r="H4073">
        <v>0</v>
      </c>
      <c r="I4073">
        <v>0.1741125760648204</v>
      </c>
      <c r="J4073">
        <v>0</v>
      </c>
      <c r="K4073">
        <v>0</v>
      </c>
      <c r="L4073" s="2">
        <v>0</v>
      </c>
      <c r="M4073">
        <v>42.67</v>
      </c>
      <c r="N4073" t="s">
        <v>10236</v>
      </c>
    </row>
    <row r="4074" spans="1:14">
      <c r="A4074" t="s">
        <v>35</v>
      </c>
      <c r="B4074" t="s">
        <v>4212</v>
      </c>
      <c r="C4074">
        <f>"B109048MV"</f>
        <v>0</v>
      </c>
      <c r="D4074">
        <v>0</v>
      </c>
      <c r="E4074">
        <v>3</v>
      </c>
      <c r="F4074" s="2">
        <v>6</v>
      </c>
      <c r="H4074">
        <v>0</v>
      </c>
      <c r="I4074">
        <v>0.1741125760648204</v>
      </c>
      <c r="J4074">
        <v>0</v>
      </c>
      <c r="K4074">
        <v>0</v>
      </c>
      <c r="L4074" s="2">
        <v>0</v>
      </c>
      <c r="M4074">
        <v>42.68</v>
      </c>
      <c r="N4074" t="s">
        <v>10236</v>
      </c>
    </row>
    <row r="4075" spans="1:14">
      <c r="A4075" t="s">
        <v>35</v>
      </c>
      <c r="B4075" t="s">
        <v>4213</v>
      </c>
      <c r="C4075">
        <f>"B109048MA"</f>
        <v>0</v>
      </c>
      <c r="D4075">
        <v>0</v>
      </c>
      <c r="E4075">
        <v>0</v>
      </c>
      <c r="F4075" s="2">
        <v>0</v>
      </c>
      <c r="H4075">
        <v>0</v>
      </c>
      <c r="I4075">
        <v>0.1741125760648204</v>
      </c>
      <c r="J4075">
        <v>0</v>
      </c>
      <c r="K4075">
        <v>0</v>
      </c>
      <c r="L4075" s="2">
        <v>0</v>
      </c>
      <c r="M4075">
        <v>42.69</v>
      </c>
      <c r="N4075" t="s">
        <v>10236</v>
      </c>
    </row>
    <row r="4076" spans="1:14">
      <c r="A4076" t="s">
        <v>35</v>
      </c>
      <c r="B4076" t="s">
        <v>4214</v>
      </c>
      <c r="C4076">
        <f>"54B1230582XL"</f>
        <v>0</v>
      </c>
      <c r="D4076">
        <v>0</v>
      </c>
      <c r="E4076">
        <v>1</v>
      </c>
      <c r="F4076" s="2">
        <v>10</v>
      </c>
      <c r="H4076">
        <v>0</v>
      </c>
      <c r="I4076">
        <v>0.1741125760648204</v>
      </c>
      <c r="J4076">
        <v>0</v>
      </c>
      <c r="K4076">
        <v>0</v>
      </c>
      <c r="L4076" s="2">
        <v>0</v>
      </c>
      <c r="M4076">
        <v>42.7</v>
      </c>
      <c r="N4076" t="s">
        <v>10236</v>
      </c>
    </row>
    <row r="4077" spans="1:14">
      <c r="A4077" t="s">
        <v>35</v>
      </c>
      <c r="B4077" t="s">
        <v>4215</v>
      </c>
      <c r="C4077">
        <f>"FB6816XLV"</f>
        <v>0</v>
      </c>
      <c r="D4077">
        <v>0</v>
      </c>
      <c r="E4077">
        <v>0</v>
      </c>
      <c r="F4077" s="2">
        <v>0</v>
      </c>
      <c r="H4077">
        <v>0</v>
      </c>
      <c r="I4077">
        <v>0.1741125760648204</v>
      </c>
      <c r="J4077">
        <v>0</v>
      </c>
      <c r="K4077">
        <v>0</v>
      </c>
      <c r="L4077" s="2">
        <v>0</v>
      </c>
      <c r="M4077">
        <v>42.71</v>
      </c>
      <c r="N4077" t="s">
        <v>10236</v>
      </c>
    </row>
    <row r="4078" spans="1:14">
      <c r="A4078" t="s">
        <v>35</v>
      </c>
      <c r="B4078" t="s">
        <v>4216</v>
      </c>
      <c r="C4078">
        <f>"FB6816XLR"</f>
        <v>0</v>
      </c>
      <c r="D4078">
        <v>0</v>
      </c>
      <c r="E4078">
        <v>0</v>
      </c>
      <c r="F4078" s="2">
        <v>0</v>
      </c>
      <c r="H4078">
        <v>0</v>
      </c>
      <c r="I4078">
        <v>0.1741125760648204</v>
      </c>
      <c r="J4078">
        <v>0</v>
      </c>
      <c r="K4078">
        <v>0</v>
      </c>
      <c r="L4078" s="2">
        <v>0</v>
      </c>
      <c r="M4078">
        <v>42.72</v>
      </c>
      <c r="N4078" t="s">
        <v>10236</v>
      </c>
    </row>
    <row r="4079" spans="1:14">
      <c r="A4079" t="s">
        <v>35</v>
      </c>
      <c r="B4079" t="s">
        <v>4217</v>
      </c>
      <c r="C4079">
        <f>"B1092184XLO"</f>
        <v>0</v>
      </c>
      <c r="D4079">
        <v>0</v>
      </c>
      <c r="E4079">
        <v>2</v>
      </c>
      <c r="F4079" s="2">
        <v>11</v>
      </c>
      <c r="H4079">
        <v>0</v>
      </c>
      <c r="I4079">
        <v>0.1741125760648204</v>
      </c>
      <c r="J4079">
        <v>0</v>
      </c>
      <c r="K4079">
        <v>0</v>
      </c>
      <c r="L4079" s="2">
        <v>0</v>
      </c>
      <c r="M4079">
        <v>42.73</v>
      </c>
      <c r="N4079" t="s">
        <v>10236</v>
      </c>
    </row>
    <row r="4080" spans="1:14">
      <c r="A4080" t="s">
        <v>35</v>
      </c>
      <c r="B4080" t="s">
        <v>4218</v>
      </c>
      <c r="C4080">
        <f>"B1092183XLP"</f>
        <v>0</v>
      </c>
      <c r="D4080">
        <v>0</v>
      </c>
      <c r="E4080">
        <v>2</v>
      </c>
      <c r="F4080" s="2">
        <v>11</v>
      </c>
      <c r="H4080">
        <v>0</v>
      </c>
      <c r="I4080">
        <v>0.1741125760648204</v>
      </c>
      <c r="J4080">
        <v>0</v>
      </c>
      <c r="K4080">
        <v>0</v>
      </c>
      <c r="L4080" s="2">
        <v>0</v>
      </c>
      <c r="M4080">
        <v>42.74</v>
      </c>
      <c r="N4080" t="s">
        <v>10236</v>
      </c>
    </row>
    <row r="4081" spans="1:14">
      <c r="A4081" t="s">
        <v>35</v>
      </c>
      <c r="B4081" t="s">
        <v>4219</v>
      </c>
      <c r="C4081">
        <f>"B1092182XLP"</f>
        <v>0</v>
      </c>
      <c r="D4081">
        <v>0</v>
      </c>
      <c r="E4081">
        <v>2</v>
      </c>
      <c r="F4081" s="2">
        <v>10</v>
      </c>
      <c r="H4081">
        <v>0</v>
      </c>
      <c r="I4081">
        <v>0.1741125760648204</v>
      </c>
      <c r="J4081">
        <v>0</v>
      </c>
      <c r="K4081">
        <v>0</v>
      </c>
      <c r="L4081" s="2">
        <v>0</v>
      </c>
      <c r="M4081">
        <v>42.75</v>
      </c>
      <c r="N4081" t="s">
        <v>10236</v>
      </c>
    </row>
    <row r="4082" spans="1:14">
      <c r="A4082" t="s">
        <v>35</v>
      </c>
      <c r="B4082" t="s">
        <v>4220</v>
      </c>
      <c r="C4082">
        <f>"B1092182XLO"</f>
        <v>0</v>
      </c>
      <c r="D4082">
        <v>0</v>
      </c>
      <c r="E4082">
        <v>1</v>
      </c>
      <c r="F4082" s="2">
        <v>10</v>
      </c>
      <c r="H4082">
        <v>0</v>
      </c>
      <c r="I4082">
        <v>0.1741125760648204</v>
      </c>
      <c r="J4082">
        <v>0</v>
      </c>
      <c r="K4082">
        <v>0</v>
      </c>
      <c r="L4082" s="2">
        <v>0</v>
      </c>
      <c r="M4082">
        <v>42.76</v>
      </c>
      <c r="N4082" t="s">
        <v>10236</v>
      </c>
    </row>
    <row r="4083" spans="1:14">
      <c r="A4083" t="s">
        <v>35</v>
      </c>
      <c r="B4083" t="s">
        <v>4221</v>
      </c>
      <c r="C4083">
        <f>"54B123058XS"</f>
        <v>0</v>
      </c>
      <c r="D4083">
        <v>0</v>
      </c>
      <c r="E4083">
        <v>1</v>
      </c>
      <c r="F4083" s="2">
        <v>6</v>
      </c>
      <c r="H4083">
        <v>0</v>
      </c>
      <c r="I4083">
        <v>0.1741125760648204</v>
      </c>
      <c r="J4083">
        <v>0</v>
      </c>
      <c r="K4083">
        <v>0</v>
      </c>
      <c r="L4083" s="2">
        <v>0</v>
      </c>
      <c r="M4083">
        <v>42.77</v>
      </c>
      <c r="N4083" t="s">
        <v>10236</v>
      </c>
    </row>
    <row r="4084" spans="1:14">
      <c r="A4084" t="s">
        <v>35</v>
      </c>
      <c r="B4084" t="s">
        <v>4222</v>
      </c>
      <c r="C4084">
        <f>"FB6814XLA"</f>
        <v>0</v>
      </c>
      <c r="D4084">
        <v>0</v>
      </c>
      <c r="E4084">
        <v>0</v>
      </c>
      <c r="F4084" s="2">
        <v>0</v>
      </c>
      <c r="H4084">
        <v>0</v>
      </c>
      <c r="I4084">
        <v>0.1741125760648204</v>
      </c>
      <c r="J4084">
        <v>0</v>
      </c>
      <c r="K4084">
        <v>0</v>
      </c>
      <c r="L4084" s="2">
        <v>0</v>
      </c>
      <c r="M4084">
        <v>42.77</v>
      </c>
      <c r="N4084" t="s">
        <v>10236</v>
      </c>
    </row>
    <row r="4085" spans="1:14">
      <c r="A4085" t="s">
        <v>35</v>
      </c>
      <c r="B4085" t="s">
        <v>4223</v>
      </c>
      <c r="C4085">
        <f>"FB6813XLR"</f>
        <v>0</v>
      </c>
      <c r="D4085">
        <v>0</v>
      </c>
      <c r="E4085">
        <v>3</v>
      </c>
      <c r="F4085" s="2">
        <v>8</v>
      </c>
      <c r="H4085">
        <v>0</v>
      </c>
      <c r="I4085">
        <v>0.1741125760648204</v>
      </c>
      <c r="J4085">
        <v>0</v>
      </c>
      <c r="K4085">
        <v>0</v>
      </c>
      <c r="L4085" s="2">
        <v>0</v>
      </c>
      <c r="M4085">
        <v>42.78</v>
      </c>
      <c r="N4085" t="s">
        <v>10236</v>
      </c>
    </row>
    <row r="4086" spans="1:14">
      <c r="A4086" t="s">
        <v>35</v>
      </c>
      <c r="B4086" t="s">
        <v>4224</v>
      </c>
      <c r="C4086">
        <f>"FB6813XLV"</f>
        <v>0</v>
      </c>
      <c r="D4086">
        <v>0</v>
      </c>
      <c r="E4086">
        <v>2</v>
      </c>
      <c r="F4086" s="2">
        <v>8</v>
      </c>
      <c r="H4086">
        <v>0</v>
      </c>
      <c r="I4086">
        <v>0.1741125760648204</v>
      </c>
      <c r="J4086">
        <v>0</v>
      </c>
      <c r="K4086">
        <v>0</v>
      </c>
      <c r="L4086" s="2">
        <v>0</v>
      </c>
      <c r="M4086">
        <v>42.79</v>
      </c>
      <c r="N4086" t="s">
        <v>10236</v>
      </c>
    </row>
    <row r="4087" spans="1:14">
      <c r="A4087" t="s">
        <v>35</v>
      </c>
      <c r="B4087" t="s">
        <v>4225</v>
      </c>
      <c r="C4087">
        <f>"FB6813XLA"</f>
        <v>0</v>
      </c>
      <c r="D4087">
        <v>0</v>
      </c>
      <c r="E4087">
        <v>1</v>
      </c>
      <c r="F4087" s="2">
        <v>8</v>
      </c>
      <c r="H4087">
        <v>0</v>
      </c>
      <c r="I4087">
        <v>0.1741125760648204</v>
      </c>
      <c r="J4087">
        <v>0</v>
      </c>
      <c r="K4087">
        <v>0</v>
      </c>
      <c r="L4087" s="2">
        <v>0</v>
      </c>
      <c r="M4087">
        <v>42.8</v>
      </c>
      <c r="N4087" t="s">
        <v>10236</v>
      </c>
    </row>
    <row r="4088" spans="1:14">
      <c r="A4088" t="s">
        <v>35</v>
      </c>
      <c r="B4088" t="s">
        <v>4226</v>
      </c>
      <c r="C4088">
        <f>"FB6812XLV"</f>
        <v>0</v>
      </c>
      <c r="D4088">
        <v>0</v>
      </c>
      <c r="E4088">
        <v>0</v>
      </c>
      <c r="F4088" s="2">
        <v>0</v>
      </c>
      <c r="H4088">
        <v>0</v>
      </c>
      <c r="I4088">
        <v>0.1741125760648204</v>
      </c>
      <c r="J4088">
        <v>0</v>
      </c>
      <c r="K4088">
        <v>0</v>
      </c>
      <c r="L4088" s="2">
        <v>0</v>
      </c>
      <c r="M4088">
        <v>42.81</v>
      </c>
      <c r="N4088" t="s">
        <v>10236</v>
      </c>
    </row>
    <row r="4089" spans="1:14">
      <c r="A4089" t="s">
        <v>35</v>
      </c>
      <c r="B4089" t="s">
        <v>4227</v>
      </c>
      <c r="C4089">
        <f>"FB6812XLR"</f>
        <v>0</v>
      </c>
      <c r="D4089">
        <v>0</v>
      </c>
      <c r="E4089">
        <v>4</v>
      </c>
      <c r="F4089" s="2">
        <v>7</v>
      </c>
      <c r="H4089">
        <v>0</v>
      </c>
      <c r="I4089">
        <v>0.1741125760648204</v>
      </c>
      <c r="J4089">
        <v>0</v>
      </c>
      <c r="K4089">
        <v>0</v>
      </c>
      <c r="L4089" s="2">
        <v>0</v>
      </c>
      <c r="M4089">
        <v>42.82</v>
      </c>
      <c r="N4089" t="s">
        <v>10236</v>
      </c>
    </row>
    <row r="4090" spans="1:14">
      <c r="A4090" t="s">
        <v>35</v>
      </c>
      <c r="B4090" t="s">
        <v>4228</v>
      </c>
      <c r="C4090">
        <f>"FB6812XLA"</f>
        <v>0</v>
      </c>
      <c r="D4090">
        <v>0</v>
      </c>
      <c r="E4090">
        <v>1</v>
      </c>
      <c r="F4090" s="2">
        <v>7</v>
      </c>
      <c r="H4090">
        <v>0</v>
      </c>
      <c r="I4090">
        <v>0.1741125760648204</v>
      </c>
      <c r="J4090">
        <v>0</v>
      </c>
      <c r="K4090">
        <v>0</v>
      </c>
      <c r="L4090" s="2">
        <v>0</v>
      </c>
      <c r="M4090">
        <v>42.83</v>
      </c>
      <c r="N4090" t="s">
        <v>10236</v>
      </c>
    </row>
    <row r="4091" spans="1:14">
      <c r="A4091" t="s">
        <v>35</v>
      </c>
      <c r="B4091" t="s">
        <v>4229</v>
      </c>
      <c r="C4091">
        <f>"B109218LP"</f>
        <v>0</v>
      </c>
      <c r="D4091">
        <v>0</v>
      </c>
      <c r="E4091">
        <v>2</v>
      </c>
      <c r="F4091" s="2">
        <v>9</v>
      </c>
      <c r="H4091">
        <v>0</v>
      </c>
      <c r="I4091">
        <v>0.1741125760648204</v>
      </c>
      <c r="J4091">
        <v>0</v>
      </c>
      <c r="K4091">
        <v>0</v>
      </c>
      <c r="L4091" s="2">
        <v>0</v>
      </c>
      <c r="M4091">
        <v>42.84</v>
      </c>
      <c r="N4091" t="s">
        <v>10236</v>
      </c>
    </row>
    <row r="4092" spans="1:14">
      <c r="A4092" t="s">
        <v>35</v>
      </c>
      <c r="B4092" t="s">
        <v>4230</v>
      </c>
      <c r="C4092">
        <f>"FB678S"</f>
        <v>0</v>
      </c>
      <c r="D4092">
        <v>0</v>
      </c>
      <c r="E4092">
        <v>10</v>
      </c>
      <c r="F4092" s="2">
        <v>4</v>
      </c>
      <c r="H4092">
        <v>0</v>
      </c>
      <c r="I4092">
        <v>0.1741125760648204</v>
      </c>
      <c r="J4092">
        <v>0</v>
      </c>
      <c r="K4092">
        <v>0</v>
      </c>
      <c r="L4092" s="2">
        <v>0</v>
      </c>
      <c r="M4092">
        <v>42.85</v>
      </c>
      <c r="N4092" t="s">
        <v>10236</v>
      </c>
    </row>
    <row r="4093" spans="1:14">
      <c r="A4093" t="s">
        <v>35</v>
      </c>
      <c r="B4093" t="s">
        <v>4231</v>
      </c>
      <c r="C4093">
        <f>"FB678M"</f>
        <v>0</v>
      </c>
      <c r="D4093">
        <v>0</v>
      </c>
      <c r="E4093">
        <v>7</v>
      </c>
      <c r="F4093" s="2">
        <v>4</v>
      </c>
      <c r="H4093">
        <v>0</v>
      </c>
      <c r="I4093">
        <v>0.1741125760648204</v>
      </c>
      <c r="J4093">
        <v>0</v>
      </c>
      <c r="K4093">
        <v>0</v>
      </c>
      <c r="L4093" s="2">
        <v>0</v>
      </c>
      <c r="M4093">
        <v>42.86</v>
      </c>
      <c r="N4093" t="s">
        <v>10236</v>
      </c>
    </row>
    <row r="4094" spans="1:14">
      <c r="A4094" t="s">
        <v>35</v>
      </c>
      <c r="B4094" t="s">
        <v>4232</v>
      </c>
      <c r="C4094">
        <f>"B109048XSG"</f>
        <v>0</v>
      </c>
      <c r="D4094">
        <v>0</v>
      </c>
      <c r="E4094">
        <v>1</v>
      </c>
      <c r="F4094" s="2">
        <v>5</v>
      </c>
      <c r="H4094">
        <v>0</v>
      </c>
      <c r="I4094">
        <v>0.1741125760648204</v>
      </c>
      <c r="J4094">
        <v>0</v>
      </c>
      <c r="K4094">
        <v>0</v>
      </c>
      <c r="L4094" s="2">
        <v>0</v>
      </c>
      <c r="M4094">
        <v>42.87</v>
      </c>
      <c r="N4094" t="s">
        <v>10236</v>
      </c>
    </row>
    <row r="4095" spans="1:14">
      <c r="A4095" t="s">
        <v>35</v>
      </c>
      <c r="B4095" t="s">
        <v>4233</v>
      </c>
      <c r="C4095">
        <f>"B109048XSV"</f>
        <v>0</v>
      </c>
      <c r="D4095">
        <v>0</v>
      </c>
      <c r="E4095">
        <v>2</v>
      </c>
      <c r="F4095" s="2">
        <v>5</v>
      </c>
      <c r="H4095">
        <v>0</v>
      </c>
      <c r="I4095">
        <v>0.1741125760648204</v>
      </c>
      <c r="J4095">
        <v>0</v>
      </c>
      <c r="K4095">
        <v>0</v>
      </c>
      <c r="L4095" s="2">
        <v>0</v>
      </c>
      <c r="M4095">
        <v>42.88</v>
      </c>
      <c r="N4095" t="s">
        <v>10236</v>
      </c>
    </row>
    <row r="4096" spans="1:14">
      <c r="A4096" t="s">
        <v>35</v>
      </c>
      <c r="B4096" t="s">
        <v>4234</v>
      </c>
      <c r="C4096">
        <f>"B109048XSA"</f>
        <v>0</v>
      </c>
      <c r="D4096">
        <v>0</v>
      </c>
      <c r="E4096">
        <v>1</v>
      </c>
      <c r="F4096" s="2">
        <v>5</v>
      </c>
      <c r="H4096">
        <v>0</v>
      </c>
      <c r="I4096">
        <v>0.1741125760648204</v>
      </c>
      <c r="J4096">
        <v>0</v>
      </c>
      <c r="K4096">
        <v>0</v>
      </c>
      <c r="L4096" s="2">
        <v>0</v>
      </c>
      <c r="M4096">
        <v>42.89</v>
      </c>
      <c r="N4096" t="s">
        <v>10236</v>
      </c>
    </row>
    <row r="4097" spans="1:14">
      <c r="A4097" t="s">
        <v>35</v>
      </c>
      <c r="B4097" t="s">
        <v>4235</v>
      </c>
      <c r="C4097">
        <f>"B109048XLG"</f>
        <v>0</v>
      </c>
      <c r="D4097">
        <v>0</v>
      </c>
      <c r="E4097">
        <v>1</v>
      </c>
      <c r="F4097" s="2">
        <v>7</v>
      </c>
      <c r="H4097">
        <v>0</v>
      </c>
      <c r="I4097">
        <v>0.1741125760648204</v>
      </c>
      <c r="J4097">
        <v>0</v>
      </c>
      <c r="K4097">
        <v>0</v>
      </c>
      <c r="L4097" s="2">
        <v>0</v>
      </c>
      <c r="M4097">
        <v>42.89</v>
      </c>
      <c r="N4097" t="s">
        <v>10236</v>
      </c>
    </row>
    <row r="4098" spans="1:14">
      <c r="A4098" t="s">
        <v>35</v>
      </c>
      <c r="B4098" t="s">
        <v>4236</v>
      </c>
      <c r="C4098">
        <f>"B109048XLV"</f>
        <v>0</v>
      </c>
      <c r="D4098">
        <v>0</v>
      </c>
      <c r="E4098">
        <v>1</v>
      </c>
      <c r="F4098" s="2">
        <v>7</v>
      </c>
      <c r="H4098">
        <v>0</v>
      </c>
      <c r="I4098">
        <v>0.1741125760648204</v>
      </c>
      <c r="J4098">
        <v>0</v>
      </c>
      <c r="K4098">
        <v>0</v>
      </c>
      <c r="L4098" s="2">
        <v>0</v>
      </c>
      <c r="M4098">
        <v>42.9</v>
      </c>
      <c r="N4098" t="s">
        <v>10236</v>
      </c>
    </row>
    <row r="4099" spans="1:14">
      <c r="A4099" t="s">
        <v>35</v>
      </c>
      <c r="B4099" t="s">
        <v>4237</v>
      </c>
      <c r="C4099">
        <f>"B109048XLA"</f>
        <v>0</v>
      </c>
      <c r="D4099">
        <v>0</v>
      </c>
      <c r="E4099">
        <v>2</v>
      </c>
      <c r="F4099" s="2">
        <v>7</v>
      </c>
      <c r="H4099">
        <v>0</v>
      </c>
      <c r="I4099">
        <v>0.1741125760648204</v>
      </c>
      <c r="J4099">
        <v>0</v>
      </c>
      <c r="K4099">
        <v>0</v>
      </c>
      <c r="L4099" s="2">
        <v>0</v>
      </c>
      <c r="M4099">
        <v>42.91</v>
      </c>
      <c r="N4099" t="s">
        <v>10236</v>
      </c>
    </row>
    <row r="4100" spans="1:14">
      <c r="A4100" t="s">
        <v>35</v>
      </c>
      <c r="B4100" t="s">
        <v>4238</v>
      </c>
      <c r="C4100">
        <f>"B109218XSO"</f>
        <v>0</v>
      </c>
      <c r="D4100">
        <v>0</v>
      </c>
      <c r="E4100">
        <v>2</v>
      </c>
      <c r="F4100" s="2">
        <v>8</v>
      </c>
      <c r="H4100">
        <v>0</v>
      </c>
      <c r="I4100">
        <v>0.1741125760648204</v>
      </c>
      <c r="J4100">
        <v>0</v>
      </c>
      <c r="K4100">
        <v>0</v>
      </c>
      <c r="L4100" s="2">
        <v>0</v>
      </c>
      <c r="M4100">
        <v>42.92</v>
      </c>
      <c r="N4100" t="s">
        <v>10236</v>
      </c>
    </row>
    <row r="4101" spans="1:14">
      <c r="A4101" t="s">
        <v>35</v>
      </c>
      <c r="B4101" t="s">
        <v>4239</v>
      </c>
      <c r="C4101">
        <f>"B109218XLP"</f>
        <v>0</v>
      </c>
      <c r="D4101">
        <v>0</v>
      </c>
      <c r="E4101">
        <v>2</v>
      </c>
      <c r="F4101" s="2">
        <v>9</v>
      </c>
      <c r="H4101">
        <v>0</v>
      </c>
      <c r="I4101">
        <v>0.1741125760648204</v>
      </c>
      <c r="J4101">
        <v>0</v>
      </c>
      <c r="K4101">
        <v>0</v>
      </c>
      <c r="L4101" s="2">
        <v>0</v>
      </c>
      <c r="M4101">
        <v>42.93</v>
      </c>
      <c r="N4101" t="s">
        <v>10236</v>
      </c>
    </row>
    <row r="4102" spans="1:14">
      <c r="A4102" t="s">
        <v>35</v>
      </c>
      <c r="B4102" t="s">
        <v>4240</v>
      </c>
      <c r="C4102">
        <f>"B109218XLO"</f>
        <v>0</v>
      </c>
      <c r="D4102">
        <v>0</v>
      </c>
      <c r="E4102">
        <v>2</v>
      </c>
      <c r="F4102" s="2">
        <v>9</v>
      </c>
      <c r="H4102">
        <v>0</v>
      </c>
      <c r="I4102">
        <v>0.1741125760648204</v>
      </c>
      <c r="J4102">
        <v>0</v>
      </c>
      <c r="K4102">
        <v>0</v>
      </c>
      <c r="L4102" s="2">
        <v>0</v>
      </c>
      <c r="M4102">
        <v>42.94</v>
      </c>
      <c r="N4102" t="s">
        <v>10236</v>
      </c>
    </row>
    <row r="4103" spans="1:14">
      <c r="A4103" t="s">
        <v>35</v>
      </c>
      <c r="B4103" t="s">
        <v>4241</v>
      </c>
      <c r="C4103">
        <f>"B109218SP"</f>
        <v>0</v>
      </c>
      <c r="D4103">
        <v>0</v>
      </c>
      <c r="E4103">
        <v>1</v>
      </c>
      <c r="F4103" s="2">
        <v>8</v>
      </c>
      <c r="H4103">
        <v>0</v>
      </c>
      <c r="I4103">
        <v>0.1741125760648204</v>
      </c>
      <c r="J4103">
        <v>0</v>
      </c>
      <c r="K4103">
        <v>0</v>
      </c>
      <c r="L4103" s="2">
        <v>0</v>
      </c>
      <c r="M4103">
        <v>42.95</v>
      </c>
      <c r="N4103" t="s">
        <v>10236</v>
      </c>
    </row>
    <row r="4104" spans="1:14">
      <c r="A4104" t="s">
        <v>35</v>
      </c>
      <c r="B4104" t="s">
        <v>4242</v>
      </c>
      <c r="C4104">
        <f>"B109218SO"</f>
        <v>0</v>
      </c>
      <c r="D4104">
        <v>0</v>
      </c>
      <c r="E4104">
        <v>1</v>
      </c>
      <c r="F4104" s="2">
        <v>8</v>
      </c>
      <c r="H4104">
        <v>0</v>
      </c>
      <c r="I4104">
        <v>0.1741125760648204</v>
      </c>
      <c r="J4104">
        <v>0</v>
      </c>
      <c r="K4104">
        <v>0</v>
      </c>
      <c r="L4104" s="2">
        <v>0</v>
      </c>
      <c r="M4104">
        <v>42.96</v>
      </c>
      <c r="N4104" t="s">
        <v>10236</v>
      </c>
    </row>
    <row r="4105" spans="1:14">
      <c r="A4105" t="s">
        <v>35</v>
      </c>
      <c r="B4105" t="s">
        <v>4243</v>
      </c>
      <c r="C4105">
        <f>"B109218MP"</f>
        <v>0</v>
      </c>
      <c r="D4105">
        <v>0</v>
      </c>
      <c r="E4105">
        <v>1</v>
      </c>
      <c r="F4105" s="2">
        <v>8</v>
      </c>
      <c r="H4105">
        <v>0</v>
      </c>
      <c r="I4105">
        <v>0.1741125760648204</v>
      </c>
      <c r="J4105">
        <v>0</v>
      </c>
      <c r="K4105">
        <v>0</v>
      </c>
      <c r="L4105" s="2">
        <v>0</v>
      </c>
      <c r="M4105">
        <v>42.97</v>
      </c>
      <c r="N4105" t="s">
        <v>10236</v>
      </c>
    </row>
    <row r="4106" spans="1:14">
      <c r="A4106" t="s">
        <v>35</v>
      </c>
      <c r="B4106" t="s">
        <v>4244</v>
      </c>
      <c r="C4106">
        <f>"B109218MO"</f>
        <v>0</v>
      </c>
      <c r="D4106">
        <v>0</v>
      </c>
      <c r="E4106">
        <v>2</v>
      </c>
      <c r="F4106" s="2">
        <v>8</v>
      </c>
      <c r="H4106">
        <v>0</v>
      </c>
      <c r="I4106">
        <v>0.1741125760648204</v>
      </c>
      <c r="J4106">
        <v>0</v>
      </c>
      <c r="K4106">
        <v>0</v>
      </c>
      <c r="L4106" s="2">
        <v>0</v>
      </c>
      <c r="M4106">
        <v>42.98</v>
      </c>
      <c r="N4106" t="s">
        <v>10236</v>
      </c>
    </row>
    <row r="4107" spans="1:14">
      <c r="A4107" t="s">
        <v>35</v>
      </c>
      <c r="B4107" t="s">
        <v>4245</v>
      </c>
      <c r="C4107">
        <f>"FB678XL"</f>
        <v>0</v>
      </c>
      <c r="D4107">
        <v>0</v>
      </c>
      <c r="E4107">
        <v>0</v>
      </c>
      <c r="F4107" s="2">
        <v>0</v>
      </c>
      <c r="H4107">
        <v>0</v>
      </c>
      <c r="I4107">
        <v>0.1741125760648204</v>
      </c>
      <c r="J4107">
        <v>0</v>
      </c>
      <c r="K4107">
        <v>0</v>
      </c>
      <c r="L4107" s="2">
        <v>0</v>
      </c>
      <c r="M4107">
        <v>42.99</v>
      </c>
      <c r="N4107" t="s">
        <v>10236</v>
      </c>
    </row>
    <row r="4108" spans="1:14">
      <c r="A4108" t="s">
        <v>228</v>
      </c>
      <c r="B4108" t="s">
        <v>4246</v>
      </c>
      <c r="C4108">
        <f>"NGW14"</f>
        <v>0</v>
      </c>
      <c r="D4108">
        <v>0</v>
      </c>
      <c r="E4108">
        <v>0</v>
      </c>
      <c r="F4108" s="2">
        <v>0</v>
      </c>
      <c r="H4108">
        <v>0</v>
      </c>
      <c r="I4108">
        <v>0.1741125760648204</v>
      </c>
      <c r="J4108">
        <v>0</v>
      </c>
      <c r="K4108">
        <v>0</v>
      </c>
      <c r="L4108" s="2">
        <v>0</v>
      </c>
      <c r="M4108">
        <v>43</v>
      </c>
      <c r="N4108" t="s">
        <v>10236</v>
      </c>
    </row>
    <row r="4109" spans="1:14">
      <c r="A4109" t="s">
        <v>193</v>
      </c>
      <c r="B4109" t="s">
        <v>4247</v>
      </c>
      <c r="C4109">
        <f>"564127"</f>
        <v>0</v>
      </c>
      <c r="D4109">
        <v>0</v>
      </c>
      <c r="E4109">
        <v>2</v>
      </c>
      <c r="F4109" s="2">
        <v>11</v>
      </c>
      <c r="H4109">
        <v>0</v>
      </c>
      <c r="I4109">
        <v>0.1741125760648204</v>
      </c>
      <c r="J4109">
        <v>0</v>
      </c>
      <c r="K4109">
        <v>0</v>
      </c>
      <c r="L4109" s="2">
        <v>0</v>
      </c>
      <c r="M4109">
        <v>43</v>
      </c>
      <c r="N4109" t="s">
        <v>10236</v>
      </c>
    </row>
    <row r="4110" spans="1:14">
      <c r="A4110" t="s">
        <v>193</v>
      </c>
      <c r="B4110" t="s">
        <v>4248</v>
      </c>
      <c r="C4110">
        <f>"2GA3323"</f>
        <v>0</v>
      </c>
      <c r="D4110">
        <v>0</v>
      </c>
      <c r="E4110">
        <v>0</v>
      </c>
      <c r="F4110" s="2">
        <v>0</v>
      </c>
      <c r="H4110">
        <v>0</v>
      </c>
      <c r="I4110">
        <v>0.1741125760648204</v>
      </c>
      <c r="J4110">
        <v>0</v>
      </c>
      <c r="K4110">
        <v>0</v>
      </c>
      <c r="L4110" s="2">
        <v>0</v>
      </c>
      <c r="M4110">
        <v>43.01</v>
      </c>
      <c r="N4110" t="s">
        <v>10236</v>
      </c>
    </row>
    <row r="4111" spans="1:14">
      <c r="A4111" t="s">
        <v>193</v>
      </c>
      <c r="B4111" t="s">
        <v>4249</v>
      </c>
      <c r="C4111">
        <f>"2GA3321"</f>
        <v>0</v>
      </c>
      <c r="D4111">
        <v>0</v>
      </c>
      <c r="E4111">
        <v>1</v>
      </c>
      <c r="F4111" s="2">
        <v>10</v>
      </c>
      <c r="H4111">
        <v>0</v>
      </c>
      <c r="I4111">
        <v>0.1741125760648204</v>
      </c>
      <c r="J4111">
        <v>0</v>
      </c>
      <c r="K4111">
        <v>0</v>
      </c>
      <c r="L4111" s="2">
        <v>0</v>
      </c>
      <c r="M4111">
        <v>43.02</v>
      </c>
      <c r="N4111" t="s">
        <v>10236</v>
      </c>
    </row>
    <row r="4112" spans="1:14">
      <c r="A4112" t="s">
        <v>193</v>
      </c>
      <c r="B4112" t="s">
        <v>4250</v>
      </c>
      <c r="C4112">
        <f>"563656A"</f>
        <v>0</v>
      </c>
      <c r="D4112">
        <v>0</v>
      </c>
      <c r="E4112">
        <v>0</v>
      </c>
      <c r="F4112" s="2">
        <v>0</v>
      </c>
      <c r="H4112">
        <v>0</v>
      </c>
      <c r="I4112">
        <v>0.1741125760648204</v>
      </c>
      <c r="J4112">
        <v>0</v>
      </c>
      <c r="K4112">
        <v>0</v>
      </c>
      <c r="L4112" s="2">
        <v>0</v>
      </c>
      <c r="M4112">
        <v>43.03</v>
      </c>
      <c r="N4112" t="s">
        <v>10236</v>
      </c>
    </row>
    <row r="4113" spans="1:14">
      <c r="A4113" t="s">
        <v>202</v>
      </c>
      <c r="B4113" t="s">
        <v>4251</v>
      </c>
      <c r="C4113">
        <f>"21201049"</f>
        <v>0</v>
      </c>
      <c r="D4113">
        <v>0</v>
      </c>
      <c r="E4113">
        <v>0</v>
      </c>
      <c r="F4113" s="2">
        <v>0</v>
      </c>
      <c r="H4113">
        <v>0</v>
      </c>
      <c r="I4113">
        <v>0.1741125760648204</v>
      </c>
      <c r="J4113">
        <v>0</v>
      </c>
      <c r="K4113">
        <v>0</v>
      </c>
      <c r="L4113" s="2">
        <v>0</v>
      </c>
      <c r="M4113">
        <v>43.04</v>
      </c>
      <c r="N4113" t="s">
        <v>10236</v>
      </c>
    </row>
    <row r="4114" spans="1:14">
      <c r="A4114" t="s">
        <v>213</v>
      </c>
      <c r="B4114" t="s">
        <v>4252</v>
      </c>
      <c r="C4114">
        <f>"400611"</f>
        <v>0</v>
      </c>
      <c r="D4114">
        <v>0</v>
      </c>
      <c r="E4114">
        <v>2</v>
      </c>
      <c r="F4114" s="2">
        <v>7</v>
      </c>
      <c r="H4114">
        <v>0</v>
      </c>
      <c r="I4114">
        <v>0.1741125760648204</v>
      </c>
      <c r="J4114">
        <v>0</v>
      </c>
      <c r="K4114">
        <v>0</v>
      </c>
      <c r="L4114" s="2">
        <v>0</v>
      </c>
      <c r="M4114">
        <v>43.05</v>
      </c>
      <c r="N4114" t="s">
        <v>10236</v>
      </c>
    </row>
    <row r="4115" spans="1:14">
      <c r="A4115" t="s">
        <v>210</v>
      </c>
      <c r="B4115" t="s">
        <v>4253</v>
      </c>
      <c r="C4115">
        <f>"6268169S"</f>
        <v>0</v>
      </c>
      <c r="D4115">
        <v>0</v>
      </c>
      <c r="E4115">
        <v>0</v>
      </c>
      <c r="F4115" s="2">
        <v>0</v>
      </c>
      <c r="H4115">
        <v>0</v>
      </c>
      <c r="I4115">
        <v>0.1741125760648204</v>
      </c>
      <c r="J4115">
        <v>0</v>
      </c>
      <c r="K4115">
        <v>0</v>
      </c>
      <c r="L4115" s="2">
        <v>0</v>
      </c>
      <c r="M4115">
        <v>43.06</v>
      </c>
      <c r="N4115" t="s">
        <v>10236</v>
      </c>
    </row>
    <row r="4116" spans="1:14">
      <c r="A4116" t="s">
        <v>210</v>
      </c>
      <c r="B4116" t="s">
        <v>4254</v>
      </c>
      <c r="C4116">
        <f>"6268169R"</f>
        <v>0</v>
      </c>
      <c r="D4116">
        <v>0</v>
      </c>
      <c r="E4116">
        <v>0</v>
      </c>
      <c r="F4116" s="2">
        <v>0</v>
      </c>
      <c r="H4116">
        <v>0</v>
      </c>
      <c r="I4116">
        <v>0.1741125760648204</v>
      </c>
      <c r="J4116">
        <v>0</v>
      </c>
      <c r="K4116">
        <v>0</v>
      </c>
      <c r="L4116" s="2">
        <v>0</v>
      </c>
      <c r="M4116">
        <v>43.07</v>
      </c>
      <c r="N4116" t="s">
        <v>10236</v>
      </c>
    </row>
    <row r="4117" spans="1:14">
      <c r="A4117" t="s">
        <v>210</v>
      </c>
      <c r="B4117" t="s">
        <v>4255</v>
      </c>
      <c r="C4117">
        <f>"6268169L"</f>
        <v>0</v>
      </c>
      <c r="D4117">
        <v>0</v>
      </c>
      <c r="E4117">
        <v>0</v>
      </c>
      <c r="F4117" s="2">
        <v>0</v>
      </c>
      <c r="H4117">
        <v>0</v>
      </c>
      <c r="I4117">
        <v>0.1741125760648204</v>
      </c>
      <c r="J4117">
        <v>0</v>
      </c>
      <c r="K4117">
        <v>0</v>
      </c>
      <c r="L4117" s="2">
        <v>0</v>
      </c>
      <c r="M4117">
        <v>43.08</v>
      </c>
      <c r="N4117" t="s">
        <v>10236</v>
      </c>
    </row>
    <row r="4118" spans="1:14">
      <c r="A4118" t="s">
        <v>210</v>
      </c>
      <c r="B4118" t="s">
        <v>4256</v>
      </c>
      <c r="C4118">
        <f>"6268169C"</f>
        <v>0</v>
      </c>
      <c r="D4118">
        <v>0</v>
      </c>
      <c r="E4118">
        <v>0</v>
      </c>
      <c r="F4118" s="2">
        <v>0</v>
      </c>
      <c r="H4118">
        <v>0</v>
      </c>
      <c r="I4118">
        <v>0.1741125760648204</v>
      </c>
      <c r="J4118">
        <v>0</v>
      </c>
      <c r="K4118">
        <v>0</v>
      </c>
      <c r="L4118" s="2">
        <v>0</v>
      </c>
      <c r="M4118">
        <v>43.09</v>
      </c>
      <c r="N4118" t="s">
        <v>10236</v>
      </c>
    </row>
    <row r="4119" spans="1:14">
      <c r="A4119" t="s">
        <v>210</v>
      </c>
      <c r="B4119" t="s">
        <v>4257</v>
      </c>
      <c r="C4119">
        <f>"6268169B"</f>
        <v>0</v>
      </c>
      <c r="D4119">
        <v>0</v>
      </c>
      <c r="E4119">
        <v>0</v>
      </c>
      <c r="F4119" s="2">
        <v>0</v>
      </c>
      <c r="H4119">
        <v>0</v>
      </c>
      <c r="I4119">
        <v>0.1741125760648204</v>
      </c>
      <c r="J4119">
        <v>0</v>
      </c>
      <c r="K4119">
        <v>0</v>
      </c>
      <c r="L4119" s="2">
        <v>0</v>
      </c>
      <c r="M4119">
        <v>43.1</v>
      </c>
      <c r="N4119" t="s">
        <v>10236</v>
      </c>
    </row>
    <row r="4120" spans="1:14">
      <c r="A4120" t="s">
        <v>210</v>
      </c>
      <c r="B4120" t="s">
        <v>4258</v>
      </c>
      <c r="C4120">
        <f>"6253882"</f>
        <v>0</v>
      </c>
      <c r="D4120">
        <v>0</v>
      </c>
      <c r="E4120">
        <v>0</v>
      </c>
      <c r="F4120" s="2">
        <v>0</v>
      </c>
      <c r="H4120">
        <v>0</v>
      </c>
      <c r="I4120">
        <v>0.1741125760648204</v>
      </c>
      <c r="J4120">
        <v>0</v>
      </c>
      <c r="K4120">
        <v>0</v>
      </c>
      <c r="L4120" s="2">
        <v>0</v>
      </c>
      <c r="M4120">
        <v>43.11</v>
      </c>
      <c r="N4120" t="s">
        <v>10236</v>
      </c>
    </row>
    <row r="4121" spans="1:14">
      <c r="A4121" t="s">
        <v>210</v>
      </c>
      <c r="B4121" t="s">
        <v>4259</v>
      </c>
      <c r="C4121">
        <f>"6253899"</f>
        <v>0</v>
      </c>
      <c r="D4121">
        <v>0</v>
      </c>
      <c r="E4121">
        <v>0</v>
      </c>
      <c r="F4121" s="2">
        <v>0</v>
      </c>
      <c r="H4121">
        <v>0</v>
      </c>
      <c r="I4121">
        <v>0.1741125760648204</v>
      </c>
      <c r="J4121">
        <v>0</v>
      </c>
      <c r="K4121">
        <v>0</v>
      </c>
      <c r="L4121" s="2">
        <v>0</v>
      </c>
      <c r="M4121">
        <v>43.12</v>
      </c>
      <c r="N4121" t="s">
        <v>10236</v>
      </c>
    </row>
    <row r="4122" spans="1:14">
      <c r="A4122" t="s">
        <v>35</v>
      </c>
      <c r="B4122" t="s">
        <v>4260</v>
      </c>
      <c r="C4122">
        <f>"MCW166"</f>
        <v>0</v>
      </c>
      <c r="D4122">
        <v>0</v>
      </c>
      <c r="E4122">
        <v>0</v>
      </c>
      <c r="F4122" s="2">
        <v>0</v>
      </c>
      <c r="H4122">
        <v>0</v>
      </c>
      <c r="I4122">
        <v>0.1741125760648204</v>
      </c>
      <c r="J4122">
        <v>0</v>
      </c>
      <c r="K4122">
        <v>0</v>
      </c>
      <c r="L4122" s="2">
        <v>0</v>
      </c>
      <c r="M4122">
        <v>43.12</v>
      </c>
      <c r="N4122" t="s">
        <v>10236</v>
      </c>
    </row>
    <row r="4123" spans="1:14">
      <c r="A4123" t="s">
        <v>33</v>
      </c>
      <c r="B4123" t="s">
        <v>4261</v>
      </c>
      <c r="C4123">
        <f>"AGLUT16"</f>
        <v>0</v>
      </c>
      <c r="D4123">
        <v>0</v>
      </c>
      <c r="E4123">
        <v>0</v>
      </c>
      <c r="F4123" s="2">
        <v>0</v>
      </c>
      <c r="H4123">
        <v>0</v>
      </c>
      <c r="I4123">
        <v>0.1741125760648204</v>
      </c>
      <c r="J4123">
        <v>0</v>
      </c>
      <c r="K4123">
        <v>0</v>
      </c>
      <c r="L4123" s="2">
        <v>0</v>
      </c>
      <c r="M4123">
        <v>43.13</v>
      </c>
      <c r="N4123" t="s">
        <v>10236</v>
      </c>
    </row>
    <row r="4124" spans="1:14">
      <c r="A4124" t="s">
        <v>195</v>
      </c>
      <c r="B4124" t="s">
        <v>4262</v>
      </c>
      <c r="C4124">
        <f>"1710012"</f>
        <v>0</v>
      </c>
      <c r="D4124">
        <v>0</v>
      </c>
      <c r="E4124">
        <v>0</v>
      </c>
      <c r="F4124" s="2">
        <v>0</v>
      </c>
      <c r="H4124">
        <v>0</v>
      </c>
      <c r="I4124">
        <v>0.1741125760648204</v>
      </c>
      <c r="J4124">
        <v>0</v>
      </c>
      <c r="K4124">
        <v>0</v>
      </c>
      <c r="L4124" s="2">
        <v>0</v>
      </c>
      <c r="M4124">
        <v>43.14</v>
      </c>
      <c r="N4124" t="s">
        <v>10236</v>
      </c>
    </row>
    <row r="4125" spans="1:14">
      <c r="A4125" t="s">
        <v>35</v>
      </c>
      <c r="B4125" t="s">
        <v>4263</v>
      </c>
      <c r="C4125">
        <f>"LS8R"</f>
        <v>0</v>
      </c>
      <c r="D4125">
        <v>0</v>
      </c>
      <c r="E4125">
        <v>0</v>
      </c>
      <c r="F4125" s="2">
        <v>0</v>
      </c>
      <c r="H4125">
        <v>0</v>
      </c>
      <c r="I4125">
        <v>0.1741125760648204</v>
      </c>
      <c r="J4125">
        <v>0</v>
      </c>
      <c r="K4125">
        <v>0</v>
      </c>
      <c r="L4125" s="2">
        <v>0</v>
      </c>
      <c r="M4125">
        <v>43.15</v>
      </c>
      <c r="N4125" t="s">
        <v>10236</v>
      </c>
    </row>
    <row r="4126" spans="1:14">
      <c r="A4126" t="s">
        <v>35</v>
      </c>
      <c r="B4126" t="s">
        <v>4264</v>
      </c>
      <c r="C4126">
        <f>"LS4R"</f>
        <v>0</v>
      </c>
      <c r="D4126">
        <v>0</v>
      </c>
      <c r="E4126">
        <v>0</v>
      </c>
      <c r="F4126" s="2">
        <v>0</v>
      </c>
      <c r="H4126">
        <v>0</v>
      </c>
      <c r="I4126">
        <v>0.1741125760648204</v>
      </c>
      <c r="J4126">
        <v>0</v>
      </c>
      <c r="K4126">
        <v>0</v>
      </c>
      <c r="L4126" s="2">
        <v>0</v>
      </c>
      <c r="M4126">
        <v>43.16</v>
      </c>
      <c r="N4126" t="s">
        <v>10236</v>
      </c>
    </row>
    <row r="4127" spans="1:14">
      <c r="A4127" t="s">
        <v>225</v>
      </c>
      <c r="B4127" t="s">
        <v>4265</v>
      </c>
      <c r="C4127">
        <f>"OR20KG"</f>
        <v>0</v>
      </c>
      <c r="D4127">
        <v>0</v>
      </c>
      <c r="E4127">
        <v>1</v>
      </c>
      <c r="F4127" s="2">
        <v>0</v>
      </c>
      <c r="H4127">
        <v>0</v>
      </c>
      <c r="I4127">
        <v>0.1741125760648204</v>
      </c>
      <c r="J4127">
        <v>0</v>
      </c>
      <c r="K4127">
        <v>0</v>
      </c>
      <c r="L4127" s="2">
        <v>0</v>
      </c>
      <c r="M4127">
        <v>43.17</v>
      </c>
      <c r="N4127" t="s">
        <v>10236</v>
      </c>
    </row>
    <row r="4128" spans="1:14">
      <c r="A4128" t="s">
        <v>195</v>
      </c>
      <c r="B4128" t="s">
        <v>4266</v>
      </c>
      <c r="C4128">
        <f>"27869412"</f>
        <v>0</v>
      </c>
      <c r="D4128">
        <v>0</v>
      </c>
      <c r="E4128">
        <v>0</v>
      </c>
      <c r="F4128" s="2">
        <v>0</v>
      </c>
      <c r="H4128">
        <v>0</v>
      </c>
      <c r="I4128">
        <v>0.1741125760648204</v>
      </c>
      <c r="J4128">
        <v>0</v>
      </c>
      <c r="K4128">
        <v>0</v>
      </c>
      <c r="L4128" s="2">
        <v>0</v>
      </c>
      <c r="M4128">
        <v>43.18</v>
      </c>
      <c r="N4128" t="s">
        <v>10236</v>
      </c>
    </row>
    <row r="4129" spans="1:14">
      <c r="A4129" t="s">
        <v>32</v>
      </c>
      <c r="B4129" t="s">
        <v>4267</v>
      </c>
      <c r="C4129">
        <f>"NUP02"</f>
        <v>0</v>
      </c>
      <c r="D4129">
        <v>0</v>
      </c>
      <c r="E4129">
        <v>0</v>
      </c>
      <c r="F4129" s="2">
        <v>0</v>
      </c>
      <c r="H4129">
        <v>0</v>
      </c>
      <c r="I4129">
        <v>0.1741125760648204</v>
      </c>
      <c r="J4129">
        <v>0</v>
      </c>
      <c r="K4129">
        <v>0</v>
      </c>
      <c r="L4129" s="2">
        <v>0</v>
      </c>
      <c r="M4129">
        <v>43.19</v>
      </c>
      <c r="N4129" t="s">
        <v>10236</v>
      </c>
    </row>
    <row r="4130" spans="1:14">
      <c r="A4130" t="s">
        <v>32</v>
      </c>
      <c r="B4130" t="s">
        <v>4268</v>
      </c>
      <c r="C4130">
        <f>"NUP01"</f>
        <v>0</v>
      </c>
      <c r="D4130">
        <v>0</v>
      </c>
      <c r="E4130">
        <v>0</v>
      </c>
      <c r="F4130" s="2">
        <v>0</v>
      </c>
      <c r="H4130">
        <v>0</v>
      </c>
      <c r="I4130">
        <v>0.1741125760648204</v>
      </c>
      <c r="J4130">
        <v>0</v>
      </c>
      <c r="K4130">
        <v>0</v>
      </c>
      <c r="L4130" s="2">
        <v>0</v>
      </c>
      <c r="M4130">
        <v>43.2</v>
      </c>
      <c r="N4130" t="s">
        <v>10236</v>
      </c>
    </row>
    <row r="4131" spans="1:14">
      <c r="A4131" t="s">
        <v>32</v>
      </c>
      <c r="B4131" t="s">
        <v>4269</v>
      </c>
      <c r="C4131">
        <f>"NUP04"</f>
        <v>0</v>
      </c>
      <c r="D4131">
        <v>0</v>
      </c>
      <c r="E4131">
        <v>1</v>
      </c>
      <c r="F4131" s="2">
        <v>15</v>
      </c>
      <c r="H4131">
        <v>0</v>
      </c>
      <c r="I4131">
        <v>0.1741125760648204</v>
      </c>
      <c r="J4131">
        <v>0</v>
      </c>
      <c r="K4131">
        <v>0</v>
      </c>
      <c r="L4131" s="2">
        <v>0</v>
      </c>
      <c r="M4131">
        <v>43.21</v>
      </c>
      <c r="N4131" t="s">
        <v>10236</v>
      </c>
    </row>
    <row r="4132" spans="1:14">
      <c r="A4132" t="s">
        <v>32</v>
      </c>
      <c r="B4132" t="s">
        <v>4270</v>
      </c>
      <c r="C4132">
        <f>"5008680"</f>
        <v>0</v>
      </c>
      <c r="D4132">
        <v>0</v>
      </c>
      <c r="E4132">
        <v>0</v>
      </c>
      <c r="F4132" s="2">
        <v>0</v>
      </c>
      <c r="H4132">
        <v>0</v>
      </c>
      <c r="I4132">
        <v>0.1741125760648204</v>
      </c>
      <c r="J4132">
        <v>0</v>
      </c>
      <c r="K4132">
        <v>0</v>
      </c>
      <c r="L4132" s="2">
        <v>0</v>
      </c>
      <c r="M4132">
        <v>43.22</v>
      </c>
      <c r="N4132" t="s">
        <v>10236</v>
      </c>
    </row>
    <row r="4133" spans="1:14">
      <c r="A4133" t="s">
        <v>218</v>
      </c>
      <c r="B4133" t="s">
        <v>4271</v>
      </c>
      <c r="C4133">
        <f>"1011022"</f>
        <v>0</v>
      </c>
      <c r="D4133">
        <v>0</v>
      </c>
      <c r="E4133">
        <v>0</v>
      </c>
      <c r="F4133" s="2">
        <v>0</v>
      </c>
      <c r="H4133">
        <v>0</v>
      </c>
      <c r="I4133">
        <v>0.1741125760648204</v>
      </c>
      <c r="J4133">
        <v>0</v>
      </c>
      <c r="K4133">
        <v>0</v>
      </c>
      <c r="L4133" s="2">
        <v>0</v>
      </c>
      <c r="M4133">
        <v>43.23</v>
      </c>
      <c r="N4133" t="s">
        <v>10236</v>
      </c>
    </row>
    <row r="4134" spans="1:14">
      <c r="A4134" t="s">
        <v>195</v>
      </c>
      <c r="B4134" t="s">
        <v>4272</v>
      </c>
      <c r="C4134">
        <f>"27877255"</f>
        <v>0</v>
      </c>
      <c r="D4134">
        <v>0</v>
      </c>
      <c r="E4134">
        <v>0</v>
      </c>
      <c r="F4134" s="2">
        <v>0</v>
      </c>
      <c r="H4134">
        <v>0</v>
      </c>
      <c r="I4134">
        <v>0.1741125760648204</v>
      </c>
      <c r="J4134">
        <v>0</v>
      </c>
      <c r="K4134">
        <v>0</v>
      </c>
      <c r="L4134" s="2">
        <v>0</v>
      </c>
      <c r="M4134">
        <v>43.24</v>
      </c>
      <c r="N4134" t="s">
        <v>10236</v>
      </c>
    </row>
    <row r="4135" spans="1:14">
      <c r="A4135" t="s">
        <v>25</v>
      </c>
      <c r="B4135" t="s">
        <v>4273</v>
      </c>
      <c r="C4135">
        <f>"AYCS212"</f>
        <v>0</v>
      </c>
      <c r="D4135">
        <v>0</v>
      </c>
      <c r="E4135">
        <v>0</v>
      </c>
      <c r="F4135" s="2">
        <v>0</v>
      </c>
      <c r="H4135">
        <v>0</v>
      </c>
      <c r="I4135">
        <v>0.1741125760648204</v>
      </c>
      <c r="J4135">
        <v>0</v>
      </c>
      <c r="K4135">
        <v>0</v>
      </c>
      <c r="L4135" s="2">
        <v>0</v>
      </c>
      <c r="M4135">
        <v>43.24</v>
      </c>
      <c r="N4135" t="s">
        <v>10236</v>
      </c>
    </row>
    <row r="4136" spans="1:14">
      <c r="A4136" t="s">
        <v>35</v>
      </c>
      <c r="B4136" t="s">
        <v>4274</v>
      </c>
      <c r="C4136">
        <f>"NRRB305W"</f>
        <v>0</v>
      </c>
      <c r="D4136">
        <v>0</v>
      </c>
      <c r="E4136">
        <v>0</v>
      </c>
      <c r="F4136" s="2">
        <v>0</v>
      </c>
      <c r="H4136">
        <v>0</v>
      </c>
      <c r="I4136">
        <v>0.1741125760648204</v>
      </c>
      <c r="J4136">
        <v>0</v>
      </c>
      <c r="K4136">
        <v>0</v>
      </c>
      <c r="L4136" s="2">
        <v>0</v>
      </c>
      <c r="M4136">
        <v>43.25</v>
      </c>
      <c r="N4136" t="s">
        <v>10236</v>
      </c>
    </row>
    <row r="4137" spans="1:14">
      <c r="A4137" t="s">
        <v>35</v>
      </c>
      <c r="B4137" t="s">
        <v>4275</v>
      </c>
      <c r="C4137">
        <f>"NFSB105W"</f>
        <v>0</v>
      </c>
      <c r="D4137">
        <v>0</v>
      </c>
      <c r="E4137">
        <v>0</v>
      </c>
      <c r="F4137" s="2">
        <v>0</v>
      </c>
      <c r="H4137">
        <v>0</v>
      </c>
      <c r="I4137">
        <v>0.1741125760648204</v>
      </c>
      <c r="J4137">
        <v>0</v>
      </c>
      <c r="K4137">
        <v>0</v>
      </c>
      <c r="L4137" s="2">
        <v>0</v>
      </c>
      <c r="M4137">
        <v>43.26</v>
      </c>
      <c r="N4137" t="s">
        <v>10236</v>
      </c>
    </row>
    <row r="4138" spans="1:14">
      <c r="A4138" t="s">
        <v>210</v>
      </c>
      <c r="B4138" t="s">
        <v>4276</v>
      </c>
      <c r="C4138">
        <f>"6253875"</f>
        <v>0</v>
      </c>
      <c r="D4138">
        <v>0</v>
      </c>
      <c r="E4138">
        <v>0</v>
      </c>
      <c r="F4138" s="2">
        <v>0</v>
      </c>
      <c r="H4138">
        <v>0</v>
      </c>
      <c r="I4138">
        <v>0.1741125760648204</v>
      </c>
      <c r="J4138">
        <v>0</v>
      </c>
      <c r="K4138">
        <v>0</v>
      </c>
      <c r="L4138" s="2">
        <v>0</v>
      </c>
      <c r="M4138">
        <v>43.27</v>
      </c>
      <c r="N4138" t="s">
        <v>10236</v>
      </c>
    </row>
    <row r="4139" spans="1:14">
      <c r="A4139" t="s">
        <v>215</v>
      </c>
      <c r="B4139" t="s">
        <v>4277</v>
      </c>
      <c r="C4139">
        <f>"BDOR440"</f>
        <v>0</v>
      </c>
      <c r="D4139">
        <v>0</v>
      </c>
      <c r="E4139">
        <v>0</v>
      </c>
      <c r="F4139" s="2">
        <v>0</v>
      </c>
      <c r="H4139">
        <v>0</v>
      </c>
      <c r="I4139">
        <v>0.1741125760648204</v>
      </c>
      <c r="J4139">
        <v>0</v>
      </c>
      <c r="K4139">
        <v>0</v>
      </c>
      <c r="L4139" s="2">
        <v>0</v>
      </c>
      <c r="M4139">
        <v>43.28</v>
      </c>
      <c r="N4139" t="s">
        <v>10236</v>
      </c>
    </row>
    <row r="4140" spans="1:14">
      <c r="A4140" t="s">
        <v>215</v>
      </c>
      <c r="B4140" t="s">
        <v>4278</v>
      </c>
      <c r="C4140">
        <f>"BDOR4410"</f>
        <v>0</v>
      </c>
      <c r="D4140">
        <v>0</v>
      </c>
      <c r="E4140">
        <v>0</v>
      </c>
      <c r="F4140" s="2">
        <v>0</v>
      </c>
      <c r="H4140">
        <v>0</v>
      </c>
      <c r="I4140">
        <v>0.1741125760648204</v>
      </c>
      <c r="J4140">
        <v>0</v>
      </c>
      <c r="K4140">
        <v>0</v>
      </c>
      <c r="L4140" s="2">
        <v>0</v>
      </c>
      <c r="M4140">
        <v>43.29</v>
      </c>
      <c r="N4140" t="s">
        <v>10236</v>
      </c>
    </row>
    <row r="4141" spans="1:14">
      <c r="A4141" t="s">
        <v>215</v>
      </c>
      <c r="B4141" t="s">
        <v>4279</v>
      </c>
      <c r="C4141">
        <f>"k10700"</f>
        <v>0</v>
      </c>
      <c r="D4141">
        <v>0</v>
      </c>
      <c r="E4141">
        <v>0</v>
      </c>
      <c r="F4141" s="2">
        <v>0</v>
      </c>
      <c r="H4141">
        <v>0</v>
      </c>
      <c r="I4141">
        <v>0.1741125760648204</v>
      </c>
      <c r="J4141">
        <v>0</v>
      </c>
      <c r="K4141">
        <v>0</v>
      </c>
      <c r="L4141" s="2">
        <v>0</v>
      </c>
      <c r="M4141">
        <v>43.3</v>
      </c>
      <c r="N4141" t="s">
        <v>10236</v>
      </c>
    </row>
    <row r="4142" spans="1:14">
      <c r="A4142" t="s">
        <v>215</v>
      </c>
      <c r="B4142" t="s">
        <v>4280</v>
      </c>
      <c r="C4142">
        <f>"BCAC4406"</f>
        <v>0</v>
      </c>
      <c r="D4142">
        <v>0</v>
      </c>
      <c r="E4142">
        <v>0</v>
      </c>
      <c r="F4142" s="2">
        <v>0</v>
      </c>
      <c r="H4142">
        <v>0</v>
      </c>
      <c r="I4142">
        <v>0.1741125760648204</v>
      </c>
      <c r="J4142">
        <v>0</v>
      </c>
      <c r="K4142">
        <v>0</v>
      </c>
      <c r="L4142" s="2">
        <v>0</v>
      </c>
      <c r="M4142">
        <v>43.31</v>
      </c>
      <c r="N4142" t="s">
        <v>10236</v>
      </c>
    </row>
    <row r="4143" spans="1:14">
      <c r="A4143" t="s">
        <v>215</v>
      </c>
      <c r="B4143" t="s">
        <v>4281</v>
      </c>
      <c r="C4143">
        <f>"441002"</f>
        <v>0</v>
      </c>
      <c r="D4143">
        <v>0</v>
      </c>
      <c r="E4143">
        <v>0</v>
      </c>
      <c r="F4143" s="2">
        <v>0</v>
      </c>
      <c r="H4143">
        <v>0</v>
      </c>
      <c r="I4143">
        <v>0.1741125760648204</v>
      </c>
      <c r="J4143">
        <v>0</v>
      </c>
      <c r="K4143">
        <v>0</v>
      </c>
      <c r="L4143" s="2">
        <v>0</v>
      </c>
      <c r="M4143">
        <v>43.32</v>
      </c>
      <c r="N4143" t="s">
        <v>10236</v>
      </c>
    </row>
    <row r="4144" spans="1:14">
      <c r="A4144" t="s">
        <v>193</v>
      </c>
      <c r="B4144" t="s">
        <v>4282</v>
      </c>
      <c r="C4144">
        <f>"564912"</f>
        <v>0</v>
      </c>
      <c r="D4144">
        <v>0</v>
      </c>
      <c r="E4144">
        <v>0</v>
      </c>
      <c r="F4144" s="2">
        <v>0</v>
      </c>
      <c r="H4144">
        <v>0</v>
      </c>
      <c r="I4144">
        <v>0.1741125760648204</v>
      </c>
      <c r="J4144">
        <v>0</v>
      </c>
      <c r="K4144">
        <v>0</v>
      </c>
      <c r="L4144" s="2">
        <v>0</v>
      </c>
      <c r="M4144">
        <v>43.33</v>
      </c>
      <c r="N4144" t="s">
        <v>10236</v>
      </c>
    </row>
    <row r="4145" spans="1:14">
      <c r="A4145" t="s">
        <v>193</v>
      </c>
      <c r="B4145" t="s">
        <v>4283</v>
      </c>
      <c r="C4145">
        <f>"564899"</f>
        <v>0</v>
      </c>
      <c r="D4145">
        <v>0</v>
      </c>
      <c r="E4145">
        <v>0</v>
      </c>
      <c r="F4145" s="2">
        <v>0</v>
      </c>
      <c r="H4145">
        <v>0</v>
      </c>
      <c r="I4145">
        <v>0.1741125760648204</v>
      </c>
      <c r="J4145">
        <v>0</v>
      </c>
      <c r="K4145">
        <v>0</v>
      </c>
      <c r="L4145" s="2">
        <v>0</v>
      </c>
      <c r="M4145">
        <v>43.34</v>
      </c>
      <c r="N4145" t="s">
        <v>10236</v>
      </c>
    </row>
    <row r="4146" spans="1:14">
      <c r="A4146" t="s">
        <v>193</v>
      </c>
      <c r="B4146" t="s">
        <v>4284</v>
      </c>
      <c r="C4146">
        <f>"2GA329"</f>
        <v>0</v>
      </c>
      <c r="D4146">
        <v>0</v>
      </c>
      <c r="E4146">
        <v>0</v>
      </c>
      <c r="F4146" s="2">
        <v>0</v>
      </c>
      <c r="H4146">
        <v>0</v>
      </c>
      <c r="I4146">
        <v>0.1741125760648204</v>
      </c>
      <c r="J4146">
        <v>0</v>
      </c>
      <c r="K4146">
        <v>0</v>
      </c>
      <c r="L4146" s="2">
        <v>0</v>
      </c>
      <c r="M4146">
        <v>43.35</v>
      </c>
      <c r="N4146" t="s">
        <v>10236</v>
      </c>
    </row>
    <row r="4147" spans="1:14">
      <c r="A4147" t="s">
        <v>193</v>
      </c>
      <c r="B4147" t="s">
        <v>4285</v>
      </c>
      <c r="C4147">
        <f>"564905"</f>
        <v>0</v>
      </c>
      <c r="D4147">
        <v>0</v>
      </c>
      <c r="E4147">
        <v>7</v>
      </c>
      <c r="F4147" s="2">
        <v>14</v>
      </c>
      <c r="H4147">
        <v>0</v>
      </c>
      <c r="I4147">
        <v>0.1741125760648204</v>
      </c>
      <c r="J4147">
        <v>0</v>
      </c>
      <c r="K4147">
        <v>0</v>
      </c>
      <c r="L4147" s="2">
        <v>0</v>
      </c>
      <c r="M4147">
        <v>43.36</v>
      </c>
      <c r="N4147" t="s">
        <v>10236</v>
      </c>
    </row>
    <row r="4148" spans="1:14">
      <c r="A4148" t="s">
        <v>225</v>
      </c>
      <c r="B4148" t="s">
        <v>4286</v>
      </c>
      <c r="C4148">
        <f>"00530"</f>
        <v>0</v>
      </c>
      <c r="D4148">
        <v>0</v>
      </c>
      <c r="E4148">
        <v>0</v>
      </c>
      <c r="F4148" s="2">
        <v>0</v>
      </c>
      <c r="H4148">
        <v>0</v>
      </c>
      <c r="I4148">
        <v>0.1741125760648204</v>
      </c>
      <c r="J4148">
        <v>0</v>
      </c>
      <c r="K4148">
        <v>0</v>
      </c>
      <c r="L4148" s="2">
        <v>0</v>
      </c>
      <c r="M4148">
        <v>43.36</v>
      </c>
      <c r="N4148" t="s">
        <v>10236</v>
      </c>
    </row>
    <row r="4149" spans="1:14">
      <c r="A4149" t="s">
        <v>32</v>
      </c>
      <c r="B4149" t="s">
        <v>4287</v>
      </c>
      <c r="C4149">
        <f>"Z015010022"</f>
        <v>0</v>
      </c>
      <c r="D4149">
        <v>0</v>
      </c>
      <c r="E4149">
        <v>0</v>
      </c>
      <c r="F4149" s="2">
        <v>0</v>
      </c>
      <c r="H4149">
        <v>0</v>
      </c>
      <c r="I4149">
        <v>0.1741125760648204</v>
      </c>
      <c r="J4149">
        <v>0</v>
      </c>
      <c r="K4149">
        <v>0</v>
      </c>
      <c r="L4149" s="2">
        <v>0</v>
      </c>
      <c r="M4149">
        <v>43.37</v>
      </c>
      <c r="N4149" t="s">
        <v>10236</v>
      </c>
    </row>
    <row r="4150" spans="1:14">
      <c r="A4150" t="s">
        <v>193</v>
      </c>
      <c r="B4150" t="s">
        <v>4288</v>
      </c>
      <c r="C4150">
        <f>"2GA3277"</f>
        <v>0</v>
      </c>
      <c r="D4150">
        <v>0</v>
      </c>
      <c r="E4150">
        <v>0</v>
      </c>
      <c r="F4150" s="2">
        <v>0</v>
      </c>
      <c r="H4150">
        <v>0</v>
      </c>
      <c r="I4150">
        <v>0.1741125760648204</v>
      </c>
      <c r="J4150">
        <v>0</v>
      </c>
      <c r="K4150">
        <v>0</v>
      </c>
      <c r="L4150" s="2">
        <v>0</v>
      </c>
      <c r="M4150">
        <v>43.38</v>
      </c>
      <c r="N4150" t="s">
        <v>10236</v>
      </c>
    </row>
    <row r="4151" spans="1:14">
      <c r="A4151" t="s">
        <v>193</v>
      </c>
      <c r="B4151" t="s">
        <v>4289</v>
      </c>
      <c r="C4151">
        <f>"2GA326"</f>
        <v>0</v>
      </c>
      <c r="D4151">
        <v>0</v>
      </c>
      <c r="E4151">
        <v>0</v>
      </c>
      <c r="F4151" s="2">
        <v>0</v>
      </c>
      <c r="H4151">
        <v>0</v>
      </c>
      <c r="I4151">
        <v>0.1741125760648204</v>
      </c>
      <c r="J4151">
        <v>0</v>
      </c>
      <c r="K4151">
        <v>0</v>
      </c>
      <c r="L4151" s="2">
        <v>0</v>
      </c>
      <c r="M4151">
        <v>43.39</v>
      </c>
      <c r="N4151" t="s">
        <v>10236</v>
      </c>
    </row>
    <row r="4152" spans="1:14">
      <c r="A4152" t="s">
        <v>193</v>
      </c>
      <c r="B4152" t="s">
        <v>4290</v>
      </c>
      <c r="C4152">
        <f>"563601"</f>
        <v>0</v>
      </c>
      <c r="D4152">
        <v>0</v>
      </c>
      <c r="E4152">
        <v>0</v>
      </c>
      <c r="F4152" s="2">
        <v>0</v>
      </c>
      <c r="H4152">
        <v>0</v>
      </c>
      <c r="I4152">
        <v>0.1741125760648204</v>
      </c>
      <c r="J4152">
        <v>0</v>
      </c>
      <c r="K4152">
        <v>0</v>
      </c>
      <c r="L4152" s="2">
        <v>0</v>
      </c>
      <c r="M4152">
        <v>43.4</v>
      </c>
      <c r="N4152" t="s">
        <v>10236</v>
      </c>
    </row>
    <row r="4153" spans="1:14">
      <c r="A4153" t="s">
        <v>228</v>
      </c>
      <c r="B4153" t="s">
        <v>4291</v>
      </c>
      <c r="C4153">
        <f>"NGW2"</f>
        <v>0</v>
      </c>
      <c r="D4153">
        <v>0</v>
      </c>
      <c r="E4153">
        <v>0</v>
      </c>
      <c r="F4153" s="2">
        <v>0</v>
      </c>
      <c r="H4153">
        <v>0</v>
      </c>
      <c r="I4153">
        <v>0.1741125760648204</v>
      </c>
      <c r="J4153">
        <v>0</v>
      </c>
      <c r="K4153">
        <v>0</v>
      </c>
      <c r="L4153" s="2">
        <v>0</v>
      </c>
      <c r="M4153">
        <v>43.41</v>
      </c>
      <c r="N4153" t="s">
        <v>10236</v>
      </c>
    </row>
    <row r="4154" spans="1:14">
      <c r="A4154" t="s">
        <v>195</v>
      </c>
      <c r="B4154" t="s">
        <v>4292</v>
      </c>
      <c r="C4154">
        <f>"27877455"</f>
        <v>0</v>
      </c>
      <c r="D4154">
        <v>0</v>
      </c>
      <c r="E4154">
        <v>0</v>
      </c>
      <c r="F4154" s="2">
        <v>0</v>
      </c>
      <c r="H4154">
        <v>0</v>
      </c>
      <c r="I4154">
        <v>0.1741125760648204</v>
      </c>
      <c r="J4154">
        <v>0</v>
      </c>
      <c r="K4154">
        <v>0</v>
      </c>
      <c r="L4154" s="2">
        <v>0</v>
      </c>
      <c r="M4154">
        <v>43.42</v>
      </c>
      <c r="N4154" t="s">
        <v>10236</v>
      </c>
    </row>
    <row r="4155" spans="1:14">
      <c r="A4155" t="s">
        <v>195</v>
      </c>
      <c r="B4155" t="s">
        <v>4293</v>
      </c>
      <c r="C4155">
        <f>"27869321"</f>
        <v>0</v>
      </c>
      <c r="D4155">
        <v>0</v>
      </c>
      <c r="E4155">
        <v>0</v>
      </c>
      <c r="F4155" s="2">
        <v>0</v>
      </c>
      <c r="H4155">
        <v>0</v>
      </c>
      <c r="I4155">
        <v>0.1741125760648204</v>
      </c>
      <c r="J4155">
        <v>0</v>
      </c>
      <c r="K4155">
        <v>0</v>
      </c>
      <c r="L4155" s="2">
        <v>0</v>
      </c>
      <c r="M4155">
        <v>43.43</v>
      </c>
      <c r="N4155" t="s">
        <v>10236</v>
      </c>
    </row>
    <row r="4156" spans="1:14">
      <c r="A4156" t="s">
        <v>195</v>
      </c>
      <c r="B4156" t="s">
        <v>4294</v>
      </c>
      <c r="C4156">
        <f>"27877355"</f>
        <v>0</v>
      </c>
      <c r="D4156">
        <v>0</v>
      </c>
      <c r="E4156">
        <v>0</v>
      </c>
      <c r="F4156" s="2">
        <v>0</v>
      </c>
      <c r="H4156">
        <v>0</v>
      </c>
      <c r="I4156">
        <v>0.1741125760648204</v>
      </c>
      <c r="J4156">
        <v>0</v>
      </c>
      <c r="K4156">
        <v>0</v>
      </c>
      <c r="L4156" s="2">
        <v>0</v>
      </c>
      <c r="M4156">
        <v>43.44</v>
      </c>
      <c r="N4156" t="s">
        <v>10236</v>
      </c>
    </row>
    <row r="4157" spans="1:14">
      <c r="A4157" t="s">
        <v>195</v>
      </c>
      <c r="B4157" t="s">
        <v>4295</v>
      </c>
      <c r="C4157">
        <f>"27869512"</f>
        <v>0</v>
      </c>
      <c r="D4157">
        <v>0</v>
      </c>
      <c r="E4157">
        <v>0</v>
      </c>
      <c r="F4157" s="2">
        <v>0</v>
      </c>
      <c r="H4157">
        <v>0</v>
      </c>
      <c r="I4157">
        <v>0.1741125760648204</v>
      </c>
      <c r="J4157">
        <v>0</v>
      </c>
      <c r="K4157">
        <v>0</v>
      </c>
      <c r="L4157" s="2">
        <v>0</v>
      </c>
      <c r="M4157">
        <v>43.45</v>
      </c>
      <c r="N4157" t="s">
        <v>10236</v>
      </c>
    </row>
    <row r="4158" spans="1:14">
      <c r="A4158" t="s">
        <v>195</v>
      </c>
      <c r="B4158" t="s">
        <v>4296</v>
      </c>
      <c r="C4158">
        <f>"27877555"</f>
        <v>0</v>
      </c>
      <c r="D4158">
        <v>0</v>
      </c>
      <c r="E4158">
        <v>0</v>
      </c>
      <c r="F4158" s="2">
        <v>0</v>
      </c>
      <c r="H4158">
        <v>0</v>
      </c>
      <c r="I4158">
        <v>0.1741125760648204</v>
      </c>
      <c r="J4158">
        <v>0</v>
      </c>
      <c r="K4158">
        <v>0</v>
      </c>
      <c r="L4158" s="2">
        <v>0</v>
      </c>
      <c r="M4158">
        <v>43.46</v>
      </c>
      <c r="N4158" t="s">
        <v>10236</v>
      </c>
    </row>
    <row r="4159" spans="1:14">
      <c r="A4159" t="s">
        <v>195</v>
      </c>
      <c r="B4159" t="s">
        <v>4297</v>
      </c>
      <c r="C4159">
        <f>"27869212"</f>
        <v>0</v>
      </c>
      <c r="D4159">
        <v>0</v>
      </c>
      <c r="E4159">
        <v>0</v>
      </c>
      <c r="F4159" s="2">
        <v>0</v>
      </c>
      <c r="H4159">
        <v>0</v>
      </c>
      <c r="I4159">
        <v>0.1741125760648204</v>
      </c>
      <c r="J4159">
        <v>0</v>
      </c>
      <c r="K4159">
        <v>0</v>
      </c>
      <c r="L4159" s="2">
        <v>0</v>
      </c>
      <c r="M4159">
        <v>43.47</v>
      </c>
      <c r="N4159" t="s">
        <v>10236</v>
      </c>
    </row>
    <row r="4160" spans="1:14">
      <c r="A4160" t="s">
        <v>193</v>
      </c>
      <c r="B4160" t="s">
        <v>4298</v>
      </c>
      <c r="C4160">
        <f>"563823"</f>
        <v>0</v>
      </c>
      <c r="D4160">
        <v>0</v>
      </c>
      <c r="E4160">
        <v>0</v>
      </c>
      <c r="F4160" s="2">
        <v>0</v>
      </c>
      <c r="H4160">
        <v>0</v>
      </c>
      <c r="I4160">
        <v>0.1741125760648204</v>
      </c>
      <c r="J4160">
        <v>0</v>
      </c>
      <c r="K4160">
        <v>0</v>
      </c>
      <c r="L4160" s="2">
        <v>0</v>
      </c>
      <c r="M4160">
        <v>43.47</v>
      </c>
      <c r="N4160" t="s">
        <v>10236</v>
      </c>
    </row>
    <row r="4161" spans="1:14">
      <c r="A4161" t="s">
        <v>193</v>
      </c>
      <c r="B4161" t="s">
        <v>4299</v>
      </c>
      <c r="C4161">
        <f>"2GA338"</f>
        <v>0</v>
      </c>
      <c r="D4161">
        <v>0</v>
      </c>
      <c r="E4161">
        <v>0</v>
      </c>
      <c r="F4161" s="2">
        <v>0</v>
      </c>
      <c r="H4161">
        <v>0</v>
      </c>
      <c r="I4161">
        <v>0.1741125760648204</v>
      </c>
      <c r="J4161">
        <v>0</v>
      </c>
      <c r="K4161">
        <v>0</v>
      </c>
      <c r="L4161" s="2">
        <v>0</v>
      </c>
      <c r="M4161">
        <v>43.48</v>
      </c>
      <c r="N4161" t="s">
        <v>10236</v>
      </c>
    </row>
    <row r="4162" spans="1:14">
      <c r="A4162" t="s">
        <v>193</v>
      </c>
      <c r="B4162" t="s">
        <v>4300</v>
      </c>
      <c r="C4162">
        <f>"563649"</f>
        <v>0</v>
      </c>
      <c r="D4162">
        <v>0</v>
      </c>
      <c r="E4162">
        <v>0</v>
      </c>
      <c r="F4162" s="2">
        <v>0</v>
      </c>
      <c r="H4162">
        <v>0</v>
      </c>
      <c r="I4162">
        <v>0.1741125760648204</v>
      </c>
      <c r="J4162">
        <v>0</v>
      </c>
      <c r="K4162">
        <v>0</v>
      </c>
      <c r="L4162" s="2">
        <v>0</v>
      </c>
      <c r="M4162">
        <v>43.49</v>
      </c>
      <c r="N4162" t="s">
        <v>10236</v>
      </c>
    </row>
    <row r="4163" spans="1:14">
      <c r="A4163" t="s">
        <v>193</v>
      </c>
      <c r="B4163" t="s">
        <v>4301</v>
      </c>
      <c r="C4163">
        <f>"2GA3255"</f>
        <v>0</v>
      </c>
      <c r="D4163">
        <v>0</v>
      </c>
      <c r="E4163">
        <v>0</v>
      </c>
      <c r="F4163" s="2">
        <v>0</v>
      </c>
      <c r="H4163">
        <v>0</v>
      </c>
      <c r="I4163">
        <v>0.1741125760648204</v>
      </c>
      <c r="J4163">
        <v>0</v>
      </c>
      <c r="K4163">
        <v>0</v>
      </c>
      <c r="L4163" s="2">
        <v>0</v>
      </c>
      <c r="M4163">
        <v>43.5</v>
      </c>
      <c r="N4163" t="s">
        <v>10236</v>
      </c>
    </row>
    <row r="4164" spans="1:14">
      <c r="A4164" t="s">
        <v>193</v>
      </c>
      <c r="B4164" t="s">
        <v>4302</v>
      </c>
      <c r="C4164">
        <f>"564837"</f>
        <v>0</v>
      </c>
      <c r="D4164">
        <v>0</v>
      </c>
      <c r="E4164">
        <v>0</v>
      </c>
      <c r="F4164" s="2">
        <v>0</v>
      </c>
      <c r="H4164">
        <v>0</v>
      </c>
      <c r="I4164">
        <v>0.1741125760648204</v>
      </c>
      <c r="J4164">
        <v>0</v>
      </c>
      <c r="K4164">
        <v>0</v>
      </c>
      <c r="L4164" s="2">
        <v>0</v>
      </c>
      <c r="M4164">
        <v>43.51</v>
      </c>
      <c r="N4164" t="s">
        <v>10236</v>
      </c>
    </row>
    <row r="4165" spans="1:14">
      <c r="A4165" t="s">
        <v>193</v>
      </c>
      <c r="B4165" t="s">
        <v>4303</v>
      </c>
      <c r="C4165">
        <f>"564820"</f>
        <v>0</v>
      </c>
      <c r="D4165">
        <v>0</v>
      </c>
      <c r="E4165">
        <v>1</v>
      </c>
      <c r="F4165" s="2">
        <v>35</v>
      </c>
      <c r="H4165">
        <v>0</v>
      </c>
      <c r="I4165">
        <v>0.1741125760648204</v>
      </c>
      <c r="J4165">
        <v>0</v>
      </c>
      <c r="K4165">
        <v>0</v>
      </c>
      <c r="L4165" s="2">
        <v>0</v>
      </c>
      <c r="M4165">
        <v>43.52</v>
      </c>
      <c r="N4165" t="s">
        <v>10236</v>
      </c>
    </row>
    <row r="4166" spans="1:14">
      <c r="A4166" t="s">
        <v>193</v>
      </c>
      <c r="B4166" t="s">
        <v>4304</v>
      </c>
      <c r="C4166">
        <f>"1558207072190"</f>
        <v>0</v>
      </c>
      <c r="D4166">
        <v>0</v>
      </c>
      <c r="E4166">
        <v>0</v>
      </c>
      <c r="F4166" s="2">
        <v>0</v>
      </c>
      <c r="H4166">
        <v>0</v>
      </c>
      <c r="I4166">
        <v>0.1741125760648204</v>
      </c>
      <c r="J4166">
        <v>0</v>
      </c>
      <c r="K4166">
        <v>0</v>
      </c>
      <c r="L4166" s="2">
        <v>0</v>
      </c>
      <c r="M4166">
        <v>43.53</v>
      </c>
      <c r="N4166" t="s">
        <v>10236</v>
      </c>
    </row>
    <row r="4167" spans="1:14">
      <c r="A4167" t="s">
        <v>193</v>
      </c>
      <c r="B4167" t="s">
        <v>4305</v>
      </c>
      <c r="C4167">
        <f>"2GA3341"</f>
        <v>0</v>
      </c>
      <c r="D4167">
        <v>0</v>
      </c>
      <c r="E4167">
        <v>0</v>
      </c>
      <c r="F4167" s="2">
        <v>0</v>
      </c>
      <c r="H4167">
        <v>0</v>
      </c>
      <c r="I4167">
        <v>0.1741125760648204</v>
      </c>
      <c r="J4167">
        <v>0</v>
      </c>
      <c r="K4167">
        <v>0</v>
      </c>
      <c r="L4167" s="2">
        <v>0</v>
      </c>
      <c r="M4167">
        <v>43.54</v>
      </c>
      <c r="N4167" t="s">
        <v>10236</v>
      </c>
    </row>
    <row r="4168" spans="1:14">
      <c r="A4168" t="s">
        <v>225</v>
      </c>
      <c r="B4168" t="s">
        <v>4306</v>
      </c>
      <c r="C4168">
        <f>"NFERRO100"</f>
        <v>0</v>
      </c>
      <c r="D4168">
        <v>0</v>
      </c>
      <c r="E4168">
        <v>0</v>
      </c>
      <c r="F4168" s="2">
        <v>0</v>
      </c>
      <c r="H4168">
        <v>0</v>
      </c>
      <c r="I4168">
        <v>0.1741125760648204</v>
      </c>
      <c r="J4168">
        <v>0</v>
      </c>
      <c r="K4168">
        <v>0</v>
      </c>
      <c r="L4168" s="2">
        <v>0</v>
      </c>
      <c r="M4168">
        <v>43.55</v>
      </c>
      <c r="N4168" t="s">
        <v>10236</v>
      </c>
    </row>
    <row r="4169" spans="1:14">
      <c r="A4169" t="s">
        <v>193</v>
      </c>
      <c r="B4169" t="s">
        <v>4307</v>
      </c>
      <c r="C4169">
        <f>"564844"</f>
        <v>0</v>
      </c>
      <c r="D4169">
        <v>0</v>
      </c>
      <c r="E4169">
        <v>0</v>
      </c>
      <c r="F4169" s="2">
        <v>0</v>
      </c>
      <c r="H4169">
        <v>0</v>
      </c>
      <c r="I4169">
        <v>0.1741125760648204</v>
      </c>
      <c r="J4169">
        <v>0</v>
      </c>
      <c r="K4169">
        <v>0</v>
      </c>
      <c r="L4169" s="2">
        <v>0</v>
      </c>
      <c r="M4169">
        <v>43.56</v>
      </c>
      <c r="N4169" t="s">
        <v>10236</v>
      </c>
    </row>
    <row r="4170" spans="1:14">
      <c r="A4170" t="s">
        <v>192</v>
      </c>
      <c r="B4170" t="s">
        <v>4308</v>
      </c>
      <c r="C4170">
        <f>"NMAEIN"</f>
        <v>0</v>
      </c>
      <c r="D4170">
        <v>0</v>
      </c>
      <c r="E4170">
        <v>0</v>
      </c>
      <c r="F4170" s="2">
        <v>0</v>
      </c>
      <c r="H4170">
        <v>0</v>
      </c>
      <c r="I4170">
        <v>0.1741125760648204</v>
      </c>
      <c r="J4170">
        <v>0</v>
      </c>
      <c r="K4170">
        <v>0</v>
      </c>
      <c r="L4170" s="2">
        <v>0</v>
      </c>
      <c r="M4170">
        <v>43.57</v>
      </c>
      <c r="N4170" t="s">
        <v>10236</v>
      </c>
    </row>
    <row r="4171" spans="1:14">
      <c r="A4171" t="s">
        <v>192</v>
      </c>
      <c r="B4171" t="s">
        <v>4309</v>
      </c>
      <c r="C4171">
        <f>"201836"</f>
        <v>0</v>
      </c>
      <c r="D4171">
        <v>0</v>
      </c>
      <c r="E4171">
        <v>0</v>
      </c>
      <c r="F4171" s="2">
        <v>0</v>
      </c>
      <c r="H4171">
        <v>0</v>
      </c>
      <c r="I4171">
        <v>0.1741125760648204</v>
      </c>
      <c r="J4171">
        <v>0</v>
      </c>
      <c r="K4171">
        <v>0</v>
      </c>
      <c r="L4171" s="2">
        <v>0</v>
      </c>
      <c r="M4171">
        <v>43.58</v>
      </c>
      <c r="N4171" t="s">
        <v>10236</v>
      </c>
    </row>
    <row r="4172" spans="1:14">
      <c r="A4172" t="s">
        <v>192</v>
      </c>
      <c r="B4172" t="s">
        <v>4310</v>
      </c>
      <c r="C4172">
        <f>"201835"</f>
        <v>0</v>
      </c>
      <c r="D4172">
        <v>0</v>
      </c>
      <c r="E4172">
        <v>0</v>
      </c>
      <c r="F4172" s="2">
        <v>0</v>
      </c>
      <c r="H4172">
        <v>0</v>
      </c>
      <c r="I4172">
        <v>0.1741125760648204</v>
      </c>
      <c r="J4172">
        <v>0</v>
      </c>
      <c r="K4172">
        <v>0</v>
      </c>
      <c r="L4172" s="2">
        <v>0</v>
      </c>
      <c r="M4172">
        <v>43.59</v>
      </c>
      <c r="N4172" t="s">
        <v>10236</v>
      </c>
    </row>
    <row r="4173" spans="1:14">
      <c r="A4173" t="s">
        <v>192</v>
      </c>
      <c r="B4173" t="s">
        <v>4311</v>
      </c>
      <c r="C4173">
        <f>"201841"</f>
        <v>0</v>
      </c>
      <c r="D4173">
        <v>0</v>
      </c>
      <c r="E4173">
        <v>0</v>
      </c>
      <c r="F4173" s="2">
        <v>0</v>
      </c>
      <c r="H4173">
        <v>0</v>
      </c>
      <c r="I4173">
        <v>0.1741125760648204</v>
      </c>
      <c r="J4173">
        <v>0</v>
      </c>
      <c r="K4173">
        <v>0</v>
      </c>
      <c r="L4173" s="2">
        <v>0</v>
      </c>
      <c r="M4173">
        <v>43.59</v>
      </c>
      <c r="N4173" t="s">
        <v>10236</v>
      </c>
    </row>
    <row r="4174" spans="1:14">
      <c r="A4174" t="s">
        <v>25</v>
      </c>
      <c r="B4174" t="s">
        <v>4312</v>
      </c>
      <c r="C4174">
        <f>"201842"</f>
        <v>0</v>
      </c>
      <c r="D4174">
        <v>0</v>
      </c>
      <c r="E4174">
        <v>0</v>
      </c>
      <c r="F4174" s="2">
        <v>0</v>
      </c>
      <c r="H4174">
        <v>0</v>
      </c>
      <c r="I4174">
        <v>0.1741125760648204</v>
      </c>
      <c r="J4174">
        <v>0</v>
      </c>
      <c r="K4174">
        <v>0</v>
      </c>
      <c r="L4174" s="2">
        <v>0</v>
      </c>
      <c r="M4174">
        <v>43.6</v>
      </c>
      <c r="N4174" t="s">
        <v>10236</v>
      </c>
    </row>
    <row r="4175" spans="1:14">
      <c r="A4175" t="s">
        <v>26</v>
      </c>
      <c r="B4175" t="s">
        <v>4313</v>
      </c>
      <c r="C4175">
        <f>"NPGM"</f>
        <v>0</v>
      </c>
      <c r="D4175">
        <v>0</v>
      </c>
      <c r="E4175">
        <v>0</v>
      </c>
      <c r="F4175" s="2">
        <v>0</v>
      </c>
      <c r="H4175">
        <v>0</v>
      </c>
      <c r="I4175">
        <v>0.1741125760648204</v>
      </c>
      <c r="J4175">
        <v>0</v>
      </c>
      <c r="K4175">
        <v>0</v>
      </c>
      <c r="L4175" s="2">
        <v>0</v>
      </c>
      <c r="M4175">
        <v>43.61</v>
      </c>
      <c r="N4175" t="s">
        <v>10236</v>
      </c>
    </row>
    <row r="4176" spans="1:14">
      <c r="A4176" t="s">
        <v>26</v>
      </c>
      <c r="B4176" t="s">
        <v>4314</v>
      </c>
      <c r="C4176">
        <f>"NGPLL"</f>
        <v>0</v>
      </c>
      <c r="D4176">
        <v>0</v>
      </c>
      <c r="E4176">
        <v>0</v>
      </c>
      <c r="F4176" s="2">
        <v>0</v>
      </c>
      <c r="H4176">
        <v>0</v>
      </c>
      <c r="I4176">
        <v>0.1741125760648204</v>
      </c>
      <c r="J4176">
        <v>0</v>
      </c>
      <c r="K4176">
        <v>0</v>
      </c>
      <c r="L4176" s="2">
        <v>0</v>
      </c>
      <c r="M4176">
        <v>43.62</v>
      </c>
      <c r="N4176" t="s">
        <v>10236</v>
      </c>
    </row>
    <row r="4177" spans="1:14">
      <c r="A4177" t="s">
        <v>192</v>
      </c>
      <c r="B4177" t="s">
        <v>3662</v>
      </c>
      <c r="C4177">
        <f>"618166"</f>
        <v>0</v>
      </c>
      <c r="D4177">
        <v>0</v>
      </c>
      <c r="E4177">
        <v>0</v>
      </c>
      <c r="F4177" s="2">
        <v>0</v>
      </c>
      <c r="H4177">
        <v>0</v>
      </c>
      <c r="I4177">
        <v>0.1741125760648204</v>
      </c>
      <c r="J4177">
        <v>0</v>
      </c>
      <c r="K4177">
        <v>0</v>
      </c>
      <c r="L4177" s="2">
        <v>0</v>
      </c>
      <c r="M4177">
        <v>43.63</v>
      </c>
      <c r="N4177" t="s">
        <v>10236</v>
      </c>
    </row>
    <row r="4178" spans="1:14">
      <c r="A4178" t="s">
        <v>192</v>
      </c>
      <c r="B4178" t="s">
        <v>4315</v>
      </c>
      <c r="C4178">
        <f>"201839"</f>
        <v>0</v>
      </c>
      <c r="D4178">
        <v>0</v>
      </c>
      <c r="E4178">
        <v>0</v>
      </c>
      <c r="F4178" s="2">
        <v>0</v>
      </c>
      <c r="H4178">
        <v>0</v>
      </c>
      <c r="I4178">
        <v>0.1741125760648204</v>
      </c>
      <c r="J4178">
        <v>0</v>
      </c>
      <c r="K4178">
        <v>0</v>
      </c>
      <c r="L4178" s="2">
        <v>0</v>
      </c>
      <c r="M4178">
        <v>43.64</v>
      </c>
      <c r="N4178" t="s">
        <v>10236</v>
      </c>
    </row>
    <row r="4179" spans="1:14">
      <c r="A4179" t="s">
        <v>192</v>
      </c>
      <c r="B4179" t="s">
        <v>4315</v>
      </c>
      <c r="C4179">
        <f>"618212"</f>
        <v>0</v>
      </c>
      <c r="D4179">
        <v>0</v>
      </c>
      <c r="E4179">
        <v>0</v>
      </c>
      <c r="F4179" s="2">
        <v>0</v>
      </c>
      <c r="H4179">
        <v>0</v>
      </c>
      <c r="I4179">
        <v>0.1741125760648204</v>
      </c>
      <c r="J4179">
        <v>0</v>
      </c>
      <c r="K4179">
        <v>0</v>
      </c>
      <c r="L4179" s="2">
        <v>0</v>
      </c>
      <c r="M4179">
        <v>43.65</v>
      </c>
      <c r="N4179" t="s">
        <v>10236</v>
      </c>
    </row>
    <row r="4180" spans="1:14">
      <c r="A4180" t="s">
        <v>194</v>
      </c>
      <c r="B4180" t="s">
        <v>4316</v>
      </c>
      <c r="C4180">
        <f>"11200600200"</f>
        <v>0</v>
      </c>
      <c r="D4180">
        <v>0</v>
      </c>
      <c r="E4180">
        <v>0</v>
      </c>
      <c r="F4180" s="2">
        <v>0</v>
      </c>
      <c r="H4180">
        <v>0</v>
      </c>
      <c r="I4180">
        <v>0.1741125760648204</v>
      </c>
      <c r="J4180">
        <v>0</v>
      </c>
      <c r="K4180">
        <v>0</v>
      </c>
      <c r="L4180" s="2">
        <v>0</v>
      </c>
      <c r="M4180">
        <v>43.66</v>
      </c>
      <c r="N4180" t="s">
        <v>10236</v>
      </c>
    </row>
    <row r="4181" spans="1:14">
      <c r="A4181" t="s">
        <v>213</v>
      </c>
      <c r="B4181" t="s">
        <v>4317</v>
      </c>
      <c r="C4181">
        <f>"400575"</f>
        <v>0</v>
      </c>
      <c r="D4181">
        <v>0</v>
      </c>
      <c r="E4181">
        <v>0</v>
      </c>
      <c r="F4181" s="2">
        <v>0</v>
      </c>
      <c r="H4181">
        <v>0</v>
      </c>
      <c r="I4181">
        <v>0.1741125760648204</v>
      </c>
      <c r="J4181">
        <v>0</v>
      </c>
      <c r="K4181">
        <v>0</v>
      </c>
      <c r="L4181" s="2">
        <v>0</v>
      </c>
      <c r="M4181">
        <v>43.67</v>
      </c>
      <c r="N4181" t="s">
        <v>10236</v>
      </c>
    </row>
    <row r="4182" spans="1:14">
      <c r="A4182" t="s">
        <v>29</v>
      </c>
      <c r="B4182" t="s">
        <v>4318</v>
      </c>
      <c r="C4182">
        <f>"PMN25"</f>
        <v>0</v>
      </c>
      <c r="D4182">
        <v>0</v>
      </c>
      <c r="E4182">
        <v>4</v>
      </c>
      <c r="F4182" s="2">
        <v>2</v>
      </c>
      <c r="H4182">
        <v>0</v>
      </c>
      <c r="I4182">
        <v>0.1741125760648204</v>
      </c>
      <c r="J4182">
        <v>0</v>
      </c>
      <c r="K4182">
        <v>0</v>
      </c>
      <c r="L4182" s="2">
        <v>0</v>
      </c>
      <c r="M4182">
        <v>43.68</v>
      </c>
      <c r="N4182" t="s">
        <v>10236</v>
      </c>
    </row>
    <row r="4183" spans="1:14">
      <c r="A4183" t="s">
        <v>225</v>
      </c>
      <c r="B4183" t="s">
        <v>4319</v>
      </c>
      <c r="C4183">
        <f>"NL500"</f>
        <v>0</v>
      </c>
      <c r="D4183">
        <v>0</v>
      </c>
      <c r="E4183">
        <v>1</v>
      </c>
      <c r="F4183" s="2">
        <v>12</v>
      </c>
      <c r="H4183">
        <v>0</v>
      </c>
      <c r="I4183">
        <v>0.1741125760648204</v>
      </c>
      <c r="J4183">
        <v>0</v>
      </c>
      <c r="K4183">
        <v>0</v>
      </c>
      <c r="L4183" s="2">
        <v>0</v>
      </c>
      <c r="M4183">
        <v>43.69</v>
      </c>
      <c r="N4183" t="s">
        <v>10236</v>
      </c>
    </row>
    <row r="4184" spans="1:14">
      <c r="A4184" t="s">
        <v>35</v>
      </c>
      <c r="B4184" t="s">
        <v>4320</v>
      </c>
      <c r="C4184">
        <f>"018214836636"</f>
        <v>0</v>
      </c>
      <c r="D4184">
        <v>0</v>
      </c>
      <c r="E4184">
        <v>0</v>
      </c>
      <c r="F4184" s="2">
        <v>0</v>
      </c>
      <c r="H4184">
        <v>0</v>
      </c>
      <c r="I4184">
        <v>0.1741125760648204</v>
      </c>
      <c r="J4184">
        <v>0</v>
      </c>
      <c r="K4184">
        <v>0</v>
      </c>
      <c r="L4184" s="2">
        <v>0</v>
      </c>
      <c r="M4184">
        <v>43.7</v>
      </c>
      <c r="N4184" t="s">
        <v>10236</v>
      </c>
    </row>
    <row r="4185" spans="1:14">
      <c r="A4185" t="s">
        <v>35</v>
      </c>
      <c r="B4185" t="s">
        <v>4321</v>
      </c>
      <c r="C4185">
        <f>"LSAM"</f>
        <v>0</v>
      </c>
      <c r="D4185">
        <v>0</v>
      </c>
      <c r="E4185">
        <v>0</v>
      </c>
      <c r="F4185" s="2">
        <v>0</v>
      </c>
      <c r="H4185">
        <v>0</v>
      </c>
      <c r="I4185">
        <v>0.1741125760648204</v>
      </c>
      <c r="J4185">
        <v>0</v>
      </c>
      <c r="K4185">
        <v>0</v>
      </c>
      <c r="L4185" s="2">
        <v>0</v>
      </c>
      <c r="M4185">
        <v>43.71</v>
      </c>
      <c r="N4185" t="s">
        <v>10236</v>
      </c>
    </row>
    <row r="4186" spans="1:14">
      <c r="A4186" t="s">
        <v>35</v>
      </c>
      <c r="B4186" t="s">
        <v>4322</v>
      </c>
      <c r="C4186">
        <f>"LS8L"</f>
        <v>0</v>
      </c>
      <c r="D4186">
        <v>0</v>
      </c>
      <c r="E4186">
        <v>0</v>
      </c>
      <c r="F4186" s="2">
        <v>0</v>
      </c>
      <c r="H4186">
        <v>0</v>
      </c>
      <c r="I4186">
        <v>0.1741125760648204</v>
      </c>
      <c r="J4186">
        <v>0</v>
      </c>
      <c r="K4186">
        <v>0</v>
      </c>
      <c r="L4186" s="2">
        <v>0</v>
      </c>
      <c r="M4186">
        <v>43.71</v>
      </c>
      <c r="N4186" t="s">
        <v>10236</v>
      </c>
    </row>
    <row r="4187" spans="1:14">
      <c r="A4187" t="s">
        <v>35</v>
      </c>
      <c r="B4187" t="s">
        <v>4323</v>
      </c>
      <c r="C4187">
        <f>"LSAL"</f>
        <v>0</v>
      </c>
      <c r="D4187">
        <v>0</v>
      </c>
      <c r="E4187">
        <v>0</v>
      </c>
      <c r="F4187" s="2">
        <v>0</v>
      </c>
      <c r="H4187">
        <v>0</v>
      </c>
      <c r="I4187">
        <v>0.1741125760648204</v>
      </c>
      <c r="J4187">
        <v>0</v>
      </c>
      <c r="K4187">
        <v>0</v>
      </c>
      <c r="L4187" s="2">
        <v>0</v>
      </c>
      <c r="M4187">
        <v>43.72</v>
      </c>
      <c r="N4187" t="s">
        <v>10236</v>
      </c>
    </row>
    <row r="4188" spans="1:14">
      <c r="A4188" t="s">
        <v>28</v>
      </c>
      <c r="B4188" t="s">
        <v>4324</v>
      </c>
      <c r="C4188">
        <f>"LS20BB"</f>
        <v>0</v>
      </c>
      <c r="D4188">
        <v>0</v>
      </c>
      <c r="E4188">
        <v>0</v>
      </c>
      <c r="F4188" s="2">
        <v>0</v>
      </c>
      <c r="H4188">
        <v>0</v>
      </c>
      <c r="I4188">
        <v>0.1741125760648204</v>
      </c>
      <c r="J4188">
        <v>0</v>
      </c>
      <c r="K4188">
        <v>0</v>
      </c>
      <c r="L4188" s="2">
        <v>0</v>
      </c>
      <c r="M4188">
        <v>43.73</v>
      </c>
      <c r="N4188" t="s">
        <v>10236</v>
      </c>
    </row>
    <row r="4189" spans="1:14">
      <c r="A4189" t="s">
        <v>37</v>
      </c>
      <c r="B4189" t="s">
        <v>4325</v>
      </c>
      <c r="C4189">
        <f>"560489"</f>
        <v>0</v>
      </c>
      <c r="D4189">
        <v>0</v>
      </c>
      <c r="E4189">
        <v>3</v>
      </c>
      <c r="F4189" s="2">
        <v>3</v>
      </c>
      <c r="H4189">
        <v>0</v>
      </c>
      <c r="I4189">
        <v>0.1741125760648204</v>
      </c>
      <c r="J4189">
        <v>0</v>
      </c>
      <c r="K4189">
        <v>0</v>
      </c>
      <c r="L4189" s="2">
        <v>0</v>
      </c>
      <c r="M4189">
        <v>43.74</v>
      </c>
      <c r="N4189" t="s">
        <v>10236</v>
      </c>
    </row>
    <row r="4190" spans="1:14">
      <c r="A4190" t="s">
        <v>37</v>
      </c>
      <c r="B4190" t="s">
        <v>4326</v>
      </c>
      <c r="C4190">
        <f>"560488"</f>
        <v>0</v>
      </c>
      <c r="D4190">
        <v>0</v>
      </c>
      <c r="E4190">
        <v>3</v>
      </c>
      <c r="F4190" s="2">
        <v>3</v>
      </c>
      <c r="H4190">
        <v>0</v>
      </c>
      <c r="I4190">
        <v>0.1741125760648204</v>
      </c>
      <c r="J4190">
        <v>0</v>
      </c>
      <c r="K4190">
        <v>0</v>
      </c>
      <c r="L4190" s="2">
        <v>0</v>
      </c>
      <c r="M4190">
        <v>43.75</v>
      </c>
      <c r="N4190" t="s">
        <v>10236</v>
      </c>
    </row>
    <row r="4191" spans="1:14">
      <c r="A4191" t="s">
        <v>37</v>
      </c>
      <c r="B4191" t="s">
        <v>4327</v>
      </c>
      <c r="C4191">
        <f>"560450"</f>
        <v>0</v>
      </c>
      <c r="D4191">
        <v>0</v>
      </c>
      <c r="E4191">
        <v>0</v>
      </c>
      <c r="F4191" s="2">
        <v>0</v>
      </c>
      <c r="H4191">
        <v>0</v>
      </c>
      <c r="I4191">
        <v>0.1741125760648204</v>
      </c>
      <c r="J4191">
        <v>0</v>
      </c>
      <c r="K4191">
        <v>0</v>
      </c>
      <c r="L4191" s="2">
        <v>0</v>
      </c>
      <c r="M4191">
        <v>43.76</v>
      </c>
      <c r="N4191" t="s">
        <v>10236</v>
      </c>
    </row>
    <row r="4192" spans="1:14">
      <c r="A4192" t="s">
        <v>192</v>
      </c>
      <c r="B4192" t="s">
        <v>4328</v>
      </c>
      <c r="C4192">
        <f>"890806"</f>
        <v>0</v>
      </c>
      <c r="D4192">
        <v>0</v>
      </c>
      <c r="E4192">
        <v>0</v>
      </c>
      <c r="F4192" s="2">
        <v>0</v>
      </c>
      <c r="H4192">
        <v>0</v>
      </c>
      <c r="I4192">
        <v>0.1741125760648204</v>
      </c>
      <c r="J4192">
        <v>0</v>
      </c>
      <c r="K4192">
        <v>0</v>
      </c>
      <c r="L4192" s="2">
        <v>0</v>
      </c>
      <c r="M4192">
        <v>43.77</v>
      </c>
      <c r="N4192" t="s">
        <v>10236</v>
      </c>
    </row>
    <row r="4193" spans="1:14">
      <c r="A4193" t="s">
        <v>192</v>
      </c>
      <c r="B4193" t="s">
        <v>4329</v>
      </c>
      <c r="C4193">
        <f>"611003"</f>
        <v>0</v>
      </c>
      <c r="D4193">
        <v>0</v>
      </c>
      <c r="E4193">
        <v>0</v>
      </c>
      <c r="F4193" s="2">
        <v>0</v>
      </c>
      <c r="H4193">
        <v>0</v>
      </c>
      <c r="I4193">
        <v>0.1741125760648204</v>
      </c>
      <c r="J4193">
        <v>0</v>
      </c>
      <c r="K4193">
        <v>0</v>
      </c>
      <c r="L4193" s="2">
        <v>0</v>
      </c>
      <c r="M4193">
        <v>43.78</v>
      </c>
      <c r="N4193" t="s">
        <v>10236</v>
      </c>
    </row>
    <row r="4194" spans="1:14">
      <c r="A4194" t="s">
        <v>192</v>
      </c>
      <c r="B4194" t="s">
        <v>4330</v>
      </c>
      <c r="C4194">
        <f>"601001"</f>
        <v>0</v>
      </c>
      <c r="D4194">
        <v>0</v>
      </c>
      <c r="E4194">
        <v>0</v>
      </c>
      <c r="F4194" s="2">
        <v>0</v>
      </c>
      <c r="H4194">
        <v>0</v>
      </c>
      <c r="I4194">
        <v>0.1741125760648204</v>
      </c>
      <c r="J4194">
        <v>0</v>
      </c>
      <c r="K4194">
        <v>0</v>
      </c>
      <c r="L4194" s="2">
        <v>0</v>
      </c>
      <c r="M4194">
        <v>43.79</v>
      </c>
      <c r="N4194" t="s">
        <v>10236</v>
      </c>
    </row>
    <row r="4195" spans="1:14">
      <c r="A4195" t="s">
        <v>192</v>
      </c>
      <c r="B4195" t="s">
        <v>4331</v>
      </c>
      <c r="C4195">
        <f>"611002"</f>
        <v>0</v>
      </c>
      <c r="D4195">
        <v>0</v>
      </c>
      <c r="E4195">
        <v>0</v>
      </c>
      <c r="F4195" s="2">
        <v>0</v>
      </c>
      <c r="H4195">
        <v>0</v>
      </c>
      <c r="I4195">
        <v>0.1741125760648204</v>
      </c>
      <c r="J4195">
        <v>0</v>
      </c>
      <c r="K4195">
        <v>0</v>
      </c>
      <c r="L4195" s="2">
        <v>0</v>
      </c>
      <c r="M4195">
        <v>43.8</v>
      </c>
      <c r="N4195" t="s">
        <v>10236</v>
      </c>
    </row>
    <row r="4196" spans="1:14">
      <c r="A4196" t="s">
        <v>192</v>
      </c>
      <c r="B4196" t="s">
        <v>4332</v>
      </c>
      <c r="C4196">
        <f>"890803"</f>
        <v>0</v>
      </c>
      <c r="D4196">
        <v>0</v>
      </c>
      <c r="E4196">
        <v>0</v>
      </c>
      <c r="F4196" s="2">
        <v>0</v>
      </c>
      <c r="H4196">
        <v>0</v>
      </c>
      <c r="I4196">
        <v>0.1741125760648204</v>
      </c>
      <c r="J4196">
        <v>0</v>
      </c>
      <c r="K4196">
        <v>0</v>
      </c>
      <c r="L4196" s="2">
        <v>0</v>
      </c>
      <c r="M4196">
        <v>43.81</v>
      </c>
      <c r="N4196" t="s">
        <v>10236</v>
      </c>
    </row>
    <row r="4197" spans="1:14">
      <c r="A4197" t="s">
        <v>192</v>
      </c>
      <c r="B4197" t="s">
        <v>4333</v>
      </c>
      <c r="C4197">
        <f>"618069"</f>
        <v>0</v>
      </c>
      <c r="D4197">
        <v>0</v>
      </c>
      <c r="E4197">
        <v>0</v>
      </c>
      <c r="F4197" s="2">
        <v>0</v>
      </c>
      <c r="H4197">
        <v>0</v>
      </c>
      <c r="I4197">
        <v>0.1741125760648204</v>
      </c>
      <c r="J4197">
        <v>0</v>
      </c>
      <c r="K4197">
        <v>0</v>
      </c>
      <c r="L4197" s="2">
        <v>0</v>
      </c>
      <c r="M4197">
        <v>43.82</v>
      </c>
      <c r="N4197" t="s">
        <v>10236</v>
      </c>
    </row>
    <row r="4198" spans="1:14">
      <c r="A4198" t="s">
        <v>192</v>
      </c>
      <c r="B4198" t="s">
        <v>4334</v>
      </c>
      <c r="C4198">
        <f>"619205"</f>
        <v>0</v>
      </c>
      <c r="D4198">
        <v>0</v>
      </c>
      <c r="E4198">
        <v>0</v>
      </c>
      <c r="F4198" s="2">
        <v>0</v>
      </c>
      <c r="H4198">
        <v>0</v>
      </c>
      <c r="I4198">
        <v>0.1741125760648204</v>
      </c>
      <c r="J4198">
        <v>0</v>
      </c>
      <c r="K4198">
        <v>0</v>
      </c>
      <c r="L4198" s="2">
        <v>0</v>
      </c>
      <c r="M4198">
        <v>43.83</v>
      </c>
      <c r="N4198" t="s">
        <v>10236</v>
      </c>
    </row>
    <row r="4199" spans="1:14">
      <c r="A4199" t="s">
        <v>192</v>
      </c>
      <c r="B4199" t="s">
        <v>4334</v>
      </c>
      <c r="C4199">
        <f>"619191"</f>
        <v>0</v>
      </c>
      <c r="D4199">
        <v>0</v>
      </c>
      <c r="E4199">
        <v>0</v>
      </c>
      <c r="F4199" s="2">
        <v>0</v>
      </c>
      <c r="H4199">
        <v>0</v>
      </c>
      <c r="I4199">
        <v>0.1741125760648204</v>
      </c>
      <c r="J4199">
        <v>0</v>
      </c>
      <c r="K4199">
        <v>0</v>
      </c>
      <c r="L4199" s="2">
        <v>0</v>
      </c>
      <c r="M4199">
        <v>43.83</v>
      </c>
      <c r="N4199" t="s">
        <v>10236</v>
      </c>
    </row>
    <row r="4200" spans="1:14">
      <c r="A4200" t="s">
        <v>194</v>
      </c>
      <c r="B4200" t="s">
        <v>4335</v>
      </c>
      <c r="C4200">
        <f>"2260520"</f>
        <v>0</v>
      </c>
      <c r="D4200">
        <v>0</v>
      </c>
      <c r="E4200">
        <v>0</v>
      </c>
      <c r="F4200" s="2">
        <v>0</v>
      </c>
      <c r="H4200">
        <v>0</v>
      </c>
      <c r="I4200">
        <v>0.1741125760648204</v>
      </c>
      <c r="J4200">
        <v>0</v>
      </c>
      <c r="K4200">
        <v>0</v>
      </c>
      <c r="L4200" s="2">
        <v>0</v>
      </c>
      <c r="M4200">
        <v>43.84</v>
      </c>
      <c r="N4200" t="s">
        <v>10236</v>
      </c>
    </row>
    <row r="4201" spans="1:14">
      <c r="A4201" t="s">
        <v>35</v>
      </c>
      <c r="B4201" t="s">
        <v>4336</v>
      </c>
      <c r="C4201">
        <f>"018214813033"</f>
        <v>0</v>
      </c>
      <c r="D4201">
        <v>0</v>
      </c>
      <c r="E4201">
        <v>0</v>
      </c>
      <c r="F4201" s="2">
        <v>0</v>
      </c>
      <c r="H4201">
        <v>0</v>
      </c>
      <c r="I4201">
        <v>0.1741125760648204</v>
      </c>
      <c r="J4201">
        <v>0</v>
      </c>
      <c r="K4201">
        <v>0</v>
      </c>
      <c r="L4201" s="2">
        <v>0</v>
      </c>
      <c r="M4201">
        <v>43.85</v>
      </c>
      <c r="N4201" t="s">
        <v>10236</v>
      </c>
    </row>
    <row r="4202" spans="1:14">
      <c r="A4202" t="s">
        <v>35</v>
      </c>
      <c r="B4202" t="s">
        <v>4337</v>
      </c>
      <c r="C4202">
        <f>"018214836605"</f>
        <v>0</v>
      </c>
      <c r="D4202">
        <v>0</v>
      </c>
      <c r="E4202">
        <v>1</v>
      </c>
      <c r="F4202" s="2">
        <v>0</v>
      </c>
      <c r="H4202">
        <v>0</v>
      </c>
      <c r="I4202">
        <v>0.1741125760648204</v>
      </c>
      <c r="J4202">
        <v>0</v>
      </c>
      <c r="K4202">
        <v>0</v>
      </c>
      <c r="L4202" s="2">
        <v>0</v>
      </c>
      <c r="M4202">
        <v>43.86</v>
      </c>
      <c r="N4202" t="s">
        <v>10236</v>
      </c>
    </row>
    <row r="4203" spans="1:14">
      <c r="A4203" t="s">
        <v>35</v>
      </c>
      <c r="B4203" t="s">
        <v>4338</v>
      </c>
      <c r="C4203">
        <f>"018214833673"</f>
        <v>0</v>
      </c>
      <c r="D4203">
        <v>0</v>
      </c>
      <c r="E4203">
        <v>2</v>
      </c>
      <c r="F4203" s="2">
        <v>0</v>
      </c>
      <c r="H4203">
        <v>0</v>
      </c>
      <c r="I4203">
        <v>0.1741125760648204</v>
      </c>
      <c r="J4203">
        <v>0</v>
      </c>
      <c r="K4203">
        <v>0</v>
      </c>
      <c r="L4203" s="2">
        <v>0</v>
      </c>
      <c r="M4203">
        <v>43.87</v>
      </c>
      <c r="N4203" t="s">
        <v>10236</v>
      </c>
    </row>
    <row r="4204" spans="1:14">
      <c r="A4204" t="s">
        <v>35</v>
      </c>
      <c r="B4204" t="s">
        <v>4339</v>
      </c>
      <c r="C4204">
        <f>"018214833666"</f>
        <v>0</v>
      </c>
      <c r="D4204">
        <v>0</v>
      </c>
      <c r="E4204">
        <v>0</v>
      </c>
      <c r="F4204" s="2">
        <v>0</v>
      </c>
      <c r="H4204">
        <v>0</v>
      </c>
      <c r="I4204">
        <v>0.1741125760648204</v>
      </c>
      <c r="J4204">
        <v>0</v>
      </c>
      <c r="K4204">
        <v>0</v>
      </c>
      <c r="L4204" s="2">
        <v>0</v>
      </c>
      <c r="M4204">
        <v>43.88</v>
      </c>
      <c r="N4204" t="s">
        <v>10236</v>
      </c>
    </row>
    <row r="4205" spans="1:14">
      <c r="A4205" t="s">
        <v>225</v>
      </c>
      <c r="B4205" t="s">
        <v>4340</v>
      </c>
      <c r="C4205">
        <f>"NFERRO250"</f>
        <v>0</v>
      </c>
      <c r="D4205">
        <v>0</v>
      </c>
      <c r="E4205">
        <v>1</v>
      </c>
      <c r="F4205" s="2">
        <v>3</v>
      </c>
      <c r="H4205">
        <v>0</v>
      </c>
      <c r="I4205">
        <v>0.1741125760648204</v>
      </c>
      <c r="J4205">
        <v>0</v>
      </c>
      <c r="K4205">
        <v>0</v>
      </c>
      <c r="L4205" s="2">
        <v>0</v>
      </c>
      <c r="M4205">
        <v>43.89</v>
      </c>
      <c r="N4205" t="s">
        <v>10236</v>
      </c>
    </row>
    <row r="4206" spans="1:14">
      <c r="A4206" t="s">
        <v>218</v>
      </c>
      <c r="B4206" t="s">
        <v>4341</v>
      </c>
      <c r="C4206">
        <f>"5005587"</f>
        <v>0</v>
      </c>
      <c r="D4206">
        <v>0</v>
      </c>
      <c r="E4206">
        <v>0</v>
      </c>
      <c r="F4206" s="2">
        <v>0</v>
      </c>
      <c r="H4206">
        <v>0</v>
      </c>
      <c r="I4206">
        <v>0.1741125760648204</v>
      </c>
      <c r="J4206">
        <v>0</v>
      </c>
      <c r="K4206">
        <v>0</v>
      </c>
      <c r="L4206" s="2">
        <v>0</v>
      </c>
      <c r="M4206">
        <v>43.9</v>
      </c>
      <c r="N4206" t="s">
        <v>10236</v>
      </c>
    </row>
    <row r="4207" spans="1:14">
      <c r="A4207" t="s">
        <v>225</v>
      </c>
      <c r="B4207" t="s">
        <v>4342</v>
      </c>
      <c r="C4207">
        <f>"NOP400"</f>
        <v>0</v>
      </c>
      <c r="D4207">
        <v>0</v>
      </c>
      <c r="E4207">
        <v>8</v>
      </c>
      <c r="F4207" s="2">
        <v>0</v>
      </c>
      <c r="H4207">
        <v>0</v>
      </c>
      <c r="I4207">
        <v>0.1741125760648204</v>
      </c>
      <c r="J4207">
        <v>0</v>
      </c>
      <c r="K4207">
        <v>0</v>
      </c>
      <c r="L4207" s="2">
        <v>0</v>
      </c>
      <c r="M4207">
        <v>43.91</v>
      </c>
      <c r="N4207" t="s">
        <v>10236</v>
      </c>
    </row>
    <row r="4208" spans="1:14">
      <c r="A4208" t="s">
        <v>225</v>
      </c>
      <c r="B4208" t="s">
        <v>4343</v>
      </c>
      <c r="C4208">
        <f>"NOP200"</f>
        <v>0</v>
      </c>
      <c r="D4208">
        <v>0</v>
      </c>
      <c r="E4208">
        <v>7</v>
      </c>
      <c r="F4208" s="2">
        <v>1</v>
      </c>
      <c r="H4208">
        <v>0</v>
      </c>
      <c r="I4208">
        <v>0.1741125760648204</v>
      </c>
      <c r="J4208">
        <v>0</v>
      </c>
      <c r="K4208">
        <v>0</v>
      </c>
      <c r="L4208" s="2">
        <v>0</v>
      </c>
      <c r="M4208">
        <v>43.92</v>
      </c>
      <c r="N4208" t="s">
        <v>10236</v>
      </c>
    </row>
    <row r="4209" spans="1:14">
      <c r="A4209" t="s">
        <v>225</v>
      </c>
      <c r="B4209" t="s">
        <v>4344</v>
      </c>
      <c r="C4209">
        <f>"NON200"</f>
        <v>0</v>
      </c>
      <c r="D4209">
        <v>0</v>
      </c>
      <c r="E4209">
        <v>8</v>
      </c>
      <c r="F4209" s="2">
        <v>6</v>
      </c>
      <c r="H4209">
        <v>0</v>
      </c>
      <c r="I4209">
        <v>0.1741125760648204</v>
      </c>
      <c r="J4209">
        <v>0</v>
      </c>
      <c r="K4209">
        <v>0</v>
      </c>
      <c r="L4209" s="2">
        <v>0</v>
      </c>
      <c r="M4209">
        <v>43.93</v>
      </c>
      <c r="N4209" t="s">
        <v>10236</v>
      </c>
    </row>
    <row r="4210" spans="1:14">
      <c r="A4210" t="s">
        <v>228</v>
      </c>
      <c r="B4210" t="s">
        <v>4345</v>
      </c>
      <c r="C4210">
        <f>"NGT2"</f>
        <v>0</v>
      </c>
      <c r="D4210">
        <v>0</v>
      </c>
      <c r="E4210">
        <v>0</v>
      </c>
      <c r="F4210" s="2">
        <v>0</v>
      </c>
      <c r="H4210">
        <v>0</v>
      </c>
      <c r="I4210">
        <v>0.1741125760648204</v>
      </c>
      <c r="J4210">
        <v>0</v>
      </c>
      <c r="K4210">
        <v>0</v>
      </c>
      <c r="L4210" s="2">
        <v>0</v>
      </c>
      <c r="M4210">
        <v>43.94</v>
      </c>
      <c r="N4210" t="s">
        <v>10236</v>
      </c>
    </row>
    <row r="4211" spans="1:14">
      <c r="A4211" t="s">
        <v>35</v>
      </c>
      <c r="B4211" t="s">
        <v>4346</v>
      </c>
      <c r="C4211">
        <f>"SA1VE"</f>
        <v>0</v>
      </c>
      <c r="D4211">
        <v>0</v>
      </c>
      <c r="E4211">
        <v>1</v>
      </c>
      <c r="F4211" s="2">
        <v>13</v>
      </c>
      <c r="H4211">
        <v>0</v>
      </c>
      <c r="I4211">
        <v>0.1741125760648204</v>
      </c>
      <c r="J4211">
        <v>0</v>
      </c>
      <c r="K4211">
        <v>0</v>
      </c>
      <c r="L4211" s="2">
        <v>0</v>
      </c>
      <c r="M4211">
        <v>43.95</v>
      </c>
      <c r="N4211" t="s">
        <v>10236</v>
      </c>
    </row>
    <row r="4212" spans="1:14">
      <c r="A4212" t="s">
        <v>35</v>
      </c>
      <c r="B4212" t="s">
        <v>4347</v>
      </c>
      <c r="C4212">
        <f>"SA1RO"</f>
        <v>0</v>
      </c>
      <c r="D4212">
        <v>0</v>
      </c>
      <c r="E4212">
        <v>2</v>
      </c>
      <c r="F4212" s="2">
        <v>13</v>
      </c>
      <c r="H4212">
        <v>0</v>
      </c>
      <c r="I4212">
        <v>0.1741125760648204</v>
      </c>
      <c r="J4212">
        <v>0</v>
      </c>
      <c r="K4212">
        <v>0</v>
      </c>
      <c r="L4212" s="2">
        <v>0</v>
      </c>
      <c r="M4212">
        <v>43.95</v>
      </c>
      <c r="N4212" t="s">
        <v>10236</v>
      </c>
    </row>
    <row r="4213" spans="1:14">
      <c r="A4213" t="s">
        <v>35</v>
      </c>
      <c r="B4213" t="s">
        <v>4348</v>
      </c>
      <c r="C4213">
        <f>"BK01SC"</f>
        <v>0</v>
      </c>
      <c r="D4213">
        <v>0</v>
      </c>
      <c r="E4213">
        <v>0</v>
      </c>
      <c r="F4213" s="2">
        <v>0</v>
      </c>
      <c r="H4213">
        <v>0</v>
      </c>
      <c r="I4213">
        <v>0.1741125760648204</v>
      </c>
      <c r="J4213">
        <v>0</v>
      </c>
      <c r="K4213">
        <v>0</v>
      </c>
      <c r="L4213" s="2">
        <v>0</v>
      </c>
      <c r="M4213">
        <v>43.96</v>
      </c>
      <c r="N4213" t="s">
        <v>10236</v>
      </c>
    </row>
    <row r="4214" spans="1:14">
      <c r="A4214" t="s">
        <v>35</v>
      </c>
      <c r="B4214" t="s">
        <v>4349</v>
      </c>
      <c r="C4214">
        <f>"BK01MC"</f>
        <v>0</v>
      </c>
      <c r="D4214">
        <v>0</v>
      </c>
      <c r="E4214">
        <v>0</v>
      </c>
      <c r="F4214" s="2">
        <v>0</v>
      </c>
      <c r="H4214">
        <v>0</v>
      </c>
      <c r="I4214">
        <v>0.1741125760648204</v>
      </c>
      <c r="J4214">
        <v>0</v>
      </c>
      <c r="K4214">
        <v>0</v>
      </c>
      <c r="L4214" s="2">
        <v>0</v>
      </c>
      <c r="M4214">
        <v>43.97</v>
      </c>
      <c r="N4214" t="s">
        <v>10236</v>
      </c>
    </row>
    <row r="4215" spans="1:14">
      <c r="A4215" t="s">
        <v>32</v>
      </c>
      <c r="B4215" t="s">
        <v>4350</v>
      </c>
      <c r="C4215">
        <f>"NUP03"</f>
        <v>0</v>
      </c>
      <c r="D4215">
        <v>0</v>
      </c>
      <c r="E4215">
        <v>0</v>
      </c>
      <c r="F4215" s="2">
        <v>0</v>
      </c>
      <c r="H4215">
        <v>0</v>
      </c>
      <c r="I4215">
        <v>0.1741125760648204</v>
      </c>
      <c r="J4215">
        <v>0</v>
      </c>
      <c r="K4215">
        <v>0</v>
      </c>
      <c r="L4215" s="2">
        <v>0</v>
      </c>
      <c r="M4215">
        <v>43.98</v>
      </c>
      <c r="N4215" t="s">
        <v>10236</v>
      </c>
    </row>
    <row r="4216" spans="1:14">
      <c r="A4216" t="s">
        <v>35</v>
      </c>
      <c r="B4216" t="s">
        <v>4351</v>
      </c>
      <c r="C4216">
        <f>"1966C"</f>
        <v>0</v>
      </c>
      <c r="D4216">
        <v>0</v>
      </c>
      <c r="E4216">
        <v>0</v>
      </c>
      <c r="F4216" s="2">
        <v>0</v>
      </c>
      <c r="H4216">
        <v>0</v>
      </c>
      <c r="I4216">
        <v>0.1741125760648204</v>
      </c>
      <c r="J4216">
        <v>0</v>
      </c>
      <c r="K4216">
        <v>0</v>
      </c>
      <c r="L4216" s="2">
        <v>0</v>
      </c>
      <c r="M4216">
        <v>43.99</v>
      </c>
      <c r="N4216" t="s">
        <v>10236</v>
      </c>
    </row>
    <row r="4217" spans="1:14">
      <c r="A4217" t="s">
        <v>35</v>
      </c>
      <c r="B4217" t="s">
        <v>4352</v>
      </c>
      <c r="C4217">
        <f>"BK01SB"</f>
        <v>0</v>
      </c>
      <c r="D4217">
        <v>0</v>
      </c>
      <c r="E4217">
        <v>0</v>
      </c>
      <c r="F4217" s="2">
        <v>0</v>
      </c>
      <c r="H4217">
        <v>0</v>
      </c>
      <c r="I4217">
        <v>0.1741125760648204</v>
      </c>
      <c r="J4217">
        <v>0</v>
      </c>
      <c r="K4217">
        <v>0</v>
      </c>
      <c r="L4217" s="2">
        <v>0</v>
      </c>
      <c r="M4217">
        <v>44</v>
      </c>
      <c r="N4217" t="s">
        <v>10236</v>
      </c>
    </row>
    <row r="4218" spans="1:14">
      <c r="A4218" t="s">
        <v>35</v>
      </c>
      <c r="B4218" t="s">
        <v>4353</v>
      </c>
      <c r="C4218">
        <f>"BK01MB"</f>
        <v>0</v>
      </c>
      <c r="D4218">
        <v>0</v>
      </c>
      <c r="E4218">
        <v>0</v>
      </c>
      <c r="F4218" s="2">
        <v>0</v>
      </c>
      <c r="H4218">
        <v>0</v>
      </c>
      <c r="I4218">
        <v>0.1741125760648204</v>
      </c>
      <c r="J4218">
        <v>0</v>
      </c>
      <c r="K4218">
        <v>0</v>
      </c>
      <c r="L4218" s="2">
        <v>0</v>
      </c>
      <c r="M4218">
        <v>44.01</v>
      </c>
      <c r="N4218" t="s">
        <v>10236</v>
      </c>
    </row>
    <row r="4219" spans="1:14">
      <c r="A4219" t="s">
        <v>35</v>
      </c>
      <c r="B4219" t="s">
        <v>4354</v>
      </c>
      <c r="C4219">
        <f>"9156ROS"</f>
        <v>0</v>
      </c>
      <c r="D4219">
        <v>0</v>
      </c>
      <c r="E4219">
        <v>0</v>
      </c>
      <c r="F4219" s="2">
        <v>0</v>
      </c>
      <c r="H4219">
        <v>0</v>
      </c>
      <c r="I4219">
        <v>0.1741125760648204</v>
      </c>
      <c r="J4219">
        <v>0</v>
      </c>
      <c r="K4219">
        <v>0</v>
      </c>
      <c r="L4219" s="2">
        <v>0</v>
      </c>
      <c r="M4219">
        <v>44.02</v>
      </c>
      <c r="N4219" t="s">
        <v>10236</v>
      </c>
    </row>
    <row r="4220" spans="1:14">
      <c r="A4220" t="s">
        <v>35</v>
      </c>
      <c r="B4220" t="s">
        <v>4355</v>
      </c>
      <c r="C4220">
        <f>"9156GR"</f>
        <v>0</v>
      </c>
      <c r="D4220">
        <v>0</v>
      </c>
      <c r="E4220">
        <v>0</v>
      </c>
      <c r="F4220" s="2">
        <v>0</v>
      </c>
      <c r="H4220">
        <v>0</v>
      </c>
      <c r="I4220">
        <v>0.1741125760648204</v>
      </c>
      <c r="J4220">
        <v>0</v>
      </c>
      <c r="K4220">
        <v>0</v>
      </c>
      <c r="L4220" s="2">
        <v>0</v>
      </c>
      <c r="M4220">
        <v>44.03</v>
      </c>
      <c r="N4220" t="s">
        <v>10236</v>
      </c>
    </row>
    <row r="4221" spans="1:14">
      <c r="A4221" t="s">
        <v>35</v>
      </c>
      <c r="B4221" t="s">
        <v>4356</v>
      </c>
      <c r="C4221">
        <f>"PT004B"</f>
        <v>0</v>
      </c>
      <c r="D4221">
        <v>0</v>
      </c>
      <c r="E4221">
        <v>1</v>
      </c>
      <c r="F4221" s="2">
        <v>5</v>
      </c>
      <c r="H4221">
        <v>0</v>
      </c>
      <c r="I4221">
        <v>0.1741125760648204</v>
      </c>
      <c r="J4221">
        <v>0</v>
      </c>
      <c r="K4221">
        <v>0</v>
      </c>
      <c r="L4221" s="2">
        <v>0</v>
      </c>
      <c r="M4221">
        <v>44.04</v>
      </c>
      <c r="N4221" t="s">
        <v>10236</v>
      </c>
    </row>
    <row r="4222" spans="1:14">
      <c r="A4222" t="s">
        <v>35</v>
      </c>
      <c r="B4222" t="s">
        <v>4357</v>
      </c>
      <c r="C4222">
        <f>"PT001F"</f>
        <v>0</v>
      </c>
      <c r="D4222">
        <v>0</v>
      </c>
      <c r="E4222">
        <v>0</v>
      </c>
      <c r="F4222" s="2">
        <v>0</v>
      </c>
      <c r="H4222">
        <v>0</v>
      </c>
      <c r="I4222">
        <v>0.1741125760648204</v>
      </c>
      <c r="J4222">
        <v>0</v>
      </c>
      <c r="K4222">
        <v>0</v>
      </c>
      <c r="L4222" s="2">
        <v>0</v>
      </c>
      <c r="M4222">
        <v>44.05</v>
      </c>
      <c r="N4222" t="s">
        <v>10236</v>
      </c>
    </row>
    <row r="4223" spans="1:14">
      <c r="A4223" t="s">
        <v>35</v>
      </c>
      <c r="B4223" t="s">
        <v>4358</v>
      </c>
      <c r="C4223">
        <f>"PT001A"</f>
        <v>0</v>
      </c>
      <c r="D4223">
        <v>0</v>
      </c>
      <c r="E4223">
        <v>0</v>
      </c>
      <c r="F4223" s="2">
        <v>0</v>
      </c>
      <c r="H4223">
        <v>0</v>
      </c>
      <c r="I4223">
        <v>0.1741125760648204</v>
      </c>
      <c r="J4223">
        <v>0</v>
      </c>
      <c r="K4223">
        <v>0</v>
      </c>
      <c r="L4223" s="2">
        <v>0</v>
      </c>
      <c r="M4223">
        <v>44.06</v>
      </c>
      <c r="N4223" t="s">
        <v>10236</v>
      </c>
    </row>
    <row r="4224" spans="1:14">
      <c r="A4224" t="s">
        <v>35</v>
      </c>
      <c r="B4224" t="s">
        <v>4359</v>
      </c>
      <c r="C4224">
        <f>"PT003"</f>
        <v>0</v>
      </c>
      <c r="D4224">
        <v>0</v>
      </c>
      <c r="E4224">
        <v>1</v>
      </c>
      <c r="F4224" s="2">
        <v>5</v>
      </c>
      <c r="H4224">
        <v>0</v>
      </c>
      <c r="I4224">
        <v>0.1741125760648204</v>
      </c>
      <c r="J4224">
        <v>0</v>
      </c>
      <c r="K4224">
        <v>0</v>
      </c>
      <c r="L4224" s="2">
        <v>0</v>
      </c>
      <c r="M4224">
        <v>44.06</v>
      </c>
      <c r="N4224" t="s">
        <v>10236</v>
      </c>
    </row>
    <row r="4225" spans="1:14">
      <c r="A4225" t="s">
        <v>35</v>
      </c>
      <c r="B4225" t="s">
        <v>4360</v>
      </c>
      <c r="C4225">
        <f>"PT005MV"</f>
        <v>0</v>
      </c>
      <c r="D4225">
        <v>0</v>
      </c>
      <c r="E4225">
        <v>1</v>
      </c>
      <c r="F4225" s="2">
        <v>4</v>
      </c>
      <c r="H4225">
        <v>0</v>
      </c>
      <c r="I4225">
        <v>0.1741125760648204</v>
      </c>
      <c r="J4225">
        <v>0</v>
      </c>
      <c r="K4225">
        <v>0</v>
      </c>
      <c r="L4225" s="2">
        <v>0</v>
      </c>
      <c r="M4225">
        <v>44.07</v>
      </c>
      <c r="N4225" t="s">
        <v>10236</v>
      </c>
    </row>
    <row r="4226" spans="1:14">
      <c r="A4226" t="s">
        <v>228</v>
      </c>
      <c r="B4226" t="s">
        <v>4361</v>
      </c>
      <c r="C4226">
        <f>"NGT14"</f>
        <v>0</v>
      </c>
      <c r="D4226">
        <v>0</v>
      </c>
      <c r="E4226">
        <v>0</v>
      </c>
      <c r="F4226" s="2">
        <v>0</v>
      </c>
      <c r="H4226">
        <v>0</v>
      </c>
      <c r="I4226">
        <v>0.1741125760648204</v>
      </c>
      <c r="J4226">
        <v>0</v>
      </c>
      <c r="K4226">
        <v>0</v>
      </c>
      <c r="L4226" s="2">
        <v>0</v>
      </c>
      <c r="M4226">
        <v>44.08</v>
      </c>
      <c r="N4226" t="s">
        <v>10236</v>
      </c>
    </row>
    <row r="4227" spans="1:14">
      <c r="A4227" t="s">
        <v>228</v>
      </c>
      <c r="B4227" t="s">
        <v>4362</v>
      </c>
      <c r="C4227">
        <f>"NGDS15"</f>
        <v>0</v>
      </c>
      <c r="D4227">
        <v>0</v>
      </c>
      <c r="E4227">
        <v>0</v>
      </c>
      <c r="F4227" s="2">
        <v>0</v>
      </c>
      <c r="H4227">
        <v>0</v>
      </c>
      <c r="I4227">
        <v>0.1741125760648204</v>
      </c>
      <c r="J4227">
        <v>0</v>
      </c>
      <c r="K4227">
        <v>0</v>
      </c>
      <c r="L4227" s="2">
        <v>0</v>
      </c>
      <c r="M4227">
        <v>44.09</v>
      </c>
      <c r="N4227" t="s">
        <v>10236</v>
      </c>
    </row>
    <row r="4228" spans="1:14">
      <c r="A4228" t="s">
        <v>228</v>
      </c>
      <c r="B4228" t="s">
        <v>4363</v>
      </c>
      <c r="C4228">
        <f>"NGSC7"</f>
        <v>0</v>
      </c>
      <c r="D4228">
        <v>0</v>
      </c>
      <c r="E4228">
        <v>0</v>
      </c>
      <c r="F4228" s="2">
        <v>0</v>
      </c>
      <c r="H4228">
        <v>0</v>
      </c>
      <c r="I4228">
        <v>0.1741125760648204</v>
      </c>
      <c r="J4228">
        <v>0</v>
      </c>
      <c r="K4228">
        <v>0</v>
      </c>
      <c r="L4228" s="2">
        <v>0</v>
      </c>
      <c r="M4228">
        <v>44.1</v>
      </c>
      <c r="N4228" t="s">
        <v>10236</v>
      </c>
    </row>
    <row r="4229" spans="1:14">
      <c r="A4229" t="s">
        <v>228</v>
      </c>
      <c r="B4229" t="s">
        <v>4364</v>
      </c>
      <c r="C4229">
        <f>"NGS3"</f>
        <v>0</v>
      </c>
      <c r="D4229">
        <v>0</v>
      </c>
      <c r="E4229">
        <v>0</v>
      </c>
      <c r="F4229" s="2">
        <v>0</v>
      </c>
      <c r="H4229">
        <v>0</v>
      </c>
      <c r="I4229">
        <v>0.1741125760648204</v>
      </c>
      <c r="J4229">
        <v>0</v>
      </c>
      <c r="K4229">
        <v>0</v>
      </c>
      <c r="L4229" s="2">
        <v>0</v>
      </c>
      <c r="M4229">
        <v>44.11</v>
      </c>
      <c r="N4229" t="s">
        <v>10236</v>
      </c>
    </row>
    <row r="4230" spans="1:14">
      <c r="A4230" t="s">
        <v>228</v>
      </c>
      <c r="B4230" t="s">
        <v>4365</v>
      </c>
      <c r="C4230">
        <f>"NGPS3"</f>
        <v>0</v>
      </c>
      <c r="D4230">
        <v>0</v>
      </c>
      <c r="E4230">
        <v>0</v>
      </c>
      <c r="F4230" s="2">
        <v>0</v>
      </c>
      <c r="H4230">
        <v>0</v>
      </c>
      <c r="I4230">
        <v>0.1741125760648204</v>
      </c>
      <c r="J4230">
        <v>0</v>
      </c>
      <c r="K4230">
        <v>0</v>
      </c>
      <c r="L4230" s="2">
        <v>0</v>
      </c>
      <c r="M4230">
        <v>44.12</v>
      </c>
      <c r="N4230" t="s">
        <v>10236</v>
      </c>
    </row>
    <row r="4231" spans="1:14">
      <c r="A4231" t="s">
        <v>35</v>
      </c>
      <c r="B4231" t="s">
        <v>4366</v>
      </c>
      <c r="C4231">
        <f>"1966G"</f>
        <v>0</v>
      </c>
      <c r="D4231">
        <v>0</v>
      </c>
      <c r="E4231">
        <v>1</v>
      </c>
      <c r="F4231" s="2">
        <v>15</v>
      </c>
      <c r="H4231">
        <v>0</v>
      </c>
      <c r="I4231">
        <v>0.1741125760648204</v>
      </c>
      <c r="J4231">
        <v>0</v>
      </c>
      <c r="K4231">
        <v>0</v>
      </c>
      <c r="L4231" s="2">
        <v>0</v>
      </c>
      <c r="M4231">
        <v>44.13</v>
      </c>
      <c r="N4231" t="s">
        <v>10236</v>
      </c>
    </row>
    <row r="4232" spans="1:14">
      <c r="A4232" t="s">
        <v>195</v>
      </c>
      <c r="B4232" t="s">
        <v>4367</v>
      </c>
      <c r="C4232">
        <f>"27150011"</f>
        <v>0</v>
      </c>
      <c r="D4232">
        <v>0</v>
      </c>
      <c r="E4232">
        <v>0</v>
      </c>
      <c r="F4232" s="2">
        <v>0</v>
      </c>
      <c r="H4232">
        <v>0</v>
      </c>
      <c r="I4232">
        <v>0.1741125760648204</v>
      </c>
      <c r="J4232">
        <v>0</v>
      </c>
      <c r="K4232">
        <v>0</v>
      </c>
      <c r="L4232" s="2">
        <v>0</v>
      </c>
      <c r="M4232">
        <v>44.14</v>
      </c>
      <c r="N4232" t="s">
        <v>10236</v>
      </c>
    </row>
    <row r="4233" spans="1:14">
      <c r="A4233" t="s">
        <v>195</v>
      </c>
      <c r="B4233" t="s">
        <v>4367</v>
      </c>
      <c r="C4233">
        <f>"27150010"</f>
        <v>0</v>
      </c>
      <c r="D4233">
        <v>0</v>
      </c>
      <c r="E4233">
        <v>0</v>
      </c>
      <c r="F4233" s="2">
        <v>0</v>
      </c>
      <c r="H4233">
        <v>0</v>
      </c>
      <c r="I4233">
        <v>0.1741125760648204</v>
      </c>
      <c r="J4233">
        <v>0</v>
      </c>
      <c r="K4233">
        <v>0</v>
      </c>
      <c r="L4233" s="2">
        <v>0</v>
      </c>
      <c r="M4233">
        <v>44.15</v>
      </c>
      <c r="N4233" t="s">
        <v>10236</v>
      </c>
    </row>
    <row r="4234" spans="1:14">
      <c r="A4234" t="s">
        <v>195</v>
      </c>
      <c r="B4234" t="s">
        <v>4367</v>
      </c>
      <c r="C4234">
        <f>"27150002"</f>
        <v>0</v>
      </c>
      <c r="D4234">
        <v>0</v>
      </c>
      <c r="E4234">
        <v>0</v>
      </c>
      <c r="F4234" s="2">
        <v>0</v>
      </c>
      <c r="H4234">
        <v>0</v>
      </c>
      <c r="I4234">
        <v>0.1741125760648204</v>
      </c>
      <c r="J4234">
        <v>0</v>
      </c>
      <c r="K4234">
        <v>0</v>
      </c>
      <c r="L4234" s="2">
        <v>0</v>
      </c>
      <c r="M4234">
        <v>44.16</v>
      </c>
      <c r="N4234" t="s">
        <v>10236</v>
      </c>
    </row>
    <row r="4235" spans="1:14">
      <c r="A4235" t="s">
        <v>195</v>
      </c>
      <c r="B4235" t="s">
        <v>4367</v>
      </c>
      <c r="C4235">
        <f>"27150003"</f>
        <v>0</v>
      </c>
      <c r="D4235">
        <v>0</v>
      </c>
      <c r="E4235">
        <v>0</v>
      </c>
      <c r="F4235" s="2">
        <v>0</v>
      </c>
      <c r="H4235">
        <v>0</v>
      </c>
      <c r="I4235">
        <v>0.1741125760648204</v>
      </c>
      <c r="J4235">
        <v>0</v>
      </c>
      <c r="K4235">
        <v>0</v>
      </c>
      <c r="L4235" s="2">
        <v>0</v>
      </c>
      <c r="M4235">
        <v>44.17</v>
      </c>
      <c r="N4235" t="s">
        <v>10236</v>
      </c>
    </row>
    <row r="4236" spans="1:14">
      <c r="A4236" t="s">
        <v>210</v>
      </c>
      <c r="B4236" t="s">
        <v>4368</v>
      </c>
      <c r="C4236">
        <f>"7016921"</f>
        <v>0</v>
      </c>
      <c r="D4236">
        <v>0</v>
      </c>
      <c r="E4236">
        <v>0</v>
      </c>
      <c r="F4236" s="2">
        <v>0</v>
      </c>
      <c r="H4236">
        <v>0</v>
      </c>
      <c r="I4236">
        <v>0.1741125760648204</v>
      </c>
      <c r="J4236">
        <v>0</v>
      </c>
      <c r="K4236">
        <v>0</v>
      </c>
      <c r="L4236" s="2">
        <v>0</v>
      </c>
      <c r="M4236">
        <v>44.18</v>
      </c>
      <c r="N4236" t="s">
        <v>10236</v>
      </c>
    </row>
    <row r="4237" spans="1:14">
      <c r="A4237" t="s">
        <v>210</v>
      </c>
      <c r="B4237" t="s">
        <v>4369</v>
      </c>
      <c r="C4237">
        <f>"7016419"</f>
        <v>0</v>
      </c>
      <c r="D4237">
        <v>0</v>
      </c>
      <c r="E4237">
        <v>0</v>
      </c>
      <c r="F4237" s="2">
        <v>0</v>
      </c>
      <c r="H4237">
        <v>0</v>
      </c>
      <c r="I4237">
        <v>0.1741125760648204</v>
      </c>
      <c r="J4237">
        <v>0</v>
      </c>
      <c r="K4237">
        <v>0</v>
      </c>
      <c r="L4237" s="2">
        <v>0</v>
      </c>
      <c r="M4237">
        <v>44.18</v>
      </c>
      <c r="N4237" t="s">
        <v>10236</v>
      </c>
    </row>
    <row r="4238" spans="1:14">
      <c r="A4238" t="s">
        <v>210</v>
      </c>
      <c r="B4238" t="s">
        <v>4370</v>
      </c>
      <c r="C4238">
        <f>"7016426"</f>
        <v>0</v>
      </c>
      <c r="D4238">
        <v>0</v>
      </c>
      <c r="E4238">
        <v>0</v>
      </c>
      <c r="F4238" s="2">
        <v>0</v>
      </c>
      <c r="H4238">
        <v>0</v>
      </c>
      <c r="I4238">
        <v>0.1741125760648204</v>
      </c>
      <c r="J4238">
        <v>0</v>
      </c>
      <c r="K4238">
        <v>0</v>
      </c>
      <c r="L4238" s="2">
        <v>0</v>
      </c>
      <c r="M4238">
        <v>44.19</v>
      </c>
      <c r="N4238" t="s">
        <v>10236</v>
      </c>
    </row>
    <row r="4239" spans="1:14">
      <c r="A4239" t="s">
        <v>210</v>
      </c>
      <c r="B4239" t="s">
        <v>4371</v>
      </c>
      <c r="C4239">
        <f>"7016624"</f>
        <v>0</v>
      </c>
      <c r="D4239">
        <v>0</v>
      </c>
      <c r="E4239">
        <v>0</v>
      </c>
      <c r="F4239" s="2">
        <v>0</v>
      </c>
      <c r="H4239">
        <v>0</v>
      </c>
      <c r="I4239">
        <v>0.1741125760648204</v>
      </c>
      <c r="J4239">
        <v>0</v>
      </c>
      <c r="K4239">
        <v>0</v>
      </c>
      <c r="L4239" s="2">
        <v>0</v>
      </c>
      <c r="M4239">
        <v>44.2</v>
      </c>
      <c r="N4239" t="s">
        <v>10236</v>
      </c>
    </row>
    <row r="4240" spans="1:14">
      <c r="A4240" t="s">
        <v>210</v>
      </c>
      <c r="B4240" t="s">
        <v>4372</v>
      </c>
      <c r="C4240">
        <f>"7016280"</f>
        <v>0</v>
      </c>
      <c r="D4240">
        <v>0</v>
      </c>
      <c r="E4240">
        <v>0</v>
      </c>
      <c r="F4240" s="2">
        <v>0</v>
      </c>
      <c r="H4240">
        <v>0</v>
      </c>
      <c r="I4240">
        <v>0.1741125760648204</v>
      </c>
      <c r="J4240">
        <v>0</v>
      </c>
      <c r="K4240">
        <v>0</v>
      </c>
      <c r="L4240" s="2">
        <v>0</v>
      </c>
      <c r="M4240">
        <v>44.21</v>
      </c>
      <c r="N4240" t="s">
        <v>10236</v>
      </c>
    </row>
    <row r="4241" spans="1:14">
      <c r="A4241" t="s">
        <v>210</v>
      </c>
      <c r="B4241" t="s">
        <v>4373</v>
      </c>
      <c r="C4241">
        <f>"7016273"</f>
        <v>0</v>
      </c>
      <c r="D4241">
        <v>0</v>
      </c>
      <c r="E4241">
        <v>0</v>
      </c>
      <c r="F4241" s="2">
        <v>0</v>
      </c>
      <c r="H4241">
        <v>0</v>
      </c>
      <c r="I4241">
        <v>0.1741125760648204</v>
      </c>
      <c r="J4241">
        <v>0</v>
      </c>
      <c r="K4241">
        <v>0</v>
      </c>
      <c r="L4241" s="2">
        <v>0</v>
      </c>
      <c r="M4241">
        <v>44.22</v>
      </c>
      <c r="N4241" t="s">
        <v>10236</v>
      </c>
    </row>
    <row r="4242" spans="1:14">
      <c r="A4242" t="s">
        <v>35</v>
      </c>
      <c r="B4242" t="s">
        <v>4374</v>
      </c>
      <c r="C4242">
        <f>"LS8N"</f>
        <v>0</v>
      </c>
      <c r="D4242">
        <v>0</v>
      </c>
      <c r="E4242">
        <v>0</v>
      </c>
      <c r="F4242" s="2">
        <v>0</v>
      </c>
      <c r="H4242">
        <v>0</v>
      </c>
      <c r="I4242">
        <v>0.1741125760648204</v>
      </c>
      <c r="J4242">
        <v>0</v>
      </c>
      <c r="K4242">
        <v>0</v>
      </c>
      <c r="L4242" s="2">
        <v>0</v>
      </c>
      <c r="M4242">
        <v>44.23</v>
      </c>
      <c r="N4242" t="s">
        <v>10236</v>
      </c>
    </row>
    <row r="4243" spans="1:14">
      <c r="A4243" t="s">
        <v>35</v>
      </c>
      <c r="B4243" t="s">
        <v>4375</v>
      </c>
      <c r="C4243">
        <f>"LS4N"</f>
        <v>0</v>
      </c>
      <c r="D4243">
        <v>0</v>
      </c>
      <c r="E4243">
        <v>0</v>
      </c>
      <c r="F4243" s="2">
        <v>0</v>
      </c>
      <c r="H4243">
        <v>0</v>
      </c>
      <c r="I4243">
        <v>0.1741125760648204</v>
      </c>
      <c r="J4243">
        <v>0</v>
      </c>
      <c r="K4243">
        <v>0</v>
      </c>
      <c r="L4243" s="2">
        <v>0</v>
      </c>
      <c r="M4243">
        <v>44.24</v>
      </c>
      <c r="N4243" t="s">
        <v>10236</v>
      </c>
    </row>
    <row r="4244" spans="1:14">
      <c r="A4244" t="s">
        <v>35</v>
      </c>
      <c r="B4244" t="s">
        <v>4376</v>
      </c>
      <c r="C4244">
        <f>"LS8M"</f>
        <v>0</v>
      </c>
      <c r="D4244">
        <v>0</v>
      </c>
      <c r="E4244">
        <v>0</v>
      </c>
      <c r="F4244" s="2">
        <v>0</v>
      </c>
      <c r="H4244">
        <v>0</v>
      </c>
      <c r="I4244">
        <v>0.1741125760648204</v>
      </c>
      <c r="J4244">
        <v>0</v>
      </c>
      <c r="K4244">
        <v>0</v>
      </c>
      <c r="L4244" s="2">
        <v>0</v>
      </c>
      <c r="M4244">
        <v>44.25</v>
      </c>
      <c r="N4244" t="s">
        <v>10236</v>
      </c>
    </row>
    <row r="4245" spans="1:14">
      <c r="A4245" t="s">
        <v>229</v>
      </c>
      <c r="B4245" t="s">
        <v>4377</v>
      </c>
      <c r="C4245">
        <f>"70101"</f>
        <v>0</v>
      </c>
      <c r="D4245">
        <v>0</v>
      </c>
      <c r="E4245">
        <v>0</v>
      </c>
      <c r="F4245" s="2">
        <v>0</v>
      </c>
      <c r="H4245">
        <v>0</v>
      </c>
      <c r="I4245">
        <v>0.1741125760648204</v>
      </c>
      <c r="J4245">
        <v>0</v>
      </c>
      <c r="K4245">
        <v>0</v>
      </c>
      <c r="L4245" s="2">
        <v>0</v>
      </c>
      <c r="M4245">
        <v>44.26</v>
      </c>
      <c r="N4245" t="s">
        <v>10236</v>
      </c>
    </row>
    <row r="4246" spans="1:14">
      <c r="A4246" t="s">
        <v>215</v>
      </c>
      <c r="B4246" t="s">
        <v>4378</v>
      </c>
      <c r="C4246">
        <f>"BDOR4420"</f>
        <v>0</v>
      </c>
      <c r="D4246">
        <v>0</v>
      </c>
      <c r="E4246">
        <v>0</v>
      </c>
      <c r="F4246" s="2">
        <v>0</v>
      </c>
      <c r="H4246">
        <v>0</v>
      </c>
      <c r="I4246">
        <v>0.1741125760648204</v>
      </c>
      <c r="J4246">
        <v>0</v>
      </c>
      <c r="K4246">
        <v>0</v>
      </c>
      <c r="L4246" s="2">
        <v>0</v>
      </c>
      <c r="M4246">
        <v>44.27</v>
      </c>
      <c r="N4246" t="s">
        <v>10236</v>
      </c>
    </row>
    <row r="4247" spans="1:14">
      <c r="A4247" t="s">
        <v>210</v>
      </c>
      <c r="B4247" t="s">
        <v>4379</v>
      </c>
      <c r="C4247">
        <f>"976927"</f>
        <v>0</v>
      </c>
      <c r="D4247">
        <v>0</v>
      </c>
      <c r="E4247">
        <v>0</v>
      </c>
      <c r="F4247" s="2">
        <v>0</v>
      </c>
      <c r="H4247">
        <v>0</v>
      </c>
      <c r="I4247">
        <v>0.1741125760648204</v>
      </c>
      <c r="J4247">
        <v>0</v>
      </c>
      <c r="K4247">
        <v>0</v>
      </c>
      <c r="L4247" s="2">
        <v>0</v>
      </c>
      <c r="M4247">
        <v>44.28</v>
      </c>
      <c r="N4247" t="s">
        <v>10236</v>
      </c>
    </row>
    <row r="4248" spans="1:14">
      <c r="A4248" t="s">
        <v>210</v>
      </c>
      <c r="B4248" t="s">
        <v>4380</v>
      </c>
      <c r="C4248">
        <f>"0781159795275"</f>
        <v>0</v>
      </c>
      <c r="D4248">
        <v>0</v>
      </c>
      <c r="E4248">
        <v>0</v>
      </c>
      <c r="F4248" s="2">
        <v>0</v>
      </c>
      <c r="H4248">
        <v>0</v>
      </c>
      <c r="I4248">
        <v>0.1741125760648204</v>
      </c>
      <c r="J4248">
        <v>0</v>
      </c>
      <c r="K4248">
        <v>0</v>
      </c>
      <c r="L4248" s="2">
        <v>0</v>
      </c>
      <c r="M4248">
        <v>44.29</v>
      </c>
      <c r="N4248" t="s">
        <v>10236</v>
      </c>
    </row>
    <row r="4249" spans="1:14">
      <c r="A4249" t="s">
        <v>27</v>
      </c>
      <c r="B4249" t="s">
        <v>4381</v>
      </c>
      <c r="C4249">
        <f>"ALUE07"</f>
        <v>0</v>
      </c>
      <c r="D4249">
        <v>0</v>
      </c>
      <c r="E4249">
        <v>0</v>
      </c>
      <c r="F4249" s="2">
        <v>0</v>
      </c>
      <c r="H4249">
        <v>0</v>
      </c>
      <c r="I4249">
        <v>0.1741125760648204</v>
      </c>
      <c r="J4249">
        <v>0</v>
      </c>
      <c r="K4249">
        <v>0</v>
      </c>
      <c r="L4249" s="2">
        <v>0</v>
      </c>
      <c r="M4249">
        <v>44.3</v>
      </c>
      <c r="N4249" t="s">
        <v>10236</v>
      </c>
    </row>
    <row r="4250" spans="1:14">
      <c r="A4250" t="s">
        <v>27</v>
      </c>
      <c r="B4250" t="s">
        <v>4382</v>
      </c>
      <c r="C4250">
        <f>"ALUB15"</f>
        <v>0</v>
      </c>
      <c r="D4250">
        <v>0</v>
      </c>
      <c r="E4250">
        <v>0</v>
      </c>
      <c r="F4250" s="2">
        <v>0</v>
      </c>
      <c r="H4250">
        <v>0</v>
      </c>
      <c r="I4250">
        <v>0.1741125760648204</v>
      </c>
      <c r="J4250">
        <v>0</v>
      </c>
      <c r="K4250">
        <v>0</v>
      </c>
      <c r="L4250" s="2">
        <v>0</v>
      </c>
      <c r="M4250">
        <v>44.3</v>
      </c>
      <c r="N4250" t="s">
        <v>10236</v>
      </c>
    </row>
    <row r="4251" spans="1:14">
      <c r="A4251" t="s">
        <v>37</v>
      </c>
      <c r="B4251" t="s">
        <v>4383</v>
      </c>
      <c r="C4251">
        <f>"560470"</f>
        <v>0</v>
      </c>
      <c r="D4251">
        <v>0</v>
      </c>
      <c r="E4251">
        <v>0</v>
      </c>
      <c r="F4251" s="2">
        <v>0</v>
      </c>
      <c r="H4251">
        <v>0</v>
      </c>
      <c r="I4251">
        <v>0.1741125760648204</v>
      </c>
      <c r="J4251">
        <v>0</v>
      </c>
      <c r="K4251">
        <v>0</v>
      </c>
      <c r="L4251" s="2">
        <v>0</v>
      </c>
      <c r="M4251">
        <v>44.31</v>
      </c>
      <c r="N4251" t="s">
        <v>10236</v>
      </c>
    </row>
    <row r="4252" spans="1:14">
      <c r="A4252" t="s">
        <v>37</v>
      </c>
      <c r="B4252" t="s">
        <v>4384</v>
      </c>
      <c r="C4252">
        <f>"560320"</f>
        <v>0</v>
      </c>
      <c r="D4252">
        <v>0</v>
      </c>
      <c r="E4252">
        <v>0</v>
      </c>
      <c r="F4252" s="2">
        <v>0</v>
      </c>
      <c r="H4252">
        <v>0</v>
      </c>
      <c r="I4252">
        <v>0.1741125760648204</v>
      </c>
      <c r="J4252">
        <v>0</v>
      </c>
      <c r="K4252">
        <v>0</v>
      </c>
      <c r="L4252" s="2">
        <v>0</v>
      </c>
      <c r="M4252">
        <v>44.32</v>
      </c>
      <c r="N4252" t="s">
        <v>10236</v>
      </c>
    </row>
    <row r="4253" spans="1:14">
      <c r="A4253" t="s">
        <v>37</v>
      </c>
      <c r="B4253" t="s">
        <v>4385</v>
      </c>
      <c r="C4253">
        <f>"560300"</f>
        <v>0</v>
      </c>
      <c r="D4253">
        <v>0</v>
      </c>
      <c r="E4253">
        <v>0</v>
      </c>
      <c r="F4253" s="2">
        <v>0</v>
      </c>
      <c r="H4253">
        <v>0</v>
      </c>
      <c r="I4253">
        <v>0.1741125760648204</v>
      </c>
      <c r="J4253">
        <v>0</v>
      </c>
      <c r="K4253">
        <v>0</v>
      </c>
      <c r="L4253" s="2">
        <v>0</v>
      </c>
      <c r="M4253">
        <v>44.33</v>
      </c>
      <c r="N4253" t="s">
        <v>10236</v>
      </c>
    </row>
    <row r="4254" spans="1:14">
      <c r="A4254" t="s">
        <v>210</v>
      </c>
      <c r="B4254" t="s">
        <v>4386</v>
      </c>
      <c r="C4254">
        <f>"7016204"</f>
        <v>0</v>
      </c>
      <c r="D4254">
        <v>0</v>
      </c>
      <c r="E4254">
        <v>0</v>
      </c>
      <c r="F4254" s="2">
        <v>0</v>
      </c>
      <c r="H4254">
        <v>0</v>
      </c>
      <c r="I4254">
        <v>0.1741125760648204</v>
      </c>
      <c r="J4254">
        <v>0</v>
      </c>
      <c r="K4254">
        <v>0</v>
      </c>
      <c r="L4254" s="2">
        <v>0</v>
      </c>
      <c r="M4254">
        <v>44.34</v>
      </c>
      <c r="N4254" t="s">
        <v>10236</v>
      </c>
    </row>
    <row r="4255" spans="1:14">
      <c r="A4255" t="s">
        <v>210</v>
      </c>
      <c r="B4255" t="s">
        <v>4387</v>
      </c>
      <c r="C4255">
        <f>"7016198"</f>
        <v>0</v>
      </c>
      <c r="D4255">
        <v>0</v>
      </c>
      <c r="E4255">
        <v>0</v>
      </c>
      <c r="F4255" s="2">
        <v>0</v>
      </c>
      <c r="H4255">
        <v>0</v>
      </c>
      <c r="I4255">
        <v>0.1741125760648204</v>
      </c>
      <c r="J4255">
        <v>0</v>
      </c>
      <c r="K4255">
        <v>0</v>
      </c>
      <c r="L4255" s="2">
        <v>0</v>
      </c>
      <c r="M4255">
        <v>44.35</v>
      </c>
      <c r="N4255" t="s">
        <v>10236</v>
      </c>
    </row>
    <row r="4256" spans="1:14">
      <c r="A4256" t="s">
        <v>210</v>
      </c>
      <c r="B4256" t="s">
        <v>4388</v>
      </c>
      <c r="C4256">
        <f>"7016266"</f>
        <v>0</v>
      </c>
      <c r="D4256">
        <v>0</v>
      </c>
      <c r="E4256">
        <v>0</v>
      </c>
      <c r="F4256" s="2">
        <v>0</v>
      </c>
      <c r="H4256">
        <v>0</v>
      </c>
      <c r="I4256">
        <v>0.1741125760648204</v>
      </c>
      <c r="J4256">
        <v>0</v>
      </c>
      <c r="K4256">
        <v>0</v>
      </c>
      <c r="L4256" s="2">
        <v>0</v>
      </c>
      <c r="M4256">
        <v>44.36</v>
      </c>
      <c r="N4256" t="s">
        <v>10236</v>
      </c>
    </row>
    <row r="4257" spans="1:14">
      <c r="A4257" t="s">
        <v>195</v>
      </c>
      <c r="B4257" t="s">
        <v>4389</v>
      </c>
      <c r="C4257">
        <f>"27220001"</f>
        <v>0</v>
      </c>
      <c r="D4257">
        <v>0</v>
      </c>
      <c r="E4257">
        <v>0</v>
      </c>
      <c r="F4257" s="2">
        <v>0</v>
      </c>
      <c r="H4257">
        <v>0</v>
      </c>
      <c r="I4257">
        <v>0.1741125760648204</v>
      </c>
      <c r="J4257">
        <v>0</v>
      </c>
      <c r="K4257">
        <v>0</v>
      </c>
      <c r="L4257" s="2">
        <v>0</v>
      </c>
      <c r="M4257">
        <v>44.37</v>
      </c>
      <c r="N4257" t="s">
        <v>10236</v>
      </c>
    </row>
    <row r="4258" spans="1:14">
      <c r="A4258" t="s">
        <v>195</v>
      </c>
      <c r="B4258" t="s">
        <v>4390</v>
      </c>
      <c r="C4258">
        <f>"27990305"</f>
        <v>0</v>
      </c>
      <c r="D4258">
        <v>0</v>
      </c>
      <c r="E4258">
        <v>0</v>
      </c>
      <c r="F4258" s="2">
        <v>0</v>
      </c>
      <c r="H4258">
        <v>0</v>
      </c>
      <c r="I4258">
        <v>0.1741125760648204</v>
      </c>
      <c r="J4258">
        <v>0</v>
      </c>
      <c r="K4258">
        <v>0</v>
      </c>
      <c r="L4258" s="2">
        <v>0</v>
      </c>
      <c r="M4258">
        <v>44.38</v>
      </c>
      <c r="N4258" t="s">
        <v>10236</v>
      </c>
    </row>
    <row r="4259" spans="1:14">
      <c r="A4259" t="s">
        <v>195</v>
      </c>
      <c r="B4259" t="s">
        <v>4391</v>
      </c>
      <c r="C4259">
        <f>"27990105"</f>
        <v>0</v>
      </c>
      <c r="D4259">
        <v>0</v>
      </c>
      <c r="E4259">
        <v>0</v>
      </c>
      <c r="F4259" s="2">
        <v>0</v>
      </c>
      <c r="H4259">
        <v>0</v>
      </c>
      <c r="I4259">
        <v>0.1741125760648204</v>
      </c>
      <c r="J4259">
        <v>0</v>
      </c>
      <c r="K4259">
        <v>0</v>
      </c>
      <c r="L4259" s="2">
        <v>0</v>
      </c>
      <c r="M4259">
        <v>44.39</v>
      </c>
      <c r="N4259" t="s">
        <v>10236</v>
      </c>
    </row>
    <row r="4260" spans="1:14">
      <c r="A4260" t="s">
        <v>195</v>
      </c>
      <c r="B4260" t="s">
        <v>4392</v>
      </c>
      <c r="C4260">
        <f>"27210006"</f>
        <v>0</v>
      </c>
      <c r="D4260">
        <v>0</v>
      </c>
      <c r="E4260">
        <v>0</v>
      </c>
      <c r="F4260" s="2">
        <v>0</v>
      </c>
      <c r="H4260">
        <v>0</v>
      </c>
      <c r="I4260">
        <v>0.1741125760648204</v>
      </c>
      <c r="J4260">
        <v>0</v>
      </c>
      <c r="K4260">
        <v>0</v>
      </c>
      <c r="L4260" s="2">
        <v>0</v>
      </c>
      <c r="M4260">
        <v>44.4</v>
      </c>
      <c r="N4260" t="s">
        <v>10236</v>
      </c>
    </row>
    <row r="4261" spans="1:14">
      <c r="A4261" t="s">
        <v>195</v>
      </c>
      <c r="B4261" t="s">
        <v>4393</v>
      </c>
      <c r="C4261">
        <f>"27861012"</f>
        <v>0</v>
      </c>
      <c r="D4261">
        <v>0</v>
      </c>
      <c r="E4261">
        <v>0</v>
      </c>
      <c r="F4261" s="2">
        <v>0</v>
      </c>
      <c r="H4261">
        <v>0</v>
      </c>
      <c r="I4261">
        <v>0.1741125760648204</v>
      </c>
      <c r="J4261">
        <v>0</v>
      </c>
      <c r="K4261">
        <v>0</v>
      </c>
      <c r="L4261" s="2">
        <v>0</v>
      </c>
      <c r="M4261">
        <v>44.41</v>
      </c>
      <c r="N4261" t="s">
        <v>10236</v>
      </c>
    </row>
    <row r="4262" spans="1:14">
      <c r="A4262" t="s">
        <v>229</v>
      </c>
      <c r="B4262" t="s">
        <v>4394</v>
      </c>
      <c r="C4262">
        <f>"70102C"</f>
        <v>0</v>
      </c>
      <c r="D4262">
        <v>0</v>
      </c>
      <c r="E4262">
        <v>0</v>
      </c>
      <c r="F4262" s="2">
        <v>0</v>
      </c>
      <c r="H4262">
        <v>0</v>
      </c>
      <c r="I4262">
        <v>0.1741125760648204</v>
      </c>
      <c r="J4262">
        <v>0</v>
      </c>
      <c r="K4262">
        <v>0</v>
      </c>
      <c r="L4262" s="2">
        <v>0</v>
      </c>
      <c r="M4262">
        <v>44.42</v>
      </c>
      <c r="N4262" t="s">
        <v>10236</v>
      </c>
    </row>
    <row r="4263" spans="1:14">
      <c r="A4263" t="s">
        <v>35</v>
      </c>
      <c r="B4263" t="s">
        <v>4395</v>
      </c>
      <c r="C4263">
        <f>"C614GR"</f>
        <v>0</v>
      </c>
      <c r="D4263">
        <v>0</v>
      </c>
      <c r="E4263">
        <v>9</v>
      </c>
      <c r="F4263" s="2">
        <v>0</v>
      </c>
      <c r="H4263">
        <v>0</v>
      </c>
      <c r="I4263">
        <v>0.1741125760648204</v>
      </c>
      <c r="J4263">
        <v>0</v>
      </c>
      <c r="K4263">
        <v>0</v>
      </c>
      <c r="L4263" s="2">
        <v>0</v>
      </c>
      <c r="M4263">
        <v>44.42</v>
      </c>
      <c r="N4263" t="s">
        <v>10236</v>
      </c>
    </row>
    <row r="4264" spans="1:14">
      <c r="A4264" t="s">
        <v>35</v>
      </c>
      <c r="B4264" t="s">
        <v>4396</v>
      </c>
      <c r="C4264">
        <f>"C614AZ"</f>
        <v>0</v>
      </c>
      <c r="D4264">
        <v>0</v>
      </c>
      <c r="E4264">
        <v>9</v>
      </c>
      <c r="F4264" s="2">
        <v>0</v>
      </c>
      <c r="H4264">
        <v>0</v>
      </c>
      <c r="I4264">
        <v>0.1741125760648204</v>
      </c>
      <c r="J4264">
        <v>0</v>
      </c>
      <c r="K4264">
        <v>0</v>
      </c>
      <c r="L4264" s="2">
        <v>0</v>
      </c>
      <c r="M4264">
        <v>44.43</v>
      </c>
      <c r="N4264" t="s">
        <v>10236</v>
      </c>
    </row>
    <row r="4265" spans="1:14">
      <c r="A4265" t="s">
        <v>35</v>
      </c>
      <c r="B4265" t="s">
        <v>4397</v>
      </c>
      <c r="C4265">
        <f>"C614"</f>
        <v>0</v>
      </c>
      <c r="D4265">
        <v>0</v>
      </c>
      <c r="E4265">
        <v>0</v>
      </c>
      <c r="F4265" s="2">
        <v>0</v>
      </c>
      <c r="H4265">
        <v>0</v>
      </c>
      <c r="I4265">
        <v>0.1741125760648204</v>
      </c>
      <c r="J4265">
        <v>0</v>
      </c>
      <c r="K4265">
        <v>0</v>
      </c>
      <c r="L4265" s="2">
        <v>0</v>
      </c>
      <c r="M4265">
        <v>44.44</v>
      </c>
      <c r="N4265" t="s">
        <v>10236</v>
      </c>
    </row>
    <row r="4266" spans="1:14">
      <c r="A4266" t="s">
        <v>35</v>
      </c>
      <c r="B4266" t="s">
        <v>4398</v>
      </c>
      <c r="C4266">
        <f>"C601"</f>
        <v>0</v>
      </c>
      <c r="D4266">
        <v>0</v>
      </c>
      <c r="E4266">
        <v>0</v>
      </c>
      <c r="F4266" s="2">
        <v>0</v>
      </c>
      <c r="H4266">
        <v>0</v>
      </c>
      <c r="I4266">
        <v>0.1741125760648204</v>
      </c>
      <c r="J4266">
        <v>0</v>
      </c>
      <c r="K4266">
        <v>0</v>
      </c>
      <c r="L4266" s="2">
        <v>0</v>
      </c>
      <c r="M4266">
        <v>44.45</v>
      </c>
      <c r="N4266" t="s">
        <v>10236</v>
      </c>
    </row>
    <row r="4267" spans="1:14">
      <c r="A4267" t="s">
        <v>35</v>
      </c>
      <c r="B4267" t="s">
        <v>4399</v>
      </c>
      <c r="C4267">
        <f>"C610"</f>
        <v>0</v>
      </c>
      <c r="D4267">
        <v>0</v>
      </c>
      <c r="E4267">
        <v>0</v>
      </c>
      <c r="F4267" s="2">
        <v>0</v>
      </c>
      <c r="H4267">
        <v>0</v>
      </c>
      <c r="I4267">
        <v>0.1741125760648204</v>
      </c>
      <c r="J4267">
        <v>0</v>
      </c>
      <c r="K4267">
        <v>0</v>
      </c>
      <c r="L4267" s="2">
        <v>0</v>
      </c>
      <c r="M4267">
        <v>44.46</v>
      </c>
      <c r="N4267" t="s">
        <v>10236</v>
      </c>
    </row>
    <row r="4268" spans="1:14">
      <c r="A4268" t="s">
        <v>35</v>
      </c>
      <c r="B4268" t="s">
        <v>4400</v>
      </c>
      <c r="C4268">
        <f>"LS199R"</f>
        <v>0</v>
      </c>
      <c r="D4268">
        <v>0</v>
      </c>
      <c r="E4268">
        <v>2</v>
      </c>
      <c r="F4268" s="2">
        <v>5</v>
      </c>
      <c r="H4268">
        <v>0</v>
      </c>
      <c r="I4268">
        <v>0.1741125760648204</v>
      </c>
      <c r="J4268">
        <v>0</v>
      </c>
      <c r="K4268">
        <v>0</v>
      </c>
      <c r="L4268" s="2">
        <v>0</v>
      </c>
      <c r="M4268">
        <v>44.47</v>
      </c>
      <c r="N4268" t="s">
        <v>10236</v>
      </c>
    </row>
    <row r="4269" spans="1:14">
      <c r="A4269" t="s">
        <v>32</v>
      </c>
      <c r="B4269" t="s">
        <v>4401</v>
      </c>
      <c r="C4269">
        <f>"CHE033"</f>
        <v>0</v>
      </c>
      <c r="D4269">
        <v>0</v>
      </c>
      <c r="E4269">
        <v>1</v>
      </c>
      <c r="F4269" s="2">
        <v>15</v>
      </c>
      <c r="H4269">
        <v>0</v>
      </c>
      <c r="I4269">
        <v>0.1741125760648204</v>
      </c>
      <c r="J4269">
        <v>0</v>
      </c>
      <c r="K4269">
        <v>0</v>
      </c>
      <c r="L4269" s="2">
        <v>0</v>
      </c>
      <c r="M4269">
        <v>44.48</v>
      </c>
      <c r="N4269" t="s">
        <v>10236</v>
      </c>
    </row>
    <row r="4270" spans="1:14">
      <c r="A4270" t="s">
        <v>218</v>
      </c>
      <c r="B4270" t="s">
        <v>4402</v>
      </c>
      <c r="C4270">
        <f>"1015921"</f>
        <v>0</v>
      </c>
      <c r="D4270">
        <v>0</v>
      </c>
      <c r="E4270">
        <v>0</v>
      </c>
      <c r="F4270" s="2">
        <v>0</v>
      </c>
      <c r="H4270">
        <v>0</v>
      </c>
      <c r="I4270">
        <v>0.1741125760648204</v>
      </c>
      <c r="J4270">
        <v>0</v>
      </c>
      <c r="K4270">
        <v>0</v>
      </c>
      <c r="L4270" s="2">
        <v>0</v>
      </c>
      <c r="M4270">
        <v>44.49</v>
      </c>
      <c r="N4270" t="s">
        <v>10236</v>
      </c>
    </row>
    <row r="4271" spans="1:14">
      <c r="A4271" t="s">
        <v>210</v>
      </c>
      <c r="B4271" t="s">
        <v>4403</v>
      </c>
      <c r="C4271">
        <f>"7016938"</f>
        <v>0</v>
      </c>
      <c r="D4271">
        <v>0</v>
      </c>
      <c r="E4271">
        <v>0</v>
      </c>
      <c r="F4271" s="2">
        <v>0</v>
      </c>
      <c r="H4271">
        <v>0</v>
      </c>
      <c r="I4271">
        <v>0.1741125760648204</v>
      </c>
      <c r="J4271">
        <v>0</v>
      </c>
      <c r="K4271">
        <v>0</v>
      </c>
      <c r="L4271" s="2">
        <v>0</v>
      </c>
      <c r="M4271">
        <v>44.5</v>
      </c>
      <c r="N4271" t="s">
        <v>10236</v>
      </c>
    </row>
    <row r="4272" spans="1:14">
      <c r="A4272" t="s">
        <v>210</v>
      </c>
      <c r="B4272" t="s">
        <v>4404</v>
      </c>
      <c r="C4272">
        <f>"7016952"</f>
        <v>0</v>
      </c>
      <c r="D4272">
        <v>0</v>
      </c>
      <c r="E4272">
        <v>0</v>
      </c>
      <c r="F4272" s="2">
        <v>0</v>
      </c>
      <c r="H4272">
        <v>0</v>
      </c>
      <c r="I4272">
        <v>0.1741125760648204</v>
      </c>
      <c r="J4272">
        <v>0</v>
      </c>
      <c r="K4272">
        <v>0</v>
      </c>
      <c r="L4272" s="2">
        <v>0</v>
      </c>
      <c r="M4272">
        <v>44.51</v>
      </c>
      <c r="N4272" t="s">
        <v>10236</v>
      </c>
    </row>
    <row r="4273" spans="1:14">
      <c r="A4273" t="s">
        <v>35</v>
      </c>
      <c r="B4273" t="s">
        <v>4405</v>
      </c>
      <c r="C4273">
        <f>"TQ107V"</f>
        <v>0</v>
      </c>
      <c r="D4273">
        <v>0</v>
      </c>
      <c r="E4273">
        <v>4</v>
      </c>
      <c r="F4273" s="2">
        <v>0</v>
      </c>
      <c r="H4273">
        <v>0</v>
      </c>
      <c r="I4273">
        <v>0.1741125760648204</v>
      </c>
      <c r="J4273">
        <v>0</v>
      </c>
      <c r="K4273">
        <v>0</v>
      </c>
      <c r="L4273" s="2">
        <v>0</v>
      </c>
      <c r="M4273">
        <v>44.52</v>
      </c>
      <c r="N4273" t="s">
        <v>10236</v>
      </c>
    </row>
    <row r="4274" spans="1:14">
      <c r="A4274" t="s">
        <v>35</v>
      </c>
      <c r="B4274" t="s">
        <v>4406</v>
      </c>
      <c r="C4274">
        <f>"TQ107C"</f>
        <v>0</v>
      </c>
      <c r="D4274">
        <v>0</v>
      </c>
      <c r="E4274">
        <v>5</v>
      </c>
      <c r="F4274" s="2">
        <v>0</v>
      </c>
      <c r="H4274">
        <v>0</v>
      </c>
      <c r="I4274">
        <v>0.1741125760648204</v>
      </c>
      <c r="J4274">
        <v>0</v>
      </c>
      <c r="K4274">
        <v>0</v>
      </c>
      <c r="L4274" s="2">
        <v>0</v>
      </c>
      <c r="M4274">
        <v>44.53</v>
      </c>
      <c r="N4274" t="s">
        <v>10236</v>
      </c>
    </row>
    <row r="4275" spans="1:14">
      <c r="A4275" t="s">
        <v>35</v>
      </c>
      <c r="B4275" t="s">
        <v>4407</v>
      </c>
      <c r="C4275">
        <f>"TQ71VE"</f>
        <v>0</v>
      </c>
      <c r="D4275">
        <v>0</v>
      </c>
      <c r="E4275">
        <v>0</v>
      </c>
      <c r="F4275" s="2">
        <v>0</v>
      </c>
      <c r="H4275">
        <v>0</v>
      </c>
      <c r="I4275">
        <v>0.1741125760648204</v>
      </c>
      <c r="J4275">
        <v>0</v>
      </c>
      <c r="K4275">
        <v>0</v>
      </c>
      <c r="L4275" s="2">
        <v>0</v>
      </c>
      <c r="M4275">
        <v>44.53</v>
      </c>
      <c r="N4275" t="s">
        <v>10236</v>
      </c>
    </row>
    <row r="4276" spans="1:14">
      <c r="A4276" t="s">
        <v>35</v>
      </c>
      <c r="B4276" t="s">
        <v>4408</v>
      </c>
      <c r="C4276">
        <f>"TQ71CE"</f>
        <v>0</v>
      </c>
      <c r="D4276">
        <v>0</v>
      </c>
      <c r="E4276">
        <v>0</v>
      </c>
      <c r="F4276" s="2">
        <v>0</v>
      </c>
      <c r="H4276">
        <v>0</v>
      </c>
      <c r="I4276">
        <v>0.1741125760648204</v>
      </c>
      <c r="J4276">
        <v>0</v>
      </c>
      <c r="K4276">
        <v>0</v>
      </c>
      <c r="L4276" s="2">
        <v>0</v>
      </c>
      <c r="M4276">
        <v>44.54</v>
      </c>
      <c r="N4276" t="s">
        <v>10236</v>
      </c>
    </row>
    <row r="4277" spans="1:14">
      <c r="A4277" t="s">
        <v>195</v>
      </c>
      <c r="B4277" t="s">
        <v>4367</v>
      </c>
      <c r="C4277">
        <f>"27150006"</f>
        <v>0</v>
      </c>
      <c r="D4277">
        <v>0</v>
      </c>
      <c r="E4277">
        <v>0</v>
      </c>
      <c r="F4277" s="2">
        <v>0</v>
      </c>
      <c r="H4277">
        <v>0</v>
      </c>
      <c r="I4277">
        <v>0.1741125760648204</v>
      </c>
      <c r="J4277">
        <v>0</v>
      </c>
      <c r="K4277">
        <v>0</v>
      </c>
      <c r="L4277" s="2">
        <v>0</v>
      </c>
      <c r="M4277">
        <v>44.55</v>
      </c>
      <c r="N4277" t="s">
        <v>10236</v>
      </c>
    </row>
    <row r="4278" spans="1:14">
      <c r="A4278" t="s">
        <v>210</v>
      </c>
      <c r="B4278" t="s">
        <v>4409</v>
      </c>
      <c r="C4278">
        <f>"7016259"</f>
        <v>0</v>
      </c>
      <c r="D4278">
        <v>0</v>
      </c>
      <c r="E4278">
        <v>0</v>
      </c>
      <c r="F4278" s="2">
        <v>0</v>
      </c>
      <c r="H4278">
        <v>0</v>
      </c>
      <c r="I4278">
        <v>0.1741125760648204</v>
      </c>
      <c r="J4278">
        <v>0</v>
      </c>
      <c r="K4278">
        <v>0</v>
      </c>
      <c r="L4278" s="2">
        <v>0</v>
      </c>
      <c r="M4278">
        <v>44.56</v>
      </c>
      <c r="N4278" t="s">
        <v>10236</v>
      </c>
    </row>
    <row r="4279" spans="1:14">
      <c r="A4279" t="s">
        <v>210</v>
      </c>
      <c r="B4279" t="s">
        <v>4410</v>
      </c>
      <c r="C4279">
        <f>"7016174"</f>
        <v>0</v>
      </c>
      <c r="D4279">
        <v>0</v>
      </c>
      <c r="E4279">
        <v>0</v>
      </c>
      <c r="F4279" s="2">
        <v>0</v>
      </c>
      <c r="H4279">
        <v>0</v>
      </c>
      <c r="I4279">
        <v>0.1741125760648204</v>
      </c>
      <c r="J4279">
        <v>0</v>
      </c>
      <c r="K4279">
        <v>0</v>
      </c>
      <c r="L4279" s="2">
        <v>0</v>
      </c>
      <c r="M4279">
        <v>44.57</v>
      </c>
      <c r="N4279" t="s">
        <v>10236</v>
      </c>
    </row>
    <row r="4280" spans="1:14">
      <c r="A4280" t="s">
        <v>210</v>
      </c>
      <c r="B4280" t="s">
        <v>4411</v>
      </c>
      <c r="C4280">
        <f>"7016167"</f>
        <v>0</v>
      </c>
      <c r="D4280">
        <v>0</v>
      </c>
      <c r="E4280">
        <v>0</v>
      </c>
      <c r="F4280" s="2">
        <v>0</v>
      </c>
      <c r="H4280">
        <v>0</v>
      </c>
      <c r="I4280">
        <v>0.1741125760648204</v>
      </c>
      <c r="J4280">
        <v>0</v>
      </c>
      <c r="K4280">
        <v>0</v>
      </c>
      <c r="L4280" s="2">
        <v>0</v>
      </c>
      <c r="M4280">
        <v>44.58</v>
      </c>
      <c r="N4280" t="s">
        <v>10236</v>
      </c>
    </row>
    <row r="4281" spans="1:14">
      <c r="A4281" t="s">
        <v>210</v>
      </c>
      <c r="B4281" t="s">
        <v>4412</v>
      </c>
      <c r="C4281">
        <f>"7016044"</f>
        <v>0</v>
      </c>
      <c r="D4281">
        <v>0</v>
      </c>
      <c r="E4281">
        <v>0</v>
      </c>
      <c r="F4281" s="2">
        <v>0</v>
      </c>
      <c r="H4281">
        <v>0</v>
      </c>
      <c r="I4281">
        <v>0.1741125760648204</v>
      </c>
      <c r="J4281">
        <v>0</v>
      </c>
      <c r="K4281">
        <v>0</v>
      </c>
      <c r="L4281" s="2">
        <v>0</v>
      </c>
      <c r="M4281">
        <v>44.59</v>
      </c>
      <c r="N4281" t="s">
        <v>10236</v>
      </c>
    </row>
    <row r="4282" spans="1:14">
      <c r="A4282" t="s">
        <v>210</v>
      </c>
      <c r="B4282" t="s">
        <v>4413</v>
      </c>
      <c r="C4282">
        <f>"7014682"</f>
        <v>0</v>
      </c>
      <c r="D4282">
        <v>0</v>
      </c>
      <c r="E4282">
        <v>0</v>
      </c>
      <c r="F4282" s="2">
        <v>0</v>
      </c>
      <c r="H4282">
        <v>0</v>
      </c>
      <c r="I4282">
        <v>0.1741125760648204</v>
      </c>
      <c r="J4282">
        <v>0</v>
      </c>
      <c r="K4282">
        <v>0</v>
      </c>
      <c r="L4282" s="2">
        <v>0</v>
      </c>
      <c r="M4282">
        <v>44.6</v>
      </c>
      <c r="N4282" t="s">
        <v>10236</v>
      </c>
    </row>
    <row r="4283" spans="1:14">
      <c r="A4283" t="s">
        <v>24</v>
      </c>
      <c r="B4283" t="s">
        <v>4414</v>
      </c>
      <c r="C4283">
        <f>"1112901"</f>
        <v>0</v>
      </c>
      <c r="D4283">
        <v>0</v>
      </c>
      <c r="E4283">
        <v>4</v>
      </c>
      <c r="F4283" s="2">
        <v>6</v>
      </c>
      <c r="H4283">
        <v>0</v>
      </c>
      <c r="I4283">
        <v>0.1741125760648204</v>
      </c>
      <c r="J4283">
        <v>0</v>
      </c>
      <c r="K4283">
        <v>0</v>
      </c>
      <c r="L4283" s="2">
        <v>0</v>
      </c>
      <c r="M4283">
        <v>44.61</v>
      </c>
      <c r="N4283" t="s">
        <v>10236</v>
      </c>
    </row>
    <row r="4284" spans="1:14">
      <c r="A4284" t="s">
        <v>35</v>
      </c>
      <c r="B4284" t="s">
        <v>4415</v>
      </c>
      <c r="C4284">
        <f>"25395874"</f>
        <v>0</v>
      </c>
      <c r="D4284">
        <v>0</v>
      </c>
      <c r="E4284">
        <v>1</v>
      </c>
      <c r="F4284" s="2">
        <v>6</v>
      </c>
      <c r="H4284">
        <v>0</v>
      </c>
      <c r="I4284">
        <v>0.1741125760648204</v>
      </c>
      <c r="J4284">
        <v>0</v>
      </c>
      <c r="K4284">
        <v>0</v>
      </c>
      <c r="L4284" s="2">
        <v>0</v>
      </c>
      <c r="M4284">
        <v>44.62</v>
      </c>
      <c r="N4284" t="s">
        <v>10236</v>
      </c>
    </row>
    <row r="4285" spans="1:14">
      <c r="A4285" t="s">
        <v>35</v>
      </c>
      <c r="B4285" t="s">
        <v>4416</v>
      </c>
      <c r="C4285">
        <f>"25395875"</f>
        <v>0</v>
      </c>
      <c r="D4285">
        <v>0</v>
      </c>
      <c r="E4285">
        <v>0</v>
      </c>
      <c r="F4285" s="2">
        <v>0</v>
      </c>
      <c r="H4285">
        <v>0</v>
      </c>
      <c r="I4285">
        <v>0.1741125760648204</v>
      </c>
      <c r="J4285">
        <v>0</v>
      </c>
      <c r="K4285">
        <v>0</v>
      </c>
      <c r="L4285" s="2">
        <v>0</v>
      </c>
      <c r="M4285">
        <v>44.63</v>
      </c>
      <c r="N4285" t="s">
        <v>10236</v>
      </c>
    </row>
    <row r="4286" spans="1:14">
      <c r="A4286" t="s">
        <v>35</v>
      </c>
      <c r="B4286" t="s">
        <v>4417</v>
      </c>
      <c r="C4286">
        <f>"25395873"</f>
        <v>0</v>
      </c>
      <c r="D4286">
        <v>0</v>
      </c>
      <c r="E4286">
        <v>0</v>
      </c>
      <c r="F4286" s="2">
        <v>0</v>
      </c>
      <c r="H4286">
        <v>0</v>
      </c>
      <c r="I4286">
        <v>0.1741125760648204</v>
      </c>
      <c r="J4286">
        <v>0</v>
      </c>
      <c r="K4286">
        <v>0</v>
      </c>
      <c r="L4286" s="2">
        <v>0</v>
      </c>
      <c r="M4286">
        <v>44.64</v>
      </c>
      <c r="N4286" t="s">
        <v>10236</v>
      </c>
    </row>
    <row r="4287" spans="1:14">
      <c r="A4287" t="s">
        <v>35</v>
      </c>
      <c r="B4287" t="s">
        <v>4418</v>
      </c>
      <c r="C4287">
        <f>"25395863"</f>
        <v>0</v>
      </c>
      <c r="D4287">
        <v>0</v>
      </c>
      <c r="E4287">
        <v>2</v>
      </c>
      <c r="F4287" s="2">
        <v>5</v>
      </c>
      <c r="H4287">
        <v>0</v>
      </c>
      <c r="I4287">
        <v>0.1741125760648204</v>
      </c>
      <c r="J4287">
        <v>0</v>
      </c>
      <c r="K4287">
        <v>0</v>
      </c>
      <c r="L4287" s="2">
        <v>0</v>
      </c>
      <c r="M4287">
        <v>44.65</v>
      </c>
      <c r="N4287" t="s">
        <v>10236</v>
      </c>
    </row>
    <row r="4288" spans="1:14">
      <c r="A4288" t="s">
        <v>35</v>
      </c>
      <c r="B4288" t="s">
        <v>4419</v>
      </c>
      <c r="C4288">
        <f>"25395864"</f>
        <v>0</v>
      </c>
      <c r="D4288">
        <v>0</v>
      </c>
      <c r="E4288">
        <v>2</v>
      </c>
      <c r="F4288" s="2">
        <v>5</v>
      </c>
      <c r="H4288">
        <v>0</v>
      </c>
      <c r="I4288">
        <v>0.1741125760648204</v>
      </c>
      <c r="J4288">
        <v>0</v>
      </c>
      <c r="K4288">
        <v>0</v>
      </c>
      <c r="L4288" s="2">
        <v>0</v>
      </c>
      <c r="M4288">
        <v>44.65</v>
      </c>
      <c r="N4288" t="s">
        <v>10236</v>
      </c>
    </row>
    <row r="4289" spans="1:14">
      <c r="A4289" t="s">
        <v>35</v>
      </c>
      <c r="B4289" t="s">
        <v>4420</v>
      </c>
      <c r="C4289">
        <f>"25395865"</f>
        <v>0</v>
      </c>
      <c r="D4289">
        <v>0</v>
      </c>
      <c r="E4289">
        <v>0</v>
      </c>
      <c r="F4289" s="2">
        <v>0</v>
      </c>
      <c r="H4289">
        <v>0</v>
      </c>
      <c r="I4289">
        <v>0.1741125760648204</v>
      </c>
      <c r="J4289">
        <v>0</v>
      </c>
      <c r="K4289">
        <v>0</v>
      </c>
      <c r="L4289" s="2">
        <v>0</v>
      </c>
      <c r="M4289">
        <v>44.66</v>
      </c>
      <c r="N4289" t="s">
        <v>10236</v>
      </c>
    </row>
    <row r="4290" spans="1:14">
      <c r="A4290" t="s">
        <v>35</v>
      </c>
      <c r="B4290" t="s">
        <v>4421</v>
      </c>
      <c r="C4290">
        <f>"25395862"</f>
        <v>0</v>
      </c>
      <c r="D4290">
        <v>0</v>
      </c>
      <c r="E4290">
        <v>0</v>
      </c>
      <c r="F4290" s="2">
        <v>0</v>
      </c>
      <c r="H4290">
        <v>0</v>
      </c>
      <c r="I4290">
        <v>0.1741125760648204</v>
      </c>
      <c r="J4290">
        <v>0</v>
      </c>
      <c r="K4290">
        <v>0</v>
      </c>
      <c r="L4290" s="2">
        <v>0</v>
      </c>
      <c r="M4290">
        <v>44.67</v>
      </c>
      <c r="N4290" t="s">
        <v>10236</v>
      </c>
    </row>
    <row r="4291" spans="1:14">
      <c r="A4291" t="s">
        <v>35</v>
      </c>
      <c r="B4291" t="s">
        <v>4422</v>
      </c>
      <c r="C4291">
        <f>"25395904"</f>
        <v>0</v>
      </c>
      <c r="D4291">
        <v>0</v>
      </c>
      <c r="E4291">
        <v>0</v>
      </c>
      <c r="F4291" s="2">
        <v>0</v>
      </c>
      <c r="H4291">
        <v>0</v>
      </c>
      <c r="I4291">
        <v>0.1741125760648204</v>
      </c>
      <c r="J4291">
        <v>0</v>
      </c>
      <c r="K4291">
        <v>0</v>
      </c>
      <c r="L4291" s="2">
        <v>0</v>
      </c>
      <c r="M4291">
        <v>44.68</v>
      </c>
      <c r="N4291" t="s">
        <v>10236</v>
      </c>
    </row>
    <row r="4292" spans="1:14">
      <c r="A4292" t="s">
        <v>195</v>
      </c>
      <c r="B4292" t="s">
        <v>4367</v>
      </c>
      <c r="C4292">
        <f>"27150007"</f>
        <v>0</v>
      </c>
      <c r="D4292">
        <v>0</v>
      </c>
      <c r="E4292">
        <v>0</v>
      </c>
      <c r="F4292" s="2">
        <v>0</v>
      </c>
      <c r="H4292">
        <v>0</v>
      </c>
      <c r="I4292">
        <v>0.1741125760648204</v>
      </c>
      <c r="J4292">
        <v>0</v>
      </c>
      <c r="K4292">
        <v>0</v>
      </c>
      <c r="L4292" s="2">
        <v>0</v>
      </c>
      <c r="M4292">
        <v>44.69</v>
      </c>
      <c r="N4292" t="s">
        <v>10236</v>
      </c>
    </row>
    <row r="4293" spans="1:14">
      <c r="A4293" t="s">
        <v>35</v>
      </c>
      <c r="B4293" t="s">
        <v>4423</v>
      </c>
      <c r="C4293">
        <f>"TQ71"</f>
        <v>0</v>
      </c>
      <c r="D4293">
        <v>0</v>
      </c>
      <c r="E4293">
        <v>0</v>
      </c>
      <c r="F4293" s="2">
        <v>0</v>
      </c>
      <c r="H4293">
        <v>0</v>
      </c>
      <c r="I4293">
        <v>0.1741125760648204</v>
      </c>
      <c r="J4293">
        <v>0</v>
      </c>
      <c r="K4293">
        <v>0</v>
      </c>
      <c r="L4293" s="2">
        <v>0</v>
      </c>
      <c r="M4293">
        <v>44.7</v>
      </c>
      <c r="N4293" t="s">
        <v>10236</v>
      </c>
    </row>
    <row r="4294" spans="1:14">
      <c r="A4294" t="s">
        <v>195</v>
      </c>
      <c r="B4294" t="s">
        <v>4424</v>
      </c>
      <c r="C4294">
        <f>"27868012"</f>
        <v>0</v>
      </c>
      <c r="D4294">
        <v>0</v>
      </c>
      <c r="E4294">
        <v>0</v>
      </c>
      <c r="F4294" s="2">
        <v>0</v>
      </c>
      <c r="H4294">
        <v>0</v>
      </c>
      <c r="I4294">
        <v>0.1741125760648204</v>
      </c>
      <c r="J4294">
        <v>0</v>
      </c>
      <c r="K4294">
        <v>0</v>
      </c>
      <c r="L4294" s="2">
        <v>0</v>
      </c>
      <c r="M4294">
        <v>44.71</v>
      </c>
      <c r="N4294" t="s">
        <v>10236</v>
      </c>
    </row>
    <row r="4295" spans="1:14">
      <c r="A4295" t="s">
        <v>195</v>
      </c>
      <c r="B4295" t="s">
        <v>4425</v>
      </c>
      <c r="C4295">
        <f>"27870555"</f>
        <v>0</v>
      </c>
      <c r="D4295">
        <v>0</v>
      </c>
      <c r="E4295">
        <v>0</v>
      </c>
      <c r="F4295" s="2">
        <v>0</v>
      </c>
      <c r="H4295">
        <v>0</v>
      </c>
      <c r="I4295">
        <v>0.1741125760648204</v>
      </c>
      <c r="J4295">
        <v>0</v>
      </c>
      <c r="K4295">
        <v>0</v>
      </c>
      <c r="L4295" s="2">
        <v>0</v>
      </c>
      <c r="M4295">
        <v>44.72</v>
      </c>
      <c r="N4295" t="s">
        <v>10236</v>
      </c>
    </row>
    <row r="4296" spans="1:14">
      <c r="A4296" t="s">
        <v>195</v>
      </c>
      <c r="B4296" t="s">
        <v>4426</v>
      </c>
      <c r="C4296">
        <f>"27867012"</f>
        <v>0</v>
      </c>
      <c r="D4296">
        <v>0</v>
      </c>
      <c r="E4296">
        <v>0</v>
      </c>
      <c r="F4296" s="2">
        <v>0</v>
      </c>
      <c r="H4296">
        <v>0</v>
      </c>
      <c r="I4296">
        <v>0.1741125760648204</v>
      </c>
      <c r="J4296">
        <v>0</v>
      </c>
      <c r="K4296">
        <v>0</v>
      </c>
      <c r="L4296" s="2">
        <v>0</v>
      </c>
      <c r="M4296">
        <v>44.73</v>
      </c>
      <c r="N4296" t="s">
        <v>10236</v>
      </c>
    </row>
    <row r="4297" spans="1:14">
      <c r="A4297" t="s">
        <v>195</v>
      </c>
      <c r="B4297" t="s">
        <v>4427</v>
      </c>
      <c r="C4297">
        <f>"27872055"</f>
        <v>0</v>
      </c>
      <c r="D4297">
        <v>0</v>
      </c>
      <c r="E4297">
        <v>0</v>
      </c>
      <c r="F4297" s="2">
        <v>0</v>
      </c>
      <c r="H4297">
        <v>0</v>
      </c>
      <c r="I4297">
        <v>0.1741125760648204</v>
      </c>
      <c r="J4297">
        <v>0</v>
      </c>
      <c r="K4297">
        <v>0</v>
      </c>
      <c r="L4297" s="2">
        <v>0</v>
      </c>
      <c r="M4297">
        <v>44.74</v>
      </c>
      <c r="N4297" t="s">
        <v>10236</v>
      </c>
    </row>
    <row r="4298" spans="1:14">
      <c r="A4298" t="s">
        <v>195</v>
      </c>
      <c r="B4298" t="s">
        <v>4428</v>
      </c>
      <c r="C4298">
        <f>"27869012"</f>
        <v>0</v>
      </c>
      <c r="D4298">
        <v>0</v>
      </c>
      <c r="E4298">
        <v>0</v>
      </c>
      <c r="F4298" s="2">
        <v>0</v>
      </c>
      <c r="H4298">
        <v>0</v>
      </c>
      <c r="I4298">
        <v>0.1741125760648204</v>
      </c>
      <c r="J4298">
        <v>0</v>
      </c>
      <c r="K4298">
        <v>0</v>
      </c>
      <c r="L4298" s="2">
        <v>0</v>
      </c>
      <c r="M4298">
        <v>44.75</v>
      </c>
      <c r="N4298" t="s">
        <v>10236</v>
      </c>
    </row>
    <row r="4299" spans="1:14">
      <c r="A4299" t="s">
        <v>195</v>
      </c>
      <c r="B4299" t="s">
        <v>4429</v>
      </c>
      <c r="C4299">
        <f>"27877055"</f>
        <v>0</v>
      </c>
      <c r="D4299">
        <v>0</v>
      </c>
      <c r="E4299">
        <v>0</v>
      </c>
      <c r="F4299" s="2">
        <v>0</v>
      </c>
      <c r="H4299">
        <v>0</v>
      </c>
      <c r="I4299">
        <v>0.1741125760648204</v>
      </c>
      <c r="J4299">
        <v>0</v>
      </c>
      <c r="K4299">
        <v>0</v>
      </c>
      <c r="L4299" s="2">
        <v>0</v>
      </c>
      <c r="M4299">
        <v>44.76</v>
      </c>
      <c r="N4299" t="s">
        <v>10236</v>
      </c>
    </row>
    <row r="4300" spans="1:14">
      <c r="A4300" t="s">
        <v>195</v>
      </c>
      <c r="B4300" t="s">
        <v>4430</v>
      </c>
      <c r="C4300">
        <f>"27974010"</f>
        <v>0</v>
      </c>
      <c r="D4300">
        <v>0</v>
      </c>
      <c r="E4300">
        <v>0</v>
      </c>
      <c r="F4300" s="2">
        <v>0</v>
      </c>
      <c r="H4300">
        <v>0</v>
      </c>
      <c r="I4300">
        <v>0.1741125760648204</v>
      </c>
      <c r="J4300">
        <v>0</v>
      </c>
      <c r="K4300">
        <v>0</v>
      </c>
      <c r="L4300" s="2">
        <v>0</v>
      </c>
      <c r="M4300">
        <v>44.77</v>
      </c>
      <c r="N4300" t="s">
        <v>10236</v>
      </c>
    </row>
    <row r="4301" spans="1:14">
      <c r="A4301" t="s">
        <v>195</v>
      </c>
      <c r="B4301" t="s">
        <v>4431</v>
      </c>
      <c r="C4301">
        <f>"27974005"</f>
        <v>0</v>
      </c>
      <c r="D4301">
        <v>0</v>
      </c>
      <c r="E4301">
        <v>0</v>
      </c>
      <c r="F4301" s="2">
        <v>0</v>
      </c>
      <c r="H4301">
        <v>0</v>
      </c>
      <c r="I4301">
        <v>0.1741125760648204</v>
      </c>
      <c r="J4301">
        <v>0</v>
      </c>
      <c r="K4301">
        <v>0</v>
      </c>
      <c r="L4301" s="2">
        <v>0</v>
      </c>
      <c r="M4301">
        <v>44.77</v>
      </c>
      <c r="N4301" t="s">
        <v>10236</v>
      </c>
    </row>
    <row r="4302" spans="1:14">
      <c r="A4302" t="s">
        <v>195</v>
      </c>
      <c r="B4302" t="s">
        <v>4432</v>
      </c>
      <c r="C4302">
        <f>"27240011"</f>
        <v>0</v>
      </c>
      <c r="D4302">
        <v>0</v>
      </c>
      <c r="E4302">
        <v>0</v>
      </c>
      <c r="F4302" s="2">
        <v>0</v>
      </c>
      <c r="H4302">
        <v>0</v>
      </c>
      <c r="I4302">
        <v>0.1741125760648204</v>
      </c>
      <c r="J4302">
        <v>0</v>
      </c>
      <c r="K4302">
        <v>0</v>
      </c>
      <c r="L4302" s="2">
        <v>0</v>
      </c>
      <c r="M4302">
        <v>44.78</v>
      </c>
      <c r="N4302" t="s">
        <v>10236</v>
      </c>
    </row>
    <row r="4303" spans="1:14">
      <c r="A4303" t="s">
        <v>195</v>
      </c>
      <c r="B4303" t="s">
        <v>4433</v>
      </c>
      <c r="C4303">
        <f>"27240014"</f>
        <v>0</v>
      </c>
      <c r="D4303">
        <v>0</v>
      </c>
      <c r="E4303">
        <v>0</v>
      </c>
      <c r="F4303" s="2">
        <v>0</v>
      </c>
      <c r="H4303">
        <v>0</v>
      </c>
      <c r="I4303">
        <v>0.1741125760648204</v>
      </c>
      <c r="J4303">
        <v>0</v>
      </c>
      <c r="K4303">
        <v>0</v>
      </c>
      <c r="L4303" s="2">
        <v>0</v>
      </c>
      <c r="M4303">
        <v>44.79</v>
      </c>
      <c r="N4303" t="s">
        <v>10236</v>
      </c>
    </row>
    <row r="4304" spans="1:14">
      <c r="A4304" t="s">
        <v>215</v>
      </c>
      <c r="B4304" t="s">
        <v>4434</v>
      </c>
      <c r="C4304">
        <f>"K01800K"</f>
        <v>0</v>
      </c>
      <c r="D4304">
        <v>0</v>
      </c>
      <c r="E4304">
        <v>0</v>
      </c>
      <c r="F4304" s="2">
        <v>0</v>
      </c>
      <c r="H4304">
        <v>0</v>
      </c>
      <c r="I4304">
        <v>0.1741125760648204</v>
      </c>
      <c r="J4304">
        <v>0</v>
      </c>
      <c r="K4304">
        <v>0</v>
      </c>
      <c r="L4304" s="2">
        <v>0</v>
      </c>
      <c r="M4304">
        <v>44.8</v>
      </c>
      <c r="N4304" t="s">
        <v>10236</v>
      </c>
    </row>
    <row r="4305" spans="1:14">
      <c r="A4305" t="s">
        <v>215</v>
      </c>
      <c r="B4305" t="s">
        <v>4435</v>
      </c>
      <c r="C4305">
        <f>"BCAC4456"</f>
        <v>0</v>
      </c>
      <c r="D4305">
        <v>0</v>
      </c>
      <c r="E4305">
        <v>0</v>
      </c>
      <c r="F4305" s="2">
        <v>0</v>
      </c>
      <c r="H4305">
        <v>0</v>
      </c>
      <c r="I4305">
        <v>0.1741125760648204</v>
      </c>
      <c r="J4305">
        <v>0</v>
      </c>
      <c r="K4305">
        <v>0</v>
      </c>
      <c r="L4305" s="2">
        <v>0</v>
      </c>
      <c r="M4305">
        <v>44.81</v>
      </c>
      <c r="N4305" t="s">
        <v>10236</v>
      </c>
    </row>
    <row r="4306" spans="1:14">
      <c r="A4306" t="s">
        <v>215</v>
      </c>
      <c r="B4306" t="s">
        <v>4436</v>
      </c>
      <c r="C4306">
        <f>"BCAC4455"</f>
        <v>0</v>
      </c>
      <c r="D4306">
        <v>0</v>
      </c>
      <c r="E4306">
        <v>1</v>
      </c>
      <c r="F4306" s="2">
        <v>20</v>
      </c>
      <c r="H4306">
        <v>0</v>
      </c>
      <c r="I4306">
        <v>0.1741125760648204</v>
      </c>
      <c r="J4306">
        <v>0</v>
      </c>
      <c r="K4306">
        <v>0</v>
      </c>
      <c r="L4306" s="2">
        <v>0</v>
      </c>
      <c r="M4306">
        <v>44.82</v>
      </c>
      <c r="N4306" t="s">
        <v>10236</v>
      </c>
    </row>
    <row r="4307" spans="1:14">
      <c r="A4307" t="s">
        <v>215</v>
      </c>
      <c r="B4307" t="s">
        <v>4437</v>
      </c>
      <c r="C4307">
        <f>"445502"</f>
        <v>0</v>
      </c>
      <c r="D4307">
        <v>0</v>
      </c>
      <c r="E4307">
        <v>0</v>
      </c>
      <c r="F4307" s="2">
        <v>0</v>
      </c>
      <c r="H4307">
        <v>0</v>
      </c>
      <c r="I4307">
        <v>0.1741125760648204</v>
      </c>
      <c r="J4307">
        <v>0</v>
      </c>
      <c r="K4307">
        <v>0</v>
      </c>
      <c r="L4307" s="2">
        <v>0</v>
      </c>
      <c r="M4307">
        <v>44.83</v>
      </c>
      <c r="N4307" t="s">
        <v>10236</v>
      </c>
    </row>
    <row r="4308" spans="1:14">
      <c r="A4308" t="s">
        <v>195</v>
      </c>
      <c r="B4308" t="s">
        <v>4438</v>
      </c>
      <c r="C4308">
        <f>"27871055"</f>
        <v>0</v>
      </c>
      <c r="D4308">
        <v>0</v>
      </c>
      <c r="E4308">
        <v>0</v>
      </c>
      <c r="F4308" s="2">
        <v>0</v>
      </c>
      <c r="H4308">
        <v>0</v>
      </c>
      <c r="I4308">
        <v>0.1741125760648204</v>
      </c>
      <c r="J4308">
        <v>0</v>
      </c>
      <c r="K4308">
        <v>0</v>
      </c>
      <c r="L4308" s="2">
        <v>0</v>
      </c>
      <c r="M4308">
        <v>44.84</v>
      </c>
      <c r="N4308" t="s">
        <v>10236</v>
      </c>
    </row>
    <row r="4309" spans="1:14">
      <c r="A4309" t="s">
        <v>195</v>
      </c>
      <c r="B4309" t="s">
        <v>4439</v>
      </c>
      <c r="C4309">
        <f>"27240001"</f>
        <v>0</v>
      </c>
      <c r="D4309">
        <v>0</v>
      </c>
      <c r="E4309">
        <v>0</v>
      </c>
      <c r="F4309" s="2">
        <v>0</v>
      </c>
      <c r="H4309">
        <v>0</v>
      </c>
      <c r="I4309">
        <v>0.1741125760648204</v>
      </c>
      <c r="J4309">
        <v>0</v>
      </c>
      <c r="K4309">
        <v>0</v>
      </c>
      <c r="L4309" s="2">
        <v>0</v>
      </c>
      <c r="M4309">
        <v>44.85</v>
      </c>
      <c r="N4309" t="s">
        <v>10236</v>
      </c>
    </row>
    <row r="4310" spans="1:14">
      <c r="A4310" t="s">
        <v>195</v>
      </c>
      <c r="B4310" t="s">
        <v>4440</v>
      </c>
      <c r="C4310">
        <f>"27024010"</f>
        <v>0</v>
      </c>
      <c r="D4310">
        <v>0</v>
      </c>
      <c r="E4310">
        <v>0</v>
      </c>
      <c r="F4310" s="2">
        <v>0</v>
      </c>
      <c r="H4310">
        <v>0</v>
      </c>
      <c r="I4310">
        <v>0.1741125760648204</v>
      </c>
      <c r="J4310">
        <v>0</v>
      </c>
      <c r="K4310">
        <v>0</v>
      </c>
      <c r="L4310" s="2">
        <v>0</v>
      </c>
      <c r="M4310">
        <v>44.86</v>
      </c>
      <c r="N4310" t="s">
        <v>10236</v>
      </c>
    </row>
    <row r="4311" spans="1:14">
      <c r="A4311" t="s">
        <v>195</v>
      </c>
      <c r="B4311" t="s">
        <v>4441</v>
      </c>
      <c r="C4311">
        <f>"27024014"</f>
        <v>0</v>
      </c>
      <c r="D4311">
        <v>0</v>
      </c>
      <c r="E4311">
        <v>0</v>
      </c>
      <c r="F4311" s="2">
        <v>0</v>
      </c>
      <c r="H4311">
        <v>0</v>
      </c>
      <c r="I4311">
        <v>0.1741125760648204</v>
      </c>
      <c r="J4311">
        <v>0</v>
      </c>
      <c r="K4311">
        <v>0</v>
      </c>
      <c r="L4311" s="2">
        <v>0</v>
      </c>
      <c r="M4311">
        <v>44.87</v>
      </c>
      <c r="N4311" t="s">
        <v>10236</v>
      </c>
    </row>
    <row r="4312" spans="1:14">
      <c r="A4312" t="s">
        <v>195</v>
      </c>
      <c r="B4312" t="s">
        <v>4442</v>
      </c>
      <c r="C4312">
        <f>"27024012"</f>
        <v>0</v>
      </c>
      <c r="D4312">
        <v>0</v>
      </c>
      <c r="E4312">
        <v>0</v>
      </c>
      <c r="F4312" s="2">
        <v>0</v>
      </c>
      <c r="H4312">
        <v>0</v>
      </c>
      <c r="I4312">
        <v>0.1741125760648204</v>
      </c>
      <c r="J4312">
        <v>0</v>
      </c>
      <c r="K4312">
        <v>0</v>
      </c>
      <c r="L4312" s="2">
        <v>0</v>
      </c>
      <c r="M4312">
        <v>44.88</v>
      </c>
      <c r="N4312" t="s">
        <v>10236</v>
      </c>
    </row>
    <row r="4313" spans="1:14">
      <c r="A4313" t="s">
        <v>195</v>
      </c>
      <c r="B4313" t="s">
        <v>4443</v>
      </c>
      <c r="C4313">
        <f>"27024013"</f>
        <v>0</v>
      </c>
      <c r="D4313">
        <v>0</v>
      </c>
      <c r="E4313">
        <v>0</v>
      </c>
      <c r="F4313" s="2">
        <v>0</v>
      </c>
      <c r="H4313">
        <v>0</v>
      </c>
      <c r="I4313">
        <v>0.1741125760648204</v>
      </c>
      <c r="J4313">
        <v>0</v>
      </c>
      <c r="K4313">
        <v>0</v>
      </c>
      <c r="L4313" s="2">
        <v>0</v>
      </c>
      <c r="M4313">
        <v>44.89</v>
      </c>
      <c r="N4313" t="s">
        <v>10236</v>
      </c>
    </row>
    <row r="4314" spans="1:14">
      <c r="A4314" t="s">
        <v>195</v>
      </c>
      <c r="B4314" t="s">
        <v>4444</v>
      </c>
      <c r="C4314">
        <f>"27024011"</f>
        <v>0</v>
      </c>
      <c r="D4314">
        <v>0</v>
      </c>
      <c r="E4314">
        <v>0</v>
      </c>
      <c r="F4314" s="2">
        <v>0</v>
      </c>
      <c r="H4314">
        <v>0</v>
      </c>
      <c r="I4314">
        <v>0.1741125760648204</v>
      </c>
      <c r="J4314">
        <v>0</v>
      </c>
      <c r="K4314">
        <v>0</v>
      </c>
      <c r="L4314" s="2">
        <v>0</v>
      </c>
      <c r="M4314">
        <v>44.89</v>
      </c>
      <c r="N4314" t="s">
        <v>10236</v>
      </c>
    </row>
    <row r="4315" spans="1:14">
      <c r="A4315" t="s">
        <v>35</v>
      </c>
      <c r="B4315" t="s">
        <v>4445</v>
      </c>
      <c r="C4315">
        <f>"OGHTS"</f>
        <v>0</v>
      </c>
      <c r="D4315">
        <v>0</v>
      </c>
      <c r="E4315">
        <v>0</v>
      </c>
      <c r="F4315" s="2">
        <v>0</v>
      </c>
      <c r="H4315">
        <v>0</v>
      </c>
      <c r="I4315">
        <v>0.1741125760648204</v>
      </c>
      <c r="J4315">
        <v>0</v>
      </c>
      <c r="K4315">
        <v>0</v>
      </c>
      <c r="L4315" s="2">
        <v>0</v>
      </c>
      <c r="M4315">
        <v>44.9</v>
      </c>
      <c r="N4315" t="s">
        <v>10236</v>
      </c>
    </row>
    <row r="4316" spans="1:14">
      <c r="A4316" t="s">
        <v>41</v>
      </c>
      <c r="B4316" t="s">
        <v>4446</v>
      </c>
      <c r="C4316">
        <f>"AZM00266"</f>
        <v>0</v>
      </c>
      <c r="D4316">
        <v>0</v>
      </c>
      <c r="E4316">
        <v>3</v>
      </c>
      <c r="F4316" s="2">
        <v>19</v>
      </c>
      <c r="H4316">
        <v>0</v>
      </c>
      <c r="I4316">
        <v>0.1741125760648204</v>
      </c>
      <c r="J4316">
        <v>0</v>
      </c>
      <c r="K4316">
        <v>0</v>
      </c>
      <c r="L4316" s="2">
        <v>0</v>
      </c>
      <c r="M4316">
        <v>44.91</v>
      </c>
      <c r="N4316" t="s">
        <v>10236</v>
      </c>
    </row>
    <row r="4317" spans="1:14">
      <c r="A4317" t="s">
        <v>24</v>
      </c>
      <c r="B4317" t="s">
        <v>4447</v>
      </c>
      <c r="C4317">
        <f>"1141061"</f>
        <v>0</v>
      </c>
      <c r="D4317">
        <v>0</v>
      </c>
      <c r="E4317">
        <v>3</v>
      </c>
      <c r="F4317" s="2">
        <v>16</v>
      </c>
      <c r="H4317">
        <v>0</v>
      </c>
      <c r="I4317">
        <v>0.1741125760648204</v>
      </c>
      <c r="J4317">
        <v>0</v>
      </c>
      <c r="K4317">
        <v>0</v>
      </c>
      <c r="L4317" s="2">
        <v>0</v>
      </c>
      <c r="M4317">
        <v>44.92</v>
      </c>
      <c r="N4317" t="s">
        <v>10236</v>
      </c>
    </row>
    <row r="4318" spans="1:14">
      <c r="A4318" t="s">
        <v>193</v>
      </c>
      <c r="B4318" t="s">
        <v>4448</v>
      </c>
      <c r="C4318">
        <f>"2GA3312"</f>
        <v>0</v>
      </c>
      <c r="D4318">
        <v>0</v>
      </c>
      <c r="E4318">
        <v>0</v>
      </c>
      <c r="F4318" s="2">
        <v>0</v>
      </c>
      <c r="H4318">
        <v>0</v>
      </c>
      <c r="I4318">
        <v>0.1741125760648204</v>
      </c>
      <c r="J4318">
        <v>0</v>
      </c>
      <c r="K4318">
        <v>0</v>
      </c>
      <c r="L4318" s="2">
        <v>0</v>
      </c>
      <c r="M4318">
        <v>44.93</v>
      </c>
      <c r="N4318" t="s">
        <v>10236</v>
      </c>
    </row>
    <row r="4319" spans="1:14">
      <c r="A4319" t="s">
        <v>193</v>
      </c>
      <c r="B4319" t="s">
        <v>4449</v>
      </c>
      <c r="C4319">
        <f>"564431"</f>
        <v>0</v>
      </c>
      <c r="D4319">
        <v>0</v>
      </c>
      <c r="E4319">
        <v>0</v>
      </c>
      <c r="F4319" s="2">
        <v>0</v>
      </c>
      <c r="H4319">
        <v>0</v>
      </c>
      <c r="I4319">
        <v>0.1741125760648204</v>
      </c>
      <c r="J4319">
        <v>0</v>
      </c>
      <c r="K4319">
        <v>0</v>
      </c>
      <c r="L4319" s="2">
        <v>0</v>
      </c>
      <c r="M4319">
        <v>44.94</v>
      </c>
      <c r="N4319" t="s">
        <v>10236</v>
      </c>
    </row>
    <row r="4320" spans="1:14">
      <c r="A4320" t="s">
        <v>193</v>
      </c>
      <c r="B4320" t="s">
        <v>4450</v>
      </c>
      <c r="C4320">
        <f>"563632"</f>
        <v>0</v>
      </c>
      <c r="D4320">
        <v>0</v>
      </c>
      <c r="E4320">
        <v>0</v>
      </c>
      <c r="F4320" s="2">
        <v>0</v>
      </c>
      <c r="H4320">
        <v>0</v>
      </c>
      <c r="I4320">
        <v>0.1741125760648204</v>
      </c>
      <c r="J4320">
        <v>0</v>
      </c>
      <c r="K4320">
        <v>0</v>
      </c>
      <c r="L4320" s="2">
        <v>0</v>
      </c>
      <c r="M4320">
        <v>44.95</v>
      </c>
      <c r="N4320" t="s">
        <v>10236</v>
      </c>
    </row>
    <row r="4321" spans="1:14">
      <c r="A4321" t="s">
        <v>193</v>
      </c>
      <c r="B4321" t="s">
        <v>4451</v>
      </c>
      <c r="C4321">
        <f>"563588"</f>
        <v>0</v>
      </c>
      <c r="D4321">
        <v>0</v>
      </c>
      <c r="E4321">
        <v>0</v>
      </c>
      <c r="F4321" s="2">
        <v>0</v>
      </c>
      <c r="H4321">
        <v>0</v>
      </c>
      <c r="I4321">
        <v>0.1741125760648204</v>
      </c>
      <c r="J4321">
        <v>0</v>
      </c>
      <c r="K4321">
        <v>0</v>
      </c>
      <c r="L4321" s="2">
        <v>0</v>
      </c>
      <c r="M4321">
        <v>44.96</v>
      </c>
      <c r="N4321" t="s">
        <v>10236</v>
      </c>
    </row>
    <row r="4322" spans="1:14">
      <c r="A4322" t="s">
        <v>215</v>
      </c>
      <c r="B4322" t="s">
        <v>4452</v>
      </c>
      <c r="C4322">
        <f>"442006"</f>
        <v>0</v>
      </c>
      <c r="D4322">
        <v>0</v>
      </c>
      <c r="E4322">
        <v>0</v>
      </c>
      <c r="F4322" s="2">
        <v>0</v>
      </c>
      <c r="H4322">
        <v>0</v>
      </c>
      <c r="I4322">
        <v>0.1741125760648204</v>
      </c>
      <c r="J4322">
        <v>0</v>
      </c>
      <c r="K4322">
        <v>0</v>
      </c>
      <c r="L4322" s="2">
        <v>0</v>
      </c>
      <c r="M4322">
        <v>44.97</v>
      </c>
      <c r="N4322" t="s">
        <v>10236</v>
      </c>
    </row>
    <row r="4323" spans="1:14">
      <c r="A4323" t="s">
        <v>215</v>
      </c>
      <c r="B4323" t="s">
        <v>4453</v>
      </c>
      <c r="C4323">
        <f>"442002"</f>
        <v>0</v>
      </c>
      <c r="D4323">
        <v>0</v>
      </c>
      <c r="E4323">
        <v>0</v>
      </c>
      <c r="F4323" s="2">
        <v>0</v>
      </c>
      <c r="H4323">
        <v>0</v>
      </c>
      <c r="I4323">
        <v>0.1741125760648204</v>
      </c>
      <c r="J4323">
        <v>0</v>
      </c>
      <c r="K4323">
        <v>0</v>
      </c>
      <c r="L4323" s="2">
        <v>0</v>
      </c>
      <c r="M4323">
        <v>44.98</v>
      </c>
      <c r="N4323" t="s">
        <v>10236</v>
      </c>
    </row>
    <row r="4324" spans="1:14">
      <c r="A4324" t="s">
        <v>215</v>
      </c>
      <c r="B4324" t="s">
        <v>4454</v>
      </c>
      <c r="C4324">
        <f>"445512"</f>
        <v>0</v>
      </c>
      <c r="D4324">
        <v>0</v>
      </c>
      <c r="E4324">
        <v>0</v>
      </c>
      <c r="F4324" s="2">
        <v>0</v>
      </c>
      <c r="H4324">
        <v>0</v>
      </c>
      <c r="I4324">
        <v>0.1741125760648204</v>
      </c>
      <c r="J4324">
        <v>0</v>
      </c>
      <c r="K4324">
        <v>0</v>
      </c>
      <c r="L4324" s="2">
        <v>0</v>
      </c>
      <c r="M4324">
        <v>44.99</v>
      </c>
      <c r="N4324" t="s">
        <v>10236</v>
      </c>
    </row>
    <row r="4325" spans="1:14">
      <c r="A4325" t="s">
        <v>195</v>
      </c>
      <c r="B4325" t="s">
        <v>4455</v>
      </c>
      <c r="C4325">
        <f>"27230003"</f>
        <v>0</v>
      </c>
      <c r="D4325">
        <v>0</v>
      </c>
      <c r="E4325">
        <v>0</v>
      </c>
      <c r="F4325" s="2">
        <v>0</v>
      </c>
      <c r="H4325">
        <v>0</v>
      </c>
      <c r="I4325">
        <v>0.1741125760648204</v>
      </c>
      <c r="J4325">
        <v>0</v>
      </c>
      <c r="K4325">
        <v>0</v>
      </c>
      <c r="L4325" s="2">
        <v>0</v>
      </c>
      <c r="M4325">
        <v>45</v>
      </c>
      <c r="N4325" t="s">
        <v>10236</v>
      </c>
    </row>
    <row r="4326" spans="1:14">
      <c r="A4326" t="s">
        <v>195</v>
      </c>
      <c r="B4326" t="s">
        <v>4456</v>
      </c>
      <c r="C4326">
        <f>"27230006"</f>
        <v>0</v>
      </c>
      <c r="D4326">
        <v>0</v>
      </c>
      <c r="E4326">
        <v>0</v>
      </c>
      <c r="F4326" s="2">
        <v>0</v>
      </c>
      <c r="H4326">
        <v>0</v>
      </c>
      <c r="I4326">
        <v>0.1741125760648204</v>
      </c>
      <c r="J4326">
        <v>0</v>
      </c>
      <c r="K4326">
        <v>0</v>
      </c>
      <c r="L4326" s="2">
        <v>0</v>
      </c>
      <c r="M4326">
        <v>45</v>
      </c>
      <c r="N4326" t="s">
        <v>10236</v>
      </c>
    </row>
    <row r="4327" spans="1:14">
      <c r="A4327" t="s">
        <v>195</v>
      </c>
      <c r="B4327" t="s">
        <v>4457</v>
      </c>
      <c r="C4327">
        <f>"27230005"</f>
        <v>0</v>
      </c>
      <c r="D4327">
        <v>0</v>
      </c>
      <c r="E4327">
        <v>0</v>
      </c>
      <c r="F4327" s="2">
        <v>0</v>
      </c>
      <c r="H4327">
        <v>0</v>
      </c>
      <c r="I4327">
        <v>0.1741125760648204</v>
      </c>
      <c r="J4327">
        <v>0</v>
      </c>
      <c r="K4327">
        <v>0</v>
      </c>
      <c r="L4327" s="2">
        <v>0</v>
      </c>
      <c r="M4327">
        <v>45.01</v>
      </c>
      <c r="N4327" t="s">
        <v>10236</v>
      </c>
    </row>
    <row r="4328" spans="1:14">
      <c r="A4328" t="s">
        <v>195</v>
      </c>
      <c r="B4328" t="s">
        <v>4458</v>
      </c>
      <c r="C4328">
        <f>"27230001"</f>
        <v>0</v>
      </c>
      <c r="D4328">
        <v>0</v>
      </c>
      <c r="E4328">
        <v>0</v>
      </c>
      <c r="F4328" s="2">
        <v>0</v>
      </c>
      <c r="H4328">
        <v>0</v>
      </c>
      <c r="I4328">
        <v>0.1741125760648204</v>
      </c>
      <c r="J4328">
        <v>0</v>
      </c>
      <c r="K4328">
        <v>0</v>
      </c>
      <c r="L4328" s="2">
        <v>0</v>
      </c>
      <c r="M4328">
        <v>45.02</v>
      </c>
      <c r="N4328" t="s">
        <v>10236</v>
      </c>
    </row>
    <row r="4329" spans="1:14">
      <c r="A4329" t="s">
        <v>195</v>
      </c>
      <c r="B4329" t="s">
        <v>4459</v>
      </c>
      <c r="C4329">
        <f>"27210003"</f>
        <v>0</v>
      </c>
      <c r="D4329">
        <v>0</v>
      </c>
      <c r="E4329">
        <v>0</v>
      </c>
      <c r="F4329" s="2">
        <v>0</v>
      </c>
      <c r="H4329">
        <v>0</v>
      </c>
      <c r="I4329">
        <v>0.1741125760648204</v>
      </c>
      <c r="J4329">
        <v>0</v>
      </c>
      <c r="K4329">
        <v>0</v>
      </c>
      <c r="L4329" s="2">
        <v>0</v>
      </c>
      <c r="M4329">
        <v>45.03</v>
      </c>
      <c r="N4329" t="s">
        <v>10236</v>
      </c>
    </row>
    <row r="4330" spans="1:14">
      <c r="A4330" t="s">
        <v>195</v>
      </c>
      <c r="B4330" t="s">
        <v>4460</v>
      </c>
      <c r="C4330">
        <f>"27210001"</f>
        <v>0</v>
      </c>
      <c r="D4330">
        <v>0</v>
      </c>
      <c r="E4330">
        <v>0</v>
      </c>
      <c r="F4330" s="2">
        <v>0</v>
      </c>
      <c r="H4330">
        <v>0</v>
      </c>
      <c r="I4330">
        <v>0.1741125760648204</v>
      </c>
      <c r="J4330">
        <v>0</v>
      </c>
      <c r="K4330">
        <v>0</v>
      </c>
      <c r="L4330" s="2">
        <v>0</v>
      </c>
      <c r="M4330">
        <v>45.04</v>
      </c>
      <c r="N4330" t="s">
        <v>10236</v>
      </c>
    </row>
    <row r="4331" spans="1:14">
      <c r="A4331" t="s">
        <v>195</v>
      </c>
      <c r="B4331" t="s">
        <v>4461</v>
      </c>
      <c r="C4331">
        <f>"27220014"</f>
        <v>0</v>
      </c>
      <c r="D4331">
        <v>0</v>
      </c>
      <c r="E4331">
        <v>0</v>
      </c>
      <c r="F4331" s="2">
        <v>0</v>
      </c>
      <c r="H4331">
        <v>0</v>
      </c>
      <c r="I4331">
        <v>0.1741125760648204</v>
      </c>
      <c r="J4331">
        <v>0</v>
      </c>
      <c r="K4331">
        <v>0</v>
      </c>
      <c r="L4331" s="2">
        <v>0</v>
      </c>
      <c r="M4331">
        <v>45.05</v>
      </c>
      <c r="N4331" t="s">
        <v>10236</v>
      </c>
    </row>
    <row r="4332" spans="1:14">
      <c r="A4332" t="s">
        <v>195</v>
      </c>
      <c r="B4332" t="s">
        <v>4367</v>
      </c>
      <c r="C4332">
        <f>"27140002"</f>
        <v>0</v>
      </c>
      <c r="D4332">
        <v>0</v>
      </c>
      <c r="E4332">
        <v>0</v>
      </c>
      <c r="F4332" s="2">
        <v>0</v>
      </c>
      <c r="H4332">
        <v>0</v>
      </c>
      <c r="I4332">
        <v>0.1741125760648204</v>
      </c>
      <c r="J4332">
        <v>0</v>
      </c>
      <c r="K4332">
        <v>0</v>
      </c>
      <c r="L4332" s="2">
        <v>0</v>
      </c>
      <c r="M4332">
        <v>45.06</v>
      </c>
      <c r="N4332" t="s">
        <v>10236</v>
      </c>
    </row>
    <row r="4333" spans="1:14">
      <c r="A4333" t="s">
        <v>195</v>
      </c>
      <c r="B4333" t="s">
        <v>4367</v>
      </c>
      <c r="C4333">
        <f>"27110002"</f>
        <v>0</v>
      </c>
      <c r="D4333">
        <v>0</v>
      </c>
      <c r="E4333">
        <v>0</v>
      </c>
      <c r="F4333" s="2">
        <v>0</v>
      </c>
      <c r="H4333">
        <v>0</v>
      </c>
      <c r="I4333">
        <v>0.1741125760648204</v>
      </c>
      <c r="J4333">
        <v>0</v>
      </c>
      <c r="K4333">
        <v>0</v>
      </c>
      <c r="L4333" s="2">
        <v>0</v>
      </c>
      <c r="M4333">
        <v>45.07</v>
      </c>
      <c r="N4333" t="s">
        <v>10236</v>
      </c>
    </row>
    <row r="4334" spans="1:14">
      <c r="A4334" t="s">
        <v>195</v>
      </c>
      <c r="B4334" t="s">
        <v>4462</v>
      </c>
      <c r="C4334">
        <f>"27240019"</f>
        <v>0</v>
      </c>
      <c r="D4334">
        <v>0</v>
      </c>
      <c r="E4334">
        <v>0</v>
      </c>
      <c r="F4334" s="2">
        <v>0</v>
      </c>
      <c r="H4334">
        <v>0</v>
      </c>
      <c r="I4334">
        <v>0.1741125760648204</v>
      </c>
      <c r="J4334">
        <v>0</v>
      </c>
      <c r="K4334">
        <v>0</v>
      </c>
      <c r="L4334" s="2">
        <v>0</v>
      </c>
      <c r="M4334">
        <v>45.08</v>
      </c>
      <c r="N4334" t="s">
        <v>10236</v>
      </c>
    </row>
    <row r="4335" spans="1:14">
      <c r="A4335" t="s">
        <v>195</v>
      </c>
      <c r="B4335" t="s">
        <v>4463</v>
      </c>
      <c r="C4335">
        <f>"27240020"</f>
        <v>0</v>
      </c>
      <c r="D4335">
        <v>0</v>
      </c>
      <c r="E4335">
        <v>0</v>
      </c>
      <c r="F4335" s="2">
        <v>0</v>
      </c>
      <c r="H4335">
        <v>0</v>
      </c>
      <c r="I4335">
        <v>0.1741125760648204</v>
      </c>
      <c r="J4335">
        <v>0</v>
      </c>
      <c r="K4335">
        <v>0</v>
      </c>
      <c r="L4335" s="2">
        <v>0</v>
      </c>
      <c r="M4335">
        <v>45.09</v>
      </c>
      <c r="N4335" t="s">
        <v>10236</v>
      </c>
    </row>
    <row r="4336" spans="1:14">
      <c r="A4336" t="s">
        <v>195</v>
      </c>
      <c r="B4336" t="s">
        <v>4464</v>
      </c>
      <c r="C4336">
        <f>"27240003"</f>
        <v>0</v>
      </c>
      <c r="D4336">
        <v>0</v>
      </c>
      <c r="E4336">
        <v>0</v>
      </c>
      <c r="F4336" s="2">
        <v>0</v>
      </c>
      <c r="H4336">
        <v>0</v>
      </c>
      <c r="I4336">
        <v>0.1741125760648204</v>
      </c>
      <c r="J4336">
        <v>0</v>
      </c>
      <c r="K4336">
        <v>0</v>
      </c>
      <c r="L4336" s="2">
        <v>0</v>
      </c>
      <c r="M4336">
        <v>45.1</v>
      </c>
      <c r="N4336" t="s">
        <v>10236</v>
      </c>
    </row>
    <row r="4337" spans="1:14">
      <c r="A4337" t="s">
        <v>195</v>
      </c>
      <c r="B4337" t="s">
        <v>4465</v>
      </c>
      <c r="C4337">
        <f>"27240006"</f>
        <v>0</v>
      </c>
      <c r="D4337">
        <v>0</v>
      </c>
      <c r="E4337">
        <v>1</v>
      </c>
      <c r="F4337" s="2">
        <v>17</v>
      </c>
      <c r="H4337">
        <v>0</v>
      </c>
      <c r="I4337">
        <v>0.1741125760648204</v>
      </c>
      <c r="J4337">
        <v>0</v>
      </c>
      <c r="K4337">
        <v>0</v>
      </c>
      <c r="L4337" s="2">
        <v>0</v>
      </c>
      <c r="M4337">
        <v>45.11</v>
      </c>
      <c r="N4337" t="s">
        <v>10236</v>
      </c>
    </row>
    <row r="4338" spans="1:14">
      <c r="A4338" t="s">
        <v>195</v>
      </c>
      <c r="B4338" t="s">
        <v>4466</v>
      </c>
      <c r="C4338">
        <f>"27240009"</f>
        <v>0</v>
      </c>
      <c r="D4338">
        <v>0</v>
      </c>
      <c r="E4338">
        <v>0</v>
      </c>
      <c r="F4338" s="2">
        <v>0</v>
      </c>
      <c r="H4338">
        <v>0</v>
      </c>
      <c r="I4338">
        <v>0.1741125760648204</v>
      </c>
      <c r="J4338">
        <v>0</v>
      </c>
      <c r="K4338">
        <v>0</v>
      </c>
      <c r="L4338" s="2">
        <v>0</v>
      </c>
      <c r="M4338">
        <v>45.12</v>
      </c>
      <c r="N4338" t="s">
        <v>10236</v>
      </c>
    </row>
    <row r="4339" spans="1:14">
      <c r="A4339" t="s">
        <v>215</v>
      </c>
      <c r="B4339" t="s">
        <v>4467</v>
      </c>
      <c r="C4339">
        <f>"BCAC4430"</f>
        <v>0</v>
      </c>
      <c r="D4339">
        <v>0</v>
      </c>
      <c r="E4339">
        <v>0</v>
      </c>
      <c r="F4339" s="2">
        <v>0</v>
      </c>
      <c r="H4339">
        <v>0</v>
      </c>
      <c r="I4339">
        <v>0.1741125760648204</v>
      </c>
      <c r="J4339">
        <v>0</v>
      </c>
      <c r="K4339">
        <v>0</v>
      </c>
      <c r="L4339" s="2">
        <v>0</v>
      </c>
      <c r="M4339">
        <v>45.12</v>
      </c>
      <c r="N4339" t="s">
        <v>10236</v>
      </c>
    </row>
    <row r="4340" spans="1:14">
      <c r="A4340" t="s">
        <v>195</v>
      </c>
      <c r="B4340" t="s">
        <v>4367</v>
      </c>
      <c r="C4340">
        <f>"27120003"</f>
        <v>0</v>
      </c>
      <c r="D4340">
        <v>0</v>
      </c>
      <c r="E4340">
        <v>0</v>
      </c>
      <c r="F4340" s="2">
        <v>0</v>
      </c>
      <c r="H4340">
        <v>0</v>
      </c>
      <c r="I4340">
        <v>0.1741125760648204</v>
      </c>
      <c r="J4340">
        <v>0</v>
      </c>
      <c r="K4340">
        <v>0</v>
      </c>
      <c r="L4340" s="2">
        <v>0</v>
      </c>
      <c r="M4340">
        <v>45.13</v>
      </c>
      <c r="N4340" t="s">
        <v>10236</v>
      </c>
    </row>
    <row r="4341" spans="1:14">
      <c r="A4341" t="s">
        <v>195</v>
      </c>
      <c r="B4341" t="s">
        <v>4367</v>
      </c>
      <c r="C4341">
        <f>"27130003"</f>
        <v>0</v>
      </c>
      <c r="D4341">
        <v>0</v>
      </c>
      <c r="E4341">
        <v>0</v>
      </c>
      <c r="F4341" s="2">
        <v>0</v>
      </c>
      <c r="H4341">
        <v>0</v>
      </c>
      <c r="I4341">
        <v>0.1741125760648204</v>
      </c>
      <c r="J4341">
        <v>0</v>
      </c>
      <c r="K4341">
        <v>0</v>
      </c>
      <c r="L4341" s="2">
        <v>0</v>
      </c>
      <c r="M4341">
        <v>45.14</v>
      </c>
      <c r="N4341" t="s">
        <v>10236</v>
      </c>
    </row>
    <row r="4342" spans="1:14">
      <c r="A4342" t="s">
        <v>195</v>
      </c>
      <c r="B4342" t="s">
        <v>4367</v>
      </c>
      <c r="C4342">
        <f>"27130002"</f>
        <v>0</v>
      </c>
      <c r="D4342">
        <v>0</v>
      </c>
      <c r="E4342">
        <v>0</v>
      </c>
      <c r="F4342" s="2">
        <v>0</v>
      </c>
      <c r="H4342">
        <v>0</v>
      </c>
      <c r="I4342">
        <v>0.1741125760648204</v>
      </c>
      <c r="J4342">
        <v>0</v>
      </c>
      <c r="K4342">
        <v>0</v>
      </c>
      <c r="L4342" s="2">
        <v>0</v>
      </c>
      <c r="M4342">
        <v>45.15</v>
      </c>
      <c r="N4342" t="s">
        <v>10236</v>
      </c>
    </row>
    <row r="4343" spans="1:14">
      <c r="A4343" t="s">
        <v>195</v>
      </c>
      <c r="B4343" t="s">
        <v>4367</v>
      </c>
      <c r="C4343">
        <f>"27120002"</f>
        <v>0</v>
      </c>
      <c r="D4343">
        <v>0</v>
      </c>
      <c r="E4343">
        <v>0</v>
      </c>
      <c r="F4343" s="2">
        <v>0</v>
      </c>
      <c r="H4343">
        <v>0</v>
      </c>
      <c r="I4343">
        <v>0.1741125760648204</v>
      </c>
      <c r="J4343">
        <v>0</v>
      </c>
      <c r="K4343">
        <v>0</v>
      </c>
      <c r="L4343" s="2">
        <v>0</v>
      </c>
      <c r="M4343">
        <v>45.16</v>
      </c>
      <c r="N4343" t="s">
        <v>10236</v>
      </c>
    </row>
    <row r="4344" spans="1:14">
      <c r="A4344" t="s">
        <v>195</v>
      </c>
      <c r="B4344" t="s">
        <v>4468</v>
      </c>
      <c r="C4344">
        <f>"27220011"</f>
        <v>0</v>
      </c>
      <c r="D4344">
        <v>0</v>
      </c>
      <c r="E4344">
        <v>0</v>
      </c>
      <c r="F4344" s="2">
        <v>0</v>
      </c>
      <c r="H4344">
        <v>0</v>
      </c>
      <c r="I4344">
        <v>0.1741125760648204</v>
      </c>
      <c r="J4344">
        <v>0</v>
      </c>
      <c r="K4344">
        <v>0</v>
      </c>
      <c r="L4344" s="2">
        <v>0</v>
      </c>
      <c r="M4344">
        <v>45.17</v>
      </c>
      <c r="N4344" t="s">
        <v>10236</v>
      </c>
    </row>
    <row r="4345" spans="1:14">
      <c r="A4345" t="s">
        <v>195</v>
      </c>
      <c r="B4345" t="s">
        <v>4469</v>
      </c>
      <c r="C4345">
        <f>"27220003"</f>
        <v>0</v>
      </c>
      <c r="D4345">
        <v>0</v>
      </c>
      <c r="E4345">
        <v>0</v>
      </c>
      <c r="F4345" s="2">
        <v>0</v>
      </c>
      <c r="H4345">
        <v>0</v>
      </c>
      <c r="I4345">
        <v>0.1741125760648204</v>
      </c>
      <c r="J4345">
        <v>0</v>
      </c>
      <c r="K4345">
        <v>0</v>
      </c>
      <c r="L4345" s="2">
        <v>0</v>
      </c>
      <c r="M4345">
        <v>45.18</v>
      </c>
      <c r="N4345" t="s">
        <v>10236</v>
      </c>
    </row>
    <row r="4346" spans="1:14">
      <c r="A4346" t="s">
        <v>195</v>
      </c>
      <c r="B4346" t="s">
        <v>4470</v>
      </c>
      <c r="C4346">
        <f>"27220006"</f>
        <v>0</v>
      </c>
      <c r="D4346">
        <v>0</v>
      </c>
      <c r="E4346">
        <v>0</v>
      </c>
      <c r="F4346" s="2">
        <v>0</v>
      </c>
      <c r="H4346">
        <v>0</v>
      </c>
      <c r="I4346">
        <v>0.1741125760648204</v>
      </c>
      <c r="J4346">
        <v>0</v>
      </c>
      <c r="K4346">
        <v>0</v>
      </c>
      <c r="L4346" s="2">
        <v>0</v>
      </c>
      <c r="M4346">
        <v>45.19</v>
      </c>
      <c r="N4346" t="s">
        <v>10236</v>
      </c>
    </row>
    <row r="4347" spans="1:14">
      <c r="A4347" t="s">
        <v>195</v>
      </c>
      <c r="B4347" t="s">
        <v>4471</v>
      </c>
      <c r="C4347">
        <f>"27961725"</f>
        <v>0</v>
      </c>
      <c r="D4347">
        <v>0</v>
      </c>
      <c r="E4347">
        <v>0</v>
      </c>
      <c r="F4347" s="2">
        <v>0</v>
      </c>
      <c r="H4347">
        <v>0</v>
      </c>
      <c r="I4347">
        <v>0.1741125760648204</v>
      </c>
      <c r="J4347">
        <v>0</v>
      </c>
      <c r="K4347">
        <v>0</v>
      </c>
      <c r="L4347" s="2">
        <v>0</v>
      </c>
      <c r="M4347">
        <v>45.2</v>
      </c>
      <c r="N4347" t="s">
        <v>10236</v>
      </c>
    </row>
    <row r="4348" spans="1:14">
      <c r="A4348" t="s">
        <v>195</v>
      </c>
      <c r="B4348" t="s">
        <v>4472</v>
      </c>
      <c r="C4348">
        <f>"27964025"</f>
        <v>0</v>
      </c>
      <c r="D4348">
        <v>0</v>
      </c>
      <c r="E4348">
        <v>0</v>
      </c>
      <c r="F4348" s="2">
        <v>0</v>
      </c>
      <c r="H4348">
        <v>0</v>
      </c>
      <c r="I4348">
        <v>0.1741125760648204</v>
      </c>
      <c r="J4348">
        <v>0</v>
      </c>
      <c r="K4348">
        <v>0</v>
      </c>
      <c r="L4348" s="2">
        <v>0</v>
      </c>
      <c r="M4348">
        <v>45.21</v>
      </c>
      <c r="N4348" t="s">
        <v>10236</v>
      </c>
    </row>
    <row r="4349" spans="1:14">
      <c r="A4349" t="s">
        <v>195</v>
      </c>
      <c r="B4349" t="s">
        <v>4473</v>
      </c>
      <c r="C4349">
        <f>"27220009"</f>
        <v>0</v>
      </c>
      <c r="D4349">
        <v>0</v>
      </c>
      <c r="E4349">
        <v>0</v>
      </c>
      <c r="F4349" s="2">
        <v>0</v>
      </c>
      <c r="H4349">
        <v>0</v>
      </c>
      <c r="I4349">
        <v>0.1741125760648204</v>
      </c>
      <c r="J4349">
        <v>0</v>
      </c>
      <c r="K4349">
        <v>0</v>
      </c>
      <c r="L4349" s="2">
        <v>0</v>
      </c>
      <c r="M4349">
        <v>45.22</v>
      </c>
      <c r="N4349" t="s">
        <v>10236</v>
      </c>
    </row>
    <row r="4350" spans="1:14">
      <c r="A4350" t="s">
        <v>24</v>
      </c>
      <c r="B4350" t="s">
        <v>4474</v>
      </c>
      <c r="C4350">
        <f>"41051"</f>
        <v>0</v>
      </c>
      <c r="D4350">
        <v>0</v>
      </c>
      <c r="E4350">
        <v>0</v>
      </c>
      <c r="F4350" s="2">
        <v>0</v>
      </c>
      <c r="H4350">
        <v>0</v>
      </c>
      <c r="I4350">
        <v>0.1741125760648204</v>
      </c>
      <c r="J4350">
        <v>0</v>
      </c>
      <c r="K4350">
        <v>0</v>
      </c>
      <c r="L4350" s="2">
        <v>0</v>
      </c>
      <c r="M4350">
        <v>45.23</v>
      </c>
      <c r="N4350" t="s">
        <v>10236</v>
      </c>
    </row>
    <row r="4351" spans="1:14">
      <c r="A4351" t="s">
        <v>29</v>
      </c>
      <c r="B4351" t="s">
        <v>4475</v>
      </c>
      <c r="C4351">
        <f>"QP205"</f>
        <v>0</v>
      </c>
      <c r="D4351">
        <v>0</v>
      </c>
      <c r="E4351">
        <v>1</v>
      </c>
      <c r="F4351" s="2">
        <v>801</v>
      </c>
      <c r="H4351">
        <v>0</v>
      </c>
      <c r="I4351">
        <v>0.1741125760648204</v>
      </c>
      <c r="J4351">
        <v>0</v>
      </c>
      <c r="K4351">
        <v>0</v>
      </c>
      <c r="L4351" s="2">
        <v>0</v>
      </c>
      <c r="M4351">
        <v>45.24</v>
      </c>
      <c r="N4351" t="s">
        <v>10236</v>
      </c>
    </row>
    <row r="4352" spans="1:14">
      <c r="A4352" t="s">
        <v>215</v>
      </c>
      <c r="B4352" t="s">
        <v>4476</v>
      </c>
      <c r="C4352">
        <f>"831K04500"</f>
        <v>0</v>
      </c>
      <c r="D4352">
        <v>0</v>
      </c>
      <c r="E4352">
        <v>0</v>
      </c>
      <c r="F4352" s="2">
        <v>0</v>
      </c>
      <c r="H4352">
        <v>0</v>
      </c>
      <c r="I4352">
        <v>0.1741125760648204</v>
      </c>
      <c r="J4352">
        <v>0</v>
      </c>
      <c r="K4352">
        <v>0</v>
      </c>
      <c r="L4352" s="2">
        <v>0</v>
      </c>
      <c r="M4352">
        <v>45.24</v>
      </c>
      <c r="N4352" t="s">
        <v>10236</v>
      </c>
    </row>
    <row r="4353" spans="1:14">
      <c r="A4353" t="s">
        <v>215</v>
      </c>
      <c r="B4353" t="s">
        <v>4477</v>
      </c>
      <c r="C4353">
        <f>"831K01800"</f>
        <v>0</v>
      </c>
      <c r="D4353">
        <v>0</v>
      </c>
      <c r="E4353">
        <v>0</v>
      </c>
      <c r="F4353" s="2">
        <v>0</v>
      </c>
      <c r="H4353">
        <v>0</v>
      </c>
      <c r="I4353">
        <v>0.1741125760648204</v>
      </c>
      <c r="J4353">
        <v>0</v>
      </c>
      <c r="K4353">
        <v>0</v>
      </c>
      <c r="L4353" s="2">
        <v>0</v>
      </c>
      <c r="M4353">
        <v>45.25</v>
      </c>
      <c r="N4353" t="s">
        <v>10236</v>
      </c>
    </row>
    <row r="4354" spans="1:14">
      <c r="A4354" t="s">
        <v>215</v>
      </c>
      <c r="B4354" t="s">
        <v>4478</v>
      </c>
      <c r="C4354">
        <f>"BCAC4431"</f>
        <v>0</v>
      </c>
      <c r="D4354">
        <v>0</v>
      </c>
      <c r="E4354">
        <v>0</v>
      </c>
      <c r="F4354" s="2">
        <v>0</v>
      </c>
      <c r="H4354">
        <v>0</v>
      </c>
      <c r="I4354">
        <v>0.1741125760648204</v>
      </c>
      <c r="J4354">
        <v>0</v>
      </c>
      <c r="K4354">
        <v>0</v>
      </c>
      <c r="L4354" s="2">
        <v>0</v>
      </c>
      <c r="M4354">
        <v>45.26</v>
      </c>
      <c r="N4354" t="s">
        <v>10236</v>
      </c>
    </row>
    <row r="4355" spans="1:14">
      <c r="A4355" t="s">
        <v>195</v>
      </c>
      <c r="B4355" t="s">
        <v>4479</v>
      </c>
      <c r="C4355">
        <f>"27240017"</f>
        <v>0</v>
      </c>
      <c r="D4355">
        <v>0</v>
      </c>
      <c r="E4355">
        <v>0</v>
      </c>
      <c r="F4355" s="2">
        <v>0</v>
      </c>
      <c r="H4355">
        <v>0</v>
      </c>
      <c r="I4355">
        <v>0.1741125760648204</v>
      </c>
      <c r="J4355">
        <v>0</v>
      </c>
      <c r="K4355">
        <v>0</v>
      </c>
      <c r="L4355" s="2">
        <v>0</v>
      </c>
      <c r="M4355">
        <v>45.27</v>
      </c>
      <c r="N4355" t="s">
        <v>10236</v>
      </c>
    </row>
    <row r="4356" spans="1:14">
      <c r="A4356" t="s">
        <v>29</v>
      </c>
      <c r="B4356" t="s">
        <v>4480</v>
      </c>
      <c r="C4356">
        <f>"R375NG"</f>
        <v>0</v>
      </c>
      <c r="D4356">
        <v>0</v>
      </c>
      <c r="E4356">
        <v>0</v>
      </c>
      <c r="F4356" s="2">
        <v>0</v>
      </c>
      <c r="H4356">
        <v>0</v>
      </c>
      <c r="I4356">
        <v>0.1741125760648204</v>
      </c>
      <c r="J4356">
        <v>0</v>
      </c>
      <c r="K4356">
        <v>0</v>
      </c>
      <c r="L4356" s="2">
        <v>0</v>
      </c>
      <c r="M4356">
        <v>45.28</v>
      </c>
      <c r="N4356" t="s">
        <v>10236</v>
      </c>
    </row>
    <row r="4357" spans="1:14">
      <c r="A4357" t="s">
        <v>29</v>
      </c>
      <c r="B4357" t="s">
        <v>4481</v>
      </c>
      <c r="C4357">
        <f>"RS230EL"</f>
        <v>0</v>
      </c>
      <c r="D4357">
        <v>0</v>
      </c>
      <c r="E4357">
        <v>0</v>
      </c>
      <c r="F4357" s="2">
        <v>0</v>
      </c>
      <c r="H4357">
        <v>0</v>
      </c>
      <c r="I4357">
        <v>0.1741125760648204</v>
      </c>
      <c r="J4357">
        <v>0</v>
      </c>
      <c r="K4357">
        <v>0</v>
      </c>
      <c r="L4357" s="2">
        <v>0</v>
      </c>
      <c r="M4357">
        <v>45.29</v>
      </c>
      <c r="N4357" t="s">
        <v>10236</v>
      </c>
    </row>
    <row r="4358" spans="1:14">
      <c r="A4358" t="s">
        <v>29</v>
      </c>
      <c r="B4358" t="s">
        <v>4482</v>
      </c>
      <c r="C4358">
        <f>"HR380B"</f>
        <v>0</v>
      </c>
      <c r="D4358">
        <v>0</v>
      </c>
      <c r="E4358">
        <v>0</v>
      </c>
      <c r="F4358" s="2">
        <v>0</v>
      </c>
      <c r="H4358">
        <v>0</v>
      </c>
      <c r="I4358">
        <v>0.1741125760648204</v>
      </c>
      <c r="J4358">
        <v>0</v>
      </c>
      <c r="K4358">
        <v>0</v>
      </c>
      <c r="L4358" s="2">
        <v>0</v>
      </c>
      <c r="M4358">
        <v>45.3</v>
      </c>
      <c r="N4358" t="s">
        <v>10236</v>
      </c>
    </row>
    <row r="4359" spans="1:14">
      <c r="A4359" t="s">
        <v>35</v>
      </c>
      <c r="B4359" t="s">
        <v>4483</v>
      </c>
      <c r="C4359">
        <f>"PD10023S"</f>
        <v>0</v>
      </c>
      <c r="D4359">
        <v>0</v>
      </c>
      <c r="E4359">
        <v>0</v>
      </c>
      <c r="F4359" s="2">
        <v>0</v>
      </c>
      <c r="H4359">
        <v>0</v>
      </c>
      <c r="I4359">
        <v>0.1741125760648204</v>
      </c>
      <c r="J4359">
        <v>0</v>
      </c>
      <c r="K4359">
        <v>0</v>
      </c>
      <c r="L4359" s="2">
        <v>0</v>
      </c>
      <c r="M4359">
        <v>45.31</v>
      </c>
      <c r="N4359" t="s">
        <v>10236</v>
      </c>
    </row>
    <row r="4360" spans="1:14">
      <c r="A4360" t="s">
        <v>35</v>
      </c>
      <c r="B4360" t="s">
        <v>4484</v>
      </c>
      <c r="C4360">
        <f>"PD10023M"</f>
        <v>0</v>
      </c>
      <c r="D4360">
        <v>0</v>
      </c>
      <c r="E4360">
        <v>0</v>
      </c>
      <c r="F4360" s="2">
        <v>0</v>
      </c>
      <c r="H4360">
        <v>0</v>
      </c>
      <c r="I4360">
        <v>0.1741125760648204</v>
      </c>
      <c r="J4360">
        <v>0</v>
      </c>
      <c r="K4360">
        <v>0</v>
      </c>
      <c r="L4360" s="2">
        <v>0</v>
      </c>
      <c r="M4360">
        <v>45.32</v>
      </c>
      <c r="N4360" t="s">
        <v>10236</v>
      </c>
    </row>
    <row r="4361" spans="1:14">
      <c r="A4361" t="s">
        <v>35</v>
      </c>
      <c r="B4361" t="s">
        <v>4485</v>
      </c>
      <c r="C4361">
        <f>"PD10023L"</f>
        <v>0</v>
      </c>
      <c r="D4361">
        <v>0</v>
      </c>
      <c r="E4361">
        <v>8</v>
      </c>
      <c r="F4361" s="2">
        <v>6</v>
      </c>
      <c r="H4361">
        <v>0</v>
      </c>
      <c r="I4361">
        <v>0.1741125760648204</v>
      </c>
      <c r="J4361">
        <v>0</v>
      </c>
      <c r="K4361">
        <v>0</v>
      </c>
      <c r="L4361" s="2">
        <v>0</v>
      </c>
      <c r="M4361">
        <v>45.33</v>
      </c>
      <c r="N4361" t="s">
        <v>10236</v>
      </c>
    </row>
    <row r="4362" spans="1:14">
      <c r="A4362" t="s">
        <v>35</v>
      </c>
      <c r="B4362" t="s">
        <v>4486</v>
      </c>
      <c r="C4362">
        <f>"1801S"</f>
        <v>0</v>
      </c>
      <c r="D4362">
        <v>0</v>
      </c>
      <c r="E4362">
        <v>11</v>
      </c>
      <c r="F4362" s="2">
        <v>4</v>
      </c>
      <c r="H4362">
        <v>0</v>
      </c>
      <c r="I4362">
        <v>0.1741125760648204</v>
      </c>
      <c r="J4362">
        <v>0</v>
      </c>
      <c r="K4362">
        <v>0</v>
      </c>
      <c r="L4362" s="2">
        <v>0</v>
      </c>
      <c r="M4362">
        <v>45.34</v>
      </c>
      <c r="N4362" t="s">
        <v>10236</v>
      </c>
    </row>
    <row r="4363" spans="1:14">
      <c r="A4363" t="s">
        <v>35</v>
      </c>
      <c r="B4363" t="s">
        <v>4487</v>
      </c>
      <c r="C4363">
        <f>"1620XXL"</f>
        <v>0</v>
      </c>
      <c r="D4363">
        <v>0</v>
      </c>
      <c r="E4363">
        <v>3</v>
      </c>
      <c r="F4363" s="2">
        <v>8</v>
      </c>
      <c r="H4363">
        <v>0</v>
      </c>
      <c r="I4363">
        <v>0.1741125760648204</v>
      </c>
      <c r="J4363">
        <v>0</v>
      </c>
      <c r="K4363">
        <v>0</v>
      </c>
      <c r="L4363" s="2">
        <v>0</v>
      </c>
      <c r="M4363">
        <v>45.35</v>
      </c>
      <c r="N4363" t="s">
        <v>10236</v>
      </c>
    </row>
    <row r="4364" spans="1:14">
      <c r="A4364" t="s">
        <v>35</v>
      </c>
      <c r="B4364" t="s">
        <v>4488</v>
      </c>
      <c r="C4364">
        <f>"1620XS"</f>
        <v>0</v>
      </c>
      <c r="D4364">
        <v>0</v>
      </c>
      <c r="E4364">
        <v>3</v>
      </c>
      <c r="F4364" s="2">
        <v>6</v>
      </c>
      <c r="H4364">
        <v>0</v>
      </c>
      <c r="I4364">
        <v>0.1741125760648204</v>
      </c>
      <c r="J4364">
        <v>0</v>
      </c>
      <c r="K4364">
        <v>0</v>
      </c>
      <c r="L4364" s="2">
        <v>0</v>
      </c>
      <c r="M4364">
        <v>45.36</v>
      </c>
      <c r="N4364" t="s">
        <v>10236</v>
      </c>
    </row>
    <row r="4365" spans="1:14">
      <c r="A4365" t="s">
        <v>35</v>
      </c>
      <c r="B4365" t="s">
        <v>4489</v>
      </c>
      <c r="C4365">
        <f>"1620XL"</f>
        <v>0</v>
      </c>
      <c r="D4365">
        <v>0</v>
      </c>
      <c r="E4365">
        <v>3</v>
      </c>
      <c r="F4365" s="2">
        <v>8</v>
      </c>
      <c r="H4365">
        <v>0</v>
      </c>
      <c r="I4365">
        <v>0.1741125760648204</v>
      </c>
      <c r="J4365">
        <v>0</v>
      </c>
      <c r="K4365">
        <v>0</v>
      </c>
      <c r="L4365" s="2">
        <v>0</v>
      </c>
      <c r="M4365">
        <v>45.36</v>
      </c>
      <c r="N4365" t="s">
        <v>10236</v>
      </c>
    </row>
    <row r="4366" spans="1:14">
      <c r="A4366" t="s">
        <v>35</v>
      </c>
      <c r="B4366" t="s">
        <v>4490</v>
      </c>
      <c r="C4366">
        <f>"1620S"</f>
        <v>0</v>
      </c>
      <c r="D4366">
        <v>0</v>
      </c>
      <c r="E4366">
        <v>3</v>
      </c>
      <c r="F4366" s="2">
        <v>7</v>
      </c>
      <c r="H4366">
        <v>0</v>
      </c>
      <c r="I4366">
        <v>0.1741125760648204</v>
      </c>
      <c r="J4366">
        <v>0</v>
      </c>
      <c r="K4366">
        <v>0</v>
      </c>
      <c r="L4366" s="2">
        <v>0</v>
      </c>
      <c r="M4366">
        <v>45.37</v>
      </c>
      <c r="N4366" t="s">
        <v>10236</v>
      </c>
    </row>
    <row r="4367" spans="1:14">
      <c r="A4367" t="s">
        <v>35</v>
      </c>
      <c r="B4367" t="s">
        <v>4491</v>
      </c>
      <c r="C4367">
        <f>"1620L"</f>
        <v>0</v>
      </c>
      <c r="D4367">
        <v>0</v>
      </c>
      <c r="E4367">
        <v>3</v>
      </c>
      <c r="F4367" s="2">
        <v>7</v>
      </c>
      <c r="H4367">
        <v>0</v>
      </c>
      <c r="I4367">
        <v>0.1741125760648204</v>
      </c>
      <c r="J4367">
        <v>0</v>
      </c>
      <c r="K4367">
        <v>0</v>
      </c>
      <c r="L4367" s="2">
        <v>0</v>
      </c>
      <c r="M4367">
        <v>45.38</v>
      </c>
      <c r="N4367" t="s">
        <v>10236</v>
      </c>
    </row>
    <row r="4368" spans="1:14">
      <c r="A4368" t="s">
        <v>35</v>
      </c>
      <c r="B4368" t="s">
        <v>4492</v>
      </c>
      <c r="C4368">
        <f>"thpxxs"</f>
        <v>0</v>
      </c>
      <c r="D4368">
        <v>0</v>
      </c>
      <c r="E4368">
        <v>4</v>
      </c>
      <c r="F4368" s="2">
        <v>1</v>
      </c>
      <c r="H4368">
        <v>0</v>
      </c>
      <c r="I4368">
        <v>0.1741125760648204</v>
      </c>
      <c r="J4368">
        <v>0</v>
      </c>
      <c r="K4368">
        <v>0</v>
      </c>
      <c r="L4368" s="2">
        <v>0</v>
      </c>
      <c r="M4368">
        <v>45.39</v>
      </c>
      <c r="N4368" t="s">
        <v>10236</v>
      </c>
    </row>
    <row r="4369" spans="1:14">
      <c r="A4369" t="s">
        <v>35</v>
      </c>
      <c r="B4369" t="s">
        <v>4493</v>
      </c>
      <c r="C4369">
        <f>"THXSV"</f>
        <v>0</v>
      </c>
      <c r="D4369">
        <v>0</v>
      </c>
      <c r="E4369">
        <v>0</v>
      </c>
      <c r="F4369" s="2">
        <v>0</v>
      </c>
      <c r="H4369">
        <v>0</v>
      </c>
      <c r="I4369">
        <v>0.1741125760648204</v>
      </c>
      <c r="J4369">
        <v>0</v>
      </c>
      <c r="K4369">
        <v>0</v>
      </c>
      <c r="L4369" s="2">
        <v>0</v>
      </c>
      <c r="M4369">
        <v>45.4</v>
      </c>
      <c r="N4369" t="s">
        <v>10236</v>
      </c>
    </row>
    <row r="4370" spans="1:14">
      <c r="A4370" t="s">
        <v>195</v>
      </c>
      <c r="B4370" t="s">
        <v>4494</v>
      </c>
      <c r="C4370">
        <f>"25702348"</f>
        <v>0</v>
      </c>
      <c r="D4370">
        <v>0</v>
      </c>
      <c r="E4370">
        <v>0</v>
      </c>
      <c r="F4370" s="2">
        <v>0</v>
      </c>
      <c r="H4370">
        <v>0</v>
      </c>
      <c r="I4370">
        <v>0.1741125760648204</v>
      </c>
      <c r="J4370">
        <v>0</v>
      </c>
      <c r="K4370">
        <v>0</v>
      </c>
      <c r="L4370" s="2">
        <v>0</v>
      </c>
      <c r="M4370">
        <v>45.41</v>
      </c>
      <c r="N4370" t="s">
        <v>10236</v>
      </c>
    </row>
    <row r="4371" spans="1:14">
      <c r="A4371" t="s">
        <v>35</v>
      </c>
      <c r="B4371" t="s">
        <v>4495</v>
      </c>
      <c r="C4371">
        <f>"THSV"</f>
        <v>0</v>
      </c>
      <c r="D4371">
        <v>0</v>
      </c>
      <c r="E4371">
        <v>0</v>
      </c>
      <c r="F4371" s="2">
        <v>0</v>
      </c>
      <c r="H4371">
        <v>0</v>
      </c>
      <c r="I4371">
        <v>0.1741125760648204</v>
      </c>
      <c r="J4371">
        <v>0</v>
      </c>
      <c r="K4371">
        <v>0</v>
      </c>
      <c r="L4371" s="2">
        <v>0</v>
      </c>
      <c r="M4371">
        <v>45.42</v>
      </c>
      <c r="N4371" t="s">
        <v>10236</v>
      </c>
    </row>
    <row r="4372" spans="1:14">
      <c r="A4372" t="s">
        <v>35</v>
      </c>
      <c r="B4372" t="s">
        <v>4496</v>
      </c>
      <c r="C4372">
        <f>"THMV"</f>
        <v>0</v>
      </c>
      <c r="D4372">
        <v>0</v>
      </c>
      <c r="E4372">
        <v>0</v>
      </c>
      <c r="F4372" s="2">
        <v>0</v>
      </c>
      <c r="H4372">
        <v>0</v>
      </c>
      <c r="I4372">
        <v>0.1741125760648204</v>
      </c>
      <c r="J4372">
        <v>0</v>
      </c>
      <c r="K4372">
        <v>0</v>
      </c>
      <c r="L4372" s="2">
        <v>0</v>
      </c>
      <c r="M4372">
        <v>45.43</v>
      </c>
      <c r="N4372" t="s">
        <v>10236</v>
      </c>
    </row>
    <row r="4373" spans="1:14">
      <c r="A4373" t="s">
        <v>35</v>
      </c>
      <c r="B4373" t="s">
        <v>4497</v>
      </c>
      <c r="C4373">
        <f>"THLV"</f>
        <v>0</v>
      </c>
      <c r="D4373">
        <v>0</v>
      </c>
      <c r="E4373">
        <v>1</v>
      </c>
      <c r="F4373" s="2">
        <v>2</v>
      </c>
      <c r="H4373">
        <v>0</v>
      </c>
      <c r="I4373">
        <v>0.1741125760648204</v>
      </c>
      <c r="J4373">
        <v>0</v>
      </c>
      <c r="K4373">
        <v>0</v>
      </c>
      <c r="L4373" s="2">
        <v>0</v>
      </c>
      <c r="M4373">
        <v>45.44</v>
      </c>
      <c r="N4373" t="s">
        <v>10236</v>
      </c>
    </row>
    <row r="4374" spans="1:14">
      <c r="A4374" t="s">
        <v>35</v>
      </c>
      <c r="B4374" t="s">
        <v>4498</v>
      </c>
      <c r="C4374">
        <f>"THCPXS"</f>
        <v>0</v>
      </c>
      <c r="D4374">
        <v>0</v>
      </c>
      <c r="E4374">
        <v>0</v>
      </c>
      <c r="F4374" s="2">
        <v>0</v>
      </c>
      <c r="H4374">
        <v>0</v>
      </c>
      <c r="I4374">
        <v>0.1741125760648204</v>
      </c>
      <c r="J4374">
        <v>0</v>
      </c>
      <c r="K4374">
        <v>0</v>
      </c>
      <c r="L4374" s="2">
        <v>0</v>
      </c>
      <c r="M4374">
        <v>45.45</v>
      </c>
      <c r="N4374" t="s">
        <v>10236</v>
      </c>
    </row>
    <row r="4375" spans="1:14">
      <c r="A4375" t="s">
        <v>35</v>
      </c>
      <c r="B4375" t="s">
        <v>4499</v>
      </c>
      <c r="C4375">
        <f>"JWL1058XL"</f>
        <v>0</v>
      </c>
      <c r="D4375">
        <v>0</v>
      </c>
      <c r="E4375">
        <v>10</v>
      </c>
      <c r="F4375" s="2">
        <v>2</v>
      </c>
      <c r="H4375">
        <v>0</v>
      </c>
      <c r="I4375">
        <v>0.1741125760648204</v>
      </c>
      <c r="J4375">
        <v>0</v>
      </c>
      <c r="K4375">
        <v>0</v>
      </c>
      <c r="L4375" s="2">
        <v>0</v>
      </c>
      <c r="M4375">
        <v>45.46</v>
      </c>
      <c r="N4375" t="s">
        <v>10236</v>
      </c>
    </row>
    <row r="4376" spans="1:14">
      <c r="A4376" t="s">
        <v>35</v>
      </c>
      <c r="B4376" t="s">
        <v>4500</v>
      </c>
      <c r="C4376">
        <f>"TH6XL"</f>
        <v>0</v>
      </c>
      <c r="D4376">
        <v>0</v>
      </c>
      <c r="E4376">
        <v>4</v>
      </c>
      <c r="F4376" s="2">
        <v>2</v>
      </c>
      <c r="H4376">
        <v>0</v>
      </c>
      <c r="I4376">
        <v>0.1741125760648204</v>
      </c>
      <c r="J4376">
        <v>0</v>
      </c>
      <c r="K4376">
        <v>0</v>
      </c>
      <c r="L4376" s="2">
        <v>0</v>
      </c>
      <c r="M4376">
        <v>45.47</v>
      </c>
      <c r="N4376" t="s">
        <v>10236</v>
      </c>
    </row>
    <row r="4377" spans="1:14">
      <c r="A4377" t="s">
        <v>35</v>
      </c>
      <c r="B4377" t="s">
        <v>4501</v>
      </c>
      <c r="C4377">
        <f>"TH5XL"</f>
        <v>0</v>
      </c>
      <c r="D4377">
        <v>0</v>
      </c>
      <c r="E4377">
        <v>4</v>
      </c>
      <c r="F4377" s="2">
        <v>2</v>
      </c>
      <c r="H4377">
        <v>0</v>
      </c>
      <c r="I4377">
        <v>0.1741125760648204</v>
      </c>
      <c r="J4377">
        <v>0</v>
      </c>
      <c r="K4377">
        <v>0</v>
      </c>
      <c r="L4377" s="2">
        <v>0</v>
      </c>
      <c r="M4377">
        <v>45.48</v>
      </c>
      <c r="N4377" t="s">
        <v>10236</v>
      </c>
    </row>
    <row r="4378" spans="1:14">
      <c r="A4378" t="s">
        <v>35</v>
      </c>
      <c r="B4378" t="s">
        <v>4502</v>
      </c>
      <c r="C4378">
        <f>"TH4XL"</f>
        <v>0</v>
      </c>
      <c r="D4378">
        <v>0</v>
      </c>
      <c r="E4378">
        <v>3</v>
      </c>
      <c r="F4378" s="2">
        <v>2</v>
      </c>
      <c r="H4378">
        <v>0</v>
      </c>
      <c r="I4378">
        <v>0.1741125760648204</v>
      </c>
      <c r="J4378">
        <v>0</v>
      </c>
      <c r="K4378">
        <v>0</v>
      </c>
      <c r="L4378" s="2">
        <v>0</v>
      </c>
      <c r="M4378">
        <v>45.48</v>
      </c>
      <c r="N4378" t="s">
        <v>10236</v>
      </c>
    </row>
    <row r="4379" spans="1:14">
      <c r="A4379" t="s">
        <v>35</v>
      </c>
      <c r="B4379" t="s">
        <v>4503</v>
      </c>
      <c r="C4379">
        <f>"TH3XL"</f>
        <v>0</v>
      </c>
      <c r="D4379">
        <v>0</v>
      </c>
      <c r="E4379">
        <v>1</v>
      </c>
      <c r="F4379" s="2">
        <v>2</v>
      </c>
      <c r="H4379">
        <v>0</v>
      </c>
      <c r="I4379">
        <v>0.1741125760648204</v>
      </c>
      <c r="J4379">
        <v>0</v>
      </c>
      <c r="K4379">
        <v>0</v>
      </c>
      <c r="L4379" s="2">
        <v>0</v>
      </c>
      <c r="M4379">
        <v>45.49</v>
      </c>
      <c r="N4379" t="s">
        <v>10236</v>
      </c>
    </row>
    <row r="4380" spans="1:14">
      <c r="A4380" t="s">
        <v>35</v>
      </c>
      <c r="B4380" t="s">
        <v>4504</v>
      </c>
      <c r="C4380">
        <f>"TH2XL"</f>
        <v>0</v>
      </c>
      <c r="D4380">
        <v>0</v>
      </c>
      <c r="E4380">
        <v>1</v>
      </c>
      <c r="F4380" s="2">
        <v>2</v>
      </c>
      <c r="H4380">
        <v>0</v>
      </c>
      <c r="I4380">
        <v>0.1741125760648204</v>
      </c>
      <c r="J4380">
        <v>0</v>
      </c>
      <c r="K4380">
        <v>0</v>
      </c>
      <c r="L4380" s="2">
        <v>0</v>
      </c>
      <c r="M4380">
        <v>45.5</v>
      </c>
      <c r="N4380" t="s">
        <v>10236</v>
      </c>
    </row>
    <row r="4381" spans="1:14">
      <c r="A4381" t="s">
        <v>35</v>
      </c>
      <c r="B4381" t="s">
        <v>4505</v>
      </c>
      <c r="C4381">
        <f>"THT3"</f>
        <v>0</v>
      </c>
      <c r="D4381">
        <v>0</v>
      </c>
      <c r="E4381">
        <v>0</v>
      </c>
      <c r="F4381" s="2">
        <v>0</v>
      </c>
      <c r="H4381">
        <v>0</v>
      </c>
      <c r="I4381">
        <v>0.1741125760648204</v>
      </c>
      <c r="J4381">
        <v>0</v>
      </c>
      <c r="K4381">
        <v>0</v>
      </c>
      <c r="L4381" s="2">
        <v>0</v>
      </c>
      <c r="M4381">
        <v>45.51</v>
      </c>
      <c r="N4381" t="s">
        <v>10236</v>
      </c>
    </row>
    <row r="4382" spans="1:14">
      <c r="A4382" t="s">
        <v>35</v>
      </c>
      <c r="B4382" t="s">
        <v>4506</v>
      </c>
      <c r="C4382">
        <f>"THT2"</f>
        <v>0</v>
      </c>
      <c r="D4382">
        <v>0</v>
      </c>
      <c r="E4382">
        <v>0</v>
      </c>
      <c r="F4382" s="2">
        <v>0</v>
      </c>
      <c r="H4382">
        <v>0</v>
      </c>
      <c r="I4382">
        <v>0.1741125760648204</v>
      </c>
      <c r="J4382">
        <v>0</v>
      </c>
      <c r="K4382">
        <v>0</v>
      </c>
      <c r="L4382" s="2">
        <v>0</v>
      </c>
      <c r="M4382">
        <v>45.52</v>
      </c>
      <c r="N4382" t="s">
        <v>10236</v>
      </c>
    </row>
    <row r="4383" spans="1:14">
      <c r="A4383" t="s">
        <v>35</v>
      </c>
      <c r="B4383" t="s">
        <v>4507</v>
      </c>
      <c r="C4383">
        <f>"THT1"</f>
        <v>0</v>
      </c>
      <c r="D4383">
        <v>0</v>
      </c>
      <c r="E4383">
        <v>0</v>
      </c>
      <c r="F4383" s="2">
        <v>0</v>
      </c>
      <c r="H4383">
        <v>0</v>
      </c>
      <c r="I4383">
        <v>0.1741125760648204</v>
      </c>
      <c r="J4383">
        <v>0</v>
      </c>
      <c r="K4383">
        <v>0</v>
      </c>
      <c r="L4383" s="2">
        <v>0</v>
      </c>
      <c r="M4383">
        <v>45.53</v>
      </c>
      <c r="N4383" t="s">
        <v>10236</v>
      </c>
    </row>
    <row r="4384" spans="1:14">
      <c r="A4384" t="s">
        <v>35</v>
      </c>
      <c r="B4384" t="s">
        <v>4508</v>
      </c>
      <c r="C4384">
        <f>"D11WXXL"</f>
        <v>0</v>
      </c>
      <c r="D4384">
        <v>0</v>
      </c>
      <c r="E4384">
        <v>19</v>
      </c>
      <c r="F4384" s="2">
        <v>5</v>
      </c>
      <c r="H4384">
        <v>0</v>
      </c>
      <c r="I4384">
        <v>0.1741125760648204</v>
      </c>
      <c r="J4384">
        <v>0</v>
      </c>
      <c r="K4384">
        <v>0</v>
      </c>
      <c r="L4384" s="2">
        <v>0</v>
      </c>
      <c r="M4384">
        <v>45.54</v>
      </c>
      <c r="N4384" t="s">
        <v>10236</v>
      </c>
    </row>
    <row r="4385" spans="1:14">
      <c r="A4385" t="s">
        <v>35</v>
      </c>
      <c r="B4385" t="s">
        <v>4509</v>
      </c>
      <c r="C4385">
        <f>"THXLV"</f>
        <v>0</v>
      </c>
      <c r="D4385">
        <v>0</v>
      </c>
      <c r="E4385">
        <v>1</v>
      </c>
      <c r="F4385" s="2">
        <v>2</v>
      </c>
      <c r="H4385">
        <v>0</v>
      </c>
      <c r="I4385">
        <v>0.1741125760648204</v>
      </c>
      <c r="J4385">
        <v>0</v>
      </c>
      <c r="K4385">
        <v>0</v>
      </c>
      <c r="L4385" s="2">
        <v>0</v>
      </c>
      <c r="M4385">
        <v>45.55</v>
      </c>
      <c r="N4385" t="s">
        <v>10236</v>
      </c>
    </row>
    <row r="4386" spans="1:14">
      <c r="A4386" t="s">
        <v>35</v>
      </c>
      <c r="B4386" t="s">
        <v>4510</v>
      </c>
      <c r="C4386">
        <f>"1042EMVEL"</f>
        <v>0</v>
      </c>
      <c r="D4386">
        <v>0</v>
      </c>
      <c r="E4386">
        <v>0</v>
      </c>
      <c r="F4386" s="2">
        <v>0</v>
      </c>
      <c r="H4386">
        <v>0</v>
      </c>
      <c r="I4386">
        <v>0.1741125760648204</v>
      </c>
      <c r="J4386">
        <v>0</v>
      </c>
      <c r="K4386">
        <v>0</v>
      </c>
      <c r="L4386" s="2">
        <v>0</v>
      </c>
      <c r="M4386">
        <v>45.56</v>
      </c>
      <c r="N4386" t="s">
        <v>10236</v>
      </c>
    </row>
    <row r="4387" spans="1:14">
      <c r="A4387" t="s">
        <v>35</v>
      </c>
      <c r="B4387" t="s">
        <v>4511</v>
      </c>
      <c r="C4387">
        <f>"1042EMRO"</f>
        <v>0</v>
      </c>
      <c r="D4387">
        <v>0</v>
      </c>
      <c r="E4387">
        <v>0</v>
      </c>
      <c r="F4387" s="2">
        <v>0</v>
      </c>
      <c r="H4387">
        <v>0</v>
      </c>
      <c r="I4387">
        <v>0.1741125760648204</v>
      </c>
      <c r="J4387">
        <v>0</v>
      </c>
      <c r="K4387">
        <v>0</v>
      </c>
      <c r="L4387" s="2">
        <v>0</v>
      </c>
      <c r="M4387">
        <v>45.57</v>
      </c>
      <c r="N4387" t="s">
        <v>10236</v>
      </c>
    </row>
    <row r="4388" spans="1:14">
      <c r="A4388" t="s">
        <v>25</v>
      </c>
      <c r="B4388" t="s">
        <v>4512</v>
      </c>
      <c r="C4388">
        <f>"1042emNA"</f>
        <v>0</v>
      </c>
      <c r="D4388">
        <v>0</v>
      </c>
      <c r="E4388">
        <v>0</v>
      </c>
      <c r="F4388" s="2">
        <v>0</v>
      </c>
      <c r="H4388">
        <v>0</v>
      </c>
      <c r="I4388">
        <v>0.1741125760648204</v>
      </c>
      <c r="J4388">
        <v>0</v>
      </c>
      <c r="K4388">
        <v>0</v>
      </c>
      <c r="L4388" s="2">
        <v>0</v>
      </c>
      <c r="M4388">
        <v>45.58</v>
      </c>
      <c r="N4388" t="s">
        <v>10236</v>
      </c>
    </row>
    <row r="4389" spans="1:14">
      <c r="A4389" t="s">
        <v>35</v>
      </c>
      <c r="B4389" t="s">
        <v>4513</v>
      </c>
      <c r="C4389">
        <f>"1042EMI"</f>
        <v>0</v>
      </c>
      <c r="D4389">
        <v>0</v>
      </c>
      <c r="E4389">
        <v>4</v>
      </c>
      <c r="F4389" s="2">
        <v>12</v>
      </c>
      <c r="H4389">
        <v>0</v>
      </c>
      <c r="I4389">
        <v>0.1741125760648204</v>
      </c>
      <c r="J4389">
        <v>0</v>
      </c>
      <c r="K4389">
        <v>0</v>
      </c>
      <c r="L4389" s="2">
        <v>0</v>
      </c>
      <c r="M4389">
        <v>45.59</v>
      </c>
      <c r="N4389" t="s">
        <v>10236</v>
      </c>
    </row>
    <row r="4390" spans="1:14">
      <c r="A4390" t="s">
        <v>35</v>
      </c>
      <c r="B4390" t="s">
        <v>4514</v>
      </c>
      <c r="C4390">
        <f>"1042EMAM"</f>
        <v>0</v>
      </c>
      <c r="D4390">
        <v>0</v>
      </c>
      <c r="E4390">
        <v>0</v>
      </c>
      <c r="F4390" s="2">
        <v>0</v>
      </c>
      <c r="H4390">
        <v>0</v>
      </c>
      <c r="I4390">
        <v>0.1741125760648204</v>
      </c>
      <c r="J4390">
        <v>0</v>
      </c>
      <c r="K4390">
        <v>0</v>
      </c>
      <c r="L4390" s="2">
        <v>0</v>
      </c>
      <c r="M4390">
        <v>45.59</v>
      </c>
      <c r="N4390" t="s">
        <v>10236</v>
      </c>
    </row>
    <row r="4391" spans="1:14">
      <c r="A4391" t="s">
        <v>35</v>
      </c>
      <c r="B4391" t="s">
        <v>4515</v>
      </c>
      <c r="C4391">
        <f>"XDB407VE"</f>
        <v>0</v>
      </c>
      <c r="D4391">
        <v>0</v>
      </c>
      <c r="E4391">
        <v>0</v>
      </c>
      <c r="F4391" s="2">
        <v>0</v>
      </c>
      <c r="H4391">
        <v>0</v>
      </c>
      <c r="I4391">
        <v>0.1741125760648204</v>
      </c>
      <c r="J4391">
        <v>0</v>
      </c>
      <c r="K4391">
        <v>0</v>
      </c>
      <c r="L4391" s="2">
        <v>0</v>
      </c>
      <c r="M4391">
        <v>45.6</v>
      </c>
      <c r="N4391" t="s">
        <v>10236</v>
      </c>
    </row>
    <row r="4392" spans="1:14">
      <c r="A4392" t="s">
        <v>35</v>
      </c>
      <c r="B4392" t="s">
        <v>4516</v>
      </c>
      <c r="C4392">
        <f>"XDB407ROJ"</f>
        <v>0</v>
      </c>
      <c r="D4392">
        <v>0</v>
      </c>
      <c r="E4392">
        <v>0</v>
      </c>
      <c r="F4392" s="2">
        <v>0</v>
      </c>
      <c r="H4392">
        <v>0</v>
      </c>
      <c r="I4392">
        <v>0.1741125760648204</v>
      </c>
      <c r="J4392">
        <v>0</v>
      </c>
      <c r="K4392">
        <v>0</v>
      </c>
      <c r="L4392" s="2">
        <v>0</v>
      </c>
      <c r="M4392">
        <v>45.61</v>
      </c>
      <c r="N4392" t="s">
        <v>10236</v>
      </c>
    </row>
    <row r="4393" spans="1:14">
      <c r="A4393" t="s">
        <v>35</v>
      </c>
      <c r="B4393" t="s">
        <v>4517</v>
      </c>
      <c r="C4393">
        <f>"XDB406RO"</f>
        <v>0</v>
      </c>
      <c r="D4393">
        <v>0</v>
      </c>
      <c r="E4393">
        <v>0</v>
      </c>
      <c r="F4393" s="2">
        <v>0</v>
      </c>
      <c r="H4393">
        <v>0</v>
      </c>
      <c r="I4393">
        <v>0.1741125760648204</v>
      </c>
      <c r="J4393">
        <v>0</v>
      </c>
      <c r="K4393">
        <v>0</v>
      </c>
      <c r="L4393" s="2">
        <v>0</v>
      </c>
      <c r="M4393">
        <v>45.62</v>
      </c>
      <c r="N4393" t="s">
        <v>10236</v>
      </c>
    </row>
    <row r="4394" spans="1:14">
      <c r="A4394" t="s">
        <v>35</v>
      </c>
      <c r="B4394" t="s">
        <v>4518</v>
      </c>
      <c r="C4394">
        <f>"XDB406CEO"</f>
        <v>0</v>
      </c>
      <c r="D4394">
        <v>0</v>
      </c>
      <c r="E4394">
        <v>0</v>
      </c>
      <c r="F4394" s="2">
        <v>0</v>
      </c>
      <c r="H4394">
        <v>0</v>
      </c>
      <c r="I4394">
        <v>0.1741125760648204</v>
      </c>
      <c r="J4394">
        <v>0</v>
      </c>
      <c r="K4394">
        <v>0</v>
      </c>
      <c r="L4394" s="2">
        <v>0</v>
      </c>
      <c r="M4394">
        <v>45.63</v>
      </c>
      <c r="N4394" t="s">
        <v>10236</v>
      </c>
    </row>
    <row r="4395" spans="1:14">
      <c r="A4395" t="s">
        <v>35</v>
      </c>
      <c r="B4395" t="s">
        <v>4519</v>
      </c>
      <c r="C4395">
        <f>"1090GR"</f>
        <v>0</v>
      </c>
      <c r="D4395">
        <v>0</v>
      </c>
      <c r="E4395">
        <v>0</v>
      </c>
      <c r="F4395" s="2">
        <v>0</v>
      </c>
      <c r="H4395">
        <v>0</v>
      </c>
      <c r="I4395">
        <v>0.1741125760648204</v>
      </c>
      <c r="J4395">
        <v>0</v>
      </c>
      <c r="K4395">
        <v>0</v>
      </c>
      <c r="L4395" s="2">
        <v>0</v>
      </c>
      <c r="M4395">
        <v>45.64</v>
      </c>
      <c r="N4395" t="s">
        <v>10236</v>
      </c>
    </row>
    <row r="4396" spans="1:14">
      <c r="A4396" t="s">
        <v>25</v>
      </c>
      <c r="B4396" t="s">
        <v>4520</v>
      </c>
      <c r="C4396">
        <f>"S101ROJ"</f>
        <v>0</v>
      </c>
      <c r="D4396">
        <v>0</v>
      </c>
      <c r="E4396">
        <v>4</v>
      </c>
      <c r="F4396" s="2">
        <v>4</v>
      </c>
      <c r="H4396">
        <v>0</v>
      </c>
      <c r="I4396">
        <v>0.1741125760648204</v>
      </c>
      <c r="J4396">
        <v>0</v>
      </c>
      <c r="K4396">
        <v>0</v>
      </c>
      <c r="L4396" s="2">
        <v>0</v>
      </c>
      <c r="M4396">
        <v>45.65</v>
      </c>
      <c r="N4396" t="s">
        <v>10236</v>
      </c>
    </row>
    <row r="4397" spans="1:14">
      <c r="A4397" t="s">
        <v>25</v>
      </c>
      <c r="B4397" t="s">
        <v>4521</v>
      </c>
      <c r="C4397">
        <f>"S100GR"</f>
        <v>0</v>
      </c>
      <c r="D4397">
        <v>0</v>
      </c>
      <c r="E4397">
        <v>0</v>
      </c>
      <c r="F4397" s="2">
        <v>0</v>
      </c>
      <c r="H4397">
        <v>0</v>
      </c>
      <c r="I4397">
        <v>0.1741125760648204</v>
      </c>
      <c r="J4397">
        <v>0</v>
      </c>
      <c r="K4397">
        <v>0</v>
      </c>
      <c r="L4397" s="2">
        <v>0</v>
      </c>
      <c r="M4397">
        <v>45.66</v>
      </c>
      <c r="N4397" t="s">
        <v>10236</v>
      </c>
    </row>
    <row r="4398" spans="1:14">
      <c r="A4398" t="s">
        <v>35</v>
      </c>
      <c r="B4398" t="s">
        <v>4522</v>
      </c>
      <c r="C4398">
        <f>"THCPS"</f>
        <v>0</v>
      </c>
      <c r="D4398">
        <v>0</v>
      </c>
      <c r="E4398">
        <v>0</v>
      </c>
      <c r="F4398" s="2">
        <v>0</v>
      </c>
      <c r="H4398">
        <v>0</v>
      </c>
      <c r="I4398">
        <v>0.1741125760648204</v>
      </c>
      <c r="J4398">
        <v>0</v>
      </c>
      <c r="K4398">
        <v>0</v>
      </c>
      <c r="L4398" s="2">
        <v>0</v>
      </c>
      <c r="M4398">
        <v>45.67</v>
      </c>
      <c r="N4398" t="s">
        <v>10236</v>
      </c>
    </row>
    <row r="4399" spans="1:14">
      <c r="A4399" t="s">
        <v>35</v>
      </c>
      <c r="B4399" t="s">
        <v>4523</v>
      </c>
      <c r="C4399">
        <f>"JET10"</f>
        <v>0</v>
      </c>
      <c r="D4399">
        <v>0</v>
      </c>
      <c r="E4399">
        <v>0</v>
      </c>
      <c r="F4399" s="2">
        <v>0</v>
      </c>
      <c r="H4399">
        <v>0</v>
      </c>
      <c r="I4399">
        <v>0.1741125760648204</v>
      </c>
      <c r="J4399">
        <v>0</v>
      </c>
      <c r="K4399">
        <v>0</v>
      </c>
      <c r="L4399" s="2">
        <v>0</v>
      </c>
      <c r="M4399">
        <v>45.68</v>
      </c>
      <c r="N4399" t="s">
        <v>10236</v>
      </c>
    </row>
    <row r="4400" spans="1:14">
      <c r="A4400" t="s">
        <v>29</v>
      </c>
      <c r="B4400" t="s">
        <v>4524</v>
      </c>
      <c r="C4400">
        <f>"R352NG"</f>
        <v>0</v>
      </c>
      <c r="D4400">
        <v>0</v>
      </c>
      <c r="E4400">
        <v>0</v>
      </c>
      <c r="F4400" s="2">
        <v>0</v>
      </c>
      <c r="H4400">
        <v>0</v>
      </c>
      <c r="I4400">
        <v>0.1741125760648204</v>
      </c>
      <c r="J4400">
        <v>0</v>
      </c>
      <c r="K4400">
        <v>0</v>
      </c>
      <c r="L4400" s="2">
        <v>0</v>
      </c>
      <c r="M4400">
        <v>45.69</v>
      </c>
      <c r="N4400" t="s">
        <v>10236</v>
      </c>
    </row>
    <row r="4401" spans="1:14">
      <c r="A4401" t="s">
        <v>29</v>
      </c>
      <c r="B4401" t="s">
        <v>4525</v>
      </c>
      <c r="C4401">
        <f>"180CROJ"</f>
        <v>0</v>
      </c>
      <c r="D4401">
        <v>0</v>
      </c>
      <c r="E4401">
        <v>0</v>
      </c>
      <c r="F4401" s="2">
        <v>0</v>
      </c>
      <c r="H4401">
        <v>0</v>
      </c>
      <c r="I4401">
        <v>0.1741125760648204</v>
      </c>
      <c r="J4401">
        <v>0</v>
      </c>
      <c r="K4401">
        <v>0</v>
      </c>
      <c r="L4401" s="2">
        <v>0</v>
      </c>
      <c r="M4401">
        <v>45.7</v>
      </c>
      <c r="N4401" t="s">
        <v>10236</v>
      </c>
    </row>
    <row r="4402" spans="1:14">
      <c r="A4402" t="s">
        <v>29</v>
      </c>
      <c r="B4402" t="s">
        <v>4526</v>
      </c>
      <c r="C4402">
        <f>"180CAZ"</f>
        <v>0</v>
      </c>
      <c r="D4402">
        <v>0</v>
      </c>
      <c r="E4402">
        <v>0</v>
      </c>
      <c r="F4402" s="2">
        <v>0</v>
      </c>
      <c r="H4402">
        <v>0</v>
      </c>
      <c r="I4402">
        <v>0.1741125760648204</v>
      </c>
      <c r="J4402">
        <v>0</v>
      </c>
      <c r="K4402">
        <v>0</v>
      </c>
      <c r="L4402" s="2">
        <v>0</v>
      </c>
      <c r="M4402">
        <v>45.71</v>
      </c>
      <c r="N4402" t="s">
        <v>10236</v>
      </c>
    </row>
    <row r="4403" spans="1:14">
      <c r="A4403" t="s">
        <v>25</v>
      </c>
      <c r="B4403" t="s">
        <v>4527</v>
      </c>
      <c r="C4403">
        <f>"180BROJ"</f>
        <v>0</v>
      </c>
      <c r="D4403">
        <v>0</v>
      </c>
      <c r="E4403">
        <v>1</v>
      </c>
      <c r="F4403" s="2">
        <v>666</v>
      </c>
      <c r="H4403">
        <v>0</v>
      </c>
      <c r="I4403">
        <v>0.1741125760648204</v>
      </c>
      <c r="J4403">
        <v>0</v>
      </c>
      <c r="K4403">
        <v>0</v>
      </c>
      <c r="L4403" s="2">
        <v>0</v>
      </c>
      <c r="M4403">
        <v>45.71</v>
      </c>
      <c r="N4403" t="s">
        <v>10236</v>
      </c>
    </row>
    <row r="4404" spans="1:14">
      <c r="A4404" t="s">
        <v>25</v>
      </c>
      <c r="B4404" t="s">
        <v>4528</v>
      </c>
      <c r="C4404">
        <f>"180BAM"</f>
        <v>0</v>
      </c>
      <c r="D4404">
        <v>0</v>
      </c>
      <c r="E4404">
        <v>1</v>
      </c>
      <c r="F4404" s="2">
        <v>666</v>
      </c>
      <c r="H4404">
        <v>0</v>
      </c>
      <c r="I4404">
        <v>0.1741125760648204</v>
      </c>
      <c r="J4404">
        <v>0</v>
      </c>
      <c r="K4404">
        <v>0</v>
      </c>
      <c r="L4404" s="2">
        <v>0</v>
      </c>
      <c r="M4404">
        <v>45.72</v>
      </c>
      <c r="N4404" t="s">
        <v>10236</v>
      </c>
    </row>
    <row r="4405" spans="1:14">
      <c r="A4405" t="s">
        <v>25</v>
      </c>
      <c r="B4405" t="s">
        <v>4529</v>
      </c>
      <c r="C4405">
        <f>"ZVP4900"</f>
        <v>0</v>
      </c>
      <c r="D4405">
        <v>0</v>
      </c>
      <c r="E4405">
        <v>0</v>
      </c>
      <c r="F4405" s="2">
        <v>0</v>
      </c>
      <c r="H4405">
        <v>0</v>
      </c>
      <c r="I4405">
        <v>0.1741125760648204</v>
      </c>
      <c r="J4405">
        <v>0</v>
      </c>
      <c r="K4405">
        <v>0</v>
      </c>
      <c r="L4405" s="2">
        <v>0</v>
      </c>
      <c r="M4405">
        <v>45.73</v>
      </c>
      <c r="N4405" t="s">
        <v>10236</v>
      </c>
    </row>
    <row r="4406" spans="1:14">
      <c r="A4406" t="s">
        <v>35</v>
      </c>
      <c r="B4406" t="s">
        <v>4530</v>
      </c>
      <c r="C4406">
        <f>"PD10023XL"</f>
        <v>0</v>
      </c>
      <c r="D4406">
        <v>0</v>
      </c>
      <c r="E4406">
        <v>12</v>
      </c>
      <c r="F4406" s="2">
        <v>7</v>
      </c>
      <c r="H4406">
        <v>0</v>
      </c>
      <c r="I4406">
        <v>0.1741125760648204</v>
      </c>
      <c r="J4406">
        <v>0</v>
      </c>
      <c r="K4406">
        <v>0</v>
      </c>
      <c r="L4406" s="2">
        <v>0</v>
      </c>
      <c r="M4406">
        <v>45.74</v>
      </c>
      <c r="N4406" t="s">
        <v>10236</v>
      </c>
    </row>
    <row r="4407" spans="1:14">
      <c r="A4407" t="s">
        <v>29</v>
      </c>
      <c r="B4407" t="s">
        <v>4531</v>
      </c>
      <c r="C4407">
        <f>"HE600N"</f>
        <v>0</v>
      </c>
      <c r="D4407">
        <v>0</v>
      </c>
      <c r="E4407">
        <v>0</v>
      </c>
      <c r="F4407" s="2">
        <v>0</v>
      </c>
      <c r="H4407">
        <v>0</v>
      </c>
      <c r="I4407">
        <v>0.1741125760648204</v>
      </c>
      <c r="J4407">
        <v>0</v>
      </c>
      <c r="K4407">
        <v>0</v>
      </c>
      <c r="L4407" s="2">
        <v>0</v>
      </c>
      <c r="M4407">
        <v>45.75</v>
      </c>
      <c r="N4407" t="s">
        <v>10236</v>
      </c>
    </row>
    <row r="4408" spans="1:14">
      <c r="A4408" t="s">
        <v>29</v>
      </c>
      <c r="B4408" t="s">
        <v>4532</v>
      </c>
      <c r="C4408">
        <f>"HE600B"</f>
        <v>0</v>
      </c>
      <c r="D4408">
        <v>0</v>
      </c>
      <c r="E4408">
        <v>0</v>
      </c>
      <c r="F4408" s="2">
        <v>0</v>
      </c>
      <c r="H4408">
        <v>0</v>
      </c>
      <c r="I4408">
        <v>0.1741125760648204</v>
      </c>
      <c r="J4408">
        <v>0</v>
      </c>
      <c r="K4408">
        <v>0</v>
      </c>
      <c r="L4408" s="2">
        <v>0</v>
      </c>
      <c r="M4408">
        <v>45.76</v>
      </c>
      <c r="N4408" t="s">
        <v>10236</v>
      </c>
    </row>
    <row r="4409" spans="1:14">
      <c r="A4409" t="s">
        <v>29</v>
      </c>
      <c r="B4409" t="s">
        <v>4533</v>
      </c>
      <c r="C4409">
        <f>"HR600N"</f>
        <v>0</v>
      </c>
      <c r="D4409">
        <v>0</v>
      </c>
      <c r="E4409">
        <v>0</v>
      </c>
      <c r="F4409" s="2">
        <v>0</v>
      </c>
      <c r="H4409">
        <v>0</v>
      </c>
      <c r="I4409">
        <v>0.1741125760648204</v>
      </c>
      <c r="J4409">
        <v>0</v>
      </c>
      <c r="K4409">
        <v>0</v>
      </c>
      <c r="L4409" s="2">
        <v>0</v>
      </c>
      <c r="M4409">
        <v>45.77</v>
      </c>
      <c r="N4409" t="s">
        <v>10236</v>
      </c>
    </row>
    <row r="4410" spans="1:14">
      <c r="A4410" t="s">
        <v>29</v>
      </c>
      <c r="B4410" t="s">
        <v>4534</v>
      </c>
      <c r="C4410">
        <f>"GT30074"</f>
        <v>0</v>
      </c>
      <c r="D4410">
        <v>0</v>
      </c>
      <c r="E4410">
        <v>7</v>
      </c>
      <c r="F4410" s="2">
        <v>18</v>
      </c>
      <c r="H4410">
        <v>0</v>
      </c>
      <c r="I4410">
        <v>0.1741125760648204</v>
      </c>
      <c r="J4410">
        <v>0</v>
      </c>
      <c r="K4410">
        <v>0</v>
      </c>
      <c r="L4410" s="2">
        <v>0</v>
      </c>
      <c r="M4410">
        <v>45.78</v>
      </c>
      <c r="N4410" t="s">
        <v>10236</v>
      </c>
    </row>
    <row r="4411" spans="1:14">
      <c r="A4411" t="s">
        <v>29</v>
      </c>
      <c r="B4411" t="s">
        <v>4535</v>
      </c>
      <c r="C4411">
        <f>"GT30073"</f>
        <v>0</v>
      </c>
      <c r="D4411">
        <v>0</v>
      </c>
      <c r="E4411">
        <v>0</v>
      </c>
      <c r="F4411" s="2">
        <v>0</v>
      </c>
      <c r="H4411">
        <v>0</v>
      </c>
      <c r="I4411">
        <v>0.1741125760648204</v>
      </c>
      <c r="J4411">
        <v>0</v>
      </c>
      <c r="K4411">
        <v>0</v>
      </c>
      <c r="L4411" s="2">
        <v>0</v>
      </c>
      <c r="M4411">
        <v>45.79</v>
      </c>
      <c r="N4411" t="s">
        <v>10236</v>
      </c>
    </row>
    <row r="4412" spans="1:14">
      <c r="A4412" t="s">
        <v>29</v>
      </c>
      <c r="B4412" t="s">
        <v>4536</v>
      </c>
      <c r="C4412">
        <f>"GT30072"</f>
        <v>0</v>
      </c>
      <c r="D4412">
        <v>0</v>
      </c>
      <c r="E4412">
        <v>0</v>
      </c>
      <c r="F4412" s="2">
        <v>0</v>
      </c>
      <c r="H4412">
        <v>0</v>
      </c>
      <c r="I4412">
        <v>0.1741125760648204</v>
      </c>
      <c r="J4412">
        <v>0</v>
      </c>
      <c r="K4412">
        <v>0</v>
      </c>
      <c r="L4412" s="2">
        <v>0</v>
      </c>
      <c r="M4412">
        <v>45.8</v>
      </c>
      <c r="N4412" t="s">
        <v>10236</v>
      </c>
    </row>
    <row r="4413" spans="1:14">
      <c r="A4413" t="s">
        <v>29</v>
      </c>
      <c r="B4413" t="s">
        <v>4537</v>
      </c>
      <c r="C4413">
        <f>"GT30071"</f>
        <v>0</v>
      </c>
      <c r="D4413">
        <v>0</v>
      </c>
      <c r="E4413">
        <v>0</v>
      </c>
      <c r="F4413" s="2">
        <v>0</v>
      </c>
      <c r="H4413">
        <v>0</v>
      </c>
      <c r="I4413">
        <v>0.1741125760648204</v>
      </c>
      <c r="J4413">
        <v>0</v>
      </c>
      <c r="K4413">
        <v>0</v>
      </c>
      <c r="L4413" s="2">
        <v>0</v>
      </c>
      <c r="M4413">
        <v>45.81</v>
      </c>
      <c r="N4413" t="s">
        <v>10236</v>
      </c>
    </row>
    <row r="4414" spans="1:14">
      <c r="A4414" t="s">
        <v>29</v>
      </c>
      <c r="B4414" t="s">
        <v>4538</v>
      </c>
      <c r="C4414">
        <f>"R352PL"</f>
        <v>0</v>
      </c>
      <c r="D4414">
        <v>0</v>
      </c>
      <c r="E4414">
        <v>1</v>
      </c>
      <c r="F4414" s="2">
        <v>140</v>
      </c>
      <c r="H4414">
        <v>0</v>
      </c>
      <c r="I4414">
        <v>0.1741125760648204</v>
      </c>
      <c r="J4414">
        <v>0</v>
      </c>
      <c r="K4414">
        <v>0</v>
      </c>
      <c r="L4414" s="2">
        <v>0</v>
      </c>
      <c r="M4414">
        <v>45.82</v>
      </c>
      <c r="N4414" t="s">
        <v>10236</v>
      </c>
    </row>
    <row r="4415" spans="1:14">
      <c r="A4415" t="s">
        <v>29</v>
      </c>
      <c r="B4415" t="s">
        <v>4539</v>
      </c>
      <c r="C4415">
        <f>"R362NG"</f>
        <v>0</v>
      </c>
      <c r="D4415">
        <v>0</v>
      </c>
      <c r="E4415">
        <v>0</v>
      </c>
      <c r="F4415" s="2">
        <v>0</v>
      </c>
      <c r="H4415">
        <v>0</v>
      </c>
      <c r="I4415">
        <v>0.1741125760648204</v>
      </c>
      <c r="J4415">
        <v>0</v>
      </c>
      <c r="K4415">
        <v>0</v>
      </c>
      <c r="L4415" s="2">
        <v>0</v>
      </c>
      <c r="M4415">
        <v>45.83</v>
      </c>
      <c r="N4415" t="s">
        <v>10236</v>
      </c>
    </row>
    <row r="4416" spans="1:14">
      <c r="A4416" t="s">
        <v>29</v>
      </c>
      <c r="B4416" t="s">
        <v>4540</v>
      </c>
      <c r="C4416">
        <f>"180CVE"</f>
        <v>0</v>
      </c>
      <c r="D4416">
        <v>0</v>
      </c>
      <c r="E4416">
        <v>4</v>
      </c>
      <c r="F4416" s="2">
        <v>1</v>
      </c>
      <c r="H4416">
        <v>0</v>
      </c>
      <c r="I4416">
        <v>0.1741125760648204</v>
      </c>
      <c r="J4416">
        <v>0</v>
      </c>
      <c r="K4416">
        <v>0</v>
      </c>
      <c r="L4416" s="2">
        <v>0</v>
      </c>
      <c r="M4416">
        <v>45.83</v>
      </c>
      <c r="N4416" t="s">
        <v>10236</v>
      </c>
    </row>
    <row r="4417" spans="1:14">
      <c r="A4417" t="s">
        <v>35</v>
      </c>
      <c r="B4417" t="s">
        <v>4541</v>
      </c>
      <c r="C4417">
        <f>"JWL1024XL"</f>
        <v>0</v>
      </c>
      <c r="D4417">
        <v>0</v>
      </c>
      <c r="E4417">
        <v>21</v>
      </c>
      <c r="F4417" s="2">
        <v>2</v>
      </c>
      <c r="H4417">
        <v>0</v>
      </c>
      <c r="I4417">
        <v>0.1741125760648204</v>
      </c>
      <c r="J4417">
        <v>0</v>
      </c>
      <c r="K4417">
        <v>0</v>
      </c>
      <c r="L4417" s="2">
        <v>0</v>
      </c>
      <c r="M4417">
        <v>45.84</v>
      </c>
      <c r="N4417" t="s">
        <v>10236</v>
      </c>
    </row>
    <row r="4418" spans="1:14">
      <c r="A4418" t="s">
        <v>35</v>
      </c>
      <c r="B4418" t="s">
        <v>4542</v>
      </c>
      <c r="C4418">
        <f>"JWL1033XL"</f>
        <v>0</v>
      </c>
      <c r="D4418">
        <v>0</v>
      </c>
      <c r="E4418">
        <v>19</v>
      </c>
      <c r="F4418" s="2">
        <v>2</v>
      </c>
      <c r="H4418">
        <v>0</v>
      </c>
      <c r="I4418">
        <v>0.1741125760648204</v>
      </c>
      <c r="J4418">
        <v>0</v>
      </c>
      <c r="K4418">
        <v>0</v>
      </c>
      <c r="L4418" s="2">
        <v>0</v>
      </c>
      <c r="M4418">
        <v>45.85</v>
      </c>
      <c r="N4418" t="s">
        <v>10236</v>
      </c>
    </row>
    <row r="4419" spans="1:14">
      <c r="A4419" t="s">
        <v>35</v>
      </c>
      <c r="B4419" t="s">
        <v>4543</v>
      </c>
      <c r="C4419">
        <f>"jw9013V"</f>
        <v>0</v>
      </c>
      <c r="D4419">
        <v>0</v>
      </c>
      <c r="E4419">
        <v>2</v>
      </c>
      <c r="F4419" s="2">
        <v>3</v>
      </c>
      <c r="H4419">
        <v>0</v>
      </c>
      <c r="I4419">
        <v>0.1741125760648204</v>
      </c>
      <c r="J4419">
        <v>0</v>
      </c>
      <c r="K4419">
        <v>0</v>
      </c>
      <c r="L4419" s="2">
        <v>0</v>
      </c>
      <c r="M4419">
        <v>45.86</v>
      </c>
      <c r="N4419" t="s">
        <v>10236</v>
      </c>
    </row>
    <row r="4420" spans="1:14">
      <c r="A4420" t="s">
        <v>35</v>
      </c>
      <c r="B4420" t="s">
        <v>4544</v>
      </c>
      <c r="C4420">
        <f>"1816V"</f>
        <v>0</v>
      </c>
      <c r="D4420">
        <v>0</v>
      </c>
      <c r="E4420">
        <v>0</v>
      </c>
      <c r="F4420" s="2">
        <v>0</v>
      </c>
      <c r="H4420">
        <v>0</v>
      </c>
      <c r="I4420">
        <v>0.1741125760648204</v>
      </c>
      <c r="J4420">
        <v>0</v>
      </c>
      <c r="K4420">
        <v>0</v>
      </c>
      <c r="L4420" s="2">
        <v>0</v>
      </c>
      <c r="M4420">
        <v>45.87</v>
      </c>
      <c r="N4420" t="s">
        <v>10236</v>
      </c>
    </row>
    <row r="4421" spans="1:14">
      <c r="A4421" t="s">
        <v>35</v>
      </c>
      <c r="B4421" t="s">
        <v>4545</v>
      </c>
      <c r="C4421">
        <f>"LS196A"</f>
        <v>0</v>
      </c>
      <c r="D4421">
        <v>0</v>
      </c>
      <c r="E4421">
        <v>0</v>
      </c>
      <c r="F4421" s="2">
        <v>0</v>
      </c>
      <c r="H4421">
        <v>0</v>
      </c>
      <c r="I4421">
        <v>0.1741125760648204</v>
      </c>
      <c r="J4421">
        <v>0</v>
      </c>
      <c r="K4421">
        <v>0</v>
      </c>
      <c r="L4421" s="2">
        <v>0</v>
      </c>
      <c r="M4421">
        <v>45.88</v>
      </c>
      <c r="N4421" t="s">
        <v>10236</v>
      </c>
    </row>
    <row r="4422" spans="1:14">
      <c r="A4422" t="s">
        <v>35</v>
      </c>
      <c r="B4422" t="s">
        <v>4546</v>
      </c>
      <c r="C4422">
        <f>"1756R"</f>
        <v>0</v>
      </c>
      <c r="D4422">
        <v>0</v>
      </c>
      <c r="E4422">
        <v>3</v>
      </c>
      <c r="F4422" s="2">
        <v>8</v>
      </c>
      <c r="H4422">
        <v>0</v>
      </c>
      <c r="I4422">
        <v>0.1741125760648204</v>
      </c>
      <c r="J4422">
        <v>0</v>
      </c>
      <c r="K4422">
        <v>0</v>
      </c>
      <c r="L4422" s="2">
        <v>0</v>
      </c>
      <c r="M4422">
        <v>45.89</v>
      </c>
      <c r="N4422" t="s">
        <v>10236</v>
      </c>
    </row>
    <row r="4423" spans="1:14">
      <c r="A4423" t="s">
        <v>35</v>
      </c>
      <c r="B4423" t="s">
        <v>4547</v>
      </c>
      <c r="C4423">
        <f>"1756G"</f>
        <v>0</v>
      </c>
      <c r="D4423">
        <v>0</v>
      </c>
      <c r="E4423">
        <v>4</v>
      </c>
      <c r="F4423" s="2">
        <v>8</v>
      </c>
      <c r="H4423">
        <v>0</v>
      </c>
      <c r="I4423">
        <v>0.1741125760648204</v>
      </c>
      <c r="J4423">
        <v>0</v>
      </c>
      <c r="K4423">
        <v>0</v>
      </c>
      <c r="L4423" s="2">
        <v>0</v>
      </c>
      <c r="M4423">
        <v>45.9</v>
      </c>
      <c r="N4423" t="s">
        <v>10236</v>
      </c>
    </row>
    <row r="4424" spans="1:14">
      <c r="A4424" t="s">
        <v>35</v>
      </c>
      <c r="B4424" t="s">
        <v>4548</v>
      </c>
      <c r="C4424">
        <f>"1756A"</f>
        <v>0</v>
      </c>
      <c r="D4424">
        <v>0</v>
      </c>
      <c r="E4424">
        <v>6</v>
      </c>
      <c r="F4424" s="2">
        <v>8</v>
      </c>
      <c r="H4424">
        <v>0</v>
      </c>
      <c r="I4424">
        <v>0.1741125760648204</v>
      </c>
      <c r="J4424">
        <v>0</v>
      </c>
      <c r="K4424">
        <v>0</v>
      </c>
      <c r="L4424" s="2">
        <v>0</v>
      </c>
      <c r="M4424">
        <v>45.91</v>
      </c>
      <c r="N4424" t="s">
        <v>10236</v>
      </c>
    </row>
    <row r="4425" spans="1:14">
      <c r="A4425" t="s">
        <v>35</v>
      </c>
      <c r="B4425" t="s">
        <v>4549</v>
      </c>
      <c r="C4425">
        <f>"jw9013R"</f>
        <v>0</v>
      </c>
      <c r="D4425">
        <v>0</v>
      </c>
      <c r="E4425">
        <v>3</v>
      </c>
      <c r="F4425" s="2">
        <v>3</v>
      </c>
      <c r="H4425">
        <v>0</v>
      </c>
      <c r="I4425">
        <v>0.1741125760648204</v>
      </c>
      <c r="J4425">
        <v>0</v>
      </c>
      <c r="K4425">
        <v>0</v>
      </c>
      <c r="L4425" s="2">
        <v>0</v>
      </c>
      <c r="M4425">
        <v>45.92</v>
      </c>
      <c r="N4425" t="s">
        <v>10236</v>
      </c>
    </row>
    <row r="4426" spans="1:14">
      <c r="A4426" t="s">
        <v>35</v>
      </c>
      <c r="B4426" t="s">
        <v>4550</v>
      </c>
      <c r="C4426">
        <f>"JW9013N"</f>
        <v>0</v>
      </c>
      <c r="D4426">
        <v>0</v>
      </c>
      <c r="E4426">
        <v>0</v>
      </c>
      <c r="F4426" s="2">
        <v>0</v>
      </c>
      <c r="H4426">
        <v>0</v>
      </c>
      <c r="I4426">
        <v>0.1741125760648204</v>
      </c>
      <c r="J4426">
        <v>0</v>
      </c>
      <c r="K4426">
        <v>0</v>
      </c>
      <c r="L4426" s="2">
        <v>0</v>
      </c>
      <c r="M4426">
        <v>45.93</v>
      </c>
      <c r="N4426" t="s">
        <v>10236</v>
      </c>
    </row>
    <row r="4427" spans="1:14">
      <c r="A4427" t="s">
        <v>35</v>
      </c>
      <c r="B4427" t="s">
        <v>4551</v>
      </c>
      <c r="C4427">
        <f>"jw9013C"</f>
        <v>0</v>
      </c>
      <c r="D4427">
        <v>0</v>
      </c>
      <c r="E4427">
        <v>6</v>
      </c>
      <c r="F4427" s="2">
        <v>3</v>
      </c>
      <c r="H4427">
        <v>0</v>
      </c>
      <c r="I4427">
        <v>0.1741125760648204</v>
      </c>
      <c r="J4427">
        <v>0</v>
      </c>
      <c r="K4427">
        <v>0</v>
      </c>
      <c r="L4427" s="2">
        <v>0</v>
      </c>
      <c r="M4427">
        <v>45.94</v>
      </c>
      <c r="N4427" t="s">
        <v>10236</v>
      </c>
    </row>
    <row r="4428" spans="1:14">
      <c r="A4428" t="s">
        <v>35</v>
      </c>
      <c r="B4428" t="s">
        <v>4552</v>
      </c>
      <c r="C4428">
        <f>"1701LR"</f>
        <v>0</v>
      </c>
      <c r="D4428">
        <v>0</v>
      </c>
      <c r="E4428">
        <v>2</v>
      </c>
      <c r="F4428" s="2">
        <v>8</v>
      </c>
      <c r="H4428">
        <v>0</v>
      </c>
      <c r="I4428">
        <v>0.1741125760648204</v>
      </c>
      <c r="J4428">
        <v>0</v>
      </c>
      <c r="K4428">
        <v>0</v>
      </c>
      <c r="L4428" s="2">
        <v>0</v>
      </c>
      <c r="M4428">
        <v>45.95</v>
      </c>
      <c r="N4428" t="s">
        <v>10236</v>
      </c>
    </row>
    <row r="4429" spans="1:14">
      <c r="A4429" t="s">
        <v>35</v>
      </c>
      <c r="B4429" t="s">
        <v>4553</v>
      </c>
      <c r="C4429">
        <f>"1701LG"</f>
        <v>0</v>
      </c>
      <c r="D4429">
        <v>0</v>
      </c>
      <c r="E4429">
        <v>1</v>
      </c>
      <c r="F4429" s="2">
        <v>8</v>
      </c>
      <c r="H4429">
        <v>0</v>
      </c>
      <c r="I4429">
        <v>0.1741125760648204</v>
      </c>
      <c r="J4429">
        <v>0</v>
      </c>
      <c r="K4429">
        <v>0</v>
      </c>
      <c r="L4429" s="2">
        <v>0</v>
      </c>
      <c r="M4429">
        <v>45.95</v>
      </c>
      <c r="N4429" t="s">
        <v>10236</v>
      </c>
    </row>
    <row r="4430" spans="1:14">
      <c r="A4430" t="s">
        <v>35</v>
      </c>
      <c r="B4430" t="s">
        <v>4554</v>
      </c>
      <c r="C4430">
        <f>"1701LA"</f>
        <v>0</v>
      </c>
      <c r="D4430">
        <v>0</v>
      </c>
      <c r="E4430">
        <v>1</v>
      </c>
      <c r="F4430" s="2">
        <v>8</v>
      </c>
      <c r="H4430">
        <v>0</v>
      </c>
      <c r="I4430">
        <v>0.1741125760648204</v>
      </c>
      <c r="J4430">
        <v>0</v>
      </c>
      <c r="K4430">
        <v>0</v>
      </c>
      <c r="L4430" s="2">
        <v>0</v>
      </c>
      <c r="M4430">
        <v>45.96</v>
      </c>
      <c r="N4430" t="s">
        <v>10236</v>
      </c>
    </row>
    <row r="4431" spans="1:14">
      <c r="A4431" t="s">
        <v>35</v>
      </c>
      <c r="B4431" t="s">
        <v>4555</v>
      </c>
      <c r="C4431">
        <f>"D11WXL"</f>
        <v>0</v>
      </c>
      <c r="D4431">
        <v>0</v>
      </c>
      <c r="E4431">
        <v>18</v>
      </c>
      <c r="F4431" s="2">
        <v>4</v>
      </c>
      <c r="H4431">
        <v>0</v>
      </c>
      <c r="I4431">
        <v>0.1741125760648204</v>
      </c>
      <c r="J4431">
        <v>0</v>
      </c>
      <c r="K4431">
        <v>0</v>
      </c>
      <c r="L4431" s="2">
        <v>0</v>
      </c>
      <c r="M4431">
        <v>45.97</v>
      </c>
      <c r="N4431" t="s">
        <v>10236</v>
      </c>
    </row>
    <row r="4432" spans="1:14">
      <c r="A4432" t="s">
        <v>35</v>
      </c>
      <c r="B4432" t="s">
        <v>4556</v>
      </c>
      <c r="C4432">
        <f>"YH009MFUC"</f>
        <v>0</v>
      </c>
      <c r="D4432">
        <v>0</v>
      </c>
      <c r="E4432">
        <v>1</v>
      </c>
      <c r="F4432" s="2">
        <v>4</v>
      </c>
      <c r="H4432">
        <v>0</v>
      </c>
      <c r="I4432">
        <v>0.1741125760648204</v>
      </c>
      <c r="J4432">
        <v>0</v>
      </c>
      <c r="K4432">
        <v>0</v>
      </c>
      <c r="L4432" s="2">
        <v>0</v>
      </c>
      <c r="M4432">
        <v>45.98</v>
      </c>
      <c r="N4432" t="s">
        <v>10236</v>
      </c>
    </row>
    <row r="4433" spans="1:14">
      <c r="A4433" t="s">
        <v>35</v>
      </c>
      <c r="B4433" t="s">
        <v>4557</v>
      </c>
      <c r="C4433">
        <f>"YH009LROJ"</f>
        <v>0</v>
      </c>
      <c r="D4433">
        <v>0</v>
      </c>
      <c r="E4433">
        <v>1</v>
      </c>
      <c r="F4433" s="2">
        <v>5</v>
      </c>
      <c r="H4433">
        <v>0</v>
      </c>
      <c r="I4433">
        <v>0.1741125760648204</v>
      </c>
      <c r="J4433">
        <v>0</v>
      </c>
      <c r="K4433">
        <v>0</v>
      </c>
      <c r="L4433" s="2">
        <v>0</v>
      </c>
      <c r="M4433">
        <v>45.99</v>
      </c>
      <c r="N4433" t="s">
        <v>10236</v>
      </c>
    </row>
    <row r="4434" spans="1:14">
      <c r="A4434" t="s">
        <v>35</v>
      </c>
      <c r="B4434" t="s">
        <v>4558</v>
      </c>
      <c r="C4434">
        <f>"YH009LCAL"</f>
        <v>0</v>
      </c>
      <c r="D4434">
        <v>0</v>
      </c>
      <c r="E4434">
        <v>1</v>
      </c>
      <c r="F4434" s="2">
        <v>5</v>
      </c>
      <c r="H4434">
        <v>0</v>
      </c>
      <c r="I4434">
        <v>0.1741125760648204</v>
      </c>
      <c r="J4434">
        <v>0</v>
      </c>
      <c r="K4434">
        <v>0</v>
      </c>
      <c r="L4434" s="2">
        <v>0</v>
      </c>
      <c r="M4434">
        <v>46</v>
      </c>
      <c r="N4434" t="s">
        <v>10236</v>
      </c>
    </row>
    <row r="4435" spans="1:14">
      <c r="A4435" t="s">
        <v>35</v>
      </c>
      <c r="B4435" t="s">
        <v>4559</v>
      </c>
      <c r="C4435">
        <f>"LV09020"</f>
        <v>0</v>
      </c>
      <c r="D4435">
        <v>0</v>
      </c>
      <c r="E4435">
        <v>0</v>
      </c>
      <c r="F4435" s="2">
        <v>0</v>
      </c>
      <c r="H4435">
        <v>0</v>
      </c>
      <c r="I4435">
        <v>0.1741125760648204</v>
      </c>
      <c r="J4435">
        <v>0</v>
      </c>
      <c r="K4435">
        <v>0</v>
      </c>
      <c r="L4435" s="2">
        <v>0</v>
      </c>
      <c r="M4435">
        <v>46.01</v>
      </c>
      <c r="N4435" t="s">
        <v>10236</v>
      </c>
    </row>
    <row r="4436" spans="1:14">
      <c r="A4436" t="s">
        <v>35</v>
      </c>
      <c r="B4436" t="s">
        <v>4560</v>
      </c>
      <c r="C4436">
        <f>"LV09015"</f>
        <v>0</v>
      </c>
      <c r="D4436">
        <v>0</v>
      </c>
      <c r="E4436">
        <v>0</v>
      </c>
      <c r="F4436" s="2">
        <v>0</v>
      </c>
      <c r="H4436">
        <v>0</v>
      </c>
      <c r="I4436">
        <v>0.1741125760648204</v>
      </c>
      <c r="J4436">
        <v>0</v>
      </c>
      <c r="K4436">
        <v>0</v>
      </c>
      <c r="L4436" s="2">
        <v>0</v>
      </c>
      <c r="M4436">
        <v>46.02</v>
      </c>
      <c r="N4436" t="s">
        <v>10236</v>
      </c>
    </row>
    <row r="4437" spans="1:14">
      <c r="A4437" t="s">
        <v>35</v>
      </c>
      <c r="B4437" t="s">
        <v>4561</v>
      </c>
      <c r="C4437">
        <f>"LL313MNA"</f>
        <v>0</v>
      </c>
      <c r="D4437">
        <v>0</v>
      </c>
      <c r="E4437">
        <v>1</v>
      </c>
      <c r="F4437" s="2">
        <v>5</v>
      </c>
      <c r="H4437">
        <v>0</v>
      </c>
      <c r="I4437">
        <v>0.1741125760648204</v>
      </c>
      <c r="J4437">
        <v>0</v>
      </c>
      <c r="K4437">
        <v>0</v>
      </c>
      <c r="L4437" s="2">
        <v>0</v>
      </c>
      <c r="M4437">
        <v>46.03</v>
      </c>
      <c r="N4437" t="s">
        <v>10236</v>
      </c>
    </row>
    <row r="4438" spans="1:14">
      <c r="A4438" t="s">
        <v>35</v>
      </c>
      <c r="B4438" t="s">
        <v>4562</v>
      </c>
      <c r="C4438">
        <f>"NH012L"</f>
        <v>0</v>
      </c>
      <c r="D4438">
        <v>0</v>
      </c>
      <c r="E4438">
        <v>15</v>
      </c>
      <c r="F4438" s="2">
        <v>4</v>
      </c>
      <c r="H4438">
        <v>0</v>
      </c>
      <c r="I4438">
        <v>0.1741125760648204</v>
      </c>
      <c r="J4438">
        <v>0</v>
      </c>
      <c r="K4438">
        <v>0</v>
      </c>
      <c r="L4438" s="2">
        <v>0</v>
      </c>
      <c r="M4438">
        <v>46.04</v>
      </c>
      <c r="N4438" t="s">
        <v>10236</v>
      </c>
    </row>
    <row r="4439" spans="1:14">
      <c r="A4439" t="s">
        <v>35</v>
      </c>
      <c r="B4439" t="s">
        <v>4563</v>
      </c>
      <c r="C4439">
        <f>"WD315"</f>
        <v>0</v>
      </c>
      <c r="D4439">
        <v>0</v>
      </c>
      <c r="E4439">
        <v>0</v>
      </c>
      <c r="F4439" s="2">
        <v>0</v>
      </c>
      <c r="H4439">
        <v>0</v>
      </c>
      <c r="I4439">
        <v>0.1741125760648204</v>
      </c>
      <c r="J4439">
        <v>0</v>
      </c>
      <c r="K4439">
        <v>0</v>
      </c>
      <c r="L4439" s="2">
        <v>0</v>
      </c>
      <c r="M4439">
        <v>46.05</v>
      </c>
      <c r="N4439" t="s">
        <v>10236</v>
      </c>
    </row>
    <row r="4440" spans="1:14">
      <c r="A4440" t="s">
        <v>35</v>
      </c>
      <c r="B4440" t="s">
        <v>4564</v>
      </c>
      <c r="C4440">
        <f>"WD236VEMU"</f>
        <v>0</v>
      </c>
      <c r="D4440">
        <v>0</v>
      </c>
      <c r="E4440">
        <v>0</v>
      </c>
      <c r="F4440" s="2">
        <v>0</v>
      </c>
      <c r="H4440">
        <v>0</v>
      </c>
      <c r="I4440">
        <v>0.1741125760648204</v>
      </c>
      <c r="J4440">
        <v>0</v>
      </c>
      <c r="K4440">
        <v>0</v>
      </c>
      <c r="L4440" s="2">
        <v>0</v>
      </c>
      <c r="M4440">
        <v>46.06</v>
      </c>
      <c r="N4440" t="s">
        <v>10236</v>
      </c>
    </row>
    <row r="4441" spans="1:14">
      <c r="A4441" t="s">
        <v>35</v>
      </c>
      <c r="B4441" t="s">
        <v>4564</v>
      </c>
      <c r="C4441">
        <f>"WD236ROJN"</f>
        <v>0</v>
      </c>
      <c r="D4441">
        <v>0</v>
      </c>
      <c r="E4441">
        <v>0</v>
      </c>
      <c r="F4441" s="2">
        <v>0</v>
      </c>
      <c r="H4441">
        <v>0</v>
      </c>
      <c r="I4441">
        <v>0.1741125760648204</v>
      </c>
      <c r="J4441">
        <v>0</v>
      </c>
      <c r="K4441">
        <v>0</v>
      </c>
      <c r="L4441" s="2">
        <v>0</v>
      </c>
      <c r="M4441">
        <v>46.06</v>
      </c>
      <c r="N4441" t="s">
        <v>10236</v>
      </c>
    </row>
    <row r="4442" spans="1:14">
      <c r="A4442" t="s">
        <v>35</v>
      </c>
      <c r="B4442" t="s">
        <v>4564</v>
      </c>
      <c r="C4442">
        <f>"WD236AZNE"</f>
        <v>0</v>
      </c>
      <c r="D4442">
        <v>0</v>
      </c>
      <c r="E4442">
        <v>0</v>
      </c>
      <c r="F4442" s="2">
        <v>0</v>
      </c>
      <c r="H4442">
        <v>0</v>
      </c>
      <c r="I4442">
        <v>0.1741125760648204</v>
      </c>
      <c r="J4442">
        <v>0</v>
      </c>
      <c r="K4442">
        <v>0</v>
      </c>
      <c r="L4442" s="2">
        <v>0</v>
      </c>
      <c r="M4442">
        <v>46.07</v>
      </c>
      <c r="N4442" t="s">
        <v>10236</v>
      </c>
    </row>
    <row r="4443" spans="1:14">
      <c r="A4443" t="s">
        <v>35</v>
      </c>
      <c r="B4443" t="s">
        <v>4564</v>
      </c>
      <c r="C4443">
        <f>"WD236"</f>
        <v>0</v>
      </c>
      <c r="D4443">
        <v>0</v>
      </c>
      <c r="E4443">
        <v>1</v>
      </c>
      <c r="F4443" s="2">
        <v>3</v>
      </c>
      <c r="H4443">
        <v>0</v>
      </c>
      <c r="I4443">
        <v>0.1741125760648204</v>
      </c>
      <c r="J4443">
        <v>0</v>
      </c>
      <c r="K4443">
        <v>0</v>
      </c>
      <c r="L4443" s="2">
        <v>0</v>
      </c>
      <c r="M4443">
        <v>46.08</v>
      </c>
      <c r="N4443" t="s">
        <v>10236</v>
      </c>
    </row>
    <row r="4444" spans="1:14">
      <c r="A4444" t="s">
        <v>35</v>
      </c>
      <c r="B4444" t="s">
        <v>1450</v>
      </c>
      <c r="C4444">
        <f>"WD023ROJN"</f>
        <v>0</v>
      </c>
      <c r="D4444">
        <v>0</v>
      </c>
      <c r="E4444">
        <v>0</v>
      </c>
      <c r="F4444" s="2">
        <v>0</v>
      </c>
      <c r="H4444">
        <v>0</v>
      </c>
      <c r="I4444">
        <v>0.1741125760648204</v>
      </c>
      <c r="J4444">
        <v>0</v>
      </c>
      <c r="K4444">
        <v>0</v>
      </c>
      <c r="L4444" s="2">
        <v>0</v>
      </c>
      <c r="M4444">
        <v>46.09</v>
      </c>
      <c r="N4444" t="s">
        <v>10236</v>
      </c>
    </row>
    <row r="4445" spans="1:14">
      <c r="A4445" t="s">
        <v>35</v>
      </c>
      <c r="B4445" t="s">
        <v>1450</v>
      </c>
      <c r="C4445">
        <f>"WD023AZNE"</f>
        <v>0</v>
      </c>
      <c r="D4445">
        <v>0</v>
      </c>
      <c r="E4445">
        <v>0</v>
      </c>
      <c r="F4445" s="2">
        <v>0</v>
      </c>
      <c r="H4445">
        <v>0</v>
      </c>
      <c r="I4445">
        <v>0.1741125760648204</v>
      </c>
      <c r="J4445">
        <v>0</v>
      </c>
      <c r="K4445">
        <v>0</v>
      </c>
      <c r="L4445" s="2">
        <v>0</v>
      </c>
      <c r="M4445">
        <v>46.1</v>
      </c>
      <c r="N4445" t="s">
        <v>10236</v>
      </c>
    </row>
    <row r="4446" spans="1:14">
      <c r="A4446" t="s">
        <v>35</v>
      </c>
      <c r="B4446" t="s">
        <v>4565</v>
      </c>
      <c r="C4446">
        <f>"PQ113"</f>
        <v>0</v>
      </c>
      <c r="D4446">
        <v>0</v>
      </c>
      <c r="E4446">
        <v>3</v>
      </c>
      <c r="F4446" s="2">
        <v>1</v>
      </c>
      <c r="H4446">
        <v>0</v>
      </c>
      <c r="I4446">
        <v>0.1741125760648204</v>
      </c>
      <c r="J4446">
        <v>0</v>
      </c>
      <c r="K4446">
        <v>0</v>
      </c>
      <c r="L4446" s="2">
        <v>0</v>
      </c>
      <c r="M4446">
        <v>46.11</v>
      </c>
      <c r="N4446" t="s">
        <v>10236</v>
      </c>
    </row>
    <row r="4447" spans="1:14">
      <c r="A4447" t="s">
        <v>35</v>
      </c>
      <c r="B4447" t="s">
        <v>4566</v>
      </c>
      <c r="C4447">
        <f>"YH009MVE"</f>
        <v>0</v>
      </c>
      <c r="D4447">
        <v>0</v>
      </c>
      <c r="E4447">
        <v>1</v>
      </c>
      <c r="F4447" s="2">
        <v>4</v>
      </c>
      <c r="H4447">
        <v>0</v>
      </c>
      <c r="I4447">
        <v>0.1741125760648204</v>
      </c>
      <c r="J4447">
        <v>0</v>
      </c>
      <c r="K4447">
        <v>0</v>
      </c>
      <c r="L4447" s="2">
        <v>0</v>
      </c>
      <c r="M4447">
        <v>46.12</v>
      </c>
      <c r="N4447" t="s">
        <v>10236</v>
      </c>
    </row>
    <row r="4448" spans="1:14">
      <c r="A4448" t="s">
        <v>35</v>
      </c>
      <c r="B4448" t="s">
        <v>4567</v>
      </c>
      <c r="C4448">
        <f>"D11WS"</f>
        <v>0</v>
      </c>
      <c r="D4448">
        <v>0</v>
      </c>
      <c r="E4448">
        <v>19</v>
      </c>
      <c r="F4448" s="2">
        <v>4</v>
      </c>
      <c r="H4448">
        <v>0</v>
      </c>
      <c r="I4448">
        <v>0.1741125760648204</v>
      </c>
      <c r="J4448">
        <v>0</v>
      </c>
      <c r="K4448">
        <v>0</v>
      </c>
      <c r="L4448" s="2">
        <v>0</v>
      </c>
      <c r="M4448">
        <v>46.13</v>
      </c>
      <c r="N4448" t="s">
        <v>10236</v>
      </c>
    </row>
    <row r="4449" spans="1:14">
      <c r="A4449" t="s">
        <v>35</v>
      </c>
      <c r="B4449" t="s">
        <v>4568</v>
      </c>
      <c r="C4449">
        <f>"D11WM"</f>
        <v>0</v>
      </c>
      <c r="D4449">
        <v>0</v>
      </c>
      <c r="E4449">
        <v>17</v>
      </c>
      <c r="F4449" s="2">
        <v>4</v>
      </c>
      <c r="H4449">
        <v>0</v>
      </c>
      <c r="I4449">
        <v>0.1741125760648204</v>
      </c>
      <c r="J4449">
        <v>0</v>
      </c>
      <c r="K4449">
        <v>0</v>
      </c>
      <c r="L4449" s="2">
        <v>0</v>
      </c>
      <c r="M4449">
        <v>46.14</v>
      </c>
      <c r="N4449" t="s">
        <v>10236</v>
      </c>
    </row>
    <row r="4450" spans="1:14">
      <c r="A4450" t="s">
        <v>35</v>
      </c>
      <c r="B4450" t="s">
        <v>4569</v>
      </c>
      <c r="C4450">
        <f>"D11WL"</f>
        <v>0</v>
      </c>
      <c r="D4450">
        <v>0</v>
      </c>
      <c r="E4450">
        <v>20</v>
      </c>
      <c r="F4450" s="2">
        <v>4</v>
      </c>
      <c r="H4450">
        <v>0</v>
      </c>
      <c r="I4450">
        <v>0.1741125760648204</v>
      </c>
      <c r="J4450">
        <v>0</v>
      </c>
      <c r="K4450">
        <v>0</v>
      </c>
      <c r="L4450" s="2">
        <v>0</v>
      </c>
      <c r="M4450">
        <v>46.15</v>
      </c>
      <c r="N4450" t="s">
        <v>10236</v>
      </c>
    </row>
    <row r="4451" spans="1:14">
      <c r="A4451" t="s">
        <v>35</v>
      </c>
      <c r="B4451" t="s">
        <v>4570</v>
      </c>
      <c r="C4451">
        <f>"1801XS"</f>
        <v>0</v>
      </c>
      <c r="D4451">
        <v>0</v>
      </c>
      <c r="E4451">
        <v>12</v>
      </c>
      <c r="F4451" s="2">
        <v>4</v>
      </c>
      <c r="H4451">
        <v>0</v>
      </c>
      <c r="I4451">
        <v>0.1741125760648204</v>
      </c>
      <c r="J4451">
        <v>0</v>
      </c>
      <c r="K4451">
        <v>0</v>
      </c>
      <c r="L4451" s="2">
        <v>0</v>
      </c>
      <c r="M4451">
        <v>46.16</v>
      </c>
      <c r="N4451" t="s">
        <v>10236</v>
      </c>
    </row>
    <row r="4452" spans="1:14">
      <c r="A4452" t="s">
        <v>35</v>
      </c>
      <c r="B4452" t="s">
        <v>4571</v>
      </c>
      <c r="C4452">
        <f>"1801XL"</f>
        <v>0</v>
      </c>
      <c r="D4452">
        <v>0</v>
      </c>
      <c r="E4452">
        <v>1</v>
      </c>
      <c r="F4452" s="2">
        <v>4</v>
      </c>
      <c r="H4452">
        <v>0</v>
      </c>
      <c r="I4452">
        <v>0.1741125760648204</v>
      </c>
      <c r="J4452">
        <v>0</v>
      </c>
      <c r="K4452">
        <v>0</v>
      </c>
      <c r="L4452" s="2">
        <v>0</v>
      </c>
      <c r="M4452">
        <v>46.17</v>
      </c>
      <c r="N4452" t="s">
        <v>10236</v>
      </c>
    </row>
    <row r="4453" spans="1:14">
      <c r="A4453" t="s">
        <v>35</v>
      </c>
      <c r="B4453" t="s">
        <v>4572</v>
      </c>
      <c r="C4453">
        <f>"1816A"</f>
        <v>0</v>
      </c>
      <c r="D4453">
        <v>0</v>
      </c>
      <c r="E4453">
        <v>1</v>
      </c>
      <c r="F4453" s="2">
        <v>0</v>
      </c>
      <c r="H4453">
        <v>0</v>
      </c>
      <c r="I4453">
        <v>0.1741125760648204</v>
      </c>
      <c r="J4453">
        <v>0</v>
      </c>
      <c r="K4453">
        <v>0</v>
      </c>
      <c r="L4453" s="2">
        <v>0</v>
      </c>
      <c r="M4453">
        <v>46.18</v>
      </c>
      <c r="N4453" t="s">
        <v>10236</v>
      </c>
    </row>
    <row r="4454" spans="1:14">
      <c r="A4454" t="s">
        <v>35</v>
      </c>
      <c r="B4454" t="s">
        <v>4573</v>
      </c>
      <c r="C4454">
        <f>"1801M"</f>
        <v>0</v>
      </c>
      <c r="D4454">
        <v>0</v>
      </c>
      <c r="E4454">
        <v>17</v>
      </c>
      <c r="F4454" s="2">
        <v>4</v>
      </c>
      <c r="H4454">
        <v>0</v>
      </c>
      <c r="I4454">
        <v>0.1741125760648204</v>
      </c>
      <c r="J4454">
        <v>0</v>
      </c>
      <c r="K4454">
        <v>0</v>
      </c>
      <c r="L4454" s="2">
        <v>0</v>
      </c>
      <c r="M4454">
        <v>46.18</v>
      </c>
      <c r="N4454" t="s">
        <v>10236</v>
      </c>
    </row>
    <row r="4455" spans="1:14">
      <c r="A4455" t="s">
        <v>35</v>
      </c>
      <c r="B4455" t="s">
        <v>4574</v>
      </c>
      <c r="C4455">
        <f>"1801L"</f>
        <v>0</v>
      </c>
      <c r="D4455">
        <v>0</v>
      </c>
      <c r="E4455">
        <v>17</v>
      </c>
      <c r="F4455" s="2">
        <v>4</v>
      </c>
      <c r="H4455">
        <v>0</v>
      </c>
      <c r="I4455">
        <v>0.1741125760648204</v>
      </c>
      <c r="J4455">
        <v>0</v>
      </c>
      <c r="K4455">
        <v>0</v>
      </c>
      <c r="L4455" s="2">
        <v>0</v>
      </c>
      <c r="M4455">
        <v>46.19</v>
      </c>
      <c r="N4455" t="s">
        <v>10236</v>
      </c>
    </row>
    <row r="4456" spans="1:14">
      <c r="A4456" t="s">
        <v>35</v>
      </c>
      <c r="B4456" t="s">
        <v>4575</v>
      </c>
      <c r="C4456">
        <f>"LC100SNA"</f>
        <v>0</v>
      </c>
      <c r="D4456">
        <v>0</v>
      </c>
      <c r="E4456">
        <v>18</v>
      </c>
      <c r="F4456" s="2">
        <v>4</v>
      </c>
      <c r="H4456">
        <v>0</v>
      </c>
      <c r="I4456">
        <v>0.1741125760648204</v>
      </c>
      <c r="J4456">
        <v>0</v>
      </c>
      <c r="K4456">
        <v>0</v>
      </c>
      <c r="L4456" s="2">
        <v>0</v>
      </c>
      <c r="M4456">
        <v>46.2</v>
      </c>
      <c r="N4456" t="s">
        <v>10236</v>
      </c>
    </row>
    <row r="4457" spans="1:14">
      <c r="A4457" t="s">
        <v>35</v>
      </c>
      <c r="B4457" t="s">
        <v>4576</v>
      </c>
      <c r="C4457">
        <f>"LC100SM"</f>
        <v>0</v>
      </c>
      <c r="D4457">
        <v>0</v>
      </c>
      <c r="E4457">
        <v>3</v>
      </c>
      <c r="F4457" s="2">
        <v>4</v>
      </c>
      <c r="H4457">
        <v>0</v>
      </c>
      <c r="I4457">
        <v>0.1741125760648204</v>
      </c>
      <c r="J4457">
        <v>0</v>
      </c>
      <c r="K4457">
        <v>0</v>
      </c>
      <c r="L4457" s="2">
        <v>0</v>
      </c>
      <c r="M4457">
        <v>46.21</v>
      </c>
      <c r="N4457" t="s">
        <v>10236</v>
      </c>
    </row>
    <row r="4458" spans="1:14">
      <c r="A4458" t="s">
        <v>35</v>
      </c>
      <c r="B4458" t="s">
        <v>4577</v>
      </c>
      <c r="C4458">
        <f>"LC100SAV"</f>
        <v>0</v>
      </c>
      <c r="D4458">
        <v>0</v>
      </c>
      <c r="E4458">
        <v>18</v>
      </c>
      <c r="F4458" s="2">
        <v>4</v>
      </c>
      <c r="H4458">
        <v>0</v>
      </c>
      <c r="I4458">
        <v>0.1741125760648204</v>
      </c>
      <c r="J4458">
        <v>0</v>
      </c>
      <c r="K4458">
        <v>0</v>
      </c>
      <c r="L4458" s="2">
        <v>0</v>
      </c>
      <c r="M4458">
        <v>46.22</v>
      </c>
      <c r="N4458" t="s">
        <v>10236</v>
      </c>
    </row>
    <row r="4459" spans="1:14">
      <c r="A4459" t="s">
        <v>35</v>
      </c>
      <c r="B4459" t="s">
        <v>4578</v>
      </c>
      <c r="C4459">
        <f>"LC100MNA"</f>
        <v>0</v>
      </c>
      <c r="D4459">
        <v>0</v>
      </c>
      <c r="E4459">
        <v>18</v>
      </c>
      <c r="F4459" s="2">
        <v>4</v>
      </c>
      <c r="H4459">
        <v>0</v>
      </c>
      <c r="I4459">
        <v>0.1741125760648204</v>
      </c>
      <c r="J4459">
        <v>0</v>
      </c>
      <c r="K4459">
        <v>0</v>
      </c>
      <c r="L4459" s="2">
        <v>0</v>
      </c>
      <c r="M4459">
        <v>46.23</v>
      </c>
      <c r="N4459" t="s">
        <v>10236</v>
      </c>
    </row>
    <row r="4460" spans="1:14">
      <c r="A4460" t="s">
        <v>35</v>
      </c>
      <c r="B4460" t="s">
        <v>4579</v>
      </c>
      <c r="C4460">
        <f>"LC100MM"</f>
        <v>0</v>
      </c>
      <c r="D4460">
        <v>0</v>
      </c>
      <c r="E4460">
        <v>8</v>
      </c>
      <c r="F4460" s="2">
        <v>4</v>
      </c>
      <c r="H4460">
        <v>0</v>
      </c>
      <c r="I4460">
        <v>0.1741125760648204</v>
      </c>
      <c r="J4460">
        <v>0</v>
      </c>
      <c r="K4460">
        <v>0</v>
      </c>
      <c r="L4460" s="2">
        <v>0</v>
      </c>
      <c r="M4460">
        <v>46.24</v>
      </c>
      <c r="N4460" t="s">
        <v>10236</v>
      </c>
    </row>
    <row r="4461" spans="1:14">
      <c r="A4461" t="s">
        <v>35</v>
      </c>
      <c r="B4461" t="s">
        <v>4580</v>
      </c>
      <c r="C4461">
        <f>"LC100MAV"</f>
        <v>0</v>
      </c>
      <c r="D4461">
        <v>0</v>
      </c>
      <c r="E4461">
        <v>14</v>
      </c>
      <c r="F4461" s="2">
        <v>4</v>
      </c>
      <c r="H4461">
        <v>0</v>
      </c>
      <c r="I4461">
        <v>0.1741125760648204</v>
      </c>
      <c r="J4461">
        <v>0</v>
      </c>
      <c r="K4461">
        <v>0</v>
      </c>
      <c r="L4461" s="2">
        <v>0</v>
      </c>
      <c r="M4461">
        <v>46.25</v>
      </c>
      <c r="N4461" t="s">
        <v>10236</v>
      </c>
    </row>
    <row r="4462" spans="1:14">
      <c r="A4462" t="s">
        <v>35</v>
      </c>
      <c r="B4462" t="s">
        <v>4581</v>
      </c>
      <c r="C4462">
        <f>"JWL1022XL"</f>
        <v>0</v>
      </c>
      <c r="D4462">
        <v>0</v>
      </c>
      <c r="E4462">
        <v>18</v>
      </c>
      <c r="F4462" s="2">
        <v>2</v>
      </c>
      <c r="H4462">
        <v>0</v>
      </c>
      <c r="I4462">
        <v>0.1741125760648204</v>
      </c>
      <c r="J4462">
        <v>0</v>
      </c>
      <c r="K4462">
        <v>0</v>
      </c>
      <c r="L4462" s="2">
        <v>0</v>
      </c>
      <c r="M4462">
        <v>46.26</v>
      </c>
      <c r="N4462" t="s">
        <v>10236</v>
      </c>
    </row>
    <row r="4463" spans="1:14">
      <c r="A4463" t="s">
        <v>35</v>
      </c>
      <c r="B4463" t="s">
        <v>4582</v>
      </c>
      <c r="C4463">
        <f>"LC100LM"</f>
        <v>0</v>
      </c>
      <c r="D4463">
        <v>0</v>
      </c>
      <c r="E4463">
        <v>8</v>
      </c>
      <c r="F4463" s="2">
        <v>5</v>
      </c>
      <c r="H4463">
        <v>0</v>
      </c>
      <c r="I4463">
        <v>0.1741125760648204</v>
      </c>
      <c r="J4463">
        <v>0</v>
      </c>
      <c r="K4463">
        <v>0</v>
      </c>
      <c r="L4463" s="2">
        <v>0</v>
      </c>
      <c r="M4463">
        <v>46.27</v>
      </c>
      <c r="N4463" t="s">
        <v>10236</v>
      </c>
    </row>
    <row r="4464" spans="1:14">
      <c r="A4464" t="s">
        <v>35</v>
      </c>
      <c r="B4464" t="s">
        <v>4583</v>
      </c>
      <c r="C4464">
        <f>"LC100LAV"</f>
        <v>0</v>
      </c>
      <c r="D4464">
        <v>0</v>
      </c>
      <c r="E4464">
        <v>16</v>
      </c>
      <c r="F4464" s="2">
        <v>5</v>
      </c>
      <c r="H4464">
        <v>0</v>
      </c>
      <c r="I4464">
        <v>0.1741125760648204</v>
      </c>
      <c r="J4464">
        <v>0</v>
      </c>
      <c r="K4464">
        <v>0</v>
      </c>
      <c r="L4464" s="2">
        <v>0</v>
      </c>
      <c r="M4464">
        <v>46.28</v>
      </c>
      <c r="N4464" t="s">
        <v>10236</v>
      </c>
    </row>
    <row r="4465" spans="1:14">
      <c r="A4465" t="s">
        <v>35</v>
      </c>
      <c r="B4465" t="s">
        <v>4584</v>
      </c>
      <c r="C4465">
        <f>"JWL1051XL"</f>
        <v>0</v>
      </c>
      <c r="D4465">
        <v>0</v>
      </c>
      <c r="E4465">
        <v>12</v>
      </c>
      <c r="F4465" s="2">
        <v>2</v>
      </c>
      <c r="H4465">
        <v>0</v>
      </c>
      <c r="I4465">
        <v>0.1741125760648204</v>
      </c>
      <c r="J4465">
        <v>0</v>
      </c>
      <c r="K4465">
        <v>0</v>
      </c>
      <c r="L4465" s="2">
        <v>0</v>
      </c>
      <c r="M4465">
        <v>46.29</v>
      </c>
      <c r="N4465" t="s">
        <v>10236</v>
      </c>
    </row>
    <row r="4466" spans="1:14">
      <c r="A4466" t="s">
        <v>35</v>
      </c>
      <c r="B4466" t="s">
        <v>4585</v>
      </c>
      <c r="C4466">
        <f>"JWL1060XL"</f>
        <v>0</v>
      </c>
      <c r="D4466">
        <v>0</v>
      </c>
      <c r="E4466">
        <v>14</v>
      </c>
      <c r="F4466" s="2">
        <v>2</v>
      </c>
      <c r="H4466">
        <v>0</v>
      </c>
      <c r="I4466">
        <v>0.1741125760648204</v>
      </c>
      <c r="J4466">
        <v>0</v>
      </c>
      <c r="K4466">
        <v>0</v>
      </c>
      <c r="L4466" s="2">
        <v>0</v>
      </c>
      <c r="M4466">
        <v>46.3</v>
      </c>
      <c r="N4466" t="s">
        <v>10236</v>
      </c>
    </row>
    <row r="4467" spans="1:14">
      <c r="A4467" t="s">
        <v>35</v>
      </c>
      <c r="B4467" t="s">
        <v>4586</v>
      </c>
      <c r="C4467">
        <f>"JWL1042XL"</f>
        <v>0</v>
      </c>
      <c r="D4467">
        <v>0</v>
      </c>
      <c r="E4467">
        <v>7</v>
      </c>
      <c r="F4467" s="2">
        <v>2</v>
      </c>
      <c r="H4467">
        <v>0</v>
      </c>
      <c r="I4467">
        <v>0.1741125760648204</v>
      </c>
      <c r="J4467">
        <v>0</v>
      </c>
      <c r="K4467">
        <v>0</v>
      </c>
      <c r="L4467" s="2">
        <v>0</v>
      </c>
      <c r="M4467">
        <v>46.3</v>
      </c>
      <c r="N4467" t="s">
        <v>10236</v>
      </c>
    </row>
    <row r="4468" spans="1:14">
      <c r="A4468" t="s">
        <v>35</v>
      </c>
      <c r="B4468" t="s">
        <v>4587</v>
      </c>
      <c r="C4468">
        <f>"NH011M"</f>
        <v>0</v>
      </c>
      <c r="D4468">
        <v>0</v>
      </c>
      <c r="E4468">
        <v>12</v>
      </c>
      <c r="F4468" s="2">
        <v>4</v>
      </c>
      <c r="H4468">
        <v>0</v>
      </c>
      <c r="I4468">
        <v>0.1741125760648204</v>
      </c>
      <c r="J4468">
        <v>0</v>
      </c>
      <c r="K4468">
        <v>0</v>
      </c>
      <c r="L4468" s="2">
        <v>0</v>
      </c>
      <c r="M4468">
        <v>46.31</v>
      </c>
      <c r="N4468" t="s">
        <v>10236</v>
      </c>
    </row>
    <row r="4469" spans="1:14">
      <c r="A4469" t="s">
        <v>35</v>
      </c>
      <c r="B4469" t="s">
        <v>4588</v>
      </c>
      <c r="C4469">
        <f>"JWL1047XL"</f>
        <v>0</v>
      </c>
      <c r="D4469">
        <v>0</v>
      </c>
      <c r="E4469">
        <v>23</v>
      </c>
      <c r="F4469" s="2">
        <v>2</v>
      </c>
      <c r="H4469">
        <v>0</v>
      </c>
      <c r="I4469">
        <v>0.1741125760648204</v>
      </c>
      <c r="J4469">
        <v>0</v>
      </c>
      <c r="K4469">
        <v>0</v>
      </c>
      <c r="L4469" s="2">
        <v>0</v>
      </c>
      <c r="M4469">
        <v>46.32</v>
      </c>
      <c r="N4469" t="s">
        <v>10236</v>
      </c>
    </row>
    <row r="4470" spans="1:14">
      <c r="A4470" t="s">
        <v>35</v>
      </c>
      <c r="B4470" t="s">
        <v>4589</v>
      </c>
      <c r="C4470">
        <f>"JWL1052XL"</f>
        <v>0</v>
      </c>
      <c r="D4470">
        <v>0</v>
      </c>
      <c r="E4470">
        <v>11</v>
      </c>
      <c r="F4470" s="2">
        <v>2</v>
      </c>
      <c r="H4470">
        <v>0</v>
      </c>
      <c r="I4470">
        <v>0.1741125760648204</v>
      </c>
      <c r="J4470">
        <v>0</v>
      </c>
      <c r="K4470">
        <v>0</v>
      </c>
      <c r="L4470" s="2">
        <v>0</v>
      </c>
      <c r="M4470">
        <v>46.33</v>
      </c>
      <c r="N4470" t="s">
        <v>10236</v>
      </c>
    </row>
    <row r="4471" spans="1:14">
      <c r="A4471" t="s">
        <v>35</v>
      </c>
      <c r="B4471" t="s">
        <v>4590</v>
      </c>
      <c r="C4471">
        <f>"JWL1010XL"</f>
        <v>0</v>
      </c>
      <c r="D4471">
        <v>0</v>
      </c>
      <c r="E4471">
        <v>18</v>
      </c>
      <c r="F4471" s="2">
        <v>2</v>
      </c>
      <c r="H4471">
        <v>0</v>
      </c>
      <c r="I4471">
        <v>0.1741125760648204</v>
      </c>
      <c r="J4471">
        <v>0</v>
      </c>
      <c r="K4471">
        <v>0</v>
      </c>
      <c r="L4471" s="2">
        <v>0</v>
      </c>
      <c r="M4471">
        <v>46.34</v>
      </c>
      <c r="N4471" t="s">
        <v>10236</v>
      </c>
    </row>
    <row r="4472" spans="1:14">
      <c r="A4472" t="s">
        <v>35</v>
      </c>
      <c r="B4472" t="s">
        <v>4591</v>
      </c>
      <c r="C4472">
        <f>"JWL1012XL"</f>
        <v>0</v>
      </c>
      <c r="D4472">
        <v>0</v>
      </c>
      <c r="E4472">
        <v>19</v>
      </c>
      <c r="F4472" s="2">
        <v>2</v>
      </c>
      <c r="H4472">
        <v>0</v>
      </c>
      <c r="I4472">
        <v>0.1741125760648204</v>
      </c>
      <c r="J4472">
        <v>0</v>
      </c>
      <c r="K4472">
        <v>0</v>
      </c>
      <c r="L4472" s="2">
        <v>0</v>
      </c>
      <c r="M4472">
        <v>46.35</v>
      </c>
      <c r="N4472" t="s">
        <v>10236</v>
      </c>
    </row>
    <row r="4473" spans="1:14">
      <c r="A4473" t="s">
        <v>35</v>
      </c>
      <c r="B4473" t="s">
        <v>4592</v>
      </c>
      <c r="C4473">
        <f>"JWL1025XL"</f>
        <v>0</v>
      </c>
      <c r="D4473">
        <v>0</v>
      </c>
      <c r="E4473">
        <v>16</v>
      </c>
      <c r="F4473" s="2">
        <v>2</v>
      </c>
      <c r="H4473">
        <v>0</v>
      </c>
      <c r="I4473">
        <v>0.1741125760648204</v>
      </c>
      <c r="J4473">
        <v>0</v>
      </c>
      <c r="K4473">
        <v>0</v>
      </c>
      <c r="L4473" s="2">
        <v>0</v>
      </c>
      <c r="M4473">
        <v>46.36</v>
      </c>
      <c r="N4473" t="s">
        <v>10236</v>
      </c>
    </row>
    <row r="4474" spans="1:14">
      <c r="A4474" t="s">
        <v>35</v>
      </c>
      <c r="B4474" t="s">
        <v>4593</v>
      </c>
      <c r="C4474">
        <f>"JWL1003XL"</f>
        <v>0</v>
      </c>
      <c r="D4474">
        <v>0</v>
      </c>
      <c r="E4474">
        <v>23</v>
      </c>
      <c r="F4474" s="2">
        <v>2</v>
      </c>
      <c r="H4474">
        <v>0</v>
      </c>
      <c r="I4474">
        <v>0.1741125760648204</v>
      </c>
      <c r="J4474">
        <v>0</v>
      </c>
      <c r="K4474">
        <v>0</v>
      </c>
      <c r="L4474" s="2">
        <v>0</v>
      </c>
      <c r="M4474">
        <v>46.37</v>
      </c>
      <c r="N4474" t="s">
        <v>10236</v>
      </c>
    </row>
    <row r="4475" spans="1:14">
      <c r="A4475" t="s">
        <v>35</v>
      </c>
      <c r="B4475" t="s">
        <v>4594</v>
      </c>
      <c r="C4475">
        <f>"JWL1018XL"</f>
        <v>0</v>
      </c>
      <c r="D4475">
        <v>0</v>
      </c>
      <c r="E4475">
        <v>20</v>
      </c>
      <c r="F4475" s="2">
        <v>2</v>
      </c>
      <c r="H4475">
        <v>0</v>
      </c>
      <c r="I4475">
        <v>0.1741125760648204</v>
      </c>
      <c r="J4475">
        <v>0</v>
      </c>
      <c r="K4475">
        <v>0</v>
      </c>
      <c r="L4475" s="2">
        <v>0</v>
      </c>
      <c r="M4475">
        <v>46.38</v>
      </c>
      <c r="N4475" t="s">
        <v>10236</v>
      </c>
    </row>
    <row r="4476" spans="1:14">
      <c r="A4476" t="s">
        <v>35</v>
      </c>
      <c r="B4476" t="s">
        <v>4595</v>
      </c>
      <c r="C4476">
        <f>"JWL1007XL"</f>
        <v>0</v>
      </c>
      <c r="D4476">
        <v>0</v>
      </c>
      <c r="E4476">
        <v>20</v>
      </c>
      <c r="F4476" s="2">
        <v>2</v>
      </c>
      <c r="H4476">
        <v>0</v>
      </c>
      <c r="I4476">
        <v>0.1741125760648204</v>
      </c>
      <c r="J4476">
        <v>0</v>
      </c>
      <c r="K4476">
        <v>0</v>
      </c>
      <c r="L4476" s="2">
        <v>0</v>
      </c>
      <c r="M4476">
        <v>46.39</v>
      </c>
      <c r="N4476" t="s">
        <v>10236</v>
      </c>
    </row>
    <row r="4477" spans="1:14">
      <c r="A4477" t="s">
        <v>35</v>
      </c>
      <c r="B4477" t="s">
        <v>4596</v>
      </c>
      <c r="C4477">
        <f>"JWL1027XL"</f>
        <v>0</v>
      </c>
      <c r="D4477">
        <v>0</v>
      </c>
      <c r="E4477">
        <v>11</v>
      </c>
      <c r="F4477" s="2">
        <v>2</v>
      </c>
      <c r="H4477">
        <v>0</v>
      </c>
      <c r="I4477">
        <v>0.1741125760648204</v>
      </c>
      <c r="J4477">
        <v>0</v>
      </c>
      <c r="K4477">
        <v>0</v>
      </c>
      <c r="L4477" s="2">
        <v>0</v>
      </c>
      <c r="M4477">
        <v>46.4</v>
      </c>
      <c r="N4477" t="s">
        <v>10236</v>
      </c>
    </row>
    <row r="4478" spans="1:14">
      <c r="A4478" t="s">
        <v>35</v>
      </c>
      <c r="B4478" t="s">
        <v>4597</v>
      </c>
      <c r="C4478">
        <f>"LC100LNA"</f>
        <v>0</v>
      </c>
      <c r="D4478">
        <v>0</v>
      </c>
      <c r="E4478">
        <v>10</v>
      </c>
      <c r="F4478" s="2">
        <v>5</v>
      </c>
      <c r="H4478">
        <v>0</v>
      </c>
      <c r="I4478">
        <v>0.1741125760648204</v>
      </c>
      <c r="J4478">
        <v>0</v>
      </c>
      <c r="K4478">
        <v>0</v>
      </c>
      <c r="L4478" s="2">
        <v>0</v>
      </c>
      <c r="M4478">
        <v>46.41</v>
      </c>
      <c r="N4478" t="s">
        <v>10236</v>
      </c>
    </row>
    <row r="4479" spans="1:14">
      <c r="A4479" t="s">
        <v>25</v>
      </c>
      <c r="B4479" t="s">
        <v>4598</v>
      </c>
      <c r="C4479">
        <f>"THC"</f>
        <v>0</v>
      </c>
      <c r="D4479">
        <v>0</v>
      </c>
      <c r="E4479">
        <v>0</v>
      </c>
      <c r="F4479" s="2">
        <v>0</v>
      </c>
      <c r="H4479">
        <v>0</v>
      </c>
      <c r="I4479">
        <v>0.1741125760648204</v>
      </c>
      <c r="J4479">
        <v>0</v>
      </c>
      <c r="K4479">
        <v>0</v>
      </c>
      <c r="L4479" s="2">
        <v>0</v>
      </c>
      <c r="M4479">
        <v>46.42</v>
      </c>
      <c r="N4479" t="s">
        <v>10236</v>
      </c>
    </row>
    <row r="4480" spans="1:14">
      <c r="A4480" t="s">
        <v>35</v>
      </c>
      <c r="B4480" t="s">
        <v>4599</v>
      </c>
      <c r="C4480">
        <f>"W2000"</f>
        <v>0</v>
      </c>
      <c r="D4480">
        <v>0</v>
      </c>
      <c r="E4480">
        <v>0</v>
      </c>
      <c r="F4480" s="2">
        <v>0</v>
      </c>
      <c r="H4480">
        <v>0</v>
      </c>
      <c r="I4480">
        <v>0.1741125760648204</v>
      </c>
      <c r="J4480">
        <v>0</v>
      </c>
      <c r="K4480">
        <v>0</v>
      </c>
      <c r="L4480" s="2">
        <v>0</v>
      </c>
      <c r="M4480">
        <v>46.42</v>
      </c>
      <c r="N4480" t="s">
        <v>10236</v>
      </c>
    </row>
    <row r="4481" spans="1:14">
      <c r="A4481" t="s">
        <v>35</v>
      </c>
      <c r="B4481" t="s">
        <v>4600</v>
      </c>
      <c r="C4481">
        <f>"TID"</f>
        <v>0</v>
      </c>
      <c r="D4481">
        <v>0</v>
      </c>
      <c r="E4481">
        <v>3</v>
      </c>
      <c r="F4481" s="2">
        <v>1</v>
      </c>
      <c r="H4481">
        <v>0</v>
      </c>
      <c r="I4481">
        <v>0.1741125760648204</v>
      </c>
      <c r="J4481">
        <v>0</v>
      </c>
      <c r="K4481">
        <v>0</v>
      </c>
      <c r="L4481" s="2">
        <v>0</v>
      </c>
      <c r="M4481">
        <v>46.43</v>
      </c>
      <c r="N4481" t="s">
        <v>10236</v>
      </c>
    </row>
    <row r="4482" spans="1:14">
      <c r="A4482" t="s">
        <v>25</v>
      </c>
      <c r="B4482" t="s">
        <v>4601</v>
      </c>
      <c r="C4482">
        <f>"ND12001"</f>
        <v>0</v>
      </c>
      <c r="D4482">
        <v>0</v>
      </c>
      <c r="E4482">
        <v>7</v>
      </c>
      <c r="F4482" s="2">
        <v>7</v>
      </c>
      <c r="H4482">
        <v>0</v>
      </c>
      <c r="I4482">
        <v>0.1741125760648204</v>
      </c>
      <c r="J4482">
        <v>0</v>
      </c>
      <c r="K4482">
        <v>0</v>
      </c>
      <c r="L4482" s="2">
        <v>0</v>
      </c>
      <c r="M4482">
        <v>46.44</v>
      </c>
      <c r="N4482" t="s">
        <v>10236</v>
      </c>
    </row>
    <row r="4483" spans="1:14">
      <c r="A4483" t="s">
        <v>25</v>
      </c>
      <c r="B4483" t="s">
        <v>4602</v>
      </c>
      <c r="C4483">
        <f>"ND12002"</f>
        <v>0</v>
      </c>
      <c r="D4483">
        <v>0</v>
      </c>
      <c r="E4483">
        <v>15</v>
      </c>
      <c r="F4483" s="2">
        <v>8</v>
      </c>
      <c r="H4483">
        <v>0</v>
      </c>
      <c r="I4483">
        <v>0.1741125760648204</v>
      </c>
      <c r="J4483">
        <v>0</v>
      </c>
      <c r="K4483">
        <v>0</v>
      </c>
      <c r="L4483" s="2">
        <v>0</v>
      </c>
      <c r="M4483">
        <v>46.45</v>
      </c>
      <c r="N4483" t="s">
        <v>10236</v>
      </c>
    </row>
    <row r="4484" spans="1:14">
      <c r="A4484" t="s">
        <v>25</v>
      </c>
      <c r="B4484" t="s">
        <v>4603</v>
      </c>
      <c r="C4484">
        <f>"BEP21R"</f>
        <v>0</v>
      </c>
      <c r="D4484">
        <v>0</v>
      </c>
      <c r="E4484">
        <v>0</v>
      </c>
      <c r="F4484" s="2">
        <v>0</v>
      </c>
      <c r="H4484">
        <v>0</v>
      </c>
      <c r="I4484">
        <v>0.1741125760648204</v>
      </c>
      <c r="J4484">
        <v>0</v>
      </c>
      <c r="K4484">
        <v>0</v>
      </c>
      <c r="L4484" s="2">
        <v>0</v>
      </c>
      <c r="M4484">
        <v>46.46</v>
      </c>
      <c r="N4484" t="s">
        <v>10236</v>
      </c>
    </row>
    <row r="4485" spans="1:14">
      <c r="A4485" t="s">
        <v>25</v>
      </c>
      <c r="B4485" t="s">
        <v>4604</v>
      </c>
      <c r="C4485">
        <f>"BEP21A"</f>
        <v>0</v>
      </c>
      <c r="D4485">
        <v>0</v>
      </c>
      <c r="E4485">
        <v>1</v>
      </c>
      <c r="F4485" s="2">
        <v>0</v>
      </c>
      <c r="H4485">
        <v>0</v>
      </c>
      <c r="I4485">
        <v>0.1741125760648204</v>
      </c>
      <c r="J4485">
        <v>0</v>
      </c>
      <c r="K4485">
        <v>0</v>
      </c>
      <c r="L4485" s="2">
        <v>0</v>
      </c>
      <c r="M4485">
        <v>46.47</v>
      </c>
      <c r="N4485" t="s">
        <v>10236</v>
      </c>
    </row>
    <row r="4486" spans="1:14">
      <c r="A4486" t="s">
        <v>29</v>
      </c>
      <c r="B4486" t="s">
        <v>4605</v>
      </c>
      <c r="C4486">
        <f>"77083"</f>
        <v>0</v>
      </c>
      <c r="D4486">
        <v>0</v>
      </c>
      <c r="E4486">
        <v>0</v>
      </c>
      <c r="F4486" s="2">
        <v>0</v>
      </c>
      <c r="H4486">
        <v>0</v>
      </c>
      <c r="I4486">
        <v>0.1741125760648204</v>
      </c>
      <c r="J4486">
        <v>0</v>
      </c>
      <c r="K4486">
        <v>0</v>
      </c>
      <c r="L4486" s="2">
        <v>0</v>
      </c>
      <c r="M4486">
        <v>46.48</v>
      </c>
      <c r="N4486" t="s">
        <v>10236</v>
      </c>
    </row>
    <row r="4487" spans="1:14">
      <c r="A4487" t="s">
        <v>29</v>
      </c>
      <c r="B4487" t="s">
        <v>4606</v>
      </c>
      <c r="C4487">
        <f>"TUBI100"</f>
        <v>0</v>
      </c>
      <c r="D4487">
        <v>0</v>
      </c>
      <c r="E4487">
        <v>0</v>
      </c>
      <c r="F4487" s="2">
        <v>0</v>
      </c>
      <c r="H4487">
        <v>0</v>
      </c>
      <c r="I4487">
        <v>0.1741125760648204</v>
      </c>
      <c r="J4487">
        <v>0</v>
      </c>
      <c r="K4487">
        <v>0</v>
      </c>
      <c r="L4487" s="2">
        <v>0</v>
      </c>
      <c r="M4487">
        <v>46.49</v>
      </c>
      <c r="N4487" t="s">
        <v>10236</v>
      </c>
    </row>
    <row r="4488" spans="1:14">
      <c r="A4488" t="s">
        <v>29</v>
      </c>
      <c r="B4488" t="s">
        <v>4607</v>
      </c>
      <c r="C4488">
        <f>"01133"</f>
        <v>0</v>
      </c>
      <c r="D4488">
        <v>0</v>
      </c>
      <c r="E4488">
        <v>4</v>
      </c>
      <c r="F4488" s="2">
        <v>4</v>
      </c>
      <c r="H4488">
        <v>0</v>
      </c>
      <c r="I4488">
        <v>0.1741125760648204</v>
      </c>
      <c r="J4488">
        <v>0</v>
      </c>
      <c r="K4488">
        <v>0</v>
      </c>
      <c r="L4488" s="2">
        <v>0</v>
      </c>
      <c r="M4488">
        <v>46.5</v>
      </c>
      <c r="N4488" t="s">
        <v>10236</v>
      </c>
    </row>
    <row r="4489" spans="1:14">
      <c r="A4489" t="s">
        <v>194</v>
      </c>
      <c r="B4489" t="s">
        <v>4608</v>
      </c>
      <c r="C4489">
        <f>"113221"</f>
        <v>0</v>
      </c>
      <c r="D4489">
        <v>0</v>
      </c>
      <c r="E4489">
        <v>5</v>
      </c>
      <c r="F4489" s="2">
        <v>15</v>
      </c>
      <c r="H4489">
        <v>0</v>
      </c>
      <c r="I4489">
        <v>0.1741125760648204</v>
      </c>
      <c r="J4489">
        <v>0</v>
      </c>
      <c r="K4489">
        <v>0</v>
      </c>
      <c r="L4489" s="2">
        <v>0</v>
      </c>
      <c r="M4489">
        <v>46.51</v>
      </c>
      <c r="N4489" t="s">
        <v>10236</v>
      </c>
    </row>
    <row r="4490" spans="1:14">
      <c r="A4490" t="s">
        <v>25</v>
      </c>
      <c r="B4490" t="s">
        <v>4609</v>
      </c>
      <c r="C4490">
        <f>"50282"</f>
        <v>0</v>
      </c>
      <c r="D4490">
        <v>0</v>
      </c>
      <c r="E4490">
        <v>0</v>
      </c>
      <c r="F4490" s="2">
        <v>0</v>
      </c>
      <c r="H4490">
        <v>0</v>
      </c>
      <c r="I4490">
        <v>0.1741125760648204</v>
      </c>
      <c r="J4490">
        <v>0</v>
      </c>
      <c r="K4490">
        <v>0</v>
      </c>
      <c r="L4490" s="2">
        <v>0</v>
      </c>
      <c r="M4490">
        <v>46.52</v>
      </c>
      <c r="N4490" t="s">
        <v>10236</v>
      </c>
    </row>
    <row r="4491" spans="1:14">
      <c r="A4491" t="s">
        <v>25</v>
      </c>
      <c r="B4491" t="s">
        <v>4610</v>
      </c>
      <c r="C4491">
        <f>"50542"</f>
        <v>0</v>
      </c>
      <c r="D4491">
        <v>0</v>
      </c>
      <c r="E4491">
        <v>1</v>
      </c>
      <c r="F4491" s="2">
        <v>4</v>
      </c>
      <c r="H4491">
        <v>0</v>
      </c>
      <c r="I4491">
        <v>0.1741125760648204</v>
      </c>
      <c r="J4491">
        <v>0</v>
      </c>
      <c r="K4491">
        <v>0</v>
      </c>
      <c r="L4491" s="2">
        <v>0</v>
      </c>
      <c r="M4491">
        <v>46.53</v>
      </c>
      <c r="N4491" t="s">
        <v>10236</v>
      </c>
    </row>
    <row r="4492" spans="1:14">
      <c r="A4492" t="s">
        <v>25</v>
      </c>
      <c r="B4492" t="s">
        <v>4611</v>
      </c>
      <c r="C4492">
        <f>"50532"</f>
        <v>0</v>
      </c>
      <c r="D4492">
        <v>0</v>
      </c>
      <c r="E4492">
        <v>0</v>
      </c>
      <c r="F4492" s="2">
        <v>0</v>
      </c>
      <c r="H4492">
        <v>0</v>
      </c>
      <c r="I4492">
        <v>0.1741125760648204</v>
      </c>
      <c r="J4492">
        <v>0</v>
      </c>
      <c r="K4492">
        <v>0</v>
      </c>
      <c r="L4492" s="2">
        <v>0</v>
      </c>
      <c r="M4492">
        <v>46.54</v>
      </c>
      <c r="N4492" t="s">
        <v>10236</v>
      </c>
    </row>
    <row r="4493" spans="1:14">
      <c r="A4493" t="s">
        <v>35</v>
      </c>
      <c r="B4493" t="s">
        <v>4612</v>
      </c>
      <c r="C4493">
        <f>"RJ816C"</f>
        <v>0</v>
      </c>
      <c r="D4493">
        <v>0</v>
      </c>
      <c r="E4493">
        <v>0</v>
      </c>
      <c r="F4493" s="2">
        <v>0</v>
      </c>
      <c r="H4493">
        <v>0</v>
      </c>
      <c r="I4493">
        <v>0.1741125760648204</v>
      </c>
      <c r="J4493">
        <v>0</v>
      </c>
      <c r="K4493">
        <v>0</v>
      </c>
      <c r="L4493" s="2">
        <v>0</v>
      </c>
      <c r="M4493">
        <v>46.54</v>
      </c>
      <c r="N4493" t="s">
        <v>10236</v>
      </c>
    </row>
    <row r="4494" spans="1:14">
      <c r="A4494" t="s">
        <v>25</v>
      </c>
      <c r="B4494" t="s">
        <v>4613</v>
      </c>
      <c r="C4494">
        <f>"50512"</f>
        <v>0</v>
      </c>
      <c r="D4494">
        <v>0</v>
      </c>
      <c r="E4494">
        <v>2</v>
      </c>
      <c r="F4494" s="2">
        <v>4</v>
      </c>
      <c r="H4494">
        <v>0</v>
      </c>
      <c r="I4494">
        <v>0.1741125760648204</v>
      </c>
      <c r="J4494">
        <v>0</v>
      </c>
      <c r="K4494">
        <v>0</v>
      </c>
      <c r="L4494" s="2">
        <v>0</v>
      </c>
      <c r="M4494">
        <v>46.55</v>
      </c>
      <c r="N4494" t="s">
        <v>10236</v>
      </c>
    </row>
    <row r="4495" spans="1:14">
      <c r="A4495" t="s">
        <v>35</v>
      </c>
      <c r="B4495" t="s">
        <v>4614</v>
      </c>
      <c r="C4495">
        <f>"ZRD2018041"</f>
        <v>0</v>
      </c>
      <c r="D4495">
        <v>0</v>
      </c>
      <c r="E4495">
        <v>0</v>
      </c>
      <c r="F4495" s="2">
        <v>0</v>
      </c>
      <c r="H4495">
        <v>0</v>
      </c>
      <c r="I4495">
        <v>0.1741125760648204</v>
      </c>
      <c r="J4495">
        <v>0</v>
      </c>
      <c r="K4495">
        <v>0</v>
      </c>
      <c r="L4495" s="2">
        <v>0</v>
      </c>
      <c r="M4495">
        <v>46.56</v>
      </c>
      <c r="N4495" t="s">
        <v>10236</v>
      </c>
    </row>
    <row r="4496" spans="1:14">
      <c r="A4496" t="s">
        <v>25</v>
      </c>
      <c r="B4496" t="s">
        <v>4615</v>
      </c>
      <c r="C4496">
        <f>"s204"</f>
        <v>0</v>
      </c>
      <c r="D4496">
        <v>0</v>
      </c>
      <c r="E4496">
        <v>0</v>
      </c>
      <c r="F4496" s="2">
        <v>0</v>
      </c>
      <c r="H4496">
        <v>0</v>
      </c>
      <c r="I4496">
        <v>0.1741125760648204</v>
      </c>
      <c r="J4496">
        <v>0</v>
      </c>
      <c r="K4496">
        <v>0</v>
      </c>
      <c r="L4496" s="2">
        <v>0</v>
      </c>
      <c r="M4496">
        <v>46.57</v>
      </c>
      <c r="N4496" t="s">
        <v>10236</v>
      </c>
    </row>
    <row r="4497" spans="1:14">
      <c r="A4497" t="s">
        <v>35</v>
      </c>
      <c r="B4497" t="s">
        <v>4616</v>
      </c>
      <c r="C4497">
        <f>"HC0104"</f>
        <v>0</v>
      </c>
      <c r="D4497">
        <v>0</v>
      </c>
      <c r="E4497">
        <v>0</v>
      </c>
      <c r="F4497" s="2">
        <v>0</v>
      </c>
      <c r="H4497">
        <v>0</v>
      </c>
      <c r="I4497">
        <v>0.1741125760648204</v>
      </c>
      <c r="J4497">
        <v>0</v>
      </c>
      <c r="K4497">
        <v>0</v>
      </c>
      <c r="L4497" s="2">
        <v>0</v>
      </c>
      <c r="M4497">
        <v>46.58</v>
      </c>
      <c r="N4497" t="s">
        <v>10236</v>
      </c>
    </row>
    <row r="4498" spans="1:14">
      <c r="A4498" t="s">
        <v>35</v>
      </c>
      <c r="B4498" t="s">
        <v>4617</v>
      </c>
      <c r="C4498">
        <f>"HC0113"</f>
        <v>0</v>
      </c>
      <c r="D4498">
        <v>0</v>
      </c>
      <c r="E4498">
        <v>0</v>
      </c>
      <c r="F4498" s="2">
        <v>0</v>
      </c>
      <c r="H4498">
        <v>0</v>
      </c>
      <c r="I4498">
        <v>0.1741125760648204</v>
      </c>
      <c r="J4498">
        <v>0</v>
      </c>
      <c r="K4498">
        <v>0</v>
      </c>
      <c r="L4498" s="2">
        <v>0</v>
      </c>
      <c r="M4498">
        <v>46.59</v>
      </c>
      <c r="N4498" t="s">
        <v>10236</v>
      </c>
    </row>
    <row r="4499" spans="1:14">
      <c r="A4499" t="s">
        <v>218</v>
      </c>
      <c r="B4499" t="s">
        <v>4618</v>
      </c>
      <c r="C4499">
        <f>"1016282"</f>
        <v>0</v>
      </c>
      <c r="D4499">
        <v>0</v>
      </c>
      <c r="E4499">
        <v>0</v>
      </c>
      <c r="F4499" s="2">
        <v>0</v>
      </c>
      <c r="H4499">
        <v>0</v>
      </c>
      <c r="I4499">
        <v>0.1741125760648204</v>
      </c>
      <c r="J4499">
        <v>0</v>
      </c>
      <c r="K4499">
        <v>0</v>
      </c>
      <c r="L4499" s="2">
        <v>0</v>
      </c>
      <c r="M4499">
        <v>46.6</v>
      </c>
      <c r="N4499" t="s">
        <v>10236</v>
      </c>
    </row>
    <row r="4500" spans="1:14">
      <c r="A4500" t="s">
        <v>35</v>
      </c>
      <c r="B4500" t="s">
        <v>4619</v>
      </c>
      <c r="C4500">
        <f>"TT1C"</f>
        <v>0</v>
      </c>
      <c r="D4500">
        <v>0</v>
      </c>
      <c r="E4500">
        <v>0</v>
      </c>
      <c r="F4500" s="2">
        <v>0</v>
      </c>
      <c r="H4500">
        <v>0</v>
      </c>
      <c r="I4500">
        <v>0.1741125760648204</v>
      </c>
      <c r="J4500">
        <v>0</v>
      </c>
      <c r="K4500">
        <v>0</v>
      </c>
      <c r="L4500" s="2">
        <v>0</v>
      </c>
      <c r="M4500">
        <v>46.61</v>
      </c>
      <c r="N4500" t="s">
        <v>10236</v>
      </c>
    </row>
    <row r="4501" spans="1:14">
      <c r="A4501" t="s">
        <v>218</v>
      </c>
      <c r="B4501" t="s">
        <v>4620</v>
      </c>
      <c r="C4501">
        <f>"inscgm0011"</f>
        <v>0</v>
      </c>
      <c r="D4501">
        <v>0</v>
      </c>
      <c r="E4501">
        <v>0</v>
      </c>
      <c r="F4501" s="2">
        <v>0</v>
      </c>
      <c r="H4501">
        <v>0</v>
      </c>
      <c r="I4501">
        <v>0.1741125760648204</v>
      </c>
      <c r="J4501">
        <v>0</v>
      </c>
      <c r="K4501">
        <v>0</v>
      </c>
      <c r="L4501" s="2">
        <v>0</v>
      </c>
      <c r="M4501">
        <v>46.62</v>
      </c>
      <c r="N4501" t="s">
        <v>10236</v>
      </c>
    </row>
    <row r="4502" spans="1:14">
      <c r="A4502" t="s">
        <v>218</v>
      </c>
      <c r="B4502" t="s">
        <v>4621</v>
      </c>
      <c r="C4502">
        <f>"inscgm0003"</f>
        <v>0</v>
      </c>
      <c r="D4502">
        <v>0</v>
      </c>
      <c r="E4502">
        <v>0</v>
      </c>
      <c r="F4502" s="2">
        <v>0</v>
      </c>
      <c r="H4502">
        <v>0</v>
      </c>
      <c r="I4502">
        <v>0.1741125760648204</v>
      </c>
      <c r="J4502">
        <v>0</v>
      </c>
      <c r="K4502">
        <v>0</v>
      </c>
      <c r="L4502" s="2">
        <v>0</v>
      </c>
      <c r="M4502">
        <v>46.63</v>
      </c>
      <c r="N4502" t="s">
        <v>10236</v>
      </c>
    </row>
    <row r="4503" spans="1:14">
      <c r="A4503" t="s">
        <v>218</v>
      </c>
      <c r="B4503" t="s">
        <v>4622</v>
      </c>
      <c r="C4503">
        <f>"inscgm0004"</f>
        <v>0</v>
      </c>
      <c r="D4503">
        <v>0</v>
      </c>
      <c r="E4503">
        <v>0</v>
      </c>
      <c r="F4503" s="2">
        <v>0</v>
      </c>
      <c r="H4503">
        <v>0</v>
      </c>
      <c r="I4503">
        <v>0.1741125760648204</v>
      </c>
      <c r="J4503">
        <v>0</v>
      </c>
      <c r="K4503">
        <v>0</v>
      </c>
      <c r="L4503" s="2">
        <v>0</v>
      </c>
      <c r="M4503">
        <v>46.64</v>
      </c>
      <c r="N4503" t="s">
        <v>10236</v>
      </c>
    </row>
    <row r="4504" spans="1:14">
      <c r="A4504" t="s">
        <v>32</v>
      </c>
      <c r="B4504" t="s">
        <v>4623</v>
      </c>
      <c r="C4504">
        <f>"ANS24"</f>
        <v>0</v>
      </c>
      <c r="D4504">
        <v>0</v>
      </c>
      <c r="E4504">
        <v>0</v>
      </c>
      <c r="F4504" s="2">
        <v>0</v>
      </c>
      <c r="H4504">
        <v>0</v>
      </c>
      <c r="I4504">
        <v>0.1741125760648204</v>
      </c>
      <c r="J4504">
        <v>0</v>
      </c>
      <c r="K4504">
        <v>0</v>
      </c>
      <c r="L4504" s="2">
        <v>0</v>
      </c>
      <c r="M4504">
        <v>46.65</v>
      </c>
      <c r="N4504" t="s">
        <v>10236</v>
      </c>
    </row>
    <row r="4505" spans="1:14">
      <c r="A4505" t="s">
        <v>32</v>
      </c>
      <c r="B4505" t="s">
        <v>4624</v>
      </c>
      <c r="C4505">
        <f>"1016266"</f>
        <v>0</v>
      </c>
      <c r="D4505">
        <v>0</v>
      </c>
      <c r="E4505">
        <v>0</v>
      </c>
      <c r="F4505" s="2">
        <v>0</v>
      </c>
      <c r="H4505">
        <v>0</v>
      </c>
      <c r="I4505">
        <v>0.1741125760648204</v>
      </c>
      <c r="J4505">
        <v>0</v>
      </c>
      <c r="K4505">
        <v>0</v>
      </c>
      <c r="L4505" s="2">
        <v>0</v>
      </c>
      <c r="M4505">
        <v>46.65</v>
      </c>
      <c r="N4505" t="s">
        <v>10236</v>
      </c>
    </row>
    <row r="4506" spans="1:14">
      <c r="A4506" t="s">
        <v>32</v>
      </c>
      <c r="B4506" t="s">
        <v>4625</v>
      </c>
      <c r="C4506">
        <f>"5002842"</f>
        <v>0</v>
      </c>
      <c r="D4506">
        <v>0</v>
      </c>
      <c r="E4506">
        <v>0</v>
      </c>
      <c r="F4506" s="2">
        <v>0</v>
      </c>
      <c r="H4506">
        <v>0</v>
      </c>
      <c r="I4506">
        <v>0.1741125760648204</v>
      </c>
      <c r="J4506">
        <v>0</v>
      </c>
      <c r="K4506">
        <v>0</v>
      </c>
      <c r="L4506" s="2">
        <v>0</v>
      </c>
      <c r="M4506">
        <v>46.66</v>
      </c>
      <c r="N4506" t="s">
        <v>10236</v>
      </c>
    </row>
    <row r="4507" spans="1:14">
      <c r="A4507" t="s">
        <v>32</v>
      </c>
      <c r="B4507" t="s">
        <v>4626</v>
      </c>
      <c r="C4507">
        <f>"5000365"</f>
        <v>0</v>
      </c>
      <c r="D4507">
        <v>0</v>
      </c>
      <c r="E4507">
        <v>0</v>
      </c>
      <c r="F4507" s="2">
        <v>0</v>
      </c>
      <c r="H4507">
        <v>0</v>
      </c>
      <c r="I4507">
        <v>0.1741125760648204</v>
      </c>
      <c r="J4507">
        <v>0</v>
      </c>
      <c r="K4507">
        <v>0</v>
      </c>
      <c r="L4507" s="2">
        <v>0</v>
      </c>
      <c r="M4507">
        <v>46.67</v>
      </c>
      <c r="N4507" t="s">
        <v>10236</v>
      </c>
    </row>
    <row r="4508" spans="1:14">
      <c r="A4508" t="s">
        <v>25</v>
      </c>
      <c r="B4508" t="s">
        <v>4627</v>
      </c>
      <c r="C4508">
        <f>"50522"</f>
        <v>0</v>
      </c>
      <c r="D4508">
        <v>0</v>
      </c>
      <c r="E4508">
        <v>0</v>
      </c>
      <c r="F4508" s="2">
        <v>0</v>
      </c>
      <c r="H4508">
        <v>0</v>
      </c>
      <c r="I4508">
        <v>0.1741125760648204</v>
      </c>
      <c r="J4508">
        <v>0</v>
      </c>
      <c r="K4508">
        <v>0</v>
      </c>
      <c r="L4508" s="2">
        <v>0</v>
      </c>
      <c r="M4508">
        <v>46.68</v>
      </c>
      <c r="N4508" t="s">
        <v>10236</v>
      </c>
    </row>
    <row r="4509" spans="1:14">
      <c r="A4509" t="s">
        <v>35</v>
      </c>
      <c r="B4509" t="s">
        <v>4628</v>
      </c>
      <c r="C4509">
        <f>"TOPKO92260"</f>
        <v>0</v>
      </c>
      <c r="D4509">
        <v>0</v>
      </c>
      <c r="E4509">
        <v>3</v>
      </c>
      <c r="F4509" s="2">
        <v>5</v>
      </c>
      <c r="H4509">
        <v>0</v>
      </c>
      <c r="I4509">
        <v>0.1741125760648204</v>
      </c>
      <c r="J4509">
        <v>0</v>
      </c>
      <c r="K4509">
        <v>0</v>
      </c>
      <c r="L4509" s="2">
        <v>0</v>
      </c>
      <c r="M4509">
        <v>46.69</v>
      </c>
      <c r="N4509" t="s">
        <v>10236</v>
      </c>
    </row>
    <row r="4510" spans="1:14">
      <c r="A4510" t="s">
        <v>33</v>
      </c>
      <c r="B4510" t="s">
        <v>4629</v>
      </c>
      <c r="C4510">
        <f>"TOPK92144"</f>
        <v>0</v>
      </c>
      <c r="D4510">
        <v>0</v>
      </c>
      <c r="E4510">
        <v>0</v>
      </c>
      <c r="F4510" s="2">
        <v>0</v>
      </c>
      <c r="H4510">
        <v>0</v>
      </c>
      <c r="I4510">
        <v>0.1741125760648204</v>
      </c>
      <c r="J4510">
        <v>0</v>
      </c>
      <c r="K4510">
        <v>0</v>
      </c>
      <c r="L4510" s="2">
        <v>0</v>
      </c>
      <c r="M4510">
        <v>46.7</v>
      </c>
      <c r="N4510" t="s">
        <v>10236</v>
      </c>
    </row>
    <row r="4511" spans="1:14">
      <c r="A4511" t="s">
        <v>35</v>
      </c>
      <c r="B4511" t="s">
        <v>4630</v>
      </c>
      <c r="C4511">
        <f>"CP101"</f>
        <v>0</v>
      </c>
      <c r="D4511">
        <v>0</v>
      </c>
      <c r="E4511">
        <v>0</v>
      </c>
      <c r="F4511" s="2">
        <v>0</v>
      </c>
      <c r="H4511">
        <v>0</v>
      </c>
      <c r="I4511">
        <v>0.1741125760648204</v>
      </c>
      <c r="J4511">
        <v>0</v>
      </c>
      <c r="K4511">
        <v>0</v>
      </c>
      <c r="L4511" s="2">
        <v>0</v>
      </c>
      <c r="M4511">
        <v>46.71</v>
      </c>
      <c r="N4511" t="s">
        <v>10236</v>
      </c>
    </row>
    <row r="4512" spans="1:14">
      <c r="A4512" t="s">
        <v>25</v>
      </c>
      <c r="B4512" t="s">
        <v>4631</v>
      </c>
      <c r="C4512">
        <f>"BEP22TR"</f>
        <v>0</v>
      </c>
      <c r="D4512">
        <v>0</v>
      </c>
      <c r="E4512">
        <v>0</v>
      </c>
      <c r="F4512" s="2">
        <v>0</v>
      </c>
      <c r="H4512">
        <v>0</v>
      </c>
      <c r="I4512">
        <v>0.1741125760648204</v>
      </c>
      <c r="J4512">
        <v>0</v>
      </c>
      <c r="K4512">
        <v>0</v>
      </c>
      <c r="L4512" s="2">
        <v>0</v>
      </c>
      <c r="M4512">
        <v>46.72</v>
      </c>
      <c r="N4512" t="s">
        <v>10236</v>
      </c>
    </row>
    <row r="4513" spans="1:14">
      <c r="A4513" t="s">
        <v>25</v>
      </c>
      <c r="B4513" t="s">
        <v>4632</v>
      </c>
      <c r="C4513">
        <f>"B18309"</f>
        <v>0</v>
      </c>
      <c r="D4513">
        <v>0</v>
      </c>
      <c r="E4513">
        <v>0</v>
      </c>
      <c r="F4513" s="2">
        <v>0</v>
      </c>
      <c r="H4513">
        <v>0</v>
      </c>
      <c r="I4513">
        <v>0.1741125760648204</v>
      </c>
      <c r="J4513">
        <v>0</v>
      </c>
      <c r="K4513">
        <v>0</v>
      </c>
      <c r="L4513" s="2">
        <v>0</v>
      </c>
      <c r="M4513">
        <v>46.73</v>
      </c>
      <c r="N4513" t="s">
        <v>10236</v>
      </c>
    </row>
    <row r="4514" spans="1:14">
      <c r="A4514" t="s">
        <v>35</v>
      </c>
      <c r="B4514" t="s">
        <v>4633</v>
      </c>
      <c r="C4514">
        <f>"CT225"</f>
        <v>0</v>
      </c>
      <c r="D4514">
        <v>0</v>
      </c>
      <c r="E4514">
        <v>0</v>
      </c>
      <c r="F4514" s="2">
        <v>0</v>
      </c>
      <c r="H4514">
        <v>0</v>
      </c>
      <c r="I4514">
        <v>0.1741125760648204</v>
      </c>
      <c r="J4514">
        <v>0</v>
      </c>
      <c r="K4514">
        <v>0</v>
      </c>
      <c r="L4514" s="2">
        <v>0</v>
      </c>
      <c r="M4514">
        <v>46.74</v>
      </c>
      <c r="N4514" t="s">
        <v>10236</v>
      </c>
    </row>
    <row r="4515" spans="1:14">
      <c r="A4515" t="s">
        <v>25</v>
      </c>
      <c r="B4515" t="s">
        <v>4634</v>
      </c>
      <c r="C4515">
        <f>"B18405"</f>
        <v>0</v>
      </c>
      <c r="D4515">
        <v>0</v>
      </c>
      <c r="E4515">
        <v>0</v>
      </c>
      <c r="F4515" s="2">
        <v>0</v>
      </c>
      <c r="H4515">
        <v>0</v>
      </c>
      <c r="I4515">
        <v>0.1741125760648204</v>
      </c>
      <c r="J4515">
        <v>0</v>
      </c>
      <c r="K4515">
        <v>0</v>
      </c>
      <c r="L4515" s="2">
        <v>0</v>
      </c>
      <c r="M4515">
        <v>46.75</v>
      </c>
      <c r="N4515" t="s">
        <v>10236</v>
      </c>
    </row>
    <row r="4516" spans="1:14">
      <c r="A4516" t="s">
        <v>35</v>
      </c>
      <c r="B4516" t="s">
        <v>4635</v>
      </c>
      <c r="C4516">
        <f>"MZ25-FE25022"</f>
        <v>0</v>
      </c>
      <c r="D4516">
        <v>0</v>
      </c>
      <c r="E4516">
        <v>1</v>
      </c>
      <c r="F4516" s="2">
        <v>11</v>
      </c>
      <c r="H4516">
        <v>0</v>
      </c>
      <c r="I4516">
        <v>0.1741125760648204</v>
      </c>
      <c r="J4516">
        <v>0</v>
      </c>
      <c r="K4516">
        <v>0</v>
      </c>
      <c r="L4516" s="2">
        <v>0</v>
      </c>
      <c r="M4516">
        <v>46.76</v>
      </c>
      <c r="N4516" t="s">
        <v>10236</v>
      </c>
    </row>
    <row r="4517" spans="1:14">
      <c r="A4517" t="s">
        <v>25</v>
      </c>
      <c r="B4517" t="s">
        <v>4636</v>
      </c>
      <c r="C4517">
        <f>"803021"</f>
        <v>0</v>
      </c>
      <c r="D4517">
        <v>0</v>
      </c>
      <c r="E4517">
        <v>0</v>
      </c>
      <c r="F4517" s="2">
        <v>0</v>
      </c>
      <c r="H4517">
        <v>0</v>
      </c>
      <c r="I4517">
        <v>0.1741125760648204</v>
      </c>
      <c r="J4517">
        <v>0</v>
      </c>
      <c r="K4517">
        <v>0</v>
      </c>
      <c r="L4517" s="2">
        <v>0</v>
      </c>
      <c r="M4517">
        <v>46.77</v>
      </c>
      <c r="N4517" t="s">
        <v>10236</v>
      </c>
    </row>
    <row r="4518" spans="1:14">
      <c r="A4518" t="s">
        <v>29</v>
      </c>
      <c r="B4518" t="s">
        <v>4637</v>
      </c>
      <c r="C4518">
        <f>"blp22"</f>
        <v>0</v>
      </c>
      <c r="D4518">
        <v>0</v>
      </c>
      <c r="E4518">
        <v>0</v>
      </c>
      <c r="F4518" s="2">
        <v>0</v>
      </c>
      <c r="H4518">
        <v>0</v>
      </c>
      <c r="I4518">
        <v>0.1741125760648204</v>
      </c>
      <c r="J4518">
        <v>0</v>
      </c>
      <c r="K4518">
        <v>0</v>
      </c>
      <c r="L4518" s="2">
        <v>0</v>
      </c>
      <c r="M4518">
        <v>46.77</v>
      </c>
      <c r="N4518" t="s">
        <v>10236</v>
      </c>
    </row>
    <row r="4519" spans="1:14">
      <c r="A4519" t="s">
        <v>29</v>
      </c>
      <c r="B4519" t="s">
        <v>4638</v>
      </c>
      <c r="C4519">
        <f>"rs600N"</f>
        <v>0</v>
      </c>
      <c r="D4519">
        <v>0</v>
      </c>
      <c r="E4519">
        <v>0</v>
      </c>
      <c r="F4519" s="2">
        <v>0</v>
      </c>
      <c r="H4519">
        <v>0</v>
      </c>
      <c r="I4519">
        <v>0.1741125760648204</v>
      </c>
      <c r="J4519">
        <v>0</v>
      </c>
      <c r="K4519">
        <v>0</v>
      </c>
      <c r="L4519" s="2">
        <v>0</v>
      </c>
      <c r="M4519">
        <v>46.78</v>
      </c>
      <c r="N4519" t="s">
        <v>10236</v>
      </c>
    </row>
    <row r="4520" spans="1:14">
      <c r="A4520" t="s">
        <v>29</v>
      </c>
      <c r="B4520" t="s">
        <v>4639</v>
      </c>
      <c r="C4520">
        <f>"rs380R"</f>
        <v>0</v>
      </c>
      <c r="D4520">
        <v>0</v>
      </c>
      <c r="E4520">
        <v>0</v>
      </c>
      <c r="F4520" s="2">
        <v>0</v>
      </c>
      <c r="H4520">
        <v>0</v>
      </c>
      <c r="I4520">
        <v>0.1741125760648204</v>
      </c>
      <c r="J4520">
        <v>0</v>
      </c>
      <c r="K4520">
        <v>0</v>
      </c>
      <c r="L4520" s="2">
        <v>0</v>
      </c>
      <c r="M4520">
        <v>46.79</v>
      </c>
      <c r="N4520" t="s">
        <v>10236</v>
      </c>
    </row>
    <row r="4521" spans="1:14">
      <c r="A4521" t="s">
        <v>215</v>
      </c>
      <c r="B4521" t="s">
        <v>4640</v>
      </c>
      <c r="C4521">
        <f>"316002"</f>
        <v>0</v>
      </c>
      <c r="D4521">
        <v>0</v>
      </c>
      <c r="E4521">
        <v>0</v>
      </c>
      <c r="F4521" s="2">
        <v>0</v>
      </c>
      <c r="H4521">
        <v>0</v>
      </c>
      <c r="I4521">
        <v>0.1741125760648204</v>
      </c>
      <c r="J4521">
        <v>0</v>
      </c>
      <c r="K4521">
        <v>0</v>
      </c>
      <c r="L4521" s="2">
        <v>0</v>
      </c>
      <c r="M4521">
        <v>46.8</v>
      </c>
      <c r="N4521" t="s">
        <v>10236</v>
      </c>
    </row>
    <row r="4522" spans="1:14">
      <c r="A4522" t="s">
        <v>215</v>
      </c>
      <c r="B4522" t="s">
        <v>4641</v>
      </c>
      <c r="C4522">
        <f>"BDAC3160"</f>
        <v>0</v>
      </c>
      <c r="D4522">
        <v>0</v>
      </c>
      <c r="E4522">
        <v>0</v>
      </c>
      <c r="F4522" s="2">
        <v>0</v>
      </c>
      <c r="H4522">
        <v>0</v>
      </c>
      <c r="I4522">
        <v>0.1741125760648204</v>
      </c>
      <c r="J4522">
        <v>0</v>
      </c>
      <c r="K4522">
        <v>0</v>
      </c>
      <c r="L4522" s="2">
        <v>0</v>
      </c>
      <c r="M4522">
        <v>46.81</v>
      </c>
      <c r="N4522" t="s">
        <v>10236</v>
      </c>
    </row>
    <row r="4523" spans="1:14">
      <c r="A4523" t="s">
        <v>25</v>
      </c>
      <c r="B4523" t="s">
        <v>4642</v>
      </c>
      <c r="C4523">
        <f>"thr"</f>
        <v>0</v>
      </c>
      <c r="D4523">
        <v>0</v>
      </c>
      <c r="E4523">
        <v>0</v>
      </c>
      <c r="F4523" s="2">
        <v>0</v>
      </c>
      <c r="H4523">
        <v>0</v>
      </c>
      <c r="I4523">
        <v>0.1741125760648204</v>
      </c>
      <c r="J4523">
        <v>0</v>
      </c>
      <c r="K4523">
        <v>0</v>
      </c>
      <c r="L4523" s="2">
        <v>0</v>
      </c>
      <c r="M4523">
        <v>46.82</v>
      </c>
      <c r="N4523" t="s">
        <v>10236</v>
      </c>
    </row>
    <row r="4524" spans="1:14">
      <c r="A4524" t="s">
        <v>215</v>
      </c>
      <c r="B4524" t="s">
        <v>4643</v>
      </c>
      <c r="C4524">
        <f>"BCAC3110"</f>
        <v>0</v>
      </c>
      <c r="D4524">
        <v>0</v>
      </c>
      <c r="E4524">
        <v>0</v>
      </c>
      <c r="F4524" s="2">
        <v>0</v>
      </c>
      <c r="H4524">
        <v>0</v>
      </c>
      <c r="I4524">
        <v>0.1741125760648204</v>
      </c>
      <c r="J4524">
        <v>0</v>
      </c>
      <c r="K4524">
        <v>0</v>
      </c>
      <c r="L4524" s="2">
        <v>0</v>
      </c>
      <c r="M4524">
        <v>46.83</v>
      </c>
      <c r="N4524" t="s">
        <v>10236</v>
      </c>
    </row>
    <row r="4525" spans="1:14">
      <c r="A4525" t="s">
        <v>215</v>
      </c>
      <c r="B4525" t="s">
        <v>4644</v>
      </c>
      <c r="C4525">
        <f>"327306"</f>
        <v>0</v>
      </c>
      <c r="D4525">
        <v>0</v>
      </c>
      <c r="E4525">
        <v>0</v>
      </c>
      <c r="F4525" s="2">
        <v>0</v>
      </c>
      <c r="H4525">
        <v>0</v>
      </c>
      <c r="I4525">
        <v>0.1741125760648204</v>
      </c>
      <c r="J4525">
        <v>0</v>
      </c>
      <c r="K4525">
        <v>0</v>
      </c>
      <c r="L4525" s="2">
        <v>0</v>
      </c>
      <c r="M4525">
        <v>46.84</v>
      </c>
      <c r="N4525" t="s">
        <v>10236</v>
      </c>
    </row>
    <row r="4526" spans="1:14">
      <c r="A4526" t="s">
        <v>215</v>
      </c>
      <c r="B4526" t="s">
        <v>4645</v>
      </c>
      <c r="C4526">
        <f>"327302"</f>
        <v>0</v>
      </c>
      <c r="D4526">
        <v>0</v>
      </c>
      <c r="E4526">
        <v>0</v>
      </c>
      <c r="F4526" s="2">
        <v>0</v>
      </c>
      <c r="H4526">
        <v>0</v>
      </c>
      <c r="I4526">
        <v>0.1741125760648204</v>
      </c>
      <c r="J4526">
        <v>0</v>
      </c>
      <c r="K4526">
        <v>0</v>
      </c>
      <c r="L4526" s="2">
        <v>0</v>
      </c>
      <c r="M4526">
        <v>46.85</v>
      </c>
      <c r="N4526" t="s">
        <v>10236</v>
      </c>
    </row>
    <row r="4527" spans="1:14">
      <c r="A4527" t="s">
        <v>215</v>
      </c>
      <c r="B4527" t="s">
        <v>4646</v>
      </c>
      <c r="C4527">
        <f>"K04500"</f>
        <v>0</v>
      </c>
      <c r="D4527">
        <v>0</v>
      </c>
      <c r="E4527">
        <v>0</v>
      </c>
      <c r="F4527" s="2">
        <v>0</v>
      </c>
      <c r="H4527">
        <v>0</v>
      </c>
      <c r="I4527">
        <v>0.1741125760648204</v>
      </c>
      <c r="J4527">
        <v>0</v>
      </c>
      <c r="K4527">
        <v>0</v>
      </c>
      <c r="L4527" s="2">
        <v>0</v>
      </c>
      <c r="M4527">
        <v>46.86</v>
      </c>
      <c r="N4527" t="s">
        <v>10236</v>
      </c>
    </row>
    <row r="4528" spans="1:14">
      <c r="A4528" t="s">
        <v>215</v>
      </c>
      <c r="B4528" t="s">
        <v>4647</v>
      </c>
      <c r="C4528">
        <f>"BDAC3263"</f>
        <v>0</v>
      </c>
      <c r="D4528">
        <v>0</v>
      </c>
      <c r="E4528">
        <v>0</v>
      </c>
      <c r="F4528" s="2">
        <v>0</v>
      </c>
      <c r="H4528">
        <v>0</v>
      </c>
      <c r="I4528">
        <v>0.1741125760648204</v>
      </c>
      <c r="J4528">
        <v>0</v>
      </c>
      <c r="K4528">
        <v>0</v>
      </c>
      <c r="L4528" s="2">
        <v>0</v>
      </c>
      <c r="M4528">
        <v>46.87</v>
      </c>
      <c r="N4528" t="s">
        <v>10236</v>
      </c>
    </row>
    <row r="4529" spans="1:14">
      <c r="A4529" t="s">
        <v>215</v>
      </c>
      <c r="B4529" t="s">
        <v>4648</v>
      </c>
      <c r="C4529">
        <f>"BDAC3264"</f>
        <v>0</v>
      </c>
      <c r="D4529">
        <v>0</v>
      </c>
      <c r="E4529">
        <v>0</v>
      </c>
      <c r="F4529" s="2">
        <v>0</v>
      </c>
      <c r="H4529">
        <v>0</v>
      </c>
      <c r="I4529">
        <v>0.1741125760648204</v>
      </c>
      <c r="J4529">
        <v>0</v>
      </c>
      <c r="K4529">
        <v>0</v>
      </c>
      <c r="L4529" s="2">
        <v>0</v>
      </c>
      <c r="M4529">
        <v>46.88</v>
      </c>
      <c r="N4529" t="s">
        <v>10236</v>
      </c>
    </row>
    <row r="4530" spans="1:14">
      <c r="A4530" t="s">
        <v>215</v>
      </c>
      <c r="B4530" t="s">
        <v>4649</v>
      </c>
      <c r="C4530">
        <f>"BDAC3261"</f>
        <v>0</v>
      </c>
      <c r="D4530">
        <v>0</v>
      </c>
      <c r="E4530">
        <v>1</v>
      </c>
      <c r="F4530" s="2">
        <v>13</v>
      </c>
      <c r="H4530">
        <v>0</v>
      </c>
      <c r="I4530">
        <v>0.1741125760648204</v>
      </c>
      <c r="J4530">
        <v>0</v>
      </c>
      <c r="K4530">
        <v>0</v>
      </c>
      <c r="L4530" s="2">
        <v>0</v>
      </c>
      <c r="M4530">
        <v>46.89</v>
      </c>
      <c r="N4530" t="s">
        <v>10236</v>
      </c>
    </row>
    <row r="4531" spans="1:14">
      <c r="A4531" t="s">
        <v>215</v>
      </c>
      <c r="B4531" t="s">
        <v>4650</v>
      </c>
      <c r="C4531">
        <f>"BDAC3262"</f>
        <v>0</v>
      </c>
      <c r="D4531">
        <v>0</v>
      </c>
      <c r="E4531">
        <v>0</v>
      </c>
      <c r="F4531" s="2">
        <v>0</v>
      </c>
      <c r="H4531">
        <v>0</v>
      </c>
      <c r="I4531">
        <v>0.1741125760648204</v>
      </c>
      <c r="J4531">
        <v>0</v>
      </c>
      <c r="K4531">
        <v>0</v>
      </c>
      <c r="L4531" s="2">
        <v>0</v>
      </c>
      <c r="M4531">
        <v>46.89</v>
      </c>
      <c r="N4531" t="s">
        <v>10236</v>
      </c>
    </row>
    <row r="4532" spans="1:14">
      <c r="A4532" t="s">
        <v>29</v>
      </c>
      <c r="B4532" t="s">
        <v>4651</v>
      </c>
      <c r="C4532">
        <f>"QR224"</f>
        <v>0</v>
      </c>
      <c r="D4532">
        <v>0</v>
      </c>
      <c r="E4532">
        <v>0</v>
      </c>
      <c r="F4532" s="2">
        <v>0</v>
      </c>
      <c r="H4532">
        <v>0</v>
      </c>
      <c r="I4532">
        <v>0.1741125760648204</v>
      </c>
      <c r="J4532">
        <v>0</v>
      </c>
      <c r="K4532">
        <v>0</v>
      </c>
      <c r="L4532" s="2">
        <v>0</v>
      </c>
      <c r="M4532">
        <v>46.9</v>
      </c>
      <c r="N4532" t="s">
        <v>10236</v>
      </c>
    </row>
    <row r="4533" spans="1:14">
      <c r="A4533" t="s">
        <v>25</v>
      </c>
      <c r="B4533" t="s">
        <v>4652</v>
      </c>
      <c r="C4533">
        <f>"B18408"</f>
        <v>0</v>
      </c>
      <c r="D4533">
        <v>0</v>
      </c>
      <c r="E4533">
        <v>0</v>
      </c>
      <c r="F4533" s="2">
        <v>0</v>
      </c>
      <c r="H4533">
        <v>0</v>
      </c>
      <c r="I4533">
        <v>0.1741125760648204</v>
      </c>
      <c r="J4533">
        <v>0</v>
      </c>
      <c r="K4533">
        <v>0</v>
      </c>
      <c r="L4533" s="2">
        <v>0</v>
      </c>
      <c r="M4533">
        <v>46.91</v>
      </c>
      <c r="N4533" t="s">
        <v>10236</v>
      </c>
    </row>
    <row r="4534" spans="1:14">
      <c r="A4534" t="s">
        <v>25</v>
      </c>
      <c r="B4534" t="s">
        <v>4653</v>
      </c>
      <c r="C4534">
        <f>"LF010"</f>
        <v>0</v>
      </c>
      <c r="D4534">
        <v>0</v>
      </c>
      <c r="E4534">
        <v>2</v>
      </c>
      <c r="F4534" s="2">
        <v>4</v>
      </c>
      <c r="H4534">
        <v>0</v>
      </c>
      <c r="I4534">
        <v>0.1741125760648204</v>
      </c>
      <c r="J4534">
        <v>0</v>
      </c>
      <c r="K4534">
        <v>0</v>
      </c>
      <c r="L4534" s="2">
        <v>0</v>
      </c>
      <c r="M4534">
        <v>46.92</v>
      </c>
      <c r="N4534" t="s">
        <v>10236</v>
      </c>
    </row>
    <row r="4535" spans="1:14">
      <c r="A4535" t="s">
        <v>25</v>
      </c>
      <c r="B4535" t="s">
        <v>4654</v>
      </c>
      <c r="C4535">
        <f>"B18207"</f>
        <v>0</v>
      </c>
      <c r="D4535">
        <v>0</v>
      </c>
      <c r="E4535">
        <v>0</v>
      </c>
      <c r="F4535" s="2">
        <v>0</v>
      </c>
      <c r="H4535">
        <v>0</v>
      </c>
      <c r="I4535">
        <v>0.1741125760648204</v>
      </c>
      <c r="J4535">
        <v>0</v>
      </c>
      <c r="K4535">
        <v>0</v>
      </c>
      <c r="L4535" s="2">
        <v>0</v>
      </c>
      <c r="M4535">
        <v>46.93</v>
      </c>
      <c r="N4535" t="s">
        <v>10236</v>
      </c>
    </row>
    <row r="4536" spans="1:14">
      <c r="A4536" t="s">
        <v>25</v>
      </c>
      <c r="B4536" t="s">
        <v>604</v>
      </c>
      <c r="C4536">
        <f>"891540"</f>
        <v>0</v>
      </c>
      <c r="D4536">
        <v>0</v>
      </c>
      <c r="E4536">
        <v>0</v>
      </c>
      <c r="F4536" s="2">
        <v>0</v>
      </c>
      <c r="H4536">
        <v>0</v>
      </c>
      <c r="I4536">
        <v>0.1741125760648204</v>
      </c>
      <c r="J4536">
        <v>0</v>
      </c>
      <c r="K4536">
        <v>0</v>
      </c>
      <c r="L4536" s="2">
        <v>0</v>
      </c>
      <c r="M4536">
        <v>46.94</v>
      </c>
      <c r="N4536" t="s">
        <v>10236</v>
      </c>
    </row>
    <row r="4537" spans="1:14">
      <c r="A4537" t="s">
        <v>25</v>
      </c>
      <c r="B4537" t="s">
        <v>604</v>
      </c>
      <c r="C4537">
        <f>"803023"</f>
        <v>0</v>
      </c>
      <c r="D4537">
        <v>0</v>
      </c>
      <c r="E4537">
        <v>0</v>
      </c>
      <c r="F4537" s="2">
        <v>0</v>
      </c>
      <c r="H4537">
        <v>0</v>
      </c>
      <c r="I4537">
        <v>0.1741125760648204</v>
      </c>
      <c r="J4537">
        <v>0</v>
      </c>
      <c r="K4537">
        <v>0</v>
      </c>
      <c r="L4537" s="2">
        <v>0</v>
      </c>
      <c r="M4537">
        <v>46.95</v>
      </c>
      <c r="N4537" t="s">
        <v>10236</v>
      </c>
    </row>
    <row r="4538" spans="1:14">
      <c r="A4538" t="s">
        <v>25</v>
      </c>
      <c r="B4538" t="s">
        <v>4655</v>
      </c>
      <c r="C4538">
        <f>"BEP20T"</f>
        <v>0</v>
      </c>
      <c r="D4538">
        <v>0</v>
      </c>
      <c r="E4538">
        <v>1</v>
      </c>
      <c r="F4538" s="2">
        <v>0</v>
      </c>
      <c r="H4538">
        <v>0</v>
      </c>
      <c r="I4538">
        <v>0.1741125760648204</v>
      </c>
      <c r="J4538">
        <v>0</v>
      </c>
      <c r="K4538">
        <v>0</v>
      </c>
      <c r="L4538" s="2">
        <v>0</v>
      </c>
      <c r="M4538">
        <v>46.96</v>
      </c>
      <c r="N4538" t="s">
        <v>10236</v>
      </c>
    </row>
    <row r="4539" spans="1:14">
      <c r="A4539" t="s">
        <v>215</v>
      </c>
      <c r="B4539" t="s">
        <v>4656</v>
      </c>
      <c r="C4539">
        <f>"BCAC3111"</f>
        <v>0</v>
      </c>
      <c r="D4539">
        <v>0</v>
      </c>
      <c r="E4539">
        <v>0</v>
      </c>
      <c r="F4539" s="2">
        <v>0</v>
      </c>
      <c r="H4539">
        <v>0</v>
      </c>
      <c r="I4539">
        <v>0.1741125760648204</v>
      </c>
      <c r="J4539">
        <v>0</v>
      </c>
      <c r="K4539">
        <v>0</v>
      </c>
      <c r="L4539" s="2">
        <v>0</v>
      </c>
      <c r="M4539">
        <v>46.97</v>
      </c>
      <c r="N4539" t="s">
        <v>10236</v>
      </c>
    </row>
    <row r="4540" spans="1:14">
      <c r="A4540" t="s">
        <v>29</v>
      </c>
      <c r="B4540" t="s">
        <v>4657</v>
      </c>
      <c r="C4540">
        <f>"HR300R"</f>
        <v>0</v>
      </c>
      <c r="D4540">
        <v>0</v>
      </c>
      <c r="E4540">
        <v>0</v>
      </c>
      <c r="F4540" s="2">
        <v>0</v>
      </c>
      <c r="H4540">
        <v>0</v>
      </c>
      <c r="I4540">
        <v>0.1741125760648204</v>
      </c>
      <c r="J4540">
        <v>0</v>
      </c>
      <c r="K4540">
        <v>0</v>
      </c>
      <c r="L4540" s="2">
        <v>0</v>
      </c>
      <c r="M4540">
        <v>46.98</v>
      </c>
      <c r="N4540" t="s">
        <v>10236</v>
      </c>
    </row>
    <row r="4541" spans="1:14">
      <c r="A4541" t="s">
        <v>29</v>
      </c>
      <c r="B4541" t="s">
        <v>4658</v>
      </c>
      <c r="C4541">
        <f>"HR300N"</f>
        <v>0</v>
      </c>
      <c r="D4541">
        <v>0</v>
      </c>
      <c r="E4541">
        <v>0</v>
      </c>
      <c r="F4541" s="2">
        <v>0</v>
      </c>
      <c r="H4541">
        <v>0</v>
      </c>
      <c r="I4541">
        <v>0.1741125760648204</v>
      </c>
      <c r="J4541">
        <v>0</v>
      </c>
      <c r="K4541">
        <v>0</v>
      </c>
      <c r="L4541" s="2">
        <v>0</v>
      </c>
      <c r="M4541">
        <v>46.99</v>
      </c>
      <c r="N4541" t="s">
        <v>10236</v>
      </c>
    </row>
    <row r="4542" spans="1:14">
      <c r="A4542" t="s">
        <v>29</v>
      </c>
      <c r="B4542" t="s">
        <v>4659</v>
      </c>
      <c r="C4542">
        <f>"R800"</f>
        <v>0</v>
      </c>
      <c r="D4542">
        <v>0</v>
      </c>
      <c r="E4542">
        <v>0</v>
      </c>
      <c r="F4542" s="2">
        <v>0</v>
      </c>
      <c r="H4542">
        <v>0</v>
      </c>
      <c r="I4542">
        <v>0.1741125760648204</v>
      </c>
      <c r="J4542">
        <v>0</v>
      </c>
      <c r="K4542">
        <v>0</v>
      </c>
      <c r="L4542" s="2">
        <v>0</v>
      </c>
      <c r="M4542">
        <v>47</v>
      </c>
      <c r="N4542" t="s">
        <v>10236</v>
      </c>
    </row>
    <row r="4543" spans="1:14">
      <c r="A4543" t="s">
        <v>196</v>
      </c>
      <c r="B4543" t="s">
        <v>4660</v>
      </c>
      <c r="C4543">
        <f>"2222"</f>
        <v>0</v>
      </c>
      <c r="D4543">
        <v>0</v>
      </c>
      <c r="E4543">
        <v>4</v>
      </c>
      <c r="F4543" s="2">
        <v>2</v>
      </c>
      <c r="H4543">
        <v>0</v>
      </c>
      <c r="I4543">
        <v>0.1741125760648204</v>
      </c>
      <c r="J4543">
        <v>0</v>
      </c>
      <c r="K4543">
        <v>0</v>
      </c>
      <c r="L4543" s="2">
        <v>0</v>
      </c>
      <c r="M4543">
        <v>47.01</v>
      </c>
      <c r="N4543" t="s">
        <v>10236</v>
      </c>
    </row>
    <row r="4544" spans="1:14">
      <c r="A4544" t="s">
        <v>29</v>
      </c>
      <c r="B4544" t="s">
        <v>4661</v>
      </c>
      <c r="C4544">
        <f>"D10200A"</f>
        <v>0</v>
      </c>
      <c r="D4544">
        <v>0</v>
      </c>
      <c r="E4544">
        <v>1</v>
      </c>
      <c r="F4544" s="2">
        <v>2</v>
      </c>
      <c r="H4544">
        <v>0</v>
      </c>
      <c r="I4544">
        <v>0.1741125760648204</v>
      </c>
      <c r="J4544">
        <v>0</v>
      </c>
      <c r="K4544">
        <v>0</v>
      </c>
      <c r="L4544" s="2">
        <v>0</v>
      </c>
      <c r="M4544">
        <v>47.01</v>
      </c>
      <c r="N4544" t="s">
        <v>10236</v>
      </c>
    </row>
    <row r="4545" spans="1:14">
      <c r="A4545" t="s">
        <v>25</v>
      </c>
      <c r="B4545" t="s">
        <v>4662</v>
      </c>
      <c r="C4545">
        <f>"DPB85"</f>
        <v>0</v>
      </c>
      <c r="D4545">
        <v>0</v>
      </c>
      <c r="E4545">
        <v>0</v>
      </c>
      <c r="F4545" s="2">
        <v>0</v>
      </c>
      <c r="H4545">
        <v>0</v>
      </c>
      <c r="I4545">
        <v>0.1741125760648204</v>
      </c>
      <c r="J4545">
        <v>0</v>
      </c>
      <c r="K4545">
        <v>0</v>
      </c>
      <c r="L4545" s="2">
        <v>0</v>
      </c>
      <c r="M4545">
        <v>47.02</v>
      </c>
      <c r="N4545" t="s">
        <v>10236</v>
      </c>
    </row>
    <row r="4546" spans="1:14">
      <c r="A4546" t="s">
        <v>25</v>
      </c>
      <c r="B4546" t="s">
        <v>4663</v>
      </c>
      <c r="C4546">
        <f>"DPB55"</f>
        <v>0</v>
      </c>
      <c r="D4546">
        <v>0</v>
      </c>
      <c r="E4546">
        <v>1</v>
      </c>
      <c r="F4546" s="2">
        <v>12</v>
      </c>
      <c r="H4546">
        <v>0</v>
      </c>
      <c r="I4546">
        <v>0.1741125760648204</v>
      </c>
      <c r="J4546">
        <v>0</v>
      </c>
      <c r="K4546">
        <v>0</v>
      </c>
      <c r="L4546" s="2">
        <v>0</v>
      </c>
      <c r="M4546">
        <v>47.03</v>
      </c>
      <c r="N4546" t="s">
        <v>10236</v>
      </c>
    </row>
    <row r="4547" spans="1:14">
      <c r="A4547" t="s">
        <v>215</v>
      </c>
      <c r="B4547" t="s">
        <v>4664</v>
      </c>
      <c r="C4547">
        <f>"BDAC3180"</f>
        <v>0</v>
      </c>
      <c r="D4547">
        <v>0</v>
      </c>
      <c r="E4547">
        <v>0</v>
      </c>
      <c r="F4547" s="2">
        <v>0</v>
      </c>
      <c r="H4547">
        <v>0</v>
      </c>
      <c r="I4547">
        <v>0.1741125760648204</v>
      </c>
      <c r="J4547">
        <v>0</v>
      </c>
      <c r="K4547">
        <v>0</v>
      </c>
      <c r="L4547" s="2">
        <v>0</v>
      </c>
      <c r="M4547">
        <v>47.04</v>
      </c>
      <c r="N4547" t="s">
        <v>10236</v>
      </c>
    </row>
    <row r="4548" spans="1:14">
      <c r="A4548" t="s">
        <v>215</v>
      </c>
      <c r="B4548" t="s">
        <v>4665</v>
      </c>
      <c r="C4548">
        <f>"331K01800"</f>
        <v>0</v>
      </c>
      <c r="D4548">
        <v>0</v>
      </c>
      <c r="E4548">
        <v>0</v>
      </c>
      <c r="F4548" s="2">
        <v>0</v>
      </c>
      <c r="H4548">
        <v>0</v>
      </c>
      <c r="I4548">
        <v>0.1741125760648204</v>
      </c>
      <c r="J4548">
        <v>0</v>
      </c>
      <c r="K4548">
        <v>0</v>
      </c>
      <c r="L4548" s="2">
        <v>0</v>
      </c>
      <c r="M4548">
        <v>47.05</v>
      </c>
      <c r="N4548" t="s">
        <v>10236</v>
      </c>
    </row>
    <row r="4549" spans="1:14">
      <c r="A4549" t="s">
        <v>215</v>
      </c>
      <c r="B4549" t="s">
        <v>4666</v>
      </c>
      <c r="C4549">
        <f>"327106"</f>
        <v>0</v>
      </c>
      <c r="D4549">
        <v>0</v>
      </c>
      <c r="E4549">
        <v>0</v>
      </c>
      <c r="F4549" s="2">
        <v>0</v>
      </c>
      <c r="H4549">
        <v>0</v>
      </c>
      <c r="I4549">
        <v>0.1741125760648204</v>
      </c>
      <c r="J4549">
        <v>0</v>
      </c>
      <c r="K4549">
        <v>0</v>
      </c>
      <c r="L4549" s="2">
        <v>0</v>
      </c>
      <c r="M4549">
        <v>47.06</v>
      </c>
      <c r="N4549" t="s">
        <v>10236</v>
      </c>
    </row>
    <row r="4550" spans="1:14">
      <c r="A4550" t="s">
        <v>215</v>
      </c>
      <c r="B4550" t="s">
        <v>4667</v>
      </c>
      <c r="C4550">
        <f>"327102"</f>
        <v>0</v>
      </c>
      <c r="D4550">
        <v>0</v>
      </c>
      <c r="E4550">
        <v>0</v>
      </c>
      <c r="F4550" s="2">
        <v>0</v>
      </c>
      <c r="H4550">
        <v>0</v>
      </c>
      <c r="I4550">
        <v>0.1741125760648204</v>
      </c>
      <c r="J4550">
        <v>0</v>
      </c>
      <c r="K4550">
        <v>0</v>
      </c>
      <c r="L4550" s="2">
        <v>0</v>
      </c>
      <c r="M4550">
        <v>47.07</v>
      </c>
      <c r="N4550" t="s">
        <v>10236</v>
      </c>
    </row>
    <row r="4551" spans="1:14">
      <c r="A4551" t="s">
        <v>29</v>
      </c>
      <c r="B4551" t="s">
        <v>4668</v>
      </c>
      <c r="C4551">
        <f>"blp31"</f>
        <v>0</v>
      </c>
      <c r="D4551">
        <v>0</v>
      </c>
      <c r="E4551">
        <v>0</v>
      </c>
      <c r="F4551" s="2">
        <v>0</v>
      </c>
      <c r="H4551">
        <v>0</v>
      </c>
      <c r="I4551">
        <v>0.1741125760648204</v>
      </c>
      <c r="J4551">
        <v>0</v>
      </c>
      <c r="K4551">
        <v>0</v>
      </c>
      <c r="L4551" s="2">
        <v>0</v>
      </c>
      <c r="M4551">
        <v>47.08</v>
      </c>
      <c r="N4551" t="s">
        <v>10236</v>
      </c>
    </row>
    <row r="4552" spans="1:14">
      <c r="A4552" t="s">
        <v>35</v>
      </c>
      <c r="B4552" t="s">
        <v>4669</v>
      </c>
      <c r="C4552">
        <f>"1039MECE"</f>
        <v>0</v>
      </c>
      <c r="D4552">
        <v>0</v>
      </c>
      <c r="E4552">
        <v>0</v>
      </c>
      <c r="F4552" s="2">
        <v>0</v>
      </c>
      <c r="H4552">
        <v>0</v>
      </c>
      <c r="I4552">
        <v>0.1741125760648204</v>
      </c>
      <c r="J4552">
        <v>0</v>
      </c>
      <c r="K4552">
        <v>0</v>
      </c>
      <c r="L4552" s="2">
        <v>0</v>
      </c>
      <c r="M4552">
        <v>47.09</v>
      </c>
      <c r="N4552" t="s">
        <v>10236</v>
      </c>
    </row>
    <row r="4553" spans="1:14">
      <c r="A4553" t="s">
        <v>25</v>
      </c>
      <c r="B4553" t="s">
        <v>4670</v>
      </c>
      <c r="C4553">
        <f>"S100CA"</f>
        <v>0</v>
      </c>
      <c r="D4553">
        <v>0</v>
      </c>
      <c r="E4553">
        <v>0</v>
      </c>
      <c r="F4553" s="2">
        <v>0</v>
      </c>
      <c r="H4553">
        <v>0</v>
      </c>
      <c r="I4553">
        <v>0.1741125760648204</v>
      </c>
      <c r="J4553">
        <v>0</v>
      </c>
      <c r="K4553">
        <v>0</v>
      </c>
      <c r="L4553" s="2">
        <v>0</v>
      </c>
      <c r="M4553">
        <v>47.1</v>
      </c>
      <c r="N4553" t="s">
        <v>10236</v>
      </c>
    </row>
    <row r="4554" spans="1:14">
      <c r="A4554" t="s">
        <v>32</v>
      </c>
      <c r="B4554" t="s">
        <v>4671</v>
      </c>
      <c r="C4554">
        <f>"1012934"</f>
        <v>0</v>
      </c>
      <c r="D4554">
        <v>0</v>
      </c>
      <c r="E4554">
        <v>0</v>
      </c>
      <c r="F4554" s="2">
        <v>0</v>
      </c>
      <c r="H4554">
        <v>0</v>
      </c>
      <c r="I4554">
        <v>0.1741125760648204</v>
      </c>
      <c r="J4554">
        <v>0</v>
      </c>
      <c r="K4554">
        <v>0</v>
      </c>
      <c r="L4554" s="2">
        <v>0</v>
      </c>
      <c r="M4554">
        <v>47.11</v>
      </c>
      <c r="N4554" t="s">
        <v>10236</v>
      </c>
    </row>
    <row r="4555" spans="1:14">
      <c r="A4555" t="s">
        <v>35</v>
      </c>
      <c r="B4555" t="s">
        <v>4672</v>
      </c>
      <c r="C4555">
        <f>"1040MECE"</f>
        <v>0</v>
      </c>
      <c r="D4555">
        <v>0</v>
      </c>
      <c r="E4555">
        <v>7</v>
      </c>
      <c r="F4555" s="2">
        <v>7</v>
      </c>
      <c r="H4555">
        <v>0</v>
      </c>
      <c r="I4555">
        <v>0.1741125760648204</v>
      </c>
      <c r="J4555">
        <v>0</v>
      </c>
      <c r="K4555">
        <v>0</v>
      </c>
      <c r="L4555" s="2">
        <v>0</v>
      </c>
      <c r="M4555">
        <v>47.12</v>
      </c>
      <c r="N4555" t="s">
        <v>10236</v>
      </c>
    </row>
    <row r="4556" spans="1:14">
      <c r="A4556" t="s">
        <v>35</v>
      </c>
      <c r="B4556" t="s">
        <v>4673</v>
      </c>
      <c r="C4556">
        <f>"1040MEAM"</f>
        <v>0</v>
      </c>
      <c r="D4556">
        <v>0</v>
      </c>
      <c r="E4556">
        <v>3</v>
      </c>
      <c r="F4556" s="2">
        <v>6</v>
      </c>
      <c r="H4556">
        <v>0</v>
      </c>
      <c r="I4556">
        <v>0.1741125760648204</v>
      </c>
      <c r="J4556">
        <v>0</v>
      </c>
      <c r="K4556">
        <v>0</v>
      </c>
      <c r="L4556" s="2">
        <v>0</v>
      </c>
      <c r="M4556">
        <v>47.12</v>
      </c>
      <c r="N4556" t="s">
        <v>10236</v>
      </c>
    </row>
    <row r="4557" spans="1:14">
      <c r="A4557" t="s">
        <v>192</v>
      </c>
      <c r="B4557" t="s">
        <v>4674</v>
      </c>
      <c r="C4557">
        <f>"B206"</f>
        <v>0</v>
      </c>
      <c r="D4557">
        <v>0</v>
      </c>
      <c r="E4557">
        <v>0</v>
      </c>
      <c r="F4557" s="2">
        <v>0</v>
      </c>
      <c r="H4557">
        <v>0</v>
      </c>
      <c r="I4557">
        <v>0.1741125760648204</v>
      </c>
      <c r="J4557">
        <v>0</v>
      </c>
      <c r="K4557">
        <v>0</v>
      </c>
      <c r="L4557" s="2">
        <v>0</v>
      </c>
      <c r="M4557">
        <v>47.13</v>
      </c>
      <c r="N4557" t="s">
        <v>10236</v>
      </c>
    </row>
    <row r="4558" spans="1:14">
      <c r="A4558" t="s">
        <v>25</v>
      </c>
      <c r="B4558" t="s">
        <v>4675</v>
      </c>
      <c r="C4558">
        <f>"T0105"</f>
        <v>0</v>
      </c>
      <c r="D4558">
        <v>0</v>
      </c>
      <c r="E4558">
        <v>0</v>
      </c>
      <c r="F4558" s="2">
        <v>0</v>
      </c>
      <c r="H4558">
        <v>0</v>
      </c>
      <c r="I4558">
        <v>0.1741125760648204</v>
      </c>
      <c r="J4558">
        <v>0</v>
      </c>
      <c r="K4558">
        <v>0</v>
      </c>
      <c r="L4558" s="2">
        <v>0</v>
      </c>
      <c r="M4558">
        <v>47.14</v>
      </c>
      <c r="N4558" t="s">
        <v>10236</v>
      </c>
    </row>
    <row r="4559" spans="1:14">
      <c r="A4559" t="s">
        <v>25</v>
      </c>
      <c r="B4559" t="s">
        <v>4676</v>
      </c>
      <c r="C4559">
        <f>"T0104"</f>
        <v>0</v>
      </c>
      <c r="D4559">
        <v>0</v>
      </c>
      <c r="E4559">
        <v>0</v>
      </c>
      <c r="F4559" s="2">
        <v>0</v>
      </c>
      <c r="H4559">
        <v>0</v>
      </c>
      <c r="I4559">
        <v>0.1741125760648204</v>
      </c>
      <c r="J4559">
        <v>0</v>
      </c>
      <c r="K4559">
        <v>0</v>
      </c>
      <c r="L4559" s="2">
        <v>0</v>
      </c>
      <c r="M4559">
        <v>47.15</v>
      </c>
      <c r="N4559" t="s">
        <v>10236</v>
      </c>
    </row>
    <row r="4560" spans="1:14">
      <c r="A4560" t="s">
        <v>35</v>
      </c>
      <c r="B4560" t="s">
        <v>4677</v>
      </c>
      <c r="C4560">
        <f>"MB201A"</f>
        <v>0</v>
      </c>
      <c r="D4560">
        <v>0</v>
      </c>
      <c r="E4560">
        <v>0</v>
      </c>
      <c r="F4560" s="2">
        <v>0</v>
      </c>
      <c r="H4560">
        <v>0</v>
      </c>
      <c r="I4560">
        <v>0.1741125760648204</v>
      </c>
      <c r="J4560">
        <v>0</v>
      </c>
      <c r="K4560">
        <v>0</v>
      </c>
      <c r="L4560" s="2">
        <v>0</v>
      </c>
      <c r="M4560">
        <v>47.16</v>
      </c>
      <c r="N4560" t="s">
        <v>10236</v>
      </c>
    </row>
    <row r="4561" spans="1:14">
      <c r="A4561" t="s">
        <v>25</v>
      </c>
      <c r="B4561" t="s">
        <v>4678</v>
      </c>
      <c r="C4561">
        <f>"s219"</f>
        <v>0</v>
      </c>
      <c r="D4561">
        <v>0</v>
      </c>
      <c r="E4561">
        <v>0</v>
      </c>
      <c r="F4561" s="2">
        <v>0</v>
      </c>
      <c r="H4561">
        <v>0</v>
      </c>
      <c r="I4561">
        <v>0.1741125760648204</v>
      </c>
      <c r="J4561">
        <v>0</v>
      </c>
      <c r="K4561">
        <v>0</v>
      </c>
      <c r="L4561" s="2">
        <v>0</v>
      </c>
      <c r="M4561">
        <v>47.17</v>
      </c>
      <c r="N4561" t="s">
        <v>10236</v>
      </c>
    </row>
    <row r="4562" spans="1:14">
      <c r="A4562" t="s">
        <v>35</v>
      </c>
      <c r="B4562" t="s">
        <v>4679</v>
      </c>
      <c r="C4562">
        <f>"3101C"</f>
        <v>0</v>
      </c>
      <c r="D4562">
        <v>0</v>
      </c>
      <c r="E4562">
        <v>0</v>
      </c>
      <c r="F4562" s="2">
        <v>0</v>
      </c>
      <c r="H4562">
        <v>0</v>
      </c>
      <c r="I4562">
        <v>0.1741125760648204</v>
      </c>
      <c r="J4562">
        <v>0</v>
      </c>
      <c r="K4562">
        <v>0</v>
      </c>
      <c r="L4562" s="2">
        <v>0</v>
      </c>
      <c r="M4562">
        <v>47.18</v>
      </c>
      <c r="N4562" t="s">
        <v>10236</v>
      </c>
    </row>
    <row r="4563" spans="1:14">
      <c r="A4563" t="s">
        <v>35</v>
      </c>
      <c r="B4563" t="s">
        <v>4680</v>
      </c>
      <c r="C4563">
        <f>"HC045"</f>
        <v>0</v>
      </c>
      <c r="D4563">
        <v>0</v>
      </c>
      <c r="E4563">
        <v>0</v>
      </c>
      <c r="F4563" s="2">
        <v>0</v>
      </c>
      <c r="H4563">
        <v>0</v>
      </c>
      <c r="I4563">
        <v>0.1741125760648204</v>
      </c>
      <c r="J4563">
        <v>0</v>
      </c>
      <c r="K4563">
        <v>0</v>
      </c>
      <c r="L4563" s="2">
        <v>0</v>
      </c>
      <c r="M4563">
        <v>47.19</v>
      </c>
      <c r="N4563" t="s">
        <v>10236</v>
      </c>
    </row>
    <row r="4564" spans="1:14">
      <c r="A4564" t="s">
        <v>192</v>
      </c>
      <c r="B4564" t="s">
        <v>4681</v>
      </c>
      <c r="C4564">
        <f>"890802"</f>
        <v>0</v>
      </c>
      <c r="D4564">
        <v>0</v>
      </c>
      <c r="E4564">
        <v>0</v>
      </c>
      <c r="F4564" s="2">
        <v>0</v>
      </c>
      <c r="H4564">
        <v>0</v>
      </c>
      <c r="I4564">
        <v>0.1741125760648204</v>
      </c>
      <c r="J4564">
        <v>0</v>
      </c>
      <c r="K4564">
        <v>0</v>
      </c>
      <c r="L4564" s="2">
        <v>0</v>
      </c>
      <c r="M4564">
        <v>47.2</v>
      </c>
      <c r="N4564" t="s">
        <v>10236</v>
      </c>
    </row>
    <row r="4565" spans="1:14">
      <c r="A4565" t="s">
        <v>25</v>
      </c>
      <c r="B4565" t="s">
        <v>4682</v>
      </c>
      <c r="C4565">
        <f>"TR071"</f>
        <v>0</v>
      </c>
      <c r="D4565">
        <v>0</v>
      </c>
      <c r="E4565">
        <v>0</v>
      </c>
      <c r="F4565" s="2">
        <v>0</v>
      </c>
      <c r="H4565">
        <v>0</v>
      </c>
      <c r="I4565">
        <v>0.1741125760648204</v>
      </c>
      <c r="J4565">
        <v>0</v>
      </c>
      <c r="K4565">
        <v>0</v>
      </c>
      <c r="L4565" s="2">
        <v>0</v>
      </c>
      <c r="M4565">
        <v>47.21</v>
      </c>
      <c r="N4565" t="s">
        <v>10236</v>
      </c>
    </row>
    <row r="4566" spans="1:14">
      <c r="A4566" t="s">
        <v>35</v>
      </c>
      <c r="B4566" t="s">
        <v>4683</v>
      </c>
      <c r="C4566">
        <f>"PRIMAV"</f>
        <v>0</v>
      </c>
      <c r="D4566">
        <v>0</v>
      </c>
      <c r="E4566">
        <v>0</v>
      </c>
      <c r="F4566" s="2">
        <v>0</v>
      </c>
      <c r="H4566">
        <v>0</v>
      </c>
      <c r="I4566">
        <v>0.1741125760648204</v>
      </c>
      <c r="J4566">
        <v>0</v>
      </c>
      <c r="K4566">
        <v>0</v>
      </c>
      <c r="L4566" s="2">
        <v>0</v>
      </c>
      <c r="M4566">
        <v>47.22</v>
      </c>
      <c r="N4566" t="s">
        <v>10236</v>
      </c>
    </row>
    <row r="4567" spans="1:14">
      <c r="A4567" t="s">
        <v>35</v>
      </c>
      <c r="B4567" t="s">
        <v>4684</v>
      </c>
      <c r="C4567">
        <f>"MH075R"</f>
        <v>0</v>
      </c>
      <c r="D4567">
        <v>0</v>
      </c>
      <c r="E4567">
        <v>0</v>
      </c>
      <c r="F4567" s="2">
        <v>0</v>
      </c>
      <c r="H4567">
        <v>0</v>
      </c>
      <c r="I4567">
        <v>0.1741125760648204</v>
      </c>
      <c r="J4567">
        <v>0</v>
      </c>
      <c r="K4567">
        <v>0</v>
      </c>
      <c r="L4567" s="2">
        <v>0</v>
      </c>
      <c r="M4567">
        <v>47.23</v>
      </c>
      <c r="N4567" t="s">
        <v>10236</v>
      </c>
    </row>
    <row r="4568" spans="1:14">
      <c r="A4568" t="s">
        <v>35</v>
      </c>
      <c r="B4568" t="s">
        <v>4685</v>
      </c>
      <c r="C4568">
        <f>"MH075AM"</f>
        <v>0</v>
      </c>
      <c r="D4568">
        <v>0</v>
      </c>
      <c r="E4568">
        <v>4</v>
      </c>
      <c r="F4568" s="2">
        <v>7</v>
      </c>
      <c r="H4568">
        <v>0</v>
      </c>
      <c r="I4568">
        <v>0.1741125760648204</v>
      </c>
      <c r="J4568">
        <v>0</v>
      </c>
      <c r="K4568">
        <v>0</v>
      </c>
      <c r="L4568" s="2">
        <v>0</v>
      </c>
      <c r="M4568">
        <v>47.24</v>
      </c>
      <c r="N4568" t="s">
        <v>10236</v>
      </c>
    </row>
    <row r="4569" spans="1:14">
      <c r="A4569" t="s">
        <v>35</v>
      </c>
      <c r="B4569" t="s">
        <v>4686</v>
      </c>
      <c r="C4569">
        <f>"RJ816G"</f>
        <v>0</v>
      </c>
      <c r="D4569">
        <v>0</v>
      </c>
      <c r="E4569">
        <v>0</v>
      </c>
      <c r="F4569" s="2">
        <v>0</v>
      </c>
      <c r="H4569">
        <v>0</v>
      </c>
      <c r="I4569">
        <v>0.1741125760648204</v>
      </c>
      <c r="J4569">
        <v>0</v>
      </c>
      <c r="K4569">
        <v>0</v>
      </c>
      <c r="L4569" s="2">
        <v>0</v>
      </c>
      <c r="M4569">
        <v>47.24</v>
      </c>
      <c r="N4569" t="s">
        <v>10236</v>
      </c>
    </row>
    <row r="4570" spans="1:14">
      <c r="A4570" t="s">
        <v>35</v>
      </c>
      <c r="B4570" t="s">
        <v>4687</v>
      </c>
      <c r="C4570">
        <f>"1040MEVE"</f>
        <v>0</v>
      </c>
      <c r="D4570">
        <v>0</v>
      </c>
      <c r="E4570">
        <v>0</v>
      </c>
      <c r="F4570" s="2">
        <v>0</v>
      </c>
      <c r="H4570">
        <v>0</v>
      </c>
      <c r="I4570">
        <v>0.1741125760648204</v>
      </c>
      <c r="J4570">
        <v>0</v>
      </c>
      <c r="K4570">
        <v>0</v>
      </c>
      <c r="L4570" s="2">
        <v>0</v>
      </c>
      <c r="M4570">
        <v>47.25</v>
      </c>
      <c r="N4570" t="s">
        <v>10236</v>
      </c>
    </row>
    <row r="4571" spans="1:14">
      <c r="A4571" t="s">
        <v>32</v>
      </c>
      <c r="B4571" t="s">
        <v>4688</v>
      </c>
      <c r="C4571">
        <f>"1012927"</f>
        <v>0</v>
      </c>
      <c r="D4571">
        <v>0</v>
      </c>
      <c r="E4571">
        <v>0</v>
      </c>
      <c r="F4571" s="2">
        <v>0</v>
      </c>
      <c r="H4571">
        <v>0</v>
      </c>
      <c r="I4571">
        <v>0.1741125760648204</v>
      </c>
      <c r="J4571">
        <v>0</v>
      </c>
      <c r="K4571">
        <v>0</v>
      </c>
      <c r="L4571" s="2">
        <v>0</v>
      </c>
      <c r="M4571">
        <v>47.26</v>
      </c>
      <c r="N4571" t="s">
        <v>10236</v>
      </c>
    </row>
    <row r="4572" spans="1:14">
      <c r="A4572" t="s">
        <v>32</v>
      </c>
      <c r="B4572" t="s">
        <v>4689</v>
      </c>
      <c r="C4572">
        <f>"1012935"</f>
        <v>0</v>
      </c>
      <c r="D4572">
        <v>0</v>
      </c>
      <c r="E4572">
        <v>0</v>
      </c>
      <c r="F4572" s="2">
        <v>0</v>
      </c>
      <c r="H4572">
        <v>0</v>
      </c>
      <c r="I4572">
        <v>0.1741125760648204</v>
      </c>
      <c r="J4572">
        <v>0</v>
      </c>
      <c r="K4572">
        <v>0</v>
      </c>
      <c r="L4572" s="2">
        <v>0</v>
      </c>
      <c r="M4572">
        <v>47.27</v>
      </c>
      <c r="N4572" t="s">
        <v>10236</v>
      </c>
    </row>
    <row r="4573" spans="1:14">
      <c r="A4573" t="s">
        <v>32</v>
      </c>
      <c r="B4573" t="s">
        <v>4690</v>
      </c>
      <c r="C4573">
        <f>"5001529"</f>
        <v>0</v>
      </c>
      <c r="D4573">
        <v>0</v>
      </c>
      <c r="E4573">
        <v>0</v>
      </c>
      <c r="F4573" s="2">
        <v>0</v>
      </c>
      <c r="H4573">
        <v>0</v>
      </c>
      <c r="I4573">
        <v>0.1741125760648204</v>
      </c>
      <c r="J4573">
        <v>0</v>
      </c>
      <c r="K4573">
        <v>0</v>
      </c>
      <c r="L4573" s="2">
        <v>0</v>
      </c>
      <c r="M4573">
        <v>47.28</v>
      </c>
      <c r="N4573" t="s">
        <v>10236</v>
      </c>
    </row>
    <row r="4574" spans="1:14">
      <c r="A4574" t="s">
        <v>32</v>
      </c>
      <c r="B4574" t="s">
        <v>4691</v>
      </c>
      <c r="C4574">
        <f>"1006556"</f>
        <v>0</v>
      </c>
      <c r="D4574">
        <v>0</v>
      </c>
      <c r="E4574">
        <v>0</v>
      </c>
      <c r="F4574" s="2">
        <v>0</v>
      </c>
      <c r="H4574">
        <v>0</v>
      </c>
      <c r="I4574">
        <v>0.1741125760648204</v>
      </c>
      <c r="J4574">
        <v>0</v>
      </c>
      <c r="K4574">
        <v>0</v>
      </c>
      <c r="L4574" s="2">
        <v>0</v>
      </c>
      <c r="M4574">
        <v>47.29</v>
      </c>
      <c r="N4574" t="s">
        <v>10236</v>
      </c>
    </row>
    <row r="4575" spans="1:14">
      <c r="A4575" t="s">
        <v>32</v>
      </c>
      <c r="B4575" t="s">
        <v>4692</v>
      </c>
      <c r="C4575">
        <f>"1006557"</f>
        <v>0</v>
      </c>
      <c r="D4575">
        <v>0</v>
      </c>
      <c r="E4575">
        <v>0</v>
      </c>
      <c r="F4575" s="2">
        <v>0</v>
      </c>
      <c r="H4575">
        <v>0</v>
      </c>
      <c r="I4575">
        <v>0.1741125760648204</v>
      </c>
      <c r="J4575">
        <v>0</v>
      </c>
      <c r="K4575">
        <v>0</v>
      </c>
      <c r="L4575" s="2">
        <v>0</v>
      </c>
      <c r="M4575">
        <v>47.3</v>
      </c>
      <c r="N4575" t="s">
        <v>10236</v>
      </c>
    </row>
    <row r="4576" spans="1:14">
      <c r="A4576" t="s">
        <v>32</v>
      </c>
      <c r="B4576" t="s">
        <v>4693</v>
      </c>
      <c r="C4576">
        <f>"5005971"</f>
        <v>0</v>
      </c>
      <c r="D4576">
        <v>0</v>
      </c>
      <c r="E4576">
        <v>0</v>
      </c>
      <c r="F4576" s="2">
        <v>0</v>
      </c>
      <c r="H4576">
        <v>0</v>
      </c>
      <c r="I4576">
        <v>0.1741125760648204</v>
      </c>
      <c r="J4576">
        <v>0</v>
      </c>
      <c r="K4576">
        <v>0</v>
      </c>
      <c r="L4576" s="2">
        <v>0</v>
      </c>
      <c r="M4576">
        <v>47.31</v>
      </c>
      <c r="N4576" t="s">
        <v>10236</v>
      </c>
    </row>
    <row r="4577" spans="1:14">
      <c r="A4577" t="s">
        <v>32</v>
      </c>
      <c r="B4577" t="s">
        <v>4694</v>
      </c>
      <c r="C4577">
        <f>"5005973"</f>
        <v>0</v>
      </c>
      <c r="D4577">
        <v>0</v>
      </c>
      <c r="E4577">
        <v>0</v>
      </c>
      <c r="F4577" s="2">
        <v>0</v>
      </c>
      <c r="H4577">
        <v>0</v>
      </c>
      <c r="I4577">
        <v>0.1741125760648204</v>
      </c>
      <c r="J4577">
        <v>0</v>
      </c>
      <c r="K4577">
        <v>0</v>
      </c>
      <c r="L4577" s="2">
        <v>0</v>
      </c>
      <c r="M4577">
        <v>47.32</v>
      </c>
      <c r="N4577" t="s">
        <v>10236</v>
      </c>
    </row>
    <row r="4578" spans="1:14">
      <c r="A4578" t="s">
        <v>32</v>
      </c>
      <c r="B4578" t="s">
        <v>4695</v>
      </c>
      <c r="C4578">
        <f>"5005970"</f>
        <v>0</v>
      </c>
      <c r="D4578">
        <v>0</v>
      </c>
      <c r="E4578">
        <v>0</v>
      </c>
      <c r="F4578" s="2">
        <v>0</v>
      </c>
      <c r="H4578">
        <v>0</v>
      </c>
      <c r="I4578">
        <v>0.1741125760648204</v>
      </c>
      <c r="J4578">
        <v>0</v>
      </c>
      <c r="K4578">
        <v>0</v>
      </c>
      <c r="L4578" s="2">
        <v>0</v>
      </c>
      <c r="M4578">
        <v>47.33</v>
      </c>
      <c r="N4578" t="s">
        <v>10236</v>
      </c>
    </row>
    <row r="4579" spans="1:14">
      <c r="A4579" t="s">
        <v>32</v>
      </c>
      <c r="B4579" t="s">
        <v>4696</v>
      </c>
      <c r="C4579">
        <f>"5005972"</f>
        <v>0</v>
      </c>
      <c r="D4579">
        <v>0</v>
      </c>
      <c r="E4579">
        <v>0</v>
      </c>
      <c r="F4579" s="2">
        <v>0</v>
      </c>
      <c r="H4579">
        <v>0</v>
      </c>
      <c r="I4579">
        <v>0.1741125760648204</v>
      </c>
      <c r="J4579">
        <v>0</v>
      </c>
      <c r="K4579">
        <v>0</v>
      </c>
      <c r="L4579" s="2">
        <v>0</v>
      </c>
      <c r="M4579">
        <v>47.34</v>
      </c>
      <c r="N4579" t="s">
        <v>10236</v>
      </c>
    </row>
    <row r="4580" spans="1:14">
      <c r="A4580" t="s">
        <v>32</v>
      </c>
      <c r="B4580" t="s">
        <v>4697</v>
      </c>
      <c r="C4580">
        <f>"5000331"</f>
        <v>0</v>
      </c>
      <c r="D4580">
        <v>0</v>
      </c>
      <c r="E4580">
        <v>0</v>
      </c>
      <c r="F4580" s="2">
        <v>0</v>
      </c>
      <c r="H4580">
        <v>0</v>
      </c>
      <c r="I4580">
        <v>0.1741125760648204</v>
      </c>
      <c r="J4580">
        <v>0</v>
      </c>
      <c r="K4580">
        <v>0</v>
      </c>
      <c r="L4580" s="2">
        <v>0</v>
      </c>
      <c r="M4580">
        <v>47.35</v>
      </c>
      <c r="N4580" t="s">
        <v>10236</v>
      </c>
    </row>
    <row r="4581" spans="1:14">
      <c r="A4581" t="s">
        <v>32</v>
      </c>
      <c r="B4581" t="s">
        <v>4698</v>
      </c>
      <c r="C4581">
        <f>"5000297"</f>
        <v>0</v>
      </c>
      <c r="D4581">
        <v>0</v>
      </c>
      <c r="E4581">
        <v>0</v>
      </c>
      <c r="F4581" s="2">
        <v>0</v>
      </c>
      <c r="H4581">
        <v>0</v>
      </c>
      <c r="I4581">
        <v>0.1741125760648204</v>
      </c>
      <c r="J4581">
        <v>0</v>
      </c>
      <c r="K4581">
        <v>0</v>
      </c>
      <c r="L4581" s="2">
        <v>0</v>
      </c>
      <c r="M4581">
        <v>47.36</v>
      </c>
      <c r="N4581" t="s">
        <v>10236</v>
      </c>
    </row>
    <row r="4582" spans="1:14">
      <c r="A4582" t="s">
        <v>32</v>
      </c>
      <c r="B4582" t="s">
        <v>4699</v>
      </c>
      <c r="C4582">
        <f>"1012943"</f>
        <v>0</v>
      </c>
      <c r="D4582">
        <v>0</v>
      </c>
      <c r="E4582">
        <v>0</v>
      </c>
      <c r="F4582" s="2">
        <v>0</v>
      </c>
      <c r="H4582">
        <v>0</v>
      </c>
      <c r="I4582">
        <v>0.1741125760648204</v>
      </c>
      <c r="J4582">
        <v>0</v>
      </c>
      <c r="K4582">
        <v>0</v>
      </c>
      <c r="L4582" s="2">
        <v>0</v>
      </c>
      <c r="M4582">
        <v>47.36</v>
      </c>
      <c r="N4582" t="s">
        <v>10236</v>
      </c>
    </row>
    <row r="4583" spans="1:14">
      <c r="A4583" t="s">
        <v>32</v>
      </c>
      <c r="B4583" t="s">
        <v>4700</v>
      </c>
      <c r="C4583">
        <f>"1014050"</f>
        <v>0</v>
      </c>
      <c r="D4583">
        <v>0</v>
      </c>
      <c r="E4583">
        <v>0</v>
      </c>
      <c r="F4583" s="2">
        <v>0</v>
      </c>
      <c r="H4583">
        <v>0</v>
      </c>
      <c r="I4583">
        <v>0.1741125760648204</v>
      </c>
      <c r="J4583">
        <v>0</v>
      </c>
      <c r="K4583">
        <v>0</v>
      </c>
      <c r="L4583" s="2">
        <v>0</v>
      </c>
      <c r="M4583">
        <v>47.37</v>
      </c>
      <c r="N4583" t="s">
        <v>10236</v>
      </c>
    </row>
    <row r="4584" spans="1:14">
      <c r="A4584" t="s">
        <v>25</v>
      </c>
      <c r="B4584" t="s">
        <v>4701</v>
      </c>
      <c r="C4584">
        <f>"S100"</f>
        <v>0</v>
      </c>
      <c r="D4584">
        <v>0</v>
      </c>
      <c r="E4584">
        <v>0</v>
      </c>
      <c r="F4584" s="2">
        <v>0</v>
      </c>
      <c r="H4584">
        <v>0</v>
      </c>
      <c r="I4584">
        <v>0.1741125760648204</v>
      </c>
      <c r="J4584">
        <v>0</v>
      </c>
      <c r="K4584">
        <v>0</v>
      </c>
      <c r="L4584" s="2">
        <v>0</v>
      </c>
      <c r="M4584">
        <v>47.38</v>
      </c>
      <c r="N4584" t="s">
        <v>10236</v>
      </c>
    </row>
    <row r="4585" spans="1:14">
      <c r="A4585" t="s">
        <v>29</v>
      </c>
      <c r="B4585" t="s">
        <v>4702</v>
      </c>
      <c r="C4585">
        <f>"HR380A"</f>
        <v>0</v>
      </c>
      <c r="D4585">
        <v>0</v>
      </c>
      <c r="E4585">
        <v>0</v>
      </c>
      <c r="F4585" s="2">
        <v>0</v>
      </c>
      <c r="H4585">
        <v>0</v>
      </c>
      <c r="I4585">
        <v>0.1741125760648204</v>
      </c>
      <c r="J4585">
        <v>0</v>
      </c>
      <c r="K4585">
        <v>0</v>
      </c>
      <c r="L4585" s="2">
        <v>0</v>
      </c>
      <c r="M4585">
        <v>47.39</v>
      </c>
      <c r="N4585" t="s">
        <v>10236</v>
      </c>
    </row>
    <row r="4586" spans="1:14">
      <c r="A4586" t="s">
        <v>35</v>
      </c>
      <c r="B4586" t="s">
        <v>4703</v>
      </c>
      <c r="C4586">
        <f>"XGH3"</f>
        <v>0</v>
      </c>
      <c r="D4586">
        <v>0</v>
      </c>
      <c r="E4586">
        <v>0</v>
      </c>
      <c r="F4586" s="2">
        <v>0</v>
      </c>
      <c r="H4586">
        <v>0</v>
      </c>
      <c r="I4586">
        <v>0.1741125760648204</v>
      </c>
      <c r="J4586">
        <v>0</v>
      </c>
      <c r="K4586">
        <v>0</v>
      </c>
      <c r="L4586" s="2">
        <v>0</v>
      </c>
      <c r="M4586">
        <v>47.4</v>
      </c>
      <c r="N4586" t="s">
        <v>10236</v>
      </c>
    </row>
    <row r="4587" spans="1:14">
      <c r="A4587" t="s">
        <v>35</v>
      </c>
      <c r="B4587" t="s">
        <v>4704</v>
      </c>
      <c r="C4587">
        <f>"1055FN"</f>
        <v>0</v>
      </c>
      <c r="D4587">
        <v>0</v>
      </c>
      <c r="E4587">
        <v>0</v>
      </c>
      <c r="F4587" s="2">
        <v>0</v>
      </c>
      <c r="H4587">
        <v>0</v>
      </c>
      <c r="I4587">
        <v>0.1741125760648204</v>
      </c>
      <c r="J4587">
        <v>0</v>
      </c>
      <c r="K4587">
        <v>0</v>
      </c>
      <c r="L4587" s="2">
        <v>0</v>
      </c>
      <c r="M4587">
        <v>47.41</v>
      </c>
      <c r="N4587" t="s">
        <v>10236</v>
      </c>
    </row>
    <row r="4588" spans="1:14">
      <c r="A4588" t="s">
        <v>35</v>
      </c>
      <c r="B4588" t="s">
        <v>4705</v>
      </c>
      <c r="C4588">
        <f>"1055FB"</f>
        <v>0</v>
      </c>
      <c r="D4588">
        <v>0</v>
      </c>
      <c r="E4588">
        <v>0</v>
      </c>
      <c r="F4588" s="2">
        <v>0</v>
      </c>
      <c r="H4588">
        <v>0</v>
      </c>
      <c r="I4588">
        <v>0.1741125760648204</v>
      </c>
      <c r="J4588">
        <v>0</v>
      </c>
      <c r="K4588">
        <v>0</v>
      </c>
      <c r="L4588" s="2">
        <v>0</v>
      </c>
      <c r="M4588">
        <v>47.42</v>
      </c>
      <c r="N4588" t="s">
        <v>10236</v>
      </c>
    </row>
    <row r="4589" spans="1:14">
      <c r="A4589" t="s">
        <v>35</v>
      </c>
      <c r="B4589" t="s">
        <v>4706</v>
      </c>
      <c r="C4589">
        <f>"1055FA"</f>
        <v>0</v>
      </c>
      <c r="D4589">
        <v>0</v>
      </c>
      <c r="E4589">
        <v>0</v>
      </c>
      <c r="F4589" s="2">
        <v>0</v>
      </c>
      <c r="H4589">
        <v>0</v>
      </c>
      <c r="I4589">
        <v>0.1741125760648204</v>
      </c>
      <c r="J4589">
        <v>0</v>
      </c>
      <c r="K4589">
        <v>0</v>
      </c>
      <c r="L4589" s="2">
        <v>0</v>
      </c>
      <c r="M4589">
        <v>47.43</v>
      </c>
      <c r="N4589" t="s">
        <v>10236</v>
      </c>
    </row>
    <row r="4590" spans="1:14">
      <c r="A4590" t="s">
        <v>35</v>
      </c>
      <c r="B4590" t="s">
        <v>4707</v>
      </c>
      <c r="C4590">
        <f>"608S"</f>
        <v>0</v>
      </c>
      <c r="D4590">
        <v>0</v>
      </c>
      <c r="E4590">
        <v>0</v>
      </c>
      <c r="F4590" s="2">
        <v>0</v>
      </c>
      <c r="H4590">
        <v>0</v>
      </c>
      <c r="I4590">
        <v>0.1741125760648204</v>
      </c>
      <c r="J4590">
        <v>0</v>
      </c>
      <c r="K4590">
        <v>0</v>
      </c>
      <c r="L4590" s="2">
        <v>0</v>
      </c>
      <c r="M4590">
        <v>47.44</v>
      </c>
      <c r="N4590" t="s">
        <v>10236</v>
      </c>
    </row>
    <row r="4591" spans="1:14">
      <c r="A4591" t="s">
        <v>35</v>
      </c>
      <c r="B4591" t="s">
        <v>4708</v>
      </c>
      <c r="C4591">
        <f>"608M"</f>
        <v>0</v>
      </c>
      <c r="D4591">
        <v>0</v>
      </c>
      <c r="E4591">
        <v>0</v>
      </c>
      <c r="F4591" s="2">
        <v>0</v>
      </c>
      <c r="H4591">
        <v>0</v>
      </c>
      <c r="I4591">
        <v>0.1741125760648204</v>
      </c>
      <c r="J4591">
        <v>0</v>
      </c>
      <c r="K4591">
        <v>0</v>
      </c>
      <c r="L4591" s="2">
        <v>0</v>
      </c>
      <c r="M4591">
        <v>47.45</v>
      </c>
      <c r="N4591" t="s">
        <v>10236</v>
      </c>
    </row>
    <row r="4592" spans="1:14">
      <c r="A4592" t="s">
        <v>35</v>
      </c>
      <c r="B4592" t="s">
        <v>4709</v>
      </c>
      <c r="C4592">
        <f>"608L"</f>
        <v>0</v>
      </c>
      <c r="D4592">
        <v>0</v>
      </c>
      <c r="E4592">
        <v>0</v>
      </c>
      <c r="F4592" s="2">
        <v>0</v>
      </c>
      <c r="H4592">
        <v>0</v>
      </c>
      <c r="I4592">
        <v>0.1741125760648204</v>
      </c>
      <c r="J4592">
        <v>0</v>
      </c>
      <c r="K4592">
        <v>0</v>
      </c>
      <c r="L4592" s="2">
        <v>0</v>
      </c>
      <c r="M4592">
        <v>47.46</v>
      </c>
      <c r="N4592" t="s">
        <v>10236</v>
      </c>
    </row>
    <row r="4593" spans="1:14">
      <c r="A4593" t="s">
        <v>35</v>
      </c>
      <c r="B4593" t="s">
        <v>4710</v>
      </c>
      <c r="C4593">
        <f>"1042HIELO"</f>
        <v>0</v>
      </c>
      <c r="D4593">
        <v>0</v>
      </c>
      <c r="E4593">
        <v>2</v>
      </c>
      <c r="F4593" s="2">
        <v>12</v>
      </c>
      <c r="H4593">
        <v>0</v>
      </c>
      <c r="I4593">
        <v>0.1741125760648204</v>
      </c>
      <c r="J4593">
        <v>0</v>
      </c>
      <c r="K4593">
        <v>0</v>
      </c>
      <c r="L4593" s="2">
        <v>0</v>
      </c>
      <c r="M4593">
        <v>47.47</v>
      </c>
      <c r="N4593" t="s">
        <v>10236</v>
      </c>
    </row>
    <row r="4594" spans="1:14">
      <c r="A4594" t="s">
        <v>35</v>
      </c>
      <c r="B4594" t="s">
        <v>4711</v>
      </c>
      <c r="C4594">
        <f>"LH1"</f>
        <v>0</v>
      </c>
      <c r="D4594">
        <v>0</v>
      </c>
      <c r="E4594">
        <v>4</v>
      </c>
      <c r="F4594" s="2">
        <v>7</v>
      </c>
      <c r="H4594">
        <v>0</v>
      </c>
      <c r="I4594">
        <v>0.1741125760648204</v>
      </c>
      <c r="J4594">
        <v>0</v>
      </c>
      <c r="K4594">
        <v>0</v>
      </c>
      <c r="L4594" s="2">
        <v>0</v>
      </c>
      <c r="M4594">
        <v>47.48</v>
      </c>
      <c r="N4594" t="s">
        <v>10236</v>
      </c>
    </row>
    <row r="4595" spans="1:14">
      <c r="A4595" t="s">
        <v>35</v>
      </c>
      <c r="B4595" t="s">
        <v>4712</v>
      </c>
      <c r="C4595">
        <f>"608XXL"</f>
        <v>0</v>
      </c>
      <c r="D4595">
        <v>0</v>
      </c>
      <c r="E4595">
        <v>0</v>
      </c>
      <c r="F4595" s="2">
        <v>0</v>
      </c>
      <c r="H4595">
        <v>0</v>
      </c>
      <c r="I4595">
        <v>0.1741125760648204</v>
      </c>
      <c r="J4595">
        <v>0</v>
      </c>
      <c r="K4595">
        <v>0</v>
      </c>
      <c r="L4595" s="2">
        <v>0</v>
      </c>
      <c r="M4595">
        <v>47.48</v>
      </c>
      <c r="N4595" t="s">
        <v>10236</v>
      </c>
    </row>
    <row r="4596" spans="1:14">
      <c r="A4596" t="s">
        <v>35</v>
      </c>
      <c r="B4596" t="s">
        <v>4713</v>
      </c>
      <c r="C4596">
        <f>"608XL"</f>
        <v>0</v>
      </c>
      <c r="D4596">
        <v>0</v>
      </c>
      <c r="E4596">
        <v>0</v>
      </c>
      <c r="F4596" s="2">
        <v>0</v>
      </c>
      <c r="H4596">
        <v>0</v>
      </c>
      <c r="I4596">
        <v>0.1741125760648204</v>
      </c>
      <c r="J4596">
        <v>0</v>
      </c>
      <c r="K4596">
        <v>0</v>
      </c>
      <c r="L4596" s="2">
        <v>0</v>
      </c>
      <c r="M4596">
        <v>47.49</v>
      </c>
      <c r="N4596" t="s">
        <v>10236</v>
      </c>
    </row>
    <row r="4597" spans="1:14">
      <c r="A4597" t="s">
        <v>25</v>
      </c>
      <c r="B4597" t="s">
        <v>4714</v>
      </c>
      <c r="C4597">
        <f>"S101"</f>
        <v>0</v>
      </c>
      <c r="D4597">
        <v>0</v>
      </c>
      <c r="E4597">
        <v>0</v>
      </c>
      <c r="F4597" s="2">
        <v>0</v>
      </c>
      <c r="H4597">
        <v>0</v>
      </c>
      <c r="I4597">
        <v>0.1741125760648204</v>
      </c>
      <c r="J4597">
        <v>0</v>
      </c>
      <c r="K4597">
        <v>0</v>
      </c>
      <c r="L4597" s="2">
        <v>0</v>
      </c>
      <c r="M4597">
        <v>47.5</v>
      </c>
      <c r="N4597" t="s">
        <v>10236</v>
      </c>
    </row>
    <row r="4598" spans="1:14">
      <c r="A4598" t="s">
        <v>35</v>
      </c>
      <c r="B4598" t="s">
        <v>4715</v>
      </c>
      <c r="C4598">
        <f>"XGH1"</f>
        <v>0</v>
      </c>
      <c r="D4598">
        <v>0</v>
      </c>
      <c r="E4598">
        <v>0</v>
      </c>
      <c r="F4598" s="2">
        <v>0</v>
      </c>
      <c r="H4598">
        <v>0</v>
      </c>
      <c r="I4598">
        <v>0.1741125760648204</v>
      </c>
      <c r="J4598">
        <v>0</v>
      </c>
      <c r="K4598">
        <v>0</v>
      </c>
      <c r="L4598" s="2">
        <v>0</v>
      </c>
      <c r="M4598">
        <v>47.51</v>
      </c>
      <c r="N4598" t="s">
        <v>10236</v>
      </c>
    </row>
    <row r="4599" spans="1:14">
      <c r="A4599" t="s">
        <v>35</v>
      </c>
      <c r="B4599" t="s">
        <v>4716</v>
      </c>
      <c r="C4599">
        <f>"XGH2"</f>
        <v>0</v>
      </c>
      <c r="D4599">
        <v>0</v>
      </c>
      <c r="E4599">
        <v>0</v>
      </c>
      <c r="F4599" s="2">
        <v>0</v>
      </c>
      <c r="H4599">
        <v>0</v>
      </c>
      <c r="I4599">
        <v>0.1741125760648204</v>
      </c>
      <c r="J4599">
        <v>0</v>
      </c>
      <c r="K4599">
        <v>0</v>
      </c>
      <c r="L4599" s="2">
        <v>0</v>
      </c>
      <c r="M4599">
        <v>47.52</v>
      </c>
      <c r="N4599" t="s">
        <v>10236</v>
      </c>
    </row>
    <row r="4600" spans="1:14">
      <c r="A4600" t="s">
        <v>35</v>
      </c>
      <c r="B4600" t="s">
        <v>4717</v>
      </c>
      <c r="C4600">
        <f>"XDB450D"</f>
        <v>0</v>
      </c>
      <c r="D4600">
        <v>0</v>
      </c>
      <c r="E4600">
        <v>2</v>
      </c>
      <c r="F4600" s="2">
        <v>63</v>
      </c>
      <c r="H4600">
        <v>0</v>
      </c>
      <c r="I4600">
        <v>0.1741125760648204</v>
      </c>
      <c r="J4600">
        <v>0</v>
      </c>
      <c r="K4600">
        <v>0</v>
      </c>
      <c r="L4600" s="2">
        <v>0</v>
      </c>
      <c r="M4600">
        <v>47.53</v>
      </c>
      <c r="N4600" t="s">
        <v>10236</v>
      </c>
    </row>
    <row r="4601" spans="1:14">
      <c r="A4601" t="s">
        <v>35</v>
      </c>
      <c r="B4601" t="s">
        <v>4718</v>
      </c>
      <c r="C4601">
        <f>"KC2203"</f>
        <v>0</v>
      </c>
      <c r="D4601">
        <v>0</v>
      </c>
      <c r="E4601">
        <v>0</v>
      </c>
      <c r="F4601" s="2">
        <v>0</v>
      </c>
      <c r="H4601">
        <v>0</v>
      </c>
      <c r="I4601">
        <v>0.1741125760648204</v>
      </c>
      <c r="J4601">
        <v>0</v>
      </c>
      <c r="K4601">
        <v>0</v>
      </c>
      <c r="L4601" s="2">
        <v>0</v>
      </c>
      <c r="M4601">
        <v>47.54</v>
      </c>
      <c r="N4601" t="s">
        <v>10236</v>
      </c>
    </row>
    <row r="4602" spans="1:14">
      <c r="A4602" t="s">
        <v>35</v>
      </c>
      <c r="B4602" t="s">
        <v>4719</v>
      </c>
      <c r="C4602">
        <f>"WD343522"</f>
        <v>0</v>
      </c>
      <c r="D4602">
        <v>0</v>
      </c>
      <c r="E4602">
        <v>7</v>
      </c>
      <c r="F4602" s="2">
        <v>1</v>
      </c>
      <c r="H4602">
        <v>0</v>
      </c>
      <c r="I4602">
        <v>0.1741125760648204</v>
      </c>
      <c r="J4602">
        <v>0</v>
      </c>
      <c r="K4602">
        <v>0</v>
      </c>
      <c r="L4602" s="2">
        <v>0</v>
      </c>
      <c r="M4602">
        <v>47.55</v>
      </c>
      <c r="N4602" t="s">
        <v>10236</v>
      </c>
    </row>
    <row r="4603" spans="1:14">
      <c r="A4603" t="s">
        <v>35</v>
      </c>
      <c r="B4603" t="s">
        <v>4720</v>
      </c>
      <c r="C4603">
        <f>"JW9013"</f>
        <v>0</v>
      </c>
      <c r="D4603">
        <v>0</v>
      </c>
      <c r="E4603">
        <v>0</v>
      </c>
      <c r="F4603" s="2">
        <v>0</v>
      </c>
      <c r="H4603">
        <v>0</v>
      </c>
      <c r="I4603">
        <v>0.1741125760648204</v>
      </c>
      <c r="J4603">
        <v>0</v>
      </c>
      <c r="K4603">
        <v>0</v>
      </c>
      <c r="L4603" s="2">
        <v>0</v>
      </c>
      <c r="M4603">
        <v>47.56</v>
      </c>
      <c r="N4603" t="s">
        <v>10236</v>
      </c>
    </row>
    <row r="4604" spans="1:14">
      <c r="A4604" t="s">
        <v>213</v>
      </c>
      <c r="B4604" t="s">
        <v>4721</v>
      </c>
      <c r="C4604">
        <f>"501076"</f>
        <v>0</v>
      </c>
      <c r="D4604">
        <v>0</v>
      </c>
      <c r="E4604">
        <v>0</v>
      </c>
      <c r="F4604" s="2">
        <v>0</v>
      </c>
      <c r="H4604">
        <v>0</v>
      </c>
      <c r="I4604">
        <v>0.1741125760648204</v>
      </c>
      <c r="J4604">
        <v>0</v>
      </c>
      <c r="K4604">
        <v>0</v>
      </c>
      <c r="L4604" s="2">
        <v>0</v>
      </c>
      <c r="M4604">
        <v>47.57</v>
      </c>
      <c r="N4604" t="s">
        <v>10236</v>
      </c>
    </row>
    <row r="4605" spans="1:14">
      <c r="A4605" t="s">
        <v>213</v>
      </c>
      <c r="B4605" t="s">
        <v>4722</v>
      </c>
      <c r="C4605">
        <f>"501077"</f>
        <v>0</v>
      </c>
      <c r="D4605">
        <v>0</v>
      </c>
      <c r="E4605">
        <v>0</v>
      </c>
      <c r="F4605" s="2">
        <v>0</v>
      </c>
      <c r="H4605">
        <v>0</v>
      </c>
      <c r="I4605">
        <v>0.1741125760648204</v>
      </c>
      <c r="J4605">
        <v>0</v>
      </c>
      <c r="K4605">
        <v>0</v>
      </c>
      <c r="L4605" s="2">
        <v>0</v>
      </c>
      <c r="M4605">
        <v>47.58</v>
      </c>
      <c r="N4605" t="s">
        <v>10236</v>
      </c>
    </row>
    <row r="4606" spans="1:14">
      <c r="A4606" t="s">
        <v>196</v>
      </c>
      <c r="B4606" t="s">
        <v>4723</v>
      </c>
      <c r="C4606">
        <f>"2241"</f>
        <v>0</v>
      </c>
      <c r="D4606">
        <v>0</v>
      </c>
      <c r="E4606">
        <v>0</v>
      </c>
      <c r="F4606" s="2">
        <v>0</v>
      </c>
      <c r="H4606">
        <v>0</v>
      </c>
      <c r="I4606">
        <v>0.1741125760648204</v>
      </c>
      <c r="J4606">
        <v>0</v>
      </c>
      <c r="K4606">
        <v>0</v>
      </c>
      <c r="L4606" s="2">
        <v>0</v>
      </c>
      <c r="M4606">
        <v>47.59</v>
      </c>
      <c r="N4606" t="s">
        <v>10236</v>
      </c>
    </row>
    <row r="4607" spans="1:14">
      <c r="A4607" t="s">
        <v>35</v>
      </c>
      <c r="B4607" t="s">
        <v>4724</v>
      </c>
      <c r="C4607">
        <f>"NC4020"</f>
        <v>0</v>
      </c>
      <c r="D4607">
        <v>0</v>
      </c>
      <c r="E4607">
        <v>0</v>
      </c>
      <c r="F4607" s="2">
        <v>0</v>
      </c>
      <c r="H4607">
        <v>0</v>
      </c>
      <c r="I4607">
        <v>0.1741125760648204</v>
      </c>
      <c r="J4607">
        <v>0</v>
      </c>
      <c r="K4607">
        <v>0</v>
      </c>
      <c r="L4607" s="2">
        <v>0</v>
      </c>
      <c r="M4607">
        <v>47.59</v>
      </c>
      <c r="N4607" t="s">
        <v>10236</v>
      </c>
    </row>
    <row r="4608" spans="1:14">
      <c r="A4608" t="s">
        <v>195</v>
      </c>
      <c r="B4608" t="s">
        <v>4725</v>
      </c>
      <c r="C4608">
        <f>"25570056"</f>
        <v>0</v>
      </c>
      <c r="D4608">
        <v>0</v>
      </c>
      <c r="E4608">
        <v>0</v>
      </c>
      <c r="F4608" s="2">
        <v>0</v>
      </c>
      <c r="H4608">
        <v>0</v>
      </c>
      <c r="I4608">
        <v>0.1741125760648204</v>
      </c>
      <c r="J4608">
        <v>0</v>
      </c>
      <c r="K4608">
        <v>0</v>
      </c>
      <c r="L4608" s="2">
        <v>0</v>
      </c>
      <c r="M4608">
        <v>47.6</v>
      </c>
      <c r="N4608" t="s">
        <v>10236</v>
      </c>
    </row>
    <row r="4609" spans="1:14">
      <c r="A4609" t="s">
        <v>195</v>
      </c>
      <c r="B4609" t="s">
        <v>4726</v>
      </c>
      <c r="C4609">
        <f>"25570058"</f>
        <v>0</v>
      </c>
      <c r="D4609">
        <v>0</v>
      </c>
      <c r="E4609">
        <v>0</v>
      </c>
      <c r="F4609" s="2">
        <v>0</v>
      </c>
      <c r="H4609">
        <v>0</v>
      </c>
      <c r="I4609">
        <v>0.1741125760648204</v>
      </c>
      <c r="J4609">
        <v>0</v>
      </c>
      <c r="K4609">
        <v>0</v>
      </c>
      <c r="L4609" s="2">
        <v>0</v>
      </c>
      <c r="M4609">
        <v>47.61</v>
      </c>
      <c r="N4609" t="s">
        <v>10236</v>
      </c>
    </row>
    <row r="4610" spans="1:14">
      <c r="A4610" t="s">
        <v>195</v>
      </c>
      <c r="B4610" t="s">
        <v>4727</v>
      </c>
      <c r="C4610">
        <f>"2557059"</f>
        <v>0</v>
      </c>
      <c r="D4610">
        <v>0</v>
      </c>
      <c r="E4610">
        <v>0</v>
      </c>
      <c r="F4610" s="2">
        <v>0</v>
      </c>
      <c r="H4610">
        <v>0</v>
      </c>
      <c r="I4610">
        <v>0.1741125760648204</v>
      </c>
      <c r="J4610">
        <v>0</v>
      </c>
      <c r="K4610">
        <v>0</v>
      </c>
      <c r="L4610" s="2">
        <v>0</v>
      </c>
      <c r="M4610">
        <v>47.62</v>
      </c>
      <c r="N4610" t="s">
        <v>10236</v>
      </c>
    </row>
    <row r="4611" spans="1:14">
      <c r="A4611" t="s">
        <v>195</v>
      </c>
      <c r="B4611" t="s">
        <v>4728</v>
      </c>
      <c r="C4611">
        <f>"25570055"</f>
        <v>0</v>
      </c>
      <c r="D4611">
        <v>0</v>
      </c>
      <c r="E4611">
        <v>0</v>
      </c>
      <c r="F4611" s="2">
        <v>0</v>
      </c>
      <c r="H4611">
        <v>0</v>
      </c>
      <c r="I4611">
        <v>0.1741125760648204</v>
      </c>
      <c r="J4611">
        <v>0</v>
      </c>
      <c r="K4611">
        <v>0</v>
      </c>
      <c r="L4611" s="2">
        <v>0</v>
      </c>
      <c r="M4611">
        <v>47.63</v>
      </c>
      <c r="N4611" t="s">
        <v>10236</v>
      </c>
    </row>
    <row r="4612" spans="1:14">
      <c r="A4612" t="s">
        <v>195</v>
      </c>
      <c r="B4612" t="s">
        <v>4729</v>
      </c>
      <c r="C4612">
        <f>"25570054"</f>
        <v>0</v>
      </c>
      <c r="D4612">
        <v>0</v>
      </c>
      <c r="E4612">
        <v>0</v>
      </c>
      <c r="F4612" s="2">
        <v>0</v>
      </c>
      <c r="H4612">
        <v>0</v>
      </c>
      <c r="I4612">
        <v>0.1741125760648204</v>
      </c>
      <c r="J4612">
        <v>0</v>
      </c>
      <c r="K4612">
        <v>0</v>
      </c>
      <c r="L4612" s="2">
        <v>0</v>
      </c>
      <c r="M4612">
        <v>47.64</v>
      </c>
      <c r="N4612" t="s">
        <v>10236</v>
      </c>
    </row>
    <row r="4613" spans="1:14">
      <c r="A4613" t="s">
        <v>33</v>
      </c>
      <c r="B4613" t="s">
        <v>4730</v>
      </c>
      <c r="C4613">
        <f>"TOPK92028"</f>
        <v>0</v>
      </c>
      <c r="D4613">
        <v>0</v>
      </c>
      <c r="E4613">
        <v>0</v>
      </c>
      <c r="F4613" s="2">
        <v>0</v>
      </c>
      <c r="H4613">
        <v>0</v>
      </c>
      <c r="I4613">
        <v>0.1741125760648204</v>
      </c>
      <c r="J4613">
        <v>0</v>
      </c>
      <c r="K4613">
        <v>0</v>
      </c>
      <c r="L4613" s="2">
        <v>0</v>
      </c>
      <c r="M4613">
        <v>47.65</v>
      </c>
      <c r="N4613" t="s">
        <v>10236</v>
      </c>
    </row>
    <row r="4614" spans="1:14">
      <c r="A4614" t="s">
        <v>33</v>
      </c>
      <c r="B4614" t="s">
        <v>4731</v>
      </c>
      <c r="C4614">
        <f>"TOPK92030"</f>
        <v>0</v>
      </c>
      <c r="D4614">
        <v>0</v>
      </c>
      <c r="E4614">
        <v>0</v>
      </c>
      <c r="F4614" s="2">
        <v>0</v>
      </c>
      <c r="H4614">
        <v>0</v>
      </c>
      <c r="I4614">
        <v>0.1741125760648204</v>
      </c>
      <c r="J4614">
        <v>0</v>
      </c>
      <c r="K4614">
        <v>0</v>
      </c>
      <c r="L4614" s="2">
        <v>0</v>
      </c>
      <c r="M4614">
        <v>47.66</v>
      </c>
      <c r="N4614" t="s">
        <v>10236</v>
      </c>
    </row>
    <row r="4615" spans="1:14">
      <c r="A4615" t="s">
        <v>25</v>
      </c>
      <c r="B4615" t="s">
        <v>4732</v>
      </c>
      <c r="C4615">
        <f>"4201ROS"</f>
        <v>0</v>
      </c>
      <c r="D4615">
        <v>0</v>
      </c>
      <c r="E4615">
        <v>0</v>
      </c>
      <c r="F4615" s="2">
        <v>0</v>
      </c>
      <c r="H4615">
        <v>0</v>
      </c>
      <c r="I4615">
        <v>0.1741125760648204</v>
      </c>
      <c r="J4615">
        <v>0</v>
      </c>
      <c r="K4615">
        <v>0</v>
      </c>
      <c r="L4615" s="2">
        <v>0</v>
      </c>
      <c r="M4615">
        <v>47.67</v>
      </c>
      <c r="N4615" t="s">
        <v>10236</v>
      </c>
    </row>
    <row r="4616" spans="1:14">
      <c r="A4616" t="s">
        <v>35</v>
      </c>
      <c r="B4616" t="s">
        <v>4733</v>
      </c>
      <c r="C4616">
        <f>"PQ114"</f>
        <v>0</v>
      </c>
      <c r="D4616">
        <v>0</v>
      </c>
      <c r="E4616">
        <v>1</v>
      </c>
      <c r="F4616" s="2">
        <v>1</v>
      </c>
      <c r="H4616">
        <v>0</v>
      </c>
      <c r="I4616">
        <v>0.1741125760648204</v>
      </c>
      <c r="J4616">
        <v>0</v>
      </c>
      <c r="K4616">
        <v>0</v>
      </c>
      <c r="L4616" s="2">
        <v>0</v>
      </c>
      <c r="M4616">
        <v>47.68</v>
      </c>
      <c r="N4616" t="s">
        <v>10236</v>
      </c>
    </row>
    <row r="4617" spans="1:14">
      <c r="A4617" t="s">
        <v>29</v>
      </c>
      <c r="B4617" t="s">
        <v>4734</v>
      </c>
      <c r="C4617">
        <f>"4202"</f>
        <v>0</v>
      </c>
      <c r="D4617">
        <v>0</v>
      </c>
      <c r="E4617">
        <v>0</v>
      </c>
      <c r="F4617" s="2">
        <v>0</v>
      </c>
      <c r="H4617">
        <v>0</v>
      </c>
      <c r="I4617">
        <v>0.1741125760648204</v>
      </c>
      <c r="J4617">
        <v>0</v>
      </c>
      <c r="K4617">
        <v>0</v>
      </c>
      <c r="L4617" s="2">
        <v>0</v>
      </c>
      <c r="M4617">
        <v>47.69</v>
      </c>
      <c r="N4617" t="s">
        <v>10236</v>
      </c>
    </row>
    <row r="4618" spans="1:14">
      <c r="A4618" t="s">
        <v>25</v>
      </c>
      <c r="B4618" t="s">
        <v>4735</v>
      </c>
      <c r="C4618">
        <f>"8500371"</f>
        <v>0</v>
      </c>
      <c r="D4618">
        <v>0</v>
      </c>
      <c r="E4618">
        <v>0</v>
      </c>
      <c r="F4618" s="2">
        <v>0</v>
      </c>
      <c r="H4618">
        <v>0</v>
      </c>
      <c r="I4618">
        <v>0.1741125760648204</v>
      </c>
      <c r="J4618">
        <v>0</v>
      </c>
      <c r="K4618">
        <v>0</v>
      </c>
      <c r="L4618" s="2">
        <v>0</v>
      </c>
      <c r="M4618">
        <v>47.7</v>
      </c>
      <c r="N4618" t="s">
        <v>10236</v>
      </c>
    </row>
    <row r="4619" spans="1:14">
      <c r="A4619" t="s">
        <v>25</v>
      </c>
      <c r="B4619" t="s">
        <v>4736</v>
      </c>
      <c r="C4619">
        <f>"TMEDIT"</f>
        <v>0</v>
      </c>
      <c r="D4619">
        <v>0</v>
      </c>
      <c r="E4619">
        <v>0</v>
      </c>
      <c r="F4619" s="2">
        <v>0</v>
      </c>
      <c r="H4619">
        <v>0</v>
      </c>
      <c r="I4619">
        <v>0.1741125760648204</v>
      </c>
      <c r="J4619">
        <v>0</v>
      </c>
      <c r="K4619">
        <v>0</v>
      </c>
      <c r="L4619" s="2">
        <v>0</v>
      </c>
      <c r="M4619">
        <v>47.71</v>
      </c>
      <c r="N4619" t="s">
        <v>10236</v>
      </c>
    </row>
    <row r="4620" spans="1:14">
      <c r="A4620" t="s">
        <v>216</v>
      </c>
      <c r="B4620" t="s">
        <v>4737</v>
      </c>
      <c r="C4620">
        <f>"TORT"</f>
        <v>0</v>
      </c>
      <c r="D4620">
        <v>0</v>
      </c>
      <c r="E4620">
        <v>0</v>
      </c>
      <c r="F4620" s="2">
        <v>0</v>
      </c>
      <c r="H4620">
        <v>0</v>
      </c>
      <c r="I4620">
        <v>0.1741125760648204</v>
      </c>
      <c r="J4620">
        <v>0</v>
      </c>
      <c r="K4620">
        <v>0</v>
      </c>
      <c r="L4620" s="2">
        <v>0</v>
      </c>
      <c r="M4620">
        <v>47.71</v>
      </c>
      <c r="N4620" t="s">
        <v>10236</v>
      </c>
    </row>
    <row r="4621" spans="1:14">
      <c r="A4621" t="s">
        <v>35</v>
      </c>
      <c r="B4621" t="s">
        <v>4738</v>
      </c>
      <c r="C4621">
        <f>"PP160CC"</f>
        <v>0</v>
      </c>
      <c r="D4621">
        <v>0</v>
      </c>
      <c r="E4621">
        <v>0</v>
      </c>
      <c r="F4621" s="2">
        <v>0</v>
      </c>
      <c r="H4621">
        <v>0</v>
      </c>
      <c r="I4621">
        <v>0.1741125760648204</v>
      </c>
      <c r="J4621">
        <v>0</v>
      </c>
      <c r="K4621">
        <v>0</v>
      </c>
      <c r="L4621" s="2">
        <v>0</v>
      </c>
      <c r="M4621">
        <v>47.72</v>
      </c>
      <c r="N4621" t="s">
        <v>10236</v>
      </c>
    </row>
    <row r="4622" spans="1:14">
      <c r="A4622" t="s">
        <v>35</v>
      </c>
      <c r="B4622" t="s">
        <v>4739</v>
      </c>
      <c r="C4622">
        <f>"PP180CG"</f>
        <v>0</v>
      </c>
      <c r="D4622">
        <v>0</v>
      </c>
      <c r="E4622">
        <v>0</v>
      </c>
      <c r="F4622" s="2">
        <v>0</v>
      </c>
      <c r="H4622">
        <v>0</v>
      </c>
      <c r="I4622">
        <v>0.1741125760648204</v>
      </c>
      <c r="J4622">
        <v>0</v>
      </c>
      <c r="K4622">
        <v>0</v>
      </c>
      <c r="L4622" s="2">
        <v>0</v>
      </c>
      <c r="M4622">
        <v>47.73</v>
      </c>
      <c r="N4622" t="s">
        <v>10236</v>
      </c>
    </row>
    <row r="4623" spans="1:14">
      <c r="A4623" t="s">
        <v>35</v>
      </c>
      <c r="B4623" t="s">
        <v>4740</v>
      </c>
      <c r="C4623">
        <f>"PP129CC"</f>
        <v>0</v>
      </c>
      <c r="D4623">
        <v>0</v>
      </c>
      <c r="E4623">
        <v>0</v>
      </c>
      <c r="F4623" s="2">
        <v>0</v>
      </c>
      <c r="H4623">
        <v>0</v>
      </c>
      <c r="I4623">
        <v>0.1741125760648204</v>
      </c>
      <c r="J4623">
        <v>0</v>
      </c>
      <c r="K4623">
        <v>0</v>
      </c>
      <c r="L4623" s="2">
        <v>0</v>
      </c>
      <c r="M4623">
        <v>47.74</v>
      </c>
      <c r="N4623" t="s">
        <v>10236</v>
      </c>
    </row>
    <row r="4624" spans="1:14">
      <c r="A4624" t="s">
        <v>35</v>
      </c>
      <c r="B4624" t="s">
        <v>4741</v>
      </c>
      <c r="C4624">
        <f>"PP129CB"</f>
        <v>0</v>
      </c>
      <c r="D4624">
        <v>0</v>
      </c>
      <c r="E4624">
        <v>0</v>
      </c>
      <c r="F4624" s="2">
        <v>0</v>
      </c>
      <c r="H4624">
        <v>0</v>
      </c>
      <c r="I4624">
        <v>0.1741125760648204</v>
      </c>
      <c r="J4624">
        <v>0</v>
      </c>
      <c r="K4624">
        <v>0</v>
      </c>
      <c r="L4624" s="2">
        <v>0</v>
      </c>
      <c r="M4624">
        <v>47.75</v>
      </c>
      <c r="N4624" t="s">
        <v>10236</v>
      </c>
    </row>
    <row r="4625" spans="1:14">
      <c r="A4625" t="s">
        <v>33</v>
      </c>
      <c r="B4625" t="s">
        <v>4742</v>
      </c>
      <c r="C4625">
        <f>"TOPK92104"</f>
        <v>0</v>
      </c>
      <c r="D4625">
        <v>0</v>
      </c>
      <c r="E4625">
        <v>0</v>
      </c>
      <c r="F4625" s="2">
        <v>0</v>
      </c>
      <c r="H4625">
        <v>0</v>
      </c>
      <c r="I4625">
        <v>0.1741125760648204</v>
      </c>
      <c r="J4625">
        <v>0</v>
      </c>
      <c r="K4625">
        <v>0</v>
      </c>
      <c r="L4625" s="2">
        <v>0</v>
      </c>
      <c r="M4625">
        <v>47.76</v>
      </c>
      <c r="N4625" t="s">
        <v>10236</v>
      </c>
    </row>
    <row r="4626" spans="1:14">
      <c r="A4626" t="s">
        <v>33</v>
      </c>
      <c r="B4626" t="s">
        <v>4743</v>
      </c>
      <c r="C4626">
        <f>"TOPK92088"</f>
        <v>0</v>
      </c>
      <c r="D4626">
        <v>0</v>
      </c>
      <c r="E4626">
        <v>0</v>
      </c>
      <c r="F4626" s="2">
        <v>0</v>
      </c>
      <c r="H4626">
        <v>0</v>
      </c>
      <c r="I4626">
        <v>0.1741125760648204</v>
      </c>
      <c r="J4626">
        <v>0</v>
      </c>
      <c r="K4626">
        <v>0</v>
      </c>
      <c r="L4626" s="2">
        <v>0</v>
      </c>
      <c r="M4626">
        <v>47.77</v>
      </c>
      <c r="N4626" t="s">
        <v>10236</v>
      </c>
    </row>
    <row r="4627" spans="1:14">
      <c r="A4627" t="s">
        <v>33</v>
      </c>
      <c r="B4627" t="s">
        <v>4744</v>
      </c>
      <c r="C4627">
        <f>"TOPK92086"</f>
        <v>0</v>
      </c>
      <c r="D4627">
        <v>0</v>
      </c>
      <c r="E4627">
        <v>0</v>
      </c>
      <c r="F4627" s="2">
        <v>0</v>
      </c>
      <c r="H4627">
        <v>0</v>
      </c>
      <c r="I4627">
        <v>0.1741125760648204</v>
      </c>
      <c r="J4627">
        <v>0</v>
      </c>
      <c r="K4627">
        <v>0</v>
      </c>
      <c r="L4627" s="2">
        <v>0</v>
      </c>
      <c r="M4627">
        <v>47.78</v>
      </c>
      <c r="N4627" t="s">
        <v>10236</v>
      </c>
    </row>
    <row r="4628" spans="1:14">
      <c r="A4628" t="s">
        <v>33</v>
      </c>
      <c r="B4628" t="s">
        <v>4745</v>
      </c>
      <c r="C4628">
        <f>"TOPK92019"</f>
        <v>0</v>
      </c>
      <c r="D4628">
        <v>0</v>
      </c>
      <c r="E4628">
        <v>0</v>
      </c>
      <c r="F4628" s="2">
        <v>0</v>
      </c>
      <c r="H4628">
        <v>0</v>
      </c>
      <c r="I4628">
        <v>0.1741125760648204</v>
      </c>
      <c r="J4628">
        <v>0</v>
      </c>
      <c r="K4628">
        <v>0</v>
      </c>
      <c r="L4628" s="2">
        <v>0</v>
      </c>
      <c r="M4628">
        <v>47.79</v>
      </c>
      <c r="N4628" t="s">
        <v>10236</v>
      </c>
    </row>
    <row r="4629" spans="1:14">
      <c r="A4629" t="s">
        <v>33</v>
      </c>
      <c r="B4629" t="s">
        <v>4746</v>
      </c>
      <c r="C4629">
        <f>"TOPK92100"</f>
        <v>0</v>
      </c>
      <c r="D4629">
        <v>0</v>
      </c>
      <c r="E4629">
        <v>0</v>
      </c>
      <c r="F4629" s="2">
        <v>0</v>
      </c>
      <c r="H4629">
        <v>0</v>
      </c>
      <c r="I4629">
        <v>0.1741125760648204</v>
      </c>
      <c r="J4629">
        <v>0</v>
      </c>
      <c r="K4629">
        <v>0</v>
      </c>
      <c r="L4629" s="2">
        <v>0</v>
      </c>
      <c r="M4629">
        <v>47.8</v>
      </c>
      <c r="N4629" t="s">
        <v>10236</v>
      </c>
    </row>
    <row r="4630" spans="1:14">
      <c r="A4630" t="s">
        <v>33</v>
      </c>
      <c r="B4630" t="s">
        <v>4747</v>
      </c>
      <c r="C4630">
        <f>"TOPK92009"</f>
        <v>0</v>
      </c>
      <c r="D4630">
        <v>0</v>
      </c>
      <c r="E4630">
        <v>0</v>
      </c>
      <c r="F4630" s="2">
        <v>0</v>
      </c>
      <c r="H4630">
        <v>0</v>
      </c>
      <c r="I4630">
        <v>0.1741125760648204</v>
      </c>
      <c r="J4630">
        <v>0</v>
      </c>
      <c r="K4630">
        <v>0</v>
      </c>
      <c r="L4630" s="2">
        <v>0</v>
      </c>
      <c r="M4630">
        <v>47.81</v>
      </c>
      <c r="N4630" t="s">
        <v>10236</v>
      </c>
    </row>
    <row r="4631" spans="1:14">
      <c r="A4631" t="s">
        <v>29</v>
      </c>
      <c r="B4631" t="s">
        <v>4748</v>
      </c>
      <c r="C4631">
        <f>"4201"</f>
        <v>0</v>
      </c>
      <c r="D4631">
        <v>0</v>
      </c>
      <c r="E4631">
        <v>0</v>
      </c>
      <c r="F4631" s="2">
        <v>0</v>
      </c>
      <c r="H4631">
        <v>0</v>
      </c>
      <c r="I4631">
        <v>0.1741125760648204</v>
      </c>
      <c r="J4631">
        <v>0</v>
      </c>
      <c r="K4631">
        <v>0</v>
      </c>
      <c r="L4631" s="2">
        <v>0</v>
      </c>
      <c r="M4631">
        <v>47.82</v>
      </c>
      <c r="N4631" t="s">
        <v>10236</v>
      </c>
    </row>
    <row r="4632" spans="1:14">
      <c r="A4632" t="s">
        <v>35</v>
      </c>
      <c r="B4632" t="s">
        <v>4749</v>
      </c>
      <c r="C4632">
        <f>"WIN87"</f>
        <v>0</v>
      </c>
      <c r="D4632">
        <v>0</v>
      </c>
      <c r="E4632">
        <v>0</v>
      </c>
      <c r="F4632" s="2">
        <v>0</v>
      </c>
      <c r="H4632">
        <v>0</v>
      </c>
      <c r="I4632">
        <v>0.1741125760648204</v>
      </c>
      <c r="J4632">
        <v>0</v>
      </c>
      <c r="K4632">
        <v>0</v>
      </c>
      <c r="L4632" s="2">
        <v>0</v>
      </c>
      <c r="M4632">
        <v>47.83</v>
      </c>
      <c r="N4632" t="s">
        <v>10236</v>
      </c>
    </row>
    <row r="4633" spans="1:14">
      <c r="A4633" t="s">
        <v>35</v>
      </c>
      <c r="B4633" t="s">
        <v>4750</v>
      </c>
      <c r="C4633">
        <f>"WIN86"</f>
        <v>0</v>
      </c>
      <c r="D4633">
        <v>0</v>
      </c>
      <c r="E4633">
        <v>0</v>
      </c>
      <c r="F4633" s="2">
        <v>0</v>
      </c>
      <c r="H4633">
        <v>0</v>
      </c>
      <c r="I4633">
        <v>0.1741125760648204</v>
      </c>
      <c r="J4633">
        <v>0</v>
      </c>
      <c r="K4633">
        <v>0</v>
      </c>
      <c r="L4633" s="2">
        <v>0</v>
      </c>
      <c r="M4633">
        <v>47.83</v>
      </c>
      <c r="N4633" t="s">
        <v>10236</v>
      </c>
    </row>
    <row r="4634" spans="1:14">
      <c r="A4634" t="s">
        <v>35</v>
      </c>
      <c r="B4634" t="s">
        <v>4751</v>
      </c>
      <c r="C4634">
        <f>"WIN85"</f>
        <v>0</v>
      </c>
      <c r="D4634">
        <v>0</v>
      </c>
      <c r="E4634">
        <v>0</v>
      </c>
      <c r="F4634" s="2">
        <v>0</v>
      </c>
      <c r="H4634">
        <v>0</v>
      </c>
      <c r="I4634">
        <v>0.1741125760648204</v>
      </c>
      <c r="J4634">
        <v>0</v>
      </c>
      <c r="K4634">
        <v>0</v>
      </c>
      <c r="L4634" s="2">
        <v>0</v>
      </c>
      <c r="M4634">
        <v>47.84</v>
      </c>
      <c r="N4634" t="s">
        <v>10236</v>
      </c>
    </row>
    <row r="4635" spans="1:14">
      <c r="A4635" t="s">
        <v>35</v>
      </c>
      <c r="B4635" t="s">
        <v>4752</v>
      </c>
      <c r="C4635">
        <f>"WIN86RR"</f>
        <v>0</v>
      </c>
      <c r="D4635">
        <v>0</v>
      </c>
      <c r="E4635">
        <v>3</v>
      </c>
      <c r="F4635" s="2">
        <v>1</v>
      </c>
      <c r="H4635">
        <v>0</v>
      </c>
      <c r="I4635">
        <v>0.1741125760648204</v>
      </c>
      <c r="J4635">
        <v>0</v>
      </c>
      <c r="K4635">
        <v>0</v>
      </c>
      <c r="L4635" s="2">
        <v>0</v>
      </c>
      <c r="M4635">
        <v>47.85</v>
      </c>
      <c r="N4635" t="s">
        <v>10236</v>
      </c>
    </row>
    <row r="4636" spans="1:14">
      <c r="A4636" t="s">
        <v>35</v>
      </c>
      <c r="B4636" t="s">
        <v>4753</v>
      </c>
      <c r="C4636">
        <f>"WIN86CS"</f>
        <v>0</v>
      </c>
      <c r="D4636">
        <v>0</v>
      </c>
      <c r="E4636">
        <v>2</v>
      </c>
      <c r="F4636" s="2">
        <v>1</v>
      </c>
      <c r="H4636">
        <v>0</v>
      </c>
      <c r="I4636">
        <v>0.1741125760648204</v>
      </c>
      <c r="J4636">
        <v>0</v>
      </c>
      <c r="K4636">
        <v>0</v>
      </c>
      <c r="L4636" s="2">
        <v>0</v>
      </c>
      <c r="M4636">
        <v>47.86</v>
      </c>
      <c r="N4636" t="s">
        <v>10236</v>
      </c>
    </row>
    <row r="4637" spans="1:14">
      <c r="A4637" t="s">
        <v>35</v>
      </c>
      <c r="B4637" t="s">
        <v>4754</v>
      </c>
      <c r="C4637">
        <f>"WIN86AP"</f>
        <v>0</v>
      </c>
      <c r="D4637">
        <v>0</v>
      </c>
      <c r="E4637">
        <v>2</v>
      </c>
      <c r="F4637" s="2">
        <v>1</v>
      </c>
      <c r="H4637">
        <v>0</v>
      </c>
      <c r="I4637">
        <v>0.1741125760648204</v>
      </c>
      <c r="J4637">
        <v>0</v>
      </c>
      <c r="K4637">
        <v>0</v>
      </c>
      <c r="L4637" s="2">
        <v>0</v>
      </c>
      <c r="M4637">
        <v>47.87</v>
      </c>
      <c r="N4637" t="s">
        <v>10236</v>
      </c>
    </row>
    <row r="4638" spans="1:14">
      <c r="A4638" t="s">
        <v>35</v>
      </c>
      <c r="B4638" t="s">
        <v>4755</v>
      </c>
      <c r="C4638">
        <f>"WIN87CS"</f>
        <v>0</v>
      </c>
      <c r="D4638">
        <v>0</v>
      </c>
      <c r="E4638">
        <v>0</v>
      </c>
      <c r="F4638" s="2">
        <v>0</v>
      </c>
      <c r="H4638">
        <v>0</v>
      </c>
      <c r="I4638">
        <v>0.1741125760648204</v>
      </c>
      <c r="J4638">
        <v>0</v>
      </c>
      <c r="K4638">
        <v>0</v>
      </c>
      <c r="L4638" s="2">
        <v>0</v>
      </c>
      <c r="M4638">
        <v>47.88</v>
      </c>
      <c r="N4638" t="s">
        <v>10236</v>
      </c>
    </row>
    <row r="4639" spans="1:14">
      <c r="A4639" t="s">
        <v>35</v>
      </c>
      <c r="B4639" t="s">
        <v>4756</v>
      </c>
      <c r="C4639">
        <f>"WIN87RR"</f>
        <v>0</v>
      </c>
      <c r="D4639">
        <v>0</v>
      </c>
      <c r="E4639">
        <v>3</v>
      </c>
      <c r="F4639" s="2">
        <v>2</v>
      </c>
      <c r="H4639">
        <v>0</v>
      </c>
      <c r="I4639">
        <v>0.1741125760648204</v>
      </c>
      <c r="J4639">
        <v>0</v>
      </c>
      <c r="K4639">
        <v>0</v>
      </c>
      <c r="L4639" s="2">
        <v>0</v>
      </c>
      <c r="M4639">
        <v>47.89</v>
      </c>
      <c r="N4639" t="s">
        <v>10236</v>
      </c>
    </row>
    <row r="4640" spans="1:14">
      <c r="A4640" t="s">
        <v>35</v>
      </c>
      <c r="B4640" t="s">
        <v>4757</v>
      </c>
      <c r="C4640">
        <f>"WIN87AP"</f>
        <v>0</v>
      </c>
      <c r="D4640">
        <v>0</v>
      </c>
      <c r="E4640">
        <v>2</v>
      </c>
      <c r="F4640" s="2">
        <v>2</v>
      </c>
      <c r="H4640">
        <v>0</v>
      </c>
      <c r="I4640">
        <v>0.1741125760648204</v>
      </c>
      <c r="J4640">
        <v>0</v>
      </c>
      <c r="K4640">
        <v>0</v>
      </c>
      <c r="L4640" s="2">
        <v>0</v>
      </c>
      <c r="M4640">
        <v>47.9</v>
      </c>
      <c r="N4640" t="s">
        <v>10236</v>
      </c>
    </row>
    <row r="4641" spans="1:14">
      <c r="A4641" t="s">
        <v>35</v>
      </c>
      <c r="B4641" t="s">
        <v>4758</v>
      </c>
      <c r="C4641">
        <f>"WIN85ROS"</f>
        <v>0</v>
      </c>
      <c r="D4641">
        <v>0</v>
      </c>
      <c r="E4641">
        <v>0</v>
      </c>
      <c r="F4641" s="2">
        <v>0</v>
      </c>
      <c r="H4641">
        <v>0</v>
      </c>
      <c r="I4641">
        <v>0.1741125760648204</v>
      </c>
      <c r="J4641">
        <v>0</v>
      </c>
      <c r="K4641">
        <v>0</v>
      </c>
      <c r="L4641" s="2">
        <v>0</v>
      </c>
      <c r="M4641">
        <v>47.91</v>
      </c>
      <c r="N4641" t="s">
        <v>10236</v>
      </c>
    </row>
    <row r="4642" spans="1:14">
      <c r="A4642" t="s">
        <v>35</v>
      </c>
      <c r="B4642" t="s">
        <v>4759</v>
      </c>
      <c r="C4642">
        <f>"WIN50"</f>
        <v>0</v>
      </c>
      <c r="D4642">
        <v>0</v>
      </c>
      <c r="E4642">
        <v>0</v>
      </c>
      <c r="F4642" s="2">
        <v>0</v>
      </c>
      <c r="H4642">
        <v>0</v>
      </c>
      <c r="I4642">
        <v>0.1741125760648204</v>
      </c>
      <c r="J4642">
        <v>0</v>
      </c>
      <c r="K4642">
        <v>0</v>
      </c>
      <c r="L4642" s="2">
        <v>0</v>
      </c>
      <c r="M4642">
        <v>47.92</v>
      </c>
      <c r="N4642" t="s">
        <v>10236</v>
      </c>
    </row>
    <row r="4643" spans="1:14">
      <c r="A4643" t="s">
        <v>35</v>
      </c>
      <c r="B4643" t="s">
        <v>4760</v>
      </c>
      <c r="C4643">
        <f>"WIN49"</f>
        <v>0</v>
      </c>
      <c r="D4643">
        <v>0</v>
      </c>
      <c r="E4643">
        <v>1</v>
      </c>
      <c r="F4643" s="2">
        <v>855</v>
      </c>
      <c r="H4643">
        <v>0</v>
      </c>
      <c r="I4643">
        <v>0.1741125760648204</v>
      </c>
      <c r="J4643">
        <v>0</v>
      </c>
      <c r="K4643">
        <v>0</v>
      </c>
      <c r="L4643" s="2">
        <v>0</v>
      </c>
      <c r="M4643">
        <v>47.93</v>
      </c>
      <c r="N4643" t="s">
        <v>10236</v>
      </c>
    </row>
    <row r="4644" spans="1:14">
      <c r="A4644" t="s">
        <v>195</v>
      </c>
      <c r="B4644" t="s">
        <v>4761</v>
      </c>
      <c r="C4644">
        <f>"25570057"</f>
        <v>0</v>
      </c>
      <c r="D4644">
        <v>0</v>
      </c>
      <c r="E4644">
        <v>0</v>
      </c>
      <c r="F4644" s="2">
        <v>0</v>
      </c>
      <c r="H4644">
        <v>0</v>
      </c>
      <c r="I4644">
        <v>0.1741125760648204</v>
      </c>
      <c r="J4644">
        <v>0</v>
      </c>
      <c r="K4644">
        <v>0</v>
      </c>
      <c r="L4644" s="2">
        <v>0</v>
      </c>
      <c r="M4644">
        <v>47.94</v>
      </c>
      <c r="N4644" t="s">
        <v>10236</v>
      </c>
    </row>
    <row r="4645" spans="1:14">
      <c r="A4645" t="s">
        <v>35</v>
      </c>
      <c r="B4645" t="s">
        <v>4762</v>
      </c>
      <c r="C4645">
        <f>"WIN100"</f>
        <v>0</v>
      </c>
      <c r="D4645">
        <v>0</v>
      </c>
      <c r="E4645">
        <v>13</v>
      </c>
      <c r="F4645" s="2">
        <v>1</v>
      </c>
      <c r="H4645">
        <v>0</v>
      </c>
      <c r="I4645">
        <v>0.1741125760648204</v>
      </c>
      <c r="J4645">
        <v>0</v>
      </c>
      <c r="K4645">
        <v>0</v>
      </c>
      <c r="L4645" s="2">
        <v>0</v>
      </c>
      <c r="M4645">
        <v>47.95</v>
      </c>
      <c r="N4645" t="s">
        <v>10236</v>
      </c>
    </row>
    <row r="4646" spans="1:14">
      <c r="A4646" t="s">
        <v>35</v>
      </c>
      <c r="B4646" t="s">
        <v>4763</v>
      </c>
      <c r="C4646">
        <f>"WD367523"</f>
        <v>0</v>
      </c>
      <c r="D4646">
        <v>0</v>
      </c>
      <c r="E4646">
        <v>8</v>
      </c>
      <c r="F4646" s="2">
        <v>2</v>
      </c>
      <c r="H4646">
        <v>0</v>
      </c>
      <c r="I4646">
        <v>0.1741125760648204</v>
      </c>
      <c r="J4646">
        <v>0</v>
      </c>
      <c r="K4646">
        <v>0</v>
      </c>
      <c r="L4646" s="2">
        <v>0</v>
      </c>
      <c r="M4646">
        <v>47.95</v>
      </c>
      <c r="N4646" t="s">
        <v>10236</v>
      </c>
    </row>
    <row r="4647" spans="1:14">
      <c r="A4647" t="s">
        <v>35</v>
      </c>
      <c r="B4647" t="s">
        <v>4764</v>
      </c>
      <c r="C4647">
        <f>"JW0130R"</f>
        <v>0</v>
      </c>
      <c r="D4647">
        <v>0</v>
      </c>
      <c r="E4647">
        <v>1</v>
      </c>
      <c r="F4647" s="2">
        <v>4</v>
      </c>
      <c r="H4647">
        <v>0</v>
      </c>
      <c r="I4647">
        <v>0.1741125760648204</v>
      </c>
      <c r="J4647">
        <v>0</v>
      </c>
      <c r="K4647">
        <v>0</v>
      </c>
      <c r="L4647" s="2">
        <v>0</v>
      </c>
      <c r="M4647">
        <v>47.96</v>
      </c>
      <c r="N4647" t="s">
        <v>10236</v>
      </c>
    </row>
    <row r="4648" spans="1:14">
      <c r="A4648" t="s">
        <v>35</v>
      </c>
      <c r="B4648" t="s">
        <v>4765</v>
      </c>
      <c r="C4648">
        <f>"JW0130N"</f>
        <v>0</v>
      </c>
      <c r="D4648">
        <v>0</v>
      </c>
      <c r="E4648">
        <v>4</v>
      </c>
      <c r="F4648" s="2">
        <v>4</v>
      </c>
      <c r="H4648">
        <v>0</v>
      </c>
      <c r="I4648">
        <v>0.1741125760648204</v>
      </c>
      <c r="J4648">
        <v>0</v>
      </c>
      <c r="K4648">
        <v>0</v>
      </c>
      <c r="L4648" s="2">
        <v>0</v>
      </c>
      <c r="M4648">
        <v>47.97</v>
      </c>
      <c r="N4648" t="s">
        <v>10236</v>
      </c>
    </row>
    <row r="4649" spans="1:14">
      <c r="A4649" t="s">
        <v>35</v>
      </c>
      <c r="B4649" t="s">
        <v>4766</v>
      </c>
      <c r="C4649">
        <f>"JW0130A"</f>
        <v>0</v>
      </c>
      <c r="D4649">
        <v>0</v>
      </c>
      <c r="E4649">
        <v>6</v>
      </c>
      <c r="F4649" s="2">
        <v>4</v>
      </c>
      <c r="H4649">
        <v>0</v>
      </c>
      <c r="I4649">
        <v>0.1741125760648204</v>
      </c>
      <c r="J4649">
        <v>0</v>
      </c>
      <c r="K4649">
        <v>0</v>
      </c>
      <c r="L4649" s="2">
        <v>0</v>
      </c>
      <c r="M4649">
        <v>47.98</v>
      </c>
      <c r="N4649" t="s">
        <v>10236</v>
      </c>
    </row>
    <row r="4650" spans="1:14">
      <c r="A4650" t="s">
        <v>35</v>
      </c>
      <c r="B4650" t="s">
        <v>4767</v>
      </c>
      <c r="C4650">
        <f>"JW0129V"</f>
        <v>0</v>
      </c>
      <c r="D4650">
        <v>0</v>
      </c>
      <c r="E4650">
        <v>3</v>
      </c>
      <c r="F4650" s="2">
        <v>3</v>
      </c>
      <c r="H4650">
        <v>0</v>
      </c>
      <c r="I4650">
        <v>0.1741125760648204</v>
      </c>
      <c r="J4650">
        <v>0</v>
      </c>
      <c r="K4650">
        <v>0</v>
      </c>
      <c r="L4650" s="2">
        <v>0</v>
      </c>
      <c r="M4650">
        <v>47.99</v>
      </c>
      <c r="N4650" t="s">
        <v>10236</v>
      </c>
    </row>
    <row r="4651" spans="1:14">
      <c r="A4651" t="s">
        <v>35</v>
      </c>
      <c r="B4651" t="s">
        <v>4768</v>
      </c>
      <c r="C4651">
        <f>"JW0129R"</f>
        <v>0</v>
      </c>
      <c r="D4651">
        <v>0</v>
      </c>
      <c r="E4651">
        <v>0</v>
      </c>
      <c r="F4651" s="2">
        <v>0</v>
      </c>
      <c r="H4651">
        <v>0</v>
      </c>
      <c r="I4651">
        <v>0.1741125760648204</v>
      </c>
      <c r="J4651">
        <v>0</v>
      </c>
      <c r="K4651">
        <v>0</v>
      </c>
      <c r="L4651" s="2">
        <v>0</v>
      </c>
      <c r="M4651">
        <v>48</v>
      </c>
      <c r="N4651" t="s">
        <v>10236</v>
      </c>
    </row>
    <row r="4652" spans="1:14">
      <c r="A4652" t="s">
        <v>35</v>
      </c>
      <c r="B4652" t="s">
        <v>4769</v>
      </c>
      <c r="C4652">
        <f>"JW0129N"</f>
        <v>0</v>
      </c>
      <c r="D4652">
        <v>0</v>
      </c>
      <c r="E4652">
        <v>3</v>
      </c>
      <c r="F4652" s="2">
        <v>3</v>
      </c>
      <c r="H4652">
        <v>0</v>
      </c>
      <c r="I4652">
        <v>0.1741125760648204</v>
      </c>
      <c r="J4652">
        <v>0</v>
      </c>
      <c r="K4652">
        <v>0</v>
      </c>
      <c r="L4652" s="2">
        <v>0</v>
      </c>
      <c r="M4652">
        <v>48.01</v>
      </c>
      <c r="N4652" t="s">
        <v>10236</v>
      </c>
    </row>
    <row r="4653" spans="1:14">
      <c r="A4653" t="s">
        <v>35</v>
      </c>
      <c r="B4653" t="s">
        <v>4770</v>
      </c>
      <c r="C4653">
        <f>"JW0129A"</f>
        <v>0</v>
      </c>
      <c r="D4653">
        <v>0</v>
      </c>
      <c r="E4653">
        <v>1</v>
      </c>
      <c r="F4653" s="2">
        <v>3</v>
      </c>
      <c r="H4653">
        <v>0</v>
      </c>
      <c r="I4653">
        <v>0.1741125760648204</v>
      </c>
      <c r="J4653">
        <v>0</v>
      </c>
      <c r="K4653">
        <v>0</v>
      </c>
      <c r="L4653" s="2">
        <v>0</v>
      </c>
      <c r="M4653">
        <v>48.02</v>
      </c>
      <c r="N4653" t="s">
        <v>10236</v>
      </c>
    </row>
    <row r="4654" spans="1:14">
      <c r="A4654" t="s">
        <v>35</v>
      </c>
      <c r="B4654" t="s">
        <v>4771</v>
      </c>
      <c r="C4654">
        <f>"JW0128V"</f>
        <v>0</v>
      </c>
      <c r="D4654">
        <v>0</v>
      </c>
      <c r="E4654">
        <v>1</v>
      </c>
      <c r="F4654" s="2">
        <v>3</v>
      </c>
      <c r="H4654">
        <v>0</v>
      </c>
      <c r="I4654">
        <v>0.1741125760648204</v>
      </c>
      <c r="J4654">
        <v>0</v>
      </c>
      <c r="K4654">
        <v>0</v>
      </c>
      <c r="L4654" s="2">
        <v>0</v>
      </c>
      <c r="M4654">
        <v>48.03</v>
      </c>
      <c r="N4654" t="s">
        <v>10236</v>
      </c>
    </row>
    <row r="4655" spans="1:14">
      <c r="A4655" t="s">
        <v>35</v>
      </c>
      <c r="B4655" t="s">
        <v>4772</v>
      </c>
      <c r="C4655">
        <f>"JW0128R"</f>
        <v>0</v>
      </c>
      <c r="D4655">
        <v>0</v>
      </c>
      <c r="E4655">
        <v>0</v>
      </c>
      <c r="F4655" s="2">
        <v>0</v>
      </c>
      <c r="H4655">
        <v>0</v>
      </c>
      <c r="I4655">
        <v>0.1741125760648204</v>
      </c>
      <c r="J4655">
        <v>0</v>
      </c>
      <c r="K4655">
        <v>0</v>
      </c>
      <c r="L4655" s="2">
        <v>0</v>
      </c>
      <c r="M4655">
        <v>48.04</v>
      </c>
      <c r="N4655" t="s">
        <v>10236</v>
      </c>
    </row>
    <row r="4656" spans="1:14">
      <c r="A4656" t="s">
        <v>35</v>
      </c>
      <c r="B4656" t="s">
        <v>4773</v>
      </c>
      <c r="C4656">
        <f>"JW0128N"</f>
        <v>0</v>
      </c>
      <c r="D4656">
        <v>0</v>
      </c>
      <c r="E4656">
        <v>0</v>
      </c>
      <c r="F4656" s="2">
        <v>0</v>
      </c>
      <c r="H4656">
        <v>0</v>
      </c>
      <c r="I4656">
        <v>0.1741125760648204</v>
      </c>
      <c r="J4656">
        <v>0</v>
      </c>
      <c r="K4656">
        <v>0</v>
      </c>
      <c r="L4656" s="2">
        <v>0</v>
      </c>
      <c r="M4656">
        <v>48.05</v>
      </c>
      <c r="N4656" t="s">
        <v>10236</v>
      </c>
    </row>
    <row r="4657" spans="1:14">
      <c r="A4657" t="s">
        <v>35</v>
      </c>
      <c r="B4657" t="s">
        <v>4774</v>
      </c>
      <c r="C4657">
        <f>"JW0128A"</f>
        <v>0</v>
      </c>
      <c r="D4657">
        <v>0</v>
      </c>
      <c r="E4657">
        <v>1</v>
      </c>
      <c r="F4657" s="2">
        <v>3</v>
      </c>
      <c r="H4657">
        <v>0</v>
      </c>
      <c r="I4657">
        <v>0.1741125760648204</v>
      </c>
      <c r="J4657">
        <v>0</v>
      </c>
      <c r="K4657">
        <v>0</v>
      </c>
      <c r="L4657" s="2">
        <v>0</v>
      </c>
      <c r="M4657">
        <v>48.06</v>
      </c>
      <c r="N4657" t="s">
        <v>10236</v>
      </c>
    </row>
    <row r="4658" spans="1:14">
      <c r="A4658" t="s">
        <v>35</v>
      </c>
      <c r="B4658" t="s">
        <v>4775</v>
      </c>
      <c r="C4658">
        <f>"JW0127V"</f>
        <v>0</v>
      </c>
      <c r="D4658">
        <v>0</v>
      </c>
      <c r="E4658">
        <v>2</v>
      </c>
      <c r="F4658" s="2">
        <v>2</v>
      </c>
      <c r="H4658">
        <v>0</v>
      </c>
      <c r="I4658">
        <v>0.1741125760648204</v>
      </c>
      <c r="J4658">
        <v>0</v>
      </c>
      <c r="K4658">
        <v>0</v>
      </c>
      <c r="L4658" s="2">
        <v>0</v>
      </c>
      <c r="M4658">
        <v>48.07</v>
      </c>
      <c r="N4658" t="s">
        <v>10236</v>
      </c>
    </row>
    <row r="4659" spans="1:14">
      <c r="A4659" t="s">
        <v>35</v>
      </c>
      <c r="B4659" t="s">
        <v>4776</v>
      </c>
      <c r="C4659">
        <f>"JW0127R"</f>
        <v>0</v>
      </c>
      <c r="D4659">
        <v>0</v>
      </c>
      <c r="E4659">
        <v>0</v>
      </c>
      <c r="F4659" s="2">
        <v>0</v>
      </c>
      <c r="H4659">
        <v>0</v>
      </c>
      <c r="I4659">
        <v>0.1741125760648204</v>
      </c>
      <c r="J4659">
        <v>0</v>
      </c>
      <c r="K4659">
        <v>0</v>
      </c>
      <c r="L4659" s="2">
        <v>0</v>
      </c>
      <c r="M4659">
        <v>48.07</v>
      </c>
      <c r="N4659" t="s">
        <v>10236</v>
      </c>
    </row>
    <row r="4660" spans="1:14">
      <c r="A4660" t="s">
        <v>35</v>
      </c>
      <c r="B4660" t="s">
        <v>4777</v>
      </c>
      <c r="C4660">
        <f>"jw0127A"</f>
        <v>0</v>
      </c>
      <c r="D4660">
        <v>0</v>
      </c>
      <c r="E4660">
        <v>2</v>
      </c>
      <c r="F4660" s="2">
        <v>2</v>
      </c>
      <c r="H4660">
        <v>0</v>
      </c>
      <c r="I4660">
        <v>0.1741125760648204</v>
      </c>
      <c r="J4660">
        <v>0</v>
      </c>
      <c r="K4660">
        <v>0</v>
      </c>
      <c r="L4660" s="2">
        <v>0</v>
      </c>
      <c r="M4660">
        <v>48.08</v>
      </c>
      <c r="N4660" t="s">
        <v>10236</v>
      </c>
    </row>
    <row r="4661" spans="1:14">
      <c r="A4661" t="s">
        <v>35</v>
      </c>
      <c r="B4661" t="s">
        <v>4778</v>
      </c>
      <c r="C4661">
        <f>"WD385524"</f>
        <v>0</v>
      </c>
      <c r="D4661">
        <v>0</v>
      </c>
      <c r="E4661">
        <v>20</v>
      </c>
      <c r="F4661" s="2">
        <v>3</v>
      </c>
      <c r="H4661">
        <v>0</v>
      </c>
      <c r="I4661">
        <v>0.1741125760648204</v>
      </c>
      <c r="J4661">
        <v>0</v>
      </c>
      <c r="K4661">
        <v>0</v>
      </c>
      <c r="L4661" s="2">
        <v>0</v>
      </c>
      <c r="M4661">
        <v>48.09</v>
      </c>
      <c r="N4661" t="s">
        <v>10236</v>
      </c>
    </row>
    <row r="4662" spans="1:14">
      <c r="A4662" t="s">
        <v>35</v>
      </c>
      <c r="B4662" t="s">
        <v>4779</v>
      </c>
      <c r="C4662">
        <f>"JW0130V"</f>
        <v>0</v>
      </c>
      <c r="D4662">
        <v>0</v>
      </c>
      <c r="E4662">
        <v>4</v>
      </c>
      <c r="F4662" s="2">
        <v>4</v>
      </c>
      <c r="H4662">
        <v>0</v>
      </c>
      <c r="I4662">
        <v>0.1741125760648204</v>
      </c>
      <c r="J4662">
        <v>0</v>
      </c>
      <c r="K4662">
        <v>0</v>
      </c>
      <c r="L4662" s="2">
        <v>0</v>
      </c>
      <c r="M4662">
        <v>48.1</v>
      </c>
      <c r="N4662" t="s">
        <v>10236</v>
      </c>
    </row>
    <row r="4663" spans="1:14">
      <c r="A4663" t="s">
        <v>33</v>
      </c>
      <c r="B4663" t="s">
        <v>4780</v>
      </c>
      <c r="C4663">
        <f>"TOPK92220"</f>
        <v>0</v>
      </c>
      <c r="D4663">
        <v>0</v>
      </c>
      <c r="E4663">
        <v>0</v>
      </c>
      <c r="F4663" s="2">
        <v>0</v>
      </c>
      <c r="H4663">
        <v>0</v>
      </c>
      <c r="I4663">
        <v>0.1741125760648204</v>
      </c>
      <c r="J4663">
        <v>0</v>
      </c>
      <c r="K4663">
        <v>0</v>
      </c>
      <c r="L4663" s="2">
        <v>0</v>
      </c>
      <c r="M4663">
        <v>48.11</v>
      </c>
      <c r="N4663" t="s">
        <v>10236</v>
      </c>
    </row>
    <row r="4664" spans="1:14">
      <c r="A4664" t="s">
        <v>218</v>
      </c>
      <c r="B4664" t="s">
        <v>4781</v>
      </c>
      <c r="C4664">
        <f>"1005092"</f>
        <v>0</v>
      </c>
      <c r="D4664">
        <v>0</v>
      </c>
      <c r="E4664">
        <v>0</v>
      </c>
      <c r="F4664" s="2">
        <v>0</v>
      </c>
      <c r="H4664">
        <v>0</v>
      </c>
      <c r="I4664">
        <v>0.1741125760648204</v>
      </c>
      <c r="J4664">
        <v>0</v>
      </c>
      <c r="K4664">
        <v>0</v>
      </c>
      <c r="L4664" s="2">
        <v>0</v>
      </c>
      <c r="M4664">
        <v>48.12</v>
      </c>
      <c r="N4664" t="s">
        <v>10236</v>
      </c>
    </row>
    <row r="4665" spans="1:14">
      <c r="A4665" t="s">
        <v>192</v>
      </c>
      <c r="B4665" t="s">
        <v>4782</v>
      </c>
      <c r="C4665">
        <f>"TAI"</f>
        <v>0</v>
      </c>
      <c r="D4665">
        <v>0</v>
      </c>
      <c r="E4665">
        <v>0</v>
      </c>
      <c r="F4665" s="2">
        <v>0</v>
      </c>
      <c r="H4665">
        <v>0</v>
      </c>
      <c r="I4665">
        <v>0.1741125760648204</v>
      </c>
      <c r="J4665">
        <v>0</v>
      </c>
      <c r="K4665">
        <v>0</v>
      </c>
      <c r="L4665" s="2">
        <v>0</v>
      </c>
      <c r="M4665">
        <v>48.13</v>
      </c>
      <c r="N4665" t="s">
        <v>10236</v>
      </c>
    </row>
    <row r="4666" spans="1:14">
      <c r="A4666" t="s">
        <v>33</v>
      </c>
      <c r="B4666" t="s">
        <v>4783</v>
      </c>
      <c r="C4666">
        <f>"TOPK92239"</f>
        <v>0</v>
      </c>
      <c r="D4666">
        <v>0</v>
      </c>
      <c r="E4666">
        <v>0</v>
      </c>
      <c r="F4666" s="2">
        <v>0</v>
      </c>
      <c r="H4666">
        <v>0</v>
      </c>
      <c r="I4666">
        <v>0.1741125760648204</v>
      </c>
      <c r="J4666">
        <v>0</v>
      </c>
      <c r="K4666">
        <v>0</v>
      </c>
      <c r="L4666" s="2">
        <v>0</v>
      </c>
      <c r="M4666">
        <v>48.14</v>
      </c>
      <c r="N4666" t="s">
        <v>10236</v>
      </c>
    </row>
    <row r="4667" spans="1:14">
      <c r="A4667" t="s">
        <v>33</v>
      </c>
      <c r="B4667" t="s">
        <v>4784</v>
      </c>
      <c r="C4667">
        <f>"TOPK92216"</f>
        <v>0</v>
      </c>
      <c r="D4667">
        <v>0</v>
      </c>
      <c r="E4667">
        <v>7</v>
      </c>
      <c r="F4667" s="2">
        <v>7</v>
      </c>
      <c r="H4667">
        <v>0</v>
      </c>
      <c r="I4667">
        <v>0.1741125760648204</v>
      </c>
      <c r="J4667">
        <v>0</v>
      </c>
      <c r="K4667">
        <v>0</v>
      </c>
      <c r="L4667" s="2">
        <v>0</v>
      </c>
      <c r="M4667">
        <v>48.15</v>
      </c>
      <c r="N4667" t="s">
        <v>10236</v>
      </c>
    </row>
    <row r="4668" spans="1:14">
      <c r="A4668" t="s">
        <v>33</v>
      </c>
      <c r="B4668" t="s">
        <v>4785</v>
      </c>
      <c r="C4668">
        <f>"TOPK92238"</f>
        <v>0</v>
      </c>
      <c r="D4668">
        <v>0</v>
      </c>
      <c r="E4668">
        <v>0</v>
      </c>
      <c r="F4668" s="2">
        <v>0</v>
      </c>
      <c r="H4668">
        <v>0</v>
      </c>
      <c r="I4668">
        <v>0.1741125760648204</v>
      </c>
      <c r="J4668">
        <v>0</v>
      </c>
      <c r="K4668">
        <v>0</v>
      </c>
      <c r="L4668" s="2">
        <v>0</v>
      </c>
      <c r="M4668">
        <v>48.16</v>
      </c>
      <c r="N4668" t="s">
        <v>10236</v>
      </c>
    </row>
    <row r="4669" spans="1:14">
      <c r="A4669" t="s">
        <v>33</v>
      </c>
      <c r="B4669" t="s">
        <v>4786</v>
      </c>
      <c r="C4669">
        <f>"TOPK92236"</f>
        <v>0</v>
      </c>
      <c r="D4669">
        <v>0</v>
      </c>
      <c r="E4669">
        <v>22</v>
      </c>
      <c r="F4669" s="2">
        <v>3</v>
      </c>
      <c r="H4669">
        <v>0</v>
      </c>
      <c r="I4669">
        <v>0.1741125760648204</v>
      </c>
      <c r="J4669">
        <v>0</v>
      </c>
      <c r="K4669">
        <v>0</v>
      </c>
      <c r="L4669" s="2">
        <v>0</v>
      </c>
      <c r="M4669">
        <v>48.17</v>
      </c>
      <c r="N4669" t="s">
        <v>10236</v>
      </c>
    </row>
    <row r="4670" spans="1:14">
      <c r="A4670" t="s">
        <v>33</v>
      </c>
      <c r="B4670" t="s">
        <v>4787</v>
      </c>
      <c r="C4670">
        <f>"TOPK92242"</f>
        <v>0</v>
      </c>
      <c r="D4670">
        <v>0</v>
      </c>
      <c r="E4670">
        <v>0</v>
      </c>
      <c r="F4670" s="2">
        <v>0</v>
      </c>
      <c r="H4670">
        <v>0</v>
      </c>
      <c r="I4670">
        <v>0.1741125760648204</v>
      </c>
      <c r="J4670">
        <v>0</v>
      </c>
      <c r="K4670">
        <v>0</v>
      </c>
      <c r="L4670" s="2">
        <v>0</v>
      </c>
      <c r="M4670">
        <v>48.18</v>
      </c>
      <c r="N4670" t="s">
        <v>10236</v>
      </c>
    </row>
    <row r="4671" spans="1:14">
      <c r="A4671" t="s">
        <v>29</v>
      </c>
      <c r="B4671" t="s">
        <v>4788</v>
      </c>
      <c r="C4671">
        <f>"NS102"</f>
        <v>0</v>
      </c>
      <c r="D4671">
        <v>0</v>
      </c>
      <c r="E4671">
        <v>4</v>
      </c>
      <c r="F4671" s="2">
        <v>1</v>
      </c>
      <c r="H4671">
        <v>0</v>
      </c>
      <c r="I4671">
        <v>0.1741125760648204</v>
      </c>
      <c r="J4671">
        <v>0</v>
      </c>
      <c r="K4671">
        <v>0</v>
      </c>
      <c r="L4671" s="2">
        <v>0</v>
      </c>
      <c r="M4671">
        <v>48.18</v>
      </c>
      <c r="N4671" t="s">
        <v>10236</v>
      </c>
    </row>
    <row r="4672" spans="1:14">
      <c r="A4672" t="s">
        <v>29</v>
      </c>
      <c r="B4672" t="s">
        <v>4789</v>
      </c>
      <c r="C4672">
        <f>"CH2635"</f>
        <v>0</v>
      </c>
      <c r="D4672">
        <v>0</v>
      </c>
      <c r="E4672">
        <v>0</v>
      </c>
      <c r="F4672" s="2">
        <v>0</v>
      </c>
      <c r="H4672">
        <v>0</v>
      </c>
      <c r="I4672">
        <v>0.1741125760648204</v>
      </c>
      <c r="J4672">
        <v>0</v>
      </c>
      <c r="K4672">
        <v>0</v>
      </c>
      <c r="L4672" s="2">
        <v>0</v>
      </c>
      <c r="M4672">
        <v>48.19</v>
      </c>
      <c r="N4672" t="s">
        <v>10236</v>
      </c>
    </row>
    <row r="4673" spans="1:14">
      <c r="A4673" t="s">
        <v>29</v>
      </c>
      <c r="B4673" t="s">
        <v>4790</v>
      </c>
      <c r="C4673">
        <f>"CH88059S"</f>
        <v>0</v>
      </c>
      <c r="D4673">
        <v>0</v>
      </c>
      <c r="E4673">
        <v>6</v>
      </c>
      <c r="F4673" s="2">
        <v>3</v>
      </c>
      <c r="H4673">
        <v>0</v>
      </c>
      <c r="I4673">
        <v>0.1741125760648204</v>
      </c>
      <c r="J4673">
        <v>0</v>
      </c>
      <c r="K4673">
        <v>0</v>
      </c>
      <c r="L4673" s="2">
        <v>0</v>
      </c>
      <c r="M4673">
        <v>48.2</v>
      </c>
      <c r="N4673" t="s">
        <v>10236</v>
      </c>
    </row>
    <row r="4674" spans="1:14">
      <c r="A4674" t="s">
        <v>29</v>
      </c>
      <c r="B4674" t="s">
        <v>4791</v>
      </c>
      <c r="C4674">
        <f>"HR300A"</f>
        <v>0</v>
      </c>
      <c r="D4674">
        <v>0</v>
      </c>
      <c r="E4674">
        <v>0</v>
      </c>
      <c r="F4674" s="2">
        <v>0</v>
      </c>
      <c r="H4674">
        <v>0</v>
      </c>
      <c r="I4674">
        <v>0.1741125760648204</v>
      </c>
      <c r="J4674">
        <v>0</v>
      </c>
      <c r="K4674">
        <v>0</v>
      </c>
      <c r="L4674" s="2">
        <v>0</v>
      </c>
      <c r="M4674">
        <v>48.21</v>
      </c>
      <c r="N4674" t="s">
        <v>10236</v>
      </c>
    </row>
    <row r="4675" spans="1:14">
      <c r="A4675" t="s">
        <v>29</v>
      </c>
      <c r="B4675" t="s">
        <v>4792</v>
      </c>
      <c r="C4675">
        <f>"HR300B"</f>
        <v>0</v>
      </c>
      <c r="D4675">
        <v>0</v>
      </c>
      <c r="E4675">
        <v>0</v>
      </c>
      <c r="F4675" s="2">
        <v>0</v>
      </c>
      <c r="H4675">
        <v>0</v>
      </c>
      <c r="I4675">
        <v>0.1741125760648204</v>
      </c>
      <c r="J4675">
        <v>0</v>
      </c>
      <c r="K4675">
        <v>0</v>
      </c>
      <c r="L4675" s="2">
        <v>0</v>
      </c>
      <c r="M4675">
        <v>48.22</v>
      </c>
      <c r="N4675" t="s">
        <v>10236</v>
      </c>
    </row>
    <row r="4676" spans="1:14">
      <c r="A4676" t="s">
        <v>29</v>
      </c>
      <c r="B4676" t="s">
        <v>4793</v>
      </c>
      <c r="C4676">
        <f>"HRG800D"</f>
        <v>0</v>
      </c>
      <c r="D4676">
        <v>0</v>
      </c>
      <c r="E4676">
        <v>0</v>
      </c>
      <c r="F4676" s="2">
        <v>0</v>
      </c>
      <c r="H4676">
        <v>0</v>
      </c>
      <c r="I4676">
        <v>0.1741125760648204</v>
      </c>
      <c r="J4676">
        <v>0</v>
      </c>
      <c r="K4676">
        <v>0</v>
      </c>
      <c r="L4676" s="2">
        <v>0</v>
      </c>
      <c r="M4676">
        <v>48.23</v>
      </c>
      <c r="N4676" t="s">
        <v>10236</v>
      </c>
    </row>
    <row r="4677" spans="1:14">
      <c r="A4677" t="s">
        <v>33</v>
      </c>
      <c r="B4677" t="s">
        <v>4794</v>
      </c>
      <c r="C4677">
        <f>"TOPK92284"</f>
        <v>0</v>
      </c>
      <c r="D4677">
        <v>0</v>
      </c>
      <c r="E4677">
        <v>0</v>
      </c>
      <c r="F4677" s="2">
        <v>0</v>
      </c>
      <c r="H4677">
        <v>0</v>
      </c>
      <c r="I4677">
        <v>0.1741125760648204</v>
      </c>
      <c r="J4677">
        <v>0</v>
      </c>
      <c r="K4677">
        <v>0</v>
      </c>
      <c r="L4677" s="2">
        <v>0</v>
      </c>
      <c r="M4677">
        <v>48.24</v>
      </c>
      <c r="N4677" t="s">
        <v>10236</v>
      </c>
    </row>
    <row r="4678" spans="1:14">
      <c r="A4678" t="s">
        <v>35</v>
      </c>
      <c r="B4678" t="s">
        <v>4795</v>
      </c>
      <c r="C4678">
        <f>"MH075V"</f>
        <v>0</v>
      </c>
      <c r="D4678">
        <v>0</v>
      </c>
      <c r="E4678">
        <v>0</v>
      </c>
      <c r="F4678" s="2">
        <v>0</v>
      </c>
      <c r="H4678">
        <v>0</v>
      </c>
      <c r="I4678">
        <v>0.1741125760648204</v>
      </c>
      <c r="J4678">
        <v>0</v>
      </c>
      <c r="K4678">
        <v>0</v>
      </c>
      <c r="L4678" s="2">
        <v>0</v>
      </c>
      <c r="M4678">
        <v>48.25</v>
      </c>
      <c r="N4678" t="s">
        <v>10236</v>
      </c>
    </row>
    <row r="4679" spans="1:14">
      <c r="A4679" t="s">
        <v>35</v>
      </c>
      <c r="B4679" t="s">
        <v>4796</v>
      </c>
      <c r="C4679">
        <f>"3019494145363058"</f>
        <v>0</v>
      </c>
      <c r="D4679">
        <v>0</v>
      </c>
      <c r="E4679">
        <v>0</v>
      </c>
      <c r="F4679" s="2">
        <v>0</v>
      </c>
      <c r="H4679">
        <v>0</v>
      </c>
      <c r="I4679">
        <v>0.1741125760648204</v>
      </c>
      <c r="J4679">
        <v>0</v>
      </c>
      <c r="K4679">
        <v>0</v>
      </c>
      <c r="L4679" s="2">
        <v>0</v>
      </c>
      <c r="M4679">
        <v>48.26</v>
      </c>
      <c r="N4679" t="s">
        <v>10236</v>
      </c>
    </row>
    <row r="4680" spans="1:14">
      <c r="A4680" t="s">
        <v>35</v>
      </c>
      <c r="B4680" t="s">
        <v>4797</v>
      </c>
      <c r="C4680">
        <f>"CX3R"</f>
        <v>0</v>
      </c>
      <c r="D4680">
        <v>0</v>
      </c>
      <c r="E4680">
        <v>0</v>
      </c>
      <c r="F4680" s="2">
        <v>0</v>
      </c>
      <c r="H4680">
        <v>0</v>
      </c>
      <c r="I4680">
        <v>0.1741125760648204</v>
      </c>
      <c r="J4680">
        <v>0</v>
      </c>
      <c r="K4680">
        <v>0</v>
      </c>
      <c r="L4680" s="2">
        <v>0</v>
      </c>
      <c r="M4680">
        <v>48.27</v>
      </c>
      <c r="N4680" t="s">
        <v>10236</v>
      </c>
    </row>
    <row r="4681" spans="1:14">
      <c r="A4681" t="s">
        <v>35</v>
      </c>
      <c r="B4681" t="s">
        <v>4798</v>
      </c>
      <c r="C4681">
        <f>"CX3G"</f>
        <v>0</v>
      </c>
      <c r="D4681">
        <v>0</v>
      </c>
      <c r="E4681">
        <v>2</v>
      </c>
      <c r="F4681" s="2">
        <v>1</v>
      </c>
      <c r="H4681">
        <v>0</v>
      </c>
      <c r="I4681">
        <v>0.1741125760648204</v>
      </c>
      <c r="J4681">
        <v>0</v>
      </c>
      <c r="K4681">
        <v>0</v>
      </c>
      <c r="L4681" s="2">
        <v>0</v>
      </c>
      <c r="M4681">
        <v>48.28</v>
      </c>
      <c r="N4681" t="s">
        <v>10236</v>
      </c>
    </row>
    <row r="4682" spans="1:14">
      <c r="A4682" t="s">
        <v>35</v>
      </c>
      <c r="B4682" t="s">
        <v>4799</v>
      </c>
      <c r="C4682">
        <f>"CX3A"</f>
        <v>0</v>
      </c>
      <c r="D4682">
        <v>0</v>
      </c>
      <c r="E4682">
        <v>0</v>
      </c>
      <c r="F4682" s="2">
        <v>0</v>
      </c>
      <c r="H4682">
        <v>0</v>
      </c>
      <c r="I4682">
        <v>0.1741125760648204</v>
      </c>
      <c r="J4682">
        <v>0</v>
      </c>
      <c r="K4682">
        <v>0</v>
      </c>
      <c r="L4682" s="2">
        <v>0</v>
      </c>
      <c r="M4682">
        <v>48.29</v>
      </c>
      <c r="N4682" t="s">
        <v>10236</v>
      </c>
    </row>
    <row r="4683" spans="1:14">
      <c r="A4683" t="s">
        <v>25</v>
      </c>
      <c r="B4683" t="s">
        <v>4800</v>
      </c>
      <c r="C4683">
        <f>"S317"</f>
        <v>0</v>
      </c>
      <c r="D4683">
        <v>0</v>
      </c>
      <c r="E4683">
        <v>0</v>
      </c>
      <c r="F4683" s="2">
        <v>0</v>
      </c>
      <c r="H4683">
        <v>0</v>
      </c>
      <c r="I4683">
        <v>0.1741125760648204</v>
      </c>
      <c r="J4683">
        <v>0</v>
      </c>
      <c r="K4683">
        <v>0</v>
      </c>
      <c r="L4683" s="2">
        <v>0</v>
      </c>
      <c r="M4683">
        <v>48.3</v>
      </c>
      <c r="N4683" t="s">
        <v>10236</v>
      </c>
    </row>
    <row r="4684" spans="1:14">
      <c r="A4684" t="s">
        <v>32</v>
      </c>
      <c r="B4684" t="s">
        <v>4801</v>
      </c>
      <c r="C4684">
        <f>"5010038"</f>
        <v>0</v>
      </c>
      <c r="D4684">
        <v>0</v>
      </c>
      <c r="E4684">
        <v>3</v>
      </c>
      <c r="F4684" s="2">
        <v>3</v>
      </c>
      <c r="H4684">
        <v>0</v>
      </c>
      <c r="I4684">
        <v>0.1741125760648204</v>
      </c>
      <c r="J4684">
        <v>0</v>
      </c>
      <c r="K4684">
        <v>0</v>
      </c>
      <c r="L4684" s="2">
        <v>0</v>
      </c>
      <c r="M4684">
        <v>48.3</v>
      </c>
      <c r="N4684" t="s">
        <v>10236</v>
      </c>
    </row>
    <row r="4685" spans="1:14">
      <c r="A4685" t="s">
        <v>223</v>
      </c>
      <c r="B4685" t="s">
        <v>4802</v>
      </c>
      <c r="C4685">
        <f>"254790"</f>
        <v>0</v>
      </c>
      <c r="D4685">
        <v>0</v>
      </c>
      <c r="E4685">
        <v>0</v>
      </c>
      <c r="F4685" s="2">
        <v>0</v>
      </c>
      <c r="H4685">
        <v>0</v>
      </c>
      <c r="I4685">
        <v>0.1741125760648204</v>
      </c>
      <c r="J4685">
        <v>0</v>
      </c>
      <c r="K4685">
        <v>0</v>
      </c>
      <c r="L4685" s="2">
        <v>0</v>
      </c>
      <c r="M4685">
        <v>48.31</v>
      </c>
      <c r="N4685" t="s">
        <v>10236</v>
      </c>
    </row>
    <row r="4686" spans="1:14">
      <c r="A4686" t="s">
        <v>36</v>
      </c>
      <c r="B4686" t="s">
        <v>4803</v>
      </c>
      <c r="C4686">
        <f>"BAY019"</f>
        <v>0</v>
      </c>
      <c r="D4686">
        <v>0</v>
      </c>
      <c r="E4686">
        <v>0</v>
      </c>
      <c r="F4686" s="2">
        <v>0</v>
      </c>
      <c r="H4686">
        <v>0</v>
      </c>
      <c r="I4686">
        <v>0.1741125760648204</v>
      </c>
      <c r="J4686">
        <v>0</v>
      </c>
      <c r="K4686">
        <v>0</v>
      </c>
      <c r="L4686" s="2">
        <v>0</v>
      </c>
      <c r="M4686">
        <v>48.32</v>
      </c>
      <c r="N4686" t="s">
        <v>10236</v>
      </c>
    </row>
    <row r="4687" spans="1:14">
      <c r="A4687" t="s">
        <v>36</v>
      </c>
      <c r="B4687" t="s">
        <v>4804</v>
      </c>
      <c r="C4687">
        <f>"1003755"</f>
        <v>0</v>
      </c>
      <c r="D4687">
        <v>0</v>
      </c>
      <c r="E4687">
        <v>0</v>
      </c>
      <c r="F4687" s="2">
        <v>0</v>
      </c>
      <c r="H4687">
        <v>0</v>
      </c>
      <c r="I4687">
        <v>0.1741125760648204</v>
      </c>
      <c r="J4687">
        <v>0</v>
      </c>
      <c r="K4687">
        <v>0</v>
      </c>
      <c r="L4687" s="2">
        <v>0</v>
      </c>
      <c r="M4687">
        <v>48.33</v>
      </c>
      <c r="N4687" t="s">
        <v>10236</v>
      </c>
    </row>
    <row r="4688" spans="1:14">
      <c r="A4688" t="s">
        <v>192</v>
      </c>
      <c r="B4688" t="s">
        <v>4805</v>
      </c>
      <c r="C4688">
        <f>"B201"</f>
        <v>0</v>
      </c>
      <c r="D4688">
        <v>0</v>
      </c>
      <c r="E4688">
        <v>0</v>
      </c>
      <c r="F4688" s="2">
        <v>0</v>
      </c>
      <c r="H4688">
        <v>0</v>
      </c>
      <c r="I4688">
        <v>0.1741125760648204</v>
      </c>
      <c r="J4688">
        <v>0</v>
      </c>
      <c r="K4688">
        <v>0</v>
      </c>
      <c r="L4688" s="2">
        <v>0</v>
      </c>
      <c r="M4688">
        <v>48.34</v>
      </c>
      <c r="N4688" t="s">
        <v>10236</v>
      </c>
    </row>
    <row r="4689" spans="1:14">
      <c r="A4689" t="s">
        <v>192</v>
      </c>
      <c r="B4689" t="s">
        <v>4806</v>
      </c>
      <c r="C4689">
        <f>"B203"</f>
        <v>0</v>
      </c>
      <c r="D4689">
        <v>0</v>
      </c>
      <c r="E4689">
        <v>0</v>
      </c>
      <c r="F4689" s="2">
        <v>0</v>
      </c>
      <c r="H4689">
        <v>0</v>
      </c>
      <c r="I4689">
        <v>0.1741125760648204</v>
      </c>
      <c r="J4689">
        <v>0</v>
      </c>
      <c r="K4689">
        <v>0</v>
      </c>
      <c r="L4689" s="2">
        <v>0</v>
      </c>
      <c r="M4689">
        <v>48.35</v>
      </c>
      <c r="N4689" t="s">
        <v>10236</v>
      </c>
    </row>
    <row r="4690" spans="1:14">
      <c r="A4690" t="s">
        <v>29</v>
      </c>
      <c r="B4690" t="s">
        <v>4807</v>
      </c>
      <c r="C4690">
        <f>"C480BL"</f>
        <v>0</v>
      </c>
      <c r="D4690">
        <v>0</v>
      </c>
      <c r="E4690">
        <v>4</v>
      </c>
      <c r="F4690" s="2">
        <v>44</v>
      </c>
      <c r="H4690">
        <v>0</v>
      </c>
      <c r="I4690">
        <v>0.1741125760648204</v>
      </c>
      <c r="J4690">
        <v>0</v>
      </c>
      <c r="K4690">
        <v>0</v>
      </c>
      <c r="L4690" s="2">
        <v>0</v>
      </c>
      <c r="M4690">
        <v>48.36</v>
      </c>
      <c r="N4690" t="s">
        <v>10236</v>
      </c>
    </row>
    <row r="4691" spans="1:14">
      <c r="A4691" t="s">
        <v>29</v>
      </c>
      <c r="B4691" t="s">
        <v>4808</v>
      </c>
      <c r="C4691">
        <f>"KM550H"</f>
        <v>0</v>
      </c>
      <c r="D4691">
        <v>0</v>
      </c>
      <c r="E4691">
        <v>0</v>
      </c>
      <c r="F4691" s="2">
        <v>0</v>
      </c>
      <c r="H4691">
        <v>0</v>
      </c>
      <c r="I4691">
        <v>0.1741125760648204</v>
      </c>
      <c r="J4691">
        <v>0</v>
      </c>
      <c r="K4691">
        <v>0</v>
      </c>
      <c r="L4691" s="2">
        <v>0</v>
      </c>
      <c r="M4691">
        <v>48.37</v>
      </c>
      <c r="N4691" t="s">
        <v>10236</v>
      </c>
    </row>
    <row r="4692" spans="1:14">
      <c r="A4692" t="s">
        <v>29</v>
      </c>
      <c r="B4692" t="s">
        <v>4809</v>
      </c>
      <c r="C4692">
        <f>"QR223"</f>
        <v>0</v>
      </c>
      <c r="D4692">
        <v>0</v>
      </c>
      <c r="E4692">
        <v>0</v>
      </c>
      <c r="F4692" s="2">
        <v>0</v>
      </c>
      <c r="H4692">
        <v>0</v>
      </c>
      <c r="I4692">
        <v>0.1741125760648204</v>
      </c>
      <c r="J4692">
        <v>0</v>
      </c>
      <c r="K4692">
        <v>0</v>
      </c>
      <c r="L4692" s="2">
        <v>0</v>
      </c>
      <c r="M4692">
        <v>48.38</v>
      </c>
      <c r="N4692" t="s">
        <v>10236</v>
      </c>
    </row>
    <row r="4693" spans="1:14">
      <c r="A4693" t="s">
        <v>29</v>
      </c>
      <c r="B4693" t="s">
        <v>4810</v>
      </c>
      <c r="C4693">
        <f>"C580BL"</f>
        <v>0</v>
      </c>
      <c r="D4693">
        <v>0</v>
      </c>
      <c r="E4693">
        <v>0</v>
      </c>
      <c r="F4693" s="2">
        <v>0</v>
      </c>
      <c r="H4693">
        <v>0</v>
      </c>
      <c r="I4693">
        <v>0.1741125760648204</v>
      </c>
      <c r="J4693">
        <v>0</v>
      </c>
      <c r="K4693">
        <v>0</v>
      </c>
      <c r="L4693" s="2">
        <v>0</v>
      </c>
      <c r="M4693">
        <v>48.39</v>
      </c>
      <c r="N4693" t="s">
        <v>10236</v>
      </c>
    </row>
    <row r="4694" spans="1:14">
      <c r="A4694" t="s">
        <v>33</v>
      </c>
      <c r="B4694" t="s">
        <v>4811</v>
      </c>
      <c r="C4694">
        <f>"TOPK92209"</f>
        <v>0</v>
      </c>
      <c r="D4694">
        <v>0</v>
      </c>
      <c r="E4694">
        <v>0</v>
      </c>
      <c r="F4694" s="2">
        <v>0</v>
      </c>
      <c r="H4694">
        <v>0</v>
      </c>
      <c r="I4694">
        <v>0.1741125760648204</v>
      </c>
      <c r="J4694">
        <v>0</v>
      </c>
      <c r="K4694">
        <v>0</v>
      </c>
      <c r="L4694" s="2">
        <v>0</v>
      </c>
      <c r="M4694">
        <v>48.4</v>
      </c>
      <c r="N4694" t="s">
        <v>10236</v>
      </c>
    </row>
    <row r="4695" spans="1:14">
      <c r="A4695" t="s">
        <v>33</v>
      </c>
      <c r="B4695" t="s">
        <v>4812</v>
      </c>
      <c r="C4695">
        <f>"TOPK92285"</f>
        <v>0</v>
      </c>
      <c r="D4695">
        <v>0</v>
      </c>
      <c r="E4695">
        <v>6</v>
      </c>
      <c r="F4695" s="2">
        <v>1</v>
      </c>
      <c r="H4695">
        <v>0</v>
      </c>
      <c r="I4695">
        <v>0.1741125760648204</v>
      </c>
      <c r="J4695">
        <v>0</v>
      </c>
      <c r="K4695">
        <v>0</v>
      </c>
      <c r="L4695" s="2">
        <v>0</v>
      </c>
      <c r="M4695">
        <v>48.41</v>
      </c>
      <c r="N4695" t="s">
        <v>10236</v>
      </c>
    </row>
    <row r="4696" spans="1:14">
      <c r="A4696" t="s">
        <v>33</v>
      </c>
      <c r="B4696" t="s">
        <v>4813</v>
      </c>
      <c r="C4696">
        <f>"TOPK92004"</f>
        <v>0</v>
      </c>
      <c r="D4696">
        <v>0</v>
      </c>
      <c r="E4696">
        <v>0</v>
      </c>
      <c r="F4696" s="2">
        <v>0</v>
      </c>
      <c r="H4696">
        <v>0</v>
      </c>
      <c r="I4696">
        <v>0.1741125760648204</v>
      </c>
      <c r="J4696">
        <v>0</v>
      </c>
      <c r="K4696">
        <v>0</v>
      </c>
      <c r="L4696" s="2">
        <v>0</v>
      </c>
      <c r="M4696">
        <v>48.42</v>
      </c>
      <c r="N4696" t="s">
        <v>10236</v>
      </c>
    </row>
    <row r="4697" spans="1:14">
      <c r="A4697" t="s">
        <v>33</v>
      </c>
      <c r="B4697" t="s">
        <v>4814</v>
      </c>
      <c r="C4697">
        <f>"TOPK92005"</f>
        <v>0</v>
      </c>
      <c r="D4697">
        <v>0</v>
      </c>
      <c r="E4697">
        <v>0</v>
      </c>
      <c r="F4697" s="2">
        <v>0</v>
      </c>
      <c r="H4697">
        <v>0</v>
      </c>
      <c r="I4697">
        <v>0.1741125760648204</v>
      </c>
      <c r="J4697">
        <v>0</v>
      </c>
      <c r="K4697">
        <v>0</v>
      </c>
      <c r="L4697" s="2">
        <v>0</v>
      </c>
      <c r="M4697">
        <v>48.42</v>
      </c>
      <c r="N4697" t="s">
        <v>10236</v>
      </c>
    </row>
    <row r="4698" spans="1:14">
      <c r="A4698" t="s">
        <v>33</v>
      </c>
      <c r="B4698" t="s">
        <v>4815</v>
      </c>
      <c r="C4698">
        <f>"TOPK92204"</f>
        <v>0</v>
      </c>
      <c r="D4698">
        <v>0</v>
      </c>
      <c r="E4698">
        <v>0</v>
      </c>
      <c r="F4698" s="2">
        <v>0</v>
      </c>
      <c r="H4698">
        <v>0</v>
      </c>
      <c r="I4698">
        <v>0.1741125760648204</v>
      </c>
      <c r="J4698">
        <v>0</v>
      </c>
      <c r="K4698">
        <v>0</v>
      </c>
      <c r="L4698" s="2">
        <v>0</v>
      </c>
      <c r="M4698">
        <v>48.43</v>
      </c>
      <c r="N4698" t="s">
        <v>10236</v>
      </c>
    </row>
    <row r="4699" spans="1:14">
      <c r="A4699" t="s">
        <v>33</v>
      </c>
      <c r="B4699" t="s">
        <v>4816</v>
      </c>
      <c r="C4699">
        <f>"TOPK92001"</f>
        <v>0</v>
      </c>
      <c r="D4699">
        <v>0</v>
      </c>
      <c r="E4699">
        <v>0</v>
      </c>
      <c r="F4699" s="2">
        <v>0</v>
      </c>
      <c r="H4699">
        <v>0</v>
      </c>
      <c r="I4699">
        <v>0.1741125760648204</v>
      </c>
      <c r="J4699">
        <v>0</v>
      </c>
      <c r="K4699">
        <v>0</v>
      </c>
      <c r="L4699" s="2">
        <v>0</v>
      </c>
      <c r="M4699">
        <v>48.44</v>
      </c>
      <c r="N4699" t="s">
        <v>10236</v>
      </c>
    </row>
    <row r="4700" spans="1:14">
      <c r="A4700" t="s">
        <v>33</v>
      </c>
      <c r="B4700" t="s">
        <v>4817</v>
      </c>
      <c r="C4700">
        <f>"TOPK92202"</f>
        <v>0</v>
      </c>
      <c r="D4700">
        <v>0</v>
      </c>
      <c r="E4700">
        <v>0</v>
      </c>
      <c r="F4700" s="2">
        <v>0</v>
      </c>
      <c r="H4700">
        <v>0</v>
      </c>
      <c r="I4700">
        <v>0.1741125760648204</v>
      </c>
      <c r="J4700">
        <v>0</v>
      </c>
      <c r="K4700">
        <v>0</v>
      </c>
      <c r="L4700" s="2">
        <v>0</v>
      </c>
      <c r="M4700">
        <v>48.45</v>
      </c>
      <c r="N4700" t="s">
        <v>10236</v>
      </c>
    </row>
    <row r="4701" spans="1:14">
      <c r="A4701" t="s">
        <v>33</v>
      </c>
      <c r="B4701" t="s">
        <v>4818</v>
      </c>
      <c r="C4701">
        <f>"TOPK92002"</f>
        <v>0</v>
      </c>
      <c r="D4701">
        <v>0</v>
      </c>
      <c r="E4701">
        <v>0</v>
      </c>
      <c r="F4701" s="2">
        <v>0</v>
      </c>
      <c r="H4701">
        <v>0</v>
      </c>
      <c r="I4701">
        <v>0.1741125760648204</v>
      </c>
      <c r="J4701">
        <v>0</v>
      </c>
      <c r="K4701">
        <v>0</v>
      </c>
      <c r="L4701" s="2">
        <v>0</v>
      </c>
      <c r="M4701">
        <v>48.46</v>
      </c>
      <c r="N4701" t="s">
        <v>10236</v>
      </c>
    </row>
    <row r="4702" spans="1:14">
      <c r="A4702" t="s">
        <v>33</v>
      </c>
      <c r="B4702" t="s">
        <v>4819</v>
      </c>
      <c r="C4702">
        <f>"TOPK92203"</f>
        <v>0</v>
      </c>
      <c r="D4702">
        <v>0</v>
      </c>
      <c r="E4702">
        <v>0</v>
      </c>
      <c r="F4702" s="2">
        <v>0</v>
      </c>
      <c r="H4702">
        <v>0</v>
      </c>
      <c r="I4702">
        <v>0.1741125760648204</v>
      </c>
      <c r="J4702">
        <v>0</v>
      </c>
      <c r="K4702">
        <v>0</v>
      </c>
      <c r="L4702" s="2">
        <v>0</v>
      </c>
      <c r="M4702">
        <v>48.47</v>
      </c>
      <c r="N4702" t="s">
        <v>10236</v>
      </c>
    </row>
    <row r="4703" spans="1:14">
      <c r="A4703" t="s">
        <v>33</v>
      </c>
      <c r="B4703" t="s">
        <v>4820</v>
      </c>
      <c r="C4703">
        <f>"TOPK92136"</f>
        <v>0</v>
      </c>
      <c r="D4703">
        <v>0</v>
      </c>
      <c r="E4703">
        <v>0</v>
      </c>
      <c r="F4703" s="2">
        <v>0</v>
      </c>
      <c r="H4703">
        <v>0</v>
      </c>
      <c r="I4703">
        <v>0.1741125760648204</v>
      </c>
      <c r="J4703">
        <v>0</v>
      </c>
      <c r="K4703">
        <v>0</v>
      </c>
      <c r="L4703" s="2">
        <v>0</v>
      </c>
      <c r="M4703">
        <v>48.48</v>
      </c>
      <c r="N4703" t="s">
        <v>10236</v>
      </c>
    </row>
    <row r="4704" spans="1:14">
      <c r="A4704" t="s">
        <v>33</v>
      </c>
      <c r="B4704" t="s">
        <v>4821</v>
      </c>
      <c r="C4704">
        <f>"TOPK92084"</f>
        <v>0</v>
      </c>
      <c r="D4704">
        <v>0</v>
      </c>
      <c r="E4704">
        <v>0</v>
      </c>
      <c r="F4704" s="2">
        <v>0</v>
      </c>
      <c r="H4704">
        <v>0</v>
      </c>
      <c r="I4704">
        <v>0.1741125760648204</v>
      </c>
      <c r="J4704">
        <v>0</v>
      </c>
      <c r="K4704">
        <v>0</v>
      </c>
      <c r="L4704" s="2">
        <v>0</v>
      </c>
      <c r="M4704">
        <v>48.49</v>
      </c>
      <c r="N4704" t="s">
        <v>10236</v>
      </c>
    </row>
    <row r="4705" spans="1:14">
      <c r="A4705" t="s">
        <v>33</v>
      </c>
      <c r="B4705" t="s">
        <v>4822</v>
      </c>
      <c r="C4705">
        <f>"TOPK92029"</f>
        <v>0</v>
      </c>
      <c r="D4705">
        <v>0</v>
      </c>
      <c r="E4705">
        <v>0</v>
      </c>
      <c r="F4705" s="2">
        <v>0</v>
      </c>
      <c r="H4705">
        <v>0</v>
      </c>
      <c r="I4705">
        <v>0.1741125760648204</v>
      </c>
      <c r="J4705">
        <v>0</v>
      </c>
      <c r="K4705">
        <v>0</v>
      </c>
      <c r="L4705" s="2">
        <v>0</v>
      </c>
      <c r="M4705">
        <v>48.5</v>
      </c>
      <c r="N4705" t="s">
        <v>10236</v>
      </c>
    </row>
    <row r="4706" spans="1:14">
      <c r="A4706" t="s">
        <v>33</v>
      </c>
      <c r="B4706" t="s">
        <v>4823</v>
      </c>
      <c r="C4706">
        <f>"TOPK92000"</f>
        <v>0</v>
      </c>
      <c r="D4706">
        <v>0</v>
      </c>
      <c r="E4706">
        <v>0</v>
      </c>
      <c r="F4706" s="2">
        <v>0</v>
      </c>
      <c r="H4706">
        <v>0</v>
      </c>
      <c r="I4706">
        <v>0.1741125760648204</v>
      </c>
      <c r="J4706">
        <v>0</v>
      </c>
      <c r="K4706">
        <v>0</v>
      </c>
      <c r="L4706" s="2">
        <v>0</v>
      </c>
      <c r="M4706">
        <v>48.51</v>
      </c>
      <c r="N4706" t="s">
        <v>10236</v>
      </c>
    </row>
    <row r="4707" spans="1:14">
      <c r="A4707" t="s">
        <v>33</v>
      </c>
      <c r="B4707" t="s">
        <v>4824</v>
      </c>
      <c r="C4707">
        <f>"TOPK92092"</f>
        <v>0</v>
      </c>
      <c r="D4707">
        <v>0</v>
      </c>
      <c r="E4707">
        <v>0</v>
      </c>
      <c r="F4707" s="2">
        <v>0</v>
      </c>
      <c r="H4707">
        <v>0</v>
      </c>
      <c r="I4707">
        <v>0.1741125760648204</v>
      </c>
      <c r="J4707">
        <v>0</v>
      </c>
      <c r="K4707">
        <v>0</v>
      </c>
      <c r="L4707" s="2">
        <v>0</v>
      </c>
      <c r="M4707">
        <v>48.52</v>
      </c>
      <c r="N4707" t="s">
        <v>10236</v>
      </c>
    </row>
    <row r="4708" spans="1:14">
      <c r="A4708" t="s">
        <v>33</v>
      </c>
      <c r="B4708" t="s">
        <v>4825</v>
      </c>
      <c r="C4708">
        <f>"TOPK92229"</f>
        <v>0</v>
      </c>
      <c r="D4708">
        <v>0</v>
      </c>
      <c r="E4708">
        <v>0</v>
      </c>
      <c r="F4708" s="2">
        <v>0</v>
      </c>
      <c r="H4708">
        <v>0</v>
      </c>
      <c r="I4708">
        <v>0.1741125760648204</v>
      </c>
      <c r="J4708">
        <v>0</v>
      </c>
      <c r="K4708">
        <v>0</v>
      </c>
      <c r="L4708" s="2">
        <v>0</v>
      </c>
      <c r="M4708">
        <v>48.53</v>
      </c>
      <c r="N4708" t="s">
        <v>10236</v>
      </c>
    </row>
    <row r="4709" spans="1:14">
      <c r="A4709" t="s">
        <v>33</v>
      </c>
      <c r="B4709" t="s">
        <v>4826</v>
      </c>
      <c r="C4709">
        <f>"TOPK92091"</f>
        <v>0</v>
      </c>
      <c r="D4709">
        <v>0</v>
      </c>
      <c r="E4709">
        <v>0</v>
      </c>
      <c r="F4709" s="2">
        <v>0</v>
      </c>
      <c r="H4709">
        <v>0</v>
      </c>
      <c r="I4709">
        <v>0.1741125760648204</v>
      </c>
      <c r="J4709">
        <v>0</v>
      </c>
      <c r="K4709">
        <v>0</v>
      </c>
      <c r="L4709" s="2">
        <v>0</v>
      </c>
      <c r="M4709">
        <v>48.54</v>
      </c>
      <c r="N4709" t="s">
        <v>10236</v>
      </c>
    </row>
    <row r="4710" spans="1:14">
      <c r="A4710" t="s">
        <v>33</v>
      </c>
      <c r="B4710" t="s">
        <v>4827</v>
      </c>
      <c r="C4710">
        <f>"TOPK92258"</f>
        <v>0</v>
      </c>
      <c r="D4710">
        <v>0</v>
      </c>
      <c r="E4710">
        <v>0</v>
      </c>
      <c r="F4710" s="2">
        <v>0</v>
      </c>
      <c r="H4710">
        <v>0</v>
      </c>
      <c r="I4710">
        <v>0.1741125760648204</v>
      </c>
      <c r="J4710">
        <v>0</v>
      </c>
      <c r="K4710">
        <v>0</v>
      </c>
      <c r="L4710" s="2">
        <v>0</v>
      </c>
      <c r="M4710">
        <v>48.54</v>
      </c>
      <c r="N4710" t="s">
        <v>10236</v>
      </c>
    </row>
    <row r="4711" spans="1:14">
      <c r="A4711" t="s">
        <v>33</v>
      </c>
      <c r="B4711" t="s">
        <v>4828</v>
      </c>
      <c r="C4711">
        <f>"TOPK92103"</f>
        <v>0</v>
      </c>
      <c r="D4711">
        <v>0</v>
      </c>
      <c r="E4711">
        <v>0</v>
      </c>
      <c r="F4711" s="2">
        <v>0</v>
      </c>
      <c r="H4711">
        <v>0</v>
      </c>
      <c r="I4711">
        <v>0.1741125760648204</v>
      </c>
      <c r="J4711">
        <v>0</v>
      </c>
      <c r="K4711">
        <v>0</v>
      </c>
      <c r="L4711" s="2">
        <v>0</v>
      </c>
      <c r="M4711">
        <v>48.55</v>
      </c>
      <c r="N4711" t="s">
        <v>10236</v>
      </c>
    </row>
    <row r="4712" spans="1:14">
      <c r="A4712" t="s">
        <v>33</v>
      </c>
      <c r="B4712" t="s">
        <v>4829</v>
      </c>
      <c r="C4712">
        <f>"TOPK92010"</f>
        <v>0</v>
      </c>
      <c r="D4712">
        <v>0</v>
      </c>
      <c r="E4712">
        <v>0</v>
      </c>
      <c r="F4712" s="2">
        <v>0</v>
      </c>
      <c r="H4712">
        <v>0</v>
      </c>
      <c r="I4712">
        <v>0.1741125760648204</v>
      </c>
      <c r="J4712">
        <v>0</v>
      </c>
      <c r="K4712">
        <v>0</v>
      </c>
      <c r="L4712" s="2">
        <v>0</v>
      </c>
      <c r="M4712">
        <v>48.56</v>
      </c>
      <c r="N4712" t="s">
        <v>10236</v>
      </c>
    </row>
    <row r="4713" spans="1:14">
      <c r="A4713" t="s">
        <v>33</v>
      </c>
      <c r="B4713" t="s">
        <v>4830</v>
      </c>
      <c r="C4713">
        <f>"TOPK92101"</f>
        <v>0</v>
      </c>
      <c r="D4713">
        <v>0</v>
      </c>
      <c r="E4713">
        <v>0</v>
      </c>
      <c r="F4713" s="2">
        <v>0</v>
      </c>
      <c r="H4713">
        <v>0</v>
      </c>
      <c r="I4713">
        <v>0.1741125760648204</v>
      </c>
      <c r="J4713">
        <v>0</v>
      </c>
      <c r="K4713">
        <v>0</v>
      </c>
      <c r="L4713" s="2">
        <v>0</v>
      </c>
      <c r="M4713">
        <v>48.57</v>
      </c>
      <c r="N4713" t="s">
        <v>10236</v>
      </c>
    </row>
    <row r="4714" spans="1:14">
      <c r="A4714" t="s">
        <v>33</v>
      </c>
      <c r="B4714" t="s">
        <v>4831</v>
      </c>
      <c r="C4714">
        <f>"TOPK92110"</f>
        <v>0</v>
      </c>
      <c r="D4714">
        <v>0</v>
      </c>
      <c r="E4714">
        <v>0</v>
      </c>
      <c r="F4714" s="2">
        <v>0</v>
      </c>
      <c r="H4714">
        <v>0</v>
      </c>
      <c r="I4714">
        <v>0.1741125760648204</v>
      </c>
      <c r="J4714">
        <v>0</v>
      </c>
      <c r="K4714">
        <v>0</v>
      </c>
      <c r="L4714" s="2">
        <v>0</v>
      </c>
      <c r="M4714">
        <v>48.58</v>
      </c>
      <c r="N4714" t="s">
        <v>10236</v>
      </c>
    </row>
    <row r="4715" spans="1:14">
      <c r="A4715" t="s">
        <v>33</v>
      </c>
      <c r="B4715" t="s">
        <v>4832</v>
      </c>
      <c r="C4715">
        <f>"TOPK92099"</f>
        <v>0</v>
      </c>
      <c r="D4715">
        <v>0</v>
      </c>
      <c r="E4715">
        <v>0</v>
      </c>
      <c r="F4715" s="2">
        <v>0</v>
      </c>
      <c r="H4715">
        <v>0</v>
      </c>
      <c r="I4715">
        <v>0.1741125760648204</v>
      </c>
      <c r="J4715">
        <v>0</v>
      </c>
      <c r="K4715">
        <v>0</v>
      </c>
      <c r="L4715" s="2">
        <v>0</v>
      </c>
      <c r="M4715">
        <v>48.59</v>
      </c>
      <c r="N4715" t="s">
        <v>10236</v>
      </c>
    </row>
    <row r="4716" spans="1:14">
      <c r="A4716" t="s">
        <v>33</v>
      </c>
      <c r="B4716" t="s">
        <v>4833</v>
      </c>
      <c r="C4716">
        <f>"TOPK92095"</f>
        <v>0</v>
      </c>
      <c r="D4716">
        <v>0</v>
      </c>
      <c r="E4716">
        <v>0</v>
      </c>
      <c r="F4716" s="2">
        <v>0</v>
      </c>
      <c r="H4716">
        <v>0</v>
      </c>
      <c r="I4716">
        <v>0.1741125760648204</v>
      </c>
      <c r="J4716">
        <v>0</v>
      </c>
      <c r="K4716">
        <v>0</v>
      </c>
      <c r="L4716" s="2">
        <v>0</v>
      </c>
      <c r="M4716">
        <v>48.6</v>
      </c>
      <c r="N4716" t="s">
        <v>10236</v>
      </c>
    </row>
    <row r="4717" spans="1:14">
      <c r="A4717" t="s">
        <v>33</v>
      </c>
      <c r="B4717" t="s">
        <v>4834</v>
      </c>
      <c r="C4717">
        <f>"TOPK92153"</f>
        <v>0</v>
      </c>
      <c r="D4717">
        <v>0</v>
      </c>
      <c r="E4717">
        <v>0</v>
      </c>
      <c r="F4717" s="2">
        <v>0</v>
      </c>
      <c r="H4717">
        <v>0</v>
      </c>
      <c r="I4717">
        <v>0.1741125760648204</v>
      </c>
      <c r="J4717">
        <v>0</v>
      </c>
      <c r="K4717">
        <v>0</v>
      </c>
      <c r="L4717" s="2">
        <v>0</v>
      </c>
      <c r="M4717">
        <v>48.61</v>
      </c>
      <c r="N4717" t="s">
        <v>10236</v>
      </c>
    </row>
    <row r="4718" spans="1:14">
      <c r="A4718" t="s">
        <v>33</v>
      </c>
      <c r="B4718" t="s">
        <v>4835</v>
      </c>
      <c r="C4718">
        <f>"TOPK92017"</f>
        <v>0</v>
      </c>
      <c r="D4718">
        <v>0</v>
      </c>
      <c r="E4718">
        <v>0</v>
      </c>
      <c r="F4718" s="2">
        <v>0</v>
      </c>
      <c r="H4718">
        <v>0</v>
      </c>
      <c r="I4718">
        <v>0.1741125760648204</v>
      </c>
      <c r="J4718">
        <v>0</v>
      </c>
      <c r="K4718">
        <v>0</v>
      </c>
      <c r="L4718" s="2">
        <v>0</v>
      </c>
      <c r="M4718">
        <v>48.62</v>
      </c>
      <c r="N4718" t="s">
        <v>10236</v>
      </c>
    </row>
    <row r="4719" spans="1:14">
      <c r="A4719" t="s">
        <v>33</v>
      </c>
      <c r="B4719" t="s">
        <v>4836</v>
      </c>
      <c r="C4719">
        <f>"TOPK92011"</f>
        <v>0</v>
      </c>
      <c r="D4719">
        <v>0</v>
      </c>
      <c r="E4719">
        <v>0</v>
      </c>
      <c r="F4719" s="2">
        <v>0</v>
      </c>
      <c r="H4719">
        <v>0</v>
      </c>
      <c r="I4719">
        <v>0.1741125760648204</v>
      </c>
      <c r="J4719">
        <v>0</v>
      </c>
      <c r="K4719">
        <v>0</v>
      </c>
      <c r="L4719" s="2">
        <v>0</v>
      </c>
      <c r="M4719">
        <v>48.63</v>
      </c>
      <c r="N4719" t="s">
        <v>10236</v>
      </c>
    </row>
    <row r="4720" spans="1:14">
      <c r="A4720" t="s">
        <v>33</v>
      </c>
      <c r="B4720" t="s">
        <v>4837</v>
      </c>
      <c r="C4720">
        <f>"TOPK92102"</f>
        <v>0</v>
      </c>
      <c r="D4720">
        <v>0</v>
      </c>
      <c r="E4720">
        <v>0</v>
      </c>
      <c r="F4720" s="2">
        <v>0</v>
      </c>
      <c r="H4720">
        <v>0</v>
      </c>
      <c r="I4720">
        <v>0.1741125760648204</v>
      </c>
      <c r="J4720">
        <v>0</v>
      </c>
      <c r="K4720">
        <v>0</v>
      </c>
      <c r="L4720" s="2">
        <v>0</v>
      </c>
      <c r="M4720">
        <v>48.64</v>
      </c>
      <c r="N4720" t="s">
        <v>10236</v>
      </c>
    </row>
    <row r="4721" spans="1:14">
      <c r="A4721" t="s">
        <v>33</v>
      </c>
      <c r="B4721" t="s">
        <v>4838</v>
      </c>
      <c r="C4721">
        <f>"TOPK92025"</f>
        <v>0</v>
      </c>
      <c r="D4721">
        <v>0</v>
      </c>
      <c r="E4721">
        <v>0</v>
      </c>
      <c r="F4721" s="2">
        <v>0</v>
      </c>
      <c r="H4721">
        <v>0</v>
      </c>
      <c r="I4721">
        <v>0.1741125760648204</v>
      </c>
      <c r="J4721">
        <v>0</v>
      </c>
      <c r="K4721">
        <v>0</v>
      </c>
      <c r="L4721" s="2">
        <v>0</v>
      </c>
      <c r="M4721">
        <v>48.65</v>
      </c>
      <c r="N4721" t="s">
        <v>10236</v>
      </c>
    </row>
    <row r="4722" spans="1:14">
      <c r="A4722" t="s">
        <v>33</v>
      </c>
      <c r="B4722" t="s">
        <v>4839</v>
      </c>
      <c r="C4722">
        <f>"TOPK92106"</f>
        <v>0</v>
      </c>
      <c r="D4722">
        <v>0</v>
      </c>
      <c r="E4722">
        <v>0</v>
      </c>
      <c r="F4722" s="2">
        <v>0</v>
      </c>
      <c r="H4722">
        <v>0</v>
      </c>
      <c r="I4722">
        <v>0.1741125760648204</v>
      </c>
      <c r="J4722">
        <v>0</v>
      </c>
      <c r="K4722">
        <v>0</v>
      </c>
      <c r="L4722" s="2">
        <v>0</v>
      </c>
      <c r="M4722">
        <v>48.65</v>
      </c>
      <c r="N4722" t="s">
        <v>10236</v>
      </c>
    </row>
    <row r="4723" spans="1:14">
      <c r="A4723" t="s">
        <v>33</v>
      </c>
      <c r="B4723" t="s">
        <v>4840</v>
      </c>
      <c r="C4723">
        <f>"TOPK92241"</f>
        <v>0</v>
      </c>
      <c r="D4723">
        <v>0</v>
      </c>
      <c r="E4723">
        <v>0</v>
      </c>
      <c r="F4723" s="2">
        <v>0</v>
      </c>
      <c r="H4723">
        <v>0</v>
      </c>
      <c r="I4723">
        <v>0.1741125760648204</v>
      </c>
      <c r="J4723">
        <v>0</v>
      </c>
      <c r="K4723">
        <v>0</v>
      </c>
      <c r="L4723" s="2">
        <v>0</v>
      </c>
      <c r="M4723">
        <v>48.66</v>
      </c>
      <c r="N4723" t="s">
        <v>10236</v>
      </c>
    </row>
    <row r="4724" spans="1:14">
      <c r="A4724" t="s">
        <v>33</v>
      </c>
      <c r="B4724" t="s">
        <v>4841</v>
      </c>
      <c r="C4724">
        <f>"TOPK92094"</f>
        <v>0</v>
      </c>
      <c r="D4724">
        <v>0</v>
      </c>
      <c r="E4724">
        <v>0</v>
      </c>
      <c r="F4724" s="2">
        <v>0</v>
      </c>
      <c r="H4724">
        <v>0</v>
      </c>
      <c r="I4724">
        <v>0.1741125760648204</v>
      </c>
      <c r="J4724">
        <v>0</v>
      </c>
      <c r="K4724">
        <v>0</v>
      </c>
      <c r="L4724" s="2">
        <v>0</v>
      </c>
      <c r="M4724">
        <v>48.67</v>
      </c>
      <c r="N4724" t="s">
        <v>10236</v>
      </c>
    </row>
    <row r="4725" spans="1:14">
      <c r="A4725" t="s">
        <v>35</v>
      </c>
      <c r="B4725" t="s">
        <v>4842</v>
      </c>
      <c r="C4725">
        <f>"SLL20610"</f>
        <v>0</v>
      </c>
      <c r="D4725">
        <v>0</v>
      </c>
      <c r="E4725">
        <v>0</v>
      </c>
      <c r="F4725" s="2">
        <v>0</v>
      </c>
      <c r="H4725">
        <v>0</v>
      </c>
      <c r="I4725">
        <v>0.1741125760648204</v>
      </c>
      <c r="J4725">
        <v>0</v>
      </c>
      <c r="K4725">
        <v>0</v>
      </c>
      <c r="L4725" s="2">
        <v>0</v>
      </c>
      <c r="M4725">
        <v>48.68</v>
      </c>
      <c r="N4725" t="s">
        <v>10236</v>
      </c>
    </row>
    <row r="4726" spans="1:14">
      <c r="A4726" t="s">
        <v>35</v>
      </c>
      <c r="B4726" t="s">
        <v>4843</v>
      </c>
      <c r="C4726">
        <f>"WD904TUR"</f>
        <v>0</v>
      </c>
      <c r="D4726">
        <v>0</v>
      </c>
      <c r="E4726">
        <v>3</v>
      </c>
      <c r="F4726" s="2">
        <v>4</v>
      </c>
      <c r="H4726">
        <v>0</v>
      </c>
      <c r="I4726">
        <v>0.1741125760648204</v>
      </c>
      <c r="J4726">
        <v>0</v>
      </c>
      <c r="K4726">
        <v>0</v>
      </c>
      <c r="L4726" s="2">
        <v>0</v>
      </c>
      <c r="M4726">
        <v>48.69</v>
      </c>
      <c r="N4726" t="s">
        <v>10236</v>
      </c>
    </row>
    <row r="4727" spans="1:14">
      <c r="A4727" t="s">
        <v>35</v>
      </c>
      <c r="B4727" t="s">
        <v>4844</v>
      </c>
      <c r="C4727">
        <f>"WD904RO"</f>
        <v>0</v>
      </c>
      <c r="D4727">
        <v>0</v>
      </c>
      <c r="E4727">
        <v>1</v>
      </c>
      <c r="F4727" s="2">
        <v>5</v>
      </c>
      <c r="H4727">
        <v>0</v>
      </c>
      <c r="I4727">
        <v>0.1741125760648204</v>
      </c>
      <c r="J4727">
        <v>0</v>
      </c>
      <c r="K4727">
        <v>0</v>
      </c>
      <c r="L4727" s="2">
        <v>0</v>
      </c>
      <c r="M4727">
        <v>48.7</v>
      </c>
      <c r="N4727" t="s">
        <v>10236</v>
      </c>
    </row>
    <row r="4728" spans="1:14">
      <c r="A4728" t="s">
        <v>35</v>
      </c>
      <c r="B4728" t="s">
        <v>4845</v>
      </c>
      <c r="C4728">
        <f>"WD904NE"</f>
        <v>0</v>
      </c>
      <c r="D4728">
        <v>0</v>
      </c>
      <c r="E4728">
        <v>4</v>
      </c>
      <c r="F4728" s="2">
        <v>5</v>
      </c>
      <c r="H4728">
        <v>0</v>
      </c>
      <c r="I4728">
        <v>0.1741125760648204</v>
      </c>
      <c r="J4728">
        <v>0</v>
      </c>
      <c r="K4728">
        <v>0</v>
      </c>
      <c r="L4728" s="2">
        <v>0</v>
      </c>
      <c r="M4728">
        <v>48.71</v>
      </c>
      <c r="N4728" t="s">
        <v>10236</v>
      </c>
    </row>
    <row r="4729" spans="1:14">
      <c r="A4729" t="s">
        <v>35</v>
      </c>
      <c r="B4729" t="s">
        <v>4846</v>
      </c>
      <c r="C4729">
        <f>"WD904NA"</f>
        <v>0</v>
      </c>
      <c r="D4729">
        <v>0</v>
      </c>
      <c r="E4729">
        <v>4</v>
      </c>
      <c r="F4729" s="2">
        <v>4</v>
      </c>
      <c r="H4729">
        <v>0</v>
      </c>
      <c r="I4729">
        <v>0.1741125760648204</v>
      </c>
      <c r="J4729">
        <v>0</v>
      </c>
      <c r="K4729">
        <v>0</v>
      </c>
      <c r="L4729" s="2">
        <v>0</v>
      </c>
      <c r="M4729">
        <v>48.72</v>
      </c>
      <c r="N4729" t="s">
        <v>10236</v>
      </c>
    </row>
    <row r="4730" spans="1:14">
      <c r="A4730" t="s">
        <v>35</v>
      </c>
      <c r="B4730" t="s">
        <v>4847</v>
      </c>
      <c r="C4730">
        <f>"YH010MDROJ"</f>
        <v>0</v>
      </c>
      <c r="D4730">
        <v>0</v>
      </c>
      <c r="E4730">
        <v>1</v>
      </c>
      <c r="F4730" s="2">
        <v>5</v>
      </c>
      <c r="H4730">
        <v>0</v>
      </c>
      <c r="I4730">
        <v>0.1741125760648204</v>
      </c>
      <c r="J4730">
        <v>0</v>
      </c>
      <c r="K4730">
        <v>0</v>
      </c>
      <c r="L4730" s="2">
        <v>0</v>
      </c>
      <c r="M4730">
        <v>48.73</v>
      </c>
      <c r="N4730" t="s">
        <v>10236</v>
      </c>
    </row>
    <row r="4731" spans="1:14">
      <c r="A4731" t="s">
        <v>35</v>
      </c>
      <c r="B4731" t="s">
        <v>4848</v>
      </c>
      <c r="C4731">
        <f>"YH010MDAM"</f>
        <v>0</v>
      </c>
      <c r="D4731">
        <v>0</v>
      </c>
      <c r="E4731">
        <v>1</v>
      </c>
      <c r="F4731" s="2">
        <v>5</v>
      </c>
      <c r="H4731">
        <v>0</v>
      </c>
      <c r="I4731">
        <v>0.1741125760648204</v>
      </c>
      <c r="J4731">
        <v>0</v>
      </c>
      <c r="K4731">
        <v>0</v>
      </c>
      <c r="L4731" s="2">
        <v>0</v>
      </c>
      <c r="M4731">
        <v>48.74</v>
      </c>
      <c r="N4731" t="s">
        <v>10236</v>
      </c>
    </row>
    <row r="4732" spans="1:14">
      <c r="A4732" t="s">
        <v>35</v>
      </c>
      <c r="B4732" t="s">
        <v>4849</v>
      </c>
      <c r="C4732">
        <f>"YH010LDAZ"</f>
        <v>0</v>
      </c>
      <c r="D4732">
        <v>0</v>
      </c>
      <c r="E4732">
        <v>1</v>
      </c>
      <c r="F4732" s="2">
        <v>5</v>
      </c>
      <c r="H4732">
        <v>0</v>
      </c>
      <c r="I4732">
        <v>0.1741125760648204</v>
      </c>
      <c r="J4732">
        <v>0</v>
      </c>
      <c r="K4732">
        <v>0</v>
      </c>
      <c r="L4732" s="2">
        <v>0</v>
      </c>
      <c r="M4732">
        <v>48.75</v>
      </c>
      <c r="N4732" t="s">
        <v>10236</v>
      </c>
    </row>
    <row r="4733" spans="1:14">
      <c r="A4733" t="s">
        <v>35</v>
      </c>
      <c r="B4733" t="s">
        <v>4850</v>
      </c>
      <c r="C4733">
        <f>"YH010LAM"</f>
        <v>0</v>
      </c>
      <c r="D4733">
        <v>0</v>
      </c>
      <c r="E4733">
        <v>1</v>
      </c>
      <c r="F4733" s="2">
        <v>5</v>
      </c>
      <c r="H4733">
        <v>0</v>
      </c>
      <c r="I4733">
        <v>0.1741125760648204</v>
      </c>
      <c r="J4733">
        <v>0</v>
      </c>
      <c r="K4733">
        <v>0</v>
      </c>
      <c r="L4733" s="2">
        <v>0</v>
      </c>
      <c r="M4733">
        <v>48.76</v>
      </c>
      <c r="N4733" t="s">
        <v>10236</v>
      </c>
    </row>
    <row r="4734" spans="1:14">
      <c r="A4734" t="s">
        <v>35</v>
      </c>
      <c r="B4734" t="s">
        <v>4851</v>
      </c>
      <c r="C4734">
        <f>"WD859"</f>
        <v>0</v>
      </c>
      <c r="D4734">
        <v>0</v>
      </c>
      <c r="E4734">
        <v>0</v>
      </c>
      <c r="F4734" s="2">
        <v>0</v>
      </c>
      <c r="H4734">
        <v>0</v>
      </c>
      <c r="I4734">
        <v>0.1741125760648204</v>
      </c>
      <c r="J4734">
        <v>0</v>
      </c>
      <c r="K4734">
        <v>0</v>
      </c>
      <c r="L4734" s="2">
        <v>0</v>
      </c>
      <c r="M4734">
        <v>48.77</v>
      </c>
      <c r="N4734" t="s">
        <v>10236</v>
      </c>
    </row>
    <row r="4735" spans="1:14">
      <c r="A4735" t="s">
        <v>35</v>
      </c>
      <c r="B4735" t="s">
        <v>4852</v>
      </c>
      <c r="C4735">
        <f>"JWL1051M"</f>
        <v>0</v>
      </c>
      <c r="D4735">
        <v>0</v>
      </c>
      <c r="E4735">
        <v>13</v>
      </c>
      <c r="F4735" s="2">
        <v>2</v>
      </c>
      <c r="H4735">
        <v>0</v>
      </c>
      <c r="I4735">
        <v>0.1741125760648204</v>
      </c>
      <c r="J4735">
        <v>0</v>
      </c>
      <c r="K4735">
        <v>0</v>
      </c>
      <c r="L4735" s="2">
        <v>0</v>
      </c>
      <c r="M4735">
        <v>48.77</v>
      </c>
      <c r="N4735" t="s">
        <v>10236</v>
      </c>
    </row>
    <row r="4736" spans="1:14">
      <c r="A4736" t="s">
        <v>35</v>
      </c>
      <c r="B4736" t="s">
        <v>4853</v>
      </c>
      <c r="C4736">
        <f>"JWL1060M"</f>
        <v>0</v>
      </c>
      <c r="D4736">
        <v>0</v>
      </c>
      <c r="E4736">
        <v>15</v>
      </c>
      <c r="F4736" s="2">
        <v>2</v>
      </c>
      <c r="H4736">
        <v>0</v>
      </c>
      <c r="I4736">
        <v>0.1741125760648204</v>
      </c>
      <c r="J4736">
        <v>0</v>
      </c>
      <c r="K4736">
        <v>0</v>
      </c>
      <c r="L4736" s="2">
        <v>0</v>
      </c>
      <c r="M4736">
        <v>48.78</v>
      </c>
      <c r="N4736" t="s">
        <v>10236</v>
      </c>
    </row>
    <row r="4737" spans="1:14">
      <c r="A4737" t="s">
        <v>35</v>
      </c>
      <c r="B4737" t="s">
        <v>4854</v>
      </c>
      <c r="C4737">
        <f>"JWL1042M"</f>
        <v>0</v>
      </c>
      <c r="D4737">
        <v>0</v>
      </c>
      <c r="E4737">
        <v>13</v>
      </c>
      <c r="F4737" s="2">
        <v>2</v>
      </c>
      <c r="H4737">
        <v>0</v>
      </c>
      <c r="I4737">
        <v>0.1741125760648204</v>
      </c>
      <c r="J4737">
        <v>0</v>
      </c>
      <c r="K4737">
        <v>0</v>
      </c>
      <c r="L4737" s="2">
        <v>0</v>
      </c>
      <c r="M4737">
        <v>48.79</v>
      </c>
      <c r="N4737" t="s">
        <v>10236</v>
      </c>
    </row>
    <row r="4738" spans="1:14">
      <c r="A4738" t="s">
        <v>35</v>
      </c>
      <c r="B4738" t="s">
        <v>4855</v>
      </c>
      <c r="C4738">
        <f>"JWL1047M"</f>
        <v>0</v>
      </c>
      <c r="D4738">
        <v>0</v>
      </c>
      <c r="E4738">
        <v>22</v>
      </c>
      <c r="F4738" s="2">
        <v>2</v>
      </c>
      <c r="H4738">
        <v>0</v>
      </c>
      <c r="I4738">
        <v>0.1741125760648204</v>
      </c>
      <c r="J4738">
        <v>0</v>
      </c>
      <c r="K4738">
        <v>0</v>
      </c>
      <c r="L4738" s="2">
        <v>0</v>
      </c>
      <c r="M4738">
        <v>48.8</v>
      </c>
      <c r="N4738" t="s">
        <v>10236</v>
      </c>
    </row>
    <row r="4739" spans="1:14">
      <c r="A4739" t="s">
        <v>35</v>
      </c>
      <c r="B4739" t="s">
        <v>4856</v>
      </c>
      <c r="C4739">
        <f>"WIN49AZ"</f>
        <v>0</v>
      </c>
      <c r="D4739">
        <v>0</v>
      </c>
      <c r="E4739">
        <v>0</v>
      </c>
      <c r="F4739" s="2">
        <v>0</v>
      </c>
      <c r="H4739">
        <v>0</v>
      </c>
      <c r="I4739">
        <v>0.1741125760648204</v>
      </c>
      <c r="J4739">
        <v>0</v>
      </c>
      <c r="K4739">
        <v>0</v>
      </c>
      <c r="L4739" s="2">
        <v>0</v>
      </c>
      <c r="M4739">
        <v>48.81</v>
      </c>
      <c r="N4739" t="s">
        <v>10236</v>
      </c>
    </row>
    <row r="4740" spans="1:14">
      <c r="A4740" t="s">
        <v>35</v>
      </c>
      <c r="B4740" t="s">
        <v>4857</v>
      </c>
      <c r="C4740">
        <f>"1761SROJ"</f>
        <v>0</v>
      </c>
      <c r="D4740">
        <v>0</v>
      </c>
      <c r="E4740">
        <v>2</v>
      </c>
      <c r="F4740" s="2">
        <v>0</v>
      </c>
      <c r="H4740">
        <v>0</v>
      </c>
      <c r="I4740">
        <v>0.1741125760648204</v>
      </c>
      <c r="J4740">
        <v>0</v>
      </c>
      <c r="K4740">
        <v>0</v>
      </c>
      <c r="L4740" s="2">
        <v>0</v>
      </c>
      <c r="M4740">
        <v>48.82</v>
      </c>
      <c r="N4740" t="s">
        <v>10236</v>
      </c>
    </row>
    <row r="4741" spans="1:14">
      <c r="A4741" t="s">
        <v>35</v>
      </c>
      <c r="B4741" t="s">
        <v>4858</v>
      </c>
      <c r="C4741">
        <f>"JWL1012M"</f>
        <v>0</v>
      </c>
      <c r="D4741">
        <v>0</v>
      </c>
      <c r="E4741">
        <v>22</v>
      </c>
      <c r="F4741" s="2">
        <v>1</v>
      </c>
      <c r="H4741">
        <v>0</v>
      </c>
      <c r="I4741">
        <v>0.1741125760648204</v>
      </c>
      <c r="J4741">
        <v>0</v>
      </c>
      <c r="K4741">
        <v>0</v>
      </c>
      <c r="L4741" s="2">
        <v>0</v>
      </c>
      <c r="M4741">
        <v>48.83</v>
      </c>
      <c r="N4741" t="s">
        <v>10236</v>
      </c>
    </row>
    <row r="4742" spans="1:14">
      <c r="A4742" t="s">
        <v>35</v>
      </c>
      <c r="B4742" t="s">
        <v>4859</v>
      </c>
      <c r="C4742">
        <f>"JWL1010M"</f>
        <v>0</v>
      </c>
      <c r="D4742">
        <v>0</v>
      </c>
      <c r="E4742">
        <v>7</v>
      </c>
      <c r="F4742" s="2">
        <v>1</v>
      </c>
      <c r="H4742">
        <v>0</v>
      </c>
      <c r="I4742">
        <v>0.1741125760648204</v>
      </c>
      <c r="J4742">
        <v>0</v>
      </c>
      <c r="K4742">
        <v>0</v>
      </c>
      <c r="L4742" s="2">
        <v>0</v>
      </c>
      <c r="M4742">
        <v>48.84</v>
      </c>
      <c r="N4742" t="s">
        <v>10236</v>
      </c>
    </row>
    <row r="4743" spans="1:14">
      <c r="A4743" t="s">
        <v>35</v>
      </c>
      <c r="B4743" t="s">
        <v>4860</v>
      </c>
      <c r="C4743">
        <f>"JWL1016M"</f>
        <v>0</v>
      </c>
      <c r="D4743">
        <v>0</v>
      </c>
      <c r="E4743">
        <v>16</v>
      </c>
      <c r="F4743" s="2">
        <v>1</v>
      </c>
      <c r="H4743">
        <v>0</v>
      </c>
      <c r="I4743">
        <v>0.1741125760648204</v>
      </c>
      <c r="J4743">
        <v>0</v>
      </c>
      <c r="K4743">
        <v>0</v>
      </c>
      <c r="L4743" s="2">
        <v>0</v>
      </c>
      <c r="M4743">
        <v>48.85</v>
      </c>
      <c r="N4743" t="s">
        <v>10236</v>
      </c>
    </row>
    <row r="4744" spans="1:14">
      <c r="A4744" t="s">
        <v>35</v>
      </c>
      <c r="B4744" t="s">
        <v>4861</v>
      </c>
      <c r="C4744">
        <f>"JWL1027M"</f>
        <v>0</v>
      </c>
      <c r="D4744">
        <v>0</v>
      </c>
      <c r="E4744">
        <v>6</v>
      </c>
      <c r="F4744" s="2">
        <v>1</v>
      </c>
      <c r="H4744">
        <v>0</v>
      </c>
      <c r="I4744">
        <v>0.1741125760648204</v>
      </c>
      <c r="J4744">
        <v>0</v>
      </c>
      <c r="K4744">
        <v>0</v>
      </c>
      <c r="L4744" s="2">
        <v>0</v>
      </c>
      <c r="M4744">
        <v>48.86</v>
      </c>
      <c r="N4744" t="s">
        <v>10236</v>
      </c>
    </row>
    <row r="4745" spans="1:14">
      <c r="A4745" t="s">
        <v>35</v>
      </c>
      <c r="B4745" t="s">
        <v>4862</v>
      </c>
      <c r="C4745">
        <f>"JWL1024M"</f>
        <v>0</v>
      </c>
      <c r="D4745">
        <v>0</v>
      </c>
      <c r="E4745">
        <v>19</v>
      </c>
      <c r="F4745" s="2">
        <v>1</v>
      </c>
      <c r="H4745">
        <v>0</v>
      </c>
      <c r="I4745">
        <v>0.1741125760648204</v>
      </c>
      <c r="J4745">
        <v>0</v>
      </c>
      <c r="K4745">
        <v>0</v>
      </c>
      <c r="L4745" s="2">
        <v>0</v>
      </c>
      <c r="M4745">
        <v>48.87</v>
      </c>
      <c r="N4745" t="s">
        <v>10236</v>
      </c>
    </row>
    <row r="4746" spans="1:14">
      <c r="A4746" t="s">
        <v>35</v>
      </c>
      <c r="B4746" t="s">
        <v>4863</v>
      </c>
      <c r="C4746">
        <f>"JWL1032M"</f>
        <v>0</v>
      </c>
      <c r="D4746">
        <v>0</v>
      </c>
      <c r="E4746">
        <v>18</v>
      </c>
      <c r="F4746" s="2">
        <v>1</v>
      </c>
      <c r="H4746">
        <v>0</v>
      </c>
      <c r="I4746">
        <v>0.1741125760648204</v>
      </c>
      <c r="J4746">
        <v>0</v>
      </c>
      <c r="K4746">
        <v>0</v>
      </c>
      <c r="L4746" s="2">
        <v>0</v>
      </c>
      <c r="M4746">
        <v>48.88</v>
      </c>
      <c r="N4746" t="s">
        <v>10236</v>
      </c>
    </row>
    <row r="4747" spans="1:14">
      <c r="A4747" t="s">
        <v>35</v>
      </c>
      <c r="B4747" t="s">
        <v>4864</v>
      </c>
      <c r="C4747">
        <f>"PPXLD8"</f>
        <v>0</v>
      </c>
      <c r="D4747">
        <v>0</v>
      </c>
      <c r="E4747">
        <v>0</v>
      </c>
      <c r="F4747" s="2">
        <v>0</v>
      </c>
      <c r="H4747">
        <v>0</v>
      </c>
      <c r="I4747">
        <v>0.1741125760648204</v>
      </c>
      <c r="J4747">
        <v>0</v>
      </c>
      <c r="K4747">
        <v>0</v>
      </c>
      <c r="L4747" s="2">
        <v>0</v>
      </c>
      <c r="M4747">
        <v>48.89</v>
      </c>
      <c r="N4747" t="s">
        <v>10236</v>
      </c>
    </row>
    <row r="4748" spans="1:14">
      <c r="A4748" t="s">
        <v>35</v>
      </c>
      <c r="B4748" t="s">
        <v>4865</v>
      </c>
      <c r="C4748">
        <f>"1840S"</f>
        <v>0</v>
      </c>
      <c r="D4748">
        <v>0</v>
      </c>
      <c r="E4748">
        <v>2</v>
      </c>
      <c r="F4748" s="2">
        <v>4</v>
      </c>
      <c r="H4748">
        <v>0</v>
      </c>
      <c r="I4748">
        <v>0.1741125760648204</v>
      </c>
      <c r="J4748">
        <v>0</v>
      </c>
      <c r="K4748">
        <v>0</v>
      </c>
      <c r="L4748" s="2">
        <v>0</v>
      </c>
      <c r="M4748">
        <v>48.89</v>
      </c>
      <c r="N4748" t="s">
        <v>10236</v>
      </c>
    </row>
    <row r="4749" spans="1:14">
      <c r="A4749" t="s">
        <v>35</v>
      </c>
      <c r="B4749" t="s">
        <v>4866</v>
      </c>
      <c r="C4749">
        <f>"1840M"</f>
        <v>0</v>
      </c>
      <c r="D4749">
        <v>0</v>
      </c>
      <c r="E4749">
        <v>3</v>
      </c>
      <c r="F4749" s="2">
        <v>4</v>
      </c>
      <c r="H4749">
        <v>0</v>
      </c>
      <c r="I4749">
        <v>0.1741125760648204</v>
      </c>
      <c r="J4749">
        <v>0</v>
      </c>
      <c r="K4749">
        <v>0</v>
      </c>
      <c r="L4749" s="2">
        <v>0</v>
      </c>
      <c r="M4749">
        <v>48.9</v>
      </c>
      <c r="N4749" t="s">
        <v>10236</v>
      </c>
    </row>
    <row r="4750" spans="1:14">
      <c r="A4750" t="s">
        <v>35</v>
      </c>
      <c r="B4750" t="s">
        <v>4867</v>
      </c>
      <c r="C4750">
        <f>"1840L"</f>
        <v>0</v>
      </c>
      <c r="D4750">
        <v>0</v>
      </c>
      <c r="E4750">
        <v>2</v>
      </c>
      <c r="F4750" s="2">
        <v>4</v>
      </c>
      <c r="H4750">
        <v>0</v>
      </c>
      <c r="I4750">
        <v>0.1741125760648204</v>
      </c>
      <c r="J4750">
        <v>0</v>
      </c>
      <c r="K4750">
        <v>0</v>
      </c>
      <c r="L4750" s="2">
        <v>0</v>
      </c>
      <c r="M4750">
        <v>48.91</v>
      </c>
      <c r="N4750" t="s">
        <v>10236</v>
      </c>
    </row>
    <row r="4751" spans="1:14">
      <c r="A4751" t="s">
        <v>35</v>
      </c>
      <c r="B4751" t="s">
        <v>4868</v>
      </c>
      <c r="C4751">
        <f>"WD076"</f>
        <v>0</v>
      </c>
      <c r="D4751">
        <v>0</v>
      </c>
      <c r="E4751">
        <v>2</v>
      </c>
      <c r="F4751" s="2">
        <v>1</v>
      </c>
      <c r="H4751">
        <v>0</v>
      </c>
      <c r="I4751">
        <v>0.1741125760648204</v>
      </c>
      <c r="J4751">
        <v>0</v>
      </c>
      <c r="K4751">
        <v>0</v>
      </c>
      <c r="L4751" s="2">
        <v>0</v>
      </c>
      <c r="M4751">
        <v>48.92</v>
      </c>
      <c r="N4751" t="s">
        <v>10236</v>
      </c>
    </row>
    <row r="4752" spans="1:14">
      <c r="A4752" t="s">
        <v>35</v>
      </c>
      <c r="B4752" t="s">
        <v>4868</v>
      </c>
      <c r="C4752">
        <f>"WD109"</f>
        <v>0</v>
      </c>
      <c r="D4752">
        <v>0</v>
      </c>
      <c r="E4752">
        <v>0</v>
      </c>
      <c r="F4752" s="2">
        <v>0</v>
      </c>
      <c r="H4752">
        <v>0</v>
      </c>
      <c r="I4752">
        <v>0.1741125760648204</v>
      </c>
      <c r="J4752">
        <v>0</v>
      </c>
      <c r="K4752">
        <v>0</v>
      </c>
      <c r="L4752" s="2">
        <v>0</v>
      </c>
      <c r="M4752">
        <v>48.93</v>
      </c>
      <c r="N4752" t="s">
        <v>10236</v>
      </c>
    </row>
    <row r="4753" spans="1:14">
      <c r="A4753" t="s">
        <v>35</v>
      </c>
      <c r="B4753" t="s">
        <v>4869</v>
      </c>
      <c r="C4753">
        <f>"WD554"</f>
        <v>0</v>
      </c>
      <c r="D4753">
        <v>0</v>
      </c>
      <c r="E4753">
        <v>0</v>
      </c>
      <c r="F4753" s="2">
        <v>0</v>
      </c>
      <c r="H4753">
        <v>0</v>
      </c>
      <c r="I4753">
        <v>0.1741125760648204</v>
      </c>
      <c r="J4753">
        <v>0</v>
      </c>
      <c r="K4753">
        <v>0</v>
      </c>
      <c r="L4753" s="2">
        <v>0</v>
      </c>
      <c r="M4753">
        <v>48.94</v>
      </c>
      <c r="N4753" t="s">
        <v>10236</v>
      </c>
    </row>
    <row r="4754" spans="1:14">
      <c r="A4754" t="s">
        <v>35</v>
      </c>
      <c r="B4754" t="s">
        <v>4870</v>
      </c>
      <c r="C4754">
        <f>"186G"</f>
        <v>0</v>
      </c>
      <c r="D4754">
        <v>0</v>
      </c>
      <c r="E4754">
        <v>2</v>
      </c>
      <c r="F4754" s="2">
        <v>7</v>
      </c>
      <c r="H4754">
        <v>0</v>
      </c>
      <c r="I4754">
        <v>0.1741125760648204</v>
      </c>
      <c r="J4754">
        <v>0</v>
      </c>
      <c r="K4754">
        <v>0</v>
      </c>
      <c r="L4754" s="2">
        <v>0</v>
      </c>
      <c r="M4754">
        <v>48.95</v>
      </c>
      <c r="N4754" t="s">
        <v>10236</v>
      </c>
    </row>
    <row r="4755" spans="1:14">
      <c r="A4755" t="s">
        <v>35</v>
      </c>
      <c r="B4755" t="s">
        <v>4871</v>
      </c>
      <c r="C4755">
        <f>"JWL1052M"</f>
        <v>0</v>
      </c>
      <c r="D4755">
        <v>0</v>
      </c>
      <c r="E4755">
        <v>5</v>
      </c>
      <c r="F4755" s="2">
        <v>2</v>
      </c>
      <c r="H4755">
        <v>0</v>
      </c>
      <c r="I4755">
        <v>0.1741125760648204</v>
      </c>
      <c r="J4755">
        <v>0</v>
      </c>
      <c r="K4755">
        <v>0</v>
      </c>
      <c r="L4755" s="2">
        <v>0</v>
      </c>
      <c r="M4755">
        <v>48.96</v>
      </c>
      <c r="N4755" t="s">
        <v>10236</v>
      </c>
    </row>
    <row r="4756" spans="1:14">
      <c r="A4756" t="s">
        <v>35</v>
      </c>
      <c r="B4756" t="s">
        <v>4872</v>
      </c>
      <c r="C4756">
        <f>"L026"</f>
        <v>0</v>
      </c>
      <c r="D4756">
        <v>0</v>
      </c>
      <c r="E4756">
        <v>16</v>
      </c>
      <c r="F4756" s="2">
        <v>4</v>
      </c>
      <c r="H4756">
        <v>0</v>
      </c>
      <c r="I4756">
        <v>0.1741125760648204</v>
      </c>
      <c r="J4756">
        <v>0</v>
      </c>
      <c r="K4756">
        <v>0</v>
      </c>
      <c r="L4756" s="2">
        <v>0</v>
      </c>
      <c r="M4756">
        <v>48.97</v>
      </c>
      <c r="N4756" t="s">
        <v>10236</v>
      </c>
    </row>
    <row r="4757" spans="1:14">
      <c r="A4757" t="s">
        <v>35</v>
      </c>
      <c r="B4757" t="s">
        <v>4873</v>
      </c>
      <c r="C4757">
        <f>"L027"</f>
        <v>0</v>
      </c>
      <c r="D4757">
        <v>0</v>
      </c>
      <c r="E4757">
        <v>22</v>
      </c>
      <c r="F4757" s="2">
        <v>4</v>
      </c>
      <c r="H4757">
        <v>0</v>
      </c>
      <c r="I4757">
        <v>0.1741125760648204</v>
      </c>
      <c r="J4757">
        <v>0</v>
      </c>
      <c r="K4757">
        <v>0</v>
      </c>
      <c r="L4757" s="2">
        <v>0</v>
      </c>
      <c r="M4757">
        <v>48.98</v>
      </c>
      <c r="N4757" t="s">
        <v>10236</v>
      </c>
    </row>
    <row r="4758" spans="1:14">
      <c r="A4758" t="s">
        <v>35</v>
      </c>
      <c r="B4758" t="s">
        <v>4874</v>
      </c>
      <c r="C4758">
        <f>"LS196N"</f>
        <v>0</v>
      </c>
      <c r="D4758">
        <v>0</v>
      </c>
      <c r="E4758">
        <v>2</v>
      </c>
      <c r="F4758" s="2">
        <v>10</v>
      </c>
      <c r="H4758">
        <v>0</v>
      </c>
      <c r="I4758">
        <v>0.1741125760648204</v>
      </c>
      <c r="J4758">
        <v>0</v>
      </c>
      <c r="K4758">
        <v>0</v>
      </c>
      <c r="L4758" s="2">
        <v>0</v>
      </c>
      <c r="M4758">
        <v>48.99</v>
      </c>
      <c r="N4758" t="s">
        <v>10236</v>
      </c>
    </row>
    <row r="4759" spans="1:14">
      <c r="A4759" t="s">
        <v>35</v>
      </c>
      <c r="B4759" t="s">
        <v>4875</v>
      </c>
      <c r="C4759">
        <f>"LS196B"</f>
        <v>0</v>
      </c>
      <c r="D4759">
        <v>0</v>
      </c>
      <c r="E4759">
        <v>1</v>
      </c>
      <c r="F4759" s="2">
        <v>10</v>
      </c>
      <c r="H4759">
        <v>0</v>
      </c>
      <c r="I4759">
        <v>0.1741125760648204</v>
      </c>
      <c r="J4759">
        <v>0</v>
      </c>
      <c r="K4759">
        <v>0</v>
      </c>
      <c r="L4759" s="2">
        <v>0</v>
      </c>
      <c r="M4759">
        <v>49</v>
      </c>
      <c r="N4759" t="s">
        <v>10236</v>
      </c>
    </row>
    <row r="4760" spans="1:14">
      <c r="A4760" t="s">
        <v>35</v>
      </c>
      <c r="B4760" t="s">
        <v>4876</v>
      </c>
      <c r="C4760">
        <f>"WD904VE"</f>
        <v>0</v>
      </c>
      <c r="D4760">
        <v>0</v>
      </c>
      <c r="E4760">
        <v>2</v>
      </c>
      <c r="F4760" s="2">
        <v>5</v>
      </c>
      <c r="H4760">
        <v>0</v>
      </c>
      <c r="I4760">
        <v>0.1741125760648204</v>
      </c>
      <c r="J4760">
        <v>0</v>
      </c>
      <c r="K4760">
        <v>0</v>
      </c>
      <c r="L4760" s="2">
        <v>0</v>
      </c>
      <c r="M4760">
        <v>49.01</v>
      </c>
      <c r="N4760" t="s">
        <v>10236</v>
      </c>
    </row>
    <row r="4761" spans="1:14">
      <c r="A4761" t="s">
        <v>35</v>
      </c>
      <c r="B4761" t="s">
        <v>4877</v>
      </c>
      <c r="C4761">
        <f>"LS196"</f>
        <v>0</v>
      </c>
      <c r="D4761">
        <v>0</v>
      </c>
      <c r="E4761">
        <v>0</v>
      </c>
      <c r="F4761" s="2">
        <v>0</v>
      </c>
      <c r="H4761">
        <v>0</v>
      </c>
      <c r="I4761">
        <v>0.1741125760648204</v>
      </c>
      <c r="J4761">
        <v>0</v>
      </c>
      <c r="K4761">
        <v>0</v>
      </c>
      <c r="L4761" s="2">
        <v>0</v>
      </c>
      <c r="M4761">
        <v>49.01</v>
      </c>
      <c r="N4761" t="s">
        <v>10236</v>
      </c>
    </row>
    <row r="4762" spans="1:14">
      <c r="A4762" t="s">
        <v>35</v>
      </c>
      <c r="B4762" t="s">
        <v>4878</v>
      </c>
      <c r="C4762">
        <f>"S95"</f>
        <v>0</v>
      </c>
      <c r="D4762">
        <v>0</v>
      </c>
      <c r="E4762">
        <v>2</v>
      </c>
      <c r="F4762" s="2">
        <v>13</v>
      </c>
      <c r="H4762">
        <v>0</v>
      </c>
      <c r="I4762">
        <v>0.1741125760648204</v>
      </c>
      <c r="J4762">
        <v>0</v>
      </c>
      <c r="K4762">
        <v>0</v>
      </c>
      <c r="L4762" s="2">
        <v>0</v>
      </c>
      <c r="M4762">
        <v>49.02</v>
      </c>
      <c r="N4762" t="s">
        <v>10236</v>
      </c>
    </row>
    <row r="4763" spans="1:14">
      <c r="A4763" t="s">
        <v>35</v>
      </c>
      <c r="B4763" t="s">
        <v>4879</v>
      </c>
      <c r="C4763">
        <f>"LS173VL"</f>
        <v>0</v>
      </c>
      <c r="D4763">
        <v>0</v>
      </c>
      <c r="E4763">
        <v>0</v>
      </c>
      <c r="F4763" s="2">
        <v>0</v>
      </c>
      <c r="H4763">
        <v>0</v>
      </c>
      <c r="I4763">
        <v>0.1741125760648204</v>
      </c>
      <c r="J4763">
        <v>0</v>
      </c>
      <c r="K4763">
        <v>0</v>
      </c>
      <c r="L4763" s="2">
        <v>0</v>
      </c>
      <c r="M4763">
        <v>49.03</v>
      </c>
      <c r="N4763" t="s">
        <v>10236</v>
      </c>
    </row>
    <row r="4764" spans="1:14">
      <c r="A4764" t="s">
        <v>35</v>
      </c>
      <c r="B4764" t="s">
        <v>4880</v>
      </c>
      <c r="C4764">
        <f>"WIN40RA"</f>
        <v>0</v>
      </c>
      <c r="D4764">
        <v>0</v>
      </c>
      <c r="E4764">
        <v>0</v>
      </c>
      <c r="F4764" s="2">
        <v>0</v>
      </c>
      <c r="H4764">
        <v>0</v>
      </c>
      <c r="I4764">
        <v>0.1741125760648204</v>
      </c>
      <c r="J4764">
        <v>0</v>
      </c>
      <c r="K4764">
        <v>0</v>
      </c>
      <c r="L4764" s="2">
        <v>0</v>
      </c>
      <c r="M4764">
        <v>49.04</v>
      </c>
      <c r="N4764" t="s">
        <v>10236</v>
      </c>
    </row>
    <row r="4765" spans="1:14">
      <c r="A4765" t="s">
        <v>35</v>
      </c>
      <c r="B4765" t="s">
        <v>4881</v>
      </c>
      <c r="C4765">
        <f>"WIN40B"</f>
        <v>0</v>
      </c>
      <c r="D4765">
        <v>0</v>
      </c>
      <c r="E4765">
        <v>0</v>
      </c>
      <c r="F4765" s="2">
        <v>0</v>
      </c>
      <c r="H4765">
        <v>0</v>
      </c>
      <c r="I4765">
        <v>0.1741125760648204</v>
      </c>
      <c r="J4765">
        <v>0</v>
      </c>
      <c r="K4765">
        <v>0</v>
      </c>
      <c r="L4765" s="2">
        <v>0</v>
      </c>
      <c r="M4765">
        <v>49.05</v>
      </c>
      <c r="N4765" t="s">
        <v>10236</v>
      </c>
    </row>
    <row r="4766" spans="1:14">
      <c r="A4766" t="s">
        <v>35</v>
      </c>
      <c r="B4766" t="s">
        <v>4882</v>
      </c>
      <c r="C4766">
        <f>"WIN40"</f>
        <v>0</v>
      </c>
      <c r="D4766">
        <v>0</v>
      </c>
      <c r="E4766">
        <v>1</v>
      </c>
      <c r="F4766" s="2">
        <v>4</v>
      </c>
      <c r="H4766">
        <v>0</v>
      </c>
      <c r="I4766">
        <v>0.1741125760648204</v>
      </c>
      <c r="J4766">
        <v>0</v>
      </c>
      <c r="K4766">
        <v>0</v>
      </c>
      <c r="L4766" s="2">
        <v>0</v>
      </c>
      <c r="M4766">
        <v>49.06</v>
      </c>
      <c r="N4766" t="s">
        <v>10236</v>
      </c>
    </row>
    <row r="4767" spans="1:14">
      <c r="A4767" t="s">
        <v>35</v>
      </c>
      <c r="B4767" t="s">
        <v>4883</v>
      </c>
      <c r="C4767">
        <f>"LS172N"</f>
        <v>0</v>
      </c>
      <c r="D4767">
        <v>0</v>
      </c>
      <c r="E4767">
        <v>0</v>
      </c>
      <c r="F4767" s="2">
        <v>0</v>
      </c>
      <c r="H4767">
        <v>0</v>
      </c>
      <c r="I4767">
        <v>0.1741125760648204</v>
      </c>
      <c r="J4767">
        <v>0</v>
      </c>
      <c r="K4767">
        <v>0</v>
      </c>
      <c r="L4767" s="2">
        <v>0</v>
      </c>
      <c r="M4767">
        <v>49.07</v>
      </c>
      <c r="N4767" t="s">
        <v>10236</v>
      </c>
    </row>
    <row r="4768" spans="1:14">
      <c r="A4768" t="s">
        <v>35</v>
      </c>
      <c r="B4768" t="s">
        <v>4884</v>
      </c>
      <c r="C4768">
        <f>"LS171VL"</f>
        <v>0</v>
      </c>
      <c r="D4768">
        <v>0</v>
      </c>
      <c r="E4768">
        <v>1</v>
      </c>
      <c r="F4768" s="2">
        <v>4</v>
      </c>
      <c r="H4768">
        <v>0</v>
      </c>
      <c r="I4768">
        <v>0.1741125760648204</v>
      </c>
      <c r="J4768">
        <v>0</v>
      </c>
      <c r="K4768">
        <v>0</v>
      </c>
      <c r="L4768" s="2">
        <v>0</v>
      </c>
      <c r="M4768">
        <v>49.08</v>
      </c>
      <c r="N4768" t="s">
        <v>10236</v>
      </c>
    </row>
    <row r="4769" spans="1:14">
      <c r="A4769" t="s">
        <v>35</v>
      </c>
      <c r="B4769" t="s">
        <v>4885</v>
      </c>
      <c r="C4769">
        <f>"LS171N"</f>
        <v>0</v>
      </c>
      <c r="D4769">
        <v>0</v>
      </c>
      <c r="E4769">
        <v>0</v>
      </c>
      <c r="F4769" s="2">
        <v>0</v>
      </c>
      <c r="H4769">
        <v>0</v>
      </c>
      <c r="I4769">
        <v>0.1741125760648204</v>
      </c>
      <c r="J4769">
        <v>0</v>
      </c>
      <c r="K4769">
        <v>0</v>
      </c>
      <c r="L4769" s="2">
        <v>0</v>
      </c>
      <c r="M4769">
        <v>49.09</v>
      </c>
      <c r="N4769" t="s">
        <v>10236</v>
      </c>
    </row>
    <row r="4770" spans="1:14">
      <c r="A4770" t="s">
        <v>35</v>
      </c>
      <c r="B4770" t="s">
        <v>4886</v>
      </c>
      <c r="C4770">
        <f>"PQ113G"</f>
        <v>0</v>
      </c>
      <c r="D4770">
        <v>0</v>
      </c>
      <c r="E4770">
        <v>2</v>
      </c>
      <c r="F4770" s="2">
        <v>1</v>
      </c>
      <c r="H4770">
        <v>0</v>
      </c>
      <c r="I4770">
        <v>0.1741125760648204</v>
      </c>
      <c r="J4770">
        <v>0</v>
      </c>
      <c r="K4770">
        <v>0</v>
      </c>
      <c r="L4770" s="2">
        <v>0</v>
      </c>
      <c r="M4770">
        <v>49.1</v>
      </c>
      <c r="N4770" t="s">
        <v>10236</v>
      </c>
    </row>
    <row r="4771" spans="1:14">
      <c r="A4771" t="s">
        <v>35</v>
      </c>
      <c r="B4771" t="s">
        <v>4887</v>
      </c>
      <c r="C4771">
        <f>"TRWS"</f>
        <v>0</v>
      </c>
      <c r="D4771">
        <v>0</v>
      </c>
      <c r="E4771">
        <v>1</v>
      </c>
      <c r="F4771" s="2">
        <v>12</v>
      </c>
      <c r="H4771">
        <v>0</v>
      </c>
      <c r="I4771">
        <v>0.1741125760648204</v>
      </c>
      <c r="J4771">
        <v>0</v>
      </c>
      <c r="K4771">
        <v>0</v>
      </c>
      <c r="L4771" s="2">
        <v>0</v>
      </c>
      <c r="M4771">
        <v>49.11</v>
      </c>
      <c r="N4771" t="s">
        <v>10236</v>
      </c>
    </row>
    <row r="4772" spans="1:14">
      <c r="A4772" t="s">
        <v>35</v>
      </c>
      <c r="B4772" t="s">
        <v>4888</v>
      </c>
      <c r="C4772">
        <f>"TRWM"</f>
        <v>0</v>
      </c>
      <c r="D4772">
        <v>0</v>
      </c>
      <c r="E4772">
        <v>1</v>
      </c>
      <c r="F4772" s="2">
        <v>16</v>
      </c>
      <c r="H4772">
        <v>0</v>
      </c>
      <c r="I4772">
        <v>0.1741125760648204</v>
      </c>
      <c r="J4772">
        <v>0</v>
      </c>
      <c r="K4772">
        <v>0</v>
      </c>
      <c r="L4772" s="2">
        <v>0</v>
      </c>
      <c r="M4772">
        <v>49.12</v>
      </c>
      <c r="N4772" t="s">
        <v>10236</v>
      </c>
    </row>
    <row r="4773" spans="1:14">
      <c r="A4773" t="s">
        <v>35</v>
      </c>
      <c r="B4773" t="s">
        <v>4889</v>
      </c>
      <c r="C4773">
        <f>"LL313MVM"</f>
        <v>0</v>
      </c>
      <c r="D4773">
        <v>0</v>
      </c>
      <c r="E4773">
        <v>0</v>
      </c>
      <c r="F4773" s="2">
        <v>0</v>
      </c>
      <c r="H4773">
        <v>0</v>
      </c>
      <c r="I4773">
        <v>0.1741125760648204</v>
      </c>
      <c r="J4773">
        <v>0</v>
      </c>
      <c r="K4773">
        <v>0</v>
      </c>
      <c r="L4773" s="2">
        <v>0</v>
      </c>
      <c r="M4773">
        <v>49.13</v>
      </c>
      <c r="N4773" t="s">
        <v>10236</v>
      </c>
    </row>
    <row r="4774" spans="1:14">
      <c r="A4774" t="s">
        <v>35</v>
      </c>
      <c r="B4774" t="s">
        <v>4890</v>
      </c>
      <c r="C4774">
        <f>"JWL1036M"</f>
        <v>0</v>
      </c>
      <c r="D4774">
        <v>0</v>
      </c>
      <c r="E4774">
        <v>6</v>
      </c>
      <c r="F4774" s="2">
        <v>2</v>
      </c>
      <c r="H4774">
        <v>0</v>
      </c>
      <c r="I4774">
        <v>0.1741125760648204</v>
      </c>
      <c r="J4774">
        <v>0</v>
      </c>
      <c r="K4774">
        <v>0</v>
      </c>
      <c r="L4774" s="2">
        <v>0</v>
      </c>
      <c r="M4774">
        <v>49.13</v>
      </c>
      <c r="N4774" t="s">
        <v>10236</v>
      </c>
    </row>
    <row r="4775" spans="1:14">
      <c r="A4775" t="s">
        <v>35</v>
      </c>
      <c r="B4775" t="s">
        <v>4891</v>
      </c>
      <c r="C4775">
        <f>"LL313MAN"</f>
        <v>0</v>
      </c>
      <c r="D4775">
        <v>0</v>
      </c>
      <c r="E4775">
        <v>0</v>
      </c>
      <c r="F4775" s="2">
        <v>0</v>
      </c>
      <c r="H4775">
        <v>0</v>
      </c>
      <c r="I4775">
        <v>0.1741125760648204</v>
      </c>
      <c r="J4775">
        <v>0</v>
      </c>
      <c r="K4775">
        <v>0</v>
      </c>
      <c r="L4775" s="2">
        <v>0</v>
      </c>
      <c r="M4775">
        <v>49.14</v>
      </c>
      <c r="N4775" t="s">
        <v>10236</v>
      </c>
    </row>
    <row r="4776" spans="1:14">
      <c r="A4776" t="s">
        <v>35</v>
      </c>
      <c r="B4776" t="s">
        <v>4892</v>
      </c>
      <c r="C4776">
        <f>"LL313M"</f>
        <v>0</v>
      </c>
      <c r="D4776">
        <v>0</v>
      </c>
      <c r="E4776">
        <v>0</v>
      </c>
      <c r="F4776" s="2">
        <v>0</v>
      </c>
      <c r="H4776">
        <v>0</v>
      </c>
      <c r="I4776">
        <v>0.1741125760648204</v>
      </c>
      <c r="J4776">
        <v>0</v>
      </c>
      <c r="K4776">
        <v>0</v>
      </c>
      <c r="L4776" s="2">
        <v>0</v>
      </c>
      <c r="M4776">
        <v>49.15</v>
      </c>
      <c r="N4776" t="s">
        <v>10236</v>
      </c>
    </row>
    <row r="4777" spans="1:14">
      <c r="A4777" t="s">
        <v>35</v>
      </c>
      <c r="B4777" t="s">
        <v>4893</v>
      </c>
      <c r="C4777">
        <f>"LL313LAN"</f>
        <v>0</v>
      </c>
      <c r="D4777">
        <v>0</v>
      </c>
      <c r="E4777">
        <v>0</v>
      </c>
      <c r="F4777" s="2">
        <v>0</v>
      </c>
      <c r="H4777">
        <v>0</v>
      </c>
      <c r="I4777">
        <v>0.1741125760648204</v>
      </c>
      <c r="J4777">
        <v>0</v>
      </c>
      <c r="K4777">
        <v>0</v>
      </c>
      <c r="L4777" s="2">
        <v>0</v>
      </c>
      <c r="M4777">
        <v>49.16</v>
      </c>
      <c r="N4777" t="s">
        <v>10236</v>
      </c>
    </row>
    <row r="4778" spans="1:14">
      <c r="A4778" t="s">
        <v>35</v>
      </c>
      <c r="B4778" t="s">
        <v>4894</v>
      </c>
      <c r="C4778">
        <f>"LL313L"</f>
        <v>0</v>
      </c>
      <c r="D4778">
        <v>0</v>
      </c>
      <c r="E4778">
        <v>0</v>
      </c>
      <c r="F4778" s="2">
        <v>0</v>
      </c>
      <c r="H4778">
        <v>0</v>
      </c>
      <c r="I4778">
        <v>0.1741125760648204</v>
      </c>
      <c r="J4778">
        <v>0</v>
      </c>
      <c r="K4778">
        <v>0</v>
      </c>
      <c r="L4778" s="2">
        <v>0</v>
      </c>
      <c r="M4778">
        <v>49.17</v>
      </c>
      <c r="N4778" t="s">
        <v>10236</v>
      </c>
    </row>
    <row r="4779" spans="1:14">
      <c r="A4779" t="s">
        <v>35</v>
      </c>
      <c r="B4779" t="s">
        <v>4895</v>
      </c>
      <c r="C4779">
        <f>"1816"</f>
        <v>0</v>
      </c>
      <c r="D4779">
        <v>0</v>
      </c>
      <c r="E4779">
        <v>1</v>
      </c>
      <c r="F4779" s="2">
        <v>4</v>
      </c>
      <c r="H4779">
        <v>0</v>
      </c>
      <c r="I4779">
        <v>0.1741125760648204</v>
      </c>
      <c r="J4779">
        <v>0</v>
      </c>
      <c r="K4779">
        <v>0</v>
      </c>
      <c r="L4779" s="2">
        <v>0</v>
      </c>
      <c r="M4779">
        <v>49.18</v>
      </c>
      <c r="N4779" t="s">
        <v>10236</v>
      </c>
    </row>
    <row r="4780" spans="1:14">
      <c r="A4780" t="s">
        <v>35</v>
      </c>
      <c r="B4780" t="s">
        <v>4896</v>
      </c>
      <c r="C4780">
        <f>"SL21312NE"</f>
        <v>0</v>
      </c>
      <c r="D4780">
        <v>0</v>
      </c>
      <c r="E4780">
        <v>0</v>
      </c>
      <c r="F4780" s="2">
        <v>0</v>
      </c>
      <c r="H4780">
        <v>0</v>
      </c>
      <c r="I4780">
        <v>0.1741125760648204</v>
      </c>
      <c r="J4780">
        <v>0</v>
      </c>
      <c r="K4780">
        <v>0</v>
      </c>
      <c r="L4780" s="2">
        <v>0</v>
      </c>
      <c r="M4780">
        <v>49.19</v>
      </c>
      <c r="N4780" t="s">
        <v>10236</v>
      </c>
    </row>
    <row r="4781" spans="1:14">
      <c r="A4781" t="s">
        <v>35</v>
      </c>
      <c r="B4781" t="s">
        <v>4897</v>
      </c>
      <c r="C4781">
        <f>"SL21312FUC"</f>
        <v>0</v>
      </c>
      <c r="D4781">
        <v>0</v>
      </c>
      <c r="E4781">
        <v>0</v>
      </c>
      <c r="F4781" s="2">
        <v>0</v>
      </c>
      <c r="H4781">
        <v>0</v>
      </c>
      <c r="I4781">
        <v>0.1741125760648204</v>
      </c>
      <c r="J4781">
        <v>0</v>
      </c>
      <c r="K4781">
        <v>0</v>
      </c>
      <c r="L4781" s="2">
        <v>0</v>
      </c>
      <c r="M4781">
        <v>49.2</v>
      </c>
      <c r="N4781" t="s">
        <v>10236</v>
      </c>
    </row>
    <row r="4782" spans="1:14">
      <c r="A4782" t="s">
        <v>35</v>
      </c>
      <c r="B4782" t="s">
        <v>4898</v>
      </c>
      <c r="C4782">
        <f>"PQ113V"</f>
        <v>0</v>
      </c>
      <c r="D4782">
        <v>0</v>
      </c>
      <c r="E4782">
        <v>1</v>
      </c>
      <c r="F4782" s="2">
        <v>1</v>
      </c>
      <c r="H4782">
        <v>0</v>
      </c>
      <c r="I4782">
        <v>0.1741125760648204</v>
      </c>
      <c r="J4782">
        <v>0</v>
      </c>
      <c r="K4782">
        <v>0</v>
      </c>
      <c r="L4782" s="2">
        <v>0</v>
      </c>
      <c r="M4782">
        <v>49.21</v>
      </c>
      <c r="N4782" t="s">
        <v>10236</v>
      </c>
    </row>
    <row r="4783" spans="1:14">
      <c r="A4783" t="s">
        <v>35</v>
      </c>
      <c r="B4783" t="s">
        <v>4899</v>
      </c>
      <c r="C4783">
        <f>"PQ113ROS"</f>
        <v>0</v>
      </c>
      <c r="D4783">
        <v>0</v>
      </c>
      <c r="E4783">
        <v>1</v>
      </c>
      <c r="F4783" s="2">
        <v>1</v>
      </c>
      <c r="H4783">
        <v>0</v>
      </c>
      <c r="I4783">
        <v>0.1741125760648204</v>
      </c>
      <c r="J4783">
        <v>0</v>
      </c>
      <c r="K4783">
        <v>0</v>
      </c>
      <c r="L4783" s="2">
        <v>0</v>
      </c>
      <c r="M4783">
        <v>49.22</v>
      </c>
      <c r="N4783" t="s">
        <v>10236</v>
      </c>
    </row>
    <row r="4784" spans="1:14">
      <c r="A4784" t="s">
        <v>35</v>
      </c>
      <c r="B4784" t="s">
        <v>4900</v>
      </c>
      <c r="C4784">
        <f>"PQ113ROJ"</f>
        <v>0</v>
      </c>
      <c r="D4784">
        <v>0</v>
      </c>
      <c r="E4784">
        <v>1</v>
      </c>
      <c r="F4784" s="2">
        <v>1</v>
      </c>
      <c r="H4784">
        <v>0</v>
      </c>
      <c r="I4784">
        <v>0.1741125760648204</v>
      </c>
      <c r="J4784">
        <v>0</v>
      </c>
      <c r="K4784">
        <v>0</v>
      </c>
      <c r="L4784" s="2">
        <v>0</v>
      </c>
      <c r="M4784">
        <v>49.23</v>
      </c>
      <c r="N4784" t="s">
        <v>10236</v>
      </c>
    </row>
    <row r="4785" spans="1:14">
      <c r="A4785" t="s">
        <v>35</v>
      </c>
      <c r="B4785" t="s">
        <v>4901</v>
      </c>
      <c r="C4785">
        <f>"PQ113NEG"</f>
        <v>0</v>
      </c>
      <c r="D4785">
        <v>0</v>
      </c>
      <c r="E4785">
        <v>0</v>
      </c>
      <c r="F4785" s="2">
        <v>0</v>
      </c>
      <c r="H4785">
        <v>0</v>
      </c>
      <c r="I4785">
        <v>0.1741125760648204</v>
      </c>
      <c r="J4785">
        <v>0</v>
      </c>
      <c r="K4785">
        <v>0</v>
      </c>
      <c r="L4785" s="2">
        <v>0</v>
      </c>
      <c r="M4785">
        <v>49.24</v>
      </c>
      <c r="N4785" t="s">
        <v>10236</v>
      </c>
    </row>
    <row r="4786" spans="1:14">
      <c r="A4786" t="s">
        <v>35</v>
      </c>
      <c r="B4786" t="s">
        <v>4902</v>
      </c>
      <c r="C4786">
        <f>"SP010"</f>
        <v>0</v>
      </c>
      <c r="D4786">
        <v>0</v>
      </c>
      <c r="E4786">
        <v>9</v>
      </c>
      <c r="F4786" s="2">
        <v>4</v>
      </c>
      <c r="H4786">
        <v>0</v>
      </c>
      <c r="I4786">
        <v>0.1741125760648204</v>
      </c>
      <c r="J4786">
        <v>0</v>
      </c>
      <c r="K4786">
        <v>0</v>
      </c>
      <c r="L4786" s="2">
        <v>0</v>
      </c>
      <c r="M4786">
        <v>49.24</v>
      </c>
      <c r="N4786" t="s">
        <v>10236</v>
      </c>
    </row>
    <row r="4787" spans="1:14">
      <c r="A4787" t="s">
        <v>35</v>
      </c>
      <c r="B4787" t="s">
        <v>4903</v>
      </c>
      <c r="C4787">
        <f>"DW012"</f>
        <v>0</v>
      </c>
      <c r="D4787">
        <v>0</v>
      </c>
      <c r="E4787">
        <v>0</v>
      </c>
      <c r="F4787" s="2">
        <v>0</v>
      </c>
      <c r="H4787">
        <v>0</v>
      </c>
      <c r="I4787">
        <v>0.1741125760648204</v>
      </c>
      <c r="J4787">
        <v>0</v>
      </c>
      <c r="K4787">
        <v>0</v>
      </c>
      <c r="L4787" s="2">
        <v>0</v>
      </c>
      <c r="M4787">
        <v>49.25</v>
      </c>
      <c r="N4787" t="s">
        <v>10236</v>
      </c>
    </row>
    <row r="4788" spans="1:14">
      <c r="A4788" t="s">
        <v>35</v>
      </c>
      <c r="B4788" t="s">
        <v>4904</v>
      </c>
      <c r="C4788">
        <f>"SLL21025"</f>
        <v>0</v>
      </c>
      <c r="D4788">
        <v>0</v>
      </c>
      <c r="E4788">
        <v>0</v>
      </c>
      <c r="F4788" s="2">
        <v>0</v>
      </c>
      <c r="H4788">
        <v>0</v>
      </c>
      <c r="I4788">
        <v>0.1741125760648204</v>
      </c>
      <c r="J4788">
        <v>0</v>
      </c>
      <c r="K4788">
        <v>0</v>
      </c>
      <c r="L4788" s="2">
        <v>0</v>
      </c>
      <c r="M4788">
        <v>49.26</v>
      </c>
      <c r="N4788" t="s">
        <v>10236</v>
      </c>
    </row>
    <row r="4789" spans="1:14">
      <c r="A4789" t="s">
        <v>35</v>
      </c>
      <c r="B4789" t="s">
        <v>4905</v>
      </c>
      <c r="C4789">
        <f>"SLL21015"</f>
        <v>0</v>
      </c>
      <c r="D4789">
        <v>0</v>
      </c>
      <c r="E4789">
        <v>0</v>
      </c>
      <c r="F4789" s="2">
        <v>0</v>
      </c>
      <c r="H4789">
        <v>0</v>
      </c>
      <c r="I4789">
        <v>0.1741125760648204</v>
      </c>
      <c r="J4789">
        <v>0</v>
      </c>
      <c r="K4789">
        <v>0</v>
      </c>
      <c r="L4789" s="2">
        <v>0</v>
      </c>
      <c r="M4789">
        <v>49.27</v>
      </c>
      <c r="N4789" t="s">
        <v>10236</v>
      </c>
    </row>
    <row r="4790" spans="1:14">
      <c r="A4790" t="s">
        <v>35</v>
      </c>
      <c r="B4790" t="s">
        <v>4906</v>
      </c>
      <c r="C4790">
        <f>"DN141"</f>
        <v>0</v>
      </c>
      <c r="D4790">
        <v>0</v>
      </c>
      <c r="E4790">
        <v>1</v>
      </c>
      <c r="F4790" s="2">
        <v>2</v>
      </c>
      <c r="H4790">
        <v>0</v>
      </c>
      <c r="I4790">
        <v>0.1741125760648204</v>
      </c>
      <c r="J4790">
        <v>0</v>
      </c>
      <c r="K4790">
        <v>0</v>
      </c>
      <c r="L4790" s="2">
        <v>0</v>
      </c>
      <c r="M4790">
        <v>49.28</v>
      </c>
      <c r="N4790" t="s">
        <v>10236</v>
      </c>
    </row>
    <row r="4791" spans="1:14">
      <c r="A4791" t="s">
        <v>35</v>
      </c>
      <c r="B4791" t="s">
        <v>4907</v>
      </c>
      <c r="C4791">
        <f>"KX5047"</f>
        <v>0</v>
      </c>
      <c r="D4791">
        <v>0</v>
      </c>
      <c r="E4791">
        <v>8</v>
      </c>
      <c r="F4791" s="2">
        <v>1</v>
      </c>
      <c r="H4791">
        <v>0</v>
      </c>
      <c r="I4791">
        <v>0.1741125760648204</v>
      </c>
      <c r="J4791">
        <v>0</v>
      </c>
      <c r="K4791">
        <v>0</v>
      </c>
      <c r="L4791" s="2">
        <v>0</v>
      </c>
      <c r="M4791">
        <v>49.29</v>
      </c>
      <c r="N4791" t="s">
        <v>10236</v>
      </c>
    </row>
    <row r="4792" spans="1:14">
      <c r="A4792" t="s">
        <v>35</v>
      </c>
      <c r="B4792" t="s">
        <v>4908</v>
      </c>
      <c r="C4792">
        <f>"LL201"</f>
        <v>0</v>
      </c>
      <c r="D4792">
        <v>0</v>
      </c>
      <c r="E4792">
        <v>2</v>
      </c>
      <c r="F4792" s="2">
        <v>3</v>
      </c>
      <c r="H4792">
        <v>0</v>
      </c>
      <c r="I4792">
        <v>0.1741125760648204</v>
      </c>
      <c r="J4792">
        <v>0</v>
      </c>
      <c r="K4792">
        <v>0</v>
      </c>
      <c r="L4792" s="2">
        <v>0</v>
      </c>
      <c r="M4792">
        <v>49.3</v>
      </c>
      <c r="N4792" t="s">
        <v>10236</v>
      </c>
    </row>
    <row r="4793" spans="1:14">
      <c r="A4793" t="s">
        <v>35</v>
      </c>
      <c r="B4793" t="s">
        <v>4909</v>
      </c>
      <c r="C4793">
        <f>"WD01215"</f>
        <v>0</v>
      </c>
      <c r="D4793">
        <v>0</v>
      </c>
      <c r="E4793">
        <v>0</v>
      </c>
      <c r="F4793" s="2">
        <v>0</v>
      </c>
      <c r="H4793">
        <v>0</v>
      </c>
      <c r="I4793">
        <v>0.1741125760648204</v>
      </c>
      <c r="J4793">
        <v>0</v>
      </c>
      <c r="K4793">
        <v>0</v>
      </c>
      <c r="L4793" s="2">
        <v>0</v>
      </c>
      <c r="M4793">
        <v>49.31</v>
      </c>
      <c r="N4793" t="s">
        <v>10236</v>
      </c>
    </row>
    <row r="4794" spans="1:14">
      <c r="A4794" t="s">
        <v>35</v>
      </c>
      <c r="B4794" t="s">
        <v>4910</v>
      </c>
      <c r="C4794">
        <f>"ZS006ASCAL"</f>
        <v>0</v>
      </c>
      <c r="D4794">
        <v>0</v>
      </c>
      <c r="E4794">
        <v>1</v>
      </c>
      <c r="F4794" s="2">
        <v>1</v>
      </c>
      <c r="H4794">
        <v>0</v>
      </c>
      <c r="I4794">
        <v>0.1741125760648204</v>
      </c>
      <c r="J4794">
        <v>0</v>
      </c>
      <c r="K4794">
        <v>0</v>
      </c>
      <c r="L4794" s="2">
        <v>0</v>
      </c>
      <c r="M4794">
        <v>49.32</v>
      </c>
      <c r="N4794" t="s">
        <v>10236</v>
      </c>
    </row>
    <row r="4795" spans="1:14">
      <c r="A4795" t="s">
        <v>35</v>
      </c>
      <c r="B4795" t="s">
        <v>4911</v>
      </c>
      <c r="C4795">
        <f>"ZS006ASAM"</f>
        <v>0</v>
      </c>
      <c r="D4795">
        <v>0</v>
      </c>
      <c r="E4795">
        <v>1</v>
      </c>
      <c r="F4795" s="2">
        <v>1</v>
      </c>
      <c r="H4795">
        <v>0</v>
      </c>
      <c r="I4795">
        <v>0.1741125760648204</v>
      </c>
      <c r="J4795">
        <v>0</v>
      </c>
      <c r="K4795">
        <v>0</v>
      </c>
      <c r="L4795" s="2">
        <v>0</v>
      </c>
      <c r="M4795">
        <v>49.33</v>
      </c>
      <c r="N4795" t="s">
        <v>10236</v>
      </c>
    </row>
    <row r="4796" spans="1:14">
      <c r="A4796" t="s">
        <v>35</v>
      </c>
      <c r="B4796" t="s">
        <v>4912</v>
      </c>
      <c r="C4796">
        <f>"ZS006AMNE"</f>
        <v>0</v>
      </c>
      <c r="D4796">
        <v>0</v>
      </c>
      <c r="E4796">
        <v>0</v>
      </c>
      <c r="F4796" s="2">
        <v>0</v>
      </c>
      <c r="H4796">
        <v>0</v>
      </c>
      <c r="I4796">
        <v>0.1741125760648204</v>
      </c>
      <c r="J4796">
        <v>0</v>
      </c>
      <c r="K4796">
        <v>0</v>
      </c>
      <c r="L4796" s="2">
        <v>0</v>
      </c>
      <c r="M4796">
        <v>49.34</v>
      </c>
      <c r="N4796" t="s">
        <v>10236</v>
      </c>
    </row>
    <row r="4797" spans="1:14">
      <c r="A4797" t="s">
        <v>35</v>
      </c>
      <c r="B4797" t="s">
        <v>4913</v>
      </c>
      <c r="C4797">
        <f>"ZS006AMAM"</f>
        <v>0</v>
      </c>
      <c r="D4797">
        <v>0</v>
      </c>
      <c r="E4797">
        <v>1</v>
      </c>
      <c r="F4797" s="2">
        <v>2</v>
      </c>
      <c r="H4797">
        <v>0</v>
      </c>
      <c r="I4797">
        <v>0.1741125760648204</v>
      </c>
      <c r="J4797">
        <v>0</v>
      </c>
      <c r="K4797">
        <v>0</v>
      </c>
      <c r="L4797" s="2">
        <v>0</v>
      </c>
      <c r="M4797">
        <v>49.35</v>
      </c>
      <c r="N4797" t="s">
        <v>10236</v>
      </c>
    </row>
    <row r="4798" spans="1:14">
      <c r="A4798" t="s">
        <v>35</v>
      </c>
      <c r="B4798" t="s">
        <v>4914</v>
      </c>
      <c r="C4798">
        <f>"ZS006ALAM"</f>
        <v>0</v>
      </c>
      <c r="D4798">
        <v>0</v>
      </c>
      <c r="E4798">
        <v>1</v>
      </c>
      <c r="F4798" s="2">
        <v>2</v>
      </c>
      <c r="H4798">
        <v>0</v>
      </c>
      <c r="I4798">
        <v>0.1741125760648204</v>
      </c>
      <c r="J4798">
        <v>0</v>
      </c>
      <c r="K4798">
        <v>0</v>
      </c>
      <c r="L4798" s="2">
        <v>0</v>
      </c>
      <c r="M4798">
        <v>49.36</v>
      </c>
      <c r="N4798" t="s">
        <v>10236</v>
      </c>
    </row>
    <row r="4799" spans="1:14">
      <c r="A4799" t="s">
        <v>35</v>
      </c>
      <c r="B4799" t="s">
        <v>4915</v>
      </c>
      <c r="C4799">
        <f>"190882320126"</f>
        <v>0</v>
      </c>
      <c r="D4799">
        <v>0</v>
      </c>
      <c r="E4799">
        <v>0</v>
      </c>
      <c r="F4799" s="2">
        <v>0</v>
      </c>
      <c r="H4799">
        <v>0</v>
      </c>
      <c r="I4799">
        <v>0.1741125760648204</v>
      </c>
      <c r="J4799">
        <v>0</v>
      </c>
      <c r="K4799">
        <v>0</v>
      </c>
      <c r="L4799" s="2">
        <v>0</v>
      </c>
      <c r="M4799">
        <v>49.36</v>
      </c>
      <c r="N4799" t="s">
        <v>10236</v>
      </c>
    </row>
    <row r="4800" spans="1:14">
      <c r="A4800" t="s">
        <v>35</v>
      </c>
      <c r="B4800" t="s">
        <v>4916</v>
      </c>
      <c r="C4800">
        <f>"WIN51"</f>
        <v>0</v>
      </c>
      <c r="D4800">
        <v>0</v>
      </c>
      <c r="E4800">
        <v>1</v>
      </c>
      <c r="F4800" s="2">
        <v>1</v>
      </c>
      <c r="H4800">
        <v>0</v>
      </c>
      <c r="I4800">
        <v>0.1741125760648204</v>
      </c>
      <c r="J4800">
        <v>0</v>
      </c>
      <c r="K4800">
        <v>0</v>
      </c>
      <c r="L4800" s="2">
        <v>0</v>
      </c>
      <c r="M4800">
        <v>49.37</v>
      </c>
      <c r="N4800" t="s">
        <v>10236</v>
      </c>
    </row>
    <row r="4801" spans="1:14">
      <c r="A4801" t="s">
        <v>35</v>
      </c>
      <c r="B4801" t="s">
        <v>4917</v>
      </c>
      <c r="C4801">
        <f>"SP012"</f>
        <v>0</v>
      </c>
      <c r="D4801">
        <v>0</v>
      </c>
      <c r="E4801">
        <v>6</v>
      </c>
      <c r="F4801" s="2">
        <v>3</v>
      </c>
      <c r="H4801">
        <v>0</v>
      </c>
      <c r="I4801">
        <v>0.1741125760648204</v>
      </c>
      <c r="J4801">
        <v>0</v>
      </c>
      <c r="K4801">
        <v>0</v>
      </c>
      <c r="L4801" s="2">
        <v>0</v>
      </c>
      <c r="M4801">
        <v>49.38</v>
      </c>
      <c r="N4801" t="s">
        <v>10236</v>
      </c>
    </row>
    <row r="4802" spans="1:14">
      <c r="A4802" t="s">
        <v>35</v>
      </c>
      <c r="B4802" t="s">
        <v>4918</v>
      </c>
      <c r="C4802">
        <f>"DFZTL1CROJ"</f>
        <v>0</v>
      </c>
      <c r="D4802">
        <v>0</v>
      </c>
      <c r="E4802">
        <v>0</v>
      </c>
      <c r="F4802" s="2">
        <v>0</v>
      </c>
      <c r="H4802">
        <v>0</v>
      </c>
      <c r="I4802">
        <v>0.1741125760648204</v>
      </c>
      <c r="J4802">
        <v>0</v>
      </c>
      <c r="K4802">
        <v>0</v>
      </c>
      <c r="L4802" s="2">
        <v>0</v>
      </c>
      <c r="M4802">
        <v>49.39</v>
      </c>
      <c r="N4802" t="s">
        <v>10236</v>
      </c>
    </row>
    <row r="4803" spans="1:14">
      <c r="A4803" t="s">
        <v>35</v>
      </c>
      <c r="B4803" t="s">
        <v>4919</v>
      </c>
      <c r="C4803">
        <f>"DFZTL1AMO"</f>
        <v>0</v>
      </c>
      <c r="D4803">
        <v>0</v>
      </c>
      <c r="E4803">
        <v>0</v>
      </c>
      <c r="F4803" s="2">
        <v>0</v>
      </c>
      <c r="H4803">
        <v>0</v>
      </c>
      <c r="I4803">
        <v>0.1741125760648204</v>
      </c>
      <c r="J4803">
        <v>0</v>
      </c>
      <c r="K4803">
        <v>0</v>
      </c>
      <c r="L4803" s="2">
        <v>0</v>
      </c>
      <c r="M4803">
        <v>49.4</v>
      </c>
      <c r="N4803" t="s">
        <v>10236</v>
      </c>
    </row>
    <row r="4804" spans="1:14">
      <c r="A4804" t="s">
        <v>35</v>
      </c>
      <c r="B4804" t="s">
        <v>4920</v>
      </c>
      <c r="C4804">
        <f>"JWL1011XLBN"</f>
        <v>0</v>
      </c>
      <c r="D4804">
        <v>0</v>
      </c>
      <c r="E4804">
        <v>29</v>
      </c>
      <c r="F4804" s="2">
        <v>2</v>
      </c>
      <c r="H4804">
        <v>0</v>
      </c>
      <c r="I4804">
        <v>0.1741125760648204</v>
      </c>
      <c r="J4804">
        <v>0</v>
      </c>
      <c r="K4804">
        <v>0</v>
      </c>
      <c r="L4804" s="2">
        <v>0</v>
      </c>
      <c r="M4804">
        <v>49.41</v>
      </c>
      <c r="N4804" t="s">
        <v>10236</v>
      </c>
    </row>
    <row r="4805" spans="1:14">
      <c r="A4805" t="s">
        <v>35</v>
      </c>
      <c r="B4805" t="s">
        <v>4921</v>
      </c>
      <c r="C4805">
        <f>"JWL1017XL"</f>
        <v>0</v>
      </c>
      <c r="D4805">
        <v>0</v>
      </c>
      <c r="E4805">
        <v>24</v>
      </c>
      <c r="F4805" s="2">
        <v>2</v>
      </c>
      <c r="H4805">
        <v>0</v>
      </c>
      <c r="I4805">
        <v>0.1741125760648204</v>
      </c>
      <c r="J4805">
        <v>0</v>
      </c>
      <c r="K4805">
        <v>0</v>
      </c>
      <c r="L4805" s="2">
        <v>0</v>
      </c>
      <c r="M4805">
        <v>49.42</v>
      </c>
      <c r="N4805" t="s">
        <v>10236</v>
      </c>
    </row>
    <row r="4806" spans="1:14">
      <c r="A4806" t="s">
        <v>35</v>
      </c>
      <c r="B4806" t="s">
        <v>4922</v>
      </c>
      <c r="C4806">
        <f>"JWL1016XL"</f>
        <v>0</v>
      </c>
      <c r="D4806">
        <v>0</v>
      </c>
      <c r="E4806">
        <v>19</v>
      </c>
      <c r="F4806" s="2">
        <v>2</v>
      </c>
      <c r="H4806">
        <v>0</v>
      </c>
      <c r="I4806">
        <v>0.1741125760648204</v>
      </c>
      <c r="J4806">
        <v>0</v>
      </c>
      <c r="K4806">
        <v>0</v>
      </c>
      <c r="L4806" s="2">
        <v>0</v>
      </c>
      <c r="M4806">
        <v>49.43</v>
      </c>
      <c r="N4806" t="s">
        <v>10236</v>
      </c>
    </row>
    <row r="4807" spans="1:14">
      <c r="A4807" t="s">
        <v>35</v>
      </c>
      <c r="B4807" t="s">
        <v>4923</v>
      </c>
      <c r="C4807">
        <f>"JWL1032XL"</f>
        <v>0</v>
      </c>
      <c r="D4807">
        <v>0</v>
      </c>
      <c r="E4807">
        <v>22</v>
      </c>
      <c r="F4807" s="2">
        <v>2</v>
      </c>
      <c r="H4807">
        <v>0</v>
      </c>
      <c r="I4807">
        <v>0.1741125760648204</v>
      </c>
      <c r="J4807">
        <v>0</v>
      </c>
      <c r="K4807">
        <v>0</v>
      </c>
      <c r="L4807" s="2">
        <v>0</v>
      </c>
      <c r="M4807">
        <v>49.44</v>
      </c>
      <c r="N4807" t="s">
        <v>10236</v>
      </c>
    </row>
    <row r="4808" spans="1:14">
      <c r="A4808" t="s">
        <v>35</v>
      </c>
      <c r="B4808" t="s">
        <v>4924</v>
      </c>
      <c r="C4808">
        <f>"JWL1033M"</f>
        <v>0</v>
      </c>
      <c r="D4808">
        <v>0</v>
      </c>
      <c r="E4808">
        <v>0</v>
      </c>
      <c r="F4808" s="2">
        <v>0</v>
      </c>
      <c r="H4808">
        <v>0</v>
      </c>
      <c r="I4808">
        <v>0.1741125760648204</v>
      </c>
      <c r="J4808">
        <v>0</v>
      </c>
      <c r="K4808">
        <v>0</v>
      </c>
      <c r="L4808" s="2">
        <v>0</v>
      </c>
      <c r="M4808">
        <v>49.45</v>
      </c>
      <c r="N4808" t="s">
        <v>10236</v>
      </c>
    </row>
    <row r="4809" spans="1:14">
      <c r="A4809" t="s">
        <v>35</v>
      </c>
      <c r="B4809" t="s">
        <v>4925</v>
      </c>
      <c r="C4809">
        <f>"WIN51VE"</f>
        <v>0</v>
      </c>
      <c r="D4809">
        <v>0</v>
      </c>
      <c r="E4809">
        <v>13</v>
      </c>
      <c r="F4809" s="2">
        <v>1</v>
      </c>
      <c r="H4809">
        <v>0</v>
      </c>
      <c r="I4809">
        <v>0.1741125760648204</v>
      </c>
      <c r="J4809">
        <v>0</v>
      </c>
      <c r="K4809">
        <v>0</v>
      </c>
      <c r="L4809" s="2">
        <v>0</v>
      </c>
      <c r="M4809">
        <v>49.46</v>
      </c>
      <c r="N4809" t="s">
        <v>10236</v>
      </c>
    </row>
    <row r="4810" spans="1:14">
      <c r="A4810" t="s">
        <v>35</v>
      </c>
      <c r="B4810" t="s">
        <v>4926</v>
      </c>
      <c r="C4810">
        <f>"WIN51NAR"</f>
        <v>0</v>
      </c>
      <c r="D4810">
        <v>0</v>
      </c>
      <c r="E4810">
        <v>8</v>
      </c>
      <c r="F4810" s="2">
        <v>1</v>
      </c>
      <c r="H4810">
        <v>0</v>
      </c>
      <c r="I4810">
        <v>0.1741125760648204</v>
      </c>
      <c r="J4810">
        <v>0</v>
      </c>
      <c r="K4810">
        <v>0</v>
      </c>
      <c r="L4810" s="2">
        <v>0</v>
      </c>
      <c r="M4810">
        <v>49.47</v>
      </c>
      <c r="N4810" t="s">
        <v>10236</v>
      </c>
    </row>
    <row r="4811" spans="1:14">
      <c r="A4811" t="s">
        <v>35</v>
      </c>
      <c r="B4811" t="s">
        <v>4927</v>
      </c>
      <c r="C4811">
        <f>"WIN51AZ"</f>
        <v>0</v>
      </c>
      <c r="D4811">
        <v>0</v>
      </c>
      <c r="E4811">
        <v>9</v>
      </c>
      <c r="F4811" s="2">
        <v>1</v>
      </c>
      <c r="H4811">
        <v>0</v>
      </c>
      <c r="I4811">
        <v>0.1741125760648204</v>
      </c>
      <c r="J4811">
        <v>0</v>
      </c>
      <c r="K4811">
        <v>0</v>
      </c>
      <c r="L4811" s="2">
        <v>0</v>
      </c>
      <c r="M4811">
        <v>49.48</v>
      </c>
      <c r="N4811" t="s">
        <v>10236</v>
      </c>
    </row>
    <row r="4812" spans="1:14">
      <c r="A4812" t="s">
        <v>35</v>
      </c>
      <c r="B4812" t="s">
        <v>4928</v>
      </c>
      <c r="C4812">
        <f>"WIN50VE"</f>
        <v>0</v>
      </c>
      <c r="D4812">
        <v>0</v>
      </c>
      <c r="E4812">
        <v>1</v>
      </c>
      <c r="F4812" s="2">
        <v>0</v>
      </c>
      <c r="H4812">
        <v>0</v>
      </c>
      <c r="I4812">
        <v>0.1741125760648204</v>
      </c>
      <c r="J4812">
        <v>0</v>
      </c>
      <c r="K4812">
        <v>0</v>
      </c>
      <c r="L4812" s="2">
        <v>0</v>
      </c>
      <c r="M4812">
        <v>49.48</v>
      </c>
      <c r="N4812" t="s">
        <v>10236</v>
      </c>
    </row>
    <row r="4813" spans="1:14">
      <c r="A4813" t="s">
        <v>35</v>
      </c>
      <c r="B4813" t="s">
        <v>4929</v>
      </c>
      <c r="C4813">
        <f>"WIN50NAR"</f>
        <v>0</v>
      </c>
      <c r="D4813">
        <v>0</v>
      </c>
      <c r="E4813">
        <v>0</v>
      </c>
      <c r="F4813" s="2">
        <v>0</v>
      </c>
      <c r="H4813">
        <v>0</v>
      </c>
      <c r="I4813">
        <v>0.1741125760648204</v>
      </c>
      <c r="J4813">
        <v>0</v>
      </c>
      <c r="K4813">
        <v>0</v>
      </c>
      <c r="L4813" s="2">
        <v>0</v>
      </c>
      <c r="M4813">
        <v>49.49</v>
      </c>
      <c r="N4813" t="s">
        <v>10236</v>
      </c>
    </row>
    <row r="4814" spans="1:14">
      <c r="A4814" t="s">
        <v>35</v>
      </c>
      <c r="B4814" t="s">
        <v>4930</v>
      </c>
      <c r="C4814">
        <f>"jw0127N"</f>
        <v>0</v>
      </c>
      <c r="D4814">
        <v>0</v>
      </c>
      <c r="E4814">
        <v>3</v>
      </c>
      <c r="F4814" s="2">
        <v>2</v>
      </c>
      <c r="H4814">
        <v>0</v>
      </c>
      <c r="I4814">
        <v>0.1741125760648204</v>
      </c>
      <c r="J4814">
        <v>0</v>
      </c>
      <c r="K4814">
        <v>0</v>
      </c>
      <c r="L4814" s="2">
        <v>0</v>
      </c>
      <c r="M4814">
        <v>49.5</v>
      </c>
      <c r="N4814" t="s">
        <v>10236</v>
      </c>
    </row>
    <row r="4815" spans="1:14">
      <c r="A4815" t="s">
        <v>35</v>
      </c>
      <c r="B4815" t="s">
        <v>4931</v>
      </c>
      <c r="C4815">
        <f>"WIN49VE"</f>
        <v>0</v>
      </c>
      <c r="D4815">
        <v>0</v>
      </c>
      <c r="E4815">
        <v>3</v>
      </c>
      <c r="F4815" s="2">
        <v>0</v>
      </c>
      <c r="H4815">
        <v>0</v>
      </c>
      <c r="I4815">
        <v>0.1741125760648204</v>
      </c>
      <c r="J4815">
        <v>0</v>
      </c>
      <c r="K4815">
        <v>0</v>
      </c>
      <c r="L4815" s="2">
        <v>0</v>
      </c>
      <c r="M4815">
        <v>49.51</v>
      </c>
      <c r="N4815" t="s">
        <v>10236</v>
      </c>
    </row>
    <row r="4816" spans="1:14">
      <c r="A4816" t="s">
        <v>35</v>
      </c>
      <c r="B4816" t="s">
        <v>4932</v>
      </c>
      <c r="C4816">
        <f>"WIN49NAR"</f>
        <v>0</v>
      </c>
      <c r="D4816">
        <v>0</v>
      </c>
      <c r="E4816">
        <v>0</v>
      </c>
      <c r="F4816" s="2">
        <v>0</v>
      </c>
      <c r="H4816">
        <v>0</v>
      </c>
      <c r="I4816">
        <v>0.1741125760648204</v>
      </c>
      <c r="J4816">
        <v>0</v>
      </c>
      <c r="K4816">
        <v>0</v>
      </c>
      <c r="L4816" s="2">
        <v>0</v>
      </c>
      <c r="M4816">
        <v>49.52</v>
      </c>
      <c r="N4816" t="s">
        <v>10236</v>
      </c>
    </row>
    <row r="4817" spans="1:14">
      <c r="A4817" t="s">
        <v>25</v>
      </c>
      <c r="B4817" t="s">
        <v>4933</v>
      </c>
      <c r="C4817">
        <f>"19#S"</f>
        <v>0</v>
      </c>
      <c r="D4817">
        <v>0</v>
      </c>
      <c r="E4817">
        <v>0</v>
      </c>
      <c r="F4817" s="2">
        <v>0</v>
      </c>
      <c r="H4817">
        <v>0</v>
      </c>
      <c r="I4817">
        <v>0.1741125760648204</v>
      </c>
      <c r="J4817">
        <v>0</v>
      </c>
      <c r="K4817">
        <v>0</v>
      </c>
      <c r="L4817" s="2">
        <v>0</v>
      </c>
      <c r="M4817">
        <v>49.53</v>
      </c>
      <c r="N4817" t="s">
        <v>10236</v>
      </c>
    </row>
    <row r="4818" spans="1:14">
      <c r="A4818" t="s">
        <v>35</v>
      </c>
      <c r="B4818" t="s">
        <v>4934</v>
      </c>
      <c r="C4818">
        <f>"DW008"</f>
        <v>0</v>
      </c>
      <c r="D4818">
        <v>0</v>
      </c>
      <c r="E4818">
        <v>0</v>
      </c>
      <c r="F4818" s="2">
        <v>0</v>
      </c>
      <c r="H4818">
        <v>0</v>
      </c>
      <c r="I4818">
        <v>0.1741125760648204</v>
      </c>
      <c r="J4818">
        <v>0</v>
      </c>
      <c r="K4818">
        <v>0</v>
      </c>
      <c r="L4818" s="2">
        <v>0</v>
      </c>
      <c r="M4818">
        <v>49.54</v>
      </c>
      <c r="N4818" t="s">
        <v>10236</v>
      </c>
    </row>
    <row r="4819" spans="1:14">
      <c r="A4819" t="s">
        <v>35</v>
      </c>
      <c r="B4819" t="s">
        <v>4935</v>
      </c>
      <c r="C4819">
        <f>"SLL2066"</f>
        <v>0</v>
      </c>
      <c r="D4819">
        <v>0</v>
      </c>
      <c r="E4819">
        <v>0</v>
      </c>
      <c r="F4819" s="2">
        <v>0</v>
      </c>
      <c r="H4819">
        <v>0</v>
      </c>
      <c r="I4819">
        <v>0.1741125760648204</v>
      </c>
      <c r="J4819">
        <v>0</v>
      </c>
      <c r="K4819">
        <v>0</v>
      </c>
      <c r="L4819" s="2">
        <v>0</v>
      </c>
      <c r="M4819">
        <v>49.55</v>
      </c>
      <c r="N4819" t="s">
        <v>10236</v>
      </c>
    </row>
    <row r="4820" spans="1:14">
      <c r="A4820" t="s">
        <v>35</v>
      </c>
      <c r="B4820" t="s">
        <v>4936</v>
      </c>
      <c r="C4820">
        <f>"DW110R"</f>
        <v>0</v>
      </c>
      <c r="D4820">
        <v>0</v>
      </c>
      <c r="E4820">
        <v>0</v>
      </c>
      <c r="F4820" s="2">
        <v>0</v>
      </c>
      <c r="H4820">
        <v>0</v>
      </c>
      <c r="I4820">
        <v>0.1741125760648204</v>
      </c>
      <c r="J4820">
        <v>0</v>
      </c>
      <c r="K4820">
        <v>0</v>
      </c>
      <c r="L4820" s="2">
        <v>0</v>
      </c>
      <c r="M4820">
        <v>49.56</v>
      </c>
      <c r="N4820" t="s">
        <v>10236</v>
      </c>
    </row>
    <row r="4821" spans="1:14">
      <c r="A4821" t="s">
        <v>35</v>
      </c>
      <c r="B4821" t="s">
        <v>4937</v>
      </c>
      <c r="C4821">
        <f>"DW110N"</f>
        <v>0</v>
      </c>
      <c r="D4821">
        <v>0</v>
      </c>
      <c r="E4821">
        <v>0</v>
      </c>
      <c r="F4821" s="2">
        <v>0</v>
      </c>
      <c r="H4821">
        <v>0</v>
      </c>
      <c r="I4821">
        <v>0.1741125760648204</v>
      </c>
      <c r="J4821">
        <v>0</v>
      </c>
      <c r="K4821">
        <v>0</v>
      </c>
      <c r="L4821" s="2">
        <v>0</v>
      </c>
      <c r="M4821">
        <v>49.57</v>
      </c>
      <c r="N4821" t="s">
        <v>10236</v>
      </c>
    </row>
    <row r="4822" spans="1:14">
      <c r="A4822" t="s">
        <v>35</v>
      </c>
      <c r="B4822" t="s">
        <v>4938</v>
      </c>
      <c r="C4822">
        <f>"DW110"</f>
        <v>0</v>
      </c>
      <c r="D4822">
        <v>0</v>
      </c>
      <c r="E4822">
        <v>0</v>
      </c>
      <c r="F4822" s="2">
        <v>0</v>
      </c>
      <c r="H4822">
        <v>0</v>
      </c>
      <c r="I4822">
        <v>0.1741125760648204</v>
      </c>
      <c r="J4822">
        <v>0</v>
      </c>
      <c r="K4822">
        <v>0</v>
      </c>
      <c r="L4822" s="2">
        <v>0</v>
      </c>
      <c r="M4822">
        <v>49.58</v>
      </c>
      <c r="N4822" t="s">
        <v>10236</v>
      </c>
    </row>
    <row r="4823" spans="1:14">
      <c r="A4823" t="s">
        <v>35</v>
      </c>
      <c r="B4823" t="s">
        <v>4939</v>
      </c>
      <c r="C4823">
        <f>"DW106"</f>
        <v>0</v>
      </c>
      <c r="D4823">
        <v>0</v>
      </c>
      <c r="E4823">
        <v>1</v>
      </c>
      <c r="F4823" s="2">
        <v>2</v>
      </c>
      <c r="H4823">
        <v>0</v>
      </c>
      <c r="I4823">
        <v>0.1741125760648204</v>
      </c>
      <c r="J4823">
        <v>0</v>
      </c>
      <c r="K4823">
        <v>0</v>
      </c>
      <c r="L4823" s="2">
        <v>0</v>
      </c>
      <c r="M4823">
        <v>49.59</v>
      </c>
      <c r="N4823" t="s">
        <v>10236</v>
      </c>
    </row>
    <row r="4824" spans="1:14">
      <c r="A4824" t="s">
        <v>35</v>
      </c>
      <c r="B4824" t="s">
        <v>4940</v>
      </c>
      <c r="C4824">
        <f>"7406160000288"</f>
        <v>0</v>
      </c>
      <c r="D4824">
        <v>0</v>
      </c>
      <c r="E4824">
        <v>0</v>
      </c>
      <c r="F4824" s="2">
        <v>0</v>
      </c>
      <c r="H4824">
        <v>0</v>
      </c>
      <c r="I4824">
        <v>0.1741125760648204</v>
      </c>
      <c r="J4824">
        <v>0</v>
      </c>
      <c r="K4824">
        <v>0</v>
      </c>
      <c r="L4824" s="2">
        <v>0</v>
      </c>
      <c r="M4824">
        <v>49.6</v>
      </c>
      <c r="N4824" t="s">
        <v>10236</v>
      </c>
    </row>
    <row r="4825" spans="1:14">
      <c r="A4825" t="s">
        <v>35</v>
      </c>
      <c r="B4825" t="s">
        <v>4941</v>
      </c>
      <c r="C4825">
        <f>"7406160000257"</f>
        <v>0</v>
      </c>
      <c r="D4825">
        <v>0</v>
      </c>
      <c r="E4825">
        <v>1</v>
      </c>
      <c r="F4825" s="2">
        <v>0</v>
      </c>
      <c r="H4825">
        <v>0</v>
      </c>
      <c r="I4825">
        <v>0.1741125760648204</v>
      </c>
      <c r="J4825">
        <v>0</v>
      </c>
      <c r="K4825">
        <v>0</v>
      </c>
      <c r="L4825" s="2">
        <v>0</v>
      </c>
      <c r="M4825">
        <v>49.6</v>
      </c>
      <c r="N4825" t="s">
        <v>10236</v>
      </c>
    </row>
    <row r="4826" spans="1:14">
      <c r="A4826" t="s">
        <v>35</v>
      </c>
      <c r="B4826" t="s">
        <v>4942</v>
      </c>
      <c r="C4826">
        <f>"LL202V"</f>
        <v>0</v>
      </c>
      <c r="D4826">
        <v>0</v>
      </c>
      <c r="E4826">
        <v>0</v>
      </c>
      <c r="F4826" s="2">
        <v>0</v>
      </c>
      <c r="H4826">
        <v>0</v>
      </c>
      <c r="I4826">
        <v>0.1741125760648204</v>
      </c>
      <c r="J4826">
        <v>0</v>
      </c>
      <c r="K4826">
        <v>0</v>
      </c>
      <c r="L4826" s="2">
        <v>0</v>
      </c>
      <c r="M4826">
        <v>49.61</v>
      </c>
      <c r="N4826" t="s">
        <v>10236</v>
      </c>
    </row>
    <row r="4827" spans="1:14">
      <c r="A4827" t="s">
        <v>35</v>
      </c>
      <c r="B4827" t="s">
        <v>4943</v>
      </c>
      <c r="C4827">
        <f>"LL202ROS"</f>
        <v>0</v>
      </c>
      <c r="D4827">
        <v>0</v>
      </c>
      <c r="E4827">
        <v>0</v>
      </c>
      <c r="F4827" s="2">
        <v>0</v>
      </c>
      <c r="H4827">
        <v>0</v>
      </c>
      <c r="I4827">
        <v>0.1741125760648204</v>
      </c>
      <c r="J4827">
        <v>0</v>
      </c>
      <c r="K4827">
        <v>0</v>
      </c>
      <c r="L4827" s="2">
        <v>0</v>
      </c>
      <c r="M4827">
        <v>49.62</v>
      </c>
      <c r="N4827" t="s">
        <v>10236</v>
      </c>
    </row>
    <row r="4828" spans="1:14">
      <c r="A4828" t="s">
        <v>35</v>
      </c>
      <c r="B4828" t="s">
        <v>4944</v>
      </c>
      <c r="C4828">
        <f>"LL202CE"</f>
        <v>0</v>
      </c>
      <c r="D4828">
        <v>0</v>
      </c>
      <c r="E4828">
        <v>0</v>
      </c>
      <c r="F4828" s="2">
        <v>0</v>
      </c>
      <c r="H4828">
        <v>0</v>
      </c>
      <c r="I4828">
        <v>0.1741125760648204</v>
      </c>
      <c r="J4828">
        <v>0</v>
      </c>
      <c r="K4828">
        <v>0</v>
      </c>
      <c r="L4828" s="2">
        <v>0</v>
      </c>
      <c r="M4828">
        <v>49.63</v>
      </c>
      <c r="N4828" t="s">
        <v>10236</v>
      </c>
    </row>
    <row r="4829" spans="1:14">
      <c r="A4829" t="s">
        <v>35</v>
      </c>
      <c r="B4829" t="s">
        <v>4945</v>
      </c>
      <c r="C4829">
        <f>"LL202"</f>
        <v>0</v>
      </c>
      <c r="D4829">
        <v>0</v>
      </c>
      <c r="E4829">
        <v>2</v>
      </c>
      <c r="F4829" s="2">
        <v>8</v>
      </c>
      <c r="H4829">
        <v>0</v>
      </c>
      <c r="I4829">
        <v>0.1741125760648204</v>
      </c>
      <c r="J4829">
        <v>0</v>
      </c>
      <c r="K4829">
        <v>0</v>
      </c>
      <c r="L4829" s="2">
        <v>0</v>
      </c>
      <c r="M4829">
        <v>49.64</v>
      </c>
      <c r="N4829" t="s">
        <v>10236</v>
      </c>
    </row>
    <row r="4830" spans="1:14">
      <c r="A4830" t="s">
        <v>35</v>
      </c>
      <c r="B4830" t="s">
        <v>4946</v>
      </c>
      <c r="C4830">
        <f>"SP031"</f>
        <v>0</v>
      </c>
      <c r="D4830">
        <v>0</v>
      </c>
      <c r="E4830">
        <v>10</v>
      </c>
      <c r="F4830" s="2">
        <v>13</v>
      </c>
      <c r="H4830">
        <v>0</v>
      </c>
      <c r="I4830">
        <v>0.1741125760648204</v>
      </c>
      <c r="J4830">
        <v>0</v>
      </c>
      <c r="K4830">
        <v>0</v>
      </c>
      <c r="L4830" s="2">
        <v>0</v>
      </c>
      <c r="M4830">
        <v>49.65</v>
      </c>
      <c r="N4830" t="s">
        <v>10236</v>
      </c>
    </row>
    <row r="4831" spans="1:14">
      <c r="A4831" t="s">
        <v>35</v>
      </c>
      <c r="B4831" t="s">
        <v>4947</v>
      </c>
      <c r="C4831">
        <f>"T2088"</f>
        <v>0</v>
      </c>
      <c r="D4831">
        <v>0</v>
      </c>
      <c r="E4831">
        <v>0</v>
      </c>
      <c r="F4831" s="2">
        <v>0</v>
      </c>
      <c r="H4831">
        <v>0</v>
      </c>
      <c r="I4831">
        <v>0.1741125760648204</v>
      </c>
      <c r="J4831">
        <v>0</v>
      </c>
      <c r="K4831">
        <v>0</v>
      </c>
      <c r="L4831" s="2">
        <v>0</v>
      </c>
      <c r="M4831">
        <v>49.66</v>
      </c>
      <c r="N4831" t="s">
        <v>10236</v>
      </c>
    </row>
    <row r="4832" spans="1:14">
      <c r="A4832" t="s">
        <v>35</v>
      </c>
      <c r="B4832" t="s">
        <v>4948</v>
      </c>
      <c r="C4832">
        <f>"WIN50AZ"</f>
        <v>0</v>
      </c>
      <c r="D4832">
        <v>0</v>
      </c>
      <c r="E4832">
        <v>1</v>
      </c>
      <c r="F4832" s="2">
        <v>0</v>
      </c>
      <c r="H4832">
        <v>0</v>
      </c>
      <c r="I4832">
        <v>0.1741125760648204</v>
      </c>
      <c r="J4832">
        <v>0</v>
      </c>
      <c r="K4832">
        <v>0</v>
      </c>
      <c r="L4832" s="2">
        <v>0</v>
      </c>
      <c r="M4832">
        <v>49.67</v>
      </c>
      <c r="N4832" t="s">
        <v>10236</v>
      </c>
    </row>
    <row r="4833" spans="1:14">
      <c r="A4833" t="s">
        <v>35</v>
      </c>
      <c r="B4833" t="s">
        <v>4949</v>
      </c>
      <c r="C4833">
        <f>"1761SCEL"</f>
        <v>0</v>
      </c>
      <c r="D4833">
        <v>0</v>
      </c>
      <c r="E4833">
        <v>4</v>
      </c>
      <c r="F4833" s="2">
        <v>0</v>
      </c>
      <c r="H4833">
        <v>0</v>
      </c>
      <c r="I4833">
        <v>0.1741125760648204</v>
      </c>
      <c r="J4833">
        <v>0</v>
      </c>
      <c r="K4833">
        <v>0</v>
      </c>
      <c r="L4833" s="2">
        <v>0</v>
      </c>
      <c r="M4833">
        <v>49.68</v>
      </c>
      <c r="N4833" t="s">
        <v>10236</v>
      </c>
    </row>
    <row r="4834" spans="1:14">
      <c r="A4834" t="s">
        <v>35</v>
      </c>
      <c r="B4834" t="s">
        <v>4950</v>
      </c>
      <c r="C4834">
        <f>"1761SCA"</f>
        <v>0</v>
      </c>
      <c r="D4834">
        <v>0</v>
      </c>
      <c r="E4834">
        <v>1</v>
      </c>
      <c r="F4834" s="2">
        <v>0</v>
      </c>
      <c r="H4834">
        <v>0</v>
      </c>
      <c r="I4834">
        <v>0.1741125760648204</v>
      </c>
      <c r="J4834">
        <v>0</v>
      </c>
      <c r="K4834">
        <v>0</v>
      </c>
      <c r="L4834" s="2">
        <v>0</v>
      </c>
      <c r="M4834">
        <v>49.69</v>
      </c>
      <c r="N4834" t="s">
        <v>10236</v>
      </c>
    </row>
    <row r="4835" spans="1:14">
      <c r="A4835" t="s">
        <v>35</v>
      </c>
      <c r="B4835" t="s">
        <v>4951</v>
      </c>
      <c r="C4835">
        <f>"1761MROJ"</f>
        <v>0</v>
      </c>
      <c r="D4835">
        <v>0</v>
      </c>
      <c r="E4835">
        <v>2</v>
      </c>
      <c r="F4835" s="2">
        <v>0</v>
      </c>
      <c r="H4835">
        <v>0</v>
      </c>
      <c r="I4835">
        <v>0.1741125760648204</v>
      </c>
      <c r="J4835">
        <v>0</v>
      </c>
      <c r="K4835">
        <v>0</v>
      </c>
      <c r="L4835" s="2">
        <v>0</v>
      </c>
      <c r="M4835">
        <v>49.7</v>
      </c>
      <c r="N4835" t="s">
        <v>10236</v>
      </c>
    </row>
    <row r="4836" spans="1:14">
      <c r="A4836" t="s">
        <v>35</v>
      </c>
      <c r="B4836" t="s">
        <v>4952</v>
      </c>
      <c r="C4836">
        <f>"1761MCEL"</f>
        <v>0</v>
      </c>
      <c r="D4836">
        <v>0</v>
      </c>
      <c r="E4836">
        <v>4</v>
      </c>
      <c r="F4836" s="2">
        <v>0</v>
      </c>
      <c r="H4836">
        <v>0</v>
      </c>
      <c r="I4836">
        <v>0.1741125760648204</v>
      </c>
      <c r="J4836">
        <v>0</v>
      </c>
      <c r="K4836">
        <v>0</v>
      </c>
      <c r="L4836" s="2">
        <v>0</v>
      </c>
      <c r="M4836">
        <v>49.71</v>
      </c>
      <c r="N4836" t="s">
        <v>10236</v>
      </c>
    </row>
    <row r="4837" spans="1:14">
      <c r="A4837" t="s">
        <v>35</v>
      </c>
      <c r="B4837" t="s">
        <v>4953</v>
      </c>
      <c r="C4837">
        <f>"1761MCA"</f>
        <v>0</v>
      </c>
      <c r="D4837">
        <v>0</v>
      </c>
      <c r="E4837">
        <v>1</v>
      </c>
      <c r="F4837" s="2">
        <v>0</v>
      </c>
      <c r="H4837">
        <v>0</v>
      </c>
      <c r="I4837">
        <v>0.1741125760648204</v>
      </c>
      <c r="J4837">
        <v>0</v>
      </c>
      <c r="K4837">
        <v>0</v>
      </c>
      <c r="L4837" s="2">
        <v>0</v>
      </c>
      <c r="M4837">
        <v>49.71</v>
      </c>
      <c r="N4837" t="s">
        <v>10236</v>
      </c>
    </row>
    <row r="4838" spans="1:14">
      <c r="A4838" t="s">
        <v>35</v>
      </c>
      <c r="B4838" t="s">
        <v>4954</v>
      </c>
      <c r="C4838">
        <f>"1761LROJ"</f>
        <v>0</v>
      </c>
      <c r="D4838">
        <v>0</v>
      </c>
      <c r="E4838">
        <v>1</v>
      </c>
      <c r="F4838" s="2">
        <v>0</v>
      </c>
      <c r="H4838">
        <v>0</v>
      </c>
      <c r="I4838">
        <v>0.1741125760648204</v>
      </c>
      <c r="J4838">
        <v>0</v>
      </c>
      <c r="K4838">
        <v>0</v>
      </c>
      <c r="L4838" s="2">
        <v>0</v>
      </c>
      <c r="M4838">
        <v>49.72</v>
      </c>
      <c r="N4838" t="s">
        <v>10236</v>
      </c>
    </row>
    <row r="4839" spans="1:14">
      <c r="A4839" t="s">
        <v>35</v>
      </c>
      <c r="B4839" t="s">
        <v>4955</v>
      </c>
      <c r="C4839">
        <f>"1761LCEL"</f>
        <v>0</v>
      </c>
      <c r="D4839">
        <v>0</v>
      </c>
      <c r="E4839">
        <v>3</v>
      </c>
      <c r="F4839" s="2">
        <v>0</v>
      </c>
      <c r="H4839">
        <v>0</v>
      </c>
      <c r="I4839">
        <v>0.1741125760648204</v>
      </c>
      <c r="J4839">
        <v>0</v>
      </c>
      <c r="K4839">
        <v>0</v>
      </c>
      <c r="L4839" s="2">
        <v>0</v>
      </c>
      <c r="M4839">
        <v>49.73</v>
      </c>
      <c r="N4839" t="s">
        <v>10236</v>
      </c>
    </row>
    <row r="4840" spans="1:14">
      <c r="A4840" t="s">
        <v>35</v>
      </c>
      <c r="B4840" t="s">
        <v>4956</v>
      </c>
      <c r="C4840">
        <f>"1761LCAL"</f>
        <v>0</v>
      </c>
      <c r="D4840">
        <v>0</v>
      </c>
      <c r="E4840">
        <v>3</v>
      </c>
      <c r="F4840" s="2">
        <v>0</v>
      </c>
      <c r="H4840">
        <v>0</v>
      </c>
      <c r="I4840">
        <v>0.1741125760648204</v>
      </c>
      <c r="J4840">
        <v>0</v>
      </c>
      <c r="K4840">
        <v>0</v>
      </c>
      <c r="L4840" s="2">
        <v>0</v>
      </c>
      <c r="M4840">
        <v>49.74</v>
      </c>
      <c r="N4840" t="s">
        <v>10236</v>
      </c>
    </row>
    <row r="4841" spans="1:14">
      <c r="A4841" t="s">
        <v>35</v>
      </c>
      <c r="B4841" t="s">
        <v>4957</v>
      </c>
      <c r="C4841">
        <f>"SL111C"</f>
        <v>0</v>
      </c>
      <c r="D4841">
        <v>0</v>
      </c>
      <c r="E4841">
        <v>1</v>
      </c>
      <c r="F4841" s="2">
        <v>2</v>
      </c>
      <c r="H4841">
        <v>0</v>
      </c>
      <c r="I4841">
        <v>0.1741125760648204</v>
      </c>
      <c r="J4841">
        <v>0</v>
      </c>
      <c r="K4841">
        <v>0</v>
      </c>
      <c r="L4841" s="2">
        <v>0</v>
      </c>
      <c r="M4841">
        <v>49.75</v>
      </c>
      <c r="N4841" t="s">
        <v>10236</v>
      </c>
    </row>
    <row r="4842" spans="1:14">
      <c r="A4842" t="s">
        <v>35</v>
      </c>
      <c r="B4842" t="s">
        <v>4958</v>
      </c>
      <c r="C4842">
        <f>"SL111D"</f>
        <v>0</v>
      </c>
      <c r="D4842">
        <v>0</v>
      </c>
      <c r="E4842">
        <v>3</v>
      </c>
      <c r="F4842" s="2">
        <v>2</v>
      </c>
      <c r="H4842">
        <v>0</v>
      </c>
      <c r="I4842">
        <v>0.1741125760648204</v>
      </c>
      <c r="J4842">
        <v>0</v>
      </c>
      <c r="K4842">
        <v>0</v>
      </c>
      <c r="L4842" s="2">
        <v>0</v>
      </c>
      <c r="M4842">
        <v>49.76</v>
      </c>
      <c r="N4842" t="s">
        <v>10236</v>
      </c>
    </row>
    <row r="4843" spans="1:14">
      <c r="A4843" t="s">
        <v>35</v>
      </c>
      <c r="B4843" t="s">
        <v>4959</v>
      </c>
      <c r="C4843">
        <f>"109061"</f>
        <v>0</v>
      </c>
      <c r="D4843">
        <v>0</v>
      </c>
      <c r="E4843">
        <v>0</v>
      </c>
      <c r="F4843" s="2">
        <v>0</v>
      </c>
      <c r="H4843">
        <v>0</v>
      </c>
      <c r="I4843">
        <v>0.1741125760648204</v>
      </c>
      <c r="J4843">
        <v>0</v>
      </c>
      <c r="K4843">
        <v>0</v>
      </c>
      <c r="L4843" s="2">
        <v>0</v>
      </c>
      <c r="M4843">
        <v>49.77</v>
      </c>
      <c r="N4843" t="s">
        <v>10236</v>
      </c>
    </row>
    <row r="4844" spans="1:14">
      <c r="A4844" t="s">
        <v>35</v>
      </c>
      <c r="B4844" t="s">
        <v>4959</v>
      </c>
      <c r="C4844">
        <f>"109062"</f>
        <v>0</v>
      </c>
      <c r="D4844">
        <v>0</v>
      </c>
      <c r="E4844">
        <v>0</v>
      </c>
      <c r="F4844" s="2">
        <v>0</v>
      </c>
      <c r="H4844">
        <v>0</v>
      </c>
      <c r="I4844">
        <v>0.1741125760648204</v>
      </c>
      <c r="J4844">
        <v>0</v>
      </c>
      <c r="K4844">
        <v>0</v>
      </c>
      <c r="L4844" s="2">
        <v>0</v>
      </c>
      <c r="M4844">
        <v>49.78</v>
      </c>
      <c r="N4844" t="s">
        <v>10236</v>
      </c>
    </row>
    <row r="4845" spans="1:14">
      <c r="A4845" t="s">
        <v>35</v>
      </c>
      <c r="B4845" t="s">
        <v>4959</v>
      </c>
      <c r="C4845">
        <f>"109065"</f>
        <v>0</v>
      </c>
      <c r="D4845">
        <v>0</v>
      </c>
      <c r="E4845">
        <v>0</v>
      </c>
      <c r="F4845" s="2">
        <v>0</v>
      </c>
      <c r="H4845">
        <v>0</v>
      </c>
      <c r="I4845">
        <v>0.1741125760648204</v>
      </c>
      <c r="J4845">
        <v>0</v>
      </c>
      <c r="K4845">
        <v>0</v>
      </c>
      <c r="L4845" s="2">
        <v>0</v>
      </c>
      <c r="M4845">
        <v>49.79</v>
      </c>
      <c r="N4845" t="s">
        <v>10236</v>
      </c>
    </row>
    <row r="4846" spans="1:14">
      <c r="A4846" t="s">
        <v>35</v>
      </c>
      <c r="B4846" t="s">
        <v>4960</v>
      </c>
      <c r="C4846">
        <f>"TC150"</f>
        <v>0</v>
      </c>
      <c r="D4846">
        <v>0</v>
      </c>
      <c r="E4846">
        <v>0</v>
      </c>
      <c r="F4846" s="2">
        <v>0</v>
      </c>
      <c r="H4846">
        <v>0</v>
      </c>
      <c r="I4846">
        <v>0.1741125760648204</v>
      </c>
      <c r="J4846">
        <v>0</v>
      </c>
      <c r="K4846">
        <v>0</v>
      </c>
      <c r="L4846" s="2">
        <v>0</v>
      </c>
      <c r="M4846">
        <v>49.8</v>
      </c>
      <c r="N4846" t="s">
        <v>10236</v>
      </c>
    </row>
    <row r="4847" spans="1:14">
      <c r="A4847" t="s">
        <v>35</v>
      </c>
      <c r="B4847" t="s">
        <v>4960</v>
      </c>
      <c r="C4847">
        <f>"LN012"</f>
        <v>0</v>
      </c>
      <c r="D4847">
        <v>0</v>
      </c>
      <c r="E4847">
        <v>0</v>
      </c>
      <c r="F4847" s="2">
        <v>0</v>
      </c>
      <c r="H4847">
        <v>0</v>
      </c>
      <c r="I4847">
        <v>0.1741125760648204</v>
      </c>
      <c r="J4847">
        <v>0</v>
      </c>
      <c r="K4847">
        <v>0</v>
      </c>
      <c r="L4847" s="2">
        <v>0</v>
      </c>
      <c r="M4847">
        <v>49.81</v>
      </c>
      <c r="N4847" t="s">
        <v>10236</v>
      </c>
    </row>
    <row r="4848" spans="1:14">
      <c r="A4848" t="s">
        <v>25</v>
      </c>
      <c r="B4848" t="s">
        <v>4961</v>
      </c>
      <c r="C4848">
        <f>"19#M"</f>
        <v>0</v>
      </c>
      <c r="D4848">
        <v>0</v>
      </c>
      <c r="E4848">
        <v>0</v>
      </c>
      <c r="F4848" s="2">
        <v>0</v>
      </c>
      <c r="H4848">
        <v>0</v>
      </c>
      <c r="I4848">
        <v>0.1741125760648204</v>
      </c>
      <c r="J4848">
        <v>0</v>
      </c>
      <c r="K4848">
        <v>0</v>
      </c>
      <c r="L4848" s="2">
        <v>0</v>
      </c>
      <c r="M4848">
        <v>49.82</v>
      </c>
      <c r="N4848" t="s">
        <v>10236</v>
      </c>
    </row>
    <row r="4849" spans="1:14">
      <c r="A4849" t="s">
        <v>35</v>
      </c>
      <c r="B4849" t="s">
        <v>4962</v>
      </c>
      <c r="C4849">
        <f>"1823ARXL"</f>
        <v>0</v>
      </c>
      <c r="D4849">
        <v>0</v>
      </c>
      <c r="E4849">
        <v>11</v>
      </c>
      <c r="F4849" s="2">
        <v>8</v>
      </c>
      <c r="H4849">
        <v>0</v>
      </c>
      <c r="I4849">
        <v>0.1741125760648204</v>
      </c>
      <c r="J4849">
        <v>0</v>
      </c>
      <c r="K4849">
        <v>0</v>
      </c>
      <c r="L4849" s="2">
        <v>0</v>
      </c>
      <c r="M4849">
        <v>49.83</v>
      </c>
      <c r="N4849" t="s">
        <v>10236</v>
      </c>
    </row>
    <row r="4850" spans="1:14">
      <c r="A4850" t="s">
        <v>35</v>
      </c>
      <c r="B4850" t="s">
        <v>4963</v>
      </c>
      <c r="C4850">
        <f>"1823ARS"</f>
        <v>0</v>
      </c>
      <c r="D4850">
        <v>0</v>
      </c>
      <c r="E4850">
        <v>6</v>
      </c>
      <c r="F4850" s="2">
        <v>5</v>
      </c>
      <c r="H4850">
        <v>0</v>
      </c>
      <c r="I4850">
        <v>0.1741125760648204</v>
      </c>
      <c r="J4850">
        <v>0</v>
      </c>
      <c r="K4850">
        <v>0</v>
      </c>
      <c r="L4850" s="2">
        <v>0</v>
      </c>
      <c r="M4850">
        <v>49.83</v>
      </c>
      <c r="N4850" t="s">
        <v>10236</v>
      </c>
    </row>
    <row r="4851" spans="1:14">
      <c r="A4851" t="s">
        <v>35</v>
      </c>
      <c r="B4851" t="s">
        <v>4964</v>
      </c>
      <c r="C4851">
        <f>"1823ARM"</f>
        <v>0</v>
      </c>
      <c r="D4851">
        <v>0</v>
      </c>
      <c r="E4851">
        <v>4</v>
      </c>
      <c r="F4851" s="2">
        <v>6</v>
      </c>
      <c r="H4851">
        <v>0</v>
      </c>
      <c r="I4851">
        <v>0.1741125760648204</v>
      </c>
      <c r="J4851">
        <v>0</v>
      </c>
      <c r="K4851">
        <v>0</v>
      </c>
      <c r="L4851" s="2">
        <v>0</v>
      </c>
      <c r="M4851">
        <v>49.84</v>
      </c>
      <c r="N4851" t="s">
        <v>10236</v>
      </c>
    </row>
    <row r="4852" spans="1:14">
      <c r="A4852" t="s">
        <v>35</v>
      </c>
      <c r="B4852" t="s">
        <v>4965</v>
      </c>
      <c r="C4852">
        <f>"1823ARL"</f>
        <v>0</v>
      </c>
      <c r="D4852">
        <v>0</v>
      </c>
      <c r="E4852">
        <v>6</v>
      </c>
      <c r="F4852" s="2">
        <v>7</v>
      </c>
      <c r="H4852">
        <v>0</v>
      </c>
      <c r="I4852">
        <v>0.1741125760648204</v>
      </c>
      <c r="J4852">
        <v>0</v>
      </c>
      <c r="K4852">
        <v>0</v>
      </c>
      <c r="L4852" s="2">
        <v>0</v>
      </c>
      <c r="M4852">
        <v>49.85</v>
      </c>
      <c r="N4852" t="s">
        <v>10236</v>
      </c>
    </row>
    <row r="4853" spans="1:14">
      <c r="A4853" t="s">
        <v>35</v>
      </c>
      <c r="B4853" t="s">
        <v>4966</v>
      </c>
      <c r="C4853">
        <f>"1881SGXXS"</f>
        <v>0</v>
      </c>
      <c r="D4853">
        <v>0</v>
      </c>
      <c r="E4853">
        <v>14</v>
      </c>
      <c r="F4853" s="2">
        <v>4</v>
      </c>
      <c r="H4853">
        <v>0</v>
      </c>
      <c r="I4853">
        <v>0.1741125760648204</v>
      </c>
      <c r="J4853">
        <v>0</v>
      </c>
      <c r="K4853">
        <v>0</v>
      </c>
      <c r="L4853" s="2">
        <v>0</v>
      </c>
      <c r="M4853">
        <v>49.86</v>
      </c>
      <c r="N4853" t="s">
        <v>10236</v>
      </c>
    </row>
    <row r="4854" spans="1:14">
      <c r="A4854" t="s">
        <v>35</v>
      </c>
      <c r="B4854" t="s">
        <v>4967</v>
      </c>
      <c r="C4854">
        <f>"1881SGXS"</f>
        <v>0</v>
      </c>
      <c r="D4854">
        <v>0</v>
      </c>
      <c r="E4854">
        <v>25</v>
      </c>
      <c r="F4854" s="2">
        <v>5</v>
      </c>
      <c r="H4854">
        <v>0</v>
      </c>
      <c r="I4854">
        <v>0.1741125760648204</v>
      </c>
      <c r="J4854">
        <v>0</v>
      </c>
      <c r="K4854">
        <v>0</v>
      </c>
      <c r="L4854" s="2">
        <v>0</v>
      </c>
      <c r="M4854">
        <v>49.87</v>
      </c>
      <c r="N4854" t="s">
        <v>10236</v>
      </c>
    </row>
    <row r="4855" spans="1:14">
      <c r="A4855" t="s">
        <v>35</v>
      </c>
      <c r="B4855" t="s">
        <v>4968</v>
      </c>
      <c r="C4855">
        <f>"1881SGS"</f>
        <v>0</v>
      </c>
      <c r="D4855">
        <v>0</v>
      </c>
      <c r="E4855">
        <v>6</v>
      </c>
      <c r="F4855" s="2">
        <v>6</v>
      </c>
      <c r="H4855">
        <v>0</v>
      </c>
      <c r="I4855">
        <v>0.1741125760648204</v>
      </c>
      <c r="J4855">
        <v>0</v>
      </c>
      <c r="K4855">
        <v>0</v>
      </c>
      <c r="L4855" s="2">
        <v>0</v>
      </c>
      <c r="M4855">
        <v>49.88</v>
      </c>
      <c r="N4855" t="s">
        <v>10236</v>
      </c>
    </row>
    <row r="4856" spans="1:14">
      <c r="A4856" t="s">
        <v>35</v>
      </c>
      <c r="B4856" t="s">
        <v>4969</v>
      </c>
      <c r="C4856">
        <f>"1881SGM"</f>
        <v>0</v>
      </c>
      <c r="D4856">
        <v>0</v>
      </c>
      <c r="E4856">
        <v>0</v>
      </c>
      <c r="F4856" s="2">
        <v>0</v>
      </c>
      <c r="H4856">
        <v>0</v>
      </c>
      <c r="I4856">
        <v>0.1741125760648204</v>
      </c>
      <c r="J4856">
        <v>0</v>
      </c>
      <c r="K4856">
        <v>0</v>
      </c>
      <c r="L4856" s="2">
        <v>0</v>
      </c>
      <c r="M4856">
        <v>49.89</v>
      </c>
      <c r="N4856" t="s">
        <v>10236</v>
      </c>
    </row>
    <row r="4857" spans="1:14">
      <c r="A4857" t="s">
        <v>35</v>
      </c>
      <c r="B4857" t="s">
        <v>4970</v>
      </c>
      <c r="C4857">
        <f>"1881SGL"</f>
        <v>0</v>
      </c>
      <c r="D4857">
        <v>0</v>
      </c>
      <c r="E4857">
        <v>6</v>
      </c>
      <c r="F4857" s="2">
        <v>9</v>
      </c>
      <c r="H4857">
        <v>0</v>
      </c>
      <c r="I4857">
        <v>0.1741125760648204</v>
      </c>
      <c r="J4857">
        <v>0</v>
      </c>
      <c r="K4857">
        <v>0</v>
      </c>
      <c r="L4857" s="2">
        <v>0</v>
      </c>
      <c r="M4857">
        <v>49.9</v>
      </c>
      <c r="N4857" t="s">
        <v>10236</v>
      </c>
    </row>
    <row r="4858" spans="1:14">
      <c r="A4858" t="s">
        <v>35</v>
      </c>
      <c r="B4858" t="s">
        <v>4971</v>
      </c>
      <c r="C4858">
        <f>"1881MBXXS"</f>
        <v>0</v>
      </c>
      <c r="D4858">
        <v>0</v>
      </c>
      <c r="E4858">
        <v>17</v>
      </c>
      <c r="F4858" s="2">
        <v>4</v>
      </c>
      <c r="H4858">
        <v>0</v>
      </c>
      <c r="I4858">
        <v>0.1741125760648204</v>
      </c>
      <c r="J4858">
        <v>0</v>
      </c>
      <c r="K4858">
        <v>0</v>
      </c>
      <c r="L4858" s="2">
        <v>0</v>
      </c>
      <c r="M4858">
        <v>49.91</v>
      </c>
      <c r="N4858" t="s">
        <v>10236</v>
      </c>
    </row>
    <row r="4859" spans="1:14">
      <c r="A4859" t="s">
        <v>35</v>
      </c>
      <c r="B4859" t="s">
        <v>4972</v>
      </c>
      <c r="C4859">
        <f>"1881MBXS"</f>
        <v>0</v>
      </c>
      <c r="D4859">
        <v>0</v>
      </c>
      <c r="E4859">
        <v>7</v>
      </c>
      <c r="F4859" s="2">
        <v>0</v>
      </c>
      <c r="H4859">
        <v>0</v>
      </c>
      <c r="I4859">
        <v>0.1741125760648204</v>
      </c>
      <c r="J4859">
        <v>0</v>
      </c>
      <c r="K4859">
        <v>0</v>
      </c>
      <c r="L4859" s="2">
        <v>0</v>
      </c>
      <c r="M4859">
        <v>49.92</v>
      </c>
      <c r="N4859" t="s">
        <v>10236</v>
      </c>
    </row>
    <row r="4860" spans="1:14">
      <c r="A4860" t="s">
        <v>35</v>
      </c>
      <c r="B4860" t="s">
        <v>4973</v>
      </c>
      <c r="C4860">
        <f>"1881MBS"</f>
        <v>0</v>
      </c>
      <c r="D4860">
        <v>0</v>
      </c>
      <c r="E4860">
        <v>12</v>
      </c>
      <c r="F4860" s="2">
        <v>6</v>
      </c>
      <c r="H4860">
        <v>0</v>
      </c>
      <c r="I4860">
        <v>0.1741125760648204</v>
      </c>
      <c r="J4860">
        <v>0</v>
      </c>
      <c r="K4860">
        <v>0</v>
      </c>
      <c r="L4860" s="2">
        <v>0</v>
      </c>
      <c r="M4860">
        <v>49.93</v>
      </c>
      <c r="N4860" t="s">
        <v>10236</v>
      </c>
    </row>
    <row r="4861" spans="1:14">
      <c r="A4861" t="s">
        <v>35</v>
      </c>
      <c r="B4861" t="s">
        <v>4974</v>
      </c>
      <c r="C4861">
        <f>"1881MBM"</f>
        <v>0</v>
      </c>
      <c r="D4861">
        <v>0</v>
      </c>
      <c r="E4861">
        <v>13</v>
      </c>
      <c r="F4861" s="2">
        <v>7</v>
      </c>
      <c r="H4861">
        <v>0</v>
      </c>
      <c r="I4861">
        <v>0.1741125760648204</v>
      </c>
      <c r="J4861">
        <v>0</v>
      </c>
      <c r="K4861">
        <v>0</v>
      </c>
      <c r="L4861" s="2">
        <v>0</v>
      </c>
      <c r="M4861">
        <v>49.94</v>
      </c>
      <c r="N4861" t="s">
        <v>10236</v>
      </c>
    </row>
    <row r="4862" spans="1:14">
      <c r="A4862" t="s">
        <v>35</v>
      </c>
      <c r="B4862" t="s">
        <v>4975</v>
      </c>
      <c r="C4862">
        <f>"1881MBL"</f>
        <v>0</v>
      </c>
      <c r="D4862">
        <v>0</v>
      </c>
      <c r="E4862">
        <v>7</v>
      </c>
      <c r="F4862" s="2">
        <v>9</v>
      </c>
      <c r="H4862">
        <v>0</v>
      </c>
      <c r="I4862">
        <v>0.1741125760648204</v>
      </c>
      <c r="J4862">
        <v>0</v>
      </c>
      <c r="K4862">
        <v>0</v>
      </c>
      <c r="L4862" s="2">
        <v>0</v>
      </c>
      <c r="M4862">
        <v>49.95</v>
      </c>
      <c r="N4862" t="s">
        <v>10236</v>
      </c>
    </row>
    <row r="4863" spans="1:14">
      <c r="A4863" t="s">
        <v>35</v>
      </c>
      <c r="B4863" t="s">
        <v>4976</v>
      </c>
      <c r="C4863">
        <f>"TOP92261"</f>
        <v>0</v>
      </c>
      <c r="D4863">
        <v>0</v>
      </c>
      <c r="E4863">
        <v>3</v>
      </c>
      <c r="F4863" s="2">
        <v>5</v>
      </c>
      <c r="H4863">
        <v>0</v>
      </c>
      <c r="I4863">
        <v>0.1741125760648204</v>
      </c>
      <c r="J4863">
        <v>0</v>
      </c>
      <c r="K4863">
        <v>0</v>
      </c>
      <c r="L4863" s="2">
        <v>0</v>
      </c>
      <c r="M4863">
        <v>49.95</v>
      </c>
      <c r="N4863" t="s">
        <v>10236</v>
      </c>
    </row>
    <row r="4864" spans="1:14">
      <c r="A4864" t="s">
        <v>35</v>
      </c>
      <c r="B4864" t="s">
        <v>4977</v>
      </c>
      <c r="C4864">
        <f>"1881FBXS"</f>
        <v>0</v>
      </c>
      <c r="D4864">
        <v>0</v>
      </c>
      <c r="E4864">
        <v>8</v>
      </c>
      <c r="F4864" s="2">
        <v>5</v>
      </c>
      <c r="H4864">
        <v>0</v>
      </c>
      <c r="I4864">
        <v>0.1741125760648204</v>
      </c>
      <c r="J4864">
        <v>0</v>
      </c>
      <c r="K4864">
        <v>0</v>
      </c>
      <c r="L4864" s="2">
        <v>0</v>
      </c>
      <c r="M4864">
        <v>49.96</v>
      </c>
      <c r="N4864" t="s">
        <v>10236</v>
      </c>
    </row>
    <row r="4865" spans="1:14">
      <c r="A4865" t="s">
        <v>35</v>
      </c>
      <c r="B4865" t="s">
        <v>4978</v>
      </c>
      <c r="C4865">
        <f>"1881FBM"</f>
        <v>0</v>
      </c>
      <c r="D4865">
        <v>0</v>
      </c>
      <c r="E4865">
        <v>10</v>
      </c>
      <c r="F4865" s="2">
        <v>7</v>
      </c>
      <c r="H4865">
        <v>0</v>
      </c>
      <c r="I4865">
        <v>0.1741125760648204</v>
      </c>
      <c r="J4865">
        <v>0</v>
      </c>
      <c r="K4865">
        <v>0</v>
      </c>
      <c r="L4865" s="2">
        <v>0</v>
      </c>
      <c r="M4865">
        <v>49.97</v>
      </c>
      <c r="N4865" t="s">
        <v>10236</v>
      </c>
    </row>
    <row r="4866" spans="1:14">
      <c r="A4866" t="s">
        <v>35</v>
      </c>
      <c r="B4866" t="s">
        <v>4979</v>
      </c>
      <c r="C4866">
        <f>"1881FBL"</f>
        <v>0</v>
      </c>
      <c r="D4866">
        <v>0</v>
      </c>
      <c r="E4866">
        <v>9</v>
      </c>
      <c r="F4866" s="2">
        <v>9</v>
      </c>
      <c r="H4866">
        <v>0</v>
      </c>
      <c r="I4866">
        <v>0.1741125760648204</v>
      </c>
      <c r="J4866">
        <v>0</v>
      </c>
      <c r="K4866">
        <v>0</v>
      </c>
      <c r="L4866" s="2">
        <v>0</v>
      </c>
      <c r="M4866">
        <v>49.98</v>
      </c>
      <c r="N4866" t="s">
        <v>10236</v>
      </c>
    </row>
    <row r="4867" spans="1:14">
      <c r="A4867" t="s">
        <v>35</v>
      </c>
      <c r="B4867" t="s">
        <v>4980</v>
      </c>
      <c r="C4867">
        <f>"1854PYXXS"</f>
        <v>0</v>
      </c>
      <c r="D4867">
        <v>0</v>
      </c>
      <c r="E4867">
        <v>9</v>
      </c>
      <c r="F4867" s="2">
        <v>4</v>
      </c>
      <c r="H4867">
        <v>0</v>
      </c>
      <c r="I4867">
        <v>0.1741125760648204</v>
      </c>
      <c r="J4867">
        <v>0</v>
      </c>
      <c r="K4867">
        <v>0</v>
      </c>
      <c r="L4867" s="2">
        <v>0</v>
      </c>
      <c r="M4867">
        <v>49.99</v>
      </c>
      <c r="N4867" t="s">
        <v>10236</v>
      </c>
    </row>
    <row r="4868" spans="1:14">
      <c r="A4868" t="s">
        <v>35</v>
      </c>
      <c r="B4868" t="s">
        <v>4981</v>
      </c>
      <c r="C4868">
        <f>"1854PYXS"</f>
        <v>0</v>
      </c>
      <c r="D4868">
        <v>0</v>
      </c>
      <c r="E4868">
        <v>10</v>
      </c>
      <c r="F4868" s="2">
        <v>6</v>
      </c>
      <c r="H4868">
        <v>0</v>
      </c>
      <c r="I4868">
        <v>0.1741125760648204</v>
      </c>
      <c r="J4868">
        <v>0</v>
      </c>
      <c r="K4868">
        <v>0</v>
      </c>
      <c r="L4868" s="2">
        <v>0</v>
      </c>
      <c r="M4868">
        <v>50</v>
      </c>
      <c r="N4868" t="s">
        <v>10236</v>
      </c>
    </row>
    <row r="4869" spans="1:14">
      <c r="A4869" t="s">
        <v>35</v>
      </c>
      <c r="B4869" t="s">
        <v>4982</v>
      </c>
      <c r="C4869">
        <f>"1854PYS"</f>
        <v>0</v>
      </c>
      <c r="D4869">
        <v>0</v>
      </c>
      <c r="E4869">
        <v>6</v>
      </c>
      <c r="F4869" s="2">
        <v>6</v>
      </c>
      <c r="H4869">
        <v>0</v>
      </c>
      <c r="I4869">
        <v>0.1741125760648204</v>
      </c>
      <c r="J4869">
        <v>0</v>
      </c>
      <c r="K4869">
        <v>0</v>
      </c>
      <c r="L4869" s="2">
        <v>0</v>
      </c>
      <c r="M4869">
        <v>50.01</v>
      </c>
      <c r="N4869" t="s">
        <v>10236</v>
      </c>
    </row>
    <row r="4870" spans="1:14">
      <c r="A4870" t="s">
        <v>35</v>
      </c>
      <c r="B4870" t="s">
        <v>4983</v>
      </c>
      <c r="C4870">
        <f>"1854PYM"</f>
        <v>0</v>
      </c>
      <c r="D4870">
        <v>0</v>
      </c>
      <c r="E4870">
        <v>6</v>
      </c>
      <c r="F4870" s="2">
        <v>8</v>
      </c>
      <c r="H4870">
        <v>0</v>
      </c>
      <c r="I4870">
        <v>0.1741125760648204</v>
      </c>
      <c r="J4870">
        <v>0</v>
      </c>
      <c r="K4870">
        <v>0</v>
      </c>
      <c r="L4870" s="2">
        <v>0</v>
      </c>
      <c r="M4870">
        <v>50.02</v>
      </c>
      <c r="N4870" t="s">
        <v>10236</v>
      </c>
    </row>
    <row r="4871" spans="1:14">
      <c r="A4871" t="s">
        <v>35</v>
      </c>
      <c r="B4871" t="s">
        <v>4984</v>
      </c>
      <c r="C4871">
        <f>"1854LVXXS"</f>
        <v>0</v>
      </c>
      <c r="D4871">
        <v>0</v>
      </c>
      <c r="E4871">
        <v>5</v>
      </c>
      <c r="F4871" s="2">
        <v>3</v>
      </c>
      <c r="H4871">
        <v>0</v>
      </c>
      <c r="I4871">
        <v>0.1741125760648204</v>
      </c>
      <c r="J4871">
        <v>0</v>
      </c>
      <c r="K4871">
        <v>0</v>
      </c>
      <c r="L4871" s="2">
        <v>0</v>
      </c>
      <c r="M4871">
        <v>50.03</v>
      </c>
      <c r="N4871" t="s">
        <v>10236</v>
      </c>
    </row>
    <row r="4872" spans="1:14">
      <c r="A4872" t="s">
        <v>35</v>
      </c>
      <c r="B4872" t="s">
        <v>4985</v>
      </c>
      <c r="C4872">
        <f>"1854LVXS"</f>
        <v>0</v>
      </c>
      <c r="D4872">
        <v>0</v>
      </c>
      <c r="E4872">
        <v>5</v>
      </c>
      <c r="F4872" s="2">
        <v>4</v>
      </c>
      <c r="H4872">
        <v>0</v>
      </c>
      <c r="I4872">
        <v>0.1741125760648204</v>
      </c>
      <c r="J4872">
        <v>0</v>
      </c>
      <c r="K4872">
        <v>0</v>
      </c>
      <c r="L4872" s="2">
        <v>0</v>
      </c>
      <c r="M4872">
        <v>50.04</v>
      </c>
      <c r="N4872" t="s">
        <v>10236</v>
      </c>
    </row>
    <row r="4873" spans="1:14">
      <c r="A4873" t="s">
        <v>35</v>
      </c>
      <c r="B4873" t="s">
        <v>4986</v>
      </c>
      <c r="C4873">
        <f>"1854LVS"</f>
        <v>0</v>
      </c>
      <c r="D4873">
        <v>0</v>
      </c>
      <c r="E4873">
        <v>13</v>
      </c>
      <c r="F4873" s="2">
        <v>7</v>
      </c>
      <c r="H4873">
        <v>0</v>
      </c>
      <c r="I4873">
        <v>0.1741125760648204</v>
      </c>
      <c r="J4873">
        <v>0</v>
      </c>
      <c r="K4873">
        <v>0</v>
      </c>
      <c r="L4873" s="2">
        <v>0</v>
      </c>
      <c r="M4873">
        <v>50.05</v>
      </c>
      <c r="N4873" t="s">
        <v>10236</v>
      </c>
    </row>
    <row r="4874" spans="1:14">
      <c r="A4874" t="s">
        <v>35</v>
      </c>
      <c r="B4874" t="s">
        <v>4987</v>
      </c>
      <c r="C4874">
        <f>"1854LVM"</f>
        <v>0</v>
      </c>
      <c r="D4874">
        <v>0</v>
      </c>
      <c r="E4874">
        <v>3</v>
      </c>
      <c r="F4874" s="2">
        <v>8</v>
      </c>
      <c r="H4874">
        <v>0</v>
      </c>
      <c r="I4874">
        <v>0.1741125760648204</v>
      </c>
      <c r="J4874">
        <v>0</v>
      </c>
      <c r="K4874">
        <v>0</v>
      </c>
      <c r="L4874" s="2">
        <v>0</v>
      </c>
      <c r="M4874">
        <v>50.06</v>
      </c>
      <c r="N4874" t="s">
        <v>10236</v>
      </c>
    </row>
    <row r="4875" spans="1:14">
      <c r="A4875" t="s">
        <v>35</v>
      </c>
      <c r="B4875" t="s">
        <v>4988</v>
      </c>
      <c r="C4875">
        <f>"1854CPM"</f>
        <v>0</v>
      </c>
      <c r="D4875">
        <v>0</v>
      </c>
      <c r="E4875">
        <v>9</v>
      </c>
      <c r="F4875" s="2">
        <v>10</v>
      </c>
      <c r="H4875">
        <v>0</v>
      </c>
      <c r="I4875">
        <v>0.1741125760648204</v>
      </c>
      <c r="J4875">
        <v>0</v>
      </c>
      <c r="K4875">
        <v>0</v>
      </c>
      <c r="L4875" s="2">
        <v>0</v>
      </c>
      <c r="M4875">
        <v>50.07</v>
      </c>
      <c r="N4875" t="s">
        <v>10236</v>
      </c>
    </row>
    <row r="4876" spans="1:14">
      <c r="A4876" t="s">
        <v>35</v>
      </c>
      <c r="B4876" t="s">
        <v>4989</v>
      </c>
      <c r="C4876">
        <f>"1854CPXXS"</f>
        <v>0</v>
      </c>
      <c r="D4876">
        <v>0</v>
      </c>
      <c r="E4876">
        <v>6</v>
      </c>
      <c r="F4876" s="2">
        <v>3</v>
      </c>
      <c r="H4876">
        <v>0</v>
      </c>
      <c r="I4876">
        <v>0.1741125760648204</v>
      </c>
      <c r="J4876">
        <v>0</v>
      </c>
      <c r="K4876">
        <v>0</v>
      </c>
      <c r="L4876" s="2">
        <v>0</v>
      </c>
      <c r="M4876">
        <v>50.07</v>
      </c>
      <c r="N4876" t="s">
        <v>10236</v>
      </c>
    </row>
    <row r="4877" spans="1:14">
      <c r="A4877" t="s">
        <v>35</v>
      </c>
      <c r="B4877" t="s">
        <v>4990</v>
      </c>
      <c r="C4877">
        <f>"1854CPXS"</f>
        <v>0</v>
      </c>
      <c r="D4877">
        <v>0</v>
      </c>
      <c r="E4877">
        <v>2</v>
      </c>
      <c r="F4877" s="2">
        <v>7</v>
      </c>
      <c r="H4877">
        <v>0</v>
      </c>
      <c r="I4877">
        <v>0.1741125760648204</v>
      </c>
      <c r="J4877">
        <v>0</v>
      </c>
      <c r="K4877">
        <v>0</v>
      </c>
      <c r="L4877" s="2">
        <v>0</v>
      </c>
      <c r="M4877">
        <v>50.08</v>
      </c>
      <c r="N4877" t="s">
        <v>10236</v>
      </c>
    </row>
    <row r="4878" spans="1:14">
      <c r="A4878" t="s">
        <v>35</v>
      </c>
      <c r="B4878" t="s">
        <v>4991</v>
      </c>
      <c r="C4878">
        <f>"1881FBXXS"</f>
        <v>0</v>
      </c>
      <c r="D4878">
        <v>0</v>
      </c>
      <c r="E4878">
        <v>8</v>
      </c>
      <c r="F4878" s="2">
        <v>4</v>
      </c>
      <c r="H4878">
        <v>0</v>
      </c>
      <c r="I4878">
        <v>0.1741125760648204</v>
      </c>
      <c r="J4878">
        <v>0</v>
      </c>
      <c r="K4878">
        <v>0</v>
      </c>
      <c r="L4878" s="2">
        <v>0</v>
      </c>
      <c r="M4878">
        <v>50.09</v>
      </c>
      <c r="N4878" t="s">
        <v>10236</v>
      </c>
    </row>
    <row r="4879" spans="1:14">
      <c r="A4879" t="s">
        <v>35</v>
      </c>
      <c r="B4879" t="s">
        <v>4992</v>
      </c>
      <c r="C4879">
        <f>"1837SL"</f>
        <v>0</v>
      </c>
      <c r="D4879">
        <v>0</v>
      </c>
      <c r="E4879">
        <v>3</v>
      </c>
      <c r="F4879" s="2">
        <v>3</v>
      </c>
      <c r="H4879">
        <v>0</v>
      </c>
      <c r="I4879">
        <v>0.1741125760648204</v>
      </c>
      <c r="J4879">
        <v>0</v>
      </c>
      <c r="K4879">
        <v>0</v>
      </c>
      <c r="L4879" s="2">
        <v>0</v>
      </c>
      <c r="M4879">
        <v>50.1</v>
      </c>
      <c r="N4879" t="s">
        <v>10236</v>
      </c>
    </row>
    <row r="4880" spans="1:14">
      <c r="A4880" t="s">
        <v>35</v>
      </c>
      <c r="B4880" t="s">
        <v>4993</v>
      </c>
      <c r="C4880">
        <f>"1837ML"</f>
        <v>0</v>
      </c>
      <c r="D4880">
        <v>0</v>
      </c>
      <c r="E4880">
        <v>2</v>
      </c>
      <c r="F4880" s="2">
        <v>4</v>
      </c>
      <c r="H4880">
        <v>0</v>
      </c>
      <c r="I4880">
        <v>0.1741125760648204</v>
      </c>
      <c r="J4880">
        <v>0</v>
      </c>
      <c r="K4880">
        <v>0</v>
      </c>
      <c r="L4880" s="2">
        <v>0</v>
      </c>
      <c r="M4880">
        <v>50.11</v>
      </c>
      <c r="N4880" t="s">
        <v>10236</v>
      </c>
    </row>
    <row r="4881" spans="1:14">
      <c r="A4881" t="s">
        <v>35</v>
      </c>
      <c r="B4881" t="s">
        <v>4994</v>
      </c>
      <c r="C4881">
        <f>"1837LL"</f>
        <v>0</v>
      </c>
      <c r="D4881">
        <v>0</v>
      </c>
      <c r="E4881">
        <v>1</v>
      </c>
      <c r="F4881" s="2">
        <v>4</v>
      </c>
      <c r="H4881">
        <v>0</v>
      </c>
      <c r="I4881">
        <v>0.1741125760648204</v>
      </c>
      <c r="J4881">
        <v>0</v>
      </c>
      <c r="K4881">
        <v>0</v>
      </c>
      <c r="L4881" s="2">
        <v>0</v>
      </c>
      <c r="M4881">
        <v>50.12</v>
      </c>
      <c r="N4881" t="s">
        <v>10236</v>
      </c>
    </row>
    <row r="4882" spans="1:14">
      <c r="A4882" t="s">
        <v>35</v>
      </c>
      <c r="B4882" t="s">
        <v>4995</v>
      </c>
      <c r="C4882">
        <f>"1837PBXXS"</f>
        <v>0</v>
      </c>
      <c r="D4882">
        <v>0</v>
      </c>
      <c r="E4882">
        <v>0</v>
      </c>
      <c r="F4882" s="2">
        <v>0</v>
      </c>
      <c r="H4882">
        <v>0</v>
      </c>
      <c r="I4882">
        <v>0.1741125760648204</v>
      </c>
      <c r="J4882">
        <v>0</v>
      </c>
      <c r="K4882">
        <v>0</v>
      </c>
      <c r="L4882" s="2">
        <v>0</v>
      </c>
      <c r="M4882">
        <v>50.13</v>
      </c>
      <c r="N4882" t="s">
        <v>10236</v>
      </c>
    </row>
    <row r="4883" spans="1:14">
      <c r="A4883" t="s">
        <v>35</v>
      </c>
      <c r="B4883" t="s">
        <v>4996</v>
      </c>
      <c r="C4883">
        <f>"1837PBXS"</f>
        <v>0</v>
      </c>
      <c r="D4883">
        <v>0</v>
      </c>
      <c r="E4883">
        <v>2</v>
      </c>
      <c r="F4883" s="2">
        <v>3</v>
      </c>
      <c r="H4883">
        <v>0</v>
      </c>
      <c r="I4883">
        <v>0.1741125760648204</v>
      </c>
      <c r="J4883">
        <v>0</v>
      </c>
      <c r="K4883">
        <v>0</v>
      </c>
      <c r="L4883" s="2">
        <v>0</v>
      </c>
      <c r="M4883">
        <v>50.14</v>
      </c>
      <c r="N4883" t="s">
        <v>10236</v>
      </c>
    </row>
    <row r="4884" spans="1:14">
      <c r="A4884" t="s">
        <v>35</v>
      </c>
      <c r="B4884" t="s">
        <v>4997</v>
      </c>
      <c r="C4884">
        <f>"1837PBS"</f>
        <v>0</v>
      </c>
      <c r="D4884">
        <v>0</v>
      </c>
      <c r="E4884">
        <v>0</v>
      </c>
      <c r="F4884" s="2">
        <v>0</v>
      </c>
      <c r="H4884">
        <v>0</v>
      </c>
      <c r="I4884">
        <v>0.1741125760648204</v>
      </c>
      <c r="J4884">
        <v>0</v>
      </c>
      <c r="K4884">
        <v>0</v>
      </c>
      <c r="L4884" s="2">
        <v>0</v>
      </c>
      <c r="M4884">
        <v>50.15</v>
      </c>
      <c r="N4884" t="s">
        <v>10236</v>
      </c>
    </row>
    <row r="4885" spans="1:14">
      <c r="A4885" t="s">
        <v>35</v>
      </c>
      <c r="B4885" t="s">
        <v>4998</v>
      </c>
      <c r="C4885">
        <f>"1837PBM"</f>
        <v>0</v>
      </c>
      <c r="D4885">
        <v>0</v>
      </c>
      <c r="E4885">
        <v>3</v>
      </c>
      <c r="F4885" s="2">
        <v>4</v>
      </c>
      <c r="H4885">
        <v>0</v>
      </c>
      <c r="I4885">
        <v>0.1741125760648204</v>
      </c>
      <c r="J4885">
        <v>0</v>
      </c>
      <c r="K4885">
        <v>0</v>
      </c>
      <c r="L4885" s="2">
        <v>0</v>
      </c>
      <c r="M4885">
        <v>50.16</v>
      </c>
      <c r="N4885" t="s">
        <v>10236</v>
      </c>
    </row>
    <row r="4886" spans="1:14">
      <c r="A4886" t="s">
        <v>35</v>
      </c>
      <c r="B4886" t="s">
        <v>4999</v>
      </c>
      <c r="C4886">
        <f>"1837PBL"</f>
        <v>0</v>
      </c>
      <c r="D4886">
        <v>0</v>
      </c>
      <c r="E4886">
        <v>2</v>
      </c>
      <c r="F4886" s="2">
        <v>4</v>
      </c>
      <c r="H4886">
        <v>0</v>
      </c>
      <c r="I4886">
        <v>0.1741125760648204</v>
      </c>
      <c r="J4886">
        <v>0</v>
      </c>
      <c r="K4886">
        <v>0</v>
      </c>
      <c r="L4886" s="2">
        <v>0</v>
      </c>
      <c r="M4886">
        <v>50.17</v>
      </c>
      <c r="N4886" t="s">
        <v>10236</v>
      </c>
    </row>
    <row r="4887" spans="1:14">
      <c r="A4887" t="s">
        <v>35</v>
      </c>
      <c r="B4887" t="s">
        <v>5000</v>
      </c>
      <c r="C4887">
        <f>"1837RRXXS"</f>
        <v>0</v>
      </c>
      <c r="D4887">
        <v>0</v>
      </c>
      <c r="E4887">
        <v>0</v>
      </c>
      <c r="F4887" s="2">
        <v>0</v>
      </c>
      <c r="H4887">
        <v>0</v>
      </c>
      <c r="I4887">
        <v>0.1741125760648204</v>
      </c>
      <c r="J4887">
        <v>0</v>
      </c>
      <c r="K4887">
        <v>0</v>
      </c>
      <c r="L4887" s="2">
        <v>0</v>
      </c>
      <c r="M4887">
        <v>50.18</v>
      </c>
      <c r="N4887" t="s">
        <v>10236</v>
      </c>
    </row>
    <row r="4888" spans="1:14">
      <c r="A4888" t="s">
        <v>35</v>
      </c>
      <c r="B4888" t="s">
        <v>5001</v>
      </c>
      <c r="C4888">
        <f>"1837RRXS"</f>
        <v>0</v>
      </c>
      <c r="D4888">
        <v>0</v>
      </c>
      <c r="E4888">
        <v>0</v>
      </c>
      <c r="F4888" s="2">
        <v>0</v>
      </c>
      <c r="H4888">
        <v>0</v>
      </c>
      <c r="I4888">
        <v>0.1741125760648204</v>
      </c>
      <c r="J4888">
        <v>0</v>
      </c>
      <c r="K4888">
        <v>0</v>
      </c>
      <c r="L4888" s="2">
        <v>0</v>
      </c>
      <c r="M4888">
        <v>50.18</v>
      </c>
      <c r="N4888" t="s">
        <v>10236</v>
      </c>
    </row>
    <row r="4889" spans="1:14">
      <c r="A4889" t="s">
        <v>35</v>
      </c>
      <c r="B4889" t="s">
        <v>5002</v>
      </c>
      <c r="C4889">
        <f>"1837RRM"</f>
        <v>0</v>
      </c>
      <c r="D4889">
        <v>0</v>
      </c>
      <c r="E4889">
        <v>0</v>
      </c>
      <c r="F4889" s="2">
        <v>0</v>
      </c>
      <c r="H4889">
        <v>0</v>
      </c>
      <c r="I4889">
        <v>0.1741125760648204</v>
      </c>
      <c r="J4889">
        <v>0</v>
      </c>
      <c r="K4889">
        <v>0</v>
      </c>
      <c r="L4889" s="2">
        <v>0</v>
      </c>
      <c r="M4889">
        <v>50.19</v>
      </c>
      <c r="N4889" t="s">
        <v>10236</v>
      </c>
    </row>
    <row r="4890" spans="1:14">
      <c r="A4890" t="s">
        <v>35</v>
      </c>
      <c r="B4890" t="s">
        <v>5003</v>
      </c>
      <c r="C4890">
        <f>"1837RRL"</f>
        <v>0</v>
      </c>
      <c r="D4890">
        <v>0</v>
      </c>
      <c r="E4890">
        <v>0</v>
      </c>
      <c r="F4890" s="2">
        <v>0</v>
      </c>
      <c r="H4890">
        <v>0</v>
      </c>
      <c r="I4890">
        <v>0.1741125760648204</v>
      </c>
      <c r="J4890">
        <v>0</v>
      </c>
      <c r="K4890">
        <v>0</v>
      </c>
      <c r="L4890" s="2">
        <v>0</v>
      </c>
      <c r="M4890">
        <v>50.2</v>
      </c>
      <c r="N4890" t="s">
        <v>10236</v>
      </c>
    </row>
    <row r="4891" spans="1:14">
      <c r="A4891" t="s">
        <v>35</v>
      </c>
      <c r="B4891" t="s">
        <v>5004</v>
      </c>
      <c r="C4891">
        <f>"1837RRS"</f>
        <v>0</v>
      </c>
      <c r="D4891">
        <v>0</v>
      </c>
      <c r="E4891">
        <v>0</v>
      </c>
      <c r="F4891" s="2">
        <v>0</v>
      </c>
      <c r="H4891">
        <v>0</v>
      </c>
      <c r="I4891">
        <v>0.1741125760648204</v>
      </c>
      <c r="J4891">
        <v>0</v>
      </c>
      <c r="K4891">
        <v>0</v>
      </c>
      <c r="L4891" s="2">
        <v>0</v>
      </c>
      <c r="M4891">
        <v>50.21</v>
      </c>
      <c r="N4891" t="s">
        <v>10236</v>
      </c>
    </row>
    <row r="4892" spans="1:14">
      <c r="A4892" t="s">
        <v>35</v>
      </c>
      <c r="B4892" t="s">
        <v>5005</v>
      </c>
      <c r="C4892">
        <f>"1837BCXXS"</f>
        <v>0</v>
      </c>
      <c r="D4892">
        <v>0</v>
      </c>
      <c r="E4892">
        <v>0</v>
      </c>
      <c r="F4892" s="2">
        <v>0</v>
      </c>
      <c r="H4892">
        <v>0</v>
      </c>
      <c r="I4892">
        <v>0.1741125760648204</v>
      </c>
      <c r="J4892">
        <v>0</v>
      </c>
      <c r="K4892">
        <v>0</v>
      </c>
      <c r="L4892" s="2">
        <v>0</v>
      </c>
      <c r="M4892">
        <v>50.22</v>
      </c>
      <c r="N4892" t="s">
        <v>10236</v>
      </c>
    </row>
    <row r="4893" spans="1:14">
      <c r="A4893" t="s">
        <v>35</v>
      </c>
      <c r="B4893" t="s">
        <v>5006</v>
      </c>
      <c r="C4893">
        <f>"1823LGL"</f>
        <v>0</v>
      </c>
      <c r="D4893">
        <v>0</v>
      </c>
      <c r="E4893">
        <v>7</v>
      </c>
      <c r="F4893" s="2">
        <v>5</v>
      </c>
      <c r="H4893">
        <v>0</v>
      </c>
      <c r="I4893">
        <v>0.1741125760648204</v>
      </c>
      <c r="J4893">
        <v>0</v>
      </c>
      <c r="K4893">
        <v>0</v>
      </c>
      <c r="L4893" s="2">
        <v>0</v>
      </c>
      <c r="M4893">
        <v>50.23</v>
      </c>
      <c r="N4893" t="s">
        <v>10236</v>
      </c>
    </row>
    <row r="4894" spans="1:14">
      <c r="A4894" t="s">
        <v>35</v>
      </c>
      <c r="B4894" t="s">
        <v>5007</v>
      </c>
      <c r="C4894">
        <f>"1837BCS"</f>
        <v>0</v>
      </c>
      <c r="D4894">
        <v>0</v>
      </c>
      <c r="E4894">
        <v>0</v>
      </c>
      <c r="F4894" s="2">
        <v>0</v>
      </c>
      <c r="H4894">
        <v>0</v>
      </c>
      <c r="I4894">
        <v>0.1741125760648204</v>
      </c>
      <c r="J4894">
        <v>0</v>
      </c>
      <c r="K4894">
        <v>0</v>
      </c>
      <c r="L4894" s="2">
        <v>0</v>
      </c>
      <c r="M4894">
        <v>50.24</v>
      </c>
      <c r="N4894" t="s">
        <v>10236</v>
      </c>
    </row>
    <row r="4895" spans="1:14">
      <c r="A4895" t="s">
        <v>35</v>
      </c>
      <c r="B4895" t="s">
        <v>5008</v>
      </c>
      <c r="C4895">
        <f>"1837BCM"</f>
        <v>0</v>
      </c>
      <c r="D4895">
        <v>0</v>
      </c>
      <c r="E4895">
        <v>0</v>
      </c>
      <c r="F4895" s="2">
        <v>0</v>
      </c>
      <c r="H4895">
        <v>0</v>
      </c>
      <c r="I4895">
        <v>0.1741125760648204</v>
      </c>
      <c r="J4895">
        <v>0</v>
      </c>
      <c r="K4895">
        <v>0</v>
      </c>
      <c r="L4895" s="2">
        <v>0</v>
      </c>
      <c r="M4895">
        <v>50.25</v>
      </c>
      <c r="N4895" t="s">
        <v>10236</v>
      </c>
    </row>
    <row r="4896" spans="1:14">
      <c r="A4896" t="s">
        <v>35</v>
      </c>
      <c r="B4896" t="s">
        <v>5009</v>
      </c>
      <c r="C4896">
        <f>"1837BCL"</f>
        <v>0</v>
      </c>
      <c r="D4896">
        <v>0</v>
      </c>
      <c r="E4896">
        <v>2</v>
      </c>
      <c r="F4896" s="2">
        <v>4</v>
      </c>
      <c r="H4896">
        <v>0</v>
      </c>
      <c r="I4896">
        <v>0.1741125760648204</v>
      </c>
      <c r="J4896">
        <v>0</v>
      </c>
      <c r="K4896">
        <v>0</v>
      </c>
      <c r="L4896" s="2">
        <v>0</v>
      </c>
      <c r="M4896">
        <v>50.26</v>
      </c>
      <c r="N4896" t="s">
        <v>10236</v>
      </c>
    </row>
    <row r="4897" spans="1:14">
      <c r="A4897" t="s">
        <v>35</v>
      </c>
      <c r="B4897" t="s">
        <v>5010</v>
      </c>
      <c r="C4897">
        <f>"1837XXSAM"</f>
        <v>0</v>
      </c>
      <c r="D4897">
        <v>0</v>
      </c>
      <c r="E4897">
        <v>0</v>
      </c>
      <c r="F4897" s="2">
        <v>0</v>
      </c>
      <c r="H4897">
        <v>0</v>
      </c>
      <c r="I4897">
        <v>0.1741125760648204</v>
      </c>
      <c r="J4897">
        <v>0</v>
      </c>
      <c r="K4897">
        <v>0</v>
      </c>
      <c r="L4897" s="2">
        <v>0</v>
      </c>
      <c r="M4897">
        <v>50.27</v>
      </c>
      <c r="N4897" t="s">
        <v>10236</v>
      </c>
    </row>
    <row r="4898" spans="1:14">
      <c r="A4898" t="s">
        <v>35</v>
      </c>
      <c r="B4898" t="s">
        <v>5011</v>
      </c>
      <c r="C4898">
        <f>"1837XSAM"</f>
        <v>0</v>
      </c>
      <c r="D4898">
        <v>0</v>
      </c>
      <c r="E4898">
        <v>0</v>
      </c>
      <c r="F4898" s="2">
        <v>0</v>
      </c>
      <c r="H4898">
        <v>0</v>
      </c>
      <c r="I4898">
        <v>0.1741125760648204</v>
      </c>
      <c r="J4898">
        <v>0</v>
      </c>
      <c r="K4898">
        <v>0</v>
      </c>
      <c r="L4898" s="2">
        <v>0</v>
      </c>
      <c r="M4898">
        <v>50.28</v>
      </c>
      <c r="N4898" t="s">
        <v>10236</v>
      </c>
    </row>
    <row r="4899" spans="1:14">
      <c r="A4899" t="s">
        <v>35</v>
      </c>
      <c r="B4899" t="s">
        <v>5012</v>
      </c>
      <c r="C4899">
        <f>"1837SAM"</f>
        <v>0</v>
      </c>
      <c r="D4899">
        <v>0</v>
      </c>
      <c r="E4899">
        <v>0</v>
      </c>
      <c r="F4899" s="2">
        <v>0</v>
      </c>
      <c r="H4899">
        <v>0</v>
      </c>
      <c r="I4899">
        <v>0.1741125760648204</v>
      </c>
      <c r="J4899">
        <v>0</v>
      </c>
      <c r="K4899">
        <v>0</v>
      </c>
      <c r="L4899" s="2">
        <v>0</v>
      </c>
      <c r="M4899">
        <v>50.29</v>
      </c>
      <c r="N4899" t="s">
        <v>10236</v>
      </c>
    </row>
    <row r="4900" spans="1:14">
      <c r="A4900" t="s">
        <v>35</v>
      </c>
      <c r="B4900" t="s">
        <v>5013</v>
      </c>
      <c r="C4900">
        <f>"1837MAM"</f>
        <v>0</v>
      </c>
      <c r="D4900">
        <v>0</v>
      </c>
      <c r="E4900">
        <v>1</v>
      </c>
      <c r="F4900" s="2">
        <v>4</v>
      </c>
      <c r="H4900">
        <v>0</v>
      </c>
      <c r="I4900">
        <v>0.1741125760648204</v>
      </c>
      <c r="J4900">
        <v>0</v>
      </c>
      <c r="K4900">
        <v>0</v>
      </c>
      <c r="L4900" s="2">
        <v>0</v>
      </c>
      <c r="M4900">
        <v>50.3</v>
      </c>
      <c r="N4900" t="s">
        <v>10236</v>
      </c>
    </row>
    <row r="4901" spans="1:14">
      <c r="A4901" t="s">
        <v>35</v>
      </c>
      <c r="B4901" t="s">
        <v>5014</v>
      </c>
      <c r="C4901">
        <f>"1837LAM"</f>
        <v>0</v>
      </c>
      <c r="D4901">
        <v>0</v>
      </c>
      <c r="E4901">
        <v>2</v>
      </c>
      <c r="F4901" s="2">
        <v>4</v>
      </c>
      <c r="H4901">
        <v>0</v>
      </c>
      <c r="I4901">
        <v>0.1741125760648204</v>
      </c>
      <c r="J4901">
        <v>0</v>
      </c>
      <c r="K4901">
        <v>0</v>
      </c>
      <c r="L4901" s="2">
        <v>0</v>
      </c>
      <c r="M4901">
        <v>50.3</v>
      </c>
      <c r="N4901" t="s">
        <v>10236</v>
      </c>
    </row>
    <row r="4902" spans="1:14">
      <c r="A4902" t="s">
        <v>35</v>
      </c>
      <c r="B4902" t="s">
        <v>5015</v>
      </c>
      <c r="C4902">
        <f>"1823MBXL"</f>
        <v>0</v>
      </c>
      <c r="D4902">
        <v>0</v>
      </c>
      <c r="E4902">
        <v>12</v>
      </c>
      <c r="F4902" s="2">
        <v>6</v>
      </c>
      <c r="H4902">
        <v>0</v>
      </c>
      <c r="I4902">
        <v>0.1741125760648204</v>
      </c>
      <c r="J4902">
        <v>0</v>
      </c>
      <c r="K4902">
        <v>0</v>
      </c>
      <c r="L4902" s="2">
        <v>0</v>
      </c>
      <c r="M4902">
        <v>50.31</v>
      </c>
      <c r="N4902" t="s">
        <v>10236</v>
      </c>
    </row>
    <row r="4903" spans="1:14">
      <c r="A4903" t="s">
        <v>35</v>
      </c>
      <c r="B4903" t="s">
        <v>5016</v>
      </c>
      <c r="C4903">
        <f>"1823MBS"</f>
        <v>0</v>
      </c>
      <c r="D4903">
        <v>0</v>
      </c>
      <c r="E4903">
        <v>7</v>
      </c>
      <c r="F4903" s="2">
        <v>5</v>
      </c>
      <c r="H4903">
        <v>0</v>
      </c>
      <c r="I4903">
        <v>0.1741125760648204</v>
      </c>
      <c r="J4903">
        <v>0</v>
      </c>
      <c r="K4903">
        <v>0</v>
      </c>
      <c r="L4903" s="2">
        <v>0</v>
      </c>
      <c r="M4903">
        <v>50.32</v>
      </c>
      <c r="N4903" t="s">
        <v>10236</v>
      </c>
    </row>
    <row r="4904" spans="1:14">
      <c r="A4904" t="s">
        <v>35</v>
      </c>
      <c r="B4904" t="s">
        <v>5017</v>
      </c>
      <c r="C4904">
        <f>"1823MBM"</f>
        <v>0</v>
      </c>
      <c r="D4904">
        <v>0</v>
      </c>
      <c r="E4904">
        <v>2</v>
      </c>
      <c r="F4904" s="2">
        <v>6</v>
      </c>
      <c r="H4904">
        <v>0</v>
      </c>
      <c r="I4904">
        <v>0.1741125760648204</v>
      </c>
      <c r="J4904">
        <v>0</v>
      </c>
      <c r="K4904">
        <v>0</v>
      </c>
      <c r="L4904" s="2">
        <v>0</v>
      </c>
      <c r="M4904">
        <v>50.33</v>
      </c>
      <c r="N4904" t="s">
        <v>10236</v>
      </c>
    </row>
    <row r="4905" spans="1:14">
      <c r="A4905" t="s">
        <v>35</v>
      </c>
      <c r="B4905" t="s">
        <v>5018</v>
      </c>
      <c r="C4905">
        <f>"1823MBL"</f>
        <v>0</v>
      </c>
      <c r="D4905">
        <v>0</v>
      </c>
      <c r="E4905">
        <v>4</v>
      </c>
      <c r="F4905" s="2">
        <v>7</v>
      </c>
      <c r="H4905">
        <v>0</v>
      </c>
      <c r="I4905">
        <v>0.1741125760648204</v>
      </c>
      <c r="J4905">
        <v>0</v>
      </c>
      <c r="K4905">
        <v>0</v>
      </c>
      <c r="L4905" s="2">
        <v>0</v>
      </c>
      <c r="M4905">
        <v>50.34</v>
      </c>
      <c r="N4905" t="s">
        <v>10236</v>
      </c>
    </row>
    <row r="4906" spans="1:14">
      <c r="A4906" t="s">
        <v>35</v>
      </c>
      <c r="B4906" t="s">
        <v>5019</v>
      </c>
      <c r="C4906">
        <f>"1823LGXL"</f>
        <v>0</v>
      </c>
      <c r="D4906">
        <v>0</v>
      </c>
      <c r="E4906">
        <v>14</v>
      </c>
      <c r="F4906" s="2">
        <v>7</v>
      </c>
      <c r="H4906">
        <v>0</v>
      </c>
      <c r="I4906">
        <v>0.1741125760648204</v>
      </c>
      <c r="J4906">
        <v>0</v>
      </c>
      <c r="K4906">
        <v>0</v>
      </c>
      <c r="L4906" s="2">
        <v>0</v>
      </c>
      <c r="M4906">
        <v>50.35</v>
      </c>
      <c r="N4906" t="s">
        <v>10236</v>
      </c>
    </row>
    <row r="4907" spans="1:14">
      <c r="A4907" t="s">
        <v>35</v>
      </c>
      <c r="B4907" t="s">
        <v>5020</v>
      </c>
      <c r="C4907">
        <f>"1823LGS"</f>
        <v>0</v>
      </c>
      <c r="D4907">
        <v>0</v>
      </c>
      <c r="E4907">
        <v>5</v>
      </c>
      <c r="F4907" s="2">
        <v>5</v>
      </c>
      <c r="H4907">
        <v>0</v>
      </c>
      <c r="I4907">
        <v>0.1741125760648204</v>
      </c>
      <c r="J4907">
        <v>0</v>
      </c>
      <c r="K4907">
        <v>0</v>
      </c>
      <c r="L4907" s="2">
        <v>0</v>
      </c>
      <c r="M4907">
        <v>50.36</v>
      </c>
      <c r="N4907" t="s">
        <v>10236</v>
      </c>
    </row>
    <row r="4908" spans="1:14">
      <c r="A4908" t="s">
        <v>35</v>
      </c>
      <c r="B4908" t="s">
        <v>5021</v>
      </c>
      <c r="C4908">
        <f>"1823LGM"</f>
        <v>0</v>
      </c>
      <c r="D4908">
        <v>0</v>
      </c>
      <c r="E4908">
        <v>6</v>
      </c>
      <c r="F4908" s="2">
        <v>6</v>
      </c>
      <c r="H4908">
        <v>0</v>
      </c>
      <c r="I4908">
        <v>0.1741125760648204</v>
      </c>
      <c r="J4908">
        <v>0</v>
      </c>
      <c r="K4908">
        <v>0</v>
      </c>
      <c r="L4908" s="2">
        <v>0</v>
      </c>
      <c r="M4908">
        <v>50.37</v>
      </c>
      <c r="N4908" t="s">
        <v>10236</v>
      </c>
    </row>
    <row r="4909" spans="1:14">
      <c r="A4909" t="s">
        <v>35</v>
      </c>
      <c r="B4909" t="s">
        <v>5022</v>
      </c>
      <c r="C4909">
        <f>"1837BCXS"</f>
        <v>0</v>
      </c>
      <c r="D4909">
        <v>0</v>
      </c>
      <c r="E4909">
        <v>0</v>
      </c>
      <c r="F4909" s="2">
        <v>0</v>
      </c>
      <c r="H4909">
        <v>0</v>
      </c>
      <c r="I4909">
        <v>0.1741125760648204</v>
      </c>
      <c r="J4909">
        <v>0</v>
      </c>
      <c r="K4909">
        <v>0</v>
      </c>
      <c r="L4909" s="2">
        <v>0</v>
      </c>
      <c r="M4909">
        <v>50.38</v>
      </c>
      <c r="N4909" t="s">
        <v>10236</v>
      </c>
    </row>
    <row r="4910" spans="1:14">
      <c r="A4910" t="s">
        <v>229</v>
      </c>
      <c r="B4910" t="s">
        <v>5023</v>
      </c>
      <c r="C4910">
        <f>"2828V"</f>
        <v>0</v>
      </c>
      <c r="D4910">
        <v>0</v>
      </c>
      <c r="E4910">
        <v>0</v>
      </c>
      <c r="F4910" s="2">
        <v>0</v>
      </c>
      <c r="H4910">
        <v>0</v>
      </c>
      <c r="I4910">
        <v>0.1741125760648204</v>
      </c>
      <c r="J4910">
        <v>0</v>
      </c>
      <c r="K4910">
        <v>0</v>
      </c>
      <c r="L4910" s="2">
        <v>0</v>
      </c>
      <c r="M4910">
        <v>50.39</v>
      </c>
      <c r="N4910" t="s">
        <v>10236</v>
      </c>
    </row>
    <row r="4911" spans="1:14">
      <c r="A4911" t="s">
        <v>35</v>
      </c>
      <c r="B4911" t="s">
        <v>5024</v>
      </c>
      <c r="C4911">
        <f>"25395877"</f>
        <v>0</v>
      </c>
      <c r="D4911">
        <v>0</v>
      </c>
      <c r="E4911">
        <v>0</v>
      </c>
      <c r="F4911" s="2">
        <v>0</v>
      </c>
      <c r="H4911">
        <v>0</v>
      </c>
      <c r="I4911">
        <v>0.1741125760648204</v>
      </c>
      <c r="J4911">
        <v>0</v>
      </c>
      <c r="K4911">
        <v>0</v>
      </c>
      <c r="L4911" s="2">
        <v>0</v>
      </c>
      <c r="M4911">
        <v>50.4</v>
      </c>
      <c r="N4911" t="s">
        <v>10236</v>
      </c>
    </row>
    <row r="4912" spans="1:14">
      <c r="A4912" t="s">
        <v>35</v>
      </c>
      <c r="B4912" t="s">
        <v>5025</v>
      </c>
      <c r="C4912">
        <f>"25395878"</f>
        <v>0</v>
      </c>
      <c r="D4912">
        <v>0</v>
      </c>
      <c r="E4912">
        <v>0</v>
      </c>
      <c r="F4912" s="2">
        <v>0</v>
      </c>
      <c r="H4912">
        <v>0</v>
      </c>
      <c r="I4912">
        <v>0.1741125760648204</v>
      </c>
      <c r="J4912">
        <v>0</v>
      </c>
      <c r="K4912">
        <v>0</v>
      </c>
      <c r="L4912" s="2">
        <v>0</v>
      </c>
      <c r="M4912">
        <v>50.41</v>
      </c>
      <c r="N4912" t="s">
        <v>10236</v>
      </c>
    </row>
    <row r="4913" spans="1:14">
      <c r="A4913" t="s">
        <v>35</v>
      </c>
      <c r="B4913" t="s">
        <v>5026</v>
      </c>
      <c r="C4913">
        <f>"25395870"</f>
        <v>0</v>
      </c>
      <c r="D4913">
        <v>0</v>
      </c>
      <c r="E4913">
        <v>0</v>
      </c>
      <c r="F4913" s="2">
        <v>0</v>
      </c>
      <c r="H4913">
        <v>0</v>
      </c>
      <c r="I4913">
        <v>0.1741125760648204</v>
      </c>
      <c r="J4913">
        <v>0</v>
      </c>
      <c r="K4913">
        <v>0</v>
      </c>
      <c r="L4913" s="2">
        <v>0</v>
      </c>
      <c r="M4913">
        <v>50.42</v>
      </c>
      <c r="N4913" t="s">
        <v>10236</v>
      </c>
    </row>
    <row r="4914" spans="1:14">
      <c r="A4914" t="s">
        <v>35</v>
      </c>
      <c r="B4914" t="s">
        <v>5026</v>
      </c>
      <c r="C4914">
        <f>"25395876"</f>
        <v>0</v>
      </c>
      <c r="D4914">
        <v>0</v>
      </c>
      <c r="E4914">
        <v>1</v>
      </c>
      <c r="F4914" s="2">
        <v>5</v>
      </c>
      <c r="H4914">
        <v>0</v>
      </c>
      <c r="I4914">
        <v>0.1741125760648204</v>
      </c>
      <c r="J4914">
        <v>0</v>
      </c>
      <c r="K4914">
        <v>0</v>
      </c>
      <c r="L4914" s="2">
        <v>0</v>
      </c>
      <c r="M4914">
        <v>50.42</v>
      </c>
      <c r="N4914" t="s">
        <v>10236</v>
      </c>
    </row>
    <row r="4915" spans="1:14">
      <c r="A4915" t="s">
        <v>35</v>
      </c>
      <c r="B4915" t="s">
        <v>5027</v>
      </c>
      <c r="C4915">
        <f>"25395867"</f>
        <v>0</v>
      </c>
      <c r="D4915">
        <v>0</v>
      </c>
      <c r="E4915">
        <v>1</v>
      </c>
      <c r="F4915" s="2">
        <v>5</v>
      </c>
      <c r="H4915">
        <v>0</v>
      </c>
      <c r="I4915">
        <v>0.1741125760648204</v>
      </c>
      <c r="J4915">
        <v>0</v>
      </c>
      <c r="K4915">
        <v>0</v>
      </c>
      <c r="L4915" s="2">
        <v>0</v>
      </c>
      <c r="M4915">
        <v>50.43</v>
      </c>
      <c r="N4915" t="s">
        <v>10236</v>
      </c>
    </row>
    <row r="4916" spans="1:14">
      <c r="A4916" t="s">
        <v>35</v>
      </c>
      <c r="B4916" t="s">
        <v>5028</v>
      </c>
      <c r="C4916">
        <f>"25395868"</f>
        <v>0</v>
      </c>
      <c r="D4916">
        <v>0</v>
      </c>
      <c r="E4916">
        <v>0</v>
      </c>
      <c r="F4916" s="2">
        <v>0</v>
      </c>
      <c r="H4916">
        <v>0</v>
      </c>
      <c r="I4916">
        <v>0.1741125760648204</v>
      </c>
      <c r="J4916">
        <v>0</v>
      </c>
      <c r="K4916">
        <v>0</v>
      </c>
      <c r="L4916" s="2">
        <v>0</v>
      </c>
      <c r="M4916">
        <v>50.44</v>
      </c>
      <c r="N4916" t="s">
        <v>10236</v>
      </c>
    </row>
    <row r="4917" spans="1:14">
      <c r="A4917" t="s">
        <v>35</v>
      </c>
      <c r="B4917" t="s">
        <v>5029</v>
      </c>
      <c r="C4917">
        <f>"25395905"</f>
        <v>0</v>
      </c>
      <c r="D4917">
        <v>0</v>
      </c>
      <c r="E4917">
        <v>0</v>
      </c>
      <c r="F4917" s="2">
        <v>0</v>
      </c>
      <c r="H4917">
        <v>0</v>
      </c>
      <c r="I4917">
        <v>0.1741125760648204</v>
      </c>
      <c r="J4917">
        <v>0</v>
      </c>
      <c r="K4917">
        <v>0</v>
      </c>
      <c r="L4917" s="2">
        <v>0</v>
      </c>
      <c r="M4917">
        <v>50.45</v>
      </c>
      <c r="N4917" t="s">
        <v>10236</v>
      </c>
    </row>
    <row r="4918" spans="1:14">
      <c r="A4918" t="s">
        <v>24</v>
      </c>
      <c r="B4918" t="s">
        <v>5030</v>
      </c>
      <c r="C4918">
        <f>"vetgbr0002"</f>
        <v>0</v>
      </c>
      <c r="D4918">
        <v>0</v>
      </c>
      <c r="E4918">
        <v>0</v>
      </c>
      <c r="F4918" s="2">
        <v>0</v>
      </c>
      <c r="H4918">
        <v>0</v>
      </c>
      <c r="I4918">
        <v>0.1741125760648204</v>
      </c>
      <c r="J4918">
        <v>0</v>
      </c>
      <c r="K4918">
        <v>0</v>
      </c>
      <c r="L4918" s="2">
        <v>0</v>
      </c>
      <c r="M4918">
        <v>50.46</v>
      </c>
      <c r="N4918" t="s">
        <v>10236</v>
      </c>
    </row>
    <row r="4919" spans="1:14">
      <c r="A4919" t="s">
        <v>32</v>
      </c>
      <c r="B4919" t="s">
        <v>5031</v>
      </c>
      <c r="C4919">
        <f>"1022678"</f>
        <v>0</v>
      </c>
      <c r="D4919">
        <v>0</v>
      </c>
      <c r="E4919">
        <v>4</v>
      </c>
      <c r="F4919" s="2">
        <v>9</v>
      </c>
      <c r="H4919">
        <v>0</v>
      </c>
      <c r="I4919">
        <v>0.1741125760648204</v>
      </c>
      <c r="J4919">
        <v>0</v>
      </c>
      <c r="K4919">
        <v>0</v>
      </c>
      <c r="L4919" s="2">
        <v>0</v>
      </c>
      <c r="M4919">
        <v>50.47</v>
      </c>
      <c r="N4919" t="s">
        <v>10236</v>
      </c>
    </row>
    <row r="4920" spans="1:14">
      <c r="A4920" t="s">
        <v>32</v>
      </c>
      <c r="B4920" t="s">
        <v>5032</v>
      </c>
      <c r="C4920">
        <f>"1022679"</f>
        <v>0</v>
      </c>
      <c r="D4920">
        <v>0</v>
      </c>
      <c r="E4920">
        <v>6</v>
      </c>
      <c r="F4920" s="2">
        <v>10</v>
      </c>
      <c r="H4920">
        <v>0</v>
      </c>
      <c r="I4920">
        <v>0.1741125760648204</v>
      </c>
      <c r="J4920">
        <v>0</v>
      </c>
      <c r="K4920">
        <v>0</v>
      </c>
      <c r="L4920" s="2">
        <v>0</v>
      </c>
      <c r="M4920">
        <v>50.48</v>
      </c>
      <c r="N4920" t="s">
        <v>10236</v>
      </c>
    </row>
    <row r="4921" spans="1:14">
      <c r="A4921" t="s">
        <v>32</v>
      </c>
      <c r="B4921" t="s">
        <v>5033</v>
      </c>
      <c r="C4921">
        <f>"1021959"</f>
        <v>0</v>
      </c>
      <c r="D4921">
        <v>0</v>
      </c>
      <c r="E4921">
        <v>0</v>
      </c>
      <c r="F4921" s="2">
        <v>0</v>
      </c>
      <c r="H4921">
        <v>0</v>
      </c>
      <c r="I4921">
        <v>0.1741125760648204</v>
      </c>
      <c r="J4921">
        <v>0</v>
      </c>
      <c r="K4921">
        <v>0</v>
      </c>
      <c r="L4921" s="2">
        <v>0</v>
      </c>
      <c r="M4921">
        <v>50.49</v>
      </c>
      <c r="N4921" t="s">
        <v>10236</v>
      </c>
    </row>
    <row r="4922" spans="1:14">
      <c r="A4922" t="s">
        <v>32</v>
      </c>
      <c r="B4922" t="s">
        <v>5034</v>
      </c>
      <c r="C4922">
        <f>"1021962"</f>
        <v>0</v>
      </c>
      <c r="D4922">
        <v>0</v>
      </c>
      <c r="E4922">
        <v>0</v>
      </c>
      <c r="F4922" s="2">
        <v>0</v>
      </c>
      <c r="H4922">
        <v>0</v>
      </c>
      <c r="I4922">
        <v>0.1741125760648204</v>
      </c>
      <c r="J4922">
        <v>0</v>
      </c>
      <c r="K4922">
        <v>0</v>
      </c>
      <c r="L4922" s="2">
        <v>0</v>
      </c>
      <c r="M4922">
        <v>50.5</v>
      </c>
      <c r="N4922" t="s">
        <v>10236</v>
      </c>
    </row>
    <row r="4923" spans="1:14">
      <c r="A4923" t="s">
        <v>32</v>
      </c>
      <c r="B4923" t="s">
        <v>5035</v>
      </c>
      <c r="C4923">
        <f>"1022121"</f>
        <v>0</v>
      </c>
      <c r="D4923">
        <v>0</v>
      </c>
      <c r="E4923">
        <v>0</v>
      </c>
      <c r="F4923" s="2">
        <v>0</v>
      </c>
      <c r="H4923">
        <v>0</v>
      </c>
      <c r="I4923">
        <v>0.1741125760648204</v>
      </c>
      <c r="J4923">
        <v>0</v>
      </c>
      <c r="K4923">
        <v>0</v>
      </c>
      <c r="L4923" s="2">
        <v>0</v>
      </c>
      <c r="M4923">
        <v>50.51</v>
      </c>
      <c r="N4923" t="s">
        <v>10236</v>
      </c>
    </row>
    <row r="4924" spans="1:14">
      <c r="A4924" t="s">
        <v>35</v>
      </c>
      <c r="B4924" t="s">
        <v>5036</v>
      </c>
      <c r="C4924">
        <f>"1854CPS"</f>
        <v>0</v>
      </c>
      <c r="D4924">
        <v>0</v>
      </c>
      <c r="E4924">
        <v>8</v>
      </c>
      <c r="F4924" s="2">
        <v>9</v>
      </c>
      <c r="H4924">
        <v>0</v>
      </c>
      <c r="I4924">
        <v>0.1741125760648204</v>
      </c>
      <c r="J4924">
        <v>0</v>
      </c>
      <c r="K4924">
        <v>0</v>
      </c>
      <c r="L4924" s="2">
        <v>0</v>
      </c>
      <c r="M4924">
        <v>50.52</v>
      </c>
      <c r="N4924" t="s">
        <v>10236</v>
      </c>
    </row>
    <row r="4925" spans="1:14">
      <c r="A4925" t="s">
        <v>25</v>
      </c>
      <c r="B4925" t="s">
        <v>5037</v>
      </c>
      <c r="C4925">
        <f>"ZVP1603"</f>
        <v>0</v>
      </c>
      <c r="D4925">
        <v>0</v>
      </c>
      <c r="E4925">
        <v>0</v>
      </c>
      <c r="F4925" s="2">
        <v>0</v>
      </c>
      <c r="H4925">
        <v>0</v>
      </c>
      <c r="I4925">
        <v>0.1741125760648204</v>
      </c>
      <c r="J4925">
        <v>0</v>
      </c>
      <c r="K4925">
        <v>0</v>
      </c>
      <c r="L4925" s="2">
        <v>0</v>
      </c>
      <c r="M4925">
        <v>50.53</v>
      </c>
      <c r="N4925" t="s">
        <v>10236</v>
      </c>
    </row>
    <row r="4926" spans="1:14">
      <c r="A4926" t="s">
        <v>29</v>
      </c>
      <c r="B4926" t="s">
        <v>5038</v>
      </c>
      <c r="C4926">
        <f>"60446"</f>
        <v>0</v>
      </c>
      <c r="D4926">
        <v>0</v>
      </c>
      <c r="E4926">
        <v>0</v>
      </c>
      <c r="F4926" s="2">
        <v>0</v>
      </c>
      <c r="H4926">
        <v>0</v>
      </c>
      <c r="I4926">
        <v>0.1741125760648204</v>
      </c>
      <c r="J4926">
        <v>0</v>
      </c>
      <c r="K4926">
        <v>0</v>
      </c>
      <c r="L4926" s="2">
        <v>0</v>
      </c>
      <c r="M4926">
        <v>50.54</v>
      </c>
      <c r="N4926" t="s">
        <v>10236</v>
      </c>
    </row>
    <row r="4927" spans="1:14">
      <c r="A4927" t="s">
        <v>214</v>
      </c>
      <c r="B4927" t="s">
        <v>5039</v>
      </c>
      <c r="C4927">
        <f>"60444"</f>
        <v>0</v>
      </c>
      <c r="D4927">
        <v>0</v>
      </c>
      <c r="E4927">
        <v>0</v>
      </c>
      <c r="F4927" s="2">
        <v>0</v>
      </c>
      <c r="H4927">
        <v>0</v>
      </c>
      <c r="I4927">
        <v>0.1741125760648204</v>
      </c>
      <c r="J4927">
        <v>0</v>
      </c>
      <c r="K4927">
        <v>0</v>
      </c>
      <c r="L4927" s="2">
        <v>0</v>
      </c>
      <c r="M4927">
        <v>50.54</v>
      </c>
      <c r="N4927" t="s">
        <v>10236</v>
      </c>
    </row>
    <row r="4928" spans="1:14">
      <c r="A4928" t="s">
        <v>214</v>
      </c>
      <c r="B4928" t="s">
        <v>5040</v>
      </c>
      <c r="C4928">
        <f>"60443"</f>
        <v>0</v>
      </c>
      <c r="D4928">
        <v>0</v>
      </c>
      <c r="E4928">
        <v>0</v>
      </c>
      <c r="F4928" s="2">
        <v>0</v>
      </c>
      <c r="H4928">
        <v>0</v>
      </c>
      <c r="I4928">
        <v>0.1741125760648204</v>
      </c>
      <c r="J4928">
        <v>0</v>
      </c>
      <c r="K4928">
        <v>0</v>
      </c>
      <c r="L4928" s="2">
        <v>0</v>
      </c>
      <c r="M4928">
        <v>50.55</v>
      </c>
      <c r="N4928" t="s">
        <v>10236</v>
      </c>
    </row>
    <row r="4929" spans="1:14">
      <c r="A4929" t="s">
        <v>214</v>
      </c>
      <c r="B4929" t="s">
        <v>5041</v>
      </c>
      <c r="C4929">
        <f>"77144"</f>
        <v>0</v>
      </c>
      <c r="D4929">
        <v>0</v>
      </c>
      <c r="E4929">
        <v>0</v>
      </c>
      <c r="F4929" s="2">
        <v>0</v>
      </c>
      <c r="H4929">
        <v>0</v>
      </c>
      <c r="I4929">
        <v>0.1741125760648204</v>
      </c>
      <c r="J4929">
        <v>0</v>
      </c>
      <c r="K4929">
        <v>0</v>
      </c>
      <c r="L4929" s="2">
        <v>0</v>
      </c>
      <c r="M4929">
        <v>50.56</v>
      </c>
      <c r="N4929" t="s">
        <v>10236</v>
      </c>
    </row>
    <row r="4930" spans="1:14">
      <c r="A4930" t="s">
        <v>214</v>
      </c>
      <c r="B4930" t="s">
        <v>5042</v>
      </c>
      <c r="C4930">
        <f>"70431"</f>
        <v>0</v>
      </c>
      <c r="D4930">
        <v>0</v>
      </c>
      <c r="E4930">
        <v>0</v>
      </c>
      <c r="F4930" s="2">
        <v>0</v>
      </c>
      <c r="H4930">
        <v>0</v>
      </c>
      <c r="I4930">
        <v>0.1741125760648204</v>
      </c>
      <c r="J4930">
        <v>0</v>
      </c>
      <c r="K4930">
        <v>0</v>
      </c>
      <c r="L4930" s="2">
        <v>0</v>
      </c>
      <c r="M4930">
        <v>50.57</v>
      </c>
      <c r="N4930" t="s">
        <v>10236</v>
      </c>
    </row>
    <row r="4931" spans="1:14">
      <c r="A4931" t="s">
        <v>29</v>
      </c>
      <c r="B4931" t="s">
        <v>5043</v>
      </c>
      <c r="C4931">
        <f>"77146"</f>
        <v>0</v>
      </c>
      <c r="D4931">
        <v>0</v>
      </c>
      <c r="E4931">
        <v>0</v>
      </c>
      <c r="F4931" s="2">
        <v>0</v>
      </c>
      <c r="H4931">
        <v>0</v>
      </c>
      <c r="I4931">
        <v>0.1741125760648204</v>
      </c>
      <c r="J4931">
        <v>0</v>
      </c>
      <c r="K4931">
        <v>0</v>
      </c>
      <c r="L4931" s="2">
        <v>0</v>
      </c>
      <c r="M4931">
        <v>50.58</v>
      </c>
      <c r="N4931" t="s">
        <v>10236</v>
      </c>
    </row>
    <row r="4932" spans="1:14">
      <c r="A4932" t="s">
        <v>25</v>
      </c>
      <c r="B4932" t="s">
        <v>5044</v>
      </c>
      <c r="C4932">
        <f>"ZVP4345"</f>
        <v>0</v>
      </c>
      <c r="D4932">
        <v>0</v>
      </c>
      <c r="E4932">
        <v>2</v>
      </c>
      <c r="F4932" s="2">
        <v>2</v>
      </c>
      <c r="H4932">
        <v>0</v>
      </c>
      <c r="I4932">
        <v>0.1741125760648204</v>
      </c>
      <c r="J4932">
        <v>0</v>
      </c>
      <c r="K4932">
        <v>0</v>
      </c>
      <c r="L4932" s="2">
        <v>0</v>
      </c>
      <c r="M4932">
        <v>50.59</v>
      </c>
      <c r="N4932" t="s">
        <v>10236</v>
      </c>
    </row>
    <row r="4933" spans="1:14">
      <c r="A4933" t="s">
        <v>35</v>
      </c>
      <c r="B4933" t="s">
        <v>5045</v>
      </c>
      <c r="C4933">
        <f>"10776"</f>
        <v>0</v>
      </c>
      <c r="D4933">
        <v>0</v>
      </c>
      <c r="E4933">
        <v>0</v>
      </c>
      <c r="F4933" s="2">
        <v>0</v>
      </c>
      <c r="H4933">
        <v>0</v>
      </c>
      <c r="I4933">
        <v>0.1741125760648204</v>
      </c>
      <c r="J4933">
        <v>0</v>
      </c>
      <c r="K4933">
        <v>0</v>
      </c>
      <c r="L4933" s="2">
        <v>0</v>
      </c>
      <c r="M4933">
        <v>50.6</v>
      </c>
      <c r="N4933" t="s">
        <v>10236</v>
      </c>
    </row>
    <row r="4934" spans="1:14">
      <c r="A4934" t="s">
        <v>35</v>
      </c>
      <c r="B4934" t="s">
        <v>5046</v>
      </c>
      <c r="C4934">
        <f>"10134"</f>
        <v>0</v>
      </c>
      <c r="D4934">
        <v>0</v>
      </c>
      <c r="E4934">
        <v>0</v>
      </c>
      <c r="F4934" s="2">
        <v>0</v>
      </c>
      <c r="H4934">
        <v>0</v>
      </c>
      <c r="I4934">
        <v>0.1741125760648204</v>
      </c>
      <c r="J4934">
        <v>0</v>
      </c>
      <c r="K4934">
        <v>0</v>
      </c>
      <c r="L4934" s="2">
        <v>0</v>
      </c>
      <c r="M4934">
        <v>50.61</v>
      </c>
      <c r="N4934" t="s">
        <v>10236</v>
      </c>
    </row>
    <row r="4935" spans="1:14">
      <c r="A4935" t="s">
        <v>35</v>
      </c>
      <c r="B4935" t="s">
        <v>5047</v>
      </c>
      <c r="C4935">
        <f>"10127"</f>
        <v>0</v>
      </c>
      <c r="D4935">
        <v>0</v>
      </c>
      <c r="E4935">
        <v>0</v>
      </c>
      <c r="F4935" s="2">
        <v>0</v>
      </c>
      <c r="H4935">
        <v>0</v>
      </c>
      <c r="I4935">
        <v>0.1741125760648204</v>
      </c>
      <c r="J4935">
        <v>0</v>
      </c>
      <c r="K4935">
        <v>0</v>
      </c>
      <c r="L4935" s="2">
        <v>0</v>
      </c>
      <c r="M4935">
        <v>50.62</v>
      </c>
      <c r="N4935" t="s">
        <v>10236</v>
      </c>
    </row>
    <row r="4936" spans="1:14">
      <c r="A4936" t="s">
        <v>35</v>
      </c>
      <c r="B4936" t="s">
        <v>5048</v>
      </c>
      <c r="C4936">
        <f>"10783"</f>
        <v>0</v>
      </c>
      <c r="D4936">
        <v>0</v>
      </c>
      <c r="E4936">
        <v>0</v>
      </c>
      <c r="F4936" s="2">
        <v>0</v>
      </c>
      <c r="H4936">
        <v>0</v>
      </c>
      <c r="I4936">
        <v>0.1741125760648204</v>
      </c>
      <c r="J4936">
        <v>0</v>
      </c>
      <c r="K4936">
        <v>0</v>
      </c>
      <c r="L4936" s="2">
        <v>0</v>
      </c>
      <c r="M4936">
        <v>50.63</v>
      </c>
      <c r="N4936" t="s">
        <v>10236</v>
      </c>
    </row>
    <row r="4937" spans="1:14">
      <c r="A4937" t="s">
        <v>25</v>
      </c>
      <c r="B4937" t="s">
        <v>5049</v>
      </c>
      <c r="C4937">
        <f>"ZVP4104"</f>
        <v>0</v>
      </c>
      <c r="D4937">
        <v>0</v>
      </c>
      <c r="E4937">
        <v>0</v>
      </c>
      <c r="F4937" s="2">
        <v>0</v>
      </c>
      <c r="H4937">
        <v>0</v>
      </c>
      <c r="I4937">
        <v>0.1741125760648204</v>
      </c>
      <c r="J4937">
        <v>0</v>
      </c>
      <c r="K4937">
        <v>0</v>
      </c>
      <c r="L4937" s="2">
        <v>0</v>
      </c>
      <c r="M4937">
        <v>50.64</v>
      </c>
      <c r="N4937" t="s">
        <v>10236</v>
      </c>
    </row>
    <row r="4938" spans="1:14">
      <c r="A4938" t="s">
        <v>25</v>
      </c>
      <c r="B4938" t="s">
        <v>5050</v>
      </c>
      <c r="C4938">
        <f>"ZVP4101"</f>
        <v>0</v>
      </c>
      <c r="D4938">
        <v>0</v>
      </c>
      <c r="E4938">
        <v>0</v>
      </c>
      <c r="F4938" s="2">
        <v>0</v>
      </c>
      <c r="H4938">
        <v>0</v>
      </c>
      <c r="I4938">
        <v>0.1741125760648204</v>
      </c>
      <c r="J4938">
        <v>0</v>
      </c>
      <c r="K4938">
        <v>0</v>
      </c>
      <c r="L4938" s="2">
        <v>0</v>
      </c>
      <c r="M4938">
        <v>50.65</v>
      </c>
      <c r="N4938" t="s">
        <v>10236</v>
      </c>
    </row>
    <row r="4939" spans="1:14">
      <c r="A4939" t="s">
        <v>25</v>
      </c>
      <c r="B4939" t="s">
        <v>5051</v>
      </c>
      <c r="C4939">
        <f>"PWFLA"</f>
        <v>0</v>
      </c>
      <c r="D4939">
        <v>0</v>
      </c>
      <c r="E4939">
        <v>0</v>
      </c>
      <c r="F4939" s="2">
        <v>0</v>
      </c>
      <c r="H4939">
        <v>0</v>
      </c>
      <c r="I4939">
        <v>0.1741125760648204</v>
      </c>
      <c r="J4939">
        <v>0</v>
      </c>
      <c r="K4939">
        <v>0</v>
      </c>
      <c r="L4939" s="2">
        <v>0</v>
      </c>
      <c r="M4939">
        <v>50.66</v>
      </c>
      <c r="N4939" t="s">
        <v>10236</v>
      </c>
    </row>
    <row r="4940" spans="1:14">
      <c r="A4940" t="s">
        <v>32</v>
      </c>
      <c r="B4940" t="s">
        <v>5052</v>
      </c>
      <c r="C4940">
        <f>"1021961"</f>
        <v>0</v>
      </c>
      <c r="D4940">
        <v>0</v>
      </c>
      <c r="E4940">
        <v>0</v>
      </c>
      <c r="F4940" s="2">
        <v>0</v>
      </c>
      <c r="H4940">
        <v>0</v>
      </c>
      <c r="I4940">
        <v>0.1741125760648204</v>
      </c>
      <c r="J4940">
        <v>0</v>
      </c>
      <c r="K4940">
        <v>0</v>
      </c>
      <c r="L4940" s="2">
        <v>0</v>
      </c>
      <c r="M4940">
        <v>50.66</v>
      </c>
      <c r="N4940" t="s">
        <v>10236</v>
      </c>
    </row>
    <row r="4941" spans="1:14">
      <c r="A4941" t="s">
        <v>35</v>
      </c>
      <c r="B4941" t="s">
        <v>5053</v>
      </c>
      <c r="C4941">
        <f>"1760VPXS"</f>
        <v>0</v>
      </c>
      <c r="D4941">
        <v>0</v>
      </c>
      <c r="E4941">
        <v>6</v>
      </c>
      <c r="F4941" s="2">
        <v>2</v>
      </c>
      <c r="H4941">
        <v>0</v>
      </c>
      <c r="I4941">
        <v>0.1741125760648204</v>
      </c>
      <c r="J4941">
        <v>0</v>
      </c>
      <c r="K4941">
        <v>0</v>
      </c>
      <c r="L4941" s="2">
        <v>0</v>
      </c>
      <c r="M4941">
        <v>50.67</v>
      </c>
      <c r="N4941" t="s">
        <v>10236</v>
      </c>
    </row>
    <row r="4942" spans="1:14">
      <c r="A4942" t="s">
        <v>35</v>
      </c>
      <c r="B4942" t="s">
        <v>5054</v>
      </c>
      <c r="C4942">
        <f>"1760VPS"</f>
        <v>0</v>
      </c>
      <c r="D4942">
        <v>0</v>
      </c>
      <c r="E4942">
        <v>10</v>
      </c>
      <c r="F4942" s="2">
        <v>3</v>
      </c>
      <c r="H4942">
        <v>0</v>
      </c>
      <c r="I4942">
        <v>0.1741125760648204</v>
      </c>
      <c r="J4942">
        <v>0</v>
      </c>
      <c r="K4942">
        <v>0</v>
      </c>
      <c r="L4942" s="2">
        <v>0</v>
      </c>
      <c r="M4942">
        <v>50.68</v>
      </c>
      <c r="N4942" t="s">
        <v>10236</v>
      </c>
    </row>
    <row r="4943" spans="1:14">
      <c r="A4943" t="s">
        <v>35</v>
      </c>
      <c r="B4943" t="s">
        <v>5055</v>
      </c>
      <c r="C4943">
        <f>"1760VPM"</f>
        <v>0</v>
      </c>
      <c r="D4943">
        <v>0</v>
      </c>
      <c r="E4943">
        <v>7</v>
      </c>
      <c r="F4943" s="2">
        <v>4</v>
      </c>
      <c r="H4943">
        <v>0</v>
      </c>
      <c r="I4943">
        <v>0.1741125760648204</v>
      </c>
      <c r="J4943">
        <v>0</v>
      </c>
      <c r="K4943">
        <v>0</v>
      </c>
      <c r="L4943" s="2">
        <v>0</v>
      </c>
      <c r="M4943">
        <v>50.69</v>
      </c>
      <c r="N4943" t="s">
        <v>10236</v>
      </c>
    </row>
    <row r="4944" spans="1:14">
      <c r="A4944" t="s">
        <v>35</v>
      </c>
      <c r="B4944" t="s">
        <v>5056</v>
      </c>
      <c r="C4944">
        <f>"1760VPL"</f>
        <v>0</v>
      </c>
      <c r="D4944">
        <v>0</v>
      </c>
      <c r="E4944">
        <v>8</v>
      </c>
      <c r="F4944" s="2">
        <v>4</v>
      </c>
      <c r="H4944">
        <v>0</v>
      </c>
      <c r="I4944">
        <v>0.1741125760648204</v>
      </c>
      <c r="J4944">
        <v>0</v>
      </c>
      <c r="K4944">
        <v>0</v>
      </c>
      <c r="L4944" s="2">
        <v>0</v>
      </c>
      <c r="M4944">
        <v>50.7</v>
      </c>
      <c r="N4944" t="s">
        <v>10236</v>
      </c>
    </row>
    <row r="4945" spans="1:14">
      <c r="A4945" t="s">
        <v>35</v>
      </c>
      <c r="B4945" t="s">
        <v>5057</v>
      </c>
      <c r="C4945">
        <f>"1760SBXS"</f>
        <v>0</v>
      </c>
      <c r="D4945">
        <v>0</v>
      </c>
      <c r="E4945">
        <v>12</v>
      </c>
      <c r="F4945" s="2">
        <v>2</v>
      </c>
      <c r="H4945">
        <v>0</v>
      </c>
      <c r="I4945">
        <v>0.1741125760648204</v>
      </c>
      <c r="J4945">
        <v>0</v>
      </c>
      <c r="K4945">
        <v>0</v>
      </c>
      <c r="L4945" s="2">
        <v>0</v>
      </c>
      <c r="M4945">
        <v>50.71</v>
      </c>
      <c r="N4945" t="s">
        <v>10236</v>
      </c>
    </row>
    <row r="4946" spans="1:14">
      <c r="A4946" t="s">
        <v>35</v>
      </c>
      <c r="B4946" t="s">
        <v>5058</v>
      </c>
      <c r="C4946">
        <f>"1760SBS"</f>
        <v>0</v>
      </c>
      <c r="D4946">
        <v>0</v>
      </c>
      <c r="E4946">
        <v>11</v>
      </c>
      <c r="F4946" s="2">
        <v>2</v>
      </c>
      <c r="H4946">
        <v>0</v>
      </c>
      <c r="I4946">
        <v>0.1741125760648204</v>
      </c>
      <c r="J4946">
        <v>0</v>
      </c>
      <c r="K4946">
        <v>0</v>
      </c>
      <c r="L4946" s="2">
        <v>0</v>
      </c>
      <c r="M4946">
        <v>50.72</v>
      </c>
      <c r="N4946" t="s">
        <v>10236</v>
      </c>
    </row>
    <row r="4947" spans="1:14">
      <c r="A4947" t="s">
        <v>35</v>
      </c>
      <c r="B4947" t="s">
        <v>5059</v>
      </c>
      <c r="C4947">
        <f>"1760SBM"</f>
        <v>0</v>
      </c>
      <c r="D4947">
        <v>0</v>
      </c>
      <c r="E4947">
        <v>12</v>
      </c>
      <c r="F4947" s="2">
        <v>2</v>
      </c>
      <c r="H4947">
        <v>0</v>
      </c>
      <c r="I4947">
        <v>0.1741125760648204</v>
      </c>
      <c r="J4947">
        <v>0</v>
      </c>
      <c r="K4947">
        <v>0</v>
      </c>
      <c r="L4947" s="2">
        <v>0</v>
      </c>
      <c r="M4947">
        <v>50.73</v>
      </c>
      <c r="N4947" t="s">
        <v>10236</v>
      </c>
    </row>
    <row r="4948" spans="1:14">
      <c r="A4948" t="s">
        <v>35</v>
      </c>
      <c r="B4948" t="s">
        <v>5060</v>
      </c>
      <c r="C4948">
        <f>"1760SBL"</f>
        <v>0</v>
      </c>
      <c r="D4948">
        <v>0</v>
      </c>
      <c r="E4948">
        <v>20</v>
      </c>
      <c r="F4948" s="2">
        <v>5</v>
      </c>
      <c r="H4948">
        <v>0</v>
      </c>
      <c r="I4948">
        <v>0.1741125760648204</v>
      </c>
      <c r="J4948">
        <v>0</v>
      </c>
      <c r="K4948">
        <v>0</v>
      </c>
      <c r="L4948" s="2">
        <v>0</v>
      </c>
      <c r="M4948">
        <v>50.74</v>
      </c>
      <c r="N4948" t="s">
        <v>10236</v>
      </c>
    </row>
    <row r="4949" spans="1:14">
      <c r="A4949" t="s">
        <v>35</v>
      </c>
      <c r="B4949" t="s">
        <v>5061</v>
      </c>
      <c r="C4949">
        <f>"1760HRRXS"</f>
        <v>0</v>
      </c>
      <c r="D4949">
        <v>0</v>
      </c>
      <c r="E4949">
        <v>12</v>
      </c>
      <c r="F4949" s="2">
        <v>2</v>
      </c>
      <c r="H4949">
        <v>0</v>
      </c>
      <c r="I4949">
        <v>0.1741125760648204</v>
      </c>
      <c r="J4949">
        <v>0</v>
      </c>
      <c r="K4949">
        <v>0</v>
      </c>
      <c r="L4949" s="2">
        <v>0</v>
      </c>
      <c r="M4949">
        <v>50.75</v>
      </c>
      <c r="N4949" t="s">
        <v>10236</v>
      </c>
    </row>
    <row r="4950" spans="1:14">
      <c r="A4950" t="s">
        <v>35</v>
      </c>
      <c r="B4950" t="s">
        <v>5062</v>
      </c>
      <c r="C4950">
        <f>"1760HRRS"</f>
        <v>0</v>
      </c>
      <c r="D4950">
        <v>0</v>
      </c>
      <c r="E4950">
        <v>14</v>
      </c>
      <c r="F4950" s="2">
        <v>3</v>
      </c>
      <c r="H4950">
        <v>0</v>
      </c>
      <c r="I4950">
        <v>0.1741125760648204</v>
      </c>
      <c r="J4950">
        <v>0</v>
      </c>
      <c r="K4950">
        <v>0</v>
      </c>
      <c r="L4950" s="2">
        <v>0</v>
      </c>
      <c r="M4950">
        <v>50.76</v>
      </c>
      <c r="N4950" t="s">
        <v>10236</v>
      </c>
    </row>
    <row r="4951" spans="1:14">
      <c r="A4951" t="s">
        <v>35</v>
      </c>
      <c r="B4951" t="s">
        <v>5063</v>
      </c>
      <c r="C4951">
        <f>"1760HRRM"</f>
        <v>0</v>
      </c>
      <c r="D4951">
        <v>0</v>
      </c>
      <c r="E4951">
        <v>12</v>
      </c>
      <c r="F4951" s="2">
        <v>4</v>
      </c>
      <c r="H4951">
        <v>0</v>
      </c>
      <c r="I4951">
        <v>0.1741125760648204</v>
      </c>
      <c r="J4951">
        <v>0</v>
      </c>
      <c r="K4951">
        <v>0</v>
      </c>
      <c r="L4951" s="2">
        <v>0</v>
      </c>
      <c r="M4951">
        <v>50.77</v>
      </c>
      <c r="N4951" t="s">
        <v>10236</v>
      </c>
    </row>
    <row r="4952" spans="1:14">
      <c r="A4952" t="s">
        <v>35</v>
      </c>
      <c r="B4952" t="s">
        <v>5064</v>
      </c>
      <c r="C4952">
        <f>"1760HRRL"</f>
        <v>0</v>
      </c>
      <c r="D4952">
        <v>0</v>
      </c>
      <c r="E4952">
        <v>12</v>
      </c>
      <c r="F4952" s="2">
        <v>5</v>
      </c>
      <c r="H4952">
        <v>0</v>
      </c>
      <c r="I4952">
        <v>0.1741125760648204</v>
      </c>
      <c r="J4952">
        <v>0</v>
      </c>
      <c r="K4952">
        <v>0</v>
      </c>
      <c r="L4952" s="2">
        <v>0</v>
      </c>
      <c r="M4952">
        <v>50.77</v>
      </c>
      <c r="N4952" t="s">
        <v>10236</v>
      </c>
    </row>
    <row r="4953" spans="1:14">
      <c r="A4953" t="s">
        <v>35</v>
      </c>
      <c r="B4953" t="s">
        <v>5065</v>
      </c>
      <c r="C4953">
        <f>"S22"</f>
        <v>0</v>
      </c>
      <c r="D4953">
        <v>0</v>
      </c>
      <c r="E4953">
        <v>1</v>
      </c>
      <c r="F4953" s="2">
        <v>6</v>
      </c>
      <c r="H4953">
        <v>0</v>
      </c>
      <c r="I4953">
        <v>0.1741125760648204</v>
      </c>
      <c r="J4953">
        <v>0</v>
      </c>
      <c r="K4953">
        <v>0</v>
      </c>
      <c r="L4953" s="2">
        <v>0</v>
      </c>
      <c r="M4953">
        <v>50.78</v>
      </c>
      <c r="N4953" t="s">
        <v>10236</v>
      </c>
    </row>
    <row r="4954" spans="1:14">
      <c r="A4954" t="s">
        <v>193</v>
      </c>
      <c r="B4954" t="s">
        <v>5066</v>
      </c>
      <c r="C4954">
        <f>"1PA731051"</f>
        <v>0</v>
      </c>
      <c r="D4954">
        <v>0</v>
      </c>
      <c r="E4954">
        <v>0</v>
      </c>
      <c r="F4954" s="2">
        <v>0</v>
      </c>
      <c r="H4954">
        <v>0</v>
      </c>
      <c r="I4954">
        <v>0.1741125760648204</v>
      </c>
      <c r="J4954">
        <v>0</v>
      </c>
      <c r="K4954">
        <v>0</v>
      </c>
      <c r="L4954" s="2">
        <v>0</v>
      </c>
      <c r="M4954">
        <v>50.79</v>
      </c>
      <c r="N4954" t="s">
        <v>10236</v>
      </c>
    </row>
    <row r="4955" spans="1:14">
      <c r="A4955" t="s">
        <v>229</v>
      </c>
      <c r="B4955" t="s">
        <v>5067</v>
      </c>
      <c r="C4955">
        <f>"2759V"</f>
        <v>0</v>
      </c>
      <c r="D4955">
        <v>0</v>
      </c>
      <c r="E4955">
        <v>0</v>
      </c>
      <c r="F4955" s="2">
        <v>0</v>
      </c>
      <c r="H4955">
        <v>0</v>
      </c>
      <c r="I4955">
        <v>0.1741125760648204</v>
      </c>
      <c r="J4955">
        <v>0</v>
      </c>
      <c r="K4955">
        <v>0</v>
      </c>
      <c r="L4955" s="2">
        <v>0</v>
      </c>
      <c r="M4955">
        <v>50.8</v>
      </c>
      <c r="N4955" t="s">
        <v>10236</v>
      </c>
    </row>
    <row r="4956" spans="1:14">
      <c r="A4956" t="s">
        <v>29</v>
      </c>
      <c r="B4956" t="s">
        <v>5068</v>
      </c>
      <c r="C4956">
        <f>"60463"</f>
        <v>0</v>
      </c>
      <c r="D4956">
        <v>0</v>
      </c>
      <c r="E4956">
        <v>2</v>
      </c>
      <c r="F4956" s="2">
        <v>3</v>
      </c>
      <c r="H4956">
        <v>0</v>
      </c>
      <c r="I4956">
        <v>0.1741125760648204</v>
      </c>
      <c r="J4956">
        <v>0</v>
      </c>
      <c r="K4956">
        <v>0</v>
      </c>
      <c r="L4956" s="2">
        <v>0</v>
      </c>
      <c r="M4956">
        <v>50.81</v>
      </c>
      <c r="N4956" t="s">
        <v>10236</v>
      </c>
    </row>
    <row r="4957" spans="1:14">
      <c r="A4957" t="s">
        <v>223</v>
      </c>
      <c r="B4957" t="s">
        <v>5069</v>
      </c>
      <c r="C4957">
        <f>"1235015"</f>
        <v>0</v>
      </c>
      <c r="D4957">
        <v>0</v>
      </c>
      <c r="E4957">
        <v>0</v>
      </c>
      <c r="F4957" s="2">
        <v>0</v>
      </c>
      <c r="H4957">
        <v>0</v>
      </c>
      <c r="I4957">
        <v>0.1741125760648204</v>
      </c>
      <c r="J4957">
        <v>0</v>
      </c>
      <c r="K4957">
        <v>0</v>
      </c>
      <c r="L4957" s="2">
        <v>0</v>
      </c>
      <c r="M4957">
        <v>50.82</v>
      </c>
      <c r="N4957" t="s">
        <v>10236</v>
      </c>
    </row>
    <row r="4958" spans="1:14">
      <c r="A4958" t="s">
        <v>223</v>
      </c>
      <c r="B4958" t="s">
        <v>5070</v>
      </c>
      <c r="C4958">
        <f>"4623100"</f>
        <v>0</v>
      </c>
      <c r="D4958">
        <v>0</v>
      </c>
      <c r="E4958">
        <v>0</v>
      </c>
      <c r="F4958" s="2">
        <v>0</v>
      </c>
      <c r="H4958">
        <v>0</v>
      </c>
      <c r="I4958">
        <v>0.1741125760648204</v>
      </c>
      <c r="J4958">
        <v>0</v>
      </c>
      <c r="K4958">
        <v>0</v>
      </c>
      <c r="L4958" s="2">
        <v>0</v>
      </c>
      <c r="M4958">
        <v>50.83</v>
      </c>
      <c r="N4958" t="s">
        <v>10236</v>
      </c>
    </row>
    <row r="4959" spans="1:14">
      <c r="A4959" t="s">
        <v>223</v>
      </c>
      <c r="B4959" t="s">
        <v>5071</v>
      </c>
      <c r="C4959">
        <f>"41041"</f>
        <v>0</v>
      </c>
      <c r="D4959">
        <v>0</v>
      </c>
      <c r="E4959">
        <v>0</v>
      </c>
      <c r="F4959" s="2">
        <v>0</v>
      </c>
      <c r="H4959">
        <v>0</v>
      </c>
      <c r="I4959">
        <v>0.1741125760648204</v>
      </c>
      <c r="J4959">
        <v>0</v>
      </c>
      <c r="K4959">
        <v>0</v>
      </c>
      <c r="L4959" s="2">
        <v>0</v>
      </c>
      <c r="M4959">
        <v>50.84</v>
      </c>
      <c r="N4959" t="s">
        <v>10236</v>
      </c>
    </row>
    <row r="4960" spans="1:14">
      <c r="A4960" t="s">
        <v>29</v>
      </c>
      <c r="B4960" t="s">
        <v>5072</v>
      </c>
      <c r="C4960">
        <f>"WP3000"</f>
        <v>0</v>
      </c>
      <c r="D4960">
        <v>0</v>
      </c>
      <c r="E4960">
        <v>4</v>
      </c>
      <c r="F4960" s="2">
        <v>0</v>
      </c>
      <c r="H4960">
        <v>0</v>
      </c>
      <c r="I4960">
        <v>0.1741125760648204</v>
      </c>
      <c r="J4960">
        <v>0</v>
      </c>
      <c r="K4960">
        <v>0</v>
      </c>
      <c r="L4960" s="2">
        <v>0</v>
      </c>
      <c r="M4960">
        <v>50.85</v>
      </c>
      <c r="N4960" t="s">
        <v>10236</v>
      </c>
    </row>
    <row r="4961" spans="1:14">
      <c r="A4961" t="s">
        <v>230</v>
      </c>
      <c r="B4961" t="s">
        <v>5073</v>
      </c>
      <c r="C4961">
        <f>"VA01H"</f>
        <v>0</v>
      </c>
      <c r="D4961">
        <v>0</v>
      </c>
      <c r="E4961">
        <v>0</v>
      </c>
      <c r="F4961" s="2">
        <v>0</v>
      </c>
      <c r="H4961">
        <v>0</v>
      </c>
      <c r="I4961">
        <v>0.1741125760648204</v>
      </c>
      <c r="J4961">
        <v>0</v>
      </c>
      <c r="K4961">
        <v>0</v>
      </c>
      <c r="L4961" s="2">
        <v>0</v>
      </c>
      <c r="M4961">
        <v>50.86</v>
      </c>
      <c r="N4961" t="s">
        <v>10236</v>
      </c>
    </row>
    <row r="4962" spans="1:14">
      <c r="A4962" t="s">
        <v>230</v>
      </c>
      <c r="B4962" t="s">
        <v>5074</v>
      </c>
      <c r="C4962">
        <f>"DB16"</f>
        <v>0</v>
      </c>
      <c r="D4962">
        <v>0</v>
      </c>
      <c r="E4962">
        <v>0</v>
      </c>
      <c r="F4962" s="2">
        <v>0</v>
      </c>
      <c r="H4962">
        <v>0</v>
      </c>
      <c r="I4962">
        <v>0.1741125760648204</v>
      </c>
      <c r="J4962">
        <v>0</v>
      </c>
      <c r="K4962">
        <v>0</v>
      </c>
      <c r="L4962" s="2">
        <v>0</v>
      </c>
      <c r="M4962">
        <v>50.87</v>
      </c>
      <c r="N4962" t="s">
        <v>10236</v>
      </c>
    </row>
    <row r="4963" spans="1:14">
      <c r="A4963" t="s">
        <v>230</v>
      </c>
      <c r="B4963" t="s">
        <v>5075</v>
      </c>
      <c r="C4963">
        <f>"LA03S"</f>
        <v>0</v>
      </c>
      <c r="D4963">
        <v>0</v>
      </c>
      <c r="E4963">
        <v>0</v>
      </c>
      <c r="F4963" s="2">
        <v>0</v>
      </c>
      <c r="H4963">
        <v>0</v>
      </c>
      <c r="I4963">
        <v>0.1741125760648204</v>
      </c>
      <c r="J4963">
        <v>0</v>
      </c>
      <c r="K4963">
        <v>0</v>
      </c>
      <c r="L4963" s="2">
        <v>0</v>
      </c>
      <c r="M4963">
        <v>50.88</v>
      </c>
      <c r="N4963" t="s">
        <v>10236</v>
      </c>
    </row>
    <row r="4964" spans="1:14">
      <c r="A4964" t="s">
        <v>230</v>
      </c>
      <c r="B4964" t="s">
        <v>5076</v>
      </c>
      <c r="C4964">
        <f>"DA02S"</f>
        <v>0</v>
      </c>
      <c r="D4964">
        <v>0</v>
      </c>
      <c r="E4964">
        <v>0</v>
      </c>
      <c r="F4964" s="2">
        <v>0</v>
      </c>
      <c r="H4964">
        <v>0</v>
      </c>
      <c r="I4964">
        <v>0.1741125760648204</v>
      </c>
      <c r="J4964">
        <v>0</v>
      </c>
      <c r="K4964">
        <v>0</v>
      </c>
      <c r="L4964" s="2">
        <v>0</v>
      </c>
      <c r="M4964">
        <v>50.89</v>
      </c>
      <c r="N4964" t="s">
        <v>10236</v>
      </c>
    </row>
    <row r="4965" spans="1:14">
      <c r="A4965" t="s">
        <v>230</v>
      </c>
      <c r="B4965" t="s">
        <v>5077</v>
      </c>
      <c r="C4965">
        <f>"DA02S01"</f>
        <v>0</v>
      </c>
      <c r="D4965">
        <v>0</v>
      </c>
      <c r="E4965">
        <v>0</v>
      </c>
      <c r="F4965" s="2">
        <v>0</v>
      </c>
      <c r="H4965">
        <v>0</v>
      </c>
      <c r="I4965">
        <v>0.1741125760648204</v>
      </c>
      <c r="J4965">
        <v>0</v>
      </c>
      <c r="K4965">
        <v>0</v>
      </c>
      <c r="L4965" s="2">
        <v>0</v>
      </c>
      <c r="M4965">
        <v>50.89</v>
      </c>
      <c r="N4965" t="s">
        <v>10236</v>
      </c>
    </row>
    <row r="4966" spans="1:14">
      <c r="A4966" t="s">
        <v>230</v>
      </c>
      <c r="B4966" t="s">
        <v>5078</v>
      </c>
      <c r="C4966">
        <f>"CA04S01"</f>
        <v>0</v>
      </c>
      <c r="D4966">
        <v>0</v>
      </c>
      <c r="E4966">
        <v>0</v>
      </c>
      <c r="F4966" s="2">
        <v>0</v>
      </c>
      <c r="H4966">
        <v>0</v>
      </c>
      <c r="I4966">
        <v>0.1741125760648204</v>
      </c>
      <c r="J4966">
        <v>0</v>
      </c>
      <c r="K4966">
        <v>0</v>
      </c>
      <c r="L4966" s="2">
        <v>0</v>
      </c>
      <c r="M4966">
        <v>50.9</v>
      </c>
      <c r="N4966" t="s">
        <v>10236</v>
      </c>
    </row>
    <row r="4967" spans="1:14">
      <c r="A4967" t="s">
        <v>230</v>
      </c>
      <c r="B4967" t="s">
        <v>5079</v>
      </c>
      <c r="C4967">
        <f>"MA04S"</f>
        <v>0</v>
      </c>
      <c r="D4967">
        <v>0</v>
      </c>
      <c r="E4967">
        <v>0</v>
      </c>
      <c r="F4967" s="2">
        <v>0</v>
      </c>
      <c r="H4967">
        <v>0</v>
      </c>
      <c r="I4967">
        <v>0.1741125760648204</v>
      </c>
      <c r="J4967">
        <v>0</v>
      </c>
      <c r="K4967">
        <v>0</v>
      </c>
      <c r="L4967" s="2">
        <v>0</v>
      </c>
      <c r="M4967">
        <v>50.91</v>
      </c>
      <c r="N4967" t="s">
        <v>10236</v>
      </c>
    </row>
    <row r="4968" spans="1:14">
      <c r="A4968" t="s">
        <v>230</v>
      </c>
      <c r="B4968" t="s">
        <v>5080</v>
      </c>
      <c r="C4968">
        <f>"FA31"</f>
        <v>0</v>
      </c>
      <c r="D4968">
        <v>0</v>
      </c>
      <c r="E4968">
        <v>0</v>
      </c>
      <c r="F4968" s="2">
        <v>0</v>
      </c>
      <c r="H4968">
        <v>0</v>
      </c>
      <c r="I4968">
        <v>0.1741125760648204</v>
      </c>
      <c r="J4968">
        <v>0</v>
      </c>
      <c r="K4968">
        <v>0</v>
      </c>
      <c r="L4968" s="2">
        <v>0</v>
      </c>
      <c r="M4968">
        <v>50.92</v>
      </c>
      <c r="N4968" t="s">
        <v>10236</v>
      </c>
    </row>
    <row r="4969" spans="1:14">
      <c r="A4969" t="s">
        <v>195</v>
      </c>
      <c r="B4969" t="s">
        <v>5081</v>
      </c>
      <c r="C4969">
        <f>"25390150"</f>
        <v>0</v>
      </c>
      <c r="D4969">
        <v>0</v>
      </c>
      <c r="E4969">
        <v>0</v>
      </c>
      <c r="F4969" s="2">
        <v>0</v>
      </c>
      <c r="H4969">
        <v>0</v>
      </c>
      <c r="I4969">
        <v>0.1741125760648204</v>
      </c>
      <c r="J4969">
        <v>0</v>
      </c>
      <c r="K4969">
        <v>0</v>
      </c>
      <c r="L4969" s="2">
        <v>0</v>
      </c>
      <c r="M4969">
        <v>50.93</v>
      </c>
      <c r="N4969" t="s">
        <v>10236</v>
      </c>
    </row>
    <row r="4970" spans="1:14">
      <c r="A4970" t="s">
        <v>29</v>
      </c>
      <c r="B4970" t="s">
        <v>5082</v>
      </c>
      <c r="C4970">
        <f>"WP1000"</f>
        <v>0</v>
      </c>
      <c r="D4970">
        <v>0</v>
      </c>
      <c r="E4970">
        <v>2</v>
      </c>
      <c r="F4970" s="2">
        <v>5</v>
      </c>
      <c r="H4970">
        <v>0</v>
      </c>
      <c r="I4970">
        <v>0.1741125760648204</v>
      </c>
      <c r="J4970">
        <v>0</v>
      </c>
      <c r="K4970">
        <v>0</v>
      </c>
      <c r="L4970" s="2">
        <v>0</v>
      </c>
      <c r="M4970">
        <v>50.94</v>
      </c>
      <c r="N4970" t="s">
        <v>10236</v>
      </c>
    </row>
    <row r="4971" spans="1:14">
      <c r="A4971" t="s">
        <v>29</v>
      </c>
      <c r="B4971" t="s">
        <v>5083</v>
      </c>
      <c r="C4971">
        <f>"60464"</f>
        <v>0</v>
      </c>
      <c r="D4971">
        <v>0</v>
      </c>
      <c r="E4971">
        <v>0</v>
      </c>
      <c r="F4971" s="2">
        <v>0</v>
      </c>
      <c r="H4971">
        <v>0</v>
      </c>
      <c r="I4971">
        <v>0.1741125760648204</v>
      </c>
      <c r="J4971">
        <v>0</v>
      </c>
      <c r="K4971">
        <v>0</v>
      </c>
      <c r="L4971" s="2">
        <v>0</v>
      </c>
      <c r="M4971">
        <v>50.95</v>
      </c>
      <c r="N4971" t="s">
        <v>10236</v>
      </c>
    </row>
    <row r="4972" spans="1:14">
      <c r="A4972" t="s">
        <v>35</v>
      </c>
      <c r="B4972" t="s">
        <v>5084</v>
      </c>
      <c r="C4972">
        <f>"10844"</f>
        <v>0</v>
      </c>
      <c r="D4972">
        <v>0</v>
      </c>
      <c r="E4972">
        <v>0</v>
      </c>
      <c r="F4972" s="2">
        <v>0</v>
      </c>
      <c r="H4972">
        <v>0</v>
      </c>
      <c r="I4972">
        <v>0.1741125760648204</v>
      </c>
      <c r="J4972">
        <v>0</v>
      </c>
      <c r="K4972">
        <v>0</v>
      </c>
      <c r="L4972" s="2">
        <v>0</v>
      </c>
      <c r="M4972">
        <v>50.96</v>
      </c>
      <c r="N4972" t="s">
        <v>10236</v>
      </c>
    </row>
    <row r="4973" spans="1:14">
      <c r="A4973" t="s">
        <v>35</v>
      </c>
      <c r="B4973" t="s">
        <v>5085</v>
      </c>
      <c r="C4973">
        <f>"10837"</f>
        <v>0</v>
      </c>
      <c r="D4973">
        <v>0</v>
      </c>
      <c r="E4973">
        <v>0</v>
      </c>
      <c r="F4973" s="2">
        <v>0</v>
      </c>
      <c r="H4973">
        <v>0</v>
      </c>
      <c r="I4973">
        <v>0.1741125760648204</v>
      </c>
      <c r="J4973">
        <v>0</v>
      </c>
      <c r="K4973">
        <v>0</v>
      </c>
      <c r="L4973" s="2">
        <v>0</v>
      </c>
      <c r="M4973">
        <v>50.97</v>
      </c>
      <c r="N4973" t="s">
        <v>10236</v>
      </c>
    </row>
    <row r="4974" spans="1:14">
      <c r="A4974" t="s">
        <v>205</v>
      </c>
      <c r="B4974" t="s">
        <v>5086</v>
      </c>
      <c r="C4974">
        <f>"Yorkterrier"</f>
        <v>0</v>
      </c>
      <c r="D4974">
        <v>0</v>
      </c>
      <c r="E4974">
        <v>0</v>
      </c>
      <c r="F4974" s="2">
        <v>0</v>
      </c>
      <c r="H4974">
        <v>0</v>
      </c>
      <c r="I4974">
        <v>0.1741125760648204</v>
      </c>
      <c r="J4974">
        <v>0</v>
      </c>
      <c r="K4974">
        <v>0</v>
      </c>
      <c r="L4974" s="2">
        <v>0</v>
      </c>
      <c r="M4974">
        <v>50.98</v>
      </c>
      <c r="N4974" t="s">
        <v>10236</v>
      </c>
    </row>
    <row r="4975" spans="1:14">
      <c r="A4975" t="s">
        <v>223</v>
      </c>
      <c r="B4975" t="s">
        <v>5087</v>
      </c>
      <c r="C4975">
        <f>"5440025"</f>
        <v>0</v>
      </c>
      <c r="D4975">
        <v>0</v>
      </c>
      <c r="E4975">
        <v>0</v>
      </c>
      <c r="F4975" s="2">
        <v>0</v>
      </c>
      <c r="H4975">
        <v>0</v>
      </c>
      <c r="I4975">
        <v>0.1741125760648204</v>
      </c>
      <c r="J4975">
        <v>0</v>
      </c>
      <c r="K4975">
        <v>0</v>
      </c>
      <c r="L4975" s="2">
        <v>0</v>
      </c>
      <c r="M4975">
        <v>50.99</v>
      </c>
      <c r="N4975" t="s">
        <v>10236</v>
      </c>
    </row>
    <row r="4976" spans="1:14">
      <c r="A4976" t="s">
        <v>223</v>
      </c>
      <c r="B4976" t="s">
        <v>5088</v>
      </c>
      <c r="C4976">
        <f>"10502619"</f>
        <v>0</v>
      </c>
      <c r="D4976">
        <v>0</v>
      </c>
      <c r="E4976">
        <v>0</v>
      </c>
      <c r="F4976" s="2">
        <v>0</v>
      </c>
      <c r="H4976">
        <v>0</v>
      </c>
      <c r="I4976">
        <v>0.1741125760648204</v>
      </c>
      <c r="J4976">
        <v>0</v>
      </c>
      <c r="K4976">
        <v>0</v>
      </c>
      <c r="L4976" s="2">
        <v>0</v>
      </c>
      <c r="M4976">
        <v>51</v>
      </c>
      <c r="N4976" t="s">
        <v>10236</v>
      </c>
    </row>
    <row r="4977" spans="1:14">
      <c r="A4977" t="s">
        <v>35</v>
      </c>
      <c r="B4977" t="s">
        <v>5089</v>
      </c>
      <c r="C4977">
        <f>"B109323MR"</f>
        <v>0</v>
      </c>
      <c r="D4977">
        <v>0</v>
      </c>
      <c r="E4977">
        <v>0</v>
      </c>
      <c r="F4977" s="2">
        <v>0</v>
      </c>
      <c r="H4977">
        <v>0</v>
      </c>
      <c r="I4977">
        <v>0.1741125760648204</v>
      </c>
      <c r="J4977">
        <v>0</v>
      </c>
      <c r="K4977">
        <v>0</v>
      </c>
      <c r="L4977" s="2">
        <v>0</v>
      </c>
      <c r="M4977">
        <v>51.01</v>
      </c>
      <c r="N4977" t="s">
        <v>10236</v>
      </c>
    </row>
    <row r="4978" spans="1:14">
      <c r="A4978" t="s">
        <v>35</v>
      </c>
      <c r="B4978" t="s">
        <v>5090</v>
      </c>
      <c r="C4978">
        <f>"B109323MC"</f>
        <v>0</v>
      </c>
      <c r="D4978">
        <v>0</v>
      </c>
      <c r="E4978">
        <v>1</v>
      </c>
      <c r="F4978" s="2">
        <v>6</v>
      </c>
      <c r="H4978">
        <v>0</v>
      </c>
      <c r="I4978">
        <v>0.1741125760648204</v>
      </c>
      <c r="J4978">
        <v>0</v>
      </c>
      <c r="K4978">
        <v>0</v>
      </c>
      <c r="L4978" s="2">
        <v>0</v>
      </c>
      <c r="M4978">
        <v>51.01</v>
      </c>
      <c r="N4978" t="s">
        <v>10236</v>
      </c>
    </row>
    <row r="4979" spans="1:14">
      <c r="A4979" t="s">
        <v>35</v>
      </c>
      <c r="B4979" t="s">
        <v>5091</v>
      </c>
      <c r="C4979">
        <f>"B109323MA"</f>
        <v>0</v>
      </c>
      <c r="D4979">
        <v>0</v>
      </c>
      <c r="E4979">
        <v>0</v>
      </c>
      <c r="F4979" s="2">
        <v>0</v>
      </c>
      <c r="H4979">
        <v>0</v>
      </c>
      <c r="I4979">
        <v>0.1741125760648204</v>
      </c>
      <c r="J4979">
        <v>0</v>
      </c>
      <c r="K4979">
        <v>0</v>
      </c>
      <c r="L4979" s="2">
        <v>0</v>
      </c>
      <c r="M4979">
        <v>51.02</v>
      </c>
      <c r="N4979" t="s">
        <v>10236</v>
      </c>
    </row>
    <row r="4980" spans="1:14">
      <c r="A4980" t="s">
        <v>213</v>
      </c>
      <c r="B4980" t="s">
        <v>5092</v>
      </c>
      <c r="C4980">
        <f>"500644"</f>
        <v>0</v>
      </c>
      <c r="D4980">
        <v>0</v>
      </c>
      <c r="E4980">
        <v>2</v>
      </c>
      <c r="F4980" s="2">
        <v>17</v>
      </c>
      <c r="H4980">
        <v>0</v>
      </c>
      <c r="I4980">
        <v>0.1741125760648204</v>
      </c>
      <c r="J4980">
        <v>0</v>
      </c>
      <c r="K4980">
        <v>0</v>
      </c>
      <c r="L4980" s="2">
        <v>0</v>
      </c>
      <c r="M4980">
        <v>51.03</v>
      </c>
      <c r="N4980" t="s">
        <v>10236</v>
      </c>
    </row>
    <row r="4981" spans="1:14">
      <c r="A4981" t="s">
        <v>213</v>
      </c>
      <c r="B4981" t="s">
        <v>5093</v>
      </c>
      <c r="C4981">
        <f>"500621"</f>
        <v>0</v>
      </c>
      <c r="D4981">
        <v>0</v>
      </c>
      <c r="E4981">
        <v>1</v>
      </c>
      <c r="F4981" s="2">
        <v>17</v>
      </c>
      <c r="H4981">
        <v>0</v>
      </c>
      <c r="I4981">
        <v>0.1741125760648204</v>
      </c>
      <c r="J4981">
        <v>0</v>
      </c>
      <c r="K4981">
        <v>0</v>
      </c>
      <c r="L4981" s="2">
        <v>0</v>
      </c>
      <c r="M4981">
        <v>51.04</v>
      </c>
      <c r="N4981" t="s">
        <v>10236</v>
      </c>
    </row>
    <row r="4982" spans="1:14">
      <c r="A4982" t="s">
        <v>213</v>
      </c>
      <c r="B4982" t="s">
        <v>5094</v>
      </c>
      <c r="C4982">
        <f>"500891"</f>
        <v>0</v>
      </c>
      <c r="D4982">
        <v>0</v>
      </c>
      <c r="E4982">
        <v>0</v>
      </c>
      <c r="F4982" s="2">
        <v>0</v>
      </c>
      <c r="H4982">
        <v>0</v>
      </c>
      <c r="I4982">
        <v>0.1741125760648204</v>
      </c>
      <c r="J4982">
        <v>0</v>
      </c>
      <c r="K4982">
        <v>0</v>
      </c>
      <c r="L4982" s="2">
        <v>0</v>
      </c>
      <c r="M4982">
        <v>51.05</v>
      </c>
      <c r="N4982" t="s">
        <v>10236</v>
      </c>
    </row>
    <row r="4983" spans="1:14">
      <c r="A4983" t="s">
        <v>27</v>
      </c>
      <c r="B4983" t="s">
        <v>5095</v>
      </c>
      <c r="C4983">
        <f>"ZP0695"</f>
        <v>0</v>
      </c>
      <c r="D4983">
        <v>0</v>
      </c>
      <c r="E4983">
        <v>0</v>
      </c>
      <c r="F4983" s="2">
        <v>0</v>
      </c>
      <c r="H4983">
        <v>0</v>
      </c>
      <c r="I4983">
        <v>0.1741125760648204</v>
      </c>
      <c r="J4983">
        <v>0</v>
      </c>
      <c r="K4983">
        <v>0</v>
      </c>
      <c r="L4983" s="2">
        <v>0</v>
      </c>
      <c r="M4983">
        <v>51.06</v>
      </c>
      <c r="N4983" t="s">
        <v>10236</v>
      </c>
    </row>
    <row r="4984" spans="1:14">
      <c r="A4984" t="s">
        <v>195</v>
      </c>
      <c r="B4984" t="s">
        <v>5096</v>
      </c>
      <c r="C4984">
        <f>"25570606"</f>
        <v>0</v>
      </c>
      <c r="D4984">
        <v>0</v>
      </c>
      <c r="E4984">
        <v>0</v>
      </c>
      <c r="F4984" s="2">
        <v>0</v>
      </c>
      <c r="H4984">
        <v>0</v>
      </c>
      <c r="I4984">
        <v>0.1741125760648204</v>
      </c>
      <c r="J4984">
        <v>0</v>
      </c>
      <c r="K4984">
        <v>0</v>
      </c>
      <c r="L4984" s="2">
        <v>0</v>
      </c>
      <c r="M4984">
        <v>51.07</v>
      </c>
      <c r="N4984" t="s">
        <v>10236</v>
      </c>
    </row>
    <row r="4985" spans="1:14">
      <c r="A4985" t="s">
        <v>195</v>
      </c>
      <c r="B4985" t="s">
        <v>5097</v>
      </c>
      <c r="C4985">
        <f>"25570605"</f>
        <v>0</v>
      </c>
      <c r="D4985">
        <v>0</v>
      </c>
      <c r="E4985">
        <v>0</v>
      </c>
      <c r="F4985" s="2">
        <v>0</v>
      </c>
      <c r="H4985">
        <v>0</v>
      </c>
      <c r="I4985">
        <v>0.1741125760648204</v>
      </c>
      <c r="J4985">
        <v>0</v>
      </c>
      <c r="K4985">
        <v>0</v>
      </c>
      <c r="L4985" s="2">
        <v>0</v>
      </c>
      <c r="M4985">
        <v>51.08</v>
      </c>
      <c r="N4985" t="s">
        <v>10236</v>
      </c>
    </row>
    <row r="4986" spans="1:14">
      <c r="A4986" t="s">
        <v>35</v>
      </c>
      <c r="B4986" t="s">
        <v>5098</v>
      </c>
      <c r="C4986">
        <f>"1837XSL"</f>
        <v>0</v>
      </c>
      <c r="D4986">
        <v>0</v>
      </c>
      <c r="E4986">
        <v>0</v>
      </c>
      <c r="F4986" s="2">
        <v>0</v>
      </c>
      <c r="H4986">
        <v>0</v>
      </c>
      <c r="I4986">
        <v>0.1741125760648204</v>
      </c>
      <c r="J4986">
        <v>0</v>
      </c>
      <c r="K4986">
        <v>0</v>
      </c>
      <c r="L4986" s="2">
        <v>0</v>
      </c>
      <c r="M4986">
        <v>51.09</v>
      </c>
      <c r="N4986" t="s">
        <v>10236</v>
      </c>
    </row>
    <row r="4987" spans="1:14">
      <c r="A4987" t="s">
        <v>195</v>
      </c>
      <c r="B4987" t="s">
        <v>5099</v>
      </c>
      <c r="C4987">
        <f>"25390133"</f>
        <v>0</v>
      </c>
      <c r="D4987">
        <v>0</v>
      </c>
      <c r="E4987">
        <v>0</v>
      </c>
      <c r="F4987" s="2">
        <v>0</v>
      </c>
      <c r="H4987">
        <v>0</v>
      </c>
      <c r="I4987">
        <v>0.1741125760648204</v>
      </c>
      <c r="J4987">
        <v>0</v>
      </c>
      <c r="K4987">
        <v>0</v>
      </c>
      <c r="L4987" s="2">
        <v>0</v>
      </c>
      <c r="M4987">
        <v>51.1</v>
      </c>
      <c r="N4987" t="s">
        <v>10236</v>
      </c>
    </row>
    <row r="4988" spans="1:14">
      <c r="A4988" t="s">
        <v>195</v>
      </c>
      <c r="B4988" t="s">
        <v>5100</v>
      </c>
      <c r="C4988">
        <f>"25570845"</f>
        <v>0</v>
      </c>
      <c r="D4988">
        <v>0</v>
      </c>
      <c r="E4988">
        <v>0</v>
      </c>
      <c r="F4988" s="2">
        <v>0</v>
      </c>
      <c r="H4988">
        <v>0</v>
      </c>
      <c r="I4988">
        <v>0.1741125760648204</v>
      </c>
      <c r="J4988">
        <v>0</v>
      </c>
      <c r="K4988">
        <v>0</v>
      </c>
      <c r="L4988" s="2">
        <v>0</v>
      </c>
      <c r="M4988">
        <v>51.11</v>
      </c>
      <c r="N4988" t="s">
        <v>10236</v>
      </c>
    </row>
    <row r="4989" spans="1:14">
      <c r="A4989" t="s">
        <v>35</v>
      </c>
      <c r="B4989" t="s">
        <v>5101</v>
      </c>
      <c r="C4989">
        <f>"25570846"</f>
        <v>0</v>
      </c>
      <c r="D4989">
        <v>0</v>
      </c>
      <c r="E4989">
        <v>0</v>
      </c>
      <c r="F4989" s="2">
        <v>0</v>
      </c>
      <c r="H4989">
        <v>0</v>
      </c>
      <c r="I4989">
        <v>0.1741125760648204</v>
      </c>
      <c r="J4989">
        <v>0</v>
      </c>
      <c r="K4989">
        <v>0</v>
      </c>
      <c r="L4989" s="2">
        <v>0</v>
      </c>
      <c r="M4989">
        <v>51.12</v>
      </c>
      <c r="N4989" t="s">
        <v>10236</v>
      </c>
    </row>
    <row r="4990" spans="1:14">
      <c r="A4990" t="s">
        <v>223</v>
      </c>
      <c r="B4990" t="s">
        <v>5102</v>
      </c>
      <c r="C4990">
        <f>"5501604"</f>
        <v>0</v>
      </c>
      <c r="D4990">
        <v>0</v>
      </c>
      <c r="E4990">
        <v>0</v>
      </c>
      <c r="F4990" s="2">
        <v>0</v>
      </c>
      <c r="H4990">
        <v>0</v>
      </c>
      <c r="I4990">
        <v>0.1741125760648204</v>
      </c>
      <c r="J4990">
        <v>0</v>
      </c>
      <c r="K4990">
        <v>0</v>
      </c>
      <c r="L4990" s="2">
        <v>0</v>
      </c>
      <c r="M4990">
        <v>51.13</v>
      </c>
      <c r="N4990" t="s">
        <v>10236</v>
      </c>
    </row>
    <row r="4991" spans="1:14">
      <c r="A4991" t="s">
        <v>223</v>
      </c>
      <c r="B4991" t="s">
        <v>5103</v>
      </c>
      <c r="C4991">
        <f>"5501704"</f>
        <v>0</v>
      </c>
      <c r="D4991">
        <v>0</v>
      </c>
      <c r="E4991">
        <v>0</v>
      </c>
      <c r="F4991" s="2">
        <v>0</v>
      </c>
      <c r="H4991">
        <v>0</v>
      </c>
      <c r="I4991">
        <v>0.1741125760648204</v>
      </c>
      <c r="J4991">
        <v>0</v>
      </c>
      <c r="K4991">
        <v>0</v>
      </c>
      <c r="L4991" s="2">
        <v>0</v>
      </c>
      <c r="M4991">
        <v>51.13</v>
      </c>
      <c r="N4991" t="s">
        <v>10236</v>
      </c>
    </row>
    <row r="4992" spans="1:14">
      <c r="A4992" t="s">
        <v>223</v>
      </c>
      <c r="B4992" t="s">
        <v>5104</v>
      </c>
      <c r="C4992">
        <f>"5501708"</f>
        <v>0</v>
      </c>
      <c r="D4992">
        <v>0</v>
      </c>
      <c r="E4992">
        <v>0</v>
      </c>
      <c r="F4992" s="2">
        <v>0</v>
      </c>
      <c r="H4992">
        <v>0</v>
      </c>
      <c r="I4992">
        <v>0.1741125760648204</v>
      </c>
      <c r="J4992">
        <v>0</v>
      </c>
      <c r="K4992">
        <v>0</v>
      </c>
      <c r="L4992" s="2">
        <v>0</v>
      </c>
      <c r="M4992">
        <v>51.14</v>
      </c>
      <c r="N4992" t="s">
        <v>10236</v>
      </c>
    </row>
    <row r="4993" spans="1:14">
      <c r="A4993" t="s">
        <v>25</v>
      </c>
      <c r="B4993" t="s">
        <v>5105</v>
      </c>
      <c r="C4993">
        <f>"ZVP1034"</f>
        <v>0</v>
      </c>
      <c r="D4993">
        <v>0</v>
      </c>
      <c r="E4993">
        <v>0</v>
      </c>
      <c r="F4993" s="2">
        <v>0</v>
      </c>
      <c r="H4993">
        <v>0</v>
      </c>
      <c r="I4993">
        <v>0.1741125760648204</v>
      </c>
      <c r="J4993">
        <v>0</v>
      </c>
      <c r="K4993">
        <v>0</v>
      </c>
      <c r="L4993" s="2">
        <v>0</v>
      </c>
      <c r="M4993">
        <v>51.15</v>
      </c>
      <c r="N4993" t="s">
        <v>10236</v>
      </c>
    </row>
    <row r="4994" spans="1:14">
      <c r="A4994" t="s">
        <v>192</v>
      </c>
      <c r="B4994" t="s">
        <v>5106</v>
      </c>
      <c r="C4994">
        <f>"ZVP2701"</f>
        <v>0</v>
      </c>
      <c r="D4994">
        <v>0</v>
      </c>
      <c r="E4994">
        <v>0</v>
      </c>
      <c r="F4994" s="2">
        <v>0</v>
      </c>
      <c r="H4994">
        <v>0</v>
      </c>
      <c r="I4994">
        <v>0.1741125760648204</v>
      </c>
      <c r="J4994">
        <v>0</v>
      </c>
      <c r="K4994">
        <v>0</v>
      </c>
      <c r="L4994" s="2">
        <v>0</v>
      </c>
      <c r="M4994">
        <v>51.16</v>
      </c>
      <c r="N4994" t="s">
        <v>10236</v>
      </c>
    </row>
    <row r="4995" spans="1:14">
      <c r="A4995" t="s">
        <v>223</v>
      </c>
      <c r="B4995" t="s">
        <v>5107</v>
      </c>
      <c r="C4995">
        <f>"5450125"</f>
        <v>0</v>
      </c>
      <c r="D4995">
        <v>0</v>
      </c>
      <c r="E4995">
        <v>0</v>
      </c>
      <c r="F4995" s="2">
        <v>0</v>
      </c>
      <c r="H4995">
        <v>0</v>
      </c>
      <c r="I4995">
        <v>0.1741125760648204</v>
      </c>
      <c r="J4995">
        <v>0</v>
      </c>
      <c r="K4995">
        <v>0</v>
      </c>
      <c r="L4995" s="2">
        <v>0</v>
      </c>
      <c r="M4995">
        <v>51.17</v>
      </c>
      <c r="N4995" t="s">
        <v>10236</v>
      </c>
    </row>
    <row r="4996" spans="1:14">
      <c r="A4996" t="s">
        <v>223</v>
      </c>
      <c r="B4996" t="s">
        <v>5108</v>
      </c>
      <c r="C4996">
        <f>"5450110"</f>
        <v>0</v>
      </c>
      <c r="D4996">
        <v>0</v>
      </c>
      <c r="E4996">
        <v>0</v>
      </c>
      <c r="F4996" s="2">
        <v>0</v>
      </c>
      <c r="H4996">
        <v>0</v>
      </c>
      <c r="I4996">
        <v>0.1741125760648204</v>
      </c>
      <c r="J4996">
        <v>0</v>
      </c>
      <c r="K4996">
        <v>0</v>
      </c>
      <c r="L4996" s="2">
        <v>0</v>
      </c>
      <c r="M4996">
        <v>51.18</v>
      </c>
      <c r="N4996" t="s">
        <v>10236</v>
      </c>
    </row>
    <row r="4997" spans="1:14">
      <c r="A4997" t="s">
        <v>223</v>
      </c>
      <c r="B4997" t="s">
        <v>5109</v>
      </c>
      <c r="C4997">
        <f>"5450410"</f>
        <v>0</v>
      </c>
      <c r="D4997">
        <v>0</v>
      </c>
      <c r="E4997">
        <v>0</v>
      </c>
      <c r="F4997" s="2">
        <v>0</v>
      </c>
      <c r="H4997">
        <v>0</v>
      </c>
      <c r="I4997">
        <v>0.1741125760648204</v>
      </c>
      <c r="J4997">
        <v>0</v>
      </c>
      <c r="K4997">
        <v>0</v>
      </c>
      <c r="L4997" s="2">
        <v>0</v>
      </c>
      <c r="M4997">
        <v>51.19</v>
      </c>
      <c r="N4997" t="s">
        <v>10236</v>
      </c>
    </row>
    <row r="4998" spans="1:14">
      <c r="A4998" t="s">
        <v>223</v>
      </c>
      <c r="B4998" t="s">
        <v>5110</v>
      </c>
      <c r="C4998">
        <f>"5450225"</f>
        <v>0</v>
      </c>
      <c r="D4998">
        <v>0</v>
      </c>
      <c r="E4998">
        <v>0</v>
      </c>
      <c r="F4998" s="2">
        <v>0</v>
      </c>
      <c r="H4998">
        <v>0</v>
      </c>
      <c r="I4998">
        <v>0.1741125760648204</v>
      </c>
      <c r="J4998">
        <v>0</v>
      </c>
      <c r="K4998">
        <v>0</v>
      </c>
      <c r="L4998" s="2">
        <v>0</v>
      </c>
      <c r="M4998">
        <v>51.2</v>
      </c>
      <c r="N4998" t="s">
        <v>10236</v>
      </c>
    </row>
    <row r="4999" spans="1:14">
      <c r="A4999" t="s">
        <v>223</v>
      </c>
      <c r="B4999" t="s">
        <v>5111</v>
      </c>
      <c r="C4999">
        <f>"5450210"</f>
        <v>0</v>
      </c>
      <c r="D4999">
        <v>0</v>
      </c>
      <c r="E4999">
        <v>0</v>
      </c>
      <c r="F4999" s="2">
        <v>0</v>
      </c>
      <c r="H4999">
        <v>0</v>
      </c>
      <c r="I4999">
        <v>0.1741125760648204</v>
      </c>
      <c r="J4999">
        <v>0</v>
      </c>
      <c r="K4999">
        <v>0</v>
      </c>
      <c r="L4999" s="2">
        <v>0</v>
      </c>
      <c r="M4999">
        <v>51.21</v>
      </c>
      <c r="N4999" t="s">
        <v>10236</v>
      </c>
    </row>
    <row r="5000" spans="1:14">
      <c r="A5000" t="s">
        <v>223</v>
      </c>
      <c r="B5000" t="s">
        <v>5112</v>
      </c>
      <c r="C5000">
        <f>"5450310"</f>
        <v>0</v>
      </c>
      <c r="D5000">
        <v>0</v>
      </c>
      <c r="E5000">
        <v>0</v>
      </c>
      <c r="F5000" s="2">
        <v>0</v>
      </c>
      <c r="H5000">
        <v>0</v>
      </c>
      <c r="I5000">
        <v>0.1741125760648204</v>
      </c>
      <c r="J5000">
        <v>0</v>
      </c>
      <c r="K5000">
        <v>0</v>
      </c>
      <c r="L5000" s="2">
        <v>0</v>
      </c>
      <c r="M5000">
        <v>51.22</v>
      </c>
      <c r="N5000" t="s">
        <v>10236</v>
      </c>
    </row>
    <row r="5001" spans="1:14">
      <c r="A5001" t="s">
        <v>25</v>
      </c>
      <c r="B5001" t="s">
        <v>5113</v>
      </c>
      <c r="C5001">
        <f>"ZVP1074"</f>
        <v>0</v>
      </c>
      <c r="D5001">
        <v>0</v>
      </c>
      <c r="E5001">
        <v>0</v>
      </c>
      <c r="F5001" s="2">
        <v>0</v>
      </c>
      <c r="H5001">
        <v>0</v>
      </c>
      <c r="I5001">
        <v>0.1741125760648204</v>
      </c>
      <c r="J5001">
        <v>0</v>
      </c>
      <c r="K5001">
        <v>0</v>
      </c>
      <c r="L5001" s="2">
        <v>0</v>
      </c>
      <c r="M5001">
        <v>51.23</v>
      </c>
      <c r="N5001" t="s">
        <v>10236</v>
      </c>
    </row>
    <row r="5002" spans="1:14">
      <c r="A5002" t="s">
        <v>195</v>
      </c>
      <c r="B5002" t="s">
        <v>5114</v>
      </c>
      <c r="C5002">
        <f>"25390132"</f>
        <v>0</v>
      </c>
      <c r="D5002">
        <v>0</v>
      </c>
      <c r="E5002">
        <v>0</v>
      </c>
      <c r="F5002" s="2">
        <v>0</v>
      </c>
      <c r="H5002">
        <v>0</v>
      </c>
      <c r="I5002">
        <v>0.1741125760648204</v>
      </c>
      <c r="J5002">
        <v>0</v>
      </c>
      <c r="K5002">
        <v>0</v>
      </c>
      <c r="L5002" s="2">
        <v>0</v>
      </c>
      <c r="M5002">
        <v>51.24</v>
      </c>
      <c r="N5002" t="s">
        <v>10236</v>
      </c>
    </row>
    <row r="5003" spans="1:14">
      <c r="A5003" t="s">
        <v>35</v>
      </c>
      <c r="B5003" t="s">
        <v>5115</v>
      </c>
      <c r="C5003">
        <f>"ZHSH"</f>
        <v>0</v>
      </c>
      <c r="D5003">
        <v>0</v>
      </c>
      <c r="E5003">
        <v>0</v>
      </c>
      <c r="F5003" s="2">
        <v>0</v>
      </c>
      <c r="H5003">
        <v>0</v>
      </c>
      <c r="I5003">
        <v>0.1741125760648204</v>
      </c>
      <c r="J5003">
        <v>0</v>
      </c>
      <c r="K5003">
        <v>0</v>
      </c>
      <c r="L5003" s="2">
        <v>0</v>
      </c>
      <c r="M5003">
        <v>51.24</v>
      </c>
      <c r="N5003" t="s">
        <v>10236</v>
      </c>
    </row>
    <row r="5004" spans="1:14">
      <c r="A5004" t="s">
        <v>35</v>
      </c>
      <c r="B5004" t="s">
        <v>5116</v>
      </c>
      <c r="C5004">
        <f>"X1341S"</f>
        <v>0</v>
      </c>
      <c r="D5004">
        <v>0</v>
      </c>
      <c r="E5004">
        <v>0</v>
      </c>
      <c r="F5004" s="2">
        <v>0</v>
      </c>
      <c r="H5004">
        <v>0</v>
      </c>
      <c r="I5004">
        <v>0.1741125760648204</v>
      </c>
      <c r="J5004">
        <v>0</v>
      </c>
      <c r="K5004">
        <v>0</v>
      </c>
      <c r="L5004" s="2">
        <v>0</v>
      </c>
      <c r="M5004">
        <v>51.25</v>
      </c>
      <c r="N5004" t="s">
        <v>10236</v>
      </c>
    </row>
    <row r="5005" spans="1:14">
      <c r="A5005" t="s">
        <v>35</v>
      </c>
      <c r="B5005" t="s">
        <v>5117</v>
      </c>
      <c r="C5005">
        <f>"XB1861CRXL"</f>
        <v>0</v>
      </c>
      <c r="D5005">
        <v>0</v>
      </c>
      <c r="E5005">
        <v>7</v>
      </c>
      <c r="F5005" s="2">
        <v>9</v>
      </c>
      <c r="H5005">
        <v>0</v>
      </c>
      <c r="I5005">
        <v>0.1741125760648204</v>
      </c>
      <c r="J5005">
        <v>0</v>
      </c>
      <c r="K5005">
        <v>0</v>
      </c>
      <c r="L5005" s="2">
        <v>0</v>
      </c>
      <c r="M5005">
        <v>51.26</v>
      </c>
      <c r="N5005" t="s">
        <v>10236</v>
      </c>
    </row>
    <row r="5006" spans="1:14">
      <c r="A5006" t="s">
        <v>35</v>
      </c>
      <c r="B5006" t="s">
        <v>5118</v>
      </c>
      <c r="C5006">
        <f>"XB1861CRL"</f>
        <v>0</v>
      </c>
      <c r="D5006">
        <v>0</v>
      </c>
      <c r="E5006">
        <v>7</v>
      </c>
      <c r="F5006" s="2">
        <v>8</v>
      </c>
      <c r="H5006">
        <v>0</v>
      </c>
      <c r="I5006">
        <v>0.1741125760648204</v>
      </c>
      <c r="J5006">
        <v>0</v>
      </c>
      <c r="K5006">
        <v>0</v>
      </c>
      <c r="L5006" s="2">
        <v>0</v>
      </c>
      <c r="M5006">
        <v>51.27</v>
      </c>
      <c r="N5006" t="s">
        <v>10236</v>
      </c>
    </row>
    <row r="5007" spans="1:14">
      <c r="A5007" t="s">
        <v>35</v>
      </c>
      <c r="B5007" t="s">
        <v>5119</v>
      </c>
      <c r="C5007">
        <f>"XB1861CRM"</f>
        <v>0</v>
      </c>
      <c r="D5007">
        <v>0</v>
      </c>
      <c r="E5007">
        <v>13</v>
      </c>
      <c r="F5007" s="2">
        <v>8</v>
      </c>
      <c r="H5007">
        <v>0</v>
      </c>
      <c r="I5007">
        <v>0.1741125760648204</v>
      </c>
      <c r="J5007">
        <v>0</v>
      </c>
      <c r="K5007">
        <v>0</v>
      </c>
      <c r="L5007" s="2">
        <v>0</v>
      </c>
      <c r="M5007">
        <v>51.28</v>
      </c>
      <c r="N5007" t="s">
        <v>10236</v>
      </c>
    </row>
    <row r="5008" spans="1:14">
      <c r="A5008" t="s">
        <v>35</v>
      </c>
      <c r="B5008" t="s">
        <v>5120</v>
      </c>
      <c r="C5008">
        <f>"XB1861CRXS"</f>
        <v>0</v>
      </c>
      <c r="D5008">
        <v>0</v>
      </c>
      <c r="E5008">
        <v>11</v>
      </c>
      <c r="F5008" s="2">
        <v>7</v>
      </c>
      <c r="H5008">
        <v>0</v>
      </c>
      <c r="I5008">
        <v>0.1741125760648204</v>
      </c>
      <c r="J5008">
        <v>0</v>
      </c>
      <c r="K5008">
        <v>0</v>
      </c>
      <c r="L5008" s="2">
        <v>0</v>
      </c>
      <c r="M5008">
        <v>51.29</v>
      </c>
      <c r="N5008" t="s">
        <v>10236</v>
      </c>
    </row>
    <row r="5009" spans="1:14">
      <c r="A5009" t="s">
        <v>35</v>
      </c>
      <c r="B5009" t="s">
        <v>5121</v>
      </c>
      <c r="C5009">
        <f>"XB1861CAXL"</f>
        <v>0</v>
      </c>
      <c r="D5009">
        <v>0</v>
      </c>
      <c r="E5009">
        <v>7</v>
      </c>
      <c r="F5009" s="2">
        <v>9</v>
      </c>
      <c r="H5009">
        <v>0</v>
      </c>
      <c r="I5009">
        <v>0.1741125760648204</v>
      </c>
      <c r="J5009">
        <v>0</v>
      </c>
      <c r="K5009">
        <v>0</v>
      </c>
      <c r="L5009" s="2">
        <v>0</v>
      </c>
      <c r="M5009">
        <v>51.3</v>
      </c>
      <c r="N5009" t="s">
        <v>10236</v>
      </c>
    </row>
    <row r="5010" spans="1:14">
      <c r="A5010" t="s">
        <v>35</v>
      </c>
      <c r="B5010" t="s">
        <v>5122</v>
      </c>
      <c r="C5010">
        <f>"XB1861CAL"</f>
        <v>0</v>
      </c>
      <c r="D5010">
        <v>0</v>
      </c>
      <c r="E5010">
        <v>10</v>
      </c>
      <c r="F5010" s="2">
        <v>8</v>
      </c>
      <c r="H5010">
        <v>0</v>
      </c>
      <c r="I5010">
        <v>0.1741125760648204</v>
      </c>
      <c r="J5010">
        <v>0</v>
      </c>
      <c r="K5010">
        <v>0</v>
      </c>
      <c r="L5010" s="2">
        <v>0</v>
      </c>
      <c r="M5010">
        <v>51.31</v>
      </c>
      <c r="N5010" t="s">
        <v>10236</v>
      </c>
    </row>
    <row r="5011" spans="1:14">
      <c r="A5011" t="s">
        <v>35</v>
      </c>
      <c r="B5011" t="s">
        <v>5123</v>
      </c>
      <c r="C5011">
        <f>"XB1861CAS"</f>
        <v>0</v>
      </c>
      <c r="D5011">
        <v>0</v>
      </c>
      <c r="E5011">
        <v>13</v>
      </c>
      <c r="F5011" s="2">
        <v>8</v>
      </c>
      <c r="H5011">
        <v>0</v>
      </c>
      <c r="I5011">
        <v>0.1741125760648204</v>
      </c>
      <c r="J5011">
        <v>0</v>
      </c>
      <c r="K5011">
        <v>0</v>
      </c>
      <c r="L5011" s="2">
        <v>0</v>
      </c>
      <c r="M5011">
        <v>51.32</v>
      </c>
      <c r="N5011" t="s">
        <v>10236</v>
      </c>
    </row>
    <row r="5012" spans="1:14">
      <c r="A5012" t="s">
        <v>35</v>
      </c>
      <c r="B5012" t="s">
        <v>5124</v>
      </c>
      <c r="C5012">
        <f>"XB1861CAXS"</f>
        <v>0</v>
      </c>
      <c r="D5012">
        <v>0</v>
      </c>
      <c r="E5012">
        <v>14</v>
      </c>
      <c r="F5012" s="2">
        <v>7</v>
      </c>
      <c r="H5012">
        <v>0</v>
      </c>
      <c r="I5012">
        <v>0.1741125760648204</v>
      </c>
      <c r="J5012">
        <v>0</v>
      </c>
      <c r="K5012">
        <v>0</v>
      </c>
      <c r="L5012" s="2">
        <v>0</v>
      </c>
      <c r="M5012">
        <v>51.33</v>
      </c>
      <c r="N5012" t="s">
        <v>10236</v>
      </c>
    </row>
    <row r="5013" spans="1:14">
      <c r="A5013" t="s">
        <v>35</v>
      </c>
      <c r="B5013" t="s">
        <v>5125</v>
      </c>
      <c r="C5013">
        <f>"B7162xxl"</f>
        <v>0</v>
      </c>
      <c r="D5013">
        <v>0</v>
      </c>
      <c r="E5013">
        <v>3</v>
      </c>
      <c r="F5013" s="2">
        <v>5</v>
      </c>
      <c r="H5013">
        <v>0</v>
      </c>
      <c r="I5013">
        <v>0.1741125760648204</v>
      </c>
      <c r="J5013">
        <v>0</v>
      </c>
      <c r="K5013">
        <v>0</v>
      </c>
      <c r="L5013" s="2">
        <v>0</v>
      </c>
      <c r="M5013">
        <v>51.34</v>
      </c>
      <c r="N5013" t="s">
        <v>10236</v>
      </c>
    </row>
    <row r="5014" spans="1:14">
      <c r="A5014" t="s">
        <v>35</v>
      </c>
      <c r="B5014" t="s">
        <v>5126</v>
      </c>
      <c r="C5014">
        <f>"1620M"</f>
        <v>0</v>
      </c>
      <c r="D5014">
        <v>0</v>
      </c>
      <c r="E5014">
        <v>3</v>
      </c>
      <c r="F5014" s="2">
        <v>7</v>
      </c>
      <c r="H5014">
        <v>0</v>
      </c>
      <c r="I5014">
        <v>0.1741125760648204</v>
      </c>
      <c r="J5014">
        <v>0</v>
      </c>
      <c r="K5014">
        <v>0</v>
      </c>
      <c r="L5014" s="2">
        <v>0</v>
      </c>
      <c r="M5014">
        <v>51.35</v>
      </c>
      <c r="N5014" t="s">
        <v>10236</v>
      </c>
    </row>
    <row r="5015" spans="1:14">
      <c r="A5015" t="s">
        <v>35</v>
      </c>
      <c r="B5015" t="s">
        <v>5127</v>
      </c>
      <c r="C5015">
        <f>"X1341MROS"</f>
        <v>0</v>
      </c>
      <c r="D5015">
        <v>0</v>
      </c>
      <c r="E5015">
        <v>0</v>
      </c>
      <c r="F5015" s="2">
        <v>0</v>
      </c>
      <c r="H5015">
        <v>0</v>
      </c>
      <c r="I5015">
        <v>0.1741125760648204</v>
      </c>
      <c r="J5015">
        <v>0</v>
      </c>
      <c r="K5015">
        <v>0</v>
      </c>
      <c r="L5015" s="2">
        <v>0</v>
      </c>
      <c r="M5015">
        <v>51.36</v>
      </c>
      <c r="N5015" t="s">
        <v>10236</v>
      </c>
    </row>
    <row r="5016" spans="1:14">
      <c r="A5016" t="s">
        <v>35</v>
      </c>
      <c r="B5016" t="s">
        <v>5128</v>
      </c>
      <c r="C5016">
        <f>"XB09072NE"</f>
        <v>0</v>
      </c>
      <c r="D5016">
        <v>0</v>
      </c>
      <c r="E5016">
        <v>2</v>
      </c>
      <c r="F5016" s="2">
        <v>5</v>
      </c>
      <c r="H5016">
        <v>0</v>
      </c>
      <c r="I5016">
        <v>0.1741125760648204</v>
      </c>
      <c r="J5016">
        <v>0</v>
      </c>
      <c r="K5016">
        <v>0</v>
      </c>
      <c r="L5016" s="2">
        <v>0</v>
      </c>
      <c r="M5016">
        <v>51.36</v>
      </c>
      <c r="N5016" t="s">
        <v>10236</v>
      </c>
    </row>
    <row r="5017" spans="1:14">
      <c r="A5017" t="s">
        <v>35</v>
      </c>
      <c r="B5017" t="s">
        <v>5129</v>
      </c>
      <c r="C5017">
        <f>"W2003"</f>
        <v>0</v>
      </c>
      <c r="D5017">
        <v>0</v>
      </c>
      <c r="E5017">
        <v>0</v>
      </c>
      <c r="F5017" s="2">
        <v>0</v>
      </c>
      <c r="H5017">
        <v>0</v>
      </c>
      <c r="I5017">
        <v>0.1741125760648204</v>
      </c>
      <c r="J5017">
        <v>0</v>
      </c>
      <c r="K5017">
        <v>0</v>
      </c>
      <c r="L5017" s="2">
        <v>0</v>
      </c>
      <c r="M5017">
        <v>51.37</v>
      </c>
      <c r="N5017" t="s">
        <v>10236</v>
      </c>
    </row>
    <row r="5018" spans="1:14">
      <c r="A5018" t="s">
        <v>35</v>
      </c>
      <c r="B5018" t="s">
        <v>5130</v>
      </c>
      <c r="C5018">
        <f>"3025N"</f>
        <v>0</v>
      </c>
      <c r="D5018">
        <v>0</v>
      </c>
      <c r="E5018">
        <v>0</v>
      </c>
      <c r="F5018" s="2">
        <v>0</v>
      </c>
      <c r="H5018">
        <v>0</v>
      </c>
      <c r="I5018">
        <v>0.1741125760648204</v>
      </c>
      <c r="J5018">
        <v>0</v>
      </c>
      <c r="K5018">
        <v>0</v>
      </c>
      <c r="L5018" s="2">
        <v>0</v>
      </c>
      <c r="M5018">
        <v>51.38</v>
      </c>
      <c r="N5018" t="s">
        <v>10236</v>
      </c>
    </row>
    <row r="5019" spans="1:14">
      <c r="A5019" t="s">
        <v>35</v>
      </c>
      <c r="B5019" t="s">
        <v>5131</v>
      </c>
      <c r="C5019">
        <f>"3025A"</f>
        <v>0</v>
      </c>
      <c r="D5019">
        <v>0</v>
      </c>
      <c r="E5019">
        <v>0</v>
      </c>
      <c r="F5019" s="2">
        <v>0</v>
      </c>
      <c r="H5019">
        <v>0</v>
      </c>
      <c r="I5019">
        <v>0.1741125760648204</v>
      </c>
      <c r="J5019">
        <v>0</v>
      </c>
      <c r="K5019">
        <v>0</v>
      </c>
      <c r="L5019" s="2">
        <v>0</v>
      </c>
      <c r="M5019">
        <v>51.39</v>
      </c>
      <c r="N5019" t="s">
        <v>10236</v>
      </c>
    </row>
    <row r="5020" spans="1:14">
      <c r="A5020" t="s">
        <v>35</v>
      </c>
      <c r="B5020" t="s">
        <v>5132</v>
      </c>
      <c r="C5020">
        <f>"B7162xl"</f>
        <v>0</v>
      </c>
      <c r="D5020">
        <v>0</v>
      </c>
      <c r="E5020">
        <v>3</v>
      </c>
      <c r="F5020" s="2">
        <v>5</v>
      </c>
      <c r="H5020">
        <v>0</v>
      </c>
      <c r="I5020">
        <v>0.1741125760648204</v>
      </c>
      <c r="J5020">
        <v>0</v>
      </c>
      <c r="K5020">
        <v>0</v>
      </c>
      <c r="L5020" s="2">
        <v>0</v>
      </c>
      <c r="M5020">
        <v>51.4</v>
      </c>
      <c r="N5020" t="s">
        <v>10236</v>
      </c>
    </row>
    <row r="5021" spans="1:14">
      <c r="A5021" t="s">
        <v>35</v>
      </c>
      <c r="B5021" t="s">
        <v>5133</v>
      </c>
      <c r="C5021">
        <f>"B7162S"</f>
        <v>0</v>
      </c>
      <c r="D5021">
        <v>0</v>
      </c>
      <c r="E5021">
        <v>18</v>
      </c>
      <c r="F5021" s="2">
        <v>3</v>
      </c>
      <c r="H5021">
        <v>0</v>
      </c>
      <c r="I5021">
        <v>0.1741125760648204</v>
      </c>
      <c r="J5021">
        <v>0</v>
      </c>
      <c r="K5021">
        <v>0</v>
      </c>
      <c r="L5021" s="2">
        <v>0</v>
      </c>
      <c r="M5021">
        <v>51.41</v>
      </c>
      <c r="N5021" t="s">
        <v>10236</v>
      </c>
    </row>
    <row r="5022" spans="1:14">
      <c r="A5022" t="s">
        <v>35</v>
      </c>
      <c r="B5022" t="s">
        <v>5134</v>
      </c>
      <c r="C5022">
        <f>"B7162m"</f>
        <v>0</v>
      </c>
      <c r="D5022">
        <v>0</v>
      </c>
      <c r="E5022">
        <v>3</v>
      </c>
      <c r="F5022" s="2">
        <v>3</v>
      </c>
      <c r="H5022">
        <v>0</v>
      </c>
      <c r="I5022">
        <v>0.1741125760648204</v>
      </c>
      <c r="J5022">
        <v>0</v>
      </c>
      <c r="K5022">
        <v>0</v>
      </c>
      <c r="L5022" s="2">
        <v>0</v>
      </c>
      <c r="M5022">
        <v>51.42</v>
      </c>
      <c r="N5022" t="s">
        <v>10236</v>
      </c>
    </row>
    <row r="5023" spans="1:14">
      <c r="A5023" t="s">
        <v>35</v>
      </c>
      <c r="B5023" t="s">
        <v>5135</v>
      </c>
      <c r="C5023">
        <f>"SDR212"</f>
        <v>0</v>
      </c>
      <c r="D5023">
        <v>0</v>
      </c>
      <c r="E5023">
        <v>0</v>
      </c>
      <c r="F5023" s="2">
        <v>0</v>
      </c>
      <c r="H5023">
        <v>0</v>
      </c>
      <c r="I5023">
        <v>0.1741125760648204</v>
      </c>
      <c r="J5023">
        <v>0</v>
      </c>
      <c r="K5023">
        <v>0</v>
      </c>
      <c r="L5023" s="2">
        <v>0</v>
      </c>
      <c r="M5023">
        <v>51.43</v>
      </c>
      <c r="N5023" t="s">
        <v>10236</v>
      </c>
    </row>
    <row r="5024" spans="1:14">
      <c r="A5024" t="s">
        <v>35</v>
      </c>
      <c r="B5024" t="s">
        <v>5136</v>
      </c>
      <c r="C5024">
        <f>"01149"</f>
        <v>0</v>
      </c>
      <c r="D5024">
        <v>0</v>
      </c>
      <c r="E5024">
        <v>0</v>
      </c>
      <c r="F5024" s="2">
        <v>0</v>
      </c>
      <c r="H5024">
        <v>0</v>
      </c>
      <c r="I5024">
        <v>0.1741125760648204</v>
      </c>
      <c r="J5024">
        <v>0</v>
      </c>
      <c r="K5024">
        <v>0</v>
      </c>
      <c r="L5024" s="2">
        <v>0</v>
      </c>
      <c r="M5024">
        <v>51.44</v>
      </c>
      <c r="N5024" t="s">
        <v>10236</v>
      </c>
    </row>
    <row r="5025" spans="1:14">
      <c r="A5025" t="s">
        <v>35</v>
      </c>
      <c r="B5025" t="s">
        <v>5137</v>
      </c>
      <c r="C5025">
        <f>"01156"</f>
        <v>0</v>
      </c>
      <c r="D5025">
        <v>0</v>
      </c>
      <c r="E5025">
        <v>0</v>
      </c>
      <c r="F5025" s="2">
        <v>0</v>
      </c>
      <c r="H5025">
        <v>0</v>
      </c>
      <c r="I5025">
        <v>0.1741125760648204</v>
      </c>
      <c r="J5025">
        <v>0</v>
      </c>
      <c r="K5025">
        <v>0</v>
      </c>
      <c r="L5025" s="2">
        <v>0</v>
      </c>
      <c r="M5025">
        <v>51.45</v>
      </c>
      <c r="N5025" t="s">
        <v>10236</v>
      </c>
    </row>
    <row r="5026" spans="1:14">
      <c r="A5026" t="s">
        <v>35</v>
      </c>
      <c r="B5026" t="s">
        <v>5138</v>
      </c>
      <c r="C5026">
        <f>"01132"</f>
        <v>0</v>
      </c>
      <c r="D5026">
        <v>0</v>
      </c>
      <c r="E5026">
        <v>0</v>
      </c>
      <c r="F5026" s="2">
        <v>0</v>
      </c>
      <c r="H5026">
        <v>0</v>
      </c>
      <c r="I5026">
        <v>0.1741125760648204</v>
      </c>
      <c r="J5026">
        <v>0</v>
      </c>
      <c r="K5026">
        <v>0</v>
      </c>
      <c r="L5026" s="2">
        <v>0</v>
      </c>
      <c r="M5026">
        <v>51.46</v>
      </c>
      <c r="N5026" t="s">
        <v>10236</v>
      </c>
    </row>
    <row r="5027" spans="1:14">
      <c r="A5027" t="s">
        <v>35</v>
      </c>
      <c r="B5027" t="s">
        <v>5139</v>
      </c>
      <c r="C5027">
        <f>"04874"</f>
        <v>0</v>
      </c>
      <c r="D5027">
        <v>0</v>
      </c>
      <c r="E5027">
        <v>0</v>
      </c>
      <c r="F5027" s="2">
        <v>0</v>
      </c>
      <c r="H5027">
        <v>0</v>
      </c>
      <c r="I5027">
        <v>0.1741125760648204</v>
      </c>
      <c r="J5027">
        <v>0</v>
      </c>
      <c r="K5027">
        <v>0</v>
      </c>
      <c r="L5027" s="2">
        <v>0</v>
      </c>
      <c r="M5027">
        <v>51.47</v>
      </c>
      <c r="N5027" t="s">
        <v>10236</v>
      </c>
    </row>
    <row r="5028" spans="1:14">
      <c r="A5028" t="s">
        <v>35</v>
      </c>
      <c r="B5028" t="s">
        <v>5140</v>
      </c>
      <c r="C5028">
        <f>"01361"</f>
        <v>0</v>
      </c>
      <c r="D5028">
        <v>0</v>
      </c>
      <c r="E5028">
        <v>1</v>
      </c>
      <c r="F5028" s="2">
        <v>4</v>
      </c>
      <c r="H5028">
        <v>0</v>
      </c>
      <c r="I5028">
        <v>0.1741125760648204</v>
      </c>
      <c r="J5028">
        <v>0</v>
      </c>
      <c r="K5028">
        <v>0</v>
      </c>
      <c r="L5028" s="2">
        <v>0</v>
      </c>
      <c r="M5028">
        <v>51.48</v>
      </c>
      <c r="N5028" t="s">
        <v>10236</v>
      </c>
    </row>
    <row r="5029" spans="1:14">
      <c r="A5029" t="s">
        <v>35</v>
      </c>
      <c r="B5029" t="s">
        <v>5141</v>
      </c>
      <c r="C5029">
        <f>"SDR231"</f>
        <v>0</v>
      </c>
      <c r="D5029">
        <v>0</v>
      </c>
      <c r="E5029">
        <v>3</v>
      </c>
      <c r="F5029" s="2">
        <v>3</v>
      </c>
      <c r="H5029">
        <v>0</v>
      </c>
      <c r="I5029">
        <v>0.1741125760648204</v>
      </c>
      <c r="J5029">
        <v>0</v>
      </c>
      <c r="K5029">
        <v>0</v>
      </c>
      <c r="L5029" s="2">
        <v>0</v>
      </c>
      <c r="M5029">
        <v>51.48</v>
      </c>
      <c r="N5029" t="s">
        <v>10236</v>
      </c>
    </row>
    <row r="5030" spans="1:14">
      <c r="A5030" t="s">
        <v>35</v>
      </c>
      <c r="B5030" t="s">
        <v>5142</v>
      </c>
      <c r="C5030">
        <f>"XB09071ROJ"</f>
        <v>0</v>
      </c>
      <c r="D5030">
        <v>0</v>
      </c>
      <c r="E5030">
        <v>3</v>
      </c>
      <c r="F5030" s="2">
        <v>5</v>
      </c>
      <c r="H5030">
        <v>0</v>
      </c>
      <c r="I5030">
        <v>0.1741125760648204</v>
      </c>
      <c r="J5030">
        <v>0</v>
      </c>
      <c r="K5030">
        <v>0</v>
      </c>
      <c r="L5030" s="2">
        <v>0</v>
      </c>
      <c r="M5030">
        <v>51.49</v>
      </c>
      <c r="N5030" t="s">
        <v>10236</v>
      </c>
    </row>
    <row r="5031" spans="1:14">
      <c r="A5031" t="s">
        <v>25</v>
      </c>
      <c r="B5031" t="s">
        <v>5143</v>
      </c>
      <c r="C5031">
        <f>"s223"</f>
        <v>0</v>
      </c>
      <c r="D5031">
        <v>0</v>
      </c>
      <c r="E5031">
        <v>0</v>
      </c>
      <c r="F5031" s="2">
        <v>0</v>
      </c>
      <c r="H5031">
        <v>0</v>
      </c>
      <c r="I5031">
        <v>0.1741125760648204</v>
      </c>
      <c r="J5031">
        <v>0</v>
      </c>
      <c r="K5031">
        <v>0</v>
      </c>
      <c r="L5031" s="2">
        <v>0</v>
      </c>
      <c r="M5031">
        <v>51.5</v>
      </c>
      <c r="N5031" t="s">
        <v>10236</v>
      </c>
    </row>
    <row r="5032" spans="1:14">
      <c r="A5032" t="s">
        <v>25</v>
      </c>
      <c r="B5032" t="s">
        <v>5144</v>
      </c>
      <c r="C5032">
        <f>"s208"</f>
        <v>0</v>
      </c>
      <c r="D5032">
        <v>0</v>
      </c>
      <c r="E5032">
        <v>0</v>
      </c>
      <c r="F5032" s="2">
        <v>0</v>
      </c>
      <c r="H5032">
        <v>0</v>
      </c>
      <c r="I5032">
        <v>0.1741125760648204</v>
      </c>
      <c r="J5032">
        <v>0</v>
      </c>
      <c r="K5032">
        <v>0</v>
      </c>
      <c r="L5032" s="2">
        <v>0</v>
      </c>
      <c r="M5032">
        <v>51.51</v>
      </c>
      <c r="N5032" t="s">
        <v>10236</v>
      </c>
    </row>
    <row r="5033" spans="1:14">
      <c r="A5033" t="s">
        <v>35</v>
      </c>
      <c r="B5033" t="s">
        <v>5145</v>
      </c>
      <c r="C5033">
        <f>"XB09072ROJ"</f>
        <v>0</v>
      </c>
      <c r="D5033">
        <v>0</v>
      </c>
      <c r="E5033">
        <v>2</v>
      </c>
      <c r="F5033" s="2">
        <v>5</v>
      </c>
      <c r="H5033">
        <v>0</v>
      </c>
      <c r="I5033">
        <v>0.1741125760648204</v>
      </c>
      <c r="J5033">
        <v>0</v>
      </c>
      <c r="K5033">
        <v>0</v>
      </c>
      <c r="L5033" s="2">
        <v>0</v>
      </c>
      <c r="M5033">
        <v>51.52</v>
      </c>
      <c r="N5033" t="s">
        <v>10236</v>
      </c>
    </row>
    <row r="5034" spans="1:14">
      <c r="A5034" t="s">
        <v>35</v>
      </c>
      <c r="B5034" t="s">
        <v>5146</v>
      </c>
      <c r="C5034">
        <f>"1840CMR"</f>
        <v>0</v>
      </c>
      <c r="D5034">
        <v>0</v>
      </c>
      <c r="E5034">
        <v>9</v>
      </c>
      <c r="F5034" s="2">
        <v>0</v>
      </c>
      <c r="H5034">
        <v>0</v>
      </c>
      <c r="I5034">
        <v>0.1741125760648204</v>
      </c>
      <c r="J5034">
        <v>0</v>
      </c>
      <c r="K5034">
        <v>0</v>
      </c>
      <c r="L5034" s="2">
        <v>0</v>
      </c>
      <c r="M5034">
        <v>51.53</v>
      </c>
      <c r="N5034" t="s">
        <v>10236</v>
      </c>
    </row>
    <row r="5035" spans="1:14">
      <c r="A5035" t="s">
        <v>35</v>
      </c>
      <c r="B5035" t="s">
        <v>5147</v>
      </c>
      <c r="C5035">
        <f>"1840CLR"</f>
        <v>0</v>
      </c>
      <c r="D5035">
        <v>0</v>
      </c>
      <c r="E5035">
        <v>13</v>
      </c>
      <c r="F5035" s="2">
        <v>0</v>
      </c>
      <c r="H5035">
        <v>0</v>
      </c>
      <c r="I5035">
        <v>0.1741125760648204</v>
      </c>
      <c r="J5035">
        <v>0</v>
      </c>
      <c r="K5035">
        <v>0</v>
      </c>
      <c r="L5035" s="2">
        <v>0</v>
      </c>
      <c r="M5035">
        <v>51.54</v>
      </c>
      <c r="N5035" t="s">
        <v>10236</v>
      </c>
    </row>
    <row r="5036" spans="1:14">
      <c r="A5036" t="s">
        <v>35</v>
      </c>
      <c r="B5036" t="s">
        <v>5148</v>
      </c>
      <c r="C5036">
        <f>"1812CREDS"</f>
        <v>0</v>
      </c>
      <c r="D5036">
        <v>0</v>
      </c>
      <c r="E5036">
        <v>2</v>
      </c>
      <c r="F5036" s="2">
        <v>4</v>
      </c>
      <c r="H5036">
        <v>0</v>
      </c>
      <c r="I5036">
        <v>0.1741125760648204</v>
      </c>
      <c r="J5036">
        <v>0</v>
      </c>
      <c r="K5036">
        <v>0</v>
      </c>
      <c r="L5036" s="2">
        <v>0</v>
      </c>
      <c r="M5036">
        <v>51.55</v>
      </c>
      <c r="N5036" t="s">
        <v>10236</v>
      </c>
    </row>
    <row r="5037" spans="1:14">
      <c r="A5037" t="s">
        <v>35</v>
      </c>
      <c r="B5037" t="s">
        <v>5149</v>
      </c>
      <c r="C5037">
        <f>"1812CREDM"</f>
        <v>0</v>
      </c>
      <c r="D5037">
        <v>0</v>
      </c>
      <c r="E5037">
        <v>1</v>
      </c>
      <c r="F5037" s="2">
        <v>4</v>
      </c>
      <c r="H5037">
        <v>0</v>
      </c>
      <c r="I5037">
        <v>0.1741125760648204</v>
      </c>
      <c r="J5037">
        <v>0</v>
      </c>
      <c r="K5037">
        <v>0</v>
      </c>
      <c r="L5037" s="2">
        <v>0</v>
      </c>
      <c r="M5037">
        <v>51.56</v>
      </c>
      <c r="N5037" t="s">
        <v>10236</v>
      </c>
    </row>
    <row r="5038" spans="1:14">
      <c r="A5038" t="s">
        <v>35</v>
      </c>
      <c r="B5038" t="s">
        <v>5150</v>
      </c>
      <c r="C5038">
        <f>"1812CREDL"</f>
        <v>0</v>
      </c>
      <c r="D5038">
        <v>0</v>
      </c>
      <c r="E5038">
        <v>0</v>
      </c>
      <c r="F5038" s="2">
        <v>0</v>
      </c>
      <c r="H5038">
        <v>0</v>
      </c>
      <c r="I5038">
        <v>0.1741125760648204</v>
      </c>
      <c r="J5038">
        <v>0</v>
      </c>
      <c r="K5038">
        <v>0</v>
      </c>
      <c r="L5038" s="2">
        <v>0</v>
      </c>
      <c r="M5038">
        <v>51.57</v>
      </c>
      <c r="N5038" t="s">
        <v>10236</v>
      </c>
    </row>
    <row r="5039" spans="1:14">
      <c r="A5039" t="s">
        <v>35</v>
      </c>
      <c r="B5039" t="s">
        <v>5151</v>
      </c>
      <c r="C5039">
        <f>"1812CBLUES"</f>
        <v>0</v>
      </c>
      <c r="D5039">
        <v>0</v>
      </c>
      <c r="E5039">
        <v>2</v>
      </c>
      <c r="F5039" s="2">
        <v>3</v>
      </c>
      <c r="H5039">
        <v>0</v>
      </c>
      <c r="I5039">
        <v>0.1741125760648204</v>
      </c>
      <c r="J5039">
        <v>0</v>
      </c>
      <c r="K5039">
        <v>0</v>
      </c>
      <c r="L5039" s="2">
        <v>0</v>
      </c>
      <c r="M5039">
        <v>51.58</v>
      </c>
      <c r="N5039" t="s">
        <v>10236</v>
      </c>
    </row>
    <row r="5040" spans="1:14">
      <c r="A5040" t="s">
        <v>35</v>
      </c>
      <c r="B5040" t="s">
        <v>5152</v>
      </c>
      <c r="C5040">
        <f>"1812CBLUEM"</f>
        <v>0</v>
      </c>
      <c r="D5040">
        <v>0</v>
      </c>
      <c r="E5040">
        <v>0</v>
      </c>
      <c r="F5040" s="2">
        <v>0</v>
      </c>
      <c r="H5040">
        <v>0</v>
      </c>
      <c r="I5040">
        <v>0.1741125760648204</v>
      </c>
      <c r="J5040">
        <v>0</v>
      </c>
      <c r="K5040">
        <v>0</v>
      </c>
      <c r="L5040" s="2">
        <v>0</v>
      </c>
      <c r="M5040">
        <v>51.59</v>
      </c>
      <c r="N5040" t="s">
        <v>10236</v>
      </c>
    </row>
    <row r="5041" spans="1:14">
      <c r="A5041" t="s">
        <v>35</v>
      </c>
      <c r="B5041" t="s">
        <v>5153</v>
      </c>
      <c r="C5041">
        <f>"1812CBLUEL"</f>
        <v>0</v>
      </c>
      <c r="D5041">
        <v>0</v>
      </c>
      <c r="E5041">
        <v>0</v>
      </c>
      <c r="F5041" s="2">
        <v>0</v>
      </c>
      <c r="H5041">
        <v>0</v>
      </c>
      <c r="I5041">
        <v>0.1741125760648204</v>
      </c>
      <c r="J5041">
        <v>0</v>
      </c>
      <c r="K5041">
        <v>0</v>
      </c>
      <c r="L5041" s="2">
        <v>0</v>
      </c>
      <c r="M5041">
        <v>51.6</v>
      </c>
      <c r="N5041" t="s">
        <v>10236</v>
      </c>
    </row>
    <row r="5042" spans="1:14">
      <c r="A5042" t="s">
        <v>35</v>
      </c>
      <c r="B5042" t="s">
        <v>5154</v>
      </c>
      <c r="C5042">
        <f>"LV09092TYXL"</f>
        <v>0</v>
      </c>
      <c r="D5042">
        <v>0</v>
      </c>
      <c r="E5042">
        <v>2</v>
      </c>
      <c r="F5042" s="2">
        <v>4</v>
      </c>
      <c r="H5042">
        <v>0</v>
      </c>
      <c r="I5042">
        <v>0.1741125760648204</v>
      </c>
      <c r="J5042">
        <v>0</v>
      </c>
      <c r="K5042">
        <v>0</v>
      </c>
      <c r="L5042" s="2">
        <v>0</v>
      </c>
      <c r="M5042">
        <v>51.6</v>
      </c>
      <c r="N5042" t="s">
        <v>10236</v>
      </c>
    </row>
    <row r="5043" spans="1:14">
      <c r="A5043" t="s">
        <v>35</v>
      </c>
      <c r="B5043" t="s">
        <v>5155</v>
      </c>
      <c r="C5043">
        <f>"LV09092TYS"</f>
        <v>0</v>
      </c>
      <c r="D5043">
        <v>0</v>
      </c>
      <c r="E5043">
        <v>1</v>
      </c>
      <c r="F5043" s="2">
        <v>4</v>
      </c>
      <c r="H5043">
        <v>0</v>
      </c>
      <c r="I5043">
        <v>0.1741125760648204</v>
      </c>
      <c r="J5043">
        <v>0</v>
      </c>
      <c r="K5043">
        <v>0</v>
      </c>
      <c r="L5043" s="2">
        <v>0</v>
      </c>
      <c r="M5043">
        <v>51.61</v>
      </c>
      <c r="N5043" t="s">
        <v>10236</v>
      </c>
    </row>
    <row r="5044" spans="1:14">
      <c r="A5044" t="s">
        <v>35</v>
      </c>
      <c r="B5044" t="s">
        <v>5156</v>
      </c>
      <c r="C5044">
        <f>"LV09092TYM"</f>
        <v>0</v>
      </c>
      <c r="D5044">
        <v>0</v>
      </c>
      <c r="E5044">
        <v>1</v>
      </c>
      <c r="F5044" s="2">
        <v>4</v>
      </c>
      <c r="H5044">
        <v>0</v>
      </c>
      <c r="I5044">
        <v>0.1741125760648204</v>
      </c>
      <c r="J5044">
        <v>0</v>
      </c>
      <c r="K5044">
        <v>0</v>
      </c>
      <c r="L5044" s="2">
        <v>0</v>
      </c>
      <c r="M5044">
        <v>51.62</v>
      </c>
      <c r="N5044" t="s">
        <v>10236</v>
      </c>
    </row>
    <row r="5045" spans="1:14">
      <c r="A5045" t="s">
        <v>35</v>
      </c>
      <c r="B5045" t="s">
        <v>5157</v>
      </c>
      <c r="C5045">
        <f>"LV09092TYL"</f>
        <v>0</v>
      </c>
      <c r="D5045">
        <v>0</v>
      </c>
      <c r="E5045">
        <v>1</v>
      </c>
      <c r="F5045" s="2">
        <v>4</v>
      </c>
      <c r="H5045">
        <v>0</v>
      </c>
      <c r="I5045">
        <v>0.1741125760648204</v>
      </c>
      <c r="J5045">
        <v>0</v>
      </c>
      <c r="K5045">
        <v>0</v>
      </c>
      <c r="L5045" s="2">
        <v>0</v>
      </c>
      <c r="M5045">
        <v>51.63</v>
      </c>
      <c r="N5045" t="s">
        <v>10236</v>
      </c>
    </row>
    <row r="5046" spans="1:14">
      <c r="A5046" t="s">
        <v>35</v>
      </c>
      <c r="B5046" t="s">
        <v>5158</v>
      </c>
      <c r="C5046">
        <f>"LV09092TPWXL"</f>
        <v>0</v>
      </c>
      <c r="D5046">
        <v>0</v>
      </c>
      <c r="E5046">
        <v>2</v>
      </c>
      <c r="F5046" s="2">
        <v>4</v>
      </c>
      <c r="H5046">
        <v>0</v>
      </c>
      <c r="I5046">
        <v>0.1741125760648204</v>
      </c>
      <c r="J5046">
        <v>0</v>
      </c>
      <c r="K5046">
        <v>0</v>
      </c>
      <c r="L5046" s="2">
        <v>0</v>
      </c>
      <c r="M5046">
        <v>51.64</v>
      </c>
      <c r="N5046" t="s">
        <v>10236</v>
      </c>
    </row>
    <row r="5047" spans="1:14">
      <c r="A5047" t="s">
        <v>35</v>
      </c>
      <c r="B5047" t="s">
        <v>5159</v>
      </c>
      <c r="C5047">
        <f>"LV09092TPWS"</f>
        <v>0</v>
      </c>
      <c r="D5047">
        <v>0</v>
      </c>
      <c r="E5047">
        <v>11</v>
      </c>
      <c r="F5047" s="2">
        <v>0</v>
      </c>
      <c r="H5047">
        <v>0</v>
      </c>
      <c r="I5047">
        <v>0.1741125760648204</v>
      </c>
      <c r="J5047">
        <v>0</v>
      </c>
      <c r="K5047">
        <v>0</v>
      </c>
      <c r="L5047" s="2">
        <v>0</v>
      </c>
      <c r="M5047">
        <v>51.65</v>
      </c>
      <c r="N5047" t="s">
        <v>10236</v>
      </c>
    </row>
    <row r="5048" spans="1:14">
      <c r="A5048" t="s">
        <v>25</v>
      </c>
      <c r="B5048" t="s">
        <v>5160</v>
      </c>
      <c r="C5048">
        <f>"ZVP1071"</f>
        <v>0</v>
      </c>
      <c r="D5048">
        <v>0</v>
      </c>
      <c r="E5048">
        <v>0</v>
      </c>
      <c r="F5048" s="2">
        <v>0</v>
      </c>
      <c r="H5048">
        <v>0</v>
      </c>
      <c r="I5048">
        <v>0.1741125760648204</v>
      </c>
      <c r="J5048">
        <v>0</v>
      </c>
      <c r="K5048">
        <v>0</v>
      </c>
      <c r="L5048" s="2">
        <v>0</v>
      </c>
      <c r="M5048">
        <v>51.66</v>
      </c>
      <c r="N5048" t="s">
        <v>10236</v>
      </c>
    </row>
    <row r="5049" spans="1:14">
      <c r="A5049" t="s">
        <v>35</v>
      </c>
      <c r="B5049" t="s">
        <v>5161</v>
      </c>
      <c r="C5049">
        <f>"LV09092TPWL"</f>
        <v>0</v>
      </c>
      <c r="D5049">
        <v>0</v>
      </c>
      <c r="E5049">
        <v>0</v>
      </c>
      <c r="F5049" s="2">
        <v>0</v>
      </c>
      <c r="H5049">
        <v>0</v>
      </c>
      <c r="I5049">
        <v>0.1741125760648204</v>
      </c>
      <c r="J5049">
        <v>0</v>
      </c>
      <c r="K5049">
        <v>0</v>
      </c>
      <c r="L5049" s="2">
        <v>0</v>
      </c>
      <c r="M5049">
        <v>51.67</v>
      </c>
      <c r="N5049" t="s">
        <v>10236</v>
      </c>
    </row>
    <row r="5050" spans="1:14">
      <c r="A5050" t="s">
        <v>35</v>
      </c>
      <c r="B5050" t="s">
        <v>5162</v>
      </c>
      <c r="C5050">
        <f>"LV09092TPXL"</f>
        <v>0</v>
      </c>
      <c r="D5050">
        <v>0</v>
      </c>
      <c r="E5050">
        <v>4</v>
      </c>
      <c r="F5050" s="2">
        <v>4</v>
      </c>
      <c r="H5050">
        <v>0</v>
      </c>
      <c r="I5050">
        <v>0.1741125760648204</v>
      </c>
      <c r="J5050">
        <v>0</v>
      </c>
      <c r="K5050">
        <v>0</v>
      </c>
      <c r="L5050" s="2">
        <v>0</v>
      </c>
      <c r="M5050">
        <v>51.68</v>
      </c>
      <c r="N5050" t="s">
        <v>10236</v>
      </c>
    </row>
    <row r="5051" spans="1:14">
      <c r="A5051" t="s">
        <v>35</v>
      </c>
      <c r="B5051" t="s">
        <v>5163</v>
      </c>
      <c r="C5051">
        <f>"LV09092TPS"</f>
        <v>0</v>
      </c>
      <c r="D5051">
        <v>0</v>
      </c>
      <c r="E5051">
        <v>6</v>
      </c>
      <c r="F5051" s="2">
        <v>4</v>
      </c>
      <c r="H5051">
        <v>0</v>
      </c>
      <c r="I5051">
        <v>0.1741125760648204</v>
      </c>
      <c r="J5051">
        <v>0</v>
      </c>
      <c r="K5051">
        <v>0</v>
      </c>
      <c r="L5051" s="2">
        <v>0</v>
      </c>
      <c r="M5051">
        <v>51.69</v>
      </c>
      <c r="N5051" t="s">
        <v>10236</v>
      </c>
    </row>
    <row r="5052" spans="1:14">
      <c r="A5052" t="s">
        <v>35</v>
      </c>
      <c r="B5052" t="s">
        <v>5164</v>
      </c>
      <c r="C5052">
        <f>"LV09092TPM"</f>
        <v>0</v>
      </c>
      <c r="D5052">
        <v>0</v>
      </c>
      <c r="E5052">
        <v>17</v>
      </c>
      <c r="F5052" s="2">
        <v>4</v>
      </c>
      <c r="H5052">
        <v>0</v>
      </c>
      <c r="I5052">
        <v>0.1741125760648204</v>
      </c>
      <c r="J5052">
        <v>0</v>
      </c>
      <c r="K5052">
        <v>0</v>
      </c>
      <c r="L5052" s="2">
        <v>0</v>
      </c>
      <c r="M5052">
        <v>51.7</v>
      </c>
      <c r="N5052" t="s">
        <v>10236</v>
      </c>
    </row>
    <row r="5053" spans="1:14">
      <c r="A5053" t="s">
        <v>35</v>
      </c>
      <c r="B5053" t="s">
        <v>5165</v>
      </c>
      <c r="C5053">
        <f>"LV09092TPL"</f>
        <v>0</v>
      </c>
      <c r="D5053">
        <v>0</v>
      </c>
      <c r="E5053">
        <v>8</v>
      </c>
      <c r="F5053" s="2">
        <v>4</v>
      </c>
      <c r="H5053">
        <v>0</v>
      </c>
      <c r="I5053">
        <v>0.1741125760648204</v>
      </c>
      <c r="J5053">
        <v>0</v>
      </c>
      <c r="K5053">
        <v>0</v>
      </c>
      <c r="L5053" s="2">
        <v>0</v>
      </c>
      <c r="M5053">
        <v>51.71</v>
      </c>
      <c r="N5053" t="s">
        <v>10236</v>
      </c>
    </row>
    <row r="5054" spans="1:14">
      <c r="A5054" t="s">
        <v>35</v>
      </c>
      <c r="B5054" t="s">
        <v>5166</v>
      </c>
      <c r="C5054">
        <f>"LV09092TBXL"</f>
        <v>0</v>
      </c>
      <c r="D5054">
        <v>0</v>
      </c>
      <c r="E5054">
        <v>7</v>
      </c>
      <c r="F5054" s="2">
        <v>4</v>
      </c>
      <c r="H5054">
        <v>0</v>
      </c>
      <c r="I5054">
        <v>0.1741125760648204</v>
      </c>
      <c r="J5054">
        <v>0</v>
      </c>
      <c r="K5054">
        <v>0</v>
      </c>
      <c r="L5054" s="2">
        <v>0</v>
      </c>
      <c r="M5054">
        <v>51.72</v>
      </c>
      <c r="N5054" t="s">
        <v>10236</v>
      </c>
    </row>
    <row r="5055" spans="1:14">
      <c r="A5055" t="s">
        <v>35</v>
      </c>
      <c r="B5055" t="s">
        <v>5167</v>
      </c>
      <c r="C5055">
        <f>"LV09092TBS"</f>
        <v>0</v>
      </c>
      <c r="D5055">
        <v>0</v>
      </c>
      <c r="E5055">
        <v>0</v>
      </c>
      <c r="F5055" s="2">
        <v>0</v>
      </c>
      <c r="H5055">
        <v>0</v>
      </c>
      <c r="I5055">
        <v>0.1741125760648204</v>
      </c>
      <c r="J5055">
        <v>0</v>
      </c>
      <c r="K5055">
        <v>0</v>
      </c>
      <c r="L5055" s="2">
        <v>0</v>
      </c>
      <c r="M5055">
        <v>51.72</v>
      </c>
      <c r="N5055" t="s">
        <v>10236</v>
      </c>
    </row>
    <row r="5056" spans="1:14">
      <c r="A5056" t="s">
        <v>35</v>
      </c>
      <c r="B5056" t="s">
        <v>5168</v>
      </c>
      <c r="C5056">
        <f>"LV09092TBM"</f>
        <v>0</v>
      </c>
      <c r="D5056">
        <v>0</v>
      </c>
      <c r="E5056">
        <v>0</v>
      </c>
      <c r="F5056" s="2">
        <v>0</v>
      </c>
      <c r="H5056">
        <v>0</v>
      </c>
      <c r="I5056">
        <v>0.1741125760648204</v>
      </c>
      <c r="J5056">
        <v>0</v>
      </c>
      <c r="K5056">
        <v>0</v>
      </c>
      <c r="L5056" s="2">
        <v>0</v>
      </c>
      <c r="M5056">
        <v>51.73</v>
      </c>
      <c r="N5056" t="s">
        <v>10236</v>
      </c>
    </row>
    <row r="5057" spans="1:14">
      <c r="A5057" t="s">
        <v>35</v>
      </c>
      <c r="B5057" t="s">
        <v>5169</v>
      </c>
      <c r="C5057">
        <f>"LV09092TBL"</f>
        <v>0</v>
      </c>
      <c r="D5057">
        <v>0</v>
      </c>
      <c r="E5057">
        <v>0</v>
      </c>
      <c r="F5057" s="2">
        <v>0</v>
      </c>
      <c r="H5057">
        <v>0</v>
      </c>
      <c r="I5057">
        <v>0.1741125760648204</v>
      </c>
      <c r="J5057">
        <v>0</v>
      </c>
      <c r="K5057">
        <v>0</v>
      </c>
      <c r="L5057" s="2">
        <v>0</v>
      </c>
      <c r="M5057">
        <v>51.74</v>
      </c>
      <c r="N5057" t="s">
        <v>10236</v>
      </c>
    </row>
    <row r="5058" spans="1:14">
      <c r="A5058" t="s">
        <v>35</v>
      </c>
      <c r="B5058" t="s">
        <v>5170</v>
      </c>
      <c r="C5058">
        <f>"1837PXXS"</f>
        <v>0</v>
      </c>
      <c r="D5058">
        <v>0</v>
      </c>
      <c r="E5058">
        <v>0</v>
      </c>
      <c r="F5058" s="2">
        <v>0</v>
      </c>
      <c r="H5058">
        <v>0</v>
      </c>
      <c r="I5058">
        <v>0.1741125760648204</v>
      </c>
      <c r="J5058">
        <v>0</v>
      </c>
      <c r="K5058">
        <v>0</v>
      </c>
      <c r="L5058" s="2">
        <v>0</v>
      </c>
      <c r="M5058">
        <v>51.75</v>
      </c>
      <c r="N5058" t="s">
        <v>10236</v>
      </c>
    </row>
    <row r="5059" spans="1:14">
      <c r="A5059" t="s">
        <v>35</v>
      </c>
      <c r="B5059" t="s">
        <v>5171</v>
      </c>
      <c r="C5059">
        <f>"1837PXS"</f>
        <v>0</v>
      </c>
      <c r="D5059">
        <v>0</v>
      </c>
      <c r="E5059">
        <v>0</v>
      </c>
      <c r="F5059" s="2">
        <v>0</v>
      </c>
      <c r="H5059">
        <v>0</v>
      </c>
      <c r="I5059">
        <v>0.1741125760648204</v>
      </c>
      <c r="J5059">
        <v>0</v>
      </c>
      <c r="K5059">
        <v>0</v>
      </c>
      <c r="L5059" s="2">
        <v>0</v>
      </c>
      <c r="M5059">
        <v>51.76</v>
      </c>
      <c r="N5059" t="s">
        <v>10236</v>
      </c>
    </row>
    <row r="5060" spans="1:14">
      <c r="A5060" t="s">
        <v>35</v>
      </c>
      <c r="B5060" t="s">
        <v>5172</v>
      </c>
      <c r="C5060">
        <f>"1837PS"</f>
        <v>0</v>
      </c>
      <c r="D5060">
        <v>0</v>
      </c>
      <c r="E5060">
        <v>0</v>
      </c>
      <c r="F5060" s="2">
        <v>0</v>
      </c>
      <c r="H5060">
        <v>0</v>
      </c>
      <c r="I5060">
        <v>0.1741125760648204</v>
      </c>
      <c r="J5060">
        <v>0</v>
      </c>
      <c r="K5060">
        <v>0</v>
      </c>
      <c r="L5060" s="2">
        <v>0</v>
      </c>
      <c r="M5060">
        <v>51.77</v>
      </c>
      <c r="N5060" t="s">
        <v>10236</v>
      </c>
    </row>
    <row r="5061" spans="1:14">
      <c r="A5061" t="s">
        <v>35</v>
      </c>
      <c r="B5061" t="s">
        <v>5173</v>
      </c>
      <c r="C5061">
        <f>"1837PM"</f>
        <v>0</v>
      </c>
      <c r="D5061">
        <v>0</v>
      </c>
      <c r="E5061">
        <v>0</v>
      </c>
      <c r="F5061" s="2">
        <v>0</v>
      </c>
      <c r="H5061">
        <v>0</v>
      </c>
      <c r="I5061">
        <v>0.1741125760648204</v>
      </c>
      <c r="J5061">
        <v>0</v>
      </c>
      <c r="K5061">
        <v>0</v>
      </c>
      <c r="L5061" s="2">
        <v>0</v>
      </c>
      <c r="M5061">
        <v>51.78</v>
      </c>
      <c r="N5061" t="s">
        <v>10236</v>
      </c>
    </row>
    <row r="5062" spans="1:14">
      <c r="A5062" t="s">
        <v>35</v>
      </c>
      <c r="B5062" t="s">
        <v>5174</v>
      </c>
      <c r="C5062">
        <f>"1837PL"</f>
        <v>0</v>
      </c>
      <c r="D5062">
        <v>0</v>
      </c>
      <c r="E5062">
        <v>1</v>
      </c>
      <c r="F5062" s="2">
        <v>4</v>
      </c>
      <c r="H5062">
        <v>0</v>
      </c>
      <c r="I5062">
        <v>0.1741125760648204</v>
      </c>
      <c r="J5062">
        <v>0</v>
      </c>
      <c r="K5062">
        <v>0</v>
      </c>
      <c r="L5062" s="2">
        <v>0</v>
      </c>
      <c r="M5062">
        <v>51.79</v>
      </c>
      <c r="N5062" t="s">
        <v>10236</v>
      </c>
    </row>
    <row r="5063" spans="1:14">
      <c r="A5063" t="s">
        <v>35</v>
      </c>
      <c r="B5063" t="s">
        <v>5175</v>
      </c>
      <c r="C5063">
        <f>"1837XXSL"</f>
        <v>0</v>
      </c>
      <c r="D5063">
        <v>0</v>
      </c>
      <c r="E5063">
        <v>0</v>
      </c>
      <c r="F5063" s="2">
        <v>0</v>
      </c>
      <c r="H5063">
        <v>0</v>
      </c>
      <c r="I5063">
        <v>0.1741125760648204</v>
      </c>
      <c r="J5063">
        <v>0</v>
      </c>
      <c r="K5063">
        <v>0</v>
      </c>
      <c r="L5063" s="2">
        <v>0</v>
      </c>
      <c r="M5063">
        <v>51.8</v>
      </c>
      <c r="N5063" t="s">
        <v>10236</v>
      </c>
    </row>
    <row r="5064" spans="1:14">
      <c r="A5064" t="s">
        <v>35</v>
      </c>
      <c r="B5064" t="s">
        <v>5176</v>
      </c>
      <c r="C5064">
        <f>"LV09092TPWM"</f>
        <v>0</v>
      </c>
      <c r="D5064">
        <v>0</v>
      </c>
      <c r="E5064">
        <v>0</v>
      </c>
      <c r="F5064" s="2">
        <v>0</v>
      </c>
      <c r="H5064">
        <v>0</v>
      </c>
      <c r="I5064">
        <v>0.1741125760648204</v>
      </c>
      <c r="J5064">
        <v>0</v>
      </c>
      <c r="K5064">
        <v>0</v>
      </c>
      <c r="L5064" s="2">
        <v>0</v>
      </c>
      <c r="M5064">
        <v>51.81</v>
      </c>
      <c r="N5064" t="s">
        <v>10236</v>
      </c>
    </row>
    <row r="5065" spans="1:14">
      <c r="A5065" t="s">
        <v>25</v>
      </c>
      <c r="B5065" t="s">
        <v>5177</v>
      </c>
      <c r="C5065">
        <f>"ZVP1068"</f>
        <v>0</v>
      </c>
      <c r="D5065">
        <v>0</v>
      </c>
      <c r="E5065">
        <v>0</v>
      </c>
      <c r="F5065" s="2">
        <v>0</v>
      </c>
      <c r="H5065">
        <v>0</v>
      </c>
      <c r="I5065">
        <v>0.1741125760648204</v>
      </c>
      <c r="J5065">
        <v>0</v>
      </c>
      <c r="K5065">
        <v>0</v>
      </c>
      <c r="L5065" s="2">
        <v>0</v>
      </c>
      <c r="M5065">
        <v>51.82</v>
      </c>
      <c r="N5065" t="s">
        <v>10236</v>
      </c>
    </row>
    <row r="5066" spans="1:14">
      <c r="A5066" t="s">
        <v>218</v>
      </c>
      <c r="B5066" t="s">
        <v>5178</v>
      </c>
      <c r="C5066">
        <f>"1012843"</f>
        <v>0</v>
      </c>
      <c r="D5066">
        <v>0</v>
      </c>
      <c r="E5066">
        <v>0</v>
      </c>
      <c r="F5066" s="2">
        <v>0</v>
      </c>
      <c r="H5066">
        <v>0</v>
      </c>
      <c r="I5066">
        <v>0.1741125760648204</v>
      </c>
      <c r="J5066">
        <v>0</v>
      </c>
      <c r="K5066">
        <v>0</v>
      </c>
      <c r="L5066" s="2">
        <v>0</v>
      </c>
      <c r="M5066">
        <v>51.83</v>
      </c>
      <c r="N5066" t="s">
        <v>10236</v>
      </c>
    </row>
    <row r="5067" spans="1:14">
      <c r="A5067" t="s">
        <v>29</v>
      </c>
      <c r="B5067" t="s">
        <v>5179</v>
      </c>
      <c r="C5067">
        <f>"BTX"</f>
        <v>0</v>
      </c>
      <c r="D5067">
        <v>0</v>
      </c>
      <c r="E5067">
        <v>92</v>
      </c>
      <c r="F5067" s="2">
        <v>0</v>
      </c>
      <c r="H5067">
        <v>0</v>
      </c>
      <c r="I5067">
        <v>0.1741125760648204</v>
      </c>
      <c r="J5067">
        <v>0</v>
      </c>
      <c r="K5067">
        <v>0</v>
      </c>
      <c r="L5067" s="2">
        <v>0</v>
      </c>
      <c r="M5067">
        <v>51.83</v>
      </c>
      <c r="N5067" t="s">
        <v>10236</v>
      </c>
    </row>
    <row r="5068" spans="1:14">
      <c r="A5068" t="s">
        <v>25</v>
      </c>
      <c r="B5068" t="s">
        <v>5180</v>
      </c>
      <c r="C5068">
        <f>"AYCS069"</f>
        <v>0</v>
      </c>
      <c r="D5068">
        <v>0</v>
      </c>
      <c r="E5068">
        <v>0</v>
      </c>
      <c r="F5068" s="2">
        <v>0</v>
      </c>
      <c r="H5068">
        <v>0</v>
      </c>
      <c r="I5068">
        <v>0.1741125760648204</v>
      </c>
      <c r="J5068">
        <v>0</v>
      </c>
      <c r="K5068">
        <v>0</v>
      </c>
      <c r="L5068" s="2">
        <v>0</v>
      </c>
      <c r="M5068">
        <v>51.84</v>
      </c>
      <c r="N5068" t="s">
        <v>10236</v>
      </c>
    </row>
    <row r="5069" spans="1:14">
      <c r="A5069" t="s">
        <v>25</v>
      </c>
      <c r="B5069" t="s">
        <v>5181</v>
      </c>
      <c r="C5069">
        <f>"AYCS205"</f>
        <v>0</v>
      </c>
      <c r="D5069">
        <v>0</v>
      </c>
      <c r="E5069">
        <v>0</v>
      </c>
      <c r="F5069" s="2">
        <v>0</v>
      </c>
      <c r="H5069">
        <v>0</v>
      </c>
      <c r="I5069">
        <v>0.1741125760648204</v>
      </c>
      <c r="J5069">
        <v>0</v>
      </c>
      <c r="K5069">
        <v>0</v>
      </c>
      <c r="L5069" s="2">
        <v>0</v>
      </c>
      <c r="M5069">
        <v>51.85</v>
      </c>
      <c r="N5069" t="s">
        <v>10236</v>
      </c>
    </row>
    <row r="5070" spans="1:14">
      <c r="A5070" t="s">
        <v>25</v>
      </c>
      <c r="B5070" t="s">
        <v>5182</v>
      </c>
      <c r="C5070">
        <f>"s228"</f>
        <v>0</v>
      </c>
      <c r="D5070">
        <v>0</v>
      </c>
      <c r="E5070">
        <v>1</v>
      </c>
      <c r="F5070" s="2">
        <v>1</v>
      </c>
      <c r="H5070">
        <v>0</v>
      </c>
      <c r="I5070">
        <v>0.1741125760648204</v>
      </c>
      <c r="J5070">
        <v>0</v>
      </c>
      <c r="K5070">
        <v>0</v>
      </c>
      <c r="L5070" s="2">
        <v>0</v>
      </c>
      <c r="M5070">
        <v>51.86</v>
      </c>
      <c r="N5070" t="s">
        <v>10236</v>
      </c>
    </row>
    <row r="5071" spans="1:14">
      <c r="A5071" t="s">
        <v>35</v>
      </c>
      <c r="B5071" t="s">
        <v>5183</v>
      </c>
      <c r="C5071">
        <f>"1840LSB"</f>
        <v>0</v>
      </c>
      <c r="D5071">
        <v>0</v>
      </c>
      <c r="E5071">
        <v>9</v>
      </c>
      <c r="F5071" s="2">
        <v>0</v>
      </c>
      <c r="H5071">
        <v>0</v>
      </c>
      <c r="I5071">
        <v>0.1741125760648204</v>
      </c>
      <c r="J5071">
        <v>0</v>
      </c>
      <c r="K5071">
        <v>0</v>
      </c>
      <c r="L5071" s="2">
        <v>0</v>
      </c>
      <c r="M5071">
        <v>51.87</v>
      </c>
      <c r="N5071" t="s">
        <v>10236</v>
      </c>
    </row>
    <row r="5072" spans="1:14">
      <c r="A5072" t="s">
        <v>35</v>
      </c>
      <c r="B5072" t="s">
        <v>5184</v>
      </c>
      <c r="C5072">
        <f>"1840LSG"</f>
        <v>0</v>
      </c>
      <c r="D5072">
        <v>0</v>
      </c>
      <c r="E5072">
        <v>8</v>
      </c>
      <c r="F5072" s="2">
        <v>0</v>
      </c>
      <c r="H5072">
        <v>0</v>
      </c>
      <c r="I5072">
        <v>0.1741125760648204</v>
      </c>
      <c r="J5072">
        <v>0</v>
      </c>
      <c r="K5072">
        <v>0</v>
      </c>
      <c r="L5072" s="2">
        <v>0</v>
      </c>
      <c r="M5072">
        <v>51.88</v>
      </c>
      <c r="N5072" t="s">
        <v>10236</v>
      </c>
    </row>
    <row r="5073" spans="1:14">
      <c r="A5073" t="s">
        <v>35</v>
      </c>
      <c r="B5073" t="s">
        <v>5185</v>
      </c>
      <c r="C5073">
        <f>"1840LMG"</f>
        <v>0</v>
      </c>
      <c r="D5073">
        <v>0</v>
      </c>
      <c r="E5073">
        <v>4</v>
      </c>
      <c r="F5073" s="2">
        <v>0</v>
      </c>
      <c r="H5073">
        <v>0</v>
      </c>
      <c r="I5073">
        <v>0.1741125760648204</v>
      </c>
      <c r="J5073">
        <v>0</v>
      </c>
      <c r="K5073">
        <v>0</v>
      </c>
      <c r="L5073" s="2">
        <v>0</v>
      </c>
      <c r="M5073">
        <v>51.89</v>
      </c>
      <c r="N5073" t="s">
        <v>10236</v>
      </c>
    </row>
    <row r="5074" spans="1:14">
      <c r="A5074" t="s">
        <v>35</v>
      </c>
      <c r="B5074" t="s">
        <v>5186</v>
      </c>
      <c r="C5074">
        <f>"1840LSR"</f>
        <v>0</v>
      </c>
      <c r="D5074">
        <v>0</v>
      </c>
      <c r="E5074">
        <v>7</v>
      </c>
      <c r="F5074" s="2">
        <v>0</v>
      </c>
      <c r="H5074">
        <v>0</v>
      </c>
      <c r="I5074">
        <v>0.1741125760648204</v>
      </c>
      <c r="J5074">
        <v>0</v>
      </c>
      <c r="K5074">
        <v>0</v>
      </c>
      <c r="L5074" s="2">
        <v>0</v>
      </c>
      <c r="M5074">
        <v>51.9</v>
      </c>
      <c r="N5074" t="s">
        <v>10236</v>
      </c>
    </row>
    <row r="5075" spans="1:14">
      <c r="A5075" t="s">
        <v>35</v>
      </c>
      <c r="B5075" t="s">
        <v>5187</v>
      </c>
      <c r="C5075">
        <f>"1840LMR"</f>
        <v>0</v>
      </c>
      <c r="D5075">
        <v>0</v>
      </c>
      <c r="E5075">
        <v>2</v>
      </c>
      <c r="F5075" s="2">
        <v>0</v>
      </c>
      <c r="H5075">
        <v>0</v>
      </c>
      <c r="I5075">
        <v>0.1741125760648204</v>
      </c>
      <c r="J5075">
        <v>0</v>
      </c>
      <c r="K5075">
        <v>0</v>
      </c>
      <c r="L5075" s="2">
        <v>0</v>
      </c>
      <c r="M5075">
        <v>51.91</v>
      </c>
      <c r="N5075" t="s">
        <v>10236</v>
      </c>
    </row>
    <row r="5076" spans="1:14">
      <c r="A5076" t="s">
        <v>35</v>
      </c>
      <c r="B5076" t="s">
        <v>5188</v>
      </c>
      <c r="C5076">
        <f>"1840LLR"</f>
        <v>0</v>
      </c>
      <c r="D5076">
        <v>0</v>
      </c>
      <c r="E5076">
        <v>4</v>
      </c>
      <c r="F5076" s="2">
        <v>0</v>
      </c>
      <c r="H5076">
        <v>0</v>
      </c>
      <c r="I5076">
        <v>0.1741125760648204</v>
      </c>
      <c r="J5076">
        <v>0</v>
      </c>
      <c r="K5076">
        <v>0</v>
      </c>
      <c r="L5076" s="2">
        <v>0</v>
      </c>
      <c r="M5076">
        <v>51.92</v>
      </c>
      <c r="N5076" t="s">
        <v>10236</v>
      </c>
    </row>
    <row r="5077" spans="1:14">
      <c r="A5077" t="s">
        <v>35</v>
      </c>
      <c r="B5077" t="s">
        <v>5189</v>
      </c>
      <c r="C5077">
        <f>"1840AM"</f>
        <v>0</v>
      </c>
      <c r="D5077">
        <v>0</v>
      </c>
      <c r="E5077">
        <v>0</v>
      </c>
      <c r="F5077" s="2">
        <v>0</v>
      </c>
      <c r="H5077">
        <v>0</v>
      </c>
      <c r="I5077">
        <v>0.1741125760648204</v>
      </c>
      <c r="J5077">
        <v>0</v>
      </c>
      <c r="K5077">
        <v>0</v>
      </c>
      <c r="L5077" s="2">
        <v>0</v>
      </c>
      <c r="M5077">
        <v>51.93</v>
      </c>
      <c r="N5077" t="s">
        <v>10236</v>
      </c>
    </row>
    <row r="5078" spans="1:14">
      <c r="A5078" t="s">
        <v>35</v>
      </c>
      <c r="B5078" t="s">
        <v>5190</v>
      </c>
      <c r="C5078">
        <f>"1812LSSILVER"</f>
        <v>0</v>
      </c>
      <c r="D5078">
        <v>0</v>
      </c>
      <c r="E5078">
        <v>4</v>
      </c>
      <c r="F5078" s="2">
        <v>2</v>
      </c>
      <c r="H5078">
        <v>0</v>
      </c>
      <c r="I5078">
        <v>0.1741125760648204</v>
      </c>
      <c r="J5078">
        <v>0</v>
      </c>
      <c r="K5078">
        <v>0</v>
      </c>
      <c r="L5078" s="2">
        <v>0</v>
      </c>
      <c r="M5078">
        <v>51.94</v>
      </c>
      <c r="N5078" t="s">
        <v>10236</v>
      </c>
    </row>
    <row r="5079" spans="1:14">
      <c r="A5079" t="s">
        <v>35</v>
      </c>
      <c r="B5079" t="s">
        <v>5191</v>
      </c>
      <c r="C5079">
        <f>"1840CSR"</f>
        <v>0</v>
      </c>
      <c r="D5079">
        <v>0</v>
      </c>
      <c r="E5079">
        <v>8</v>
      </c>
      <c r="F5079" s="2">
        <v>0</v>
      </c>
      <c r="H5079">
        <v>0</v>
      </c>
      <c r="I5079">
        <v>0.1741125760648204</v>
      </c>
      <c r="J5079">
        <v>0</v>
      </c>
      <c r="K5079">
        <v>0</v>
      </c>
      <c r="L5079" s="2">
        <v>0</v>
      </c>
      <c r="M5079">
        <v>51.95</v>
      </c>
      <c r="N5079" t="s">
        <v>10236</v>
      </c>
    </row>
    <row r="5080" spans="1:14">
      <c r="A5080" t="s">
        <v>35</v>
      </c>
      <c r="B5080" t="s">
        <v>5192</v>
      </c>
      <c r="C5080">
        <f>"1812LLSILVER"</f>
        <v>0</v>
      </c>
      <c r="D5080">
        <v>0</v>
      </c>
      <c r="E5080">
        <v>0</v>
      </c>
      <c r="F5080" s="2">
        <v>0</v>
      </c>
      <c r="H5080">
        <v>0</v>
      </c>
      <c r="I5080">
        <v>0.1741125760648204</v>
      </c>
      <c r="J5080">
        <v>0</v>
      </c>
      <c r="K5080">
        <v>0</v>
      </c>
      <c r="L5080" s="2">
        <v>0</v>
      </c>
      <c r="M5080">
        <v>51.95</v>
      </c>
      <c r="N5080" t="s">
        <v>10236</v>
      </c>
    </row>
    <row r="5081" spans="1:14">
      <c r="A5081" t="s">
        <v>35</v>
      </c>
      <c r="B5081" t="s">
        <v>5193</v>
      </c>
      <c r="C5081">
        <f>"1812LSRED"</f>
        <v>0</v>
      </c>
      <c r="D5081">
        <v>0</v>
      </c>
      <c r="E5081">
        <v>3</v>
      </c>
      <c r="F5081" s="2">
        <v>3</v>
      </c>
      <c r="H5081">
        <v>0</v>
      </c>
      <c r="I5081">
        <v>0.1741125760648204</v>
      </c>
      <c r="J5081">
        <v>0</v>
      </c>
      <c r="K5081">
        <v>0</v>
      </c>
      <c r="L5081" s="2">
        <v>0</v>
      </c>
      <c r="M5081">
        <v>51.96</v>
      </c>
      <c r="N5081" t="s">
        <v>10236</v>
      </c>
    </row>
    <row r="5082" spans="1:14">
      <c r="A5082" t="s">
        <v>35</v>
      </c>
      <c r="B5082" t="s">
        <v>5194</v>
      </c>
      <c r="C5082">
        <f>"1812LMRED"</f>
        <v>0</v>
      </c>
      <c r="D5082">
        <v>0</v>
      </c>
      <c r="E5082">
        <v>5</v>
      </c>
      <c r="F5082" s="2">
        <v>1</v>
      </c>
      <c r="H5082">
        <v>0</v>
      </c>
      <c r="I5082">
        <v>0.1741125760648204</v>
      </c>
      <c r="J5082">
        <v>0</v>
      </c>
      <c r="K5082">
        <v>0</v>
      </c>
      <c r="L5082" s="2">
        <v>0</v>
      </c>
      <c r="M5082">
        <v>51.97</v>
      </c>
      <c r="N5082" t="s">
        <v>10236</v>
      </c>
    </row>
    <row r="5083" spans="1:14">
      <c r="A5083" t="s">
        <v>35</v>
      </c>
      <c r="B5083" t="s">
        <v>5195</v>
      </c>
      <c r="C5083">
        <f>"1812LLRED"</f>
        <v>0</v>
      </c>
      <c r="D5083">
        <v>0</v>
      </c>
      <c r="E5083">
        <v>2</v>
      </c>
      <c r="F5083" s="2">
        <v>4</v>
      </c>
      <c r="H5083">
        <v>0</v>
      </c>
      <c r="I5083">
        <v>0.1741125760648204</v>
      </c>
      <c r="J5083">
        <v>0</v>
      </c>
      <c r="K5083">
        <v>0</v>
      </c>
      <c r="L5083" s="2">
        <v>0</v>
      </c>
      <c r="M5083">
        <v>51.98</v>
      </c>
      <c r="N5083" t="s">
        <v>10236</v>
      </c>
    </row>
    <row r="5084" spans="1:14">
      <c r="A5084" t="s">
        <v>35</v>
      </c>
      <c r="B5084" t="s">
        <v>5196</v>
      </c>
      <c r="C5084">
        <f>"1812LSBLUE"</f>
        <v>0</v>
      </c>
      <c r="D5084">
        <v>0</v>
      </c>
      <c r="E5084">
        <v>10</v>
      </c>
      <c r="F5084" s="2">
        <v>3</v>
      </c>
      <c r="H5084">
        <v>0</v>
      </c>
      <c r="I5084">
        <v>0.1741125760648204</v>
      </c>
      <c r="J5084">
        <v>0</v>
      </c>
      <c r="K5084">
        <v>0</v>
      </c>
      <c r="L5084" s="2">
        <v>0</v>
      </c>
      <c r="M5084">
        <v>51.99</v>
      </c>
      <c r="N5084" t="s">
        <v>10236</v>
      </c>
    </row>
    <row r="5085" spans="1:14">
      <c r="A5085" t="s">
        <v>35</v>
      </c>
      <c r="B5085" t="s">
        <v>5197</v>
      </c>
      <c r="C5085">
        <f>"1812LMBLUE"</f>
        <v>0</v>
      </c>
      <c r="D5085">
        <v>0</v>
      </c>
      <c r="E5085">
        <v>2</v>
      </c>
      <c r="F5085" s="2">
        <v>4</v>
      </c>
      <c r="H5085">
        <v>0</v>
      </c>
      <c r="I5085">
        <v>0.1741125760648204</v>
      </c>
      <c r="J5085">
        <v>0</v>
      </c>
      <c r="K5085">
        <v>0</v>
      </c>
      <c r="L5085" s="2">
        <v>0</v>
      </c>
      <c r="M5085">
        <v>52</v>
      </c>
      <c r="N5085" t="s">
        <v>10236</v>
      </c>
    </row>
    <row r="5086" spans="1:14">
      <c r="A5086" t="s">
        <v>35</v>
      </c>
      <c r="B5086" t="s">
        <v>5198</v>
      </c>
      <c r="C5086">
        <f>"1812LLBLUE"</f>
        <v>0</v>
      </c>
      <c r="D5086">
        <v>0</v>
      </c>
      <c r="E5086">
        <v>3</v>
      </c>
      <c r="F5086" s="2">
        <v>4</v>
      </c>
      <c r="H5086">
        <v>0</v>
      </c>
      <c r="I5086">
        <v>0.1741125760648204</v>
      </c>
      <c r="J5086">
        <v>0</v>
      </c>
      <c r="K5086">
        <v>0</v>
      </c>
      <c r="L5086" s="2">
        <v>0</v>
      </c>
      <c r="M5086">
        <v>52.01</v>
      </c>
      <c r="N5086" t="s">
        <v>10236</v>
      </c>
    </row>
    <row r="5087" spans="1:14">
      <c r="A5087" t="s">
        <v>35</v>
      </c>
      <c r="B5087" t="s">
        <v>5199</v>
      </c>
      <c r="C5087">
        <f>"1840CSB"</f>
        <v>0</v>
      </c>
      <c r="D5087">
        <v>0</v>
      </c>
      <c r="E5087">
        <v>8</v>
      </c>
      <c r="F5087" s="2">
        <v>0</v>
      </c>
      <c r="H5087">
        <v>0</v>
      </c>
      <c r="I5087">
        <v>0.1741125760648204</v>
      </c>
      <c r="J5087">
        <v>0</v>
      </c>
      <c r="K5087">
        <v>0</v>
      </c>
      <c r="L5087" s="2">
        <v>0</v>
      </c>
      <c r="M5087">
        <v>52.02</v>
      </c>
      <c r="N5087" t="s">
        <v>10236</v>
      </c>
    </row>
    <row r="5088" spans="1:14">
      <c r="A5088" t="s">
        <v>35</v>
      </c>
      <c r="B5088" t="s">
        <v>5200</v>
      </c>
      <c r="C5088">
        <f>"1840CMB"</f>
        <v>0</v>
      </c>
      <c r="D5088">
        <v>0</v>
      </c>
      <c r="E5088">
        <v>4</v>
      </c>
      <c r="F5088" s="2">
        <v>0</v>
      </c>
      <c r="H5088">
        <v>0</v>
      </c>
      <c r="I5088">
        <v>0.1741125760648204</v>
      </c>
      <c r="J5088">
        <v>0</v>
      </c>
      <c r="K5088">
        <v>0</v>
      </c>
      <c r="L5088" s="2">
        <v>0</v>
      </c>
      <c r="M5088">
        <v>52.03</v>
      </c>
      <c r="N5088" t="s">
        <v>10236</v>
      </c>
    </row>
    <row r="5089" spans="1:14">
      <c r="A5089" t="s">
        <v>35</v>
      </c>
      <c r="B5089" t="s">
        <v>5201</v>
      </c>
      <c r="C5089">
        <f>"1840CLB"</f>
        <v>0</v>
      </c>
      <c r="D5089">
        <v>0</v>
      </c>
      <c r="E5089">
        <v>2</v>
      </c>
      <c r="F5089" s="2">
        <v>0</v>
      </c>
      <c r="H5089">
        <v>0</v>
      </c>
      <c r="I5089">
        <v>0.1741125760648204</v>
      </c>
      <c r="J5089">
        <v>0</v>
      </c>
      <c r="K5089">
        <v>0</v>
      </c>
      <c r="L5089" s="2">
        <v>0</v>
      </c>
      <c r="M5089">
        <v>52.04</v>
      </c>
      <c r="N5089" t="s">
        <v>10236</v>
      </c>
    </row>
    <row r="5090" spans="1:14">
      <c r="A5090" t="s">
        <v>35</v>
      </c>
      <c r="B5090" t="s">
        <v>5202</v>
      </c>
      <c r="C5090">
        <f>"1840CXSG"</f>
        <v>0</v>
      </c>
      <c r="D5090">
        <v>0</v>
      </c>
      <c r="E5090">
        <v>8</v>
      </c>
      <c r="F5090" s="2">
        <v>0</v>
      </c>
      <c r="H5090">
        <v>0</v>
      </c>
      <c r="I5090">
        <v>0.1741125760648204</v>
      </c>
      <c r="J5090">
        <v>0</v>
      </c>
      <c r="K5090">
        <v>0</v>
      </c>
      <c r="L5090" s="2">
        <v>0</v>
      </c>
      <c r="M5090">
        <v>52.05</v>
      </c>
      <c r="N5090" t="s">
        <v>10236</v>
      </c>
    </row>
    <row r="5091" spans="1:14">
      <c r="A5091" t="s">
        <v>35</v>
      </c>
      <c r="B5091" t="s">
        <v>5203</v>
      </c>
      <c r="C5091">
        <f>"1840CSG"</f>
        <v>0</v>
      </c>
      <c r="D5091">
        <v>0</v>
      </c>
      <c r="E5091">
        <v>12</v>
      </c>
      <c r="F5091" s="2">
        <v>0</v>
      </c>
      <c r="H5091">
        <v>0</v>
      </c>
      <c r="I5091">
        <v>0.1741125760648204</v>
      </c>
      <c r="J5091">
        <v>0</v>
      </c>
      <c r="K5091">
        <v>0</v>
      </c>
      <c r="L5091" s="2">
        <v>0</v>
      </c>
      <c r="M5091">
        <v>52.06</v>
      </c>
      <c r="N5091" t="s">
        <v>10236</v>
      </c>
    </row>
    <row r="5092" spans="1:14">
      <c r="A5092" t="s">
        <v>35</v>
      </c>
      <c r="B5092" t="s">
        <v>5204</v>
      </c>
      <c r="C5092">
        <f>"1840CMG"</f>
        <v>0</v>
      </c>
      <c r="D5092">
        <v>0</v>
      </c>
      <c r="E5092">
        <v>10</v>
      </c>
      <c r="F5092" s="2">
        <v>0</v>
      </c>
      <c r="H5092">
        <v>0</v>
      </c>
      <c r="I5092">
        <v>0.1741125760648204</v>
      </c>
      <c r="J5092">
        <v>0</v>
      </c>
      <c r="K5092">
        <v>0</v>
      </c>
      <c r="L5092" s="2">
        <v>0</v>
      </c>
      <c r="M5092">
        <v>52.07</v>
      </c>
      <c r="N5092" t="s">
        <v>10236</v>
      </c>
    </row>
    <row r="5093" spans="1:14">
      <c r="A5093" t="s">
        <v>35</v>
      </c>
      <c r="B5093" t="s">
        <v>5205</v>
      </c>
      <c r="C5093">
        <f>"1840CLG"</f>
        <v>0</v>
      </c>
      <c r="D5093">
        <v>0</v>
      </c>
      <c r="E5093">
        <v>8</v>
      </c>
      <c r="F5093" s="2">
        <v>0</v>
      </c>
      <c r="H5093">
        <v>0</v>
      </c>
      <c r="I5093">
        <v>0.1741125760648204</v>
      </c>
      <c r="J5093">
        <v>0</v>
      </c>
      <c r="K5093">
        <v>0</v>
      </c>
      <c r="L5093" s="2">
        <v>0</v>
      </c>
      <c r="M5093">
        <v>52.07</v>
      </c>
      <c r="N5093" t="s">
        <v>10236</v>
      </c>
    </row>
    <row r="5094" spans="1:14">
      <c r="A5094" t="s">
        <v>35</v>
      </c>
      <c r="B5094" t="s">
        <v>5206</v>
      </c>
      <c r="C5094">
        <f>"1840CXSR"</f>
        <v>0</v>
      </c>
      <c r="D5094">
        <v>0</v>
      </c>
      <c r="E5094">
        <v>18</v>
      </c>
      <c r="F5094" s="2">
        <v>0</v>
      </c>
      <c r="H5094">
        <v>0</v>
      </c>
      <c r="I5094">
        <v>0.1741125760648204</v>
      </c>
      <c r="J5094">
        <v>0</v>
      </c>
      <c r="K5094">
        <v>0</v>
      </c>
      <c r="L5094" s="2">
        <v>0</v>
      </c>
      <c r="M5094">
        <v>52.08</v>
      </c>
      <c r="N5094" t="s">
        <v>10236</v>
      </c>
    </row>
    <row r="5095" spans="1:14">
      <c r="A5095" t="s">
        <v>35</v>
      </c>
      <c r="B5095" t="s">
        <v>5207</v>
      </c>
      <c r="C5095">
        <f>"1812LMSILVER"</f>
        <v>0</v>
      </c>
      <c r="D5095">
        <v>0</v>
      </c>
      <c r="E5095">
        <v>2</v>
      </c>
      <c r="F5095" s="2">
        <v>4</v>
      </c>
      <c r="H5095">
        <v>0</v>
      </c>
      <c r="I5095">
        <v>0.1741125760648204</v>
      </c>
      <c r="J5095">
        <v>0</v>
      </c>
      <c r="K5095">
        <v>0</v>
      </c>
      <c r="L5095" s="2">
        <v>0</v>
      </c>
      <c r="M5095">
        <v>52.09</v>
      </c>
      <c r="N5095" t="s">
        <v>10236</v>
      </c>
    </row>
    <row r="5096" spans="1:14">
      <c r="A5096" t="s">
        <v>35</v>
      </c>
      <c r="B5096" t="s">
        <v>5208</v>
      </c>
      <c r="C5096">
        <f>"WPS008CEL"</f>
        <v>0</v>
      </c>
      <c r="D5096">
        <v>0</v>
      </c>
      <c r="E5096">
        <v>3</v>
      </c>
      <c r="F5096" s="2">
        <v>1</v>
      </c>
      <c r="H5096">
        <v>0</v>
      </c>
      <c r="I5096">
        <v>0.1741125760648204</v>
      </c>
      <c r="J5096">
        <v>0</v>
      </c>
      <c r="K5096">
        <v>0</v>
      </c>
      <c r="L5096" s="2">
        <v>0</v>
      </c>
      <c r="M5096">
        <v>52.1</v>
      </c>
      <c r="N5096" t="s">
        <v>10236</v>
      </c>
    </row>
    <row r="5097" spans="1:14">
      <c r="A5097" t="s">
        <v>35</v>
      </c>
      <c r="B5097" t="s">
        <v>5209</v>
      </c>
      <c r="C5097">
        <f>"WPS008AM"</f>
        <v>0</v>
      </c>
      <c r="D5097">
        <v>0</v>
      </c>
      <c r="E5097">
        <v>1</v>
      </c>
      <c r="F5097" s="2">
        <v>711</v>
      </c>
      <c r="H5097">
        <v>0</v>
      </c>
      <c r="I5097">
        <v>0.1741125760648204</v>
      </c>
      <c r="J5097">
        <v>0</v>
      </c>
      <c r="K5097">
        <v>0</v>
      </c>
      <c r="L5097" s="2">
        <v>0</v>
      </c>
      <c r="M5097">
        <v>52.11</v>
      </c>
      <c r="N5097" t="s">
        <v>10236</v>
      </c>
    </row>
    <row r="5098" spans="1:14">
      <c r="A5098" t="s">
        <v>35</v>
      </c>
      <c r="B5098" t="s">
        <v>5210</v>
      </c>
      <c r="C5098">
        <f>"WPS008"</f>
        <v>0</v>
      </c>
      <c r="D5098">
        <v>0</v>
      </c>
      <c r="E5098">
        <v>0</v>
      </c>
      <c r="F5098" s="2">
        <v>0</v>
      </c>
      <c r="H5098">
        <v>0</v>
      </c>
      <c r="I5098">
        <v>0.1741125760648204</v>
      </c>
      <c r="J5098">
        <v>0</v>
      </c>
      <c r="K5098">
        <v>0</v>
      </c>
      <c r="L5098" s="2">
        <v>0</v>
      </c>
      <c r="M5098">
        <v>52.12</v>
      </c>
      <c r="N5098" t="s">
        <v>10236</v>
      </c>
    </row>
    <row r="5099" spans="1:14">
      <c r="A5099" t="s">
        <v>35</v>
      </c>
      <c r="B5099" t="s">
        <v>5211</v>
      </c>
      <c r="C5099">
        <f>"CT481"</f>
        <v>0</v>
      </c>
      <c r="D5099">
        <v>0</v>
      </c>
      <c r="E5099">
        <v>0</v>
      </c>
      <c r="F5099" s="2">
        <v>0</v>
      </c>
      <c r="H5099">
        <v>0</v>
      </c>
      <c r="I5099">
        <v>0.1741125760648204</v>
      </c>
      <c r="J5099">
        <v>0</v>
      </c>
      <c r="K5099">
        <v>0</v>
      </c>
      <c r="L5099" s="2">
        <v>0</v>
      </c>
      <c r="M5099">
        <v>52.13</v>
      </c>
      <c r="N5099" t="s">
        <v>10236</v>
      </c>
    </row>
    <row r="5100" spans="1:14">
      <c r="A5100" t="s">
        <v>35</v>
      </c>
      <c r="B5100" t="s">
        <v>5212</v>
      </c>
      <c r="C5100">
        <f>"TC2001COR"</f>
        <v>0</v>
      </c>
      <c r="D5100">
        <v>0</v>
      </c>
      <c r="E5100">
        <v>5</v>
      </c>
      <c r="F5100" s="2">
        <v>1</v>
      </c>
      <c r="H5100">
        <v>0</v>
      </c>
      <c r="I5100">
        <v>0.1741125760648204</v>
      </c>
      <c r="J5100">
        <v>0</v>
      </c>
      <c r="K5100">
        <v>0</v>
      </c>
      <c r="L5100" s="2">
        <v>0</v>
      </c>
      <c r="M5100">
        <v>52.14</v>
      </c>
      <c r="N5100" t="s">
        <v>10236</v>
      </c>
    </row>
    <row r="5101" spans="1:14">
      <c r="A5101" t="s">
        <v>35</v>
      </c>
      <c r="B5101" t="s">
        <v>5213</v>
      </c>
      <c r="C5101">
        <f>"CT146"</f>
        <v>0</v>
      </c>
      <c r="D5101">
        <v>0</v>
      </c>
      <c r="E5101">
        <v>5</v>
      </c>
      <c r="F5101" s="2">
        <v>1</v>
      </c>
      <c r="H5101">
        <v>0</v>
      </c>
      <c r="I5101">
        <v>0.1741125760648204</v>
      </c>
      <c r="J5101">
        <v>0</v>
      </c>
      <c r="K5101">
        <v>0</v>
      </c>
      <c r="L5101" s="2">
        <v>0</v>
      </c>
      <c r="M5101">
        <v>52.15</v>
      </c>
      <c r="N5101" t="s">
        <v>10236</v>
      </c>
    </row>
    <row r="5102" spans="1:14">
      <c r="A5102" t="s">
        <v>35</v>
      </c>
      <c r="B5102" t="s">
        <v>5214</v>
      </c>
      <c r="C5102">
        <f>"CT178"</f>
        <v>0</v>
      </c>
      <c r="D5102">
        <v>0</v>
      </c>
      <c r="E5102">
        <v>0</v>
      </c>
      <c r="F5102" s="2">
        <v>0</v>
      </c>
      <c r="H5102">
        <v>0</v>
      </c>
      <c r="I5102">
        <v>0.1741125760648204</v>
      </c>
      <c r="J5102">
        <v>0</v>
      </c>
      <c r="K5102">
        <v>0</v>
      </c>
      <c r="L5102" s="2">
        <v>0</v>
      </c>
      <c r="M5102">
        <v>52.16</v>
      </c>
      <c r="N5102" t="s">
        <v>10236</v>
      </c>
    </row>
    <row r="5103" spans="1:14">
      <c r="A5103" t="s">
        <v>35</v>
      </c>
      <c r="B5103" t="s">
        <v>5215</v>
      </c>
      <c r="C5103">
        <f>"MCW149"</f>
        <v>0</v>
      </c>
      <c r="D5103">
        <v>0</v>
      </c>
      <c r="E5103">
        <v>0</v>
      </c>
      <c r="F5103" s="2">
        <v>0</v>
      </c>
      <c r="H5103">
        <v>0</v>
      </c>
      <c r="I5103">
        <v>0.1741125760648204</v>
      </c>
      <c r="J5103">
        <v>0</v>
      </c>
      <c r="K5103">
        <v>0</v>
      </c>
      <c r="L5103" s="2">
        <v>0</v>
      </c>
      <c r="M5103">
        <v>52.17</v>
      </c>
      <c r="N5103" t="s">
        <v>10236</v>
      </c>
    </row>
    <row r="5104" spans="1:14">
      <c r="A5104" t="s">
        <v>35</v>
      </c>
      <c r="B5104" t="s">
        <v>5216</v>
      </c>
      <c r="C5104">
        <f>"CT1162"</f>
        <v>0</v>
      </c>
      <c r="D5104">
        <v>0</v>
      </c>
      <c r="E5104">
        <v>2</v>
      </c>
      <c r="F5104" s="2">
        <v>1</v>
      </c>
      <c r="H5104">
        <v>0</v>
      </c>
      <c r="I5104">
        <v>0.1741125760648204</v>
      </c>
      <c r="J5104">
        <v>0</v>
      </c>
      <c r="K5104">
        <v>0</v>
      </c>
      <c r="L5104" s="2">
        <v>0</v>
      </c>
      <c r="M5104">
        <v>52.18</v>
      </c>
      <c r="N5104" t="s">
        <v>10236</v>
      </c>
    </row>
    <row r="5105" spans="1:14">
      <c r="A5105" t="s">
        <v>35</v>
      </c>
      <c r="B5105" t="s">
        <v>5217</v>
      </c>
      <c r="C5105">
        <f>"TC0028FU"</f>
        <v>0</v>
      </c>
      <c r="D5105">
        <v>0</v>
      </c>
      <c r="E5105">
        <v>2</v>
      </c>
      <c r="F5105" s="2">
        <v>1</v>
      </c>
      <c r="H5105">
        <v>0</v>
      </c>
      <c r="I5105">
        <v>0.1741125760648204</v>
      </c>
      <c r="J5105">
        <v>0</v>
      </c>
      <c r="K5105">
        <v>0</v>
      </c>
      <c r="L5105" s="2">
        <v>0</v>
      </c>
      <c r="M5105">
        <v>52.19</v>
      </c>
      <c r="N5105" t="s">
        <v>10236</v>
      </c>
    </row>
    <row r="5106" spans="1:14">
      <c r="A5106" t="s">
        <v>35</v>
      </c>
      <c r="B5106" t="s">
        <v>5218</v>
      </c>
      <c r="C5106">
        <f>"TC0028AZ"</f>
        <v>0</v>
      </c>
      <c r="D5106">
        <v>0</v>
      </c>
      <c r="E5106">
        <v>4</v>
      </c>
      <c r="F5106" s="2">
        <v>1</v>
      </c>
      <c r="H5106">
        <v>0</v>
      </c>
      <c r="I5106">
        <v>0.1741125760648204</v>
      </c>
      <c r="J5106">
        <v>0</v>
      </c>
      <c r="K5106">
        <v>0</v>
      </c>
      <c r="L5106" s="2">
        <v>0</v>
      </c>
      <c r="M5106">
        <v>52.19</v>
      </c>
      <c r="N5106" t="s">
        <v>10236</v>
      </c>
    </row>
    <row r="5107" spans="1:14">
      <c r="A5107" t="s">
        <v>35</v>
      </c>
      <c r="B5107" t="s">
        <v>5219</v>
      </c>
      <c r="C5107">
        <f>"CT140VE"</f>
        <v>0</v>
      </c>
      <c r="D5107">
        <v>0</v>
      </c>
      <c r="E5107">
        <v>0</v>
      </c>
      <c r="F5107" s="2">
        <v>0</v>
      </c>
      <c r="H5107">
        <v>0</v>
      </c>
      <c r="I5107">
        <v>0.1741125760648204</v>
      </c>
      <c r="J5107">
        <v>0</v>
      </c>
      <c r="K5107">
        <v>0</v>
      </c>
      <c r="L5107" s="2">
        <v>0</v>
      </c>
      <c r="M5107">
        <v>52.2</v>
      </c>
      <c r="N5107" t="s">
        <v>10236</v>
      </c>
    </row>
    <row r="5108" spans="1:14">
      <c r="A5108" t="s">
        <v>35</v>
      </c>
      <c r="B5108" t="s">
        <v>5220</v>
      </c>
      <c r="C5108">
        <f>"CT140"</f>
        <v>0</v>
      </c>
      <c r="D5108">
        <v>0</v>
      </c>
      <c r="E5108">
        <v>0</v>
      </c>
      <c r="F5108" s="2">
        <v>0</v>
      </c>
      <c r="H5108">
        <v>0</v>
      </c>
      <c r="I5108">
        <v>0.1741125760648204</v>
      </c>
      <c r="J5108">
        <v>0</v>
      </c>
      <c r="K5108">
        <v>0</v>
      </c>
      <c r="L5108" s="2">
        <v>0</v>
      </c>
      <c r="M5108">
        <v>52.21</v>
      </c>
      <c r="N5108" t="s">
        <v>10236</v>
      </c>
    </row>
    <row r="5109" spans="1:14">
      <c r="A5109" t="s">
        <v>35</v>
      </c>
      <c r="B5109" t="s">
        <v>5221</v>
      </c>
      <c r="C5109">
        <f>"TC0039"</f>
        <v>0</v>
      </c>
      <c r="D5109">
        <v>0</v>
      </c>
      <c r="E5109">
        <v>7</v>
      </c>
      <c r="F5109" s="2">
        <v>1</v>
      </c>
      <c r="H5109">
        <v>0</v>
      </c>
      <c r="I5109">
        <v>0.1741125760648204</v>
      </c>
      <c r="J5109">
        <v>0</v>
      </c>
      <c r="K5109">
        <v>0</v>
      </c>
      <c r="L5109" s="2">
        <v>0</v>
      </c>
      <c r="M5109">
        <v>52.22</v>
      </c>
      <c r="N5109" t="s">
        <v>10236</v>
      </c>
    </row>
    <row r="5110" spans="1:14">
      <c r="A5110" t="s">
        <v>25</v>
      </c>
      <c r="B5110" t="s">
        <v>5222</v>
      </c>
      <c r="C5110">
        <f>"PWFAL"</f>
        <v>0</v>
      </c>
      <c r="D5110">
        <v>0</v>
      </c>
      <c r="E5110">
        <v>0</v>
      </c>
      <c r="F5110" s="2">
        <v>0</v>
      </c>
      <c r="H5110">
        <v>0</v>
      </c>
      <c r="I5110">
        <v>0.1741125760648204</v>
      </c>
      <c r="J5110">
        <v>0</v>
      </c>
      <c r="K5110">
        <v>0</v>
      </c>
      <c r="L5110" s="2">
        <v>0</v>
      </c>
      <c r="M5110">
        <v>52.23</v>
      </c>
      <c r="N5110" t="s">
        <v>10236</v>
      </c>
    </row>
    <row r="5111" spans="1:14">
      <c r="A5111" t="s">
        <v>35</v>
      </c>
      <c r="B5111" t="s">
        <v>5223</v>
      </c>
      <c r="C5111">
        <f>"188046"</f>
        <v>0</v>
      </c>
      <c r="D5111">
        <v>0</v>
      </c>
      <c r="E5111">
        <v>0</v>
      </c>
      <c r="F5111" s="2">
        <v>0</v>
      </c>
      <c r="H5111">
        <v>0</v>
      </c>
      <c r="I5111">
        <v>0.1741125760648204</v>
      </c>
      <c r="J5111">
        <v>0</v>
      </c>
      <c r="K5111">
        <v>0</v>
      </c>
      <c r="L5111" s="2">
        <v>0</v>
      </c>
      <c r="M5111">
        <v>52.24</v>
      </c>
      <c r="N5111" t="s">
        <v>10236</v>
      </c>
    </row>
    <row r="5112" spans="1:14">
      <c r="A5112" t="s">
        <v>35</v>
      </c>
      <c r="B5112" t="s">
        <v>5224</v>
      </c>
      <c r="C5112">
        <f>"1880417"</f>
        <v>0</v>
      </c>
      <c r="D5112">
        <v>0</v>
      </c>
      <c r="E5112">
        <v>0</v>
      </c>
      <c r="F5112" s="2">
        <v>0</v>
      </c>
      <c r="H5112">
        <v>0</v>
      </c>
      <c r="I5112">
        <v>0.1741125760648204</v>
      </c>
      <c r="J5112">
        <v>0</v>
      </c>
      <c r="K5112">
        <v>0</v>
      </c>
      <c r="L5112" s="2">
        <v>0</v>
      </c>
      <c r="M5112">
        <v>52.25</v>
      </c>
      <c r="N5112" t="s">
        <v>10236</v>
      </c>
    </row>
    <row r="5113" spans="1:14">
      <c r="A5113" t="s">
        <v>35</v>
      </c>
      <c r="B5113" t="s">
        <v>5225</v>
      </c>
      <c r="C5113">
        <f>"288045"</f>
        <v>0</v>
      </c>
      <c r="D5113">
        <v>0</v>
      </c>
      <c r="E5113">
        <v>0</v>
      </c>
      <c r="F5113" s="2">
        <v>0</v>
      </c>
      <c r="H5113">
        <v>0</v>
      </c>
      <c r="I5113">
        <v>0.1741125760648204</v>
      </c>
      <c r="J5113">
        <v>0</v>
      </c>
      <c r="K5113">
        <v>0</v>
      </c>
      <c r="L5113" s="2">
        <v>0</v>
      </c>
      <c r="M5113">
        <v>52.26</v>
      </c>
      <c r="N5113" t="s">
        <v>10236</v>
      </c>
    </row>
    <row r="5114" spans="1:14">
      <c r="A5114" t="s">
        <v>35</v>
      </c>
      <c r="B5114" t="s">
        <v>5226</v>
      </c>
      <c r="C5114">
        <f>"TC0029VE"</f>
        <v>0</v>
      </c>
      <c r="D5114">
        <v>0</v>
      </c>
      <c r="E5114">
        <v>2</v>
      </c>
      <c r="F5114" s="2">
        <v>1</v>
      </c>
      <c r="H5114">
        <v>0</v>
      </c>
      <c r="I5114">
        <v>0.1741125760648204</v>
      </c>
      <c r="J5114">
        <v>0</v>
      </c>
      <c r="K5114">
        <v>0</v>
      </c>
      <c r="L5114" s="2">
        <v>0</v>
      </c>
      <c r="M5114">
        <v>52.27</v>
      </c>
      <c r="N5114" t="s">
        <v>10236</v>
      </c>
    </row>
    <row r="5115" spans="1:14">
      <c r="A5115" t="s">
        <v>35</v>
      </c>
      <c r="B5115" t="s">
        <v>5227</v>
      </c>
      <c r="C5115">
        <f>"TC0029ROS"</f>
        <v>0</v>
      </c>
      <c r="D5115">
        <v>0</v>
      </c>
      <c r="E5115">
        <v>2</v>
      </c>
      <c r="F5115" s="2">
        <v>1</v>
      </c>
      <c r="H5115">
        <v>0</v>
      </c>
      <c r="I5115">
        <v>0.1741125760648204</v>
      </c>
      <c r="J5115">
        <v>0</v>
      </c>
      <c r="K5115">
        <v>0</v>
      </c>
      <c r="L5115" s="2">
        <v>0</v>
      </c>
      <c r="M5115">
        <v>52.28</v>
      </c>
      <c r="N5115" t="s">
        <v>10236</v>
      </c>
    </row>
    <row r="5116" spans="1:14">
      <c r="A5116" t="s">
        <v>35</v>
      </c>
      <c r="B5116" t="s">
        <v>5228</v>
      </c>
      <c r="C5116">
        <f>"TC0029MO"</f>
        <v>0</v>
      </c>
      <c r="D5116">
        <v>0</v>
      </c>
      <c r="E5116">
        <v>1</v>
      </c>
      <c r="F5116" s="2">
        <v>981</v>
      </c>
      <c r="H5116">
        <v>0</v>
      </c>
      <c r="I5116">
        <v>0.1741125760648204</v>
      </c>
      <c r="J5116">
        <v>0</v>
      </c>
      <c r="K5116">
        <v>0</v>
      </c>
      <c r="L5116" s="2">
        <v>0</v>
      </c>
      <c r="M5116">
        <v>52.29</v>
      </c>
      <c r="N5116" t="s">
        <v>10236</v>
      </c>
    </row>
    <row r="5117" spans="1:14">
      <c r="A5117" t="s">
        <v>35</v>
      </c>
      <c r="B5117" t="s">
        <v>5229</v>
      </c>
      <c r="C5117">
        <f>"TC0029CA"</f>
        <v>0</v>
      </c>
      <c r="D5117">
        <v>0</v>
      </c>
      <c r="E5117">
        <v>2</v>
      </c>
      <c r="F5117" s="2">
        <v>1</v>
      </c>
      <c r="H5117">
        <v>0</v>
      </c>
      <c r="I5117">
        <v>0.1741125760648204</v>
      </c>
      <c r="J5117">
        <v>0</v>
      </c>
      <c r="K5117">
        <v>0</v>
      </c>
      <c r="L5117" s="2">
        <v>0</v>
      </c>
      <c r="M5117">
        <v>52.3</v>
      </c>
      <c r="N5117" t="s">
        <v>10236</v>
      </c>
    </row>
    <row r="5118" spans="1:14">
      <c r="A5118" t="s">
        <v>35</v>
      </c>
      <c r="B5118" t="s">
        <v>5230</v>
      </c>
      <c r="C5118">
        <f>"TC0029AZ"</f>
        <v>0</v>
      </c>
      <c r="D5118">
        <v>0</v>
      </c>
      <c r="E5118">
        <v>0</v>
      </c>
      <c r="F5118" s="2">
        <v>0</v>
      </c>
      <c r="H5118">
        <v>0</v>
      </c>
      <c r="I5118">
        <v>0.1741125760648204</v>
      </c>
      <c r="J5118">
        <v>0</v>
      </c>
      <c r="K5118">
        <v>0</v>
      </c>
      <c r="L5118" s="2">
        <v>0</v>
      </c>
      <c r="M5118">
        <v>52.3</v>
      </c>
      <c r="N5118" t="s">
        <v>10236</v>
      </c>
    </row>
    <row r="5119" spans="1:14">
      <c r="A5119" t="s">
        <v>35</v>
      </c>
      <c r="B5119" t="s">
        <v>5231</v>
      </c>
      <c r="C5119">
        <f>"TC2044"</f>
        <v>0</v>
      </c>
      <c r="D5119">
        <v>0</v>
      </c>
      <c r="E5119">
        <v>1</v>
      </c>
      <c r="F5119" s="2">
        <v>405</v>
      </c>
      <c r="H5119">
        <v>0</v>
      </c>
      <c r="I5119">
        <v>0.1741125760648204</v>
      </c>
      <c r="J5119">
        <v>0</v>
      </c>
      <c r="K5119">
        <v>0</v>
      </c>
      <c r="L5119" s="2">
        <v>0</v>
      </c>
      <c r="M5119">
        <v>52.31</v>
      </c>
      <c r="N5119" t="s">
        <v>10236</v>
      </c>
    </row>
    <row r="5120" spans="1:14">
      <c r="A5120" t="s">
        <v>35</v>
      </c>
      <c r="B5120" t="s">
        <v>5232</v>
      </c>
      <c r="C5120">
        <f>"MCW161"</f>
        <v>0</v>
      </c>
      <c r="D5120">
        <v>0</v>
      </c>
      <c r="E5120">
        <v>0</v>
      </c>
      <c r="F5120" s="2">
        <v>0</v>
      </c>
      <c r="H5120">
        <v>0</v>
      </c>
      <c r="I5120">
        <v>0.1741125760648204</v>
      </c>
      <c r="J5120">
        <v>0</v>
      </c>
      <c r="K5120">
        <v>0</v>
      </c>
      <c r="L5120" s="2">
        <v>0</v>
      </c>
      <c r="M5120">
        <v>52.32</v>
      </c>
      <c r="N5120" t="s">
        <v>10236</v>
      </c>
    </row>
    <row r="5121" spans="1:14">
      <c r="A5121" t="s">
        <v>35</v>
      </c>
      <c r="B5121" t="s">
        <v>5233</v>
      </c>
      <c r="C5121">
        <f>"MCW160"</f>
        <v>0</v>
      </c>
      <c r="D5121">
        <v>0</v>
      </c>
      <c r="E5121">
        <v>0</v>
      </c>
      <c r="F5121" s="2">
        <v>0</v>
      </c>
      <c r="H5121">
        <v>0</v>
      </c>
      <c r="I5121">
        <v>0.1741125760648204</v>
      </c>
      <c r="J5121">
        <v>0</v>
      </c>
      <c r="K5121">
        <v>0</v>
      </c>
      <c r="L5121" s="2">
        <v>0</v>
      </c>
      <c r="M5121">
        <v>52.33</v>
      </c>
      <c r="N5121" t="s">
        <v>10236</v>
      </c>
    </row>
    <row r="5122" spans="1:14">
      <c r="A5122" t="s">
        <v>35</v>
      </c>
      <c r="B5122" t="s">
        <v>5234</v>
      </c>
      <c r="C5122">
        <f>"TC0049"</f>
        <v>0</v>
      </c>
      <c r="D5122">
        <v>0</v>
      </c>
      <c r="E5122">
        <v>3</v>
      </c>
      <c r="F5122" s="2">
        <v>1</v>
      </c>
      <c r="H5122">
        <v>0</v>
      </c>
      <c r="I5122">
        <v>0.1741125760648204</v>
      </c>
      <c r="J5122">
        <v>0</v>
      </c>
      <c r="K5122">
        <v>0</v>
      </c>
      <c r="L5122" s="2">
        <v>0</v>
      </c>
      <c r="M5122">
        <v>52.34</v>
      </c>
      <c r="N5122" t="s">
        <v>10236</v>
      </c>
    </row>
    <row r="5123" spans="1:14">
      <c r="A5123" t="s">
        <v>35</v>
      </c>
      <c r="B5123" t="s">
        <v>5235</v>
      </c>
      <c r="C5123">
        <f>"CT137"</f>
        <v>0</v>
      </c>
      <c r="D5123">
        <v>0</v>
      </c>
      <c r="E5123">
        <v>0</v>
      </c>
      <c r="F5123" s="2">
        <v>0</v>
      </c>
      <c r="H5123">
        <v>0</v>
      </c>
      <c r="I5123">
        <v>0.1741125760648204</v>
      </c>
      <c r="J5123">
        <v>0</v>
      </c>
      <c r="K5123">
        <v>0</v>
      </c>
      <c r="L5123" s="2">
        <v>0</v>
      </c>
      <c r="M5123">
        <v>52.35</v>
      </c>
      <c r="N5123" t="s">
        <v>10236</v>
      </c>
    </row>
    <row r="5124" spans="1:14">
      <c r="A5124" t="s">
        <v>35</v>
      </c>
      <c r="B5124" t="s">
        <v>5236</v>
      </c>
      <c r="C5124">
        <f>"CBT15"</f>
        <v>0</v>
      </c>
      <c r="D5124">
        <v>0</v>
      </c>
      <c r="E5124">
        <v>0</v>
      </c>
      <c r="F5124" s="2">
        <v>0</v>
      </c>
      <c r="H5124">
        <v>0</v>
      </c>
      <c r="I5124">
        <v>0.1741125760648204</v>
      </c>
      <c r="J5124">
        <v>0</v>
      </c>
      <c r="K5124">
        <v>0</v>
      </c>
      <c r="L5124" s="2">
        <v>0</v>
      </c>
      <c r="M5124">
        <v>52.36</v>
      </c>
      <c r="N5124" t="s">
        <v>10236</v>
      </c>
    </row>
    <row r="5125" spans="1:14">
      <c r="A5125" t="s">
        <v>35</v>
      </c>
      <c r="B5125" t="s">
        <v>5237</v>
      </c>
      <c r="C5125">
        <f>"188044"</f>
        <v>0</v>
      </c>
      <c r="D5125">
        <v>0</v>
      </c>
      <c r="E5125">
        <v>0</v>
      </c>
      <c r="F5125" s="2">
        <v>0</v>
      </c>
      <c r="H5125">
        <v>0</v>
      </c>
      <c r="I5125">
        <v>0.1741125760648204</v>
      </c>
      <c r="J5125">
        <v>0</v>
      </c>
      <c r="K5125">
        <v>0</v>
      </c>
      <c r="L5125" s="2">
        <v>0</v>
      </c>
      <c r="M5125">
        <v>52.37</v>
      </c>
      <c r="N5125" t="s">
        <v>10236</v>
      </c>
    </row>
    <row r="5126" spans="1:14">
      <c r="A5126" t="s">
        <v>35</v>
      </c>
      <c r="B5126" t="s">
        <v>5238</v>
      </c>
      <c r="C5126">
        <f>"CT181"</f>
        <v>0</v>
      </c>
      <c r="D5126">
        <v>0</v>
      </c>
      <c r="E5126">
        <v>0</v>
      </c>
      <c r="F5126" s="2">
        <v>0</v>
      </c>
      <c r="H5126">
        <v>0</v>
      </c>
      <c r="I5126">
        <v>0.1741125760648204</v>
      </c>
      <c r="J5126">
        <v>0</v>
      </c>
      <c r="K5126">
        <v>0</v>
      </c>
      <c r="L5126" s="2">
        <v>0</v>
      </c>
      <c r="M5126">
        <v>52.38</v>
      </c>
      <c r="N5126" t="s">
        <v>10236</v>
      </c>
    </row>
    <row r="5127" spans="1:14">
      <c r="A5127" t="s">
        <v>35</v>
      </c>
      <c r="B5127" t="s">
        <v>5239</v>
      </c>
      <c r="C5127">
        <f>"CT388"</f>
        <v>0</v>
      </c>
      <c r="D5127">
        <v>0</v>
      </c>
      <c r="E5127">
        <v>0</v>
      </c>
      <c r="F5127" s="2">
        <v>0</v>
      </c>
      <c r="H5127">
        <v>0</v>
      </c>
      <c r="I5127">
        <v>0.1741125760648204</v>
      </c>
      <c r="J5127">
        <v>0</v>
      </c>
      <c r="K5127">
        <v>0</v>
      </c>
      <c r="L5127" s="2">
        <v>0</v>
      </c>
      <c r="M5127">
        <v>52.39</v>
      </c>
      <c r="N5127" t="s">
        <v>10236</v>
      </c>
    </row>
    <row r="5128" spans="1:14">
      <c r="A5128" t="s">
        <v>35</v>
      </c>
      <c r="B5128" t="s">
        <v>5240</v>
      </c>
      <c r="C5128">
        <f>"WPS076"</f>
        <v>0</v>
      </c>
      <c r="D5128">
        <v>0</v>
      </c>
      <c r="E5128">
        <v>0</v>
      </c>
      <c r="F5128" s="2">
        <v>0</v>
      </c>
      <c r="H5128">
        <v>0</v>
      </c>
      <c r="I5128">
        <v>0.1741125760648204</v>
      </c>
      <c r="J5128">
        <v>0</v>
      </c>
      <c r="K5128">
        <v>0</v>
      </c>
      <c r="L5128" s="2">
        <v>0</v>
      </c>
      <c r="M5128">
        <v>52.4</v>
      </c>
      <c r="N5128" t="s">
        <v>10236</v>
      </c>
    </row>
    <row r="5129" spans="1:14">
      <c r="A5129" t="s">
        <v>35</v>
      </c>
      <c r="B5129" t="s">
        <v>5241</v>
      </c>
      <c r="C5129">
        <f>"CT273"</f>
        <v>0</v>
      </c>
      <c r="D5129">
        <v>0</v>
      </c>
      <c r="E5129">
        <v>0</v>
      </c>
      <c r="F5129" s="2">
        <v>0</v>
      </c>
      <c r="H5129">
        <v>0</v>
      </c>
      <c r="I5129">
        <v>0.1741125760648204</v>
      </c>
      <c r="J5129">
        <v>0</v>
      </c>
      <c r="K5129">
        <v>0</v>
      </c>
      <c r="L5129" s="2">
        <v>0</v>
      </c>
      <c r="M5129">
        <v>52.41</v>
      </c>
      <c r="N5129" t="s">
        <v>10236</v>
      </c>
    </row>
    <row r="5130" spans="1:14">
      <c r="A5130" t="s">
        <v>35</v>
      </c>
      <c r="B5130" t="s">
        <v>5242</v>
      </c>
      <c r="C5130">
        <f>"TC2025"</f>
        <v>0</v>
      </c>
      <c r="D5130">
        <v>0</v>
      </c>
      <c r="E5130">
        <v>0</v>
      </c>
      <c r="F5130" s="2">
        <v>0</v>
      </c>
      <c r="H5130">
        <v>0</v>
      </c>
      <c r="I5130">
        <v>0.1741125760648204</v>
      </c>
      <c r="J5130">
        <v>0</v>
      </c>
      <c r="K5130">
        <v>0</v>
      </c>
      <c r="L5130" s="2">
        <v>0</v>
      </c>
      <c r="M5130">
        <v>52.42</v>
      </c>
      <c r="N5130" t="s">
        <v>10236</v>
      </c>
    </row>
    <row r="5131" spans="1:14">
      <c r="A5131" t="s">
        <v>35</v>
      </c>
      <c r="B5131" t="s">
        <v>5243</v>
      </c>
      <c r="C5131">
        <f>"CT1262"</f>
        <v>0</v>
      </c>
      <c r="D5131">
        <v>0</v>
      </c>
      <c r="E5131">
        <v>0</v>
      </c>
      <c r="F5131" s="2">
        <v>0</v>
      </c>
      <c r="H5131">
        <v>0</v>
      </c>
      <c r="I5131">
        <v>0.1741125760648204</v>
      </c>
      <c r="J5131">
        <v>0</v>
      </c>
      <c r="K5131">
        <v>0</v>
      </c>
      <c r="L5131" s="2">
        <v>0</v>
      </c>
      <c r="M5131">
        <v>52.42</v>
      </c>
      <c r="N5131" t="s">
        <v>10236</v>
      </c>
    </row>
    <row r="5132" spans="1:14">
      <c r="A5132" t="s">
        <v>35</v>
      </c>
      <c r="B5132" t="s">
        <v>5244</v>
      </c>
      <c r="C5132">
        <f>"TC2042ROS"</f>
        <v>0</v>
      </c>
      <c r="D5132">
        <v>0</v>
      </c>
      <c r="E5132">
        <v>1</v>
      </c>
      <c r="F5132" s="2">
        <v>711</v>
      </c>
      <c r="H5132">
        <v>0</v>
      </c>
      <c r="I5132">
        <v>0.1741125760648204</v>
      </c>
      <c r="J5132">
        <v>0</v>
      </c>
      <c r="K5132">
        <v>0</v>
      </c>
      <c r="L5132" s="2">
        <v>0</v>
      </c>
      <c r="M5132">
        <v>52.43</v>
      </c>
      <c r="N5132" t="s">
        <v>10236</v>
      </c>
    </row>
    <row r="5133" spans="1:14">
      <c r="A5133" t="s">
        <v>35</v>
      </c>
      <c r="B5133" t="s">
        <v>5245</v>
      </c>
      <c r="C5133">
        <f>"TC2042NE"</f>
        <v>0</v>
      </c>
      <c r="D5133">
        <v>0</v>
      </c>
      <c r="E5133">
        <v>0</v>
      </c>
      <c r="F5133" s="2">
        <v>0</v>
      </c>
      <c r="H5133">
        <v>0</v>
      </c>
      <c r="I5133">
        <v>0.1741125760648204</v>
      </c>
      <c r="J5133">
        <v>0</v>
      </c>
      <c r="K5133">
        <v>0</v>
      </c>
      <c r="L5133" s="2">
        <v>0</v>
      </c>
      <c r="M5133">
        <v>52.44</v>
      </c>
      <c r="N5133" t="s">
        <v>10236</v>
      </c>
    </row>
    <row r="5134" spans="1:14">
      <c r="A5134" t="s">
        <v>35</v>
      </c>
      <c r="B5134" t="s">
        <v>5246</v>
      </c>
      <c r="C5134">
        <f>"TC2042GR"</f>
        <v>0</v>
      </c>
      <c r="D5134">
        <v>0</v>
      </c>
      <c r="E5134">
        <v>1</v>
      </c>
      <c r="F5134" s="2">
        <v>711</v>
      </c>
      <c r="H5134">
        <v>0</v>
      </c>
      <c r="I5134">
        <v>0.1741125760648204</v>
      </c>
      <c r="J5134">
        <v>0</v>
      </c>
      <c r="K5134">
        <v>0</v>
      </c>
      <c r="L5134" s="2">
        <v>0</v>
      </c>
      <c r="M5134">
        <v>52.45</v>
      </c>
      <c r="N5134" t="s">
        <v>10236</v>
      </c>
    </row>
    <row r="5135" spans="1:14">
      <c r="A5135" t="s">
        <v>35</v>
      </c>
      <c r="B5135" t="s">
        <v>5247</v>
      </c>
      <c r="C5135">
        <f>"TC2042FUC"</f>
        <v>0</v>
      </c>
      <c r="D5135">
        <v>0</v>
      </c>
      <c r="E5135">
        <v>0</v>
      </c>
      <c r="F5135" s="2">
        <v>0</v>
      </c>
      <c r="H5135">
        <v>0</v>
      </c>
      <c r="I5135">
        <v>0.1741125760648204</v>
      </c>
      <c r="J5135">
        <v>0</v>
      </c>
      <c r="K5135">
        <v>0</v>
      </c>
      <c r="L5135" s="2">
        <v>0</v>
      </c>
      <c r="M5135">
        <v>52.46</v>
      </c>
      <c r="N5135" t="s">
        <v>10236</v>
      </c>
    </row>
    <row r="5136" spans="1:14">
      <c r="A5136" t="s">
        <v>35</v>
      </c>
      <c r="B5136" t="s">
        <v>5248</v>
      </c>
      <c r="C5136">
        <f>"TC2042AZ"</f>
        <v>0</v>
      </c>
      <c r="D5136">
        <v>0</v>
      </c>
      <c r="E5136">
        <v>0</v>
      </c>
      <c r="F5136" s="2">
        <v>0</v>
      </c>
      <c r="H5136">
        <v>0</v>
      </c>
      <c r="I5136">
        <v>0.1741125760648204</v>
      </c>
      <c r="J5136">
        <v>0</v>
      </c>
      <c r="K5136">
        <v>0</v>
      </c>
      <c r="L5136" s="2">
        <v>0</v>
      </c>
      <c r="M5136">
        <v>52.47</v>
      </c>
      <c r="N5136" t="s">
        <v>10236</v>
      </c>
    </row>
    <row r="5137" spans="1:14">
      <c r="A5137" t="s">
        <v>35</v>
      </c>
      <c r="B5137" t="s">
        <v>5249</v>
      </c>
      <c r="C5137">
        <f>"TC0072ROS"</f>
        <v>0</v>
      </c>
      <c r="D5137">
        <v>0</v>
      </c>
      <c r="E5137">
        <v>1</v>
      </c>
      <c r="F5137" s="2">
        <v>765</v>
      </c>
      <c r="H5137">
        <v>0</v>
      </c>
      <c r="I5137">
        <v>0.1741125760648204</v>
      </c>
      <c r="J5137">
        <v>0</v>
      </c>
      <c r="K5137">
        <v>0</v>
      </c>
      <c r="L5137" s="2">
        <v>0</v>
      </c>
      <c r="M5137">
        <v>52.48</v>
      </c>
      <c r="N5137" t="s">
        <v>10236</v>
      </c>
    </row>
    <row r="5138" spans="1:14">
      <c r="A5138" t="s">
        <v>35</v>
      </c>
      <c r="B5138" t="s">
        <v>5250</v>
      </c>
      <c r="C5138">
        <f>"WPS013MOR"</f>
        <v>0</v>
      </c>
      <c r="D5138">
        <v>0</v>
      </c>
      <c r="E5138">
        <v>1</v>
      </c>
      <c r="F5138" s="2">
        <v>498</v>
      </c>
      <c r="H5138">
        <v>0</v>
      </c>
      <c r="I5138">
        <v>0.1741125760648204</v>
      </c>
      <c r="J5138">
        <v>0</v>
      </c>
      <c r="K5138">
        <v>0</v>
      </c>
      <c r="L5138" s="2">
        <v>0</v>
      </c>
      <c r="M5138">
        <v>52.49</v>
      </c>
      <c r="N5138" t="s">
        <v>10236</v>
      </c>
    </row>
    <row r="5139" spans="1:14">
      <c r="A5139" t="s">
        <v>35</v>
      </c>
      <c r="B5139" t="s">
        <v>5251</v>
      </c>
      <c r="C5139">
        <f>"WPS013FUC"</f>
        <v>0</v>
      </c>
      <c r="D5139">
        <v>0</v>
      </c>
      <c r="E5139">
        <v>1</v>
      </c>
      <c r="F5139" s="2">
        <v>0</v>
      </c>
      <c r="H5139">
        <v>0</v>
      </c>
      <c r="I5139">
        <v>0.1741125760648204</v>
      </c>
      <c r="J5139">
        <v>0</v>
      </c>
      <c r="K5139">
        <v>0</v>
      </c>
      <c r="L5139" s="2">
        <v>0</v>
      </c>
      <c r="M5139">
        <v>52.5</v>
      </c>
      <c r="N5139" t="s">
        <v>10236</v>
      </c>
    </row>
    <row r="5140" spans="1:14">
      <c r="A5140" t="s">
        <v>35</v>
      </c>
      <c r="B5140" t="s">
        <v>5252</v>
      </c>
      <c r="C5140">
        <f>"WPS008MOR"</f>
        <v>0</v>
      </c>
      <c r="D5140">
        <v>0</v>
      </c>
      <c r="E5140">
        <v>2</v>
      </c>
      <c r="F5140" s="2">
        <v>1</v>
      </c>
      <c r="H5140">
        <v>0</v>
      </c>
      <c r="I5140">
        <v>0.1741125760648204</v>
      </c>
      <c r="J5140">
        <v>0</v>
      </c>
      <c r="K5140">
        <v>0</v>
      </c>
      <c r="L5140" s="2">
        <v>0</v>
      </c>
      <c r="M5140">
        <v>52.51</v>
      </c>
      <c r="N5140" t="s">
        <v>10236</v>
      </c>
    </row>
    <row r="5141" spans="1:14">
      <c r="A5141" t="s">
        <v>35</v>
      </c>
      <c r="B5141" t="s">
        <v>5253</v>
      </c>
      <c r="C5141">
        <f>"WPS013"</f>
        <v>0</v>
      </c>
      <c r="D5141">
        <v>0</v>
      </c>
      <c r="E5141">
        <v>0</v>
      </c>
      <c r="F5141" s="2">
        <v>0</v>
      </c>
      <c r="H5141">
        <v>0</v>
      </c>
      <c r="I5141">
        <v>0.1741125760648204</v>
      </c>
      <c r="J5141">
        <v>0</v>
      </c>
      <c r="K5141">
        <v>0</v>
      </c>
      <c r="L5141" s="2">
        <v>0</v>
      </c>
      <c r="M5141">
        <v>52.52</v>
      </c>
      <c r="N5141" t="s">
        <v>10236</v>
      </c>
    </row>
    <row r="5142" spans="1:14">
      <c r="A5142" t="s">
        <v>35</v>
      </c>
      <c r="B5142" t="s">
        <v>5254</v>
      </c>
      <c r="C5142">
        <f>"WPS002"</f>
        <v>0</v>
      </c>
      <c r="D5142">
        <v>0</v>
      </c>
      <c r="E5142">
        <v>0</v>
      </c>
      <c r="F5142" s="2">
        <v>0</v>
      </c>
      <c r="H5142">
        <v>0</v>
      </c>
      <c r="I5142">
        <v>0.1741125760648204</v>
      </c>
      <c r="J5142">
        <v>0</v>
      </c>
      <c r="K5142">
        <v>0</v>
      </c>
      <c r="L5142" s="2">
        <v>0</v>
      </c>
      <c r="M5142">
        <v>52.53</v>
      </c>
      <c r="N5142" t="s">
        <v>10236</v>
      </c>
    </row>
    <row r="5143" spans="1:14">
      <c r="A5143" t="s">
        <v>35</v>
      </c>
      <c r="B5143" t="s">
        <v>5255</v>
      </c>
      <c r="C5143">
        <f>"CT175"</f>
        <v>0</v>
      </c>
      <c r="D5143">
        <v>0</v>
      </c>
      <c r="E5143">
        <v>1</v>
      </c>
      <c r="F5143" s="2">
        <v>711</v>
      </c>
      <c r="H5143">
        <v>0</v>
      </c>
      <c r="I5143">
        <v>0.1741125760648204</v>
      </c>
      <c r="J5143">
        <v>0</v>
      </c>
      <c r="K5143">
        <v>0</v>
      </c>
      <c r="L5143" s="2">
        <v>0</v>
      </c>
      <c r="M5143">
        <v>52.54</v>
      </c>
      <c r="N5143" t="s">
        <v>10236</v>
      </c>
    </row>
    <row r="5144" spans="1:14">
      <c r="A5144" t="s">
        <v>35</v>
      </c>
      <c r="B5144" t="s">
        <v>5256</v>
      </c>
      <c r="C5144">
        <f>"CT1161"</f>
        <v>0</v>
      </c>
      <c r="D5144">
        <v>0</v>
      </c>
      <c r="E5144">
        <v>0</v>
      </c>
      <c r="F5144" s="2">
        <v>0</v>
      </c>
      <c r="H5144">
        <v>0</v>
      </c>
      <c r="I5144">
        <v>0.1741125760648204</v>
      </c>
      <c r="J5144">
        <v>0</v>
      </c>
      <c r="K5144">
        <v>0</v>
      </c>
      <c r="L5144" s="2">
        <v>0</v>
      </c>
      <c r="M5144">
        <v>52.54</v>
      </c>
      <c r="N5144" t="s">
        <v>10236</v>
      </c>
    </row>
    <row r="5145" spans="1:14">
      <c r="A5145" t="s">
        <v>35</v>
      </c>
      <c r="B5145" t="s">
        <v>5257</v>
      </c>
      <c r="C5145">
        <f>"CT145"</f>
        <v>0</v>
      </c>
      <c r="D5145">
        <v>0</v>
      </c>
      <c r="E5145">
        <v>0</v>
      </c>
      <c r="F5145" s="2">
        <v>0</v>
      </c>
      <c r="H5145">
        <v>0</v>
      </c>
      <c r="I5145">
        <v>0.1741125760648204</v>
      </c>
      <c r="J5145">
        <v>0</v>
      </c>
      <c r="K5145">
        <v>0</v>
      </c>
      <c r="L5145" s="2">
        <v>0</v>
      </c>
      <c r="M5145">
        <v>52.55</v>
      </c>
      <c r="N5145" t="s">
        <v>10236</v>
      </c>
    </row>
    <row r="5146" spans="1:14">
      <c r="A5146" t="s">
        <v>35</v>
      </c>
      <c r="B5146" t="s">
        <v>5258</v>
      </c>
      <c r="C5146">
        <f>"TC0058CEL"</f>
        <v>0</v>
      </c>
      <c r="D5146">
        <v>0</v>
      </c>
      <c r="E5146">
        <v>1</v>
      </c>
      <c r="F5146" s="2">
        <v>675</v>
      </c>
      <c r="H5146">
        <v>0</v>
      </c>
      <c r="I5146">
        <v>0.1741125760648204</v>
      </c>
      <c r="J5146">
        <v>0</v>
      </c>
      <c r="K5146">
        <v>0</v>
      </c>
      <c r="L5146" s="2">
        <v>0</v>
      </c>
      <c r="M5146">
        <v>52.56</v>
      </c>
      <c r="N5146" t="s">
        <v>10236</v>
      </c>
    </row>
    <row r="5147" spans="1:14">
      <c r="A5147" t="s">
        <v>35</v>
      </c>
      <c r="B5147" t="s">
        <v>5259</v>
      </c>
      <c r="C5147">
        <f>"TC0057NA"</f>
        <v>0</v>
      </c>
      <c r="D5147">
        <v>0</v>
      </c>
      <c r="E5147">
        <v>0</v>
      </c>
      <c r="F5147" s="2">
        <v>0</v>
      </c>
      <c r="H5147">
        <v>0</v>
      </c>
      <c r="I5147">
        <v>0.1741125760648204</v>
      </c>
      <c r="J5147">
        <v>0</v>
      </c>
      <c r="K5147">
        <v>0</v>
      </c>
      <c r="L5147" s="2">
        <v>0</v>
      </c>
      <c r="M5147">
        <v>52.57</v>
      </c>
      <c r="N5147" t="s">
        <v>10236</v>
      </c>
    </row>
    <row r="5148" spans="1:14">
      <c r="A5148" t="s">
        <v>35</v>
      </c>
      <c r="B5148" t="s">
        <v>5260</v>
      </c>
      <c r="C5148">
        <f>"TC0057AZ"</f>
        <v>0</v>
      </c>
      <c r="D5148">
        <v>0</v>
      </c>
      <c r="E5148">
        <v>0</v>
      </c>
      <c r="F5148" s="2">
        <v>0</v>
      </c>
      <c r="H5148">
        <v>0</v>
      </c>
      <c r="I5148">
        <v>0.1741125760648204</v>
      </c>
      <c r="J5148">
        <v>0</v>
      </c>
      <c r="K5148">
        <v>0</v>
      </c>
      <c r="L5148" s="2">
        <v>0</v>
      </c>
      <c r="M5148">
        <v>52.58</v>
      </c>
      <c r="N5148" t="s">
        <v>10236</v>
      </c>
    </row>
    <row r="5149" spans="1:14">
      <c r="A5149" t="s">
        <v>35</v>
      </c>
      <c r="B5149" t="s">
        <v>5261</v>
      </c>
      <c r="C5149">
        <f>"TC0100GR"</f>
        <v>0</v>
      </c>
      <c r="D5149">
        <v>0</v>
      </c>
      <c r="E5149">
        <v>2</v>
      </c>
      <c r="F5149" s="2">
        <v>1</v>
      </c>
      <c r="H5149">
        <v>0</v>
      </c>
      <c r="I5149">
        <v>0.1741125760648204</v>
      </c>
      <c r="J5149">
        <v>0</v>
      </c>
      <c r="K5149">
        <v>0</v>
      </c>
      <c r="L5149" s="2">
        <v>0</v>
      </c>
      <c r="M5149">
        <v>52.59</v>
      </c>
      <c r="N5149" t="s">
        <v>10236</v>
      </c>
    </row>
    <row r="5150" spans="1:14">
      <c r="A5150" t="s">
        <v>35</v>
      </c>
      <c r="B5150" t="s">
        <v>5262</v>
      </c>
      <c r="C5150">
        <f>"TC0018VE"</f>
        <v>0</v>
      </c>
      <c r="D5150">
        <v>0</v>
      </c>
      <c r="E5150">
        <v>0</v>
      </c>
      <c r="F5150" s="2">
        <v>0</v>
      </c>
      <c r="H5150">
        <v>0</v>
      </c>
      <c r="I5150">
        <v>0.1741125760648204</v>
      </c>
      <c r="J5150">
        <v>0</v>
      </c>
      <c r="K5150">
        <v>0</v>
      </c>
      <c r="L5150" s="2">
        <v>0</v>
      </c>
      <c r="M5150">
        <v>52.6</v>
      </c>
      <c r="N5150" t="s">
        <v>10236</v>
      </c>
    </row>
    <row r="5151" spans="1:14">
      <c r="A5151" t="s">
        <v>35</v>
      </c>
      <c r="B5151" t="s">
        <v>5263</v>
      </c>
      <c r="C5151">
        <f>"TC0018CEL"</f>
        <v>0</v>
      </c>
      <c r="D5151">
        <v>0</v>
      </c>
      <c r="E5151">
        <v>1</v>
      </c>
      <c r="F5151" s="2">
        <v>585</v>
      </c>
      <c r="H5151">
        <v>0</v>
      </c>
      <c r="I5151">
        <v>0.1741125760648204</v>
      </c>
      <c r="J5151">
        <v>0</v>
      </c>
      <c r="K5151">
        <v>0</v>
      </c>
      <c r="L5151" s="2">
        <v>0</v>
      </c>
      <c r="M5151">
        <v>52.61</v>
      </c>
      <c r="N5151" t="s">
        <v>10236</v>
      </c>
    </row>
    <row r="5152" spans="1:14">
      <c r="A5152" t="s">
        <v>35</v>
      </c>
      <c r="B5152" t="s">
        <v>5264</v>
      </c>
      <c r="C5152">
        <f>"CT128"</f>
        <v>0</v>
      </c>
      <c r="D5152">
        <v>0</v>
      </c>
      <c r="E5152">
        <v>0</v>
      </c>
      <c r="F5152" s="2">
        <v>0</v>
      </c>
      <c r="H5152">
        <v>0</v>
      </c>
      <c r="I5152">
        <v>0.1741125760648204</v>
      </c>
      <c r="J5152">
        <v>0</v>
      </c>
      <c r="K5152">
        <v>0</v>
      </c>
      <c r="L5152" s="2">
        <v>0</v>
      </c>
      <c r="M5152">
        <v>52.62</v>
      </c>
      <c r="N5152" t="s">
        <v>10236</v>
      </c>
    </row>
    <row r="5153" spans="1:14">
      <c r="A5153" t="s">
        <v>35</v>
      </c>
      <c r="B5153" t="s">
        <v>5265</v>
      </c>
      <c r="C5153">
        <f>"CT124"</f>
        <v>0</v>
      </c>
      <c r="D5153">
        <v>0</v>
      </c>
      <c r="E5153">
        <v>0</v>
      </c>
      <c r="F5153" s="2">
        <v>0</v>
      </c>
      <c r="H5153">
        <v>0</v>
      </c>
      <c r="I5153">
        <v>0.1741125760648204</v>
      </c>
      <c r="J5153">
        <v>0</v>
      </c>
      <c r="K5153">
        <v>0</v>
      </c>
      <c r="L5153" s="2">
        <v>0</v>
      </c>
      <c r="M5153">
        <v>52.63</v>
      </c>
      <c r="N5153" t="s">
        <v>10236</v>
      </c>
    </row>
    <row r="5154" spans="1:14">
      <c r="A5154" t="s">
        <v>35</v>
      </c>
      <c r="B5154" t="s">
        <v>5266</v>
      </c>
      <c r="C5154">
        <f>"CT118"</f>
        <v>0</v>
      </c>
      <c r="D5154">
        <v>0</v>
      </c>
      <c r="E5154">
        <v>1</v>
      </c>
      <c r="F5154" s="2">
        <v>855</v>
      </c>
      <c r="H5154">
        <v>0</v>
      </c>
      <c r="I5154">
        <v>0.1741125760648204</v>
      </c>
      <c r="J5154">
        <v>0</v>
      </c>
      <c r="K5154">
        <v>0</v>
      </c>
      <c r="L5154" s="2">
        <v>0</v>
      </c>
      <c r="M5154">
        <v>52.64</v>
      </c>
      <c r="N5154" t="s">
        <v>10236</v>
      </c>
    </row>
    <row r="5155" spans="1:14">
      <c r="A5155" t="s">
        <v>35</v>
      </c>
      <c r="B5155" t="s">
        <v>5267</v>
      </c>
      <c r="C5155">
        <f>"WPS008ROS"</f>
        <v>0</v>
      </c>
      <c r="D5155">
        <v>0</v>
      </c>
      <c r="E5155">
        <v>3</v>
      </c>
      <c r="F5155" s="2">
        <v>1</v>
      </c>
      <c r="H5155">
        <v>0</v>
      </c>
      <c r="I5155">
        <v>0.1741125760648204</v>
      </c>
      <c r="J5155">
        <v>0</v>
      </c>
      <c r="K5155">
        <v>0</v>
      </c>
      <c r="L5155" s="2">
        <v>0</v>
      </c>
      <c r="M5155">
        <v>52.65</v>
      </c>
      <c r="N5155" t="s">
        <v>10236</v>
      </c>
    </row>
    <row r="5156" spans="1:14">
      <c r="A5156" t="s">
        <v>35</v>
      </c>
      <c r="B5156" t="s">
        <v>5268</v>
      </c>
      <c r="C5156">
        <f>"wps013AMA"</f>
        <v>0</v>
      </c>
      <c r="D5156">
        <v>0</v>
      </c>
      <c r="E5156">
        <v>1</v>
      </c>
      <c r="F5156" s="2">
        <v>498</v>
      </c>
      <c r="H5156">
        <v>0</v>
      </c>
      <c r="I5156">
        <v>0.1741125760648204</v>
      </c>
      <c r="J5156">
        <v>0</v>
      </c>
      <c r="K5156">
        <v>0</v>
      </c>
      <c r="L5156" s="2">
        <v>0</v>
      </c>
      <c r="M5156">
        <v>52.66</v>
      </c>
      <c r="N5156" t="s">
        <v>10236</v>
      </c>
    </row>
    <row r="5157" spans="1:14">
      <c r="A5157" t="s">
        <v>35</v>
      </c>
      <c r="B5157" t="s">
        <v>5269</v>
      </c>
      <c r="C5157">
        <f>"J1903"</f>
        <v>0</v>
      </c>
      <c r="D5157">
        <v>0</v>
      </c>
      <c r="E5157">
        <v>0</v>
      </c>
      <c r="F5157" s="2">
        <v>0</v>
      </c>
      <c r="H5157">
        <v>0</v>
      </c>
      <c r="I5157">
        <v>0.1741125760648204</v>
      </c>
      <c r="J5157">
        <v>0</v>
      </c>
      <c r="K5157">
        <v>0</v>
      </c>
      <c r="L5157" s="2">
        <v>0</v>
      </c>
      <c r="M5157">
        <v>52.66</v>
      </c>
      <c r="N5157" t="s">
        <v>10236</v>
      </c>
    </row>
    <row r="5158" spans="1:14">
      <c r="A5158" t="s">
        <v>35</v>
      </c>
      <c r="B5158" t="s">
        <v>5270</v>
      </c>
      <c r="C5158">
        <f>"UOKPG"</f>
        <v>0</v>
      </c>
      <c r="D5158">
        <v>0</v>
      </c>
      <c r="E5158">
        <v>0</v>
      </c>
      <c r="F5158" s="2">
        <v>0</v>
      </c>
      <c r="H5158">
        <v>0</v>
      </c>
      <c r="I5158">
        <v>0.1741125760648204</v>
      </c>
      <c r="J5158">
        <v>0</v>
      </c>
      <c r="K5158">
        <v>0</v>
      </c>
      <c r="L5158" s="2">
        <v>0</v>
      </c>
      <c r="M5158">
        <v>52.67</v>
      </c>
      <c r="N5158" t="s">
        <v>10236</v>
      </c>
    </row>
    <row r="5159" spans="1:14">
      <c r="A5159" t="s">
        <v>35</v>
      </c>
      <c r="B5159" t="s">
        <v>5271</v>
      </c>
      <c r="C5159">
        <f>"UOCK"</f>
        <v>0</v>
      </c>
      <c r="D5159">
        <v>0</v>
      </c>
      <c r="E5159">
        <v>0</v>
      </c>
      <c r="F5159" s="2">
        <v>0</v>
      </c>
      <c r="H5159">
        <v>0</v>
      </c>
      <c r="I5159">
        <v>0.1741125760648204</v>
      </c>
      <c r="J5159">
        <v>0</v>
      </c>
      <c r="K5159">
        <v>0</v>
      </c>
      <c r="L5159" s="2">
        <v>0</v>
      </c>
      <c r="M5159">
        <v>52.68</v>
      </c>
      <c r="N5159" t="s">
        <v>10236</v>
      </c>
    </row>
    <row r="5160" spans="1:14">
      <c r="A5160" t="s">
        <v>223</v>
      </c>
      <c r="B5160" t="s">
        <v>5272</v>
      </c>
      <c r="C5160">
        <f>"1620494807860"</f>
        <v>0</v>
      </c>
      <c r="D5160">
        <v>0</v>
      </c>
      <c r="E5160">
        <v>0</v>
      </c>
      <c r="F5160" s="2">
        <v>0</v>
      </c>
      <c r="H5160">
        <v>0</v>
      </c>
      <c r="I5160">
        <v>0.1741125760648204</v>
      </c>
      <c r="J5160">
        <v>0</v>
      </c>
      <c r="K5160">
        <v>0</v>
      </c>
      <c r="L5160" s="2">
        <v>0</v>
      </c>
      <c r="M5160">
        <v>52.69</v>
      </c>
      <c r="N5160" t="s">
        <v>10236</v>
      </c>
    </row>
    <row r="5161" spans="1:14">
      <c r="A5161" t="s">
        <v>223</v>
      </c>
      <c r="B5161" t="s">
        <v>5273</v>
      </c>
      <c r="C5161">
        <f>"2109075"</f>
        <v>0</v>
      </c>
      <c r="D5161">
        <v>0</v>
      </c>
      <c r="E5161">
        <v>0</v>
      </c>
      <c r="F5161" s="2">
        <v>0</v>
      </c>
      <c r="H5161">
        <v>0</v>
      </c>
      <c r="I5161">
        <v>0.1741125760648204</v>
      </c>
      <c r="J5161">
        <v>0</v>
      </c>
      <c r="K5161">
        <v>0</v>
      </c>
      <c r="L5161" s="2">
        <v>0</v>
      </c>
      <c r="M5161">
        <v>52.7</v>
      </c>
      <c r="N5161" t="s">
        <v>10236</v>
      </c>
    </row>
    <row r="5162" spans="1:14">
      <c r="A5162" t="s">
        <v>223</v>
      </c>
      <c r="B5162" t="s">
        <v>5274</v>
      </c>
      <c r="C5162">
        <f>"20400410"</f>
        <v>0</v>
      </c>
      <c r="D5162">
        <v>0</v>
      </c>
      <c r="E5162">
        <v>0</v>
      </c>
      <c r="F5162" s="2">
        <v>0</v>
      </c>
      <c r="H5162">
        <v>0</v>
      </c>
      <c r="I5162">
        <v>0.1741125760648204</v>
      </c>
      <c r="J5162">
        <v>0</v>
      </c>
      <c r="K5162">
        <v>0</v>
      </c>
      <c r="L5162" s="2">
        <v>0</v>
      </c>
      <c r="M5162">
        <v>52.71</v>
      </c>
      <c r="N5162" t="s">
        <v>10236</v>
      </c>
    </row>
    <row r="5163" spans="1:14">
      <c r="A5163" t="s">
        <v>223</v>
      </c>
      <c r="B5163" t="s">
        <v>5275</v>
      </c>
      <c r="C5163">
        <f>"5109015"</f>
        <v>0</v>
      </c>
      <c r="D5163">
        <v>0</v>
      </c>
      <c r="E5163">
        <v>0</v>
      </c>
      <c r="F5163" s="2">
        <v>0</v>
      </c>
      <c r="H5163">
        <v>0</v>
      </c>
      <c r="I5163">
        <v>0.1741125760648204</v>
      </c>
      <c r="J5163">
        <v>0</v>
      </c>
      <c r="K5163">
        <v>0</v>
      </c>
      <c r="L5163" s="2">
        <v>0</v>
      </c>
      <c r="M5163">
        <v>52.72</v>
      </c>
      <c r="N5163" t="s">
        <v>10236</v>
      </c>
    </row>
    <row r="5164" spans="1:14">
      <c r="A5164" t="s">
        <v>223</v>
      </c>
      <c r="B5164" t="s">
        <v>5276</v>
      </c>
      <c r="C5164">
        <f>"44294"</f>
        <v>0</v>
      </c>
      <c r="D5164">
        <v>0</v>
      </c>
      <c r="E5164">
        <v>0</v>
      </c>
      <c r="F5164" s="2">
        <v>0</v>
      </c>
      <c r="H5164">
        <v>0</v>
      </c>
      <c r="I5164">
        <v>0.1741125760648204</v>
      </c>
      <c r="J5164">
        <v>0</v>
      </c>
      <c r="K5164">
        <v>0</v>
      </c>
      <c r="L5164" s="2">
        <v>0</v>
      </c>
      <c r="M5164">
        <v>52.73</v>
      </c>
      <c r="N5164" t="s">
        <v>10236</v>
      </c>
    </row>
    <row r="5165" spans="1:14">
      <c r="A5165" t="s">
        <v>223</v>
      </c>
      <c r="B5165" t="s">
        <v>5277</v>
      </c>
      <c r="C5165">
        <f>"BW14W"</f>
        <v>0</v>
      </c>
      <c r="D5165">
        <v>0</v>
      </c>
      <c r="E5165">
        <v>0</v>
      </c>
      <c r="F5165" s="2">
        <v>0</v>
      </c>
      <c r="H5165">
        <v>0</v>
      </c>
      <c r="I5165">
        <v>0.1741125760648204</v>
      </c>
      <c r="J5165">
        <v>0</v>
      </c>
      <c r="K5165">
        <v>0</v>
      </c>
      <c r="L5165" s="2">
        <v>0</v>
      </c>
      <c r="M5165">
        <v>52.74</v>
      </c>
      <c r="N5165" t="s">
        <v>10236</v>
      </c>
    </row>
    <row r="5166" spans="1:14">
      <c r="A5166" t="s">
        <v>223</v>
      </c>
      <c r="B5166" t="s">
        <v>5278</v>
      </c>
      <c r="C5166">
        <f>"3379075"</f>
        <v>0</v>
      </c>
      <c r="D5166">
        <v>0</v>
      </c>
      <c r="E5166">
        <v>0</v>
      </c>
      <c r="F5166" s="2">
        <v>0</v>
      </c>
      <c r="H5166">
        <v>0</v>
      </c>
      <c r="I5166">
        <v>0.1741125760648204</v>
      </c>
      <c r="J5166">
        <v>0</v>
      </c>
      <c r="K5166">
        <v>0</v>
      </c>
      <c r="L5166" s="2">
        <v>0</v>
      </c>
      <c r="M5166">
        <v>52.75</v>
      </c>
      <c r="N5166" t="s">
        <v>10236</v>
      </c>
    </row>
    <row r="5167" spans="1:14">
      <c r="A5167" t="s">
        <v>223</v>
      </c>
      <c r="B5167" t="s">
        <v>5279</v>
      </c>
      <c r="C5167">
        <f>"241420"</f>
        <v>0</v>
      </c>
      <c r="D5167">
        <v>0</v>
      </c>
      <c r="E5167">
        <v>0</v>
      </c>
      <c r="F5167" s="2">
        <v>0</v>
      </c>
      <c r="H5167">
        <v>0</v>
      </c>
      <c r="I5167">
        <v>0.1741125760648204</v>
      </c>
      <c r="J5167">
        <v>0</v>
      </c>
      <c r="K5167">
        <v>0</v>
      </c>
      <c r="L5167" s="2">
        <v>0</v>
      </c>
      <c r="M5167">
        <v>52.76</v>
      </c>
      <c r="N5167" t="s">
        <v>10236</v>
      </c>
    </row>
    <row r="5168" spans="1:14">
      <c r="A5168" t="s">
        <v>223</v>
      </c>
      <c r="B5168" t="s">
        <v>5280</v>
      </c>
      <c r="C5168">
        <f>"241440"</f>
        <v>0</v>
      </c>
      <c r="D5168">
        <v>0</v>
      </c>
      <c r="E5168">
        <v>0</v>
      </c>
      <c r="F5168" s="2">
        <v>0</v>
      </c>
      <c r="H5168">
        <v>0</v>
      </c>
      <c r="I5168">
        <v>0.1741125760648204</v>
      </c>
      <c r="J5168">
        <v>0</v>
      </c>
      <c r="K5168">
        <v>0</v>
      </c>
      <c r="L5168" s="2">
        <v>0</v>
      </c>
      <c r="M5168">
        <v>52.77</v>
      </c>
      <c r="N5168" t="s">
        <v>10236</v>
      </c>
    </row>
    <row r="5169" spans="1:14">
      <c r="A5169" t="s">
        <v>223</v>
      </c>
      <c r="B5169" t="s">
        <v>5281</v>
      </c>
      <c r="C5169">
        <f>"3379015"</f>
        <v>0</v>
      </c>
      <c r="D5169">
        <v>0</v>
      </c>
      <c r="E5169">
        <v>0</v>
      </c>
      <c r="F5169" s="2">
        <v>0</v>
      </c>
      <c r="H5169">
        <v>0</v>
      </c>
      <c r="I5169">
        <v>0.1741125760648204</v>
      </c>
      <c r="J5169">
        <v>0</v>
      </c>
      <c r="K5169">
        <v>0</v>
      </c>
      <c r="L5169" s="2">
        <v>0</v>
      </c>
      <c r="M5169">
        <v>52.77</v>
      </c>
      <c r="N5169" t="s">
        <v>10236</v>
      </c>
    </row>
    <row r="5170" spans="1:14">
      <c r="A5170" t="s">
        <v>223</v>
      </c>
      <c r="B5170" t="s">
        <v>5282</v>
      </c>
      <c r="C5170">
        <f>"5004020"</f>
        <v>0</v>
      </c>
      <c r="D5170">
        <v>0</v>
      </c>
      <c r="E5170">
        <v>0</v>
      </c>
      <c r="F5170" s="2">
        <v>0</v>
      </c>
      <c r="H5170">
        <v>0</v>
      </c>
      <c r="I5170">
        <v>0.1741125760648204</v>
      </c>
      <c r="J5170">
        <v>0</v>
      </c>
      <c r="K5170">
        <v>0</v>
      </c>
      <c r="L5170" s="2">
        <v>0</v>
      </c>
      <c r="M5170">
        <v>52.78</v>
      </c>
      <c r="N5170" t="s">
        <v>10236</v>
      </c>
    </row>
    <row r="5171" spans="1:14">
      <c r="A5171" t="s">
        <v>35</v>
      </c>
      <c r="B5171" t="s">
        <v>5283</v>
      </c>
      <c r="C5171">
        <f>"D40563"</f>
        <v>0</v>
      </c>
      <c r="D5171">
        <v>0</v>
      </c>
      <c r="E5171">
        <v>1</v>
      </c>
      <c r="F5171" s="2">
        <v>1</v>
      </c>
      <c r="H5171">
        <v>0</v>
      </c>
      <c r="I5171">
        <v>0.1741125760648204</v>
      </c>
      <c r="J5171">
        <v>0</v>
      </c>
      <c r="K5171">
        <v>0</v>
      </c>
      <c r="L5171" s="2">
        <v>0</v>
      </c>
      <c r="M5171">
        <v>52.79</v>
      </c>
      <c r="N5171" t="s">
        <v>10236</v>
      </c>
    </row>
    <row r="5172" spans="1:14">
      <c r="A5172" t="s">
        <v>223</v>
      </c>
      <c r="B5172" t="s">
        <v>5284</v>
      </c>
      <c r="C5172">
        <f>"2104015"</f>
        <v>0</v>
      </c>
      <c r="D5172">
        <v>0</v>
      </c>
      <c r="E5172">
        <v>0</v>
      </c>
      <c r="F5172" s="2">
        <v>0</v>
      </c>
      <c r="H5172">
        <v>0</v>
      </c>
      <c r="I5172">
        <v>0.1741125760648204</v>
      </c>
      <c r="J5172">
        <v>0</v>
      </c>
      <c r="K5172">
        <v>0</v>
      </c>
      <c r="L5172" s="2">
        <v>0</v>
      </c>
      <c r="M5172">
        <v>52.8</v>
      </c>
      <c r="N5172" t="s">
        <v>10236</v>
      </c>
    </row>
    <row r="5173" spans="1:14">
      <c r="A5173" t="s">
        <v>195</v>
      </c>
      <c r="B5173" t="s">
        <v>5285</v>
      </c>
      <c r="C5173">
        <f>"25570900"</f>
        <v>0</v>
      </c>
      <c r="D5173">
        <v>0</v>
      </c>
      <c r="E5173">
        <v>0</v>
      </c>
      <c r="F5173" s="2">
        <v>0</v>
      </c>
      <c r="H5173">
        <v>0</v>
      </c>
      <c r="I5173">
        <v>0.1741125760648204</v>
      </c>
      <c r="J5173">
        <v>0</v>
      </c>
      <c r="K5173">
        <v>0</v>
      </c>
      <c r="L5173" s="2">
        <v>0</v>
      </c>
      <c r="M5173">
        <v>52.81</v>
      </c>
      <c r="N5173" t="s">
        <v>10236</v>
      </c>
    </row>
    <row r="5174" spans="1:14">
      <c r="A5174" t="s">
        <v>196</v>
      </c>
      <c r="B5174" t="s">
        <v>5286</v>
      </c>
      <c r="C5174">
        <f>"2230"</f>
        <v>0</v>
      </c>
      <c r="D5174">
        <v>0</v>
      </c>
      <c r="E5174">
        <v>0</v>
      </c>
      <c r="F5174" s="2">
        <v>0</v>
      </c>
      <c r="H5174">
        <v>0</v>
      </c>
      <c r="I5174">
        <v>0.1741125760648204</v>
      </c>
      <c r="J5174">
        <v>0</v>
      </c>
      <c r="K5174">
        <v>0</v>
      </c>
      <c r="L5174" s="2">
        <v>0</v>
      </c>
      <c r="M5174">
        <v>52.82</v>
      </c>
      <c r="N5174" t="s">
        <v>10236</v>
      </c>
    </row>
    <row r="5175" spans="1:14">
      <c r="A5175" t="s">
        <v>29</v>
      </c>
      <c r="B5175" t="s">
        <v>5287</v>
      </c>
      <c r="C5175">
        <f>"BTP"</f>
        <v>0</v>
      </c>
      <c r="D5175">
        <v>0</v>
      </c>
      <c r="E5175">
        <v>0</v>
      </c>
      <c r="F5175" s="2">
        <v>0</v>
      </c>
      <c r="H5175">
        <v>0</v>
      </c>
      <c r="I5175">
        <v>0.1741125760648204</v>
      </c>
      <c r="J5175">
        <v>0</v>
      </c>
      <c r="K5175">
        <v>0</v>
      </c>
      <c r="L5175" s="2">
        <v>0</v>
      </c>
      <c r="M5175">
        <v>52.83</v>
      </c>
      <c r="N5175" t="s">
        <v>10236</v>
      </c>
    </row>
    <row r="5176" spans="1:14">
      <c r="A5176" t="s">
        <v>29</v>
      </c>
      <c r="B5176" t="s">
        <v>5288</v>
      </c>
      <c r="C5176">
        <f>"PT2"</f>
        <v>0</v>
      </c>
      <c r="D5176">
        <v>0</v>
      </c>
      <c r="E5176">
        <v>50</v>
      </c>
      <c r="F5176" s="2">
        <v>0</v>
      </c>
      <c r="H5176">
        <v>0</v>
      </c>
      <c r="I5176">
        <v>0.1741125760648204</v>
      </c>
      <c r="J5176">
        <v>0</v>
      </c>
      <c r="K5176">
        <v>0</v>
      </c>
      <c r="L5176" s="2">
        <v>0</v>
      </c>
      <c r="M5176">
        <v>52.84</v>
      </c>
      <c r="N5176" t="s">
        <v>10236</v>
      </c>
    </row>
    <row r="5177" spans="1:14">
      <c r="A5177" t="s">
        <v>29</v>
      </c>
      <c r="B5177" t="s">
        <v>5289</v>
      </c>
      <c r="C5177">
        <f>"PT3"</f>
        <v>0</v>
      </c>
      <c r="D5177">
        <v>0</v>
      </c>
      <c r="E5177">
        <v>50</v>
      </c>
      <c r="F5177" s="2">
        <v>0</v>
      </c>
      <c r="H5177">
        <v>0</v>
      </c>
      <c r="I5177">
        <v>0.1741125760648204</v>
      </c>
      <c r="J5177">
        <v>0</v>
      </c>
      <c r="K5177">
        <v>0</v>
      </c>
      <c r="L5177" s="2">
        <v>0</v>
      </c>
      <c r="M5177">
        <v>52.85</v>
      </c>
      <c r="N5177" t="s">
        <v>10236</v>
      </c>
    </row>
    <row r="5178" spans="1:14">
      <c r="A5178" t="s">
        <v>29</v>
      </c>
      <c r="B5178" t="s">
        <v>5290</v>
      </c>
      <c r="C5178">
        <f>"PT5"</f>
        <v>0</v>
      </c>
      <c r="D5178">
        <v>0</v>
      </c>
      <c r="E5178">
        <v>50</v>
      </c>
      <c r="F5178" s="2">
        <v>0</v>
      </c>
      <c r="H5178">
        <v>0</v>
      </c>
      <c r="I5178">
        <v>0.1741125760648204</v>
      </c>
      <c r="J5178">
        <v>0</v>
      </c>
      <c r="K5178">
        <v>0</v>
      </c>
      <c r="L5178" s="2">
        <v>0</v>
      </c>
      <c r="M5178">
        <v>52.86</v>
      </c>
      <c r="N5178" t="s">
        <v>10236</v>
      </c>
    </row>
    <row r="5179" spans="1:14">
      <c r="A5179" t="s">
        <v>29</v>
      </c>
      <c r="B5179" t="s">
        <v>5291</v>
      </c>
      <c r="C5179">
        <f>"PT11"</f>
        <v>0</v>
      </c>
      <c r="D5179">
        <v>0</v>
      </c>
      <c r="E5179">
        <v>100</v>
      </c>
      <c r="F5179" s="2">
        <v>0</v>
      </c>
      <c r="H5179">
        <v>0</v>
      </c>
      <c r="I5179">
        <v>0.1741125760648204</v>
      </c>
      <c r="J5179">
        <v>0</v>
      </c>
      <c r="K5179">
        <v>0</v>
      </c>
      <c r="L5179" s="2">
        <v>0</v>
      </c>
      <c r="M5179">
        <v>52.87</v>
      </c>
      <c r="N5179" t="s">
        <v>10236</v>
      </c>
    </row>
    <row r="5180" spans="1:14">
      <c r="A5180" t="s">
        <v>29</v>
      </c>
      <c r="B5180" t="s">
        <v>5292</v>
      </c>
      <c r="C5180">
        <f>"BTU"</f>
        <v>0</v>
      </c>
      <c r="D5180">
        <v>0</v>
      </c>
      <c r="E5180">
        <v>0</v>
      </c>
      <c r="F5180" s="2">
        <v>0</v>
      </c>
      <c r="H5180">
        <v>0</v>
      </c>
      <c r="I5180">
        <v>0.1741125760648204</v>
      </c>
      <c r="J5180">
        <v>0</v>
      </c>
      <c r="K5180">
        <v>0</v>
      </c>
      <c r="L5180" s="2">
        <v>0</v>
      </c>
      <c r="M5180">
        <v>52.88</v>
      </c>
      <c r="N5180" t="s">
        <v>10236</v>
      </c>
    </row>
    <row r="5181" spans="1:14">
      <c r="A5181" t="s">
        <v>35</v>
      </c>
      <c r="B5181" t="s">
        <v>5293</v>
      </c>
      <c r="C5181">
        <f>"25390082"</f>
        <v>0</v>
      </c>
      <c r="D5181">
        <v>0</v>
      </c>
      <c r="E5181">
        <v>0</v>
      </c>
      <c r="F5181" s="2">
        <v>0</v>
      </c>
      <c r="H5181">
        <v>0</v>
      </c>
      <c r="I5181">
        <v>0.1741125760648204</v>
      </c>
      <c r="J5181">
        <v>0</v>
      </c>
      <c r="K5181">
        <v>0</v>
      </c>
      <c r="L5181" s="2">
        <v>0</v>
      </c>
      <c r="M5181">
        <v>52.89</v>
      </c>
      <c r="N5181" t="s">
        <v>10236</v>
      </c>
    </row>
    <row r="5182" spans="1:14">
      <c r="A5182" t="s">
        <v>35</v>
      </c>
      <c r="B5182" t="s">
        <v>5294</v>
      </c>
      <c r="C5182">
        <f>"25390068"</f>
        <v>0</v>
      </c>
      <c r="D5182">
        <v>0</v>
      </c>
      <c r="E5182">
        <v>0</v>
      </c>
      <c r="F5182" s="2">
        <v>0</v>
      </c>
      <c r="H5182">
        <v>0</v>
      </c>
      <c r="I5182">
        <v>0.1741125760648204</v>
      </c>
      <c r="J5182">
        <v>0</v>
      </c>
      <c r="K5182">
        <v>0</v>
      </c>
      <c r="L5182" s="2">
        <v>0</v>
      </c>
      <c r="M5182">
        <v>52.89</v>
      </c>
      <c r="N5182" t="s">
        <v>10236</v>
      </c>
    </row>
    <row r="5183" spans="1:14">
      <c r="A5183" t="s">
        <v>195</v>
      </c>
      <c r="B5183" t="s">
        <v>5295</v>
      </c>
      <c r="C5183">
        <f>"25390069"</f>
        <v>0</v>
      </c>
      <c r="D5183">
        <v>0</v>
      </c>
      <c r="E5183">
        <v>0</v>
      </c>
      <c r="F5183" s="2">
        <v>0</v>
      </c>
      <c r="H5183">
        <v>0</v>
      </c>
      <c r="I5183">
        <v>0.1741125760648204</v>
      </c>
      <c r="J5183">
        <v>0</v>
      </c>
      <c r="K5183">
        <v>0</v>
      </c>
      <c r="L5183" s="2">
        <v>0</v>
      </c>
      <c r="M5183">
        <v>52.9</v>
      </c>
      <c r="N5183" t="s">
        <v>10236</v>
      </c>
    </row>
    <row r="5184" spans="1:14">
      <c r="A5184" t="s">
        <v>195</v>
      </c>
      <c r="B5184" t="s">
        <v>5296</v>
      </c>
      <c r="C5184">
        <f>"25390070"</f>
        <v>0</v>
      </c>
      <c r="D5184">
        <v>0</v>
      </c>
      <c r="E5184">
        <v>1</v>
      </c>
      <c r="F5184" s="2">
        <v>12</v>
      </c>
      <c r="H5184">
        <v>0</v>
      </c>
      <c r="I5184">
        <v>0.1741125760648204</v>
      </c>
      <c r="J5184">
        <v>0</v>
      </c>
      <c r="K5184">
        <v>0</v>
      </c>
      <c r="L5184" s="2">
        <v>0</v>
      </c>
      <c r="M5184">
        <v>52.91</v>
      </c>
      <c r="N5184" t="s">
        <v>10236</v>
      </c>
    </row>
    <row r="5185" spans="1:14">
      <c r="A5185" t="s">
        <v>35</v>
      </c>
      <c r="B5185" t="s">
        <v>5297</v>
      </c>
      <c r="C5185">
        <f>"25390067"</f>
        <v>0</v>
      </c>
      <c r="D5185">
        <v>0</v>
      </c>
      <c r="E5185">
        <v>0</v>
      </c>
      <c r="F5185" s="2">
        <v>0</v>
      </c>
      <c r="H5185">
        <v>0</v>
      </c>
      <c r="I5185">
        <v>0.1741125760648204</v>
      </c>
      <c r="J5185">
        <v>0</v>
      </c>
      <c r="K5185">
        <v>0</v>
      </c>
      <c r="L5185" s="2">
        <v>0</v>
      </c>
      <c r="M5185">
        <v>52.92</v>
      </c>
      <c r="N5185" t="s">
        <v>10236</v>
      </c>
    </row>
    <row r="5186" spans="1:14">
      <c r="A5186" t="s">
        <v>33</v>
      </c>
      <c r="B5186" t="s">
        <v>5298</v>
      </c>
      <c r="C5186">
        <f>"TOPK92140"</f>
        <v>0</v>
      </c>
      <c r="D5186">
        <v>0</v>
      </c>
      <c r="E5186">
        <v>0</v>
      </c>
      <c r="F5186" s="2">
        <v>0</v>
      </c>
      <c r="H5186">
        <v>0</v>
      </c>
      <c r="I5186">
        <v>0.1741125760648204</v>
      </c>
      <c r="J5186">
        <v>0</v>
      </c>
      <c r="K5186">
        <v>0</v>
      </c>
      <c r="L5186" s="2">
        <v>0</v>
      </c>
      <c r="M5186">
        <v>52.93</v>
      </c>
      <c r="N5186" t="s">
        <v>10236</v>
      </c>
    </row>
    <row r="5187" spans="1:14">
      <c r="A5187" t="s">
        <v>223</v>
      </c>
      <c r="B5187" t="s">
        <v>5299</v>
      </c>
      <c r="C5187">
        <f>"2004100"</f>
        <v>0</v>
      </c>
      <c r="D5187">
        <v>0</v>
      </c>
      <c r="E5187">
        <v>0</v>
      </c>
      <c r="F5187" s="2">
        <v>0</v>
      </c>
      <c r="H5187">
        <v>0</v>
      </c>
      <c r="I5187">
        <v>0.1741125760648204</v>
      </c>
      <c r="J5187">
        <v>0</v>
      </c>
      <c r="K5187">
        <v>0</v>
      </c>
      <c r="L5187" s="2">
        <v>0</v>
      </c>
      <c r="M5187">
        <v>52.94</v>
      </c>
      <c r="N5187" t="s">
        <v>10236</v>
      </c>
    </row>
    <row r="5188" spans="1:14">
      <c r="A5188" t="s">
        <v>35</v>
      </c>
      <c r="B5188" t="s">
        <v>5300</v>
      </c>
      <c r="C5188">
        <f>"SDR202"</f>
        <v>0</v>
      </c>
      <c r="D5188">
        <v>0</v>
      </c>
      <c r="E5188">
        <v>1</v>
      </c>
      <c r="F5188" s="2">
        <v>2</v>
      </c>
      <c r="H5188">
        <v>0</v>
      </c>
      <c r="I5188">
        <v>0.1741125760648204</v>
      </c>
      <c r="J5188">
        <v>0</v>
      </c>
      <c r="K5188">
        <v>0</v>
      </c>
      <c r="L5188" s="2">
        <v>0</v>
      </c>
      <c r="M5188">
        <v>52.95</v>
      </c>
      <c r="N5188" t="s">
        <v>10236</v>
      </c>
    </row>
    <row r="5189" spans="1:14">
      <c r="A5189" t="s">
        <v>35</v>
      </c>
      <c r="B5189" t="s">
        <v>5301</v>
      </c>
      <c r="C5189">
        <f>"CBT26"</f>
        <v>0</v>
      </c>
      <c r="D5189">
        <v>0</v>
      </c>
      <c r="E5189">
        <v>3</v>
      </c>
      <c r="F5189" s="2">
        <v>1</v>
      </c>
      <c r="H5189">
        <v>0</v>
      </c>
      <c r="I5189">
        <v>0.1741125760648204</v>
      </c>
      <c r="J5189">
        <v>0</v>
      </c>
      <c r="K5189">
        <v>0</v>
      </c>
      <c r="L5189" s="2">
        <v>0</v>
      </c>
      <c r="M5189">
        <v>52.96</v>
      </c>
      <c r="N5189" t="s">
        <v>10236</v>
      </c>
    </row>
    <row r="5190" spans="1:14">
      <c r="A5190" t="s">
        <v>218</v>
      </c>
      <c r="B5190" t="s">
        <v>5302</v>
      </c>
      <c r="C5190">
        <f>"5004378"</f>
        <v>0</v>
      </c>
      <c r="D5190">
        <v>0</v>
      </c>
      <c r="E5190">
        <v>0</v>
      </c>
      <c r="F5190" s="2">
        <v>0</v>
      </c>
      <c r="H5190">
        <v>0</v>
      </c>
      <c r="I5190">
        <v>0.1741125760648204</v>
      </c>
      <c r="J5190">
        <v>0</v>
      </c>
      <c r="K5190">
        <v>0</v>
      </c>
      <c r="L5190" s="2">
        <v>0</v>
      </c>
      <c r="M5190">
        <v>52.97</v>
      </c>
      <c r="N5190" t="s">
        <v>10236</v>
      </c>
    </row>
    <row r="5191" spans="1:14">
      <c r="A5191" t="s">
        <v>218</v>
      </c>
      <c r="B5191" t="s">
        <v>5303</v>
      </c>
      <c r="C5191">
        <f>"5004250"</f>
        <v>0</v>
      </c>
      <c r="D5191">
        <v>0</v>
      </c>
      <c r="E5191">
        <v>0</v>
      </c>
      <c r="F5191" s="2">
        <v>0</v>
      </c>
      <c r="H5191">
        <v>0</v>
      </c>
      <c r="I5191">
        <v>0.1741125760648204</v>
      </c>
      <c r="J5191">
        <v>0</v>
      </c>
      <c r="K5191">
        <v>0</v>
      </c>
      <c r="L5191" s="2">
        <v>0</v>
      </c>
      <c r="M5191">
        <v>52.98</v>
      </c>
      <c r="N5191" t="s">
        <v>10236</v>
      </c>
    </row>
    <row r="5192" spans="1:14">
      <c r="A5192" t="s">
        <v>218</v>
      </c>
      <c r="B5192" t="s">
        <v>5304</v>
      </c>
      <c r="C5192">
        <f>"1009596"</f>
        <v>0</v>
      </c>
      <c r="D5192">
        <v>0</v>
      </c>
      <c r="E5192">
        <v>0</v>
      </c>
      <c r="F5192" s="2">
        <v>0</v>
      </c>
      <c r="H5192">
        <v>0</v>
      </c>
      <c r="I5192">
        <v>0.1741125760648204</v>
      </c>
      <c r="J5192">
        <v>0</v>
      </c>
      <c r="K5192">
        <v>0</v>
      </c>
      <c r="L5192" s="2">
        <v>0</v>
      </c>
      <c r="M5192">
        <v>52.99</v>
      </c>
      <c r="N5192" t="s">
        <v>10236</v>
      </c>
    </row>
    <row r="5193" spans="1:14">
      <c r="A5193" t="s">
        <v>29</v>
      </c>
      <c r="B5193" t="s">
        <v>5305</v>
      </c>
      <c r="C5193">
        <f>"SB2"</f>
        <v>0</v>
      </c>
      <c r="D5193">
        <v>0</v>
      </c>
      <c r="E5193">
        <v>100</v>
      </c>
      <c r="F5193" s="2">
        <v>3</v>
      </c>
      <c r="H5193">
        <v>0</v>
      </c>
      <c r="I5193">
        <v>0.1741125760648204</v>
      </c>
      <c r="J5193">
        <v>0</v>
      </c>
      <c r="K5193">
        <v>0</v>
      </c>
      <c r="L5193" s="2">
        <v>0</v>
      </c>
      <c r="M5193">
        <v>53</v>
      </c>
      <c r="N5193" t="s">
        <v>10236</v>
      </c>
    </row>
    <row r="5194" spans="1:14">
      <c r="A5194" t="s">
        <v>218</v>
      </c>
      <c r="B5194" t="s">
        <v>5306</v>
      </c>
      <c r="C5194">
        <f>"PFI046"</f>
        <v>0</v>
      </c>
      <c r="D5194">
        <v>0</v>
      </c>
      <c r="E5194">
        <v>0</v>
      </c>
      <c r="F5194" s="2">
        <v>0</v>
      </c>
      <c r="H5194">
        <v>0</v>
      </c>
      <c r="I5194">
        <v>0.1741125760648204</v>
      </c>
      <c r="J5194">
        <v>0</v>
      </c>
      <c r="K5194">
        <v>0</v>
      </c>
      <c r="L5194" s="2">
        <v>0</v>
      </c>
      <c r="M5194">
        <v>53.01</v>
      </c>
      <c r="N5194" t="s">
        <v>10236</v>
      </c>
    </row>
    <row r="5195" spans="1:14">
      <c r="A5195" t="s">
        <v>218</v>
      </c>
      <c r="B5195" t="s">
        <v>5307</v>
      </c>
      <c r="C5195">
        <f>"PFI037"</f>
        <v>0</v>
      </c>
      <c r="D5195">
        <v>0</v>
      </c>
      <c r="E5195">
        <v>0</v>
      </c>
      <c r="F5195" s="2">
        <v>0</v>
      </c>
      <c r="H5195">
        <v>0</v>
      </c>
      <c r="I5195">
        <v>0.1741125760648204</v>
      </c>
      <c r="J5195">
        <v>0</v>
      </c>
      <c r="K5195">
        <v>0</v>
      </c>
      <c r="L5195" s="2">
        <v>0</v>
      </c>
      <c r="M5195">
        <v>53.01</v>
      </c>
      <c r="N5195" t="s">
        <v>10236</v>
      </c>
    </row>
    <row r="5196" spans="1:14">
      <c r="A5196" t="s">
        <v>218</v>
      </c>
      <c r="B5196" t="s">
        <v>5308</v>
      </c>
      <c r="C5196">
        <f>"HCH0251"</f>
        <v>0</v>
      </c>
      <c r="D5196">
        <v>0</v>
      </c>
      <c r="E5196">
        <v>0</v>
      </c>
      <c r="F5196" s="2">
        <v>0</v>
      </c>
      <c r="H5196">
        <v>0</v>
      </c>
      <c r="I5196">
        <v>0.1741125760648204</v>
      </c>
      <c r="J5196">
        <v>0</v>
      </c>
      <c r="K5196">
        <v>0</v>
      </c>
      <c r="L5196" s="2">
        <v>0</v>
      </c>
      <c r="M5196">
        <v>53.02</v>
      </c>
      <c r="N5196" t="s">
        <v>10236</v>
      </c>
    </row>
    <row r="5197" spans="1:14">
      <c r="A5197" t="s">
        <v>218</v>
      </c>
      <c r="B5197" t="s">
        <v>5309</v>
      </c>
      <c r="C5197">
        <f>"EHL067"</f>
        <v>0</v>
      </c>
      <c r="D5197">
        <v>0</v>
      </c>
      <c r="E5197">
        <v>0</v>
      </c>
      <c r="F5197" s="2">
        <v>0</v>
      </c>
      <c r="H5197">
        <v>0</v>
      </c>
      <c r="I5197">
        <v>0.1741125760648204</v>
      </c>
      <c r="J5197">
        <v>0</v>
      </c>
      <c r="K5197">
        <v>0</v>
      </c>
      <c r="L5197" s="2">
        <v>0</v>
      </c>
      <c r="M5197">
        <v>53.03</v>
      </c>
      <c r="N5197" t="s">
        <v>10236</v>
      </c>
    </row>
    <row r="5198" spans="1:14">
      <c r="A5198" t="s">
        <v>218</v>
      </c>
      <c r="B5198" t="s">
        <v>5310</v>
      </c>
      <c r="C5198">
        <f>"1017491"</f>
        <v>0</v>
      </c>
      <c r="D5198">
        <v>0</v>
      </c>
      <c r="E5198">
        <v>0</v>
      </c>
      <c r="F5198" s="2">
        <v>0</v>
      </c>
      <c r="H5198">
        <v>0</v>
      </c>
      <c r="I5198">
        <v>0.1741125760648204</v>
      </c>
      <c r="J5198">
        <v>0</v>
      </c>
      <c r="K5198">
        <v>0</v>
      </c>
      <c r="L5198" s="2">
        <v>0</v>
      </c>
      <c r="M5198">
        <v>53.04</v>
      </c>
      <c r="N5198" t="s">
        <v>10236</v>
      </c>
    </row>
    <row r="5199" spans="1:14">
      <c r="A5199" t="s">
        <v>35</v>
      </c>
      <c r="B5199" t="s">
        <v>5311</v>
      </c>
      <c r="C5199">
        <f>"PT287V"</f>
        <v>0</v>
      </c>
      <c r="D5199">
        <v>0</v>
      </c>
      <c r="E5199">
        <v>0</v>
      </c>
      <c r="F5199" s="2">
        <v>0</v>
      </c>
      <c r="H5199">
        <v>0</v>
      </c>
      <c r="I5199">
        <v>0.1741125760648204</v>
      </c>
      <c r="J5199">
        <v>0</v>
      </c>
      <c r="K5199">
        <v>0</v>
      </c>
      <c r="L5199" s="2">
        <v>0</v>
      </c>
      <c r="M5199">
        <v>53.05</v>
      </c>
      <c r="N5199" t="s">
        <v>10236</v>
      </c>
    </row>
    <row r="5200" spans="1:14">
      <c r="A5200" t="s">
        <v>218</v>
      </c>
      <c r="B5200" t="s">
        <v>5312</v>
      </c>
      <c r="C5200">
        <f>"HCH0261"</f>
        <v>0</v>
      </c>
      <c r="D5200">
        <v>0</v>
      </c>
      <c r="E5200">
        <v>0</v>
      </c>
      <c r="F5200" s="2">
        <v>0</v>
      </c>
      <c r="H5200">
        <v>0</v>
      </c>
      <c r="I5200">
        <v>0.1741125760648204</v>
      </c>
      <c r="J5200">
        <v>0</v>
      </c>
      <c r="K5200">
        <v>0</v>
      </c>
      <c r="L5200" s="2">
        <v>0</v>
      </c>
      <c r="M5200">
        <v>53.06</v>
      </c>
      <c r="N5200" t="s">
        <v>10236</v>
      </c>
    </row>
    <row r="5201" spans="1:14">
      <c r="A5201" t="s">
        <v>218</v>
      </c>
      <c r="B5201" t="s">
        <v>5313</v>
      </c>
      <c r="C5201">
        <f>"HCH037"</f>
        <v>0</v>
      </c>
      <c r="D5201">
        <v>0</v>
      </c>
      <c r="E5201">
        <v>0</v>
      </c>
      <c r="F5201" s="2">
        <v>0</v>
      </c>
      <c r="H5201">
        <v>0</v>
      </c>
      <c r="I5201">
        <v>0.1741125760648204</v>
      </c>
      <c r="J5201">
        <v>0</v>
      </c>
      <c r="K5201">
        <v>0</v>
      </c>
      <c r="L5201" s="2">
        <v>0</v>
      </c>
      <c r="M5201">
        <v>53.07</v>
      </c>
      <c r="N5201" t="s">
        <v>10236</v>
      </c>
    </row>
    <row r="5202" spans="1:14">
      <c r="A5202" t="s">
        <v>35</v>
      </c>
      <c r="B5202" t="s">
        <v>5314</v>
      </c>
      <c r="C5202">
        <f>"PS8016"</f>
        <v>0</v>
      </c>
      <c r="D5202">
        <v>0</v>
      </c>
      <c r="E5202">
        <v>0</v>
      </c>
      <c r="F5202" s="2">
        <v>0</v>
      </c>
      <c r="H5202">
        <v>0</v>
      </c>
      <c r="I5202">
        <v>0.1741125760648204</v>
      </c>
      <c r="J5202">
        <v>0</v>
      </c>
      <c r="K5202">
        <v>0</v>
      </c>
      <c r="L5202" s="2">
        <v>0</v>
      </c>
      <c r="M5202">
        <v>53.08</v>
      </c>
      <c r="N5202" t="s">
        <v>10236</v>
      </c>
    </row>
    <row r="5203" spans="1:14">
      <c r="A5203" t="s">
        <v>32</v>
      </c>
      <c r="B5203" t="s">
        <v>5315</v>
      </c>
      <c r="C5203">
        <f>"5009765"</f>
        <v>0</v>
      </c>
      <c r="D5203">
        <v>0</v>
      </c>
      <c r="E5203">
        <v>0</v>
      </c>
      <c r="F5203" s="2">
        <v>0</v>
      </c>
      <c r="H5203">
        <v>0</v>
      </c>
      <c r="I5203">
        <v>0.1741125760648204</v>
      </c>
      <c r="J5203">
        <v>0</v>
      </c>
      <c r="K5203">
        <v>0</v>
      </c>
      <c r="L5203" s="2">
        <v>0</v>
      </c>
      <c r="M5203">
        <v>53.09</v>
      </c>
      <c r="N5203" t="s">
        <v>10236</v>
      </c>
    </row>
    <row r="5204" spans="1:14">
      <c r="A5204" t="s">
        <v>32</v>
      </c>
      <c r="B5204" t="s">
        <v>5316</v>
      </c>
      <c r="C5204">
        <f>"Z011021945"</f>
        <v>0</v>
      </c>
      <c r="D5204">
        <v>0</v>
      </c>
      <c r="E5204">
        <v>0</v>
      </c>
      <c r="F5204" s="2">
        <v>0</v>
      </c>
      <c r="H5204">
        <v>0</v>
      </c>
      <c r="I5204">
        <v>0.1741125760648204</v>
      </c>
      <c r="J5204">
        <v>0</v>
      </c>
      <c r="K5204">
        <v>0</v>
      </c>
      <c r="L5204" s="2">
        <v>0</v>
      </c>
      <c r="M5204">
        <v>53.1</v>
      </c>
      <c r="N5204" t="s">
        <v>10236</v>
      </c>
    </row>
    <row r="5205" spans="1:14">
      <c r="A5205" t="s">
        <v>29</v>
      </c>
      <c r="B5205" t="s">
        <v>5317</v>
      </c>
      <c r="C5205">
        <f>"UV0087"</f>
        <v>0</v>
      </c>
      <c r="D5205">
        <v>0</v>
      </c>
      <c r="E5205">
        <v>1</v>
      </c>
      <c r="F5205" s="2">
        <v>22</v>
      </c>
      <c r="H5205">
        <v>0</v>
      </c>
      <c r="I5205">
        <v>0.1741125760648204</v>
      </c>
      <c r="J5205">
        <v>0</v>
      </c>
      <c r="K5205">
        <v>0</v>
      </c>
      <c r="L5205" s="2">
        <v>0</v>
      </c>
      <c r="M5205">
        <v>53.11</v>
      </c>
      <c r="N5205" t="s">
        <v>10236</v>
      </c>
    </row>
    <row r="5206" spans="1:14">
      <c r="A5206" t="s">
        <v>35</v>
      </c>
      <c r="B5206" t="s">
        <v>5318</v>
      </c>
      <c r="C5206">
        <f>"UOPAA"</f>
        <v>0</v>
      </c>
      <c r="D5206">
        <v>0</v>
      </c>
      <c r="E5206">
        <v>0</v>
      </c>
      <c r="F5206" s="2">
        <v>0</v>
      </c>
      <c r="H5206">
        <v>0</v>
      </c>
      <c r="I5206">
        <v>0.1741125760648204</v>
      </c>
      <c r="J5206">
        <v>0</v>
      </c>
      <c r="K5206">
        <v>0</v>
      </c>
      <c r="L5206" s="2">
        <v>0</v>
      </c>
      <c r="M5206">
        <v>53.12</v>
      </c>
      <c r="N5206" t="s">
        <v>10236</v>
      </c>
    </row>
    <row r="5207" spans="1:14">
      <c r="A5207" t="s">
        <v>35</v>
      </c>
      <c r="B5207" t="s">
        <v>5319</v>
      </c>
      <c r="C5207">
        <f>"RJ816A"</f>
        <v>0</v>
      </c>
      <c r="D5207">
        <v>0</v>
      </c>
      <c r="E5207">
        <v>0</v>
      </c>
      <c r="F5207" s="2">
        <v>0</v>
      </c>
      <c r="H5207">
        <v>0</v>
      </c>
      <c r="I5207">
        <v>0.1741125760648204</v>
      </c>
      <c r="J5207">
        <v>0</v>
      </c>
      <c r="K5207">
        <v>0</v>
      </c>
      <c r="L5207" s="2">
        <v>0</v>
      </c>
      <c r="M5207">
        <v>53.13</v>
      </c>
      <c r="N5207" t="s">
        <v>10236</v>
      </c>
    </row>
    <row r="5208" spans="1:14">
      <c r="A5208" t="s">
        <v>35</v>
      </c>
      <c r="B5208" t="s">
        <v>5320</v>
      </c>
      <c r="C5208">
        <f>"3106MIXAZ"</f>
        <v>0</v>
      </c>
      <c r="D5208">
        <v>0</v>
      </c>
      <c r="E5208">
        <v>0</v>
      </c>
      <c r="F5208" s="2">
        <v>0</v>
      </c>
      <c r="H5208">
        <v>0</v>
      </c>
      <c r="I5208">
        <v>0.1741125760648204</v>
      </c>
      <c r="J5208">
        <v>0</v>
      </c>
      <c r="K5208">
        <v>0</v>
      </c>
      <c r="L5208" s="2">
        <v>0</v>
      </c>
      <c r="M5208">
        <v>53.13</v>
      </c>
      <c r="N5208" t="s">
        <v>10236</v>
      </c>
    </row>
    <row r="5209" spans="1:14">
      <c r="A5209" t="s">
        <v>35</v>
      </c>
      <c r="B5209" t="s">
        <v>5321</v>
      </c>
      <c r="C5209">
        <f>"3105mixB"</f>
        <v>0</v>
      </c>
      <c r="D5209">
        <v>0</v>
      </c>
      <c r="E5209">
        <v>4</v>
      </c>
      <c r="F5209" s="2">
        <v>12</v>
      </c>
      <c r="H5209">
        <v>0</v>
      </c>
      <c r="I5209">
        <v>0.1741125760648204</v>
      </c>
      <c r="J5209">
        <v>0</v>
      </c>
      <c r="K5209">
        <v>0</v>
      </c>
      <c r="L5209" s="2">
        <v>0</v>
      </c>
      <c r="M5209">
        <v>53.14</v>
      </c>
      <c r="N5209" t="s">
        <v>10236</v>
      </c>
    </row>
    <row r="5210" spans="1:14">
      <c r="A5210" t="s">
        <v>35</v>
      </c>
      <c r="B5210" t="s">
        <v>5322</v>
      </c>
      <c r="C5210">
        <f>"3105mixA"</f>
        <v>0</v>
      </c>
      <c r="D5210">
        <v>0</v>
      </c>
      <c r="E5210">
        <v>0</v>
      </c>
      <c r="F5210" s="2">
        <v>0</v>
      </c>
      <c r="H5210">
        <v>0</v>
      </c>
      <c r="I5210">
        <v>0.1741125760648204</v>
      </c>
      <c r="J5210">
        <v>0</v>
      </c>
      <c r="K5210">
        <v>0</v>
      </c>
      <c r="L5210" s="2">
        <v>0</v>
      </c>
      <c r="M5210">
        <v>53.15</v>
      </c>
      <c r="N5210" t="s">
        <v>10236</v>
      </c>
    </row>
    <row r="5211" spans="1:14">
      <c r="A5211" t="s">
        <v>35</v>
      </c>
      <c r="B5211" t="s">
        <v>5323</v>
      </c>
      <c r="C5211">
        <f>"3105mixR"</f>
        <v>0</v>
      </c>
      <c r="D5211">
        <v>0</v>
      </c>
      <c r="E5211">
        <v>0</v>
      </c>
      <c r="F5211" s="2">
        <v>0</v>
      </c>
      <c r="H5211">
        <v>0</v>
      </c>
      <c r="I5211">
        <v>0.1741125760648204</v>
      </c>
      <c r="J5211">
        <v>0</v>
      </c>
      <c r="K5211">
        <v>0</v>
      </c>
      <c r="L5211" s="2">
        <v>0</v>
      </c>
      <c r="M5211">
        <v>53.16</v>
      </c>
      <c r="N5211" t="s">
        <v>10236</v>
      </c>
    </row>
    <row r="5212" spans="1:14">
      <c r="A5212" t="s">
        <v>35</v>
      </c>
      <c r="B5212" t="s">
        <v>5324</v>
      </c>
      <c r="C5212">
        <f>"BEG02"</f>
        <v>0</v>
      </c>
      <c r="D5212">
        <v>0</v>
      </c>
      <c r="E5212">
        <v>0</v>
      </c>
      <c r="F5212" s="2">
        <v>0</v>
      </c>
      <c r="H5212">
        <v>0</v>
      </c>
      <c r="I5212">
        <v>0.1741125760648204</v>
      </c>
      <c r="J5212">
        <v>0</v>
      </c>
      <c r="K5212">
        <v>0</v>
      </c>
      <c r="L5212" s="2">
        <v>0</v>
      </c>
      <c r="M5212">
        <v>53.17</v>
      </c>
      <c r="N5212" t="s">
        <v>10236</v>
      </c>
    </row>
    <row r="5213" spans="1:14">
      <c r="A5213" t="s">
        <v>35</v>
      </c>
      <c r="B5213" t="s">
        <v>5325</v>
      </c>
      <c r="C5213">
        <f>"BEG02A"</f>
        <v>0</v>
      </c>
      <c r="D5213">
        <v>0</v>
      </c>
      <c r="E5213">
        <v>0</v>
      </c>
      <c r="F5213" s="2">
        <v>0</v>
      </c>
      <c r="H5213">
        <v>0</v>
      </c>
      <c r="I5213">
        <v>0.1741125760648204</v>
      </c>
      <c r="J5213">
        <v>0</v>
      </c>
      <c r="K5213">
        <v>0</v>
      </c>
      <c r="L5213" s="2">
        <v>0</v>
      </c>
      <c r="M5213">
        <v>53.18</v>
      </c>
      <c r="N5213" t="s">
        <v>10236</v>
      </c>
    </row>
    <row r="5214" spans="1:14">
      <c r="A5214" t="s">
        <v>35</v>
      </c>
      <c r="B5214" t="s">
        <v>5326</v>
      </c>
      <c r="C5214">
        <f>"D502C"</f>
        <v>0</v>
      </c>
      <c r="D5214">
        <v>0</v>
      </c>
      <c r="E5214">
        <v>0</v>
      </c>
      <c r="F5214" s="2">
        <v>0</v>
      </c>
      <c r="H5214">
        <v>0</v>
      </c>
      <c r="I5214">
        <v>0.1741125760648204</v>
      </c>
      <c r="J5214">
        <v>0</v>
      </c>
      <c r="K5214">
        <v>0</v>
      </c>
      <c r="L5214" s="2">
        <v>0</v>
      </c>
      <c r="M5214">
        <v>53.19</v>
      </c>
      <c r="N5214" t="s">
        <v>10236</v>
      </c>
    </row>
    <row r="5215" spans="1:14">
      <c r="A5215" t="s">
        <v>35</v>
      </c>
      <c r="B5215" t="s">
        <v>5327</v>
      </c>
      <c r="C5215">
        <f>"D501"</f>
        <v>0</v>
      </c>
      <c r="D5215">
        <v>0</v>
      </c>
      <c r="E5215">
        <v>0</v>
      </c>
      <c r="F5215" s="2">
        <v>0</v>
      </c>
      <c r="H5215">
        <v>0</v>
      </c>
      <c r="I5215">
        <v>0.1741125760648204</v>
      </c>
      <c r="J5215">
        <v>0</v>
      </c>
      <c r="K5215">
        <v>0</v>
      </c>
      <c r="L5215" s="2">
        <v>0</v>
      </c>
      <c r="M5215">
        <v>53.2</v>
      </c>
      <c r="N5215" t="s">
        <v>10236</v>
      </c>
    </row>
    <row r="5216" spans="1:14">
      <c r="A5216" t="s">
        <v>25</v>
      </c>
      <c r="B5216" t="s">
        <v>5328</v>
      </c>
      <c r="C5216">
        <f>"S307"</f>
        <v>0</v>
      </c>
      <c r="D5216">
        <v>0</v>
      </c>
      <c r="E5216">
        <v>0</v>
      </c>
      <c r="F5216" s="2">
        <v>0</v>
      </c>
      <c r="H5216">
        <v>0</v>
      </c>
      <c r="I5216">
        <v>0.1741125760648204</v>
      </c>
      <c r="J5216">
        <v>0</v>
      </c>
      <c r="K5216">
        <v>0</v>
      </c>
      <c r="L5216" s="2">
        <v>0</v>
      </c>
      <c r="M5216">
        <v>53.21</v>
      </c>
      <c r="N5216" t="s">
        <v>10236</v>
      </c>
    </row>
    <row r="5217" spans="1:14">
      <c r="A5217" t="s">
        <v>35</v>
      </c>
      <c r="B5217" t="s">
        <v>5329</v>
      </c>
      <c r="C5217">
        <f>"PS1015"</f>
        <v>0</v>
      </c>
      <c r="D5217">
        <v>0</v>
      </c>
      <c r="E5217">
        <v>3</v>
      </c>
      <c r="F5217" s="2">
        <v>3</v>
      </c>
      <c r="H5217">
        <v>0</v>
      </c>
      <c r="I5217">
        <v>0.1741125760648204</v>
      </c>
      <c r="J5217">
        <v>0</v>
      </c>
      <c r="K5217">
        <v>0</v>
      </c>
      <c r="L5217" s="2">
        <v>0</v>
      </c>
      <c r="M5217">
        <v>53.22</v>
      </c>
      <c r="N5217" t="s">
        <v>10236</v>
      </c>
    </row>
    <row r="5218" spans="1:14">
      <c r="A5218" t="s">
        <v>231</v>
      </c>
      <c r="B5218" t="s">
        <v>5330</v>
      </c>
      <c r="C5218">
        <f>"1006551"</f>
        <v>0</v>
      </c>
      <c r="D5218">
        <v>0</v>
      </c>
      <c r="E5218">
        <v>0</v>
      </c>
      <c r="F5218" s="2">
        <v>0</v>
      </c>
      <c r="H5218">
        <v>0</v>
      </c>
      <c r="I5218">
        <v>0.1741125760648204</v>
      </c>
      <c r="J5218">
        <v>0</v>
      </c>
      <c r="K5218">
        <v>0</v>
      </c>
      <c r="L5218" s="2">
        <v>0</v>
      </c>
      <c r="M5218">
        <v>53.23</v>
      </c>
      <c r="N5218" t="s">
        <v>10236</v>
      </c>
    </row>
    <row r="5219" spans="1:14">
      <c r="A5219" t="s">
        <v>35</v>
      </c>
      <c r="B5219" t="s">
        <v>5331</v>
      </c>
      <c r="C5219">
        <f>"MSP009TA"</f>
        <v>0</v>
      </c>
      <c r="D5219">
        <v>0</v>
      </c>
      <c r="E5219">
        <v>1</v>
      </c>
      <c r="F5219" s="2">
        <v>15</v>
      </c>
      <c r="H5219">
        <v>0</v>
      </c>
      <c r="I5219">
        <v>0.1741125760648204</v>
      </c>
      <c r="J5219">
        <v>0</v>
      </c>
      <c r="K5219">
        <v>0</v>
      </c>
      <c r="L5219" s="2">
        <v>0</v>
      </c>
      <c r="M5219">
        <v>53.24</v>
      </c>
      <c r="N5219" t="s">
        <v>10236</v>
      </c>
    </row>
    <row r="5220" spans="1:14">
      <c r="A5220" t="s">
        <v>35</v>
      </c>
      <c r="B5220" t="s">
        <v>5332</v>
      </c>
      <c r="C5220">
        <f>"3105LOVE"</f>
        <v>0</v>
      </c>
      <c r="D5220">
        <v>0</v>
      </c>
      <c r="E5220">
        <v>4</v>
      </c>
      <c r="F5220" s="2">
        <v>13</v>
      </c>
      <c r="H5220">
        <v>0</v>
      </c>
      <c r="I5220">
        <v>0.1741125760648204</v>
      </c>
      <c r="J5220">
        <v>0</v>
      </c>
      <c r="K5220">
        <v>0</v>
      </c>
      <c r="L5220" s="2">
        <v>0</v>
      </c>
      <c r="M5220">
        <v>53.25</v>
      </c>
      <c r="N5220" t="s">
        <v>10236</v>
      </c>
    </row>
    <row r="5221" spans="1:14">
      <c r="A5221" t="s">
        <v>35</v>
      </c>
      <c r="B5221" t="s">
        <v>5333</v>
      </c>
      <c r="C5221">
        <f>"B1093234XLA"</f>
        <v>0</v>
      </c>
      <c r="D5221">
        <v>0</v>
      </c>
      <c r="E5221">
        <v>2</v>
      </c>
      <c r="F5221" s="2">
        <v>9</v>
      </c>
      <c r="H5221">
        <v>0</v>
      </c>
      <c r="I5221">
        <v>0.1741125760648204</v>
      </c>
      <c r="J5221">
        <v>0</v>
      </c>
      <c r="K5221">
        <v>0</v>
      </c>
      <c r="L5221" s="2">
        <v>0</v>
      </c>
      <c r="M5221">
        <v>53.25</v>
      </c>
      <c r="N5221" t="s">
        <v>10236</v>
      </c>
    </row>
    <row r="5222" spans="1:14">
      <c r="A5222" t="s">
        <v>35</v>
      </c>
      <c r="B5222" t="s">
        <v>5334</v>
      </c>
      <c r="C5222">
        <f>"B1093233XLR"</f>
        <v>0</v>
      </c>
      <c r="D5222">
        <v>0</v>
      </c>
      <c r="E5222">
        <v>1</v>
      </c>
      <c r="F5222" s="2">
        <v>9</v>
      </c>
      <c r="H5222">
        <v>0</v>
      </c>
      <c r="I5222">
        <v>0.1741125760648204</v>
      </c>
      <c r="J5222">
        <v>0</v>
      </c>
      <c r="K5222">
        <v>0</v>
      </c>
      <c r="L5222" s="2">
        <v>0</v>
      </c>
      <c r="M5222">
        <v>53.26</v>
      </c>
      <c r="N5222" t="s">
        <v>10236</v>
      </c>
    </row>
    <row r="5223" spans="1:14">
      <c r="A5223" t="s">
        <v>35</v>
      </c>
      <c r="B5223" t="s">
        <v>5335</v>
      </c>
      <c r="C5223">
        <f>"B1093233XLC"</f>
        <v>0</v>
      </c>
      <c r="D5223">
        <v>0</v>
      </c>
      <c r="E5223">
        <v>2</v>
      </c>
      <c r="F5223" s="2">
        <v>9</v>
      </c>
      <c r="H5223">
        <v>0</v>
      </c>
      <c r="I5223">
        <v>0.1741125760648204</v>
      </c>
      <c r="J5223">
        <v>0</v>
      </c>
      <c r="K5223">
        <v>0</v>
      </c>
      <c r="L5223" s="2">
        <v>0</v>
      </c>
      <c r="M5223">
        <v>53.27</v>
      </c>
      <c r="N5223" t="s">
        <v>10236</v>
      </c>
    </row>
    <row r="5224" spans="1:14">
      <c r="A5224" t="s">
        <v>35</v>
      </c>
      <c r="B5224" t="s">
        <v>5336</v>
      </c>
      <c r="C5224">
        <f>"B1093233XLA"</f>
        <v>0</v>
      </c>
      <c r="D5224">
        <v>0</v>
      </c>
      <c r="E5224">
        <v>1</v>
      </c>
      <c r="F5224" s="2">
        <v>9</v>
      </c>
      <c r="H5224">
        <v>0</v>
      </c>
      <c r="I5224">
        <v>0.1741125760648204</v>
      </c>
      <c r="J5224">
        <v>0</v>
      </c>
      <c r="K5224">
        <v>0</v>
      </c>
      <c r="L5224" s="2">
        <v>0</v>
      </c>
      <c r="M5224">
        <v>53.28</v>
      </c>
      <c r="N5224" t="s">
        <v>10236</v>
      </c>
    </row>
    <row r="5225" spans="1:14">
      <c r="A5225" t="s">
        <v>35</v>
      </c>
      <c r="B5225" t="s">
        <v>5337</v>
      </c>
      <c r="C5225">
        <f>"B1093232XLR"</f>
        <v>0</v>
      </c>
      <c r="D5225">
        <v>0</v>
      </c>
      <c r="E5225">
        <v>1</v>
      </c>
      <c r="F5225" s="2">
        <v>8</v>
      </c>
      <c r="H5225">
        <v>0</v>
      </c>
      <c r="I5225">
        <v>0.1741125760648204</v>
      </c>
      <c r="J5225">
        <v>0</v>
      </c>
      <c r="K5225">
        <v>0</v>
      </c>
      <c r="L5225" s="2">
        <v>0</v>
      </c>
      <c r="M5225">
        <v>53.29</v>
      </c>
      <c r="N5225" t="s">
        <v>10236</v>
      </c>
    </row>
    <row r="5226" spans="1:14">
      <c r="A5226" t="s">
        <v>35</v>
      </c>
      <c r="B5226" t="s">
        <v>5338</v>
      </c>
      <c r="C5226">
        <f>"B1093232XLC"</f>
        <v>0</v>
      </c>
      <c r="D5226">
        <v>0</v>
      </c>
      <c r="E5226">
        <v>1</v>
      </c>
      <c r="F5226" s="2">
        <v>8</v>
      </c>
      <c r="H5226">
        <v>0</v>
      </c>
      <c r="I5226">
        <v>0.1741125760648204</v>
      </c>
      <c r="J5226">
        <v>0</v>
      </c>
      <c r="K5226">
        <v>0</v>
      </c>
      <c r="L5226" s="2">
        <v>0</v>
      </c>
      <c r="M5226">
        <v>53.3</v>
      </c>
      <c r="N5226" t="s">
        <v>10236</v>
      </c>
    </row>
    <row r="5227" spans="1:14">
      <c r="A5227" t="s">
        <v>35</v>
      </c>
      <c r="B5227" t="s">
        <v>5339</v>
      </c>
      <c r="C5227">
        <f>"B1093232XLA"</f>
        <v>0</v>
      </c>
      <c r="D5227">
        <v>0</v>
      </c>
      <c r="E5227">
        <v>2</v>
      </c>
      <c r="F5227" s="2">
        <v>8</v>
      </c>
      <c r="H5227">
        <v>0</v>
      </c>
      <c r="I5227">
        <v>0.1741125760648204</v>
      </c>
      <c r="J5227">
        <v>0</v>
      </c>
      <c r="K5227">
        <v>0</v>
      </c>
      <c r="L5227" s="2">
        <v>0</v>
      </c>
      <c r="M5227">
        <v>53.31</v>
      </c>
      <c r="N5227" t="s">
        <v>10236</v>
      </c>
    </row>
    <row r="5228" spans="1:14">
      <c r="A5228" t="s">
        <v>215</v>
      </c>
      <c r="B5228" t="s">
        <v>5340</v>
      </c>
      <c r="C5228">
        <f>"K01800"</f>
        <v>0</v>
      </c>
      <c r="D5228">
        <v>0</v>
      </c>
      <c r="E5228">
        <v>0</v>
      </c>
      <c r="F5228" s="2">
        <v>0</v>
      </c>
      <c r="H5228">
        <v>0</v>
      </c>
      <c r="I5228">
        <v>0.1741125760648204</v>
      </c>
      <c r="J5228">
        <v>0</v>
      </c>
      <c r="K5228">
        <v>0</v>
      </c>
      <c r="L5228" s="2">
        <v>0</v>
      </c>
      <c r="M5228">
        <v>53.32</v>
      </c>
      <c r="N5228" t="s">
        <v>10236</v>
      </c>
    </row>
    <row r="5229" spans="1:14">
      <c r="A5229" t="s">
        <v>195</v>
      </c>
      <c r="B5229" t="s">
        <v>5341</v>
      </c>
      <c r="C5229">
        <f>"25395651"</f>
        <v>0</v>
      </c>
      <c r="D5229">
        <v>0</v>
      </c>
      <c r="E5229">
        <v>0</v>
      </c>
      <c r="F5229" s="2">
        <v>0</v>
      </c>
      <c r="H5229">
        <v>0</v>
      </c>
      <c r="I5229">
        <v>0.1741125760648204</v>
      </c>
      <c r="J5229">
        <v>0</v>
      </c>
      <c r="K5229">
        <v>0</v>
      </c>
      <c r="L5229" s="2">
        <v>0</v>
      </c>
      <c r="M5229">
        <v>53.33</v>
      </c>
      <c r="N5229" t="s">
        <v>10236</v>
      </c>
    </row>
    <row r="5230" spans="1:14">
      <c r="A5230" t="s">
        <v>36</v>
      </c>
      <c r="B5230" t="s">
        <v>5342</v>
      </c>
      <c r="C5230">
        <f>"86542293"</f>
        <v>0</v>
      </c>
      <c r="D5230">
        <v>0</v>
      </c>
      <c r="E5230">
        <v>0</v>
      </c>
      <c r="F5230" s="2">
        <v>0</v>
      </c>
      <c r="H5230">
        <v>0</v>
      </c>
      <c r="I5230">
        <v>0.1741125760648204</v>
      </c>
      <c r="J5230">
        <v>0</v>
      </c>
      <c r="K5230">
        <v>0</v>
      </c>
      <c r="L5230" s="2">
        <v>0</v>
      </c>
      <c r="M5230">
        <v>53.34</v>
      </c>
      <c r="N5230" t="s">
        <v>10236</v>
      </c>
    </row>
    <row r="5231" spans="1:14">
      <c r="A5231" t="s">
        <v>36</v>
      </c>
      <c r="B5231" t="s">
        <v>5343</v>
      </c>
      <c r="C5231">
        <f>"86542315"</f>
        <v>0</v>
      </c>
      <c r="D5231">
        <v>0</v>
      </c>
      <c r="E5231">
        <v>0</v>
      </c>
      <c r="F5231" s="2">
        <v>0</v>
      </c>
      <c r="H5231">
        <v>0</v>
      </c>
      <c r="I5231">
        <v>0.1741125760648204</v>
      </c>
      <c r="J5231">
        <v>0</v>
      </c>
      <c r="K5231">
        <v>0</v>
      </c>
      <c r="L5231" s="2">
        <v>0</v>
      </c>
      <c r="M5231">
        <v>53.35</v>
      </c>
      <c r="N5231" t="s">
        <v>10236</v>
      </c>
    </row>
    <row r="5232" spans="1:14">
      <c r="A5232" t="s">
        <v>36</v>
      </c>
      <c r="B5232" t="s">
        <v>5344</v>
      </c>
      <c r="C5232">
        <f>"86542331"</f>
        <v>0</v>
      </c>
      <c r="D5232">
        <v>0</v>
      </c>
      <c r="E5232">
        <v>0</v>
      </c>
      <c r="F5232" s="2">
        <v>0</v>
      </c>
      <c r="H5232">
        <v>0</v>
      </c>
      <c r="I5232">
        <v>0.1741125760648204</v>
      </c>
      <c r="J5232">
        <v>0</v>
      </c>
      <c r="K5232">
        <v>0</v>
      </c>
      <c r="L5232" s="2">
        <v>0</v>
      </c>
      <c r="M5232">
        <v>53.36</v>
      </c>
      <c r="N5232" t="s">
        <v>10236</v>
      </c>
    </row>
    <row r="5233" spans="1:14">
      <c r="A5233" t="s">
        <v>215</v>
      </c>
      <c r="B5233" t="s">
        <v>5345</v>
      </c>
      <c r="C5233">
        <f>"BDAC3271"</f>
        <v>0</v>
      </c>
      <c r="D5233">
        <v>0</v>
      </c>
      <c r="E5233">
        <v>0</v>
      </c>
      <c r="F5233" s="2">
        <v>0</v>
      </c>
      <c r="H5233">
        <v>0</v>
      </c>
      <c r="I5233">
        <v>0.1741125760648204</v>
      </c>
      <c r="J5233">
        <v>0</v>
      </c>
      <c r="K5233">
        <v>0</v>
      </c>
      <c r="L5233" s="2">
        <v>0</v>
      </c>
      <c r="M5233">
        <v>53.36</v>
      </c>
      <c r="N5233" t="s">
        <v>10236</v>
      </c>
    </row>
    <row r="5234" spans="1:14">
      <c r="A5234" t="s">
        <v>30</v>
      </c>
      <c r="B5234" t="s">
        <v>5346</v>
      </c>
      <c r="C5234">
        <f>"101327"</f>
        <v>0</v>
      </c>
      <c r="D5234">
        <v>0</v>
      </c>
      <c r="E5234">
        <v>0</v>
      </c>
      <c r="F5234" s="2">
        <v>0</v>
      </c>
      <c r="H5234">
        <v>0</v>
      </c>
      <c r="I5234">
        <v>0.1741125760648204</v>
      </c>
      <c r="J5234">
        <v>0</v>
      </c>
      <c r="K5234">
        <v>0</v>
      </c>
      <c r="L5234" s="2">
        <v>0</v>
      </c>
      <c r="M5234">
        <v>53.37</v>
      </c>
      <c r="N5234" t="s">
        <v>10236</v>
      </c>
    </row>
    <row r="5235" spans="1:14">
      <c r="A5235" t="s">
        <v>35</v>
      </c>
      <c r="B5235" t="s">
        <v>5347</v>
      </c>
      <c r="C5235">
        <f>"VXS"</f>
        <v>0</v>
      </c>
      <c r="D5235">
        <v>0</v>
      </c>
      <c r="E5235">
        <v>0</v>
      </c>
      <c r="F5235" s="2">
        <v>0</v>
      </c>
      <c r="H5235">
        <v>0</v>
      </c>
      <c r="I5235">
        <v>0.1741125760648204</v>
      </c>
      <c r="J5235">
        <v>0</v>
      </c>
      <c r="K5235">
        <v>0</v>
      </c>
      <c r="L5235" s="2">
        <v>0</v>
      </c>
      <c r="M5235">
        <v>53.38</v>
      </c>
      <c r="N5235" t="s">
        <v>10236</v>
      </c>
    </row>
    <row r="5236" spans="1:14">
      <c r="A5236" t="s">
        <v>35</v>
      </c>
      <c r="B5236" t="s">
        <v>5348</v>
      </c>
      <c r="C5236">
        <f>"VSM"</f>
        <v>0</v>
      </c>
      <c r="D5236">
        <v>0</v>
      </c>
      <c r="E5236">
        <v>0</v>
      </c>
      <c r="F5236" s="2">
        <v>0</v>
      </c>
      <c r="H5236">
        <v>0</v>
      </c>
      <c r="I5236">
        <v>0.1741125760648204</v>
      </c>
      <c r="J5236">
        <v>0</v>
      </c>
      <c r="K5236">
        <v>0</v>
      </c>
      <c r="L5236" s="2">
        <v>0</v>
      </c>
      <c r="M5236">
        <v>53.39</v>
      </c>
      <c r="N5236" t="s">
        <v>10236</v>
      </c>
    </row>
    <row r="5237" spans="1:14">
      <c r="A5237" t="s">
        <v>35</v>
      </c>
      <c r="B5237" t="s">
        <v>5349</v>
      </c>
      <c r="C5237">
        <f>"VLXL"</f>
        <v>0</v>
      </c>
      <c r="D5237">
        <v>0</v>
      </c>
      <c r="E5237">
        <v>0</v>
      </c>
      <c r="F5237" s="2">
        <v>0</v>
      </c>
      <c r="H5237">
        <v>0</v>
      </c>
      <c r="I5237">
        <v>0.1741125760648204</v>
      </c>
      <c r="J5237">
        <v>0</v>
      </c>
      <c r="K5237">
        <v>0</v>
      </c>
      <c r="L5237" s="2">
        <v>0</v>
      </c>
      <c r="M5237">
        <v>53.4</v>
      </c>
      <c r="N5237" t="s">
        <v>10236</v>
      </c>
    </row>
    <row r="5238" spans="1:14">
      <c r="A5238" t="s">
        <v>35</v>
      </c>
      <c r="B5238" t="s">
        <v>5350</v>
      </c>
      <c r="C5238">
        <f>"VNV2"</f>
        <v>0</v>
      </c>
      <c r="D5238">
        <v>0</v>
      </c>
      <c r="E5238">
        <v>4</v>
      </c>
      <c r="F5238" s="2">
        <v>0</v>
      </c>
      <c r="H5238">
        <v>0</v>
      </c>
      <c r="I5238">
        <v>0.1741125760648204</v>
      </c>
      <c r="J5238">
        <v>0</v>
      </c>
      <c r="K5238">
        <v>0</v>
      </c>
      <c r="L5238" s="2">
        <v>0</v>
      </c>
      <c r="M5238">
        <v>53.41</v>
      </c>
      <c r="N5238" t="s">
        <v>10236</v>
      </c>
    </row>
    <row r="5239" spans="1:14">
      <c r="A5239" t="s">
        <v>35</v>
      </c>
      <c r="B5239" t="s">
        <v>5351</v>
      </c>
      <c r="C5239">
        <f>"VNV1"</f>
        <v>0</v>
      </c>
      <c r="D5239">
        <v>0</v>
      </c>
      <c r="E5239">
        <v>1</v>
      </c>
      <c r="F5239" s="2">
        <v>0</v>
      </c>
      <c r="H5239">
        <v>0</v>
      </c>
      <c r="I5239">
        <v>0.1741125760648204</v>
      </c>
      <c r="J5239">
        <v>0</v>
      </c>
      <c r="K5239">
        <v>0</v>
      </c>
      <c r="L5239" s="2">
        <v>0</v>
      </c>
      <c r="M5239">
        <v>53.42</v>
      </c>
      <c r="N5239" t="s">
        <v>10236</v>
      </c>
    </row>
    <row r="5240" spans="1:14">
      <c r="A5240" t="s">
        <v>35</v>
      </c>
      <c r="B5240" t="s">
        <v>5352</v>
      </c>
      <c r="C5240">
        <f>"XQ69S"</f>
        <v>0</v>
      </c>
      <c r="D5240">
        <v>0</v>
      </c>
      <c r="E5240">
        <v>2</v>
      </c>
      <c r="F5240" s="2">
        <v>2</v>
      </c>
      <c r="H5240">
        <v>0</v>
      </c>
      <c r="I5240">
        <v>0.1741125760648204</v>
      </c>
      <c r="J5240">
        <v>0</v>
      </c>
      <c r="K5240">
        <v>0</v>
      </c>
      <c r="L5240" s="2">
        <v>0</v>
      </c>
      <c r="M5240">
        <v>53.43</v>
      </c>
      <c r="N5240" t="s">
        <v>10236</v>
      </c>
    </row>
    <row r="5241" spans="1:14">
      <c r="A5241" t="s">
        <v>35</v>
      </c>
      <c r="B5241" t="s">
        <v>5353</v>
      </c>
      <c r="C5241">
        <f>"XQ69M"</f>
        <v>0</v>
      </c>
      <c r="D5241">
        <v>0</v>
      </c>
      <c r="E5241">
        <v>2</v>
      </c>
      <c r="F5241" s="2">
        <v>2</v>
      </c>
      <c r="H5241">
        <v>0</v>
      </c>
      <c r="I5241">
        <v>0.1741125760648204</v>
      </c>
      <c r="J5241">
        <v>0</v>
      </c>
      <c r="K5241">
        <v>0</v>
      </c>
      <c r="L5241" s="2">
        <v>0</v>
      </c>
      <c r="M5241">
        <v>53.44</v>
      </c>
      <c r="N5241" t="s">
        <v>10236</v>
      </c>
    </row>
    <row r="5242" spans="1:14">
      <c r="A5242" t="s">
        <v>35</v>
      </c>
      <c r="B5242" t="s">
        <v>5354</v>
      </c>
      <c r="C5242">
        <f>"XQ69L"</f>
        <v>0</v>
      </c>
      <c r="D5242">
        <v>0</v>
      </c>
      <c r="E5242">
        <v>2</v>
      </c>
      <c r="F5242" s="2">
        <v>2</v>
      </c>
      <c r="H5242">
        <v>0</v>
      </c>
      <c r="I5242">
        <v>0.1741125760648204</v>
      </c>
      <c r="J5242">
        <v>0</v>
      </c>
      <c r="K5242">
        <v>0</v>
      </c>
      <c r="L5242" s="2">
        <v>0</v>
      </c>
      <c r="M5242">
        <v>53.45</v>
      </c>
      <c r="N5242" t="s">
        <v>10236</v>
      </c>
    </row>
    <row r="5243" spans="1:14">
      <c r="A5243" t="s">
        <v>35</v>
      </c>
      <c r="B5243" t="s">
        <v>5355</v>
      </c>
      <c r="C5243">
        <f>"VVHRXL"</f>
        <v>0</v>
      </c>
      <c r="D5243">
        <v>0</v>
      </c>
      <c r="E5243">
        <v>0</v>
      </c>
      <c r="F5243" s="2">
        <v>0</v>
      </c>
      <c r="H5243">
        <v>0</v>
      </c>
      <c r="I5243">
        <v>0.1741125760648204</v>
      </c>
      <c r="J5243">
        <v>0</v>
      </c>
      <c r="K5243">
        <v>0</v>
      </c>
      <c r="L5243" s="2">
        <v>0</v>
      </c>
      <c r="M5243">
        <v>53.46</v>
      </c>
      <c r="N5243" t="s">
        <v>10236</v>
      </c>
    </row>
    <row r="5244" spans="1:14">
      <c r="A5244" t="s">
        <v>35</v>
      </c>
      <c r="B5244" t="s">
        <v>5356</v>
      </c>
      <c r="C5244">
        <f>"VVHRS"</f>
        <v>0</v>
      </c>
      <c r="D5244">
        <v>0</v>
      </c>
      <c r="E5244">
        <v>0</v>
      </c>
      <c r="F5244" s="2">
        <v>0</v>
      </c>
      <c r="H5244">
        <v>0</v>
      </c>
      <c r="I5244">
        <v>0.1741125760648204</v>
      </c>
      <c r="J5244">
        <v>0</v>
      </c>
      <c r="K5244">
        <v>0</v>
      </c>
      <c r="L5244" s="2">
        <v>0</v>
      </c>
      <c r="M5244">
        <v>53.47</v>
      </c>
      <c r="N5244" t="s">
        <v>10236</v>
      </c>
    </row>
    <row r="5245" spans="1:14">
      <c r="A5245" t="s">
        <v>35</v>
      </c>
      <c r="B5245" t="s">
        <v>5357</v>
      </c>
      <c r="C5245">
        <f>"VHTUR"</f>
        <v>0</v>
      </c>
      <c r="D5245">
        <v>0</v>
      </c>
      <c r="E5245">
        <v>0</v>
      </c>
      <c r="F5245" s="2">
        <v>0</v>
      </c>
      <c r="H5245">
        <v>0</v>
      </c>
      <c r="I5245">
        <v>0.1741125760648204</v>
      </c>
      <c r="J5245">
        <v>0</v>
      </c>
      <c r="K5245">
        <v>0</v>
      </c>
      <c r="L5245" s="2">
        <v>0</v>
      </c>
      <c r="M5245">
        <v>53.48</v>
      </c>
      <c r="N5245" t="s">
        <v>10236</v>
      </c>
    </row>
    <row r="5246" spans="1:14">
      <c r="A5246" t="s">
        <v>35</v>
      </c>
      <c r="B5246" t="s">
        <v>5358</v>
      </c>
      <c r="C5246">
        <f>"VFPXS"</f>
        <v>0</v>
      </c>
      <c r="D5246">
        <v>0</v>
      </c>
      <c r="E5246">
        <v>0</v>
      </c>
      <c r="F5246" s="2">
        <v>0</v>
      </c>
      <c r="H5246">
        <v>0</v>
      </c>
      <c r="I5246">
        <v>0.1741125760648204</v>
      </c>
      <c r="J5246">
        <v>0</v>
      </c>
      <c r="K5246">
        <v>0</v>
      </c>
      <c r="L5246" s="2">
        <v>0</v>
      </c>
      <c r="M5246">
        <v>53.48</v>
      </c>
      <c r="N5246" t="s">
        <v>10236</v>
      </c>
    </row>
    <row r="5247" spans="1:14">
      <c r="A5247" t="s">
        <v>35</v>
      </c>
      <c r="B5247" t="s">
        <v>5359</v>
      </c>
      <c r="C5247">
        <f>"VFPXL"</f>
        <v>0</v>
      </c>
      <c r="D5247">
        <v>0</v>
      </c>
      <c r="E5247">
        <v>0</v>
      </c>
      <c r="F5247" s="2">
        <v>0</v>
      </c>
      <c r="H5247">
        <v>0</v>
      </c>
      <c r="I5247">
        <v>0.1741125760648204</v>
      </c>
      <c r="J5247">
        <v>0</v>
      </c>
      <c r="K5247">
        <v>0</v>
      </c>
      <c r="L5247" s="2">
        <v>0</v>
      </c>
      <c r="M5247">
        <v>53.49</v>
      </c>
      <c r="N5247" t="s">
        <v>10236</v>
      </c>
    </row>
    <row r="5248" spans="1:14">
      <c r="A5248" t="s">
        <v>35</v>
      </c>
      <c r="B5248" t="s">
        <v>5360</v>
      </c>
      <c r="C5248">
        <f>"VFPS"</f>
        <v>0</v>
      </c>
      <c r="D5248">
        <v>0</v>
      </c>
      <c r="E5248">
        <v>0</v>
      </c>
      <c r="F5248" s="2">
        <v>0</v>
      </c>
      <c r="H5248">
        <v>0</v>
      </c>
      <c r="I5248">
        <v>0.1741125760648204</v>
      </c>
      <c r="J5248">
        <v>0</v>
      </c>
      <c r="K5248">
        <v>0</v>
      </c>
      <c r="L5248" s="2">
        <v>0</v>
      </c>
      <c r="M5248">
        <v>53.5</v>
      </c>
      <c r="N5248" t="s">
        <v>10236</v>
      </c>
    </row>
    <row r="5249" spans="1:14">
      <c r="A5249" t="s">
        <v>40</v>
      </c>
      <c r="B5249" t="s">
        <v>5361</v>
      </c>
      <c r="C5249">
        <f>"V100878"</f>
        <v>0</v>
      </c>
      <c r="D5249">
        <v>0</v>
      </c>
      <c r="E5249">
        <v>0</v>
      </c>
      <c r="F5249" s="2">
        <v>0</v>
      </c>
      <c r="H5249">
        <v>0</v>
      </c>
      <c r="I5249">
        <v>0.1741125760648204</v>
      </c>
      <c r="J5249">
        <v>0</v>
      </c>
      <c r="K5249">
        <v>0</v>
      </c>
      <c r="L5249" s="2">
        <v>0</v>
      </c>
      <c r="M5249">
        <v>53.51</v>
      </c>
      <c r="N5249" t="s">
        <v>10236</v>
      </c>
    </row>
    <row r="5250" spans="1:14">
      <c r="A5250" t="s">
        <v>215</v>
      </c>
      <c r="B5250" t="s">
        <v>5362</v>
      </c>
      <c r="C5250">
        <f>"BDAC2273"</f>
        <v>0</v>
      </c>
      <c r="D5250">
        <v>0</v>
      </c>
      <c r="E5250">
        <v>0</v>
      </c>
      <c r="F5250" s="2">
        <v>0</v>
      </c>
      <c r="H5250">
        <v>0</v>
      </c>
      <c r="I5250">
        <v>0.1741125760648204</v>
      </c>
      <c r="J5250">
        <v>0</v>
      </c>
      <c r="K5250">
        <v>0</v>
      </c>
      <c r="L5250" s="2">
        <v>0</v>
      </c>
      <c r="M5250">
        <v>53.52</v>
      </c>
      <c r="N5250" t="s">
        <v>10236</v>
      </c>
    </row>
    <row r="5251" spans="1:14">
      <c r="A5251" t="s">
        <v>215</v>
      </c>
      <c r="B5251" t="s">
        <v>5363</v>
      </c>
      <c r="C5251">
        <f>"K09700"</f>
        <v>0</v>
      </c>
      <c r="D5251">
        <v>0</v>
      </c>
      <c r="E5251">
        <v>0</v>
      </c>
      <c r="F5251" s="2">
        <v>0</v>
      </c>
      <c r="H5251">
        <v>0</v>
      </c>
      <c r="I5251">
        <v>0.1741125760648204</v>
      </c>
      <c r="J5251">
        <v>0</v>
      </c>
      <c r="K5251">
        <v>0</v>
      </c>
      <c r="L5251" s="2">
        <v>0</v>
      </c>
      <c r="M5251">
        <v>53.53</v>
      </c>
      <c r="N5251" t="s">
        <v>10236</v>
      </c>
    </row>
    <row r="5252" spans="1:14">
      <c r="A5252" t="s">
        <v>35</v>
      </c>
      <c r="B5252" t="s">
        <v>5364</v>
      </c>
      <c r="C5252">
        <f>"B7162l"</f>
        <v>0</v>
      </c>
      <c r="D5252">
        <v>0</v>
      </c>
      <c r="E5252">
        <v>1</v>
      </c>
      <c r="F5252" s="2">
        <v>5</v>
      </c>
      <c r="H5252">
        <v>0</v>
      </c>
      <c r="I5252">
        <v>0.1741125760648204</v>
      </c>
      <c r="J5252">
        <v>0</v>
      </c>
      <c r="K5252">
        <v>0</v>
      </c>
      <c r="L5252" s="2">
        <v>0</v>
      </c>
      <c r="M5252">
        <v>53.54</v>
      </c>
      <c r="N5252" t="s">
        <v>10236</v>
      </c>
    </row>
    <row r="5253" spans="1:14">
      <c r="A5253" t="s">
        <v>35</v>
      </c>
      <c r="B5253" t="s">
        <v>5365</v>
      </c>
      <c r="C5253">
        <f>"01002"</f>
        <v>0</v>
      </c>
      <c r="D5253">
        <v>0</v>
      </c>
      <c r="E5253">
        <v>0</v>
      </c>
      <c r="F5253" s="2">
        <v>0</v>
      </c>
      <c r="H5253">
        <v>0</v>
      </c>
      <c r="I5253">
        <v>0.1741125760648204</v>
      </c>
      <c r="J5253">
        <v>0</v>
      </c>
      <c r="K5253">
        <v>0</v>
      </c>
      <c r="L5253" s="2">
        <v>0</v>
      </c>
      <c r="M5253">
        <v>53.55</v>
      </c>
      <c r="N5253" t="s">
        <v>10236</v>
      </c>
    </row>
    <row r="5254" spans="1:14">
      <c r="A5254" t="s">
        <v>35</v>
      </c>
      <c r="B5254" t="s">
        <v>5366</v>
      </c>
      <c r="C5254">
        <f>"01019"</f>
        <v>0</v>
      </c>
      <c r="D5254">
        <v>0</v>
      </c>
      <c r="E5254">
        <v>0</v>
      </c>
      <c r="F5254" s="2">
        <v>0</v>
      </c>
      <c r="H5254">
        <v>0</v>
      </c>
      <c r="I5254">
        <v>0.1741125760648204</v>
      </c>
      <c r="J5254">
        <v>0</v>
      </c>
      <c r="K5254">
        <v>0</v>
      </c>
      <c r="L5254" s="2">
        <v>0</v>
      </c>
      <c r="M5254">
        <v>53.56</v>
      </c>
      <c r="N5254" t="s">
        <v>10236</v>
      </c>
    </row>
    <row r="5255" spans="1:14">
      <c r="A5255" t="s">
        <v>35</v>
      </c>
      <c r="B5255" t="s">
        <v>5367</v>
      </c>
      <c r="C5255">
        <f>"00999"</f>
        <v>0</v>
      </c>
      <c r="D5255">
        <v>0</v>
      </c>
      <c r="E5255">
        <v>0</v>
      </c>
      <c r="F5255" s="2">
        <v>0</v>
      </c>
      <c r="H5255">
        <v>0</v>
      </c>
      <c r="I5255">
        <v>0.1741125760648204</v>
      </c>
      <c r="J5255">
        <v>0</v>
      </c>
      <c r="K5255">
        <v>0</v>
      </c>
      <c r="L5255" s="2">
        <v>0</v>
      </c>
      <c r="M5255">
        <v>53.57</v>
      </c>
      <c r="N5255" t="s">
        <v>10236</v>
      </c>
    </row>
    <row r="5256" spans="1:14">
      <c r="A5256" t="s">
        <v>35</v>
      </c>
      <c r="B5256" t="s">
        <v>5368</v>
      </c>
      <c r="C5256">
        <f>"06472"</f>
        <v>0</v>
      </c>
      <c r="D5256">
        <v>0</v>
      </c>
      <c r="E5256">
        <v>0</v>
      </c>
      <c r="F5256" s="2">
        <v>0</v>
      </c>
      <c r="H5256">
        <v>0</v>
      </c>
      <c r="I5256">
        <v>0.1741125760648204</v>
      </c>
      <c r="J5256">
        <v>0</v>
      </c>
      <c r="K5256">
        <v>0</v>
      </c>
      <c r="L5256" s="2">
        <v>0</v>
      </c>
      <c r="M5256">
        <v>53.58</v>
      </c>
      <c r="N5256" t="s">
        <v>10236</v>
      </c>
    </row>
    <row r="5257" spans="1:14">
      <c r="A5257" t="s">
        <v>35</v>
      </c>
      <c r="B5257" t="s">
        <v>5369</v>
      </c>
      <c r="C5257">
        <f>"06465"</f>
        <v>0</v>
      </c>
      <c r="D5257">
        <v>0</v>
      </c>
      <c r="E5257">
        <v>0</v>
      </c>
      <c r="F5257" s="2">
        <v>0</v>
      </c>
      <c r="H5257">
        <v>0</v>
      </c>
      <c r="I5257">
        <v>0.1741125760648204</v>
      </c>
      <c r="J5257">
        <v>0</v>
      </c>
      <c r="K5257">
        <v>0</v>
      </c>
      <c r="L5257" s="2">
        <v>0</v>
      </c>
      <c r="M5257">
        <v>53.59</v>
      </c>
      <c r="N5257" t="s">
        <v>10236</v>
      </c>
    </row>
    <row r="5258" spans="1:14">
      <c r="A5258" t="s">
        <v>35</v>
      </c>
      <c r="B5258" t="s">
        <v>5370</v>
      </c>
      <c r="C5258">
        <f>"10110"</f>
        <v>0</v>
      </c>
      <c r="D5258">
        <v>0</v>
      </c>
      <c r="E5258">
        <v>0</v>
      </c>
      <c r="F5258" s="2">
        <v>0</v>
      </c>
      <c r="H5258">
        <v>0</v>
      </c>
      <c r="I5258">
        <v>0.1741125760648204</v>
      </c>
      <c r="J5258">
        <v>0</v>
      </c>
      <c r="K5258">
        <v>0</v>
      </c>
      <c r="L5258" s="2">
        <v>0</v>
      </c>
      <c r="M5258">
        <v>53.6</v>
      </c>
      <c r="N5258" t="s">
        <v>10236</v>
      </c>
    </row>
    <row r="5259" spans="1:14">
      <c r="A5259" t="s">
        <v>35</v>
      </c>
      <c r="B5259" t="s">
        <v>5371</v>
      </c>
      <c r="C5259">
        <f>"SDR222"</f>
        <v>0</v>
      </c>
      <c r="D5259">
        <v>0</v>
      </c>
      <c r="E5259">
        <v>1</v>
      </c>
      <c r="F5259" s="2">
        <v>2</v>
      </c>
      <c r="H5259">
        <v>0</v>
      </c>
      <c r="I5259">
        <v>0.1741125760648204</v>
      </c>
      <c r="J5259">
        <v>0</v>
      </c>
      <c r="K5259">
        <v>0</v>
      </c>
      <c r="L5259" s="2">
        <v>0</v>
      </c>
      <c r="M5259">
        <v>53.6</v>
      </c>
      <c r="N5259" t="s">
        <v>10236</v>
      </c>
    </row>
    <row r="5260" spans="1:14">
      <c r="A5260" t="s">
        <v>35</v>
      </c>
      <c r="B5260" t="s">
        <v>5372</v>
      </c>
      <c r="C5260">
        <f>"B109323SA"</f>
        <v>0</v>
      </c>
      <c r="D5260">
        <v>0</v>
      </c>
      <c r="E5260">
        <v>0</v>
      </c>
      <c r="F5260" s="2">
        <v>0</v>
      </c>
      <c r="H5260">
        <v>0</v>
      </c>
      <c r="I5260">
        <v>0.1741125760648204</v>
      </c>
      <c r="J5260">
        <v>0</v>
      </c>
      <c r="K5260">
        <v>0</v>
      </c>
      <c r="L5260" s="2">
        <v>0</v>
      </c>
      <c r="M5260">
        <v>53.61</v>
      </c>
      <c r="N5260" t="s">
        <v>10236</v>
      </c>
    </row>
    <row r="5261" spans="1:14">
      <c r="A5261" t="s">
        <v>25</v>
      </c>
      <c r="B5261" t="s">
        <v>5373</v>
      </c>
      <c r="C5261">
        <f>"3532"</f>
        <v>0</v>
      </c>
      <c r="D5261">
        <v>0</v>
      </c>
      <c r="E5261">
        <v>0</v>
      </c>
      <c r="F5261" s="2">
        <v>0</v>
      </c>
      <c r="H5261">
        <v>0</v>
      </c>
      <c r="I5261">
        <v>0.1741125760648204</v>
      </c>
      <c r="J5261">
        <v>0</v>
      </c>
      <c r="K5261">
        <v>0</v>
      </c>
      <c r="L5261" s="2">
        <v>0</v>
      </c>
      <c r="M5261">
        <v>53.62</v>
      </c>
      <c r="N5261" t="s">
        <v>10236</v>
      </c>
    </row>
    <row r="5262" spans="1:14">
      <c r="A5262" t="s">
        <v>39</v>
      </c>
      <c r="B5262" t="s">
        <v>5374</v>
      </c>
      <c r="C5262">
        <f>"VALIM01037"</f>
        <v>0</v>
      </c>
      <c r="D5262">
        <v>0</v>
      </c>
      <c r="E5262">
        <v>0</v>
      </c>
      <c r="F5262" s="2">
        <v>0</v>
      </c>
      <c r="H5262">
        <v>0</v>
      </c>
      <c r="I5262">
        <v>0.1741125760648204</v>
      </c>
      <c r="J5262">
        <v>0</v>
      </c>
      <c r="K5262">
        <v>0</v>
      </c>
      <c r="L5262" s="2">
        <v>0</v>
      </c>
      <c r="M5262">
        <v>53.63</v>
      </c>
      <c r="N5262" t="s">
        <v>10236</v>
      </c>
    </row>
    <row r="5263" spans="1:14">
      <c r="A5263" t="s">
        <v>215</v>
      </c>
      <c r="B5263" t="s">
        <v>5375</v>
      </c>
      <c r="C5263">
        <f>"BDAT3020"</f>
        <v>0</v>
      </c>
      <c r="D5263">
        <v>0</v>
      </c>
      <c r="E5263">
        <v>0</v>
      </c>
      <c r="F5263" s="2">
        <v>0</v>
      </c>
      <c r="H5263">
        <v>0</v>
      </c>
      <c r="I5263">
        <v>0.1741125760648204</v>
      </c>
      <c r="J5263">
        <v>0</v>
      </c>
      <c r="K5263">
        <v>0</v>
      </c>
      <c r="L5263" s="2">
        <v>0</v>
      </c>
      <c r="M5263">
        <v>53.64</v>
      </c>
      <c r="N5263" t="s">
        <v>10236</v>
      </c>
    </row>
    <row r="5264" spans="1:14">
      <c r="A5264" t="s">
        <v>35</v>
      </c>
      <c r="B5264" t="s">
        <v>5376</v>
      </c>
      <c r="C5264">
        <f>"MSP009TR"</f>
        <v>0</v>
      </c>
      <c r="D5264">
        <v>0</v>
      </c>
      <c r="E5264">
        <v>0</v>
      </c>
      <c r="F5264" s="2">
        <v>0</v>
      </c>
      <c r="H5264">
        <v>0</v>
      </c>
      <c r="I5264">
        <v>0.1741125760648204</v>
      </c>
      <c r="J5264">
        <v>0</v>
      </c>
      <c r="K5264">
        <v>0</v>
      </c>
      <c r="L5264" s="2">
        <v>0</v>
      </c>
      <c r="M5264">
        <v>53.65</v>
      </c>
      <c r="N5264" t="s">
        <v>10236</v>
      </c>
    </row>
    <row r="5265" spans="1:14">
      <c r="A5265" t="s">
        <v>215</v>
      </c>
      <c r="B5265" t="s">
        <v>5377</v>
      </c>
      <c r="C5265">
        <f>"BDAC3254"</f>
        <v>0</v>
      </c>
      <c r="D5265">
        <v>0</v>
      </c>
      <c r="E5265">
        <v>0</v>
      </c>
      <c r="F5265" s="2">
        <v>0</v>
      </c>
      <c r="H5265">
        <v>0</v>
      </c>
      <c r="I5265">
        <v>0.1741125760648204</v>
      </c>
      <c r="J5265">
        <v>0</v>
      </c>
      <c r="K5265">
        <v>0</v>
      </c>
      <c r="L5265" s="2">
        <v>0</v>
      </c>
      <c r="M5265">
        <v>53.66</v>
      </c>
      <c r="N5265" t="s">
        <v>10236</v>
      </c>
    </row>
    <row r="5266" spans="1:14">
      <c r="A5266" t="s">
        <v>35</v>
      </c>
      <c r="B5266" t="s">
        <v>5378</v>
      </c>
      <c r="C5266">
        <f>"B109323LR"</f>
        <v>0</v>
      </c>
      <c r="D5266">
        <v>0</v>
      </c>
      <c r="E5266">
        <v>0</v>
      </c>
      <c r="F5266" s="2">
        <v>0</v>
      </c>
      <c r="H5266">
        <v>0</v>
      </c>
      <c r="I5266">
        <v>0.1741125760648204</v>
      </c>
      <c r="J5266">
        <v>0</v>
      </c>
      <c r="K5266">
        <v>0</v>
      </c>
      <c r="L5266" s="2">
        <v>0</v>
      </c>
      <c r="M5266">
        <v>53.67</v>
      </c>
      <c r="N5266" t="s">
        <v>10236</v>
      </c>
    </row>
    <row r="5267" spans="1:14">
      <c r="A5267" t="s">
        <v>35</v>
      </c>
      <c r="B5267" t="s">
        <v>5379</v>
      </c>
      <c r="C5267">
        <f>"B109323LC"</f>
        <v>0</v>
      </c>
      <c r="D5267">
        <v>0</v>
      </c>
      <c r="E5267">
        <v>2</v>
      </c>
      <c r="F5267" s="2">
        <v>6</v>
      </c>
      <c r="H5267">
        <v>0</v>
      </c>
      <c r="I5267">
        <v>0.1741125760648204</v>
      </c>
      <c r="J5267">
        <v>0</v>
      </c>
      <c r="K5267">
        <v>0</v>
      </c>
      <c r="L5267" s="2">
        <v>0</v>
      </c>
      <c r="M5267">
        <v>53.68</v>
      </c>
      <c r="N5267" t="s">
        <v>10236</v>
      </c>
    </row>
    <row r="5268" spans="1:14">
      <c r="A5268" t="s">
        <v>35</v>
      </c>
      <c r="B5268" t="s">
        <v>5380</v>
      </c>
      <c r="C5268">
        <f>"B109323LA"</f>
        <v>0</v>
      </c>
      <c r="D5268">
        <v>0</v>
      </c>
      <c r="E5268">
        <v>0</v>
      </c>
      <c r="F5268" s="2">
        <v>0</v>
      </c>
      <c r="H5268">
        <v>0</v>
      </c>
      <c r="I5268">
        <v>0.1741125760648204</v>
      </c>
      <c r="J5268">
        <v>0</v>
      </c>
      <c r="K5268">
        <v>0</v>
      </c>
      <c r="L5268" s="2">
        <v>0</v>
      </c>
      <c r="M5268">
        <v>53.69</v>
      </c>
      <c r="N5268" t="s">
        <v>10236</v>
      </c>
    </row>
    <row r="5269" spans="1:14">
      <c r="A5269" t="s">
        <v>35</v>
      </c>
      <c r="B5269" t="s">
        <v>5381</v>
      </c>
      <c r="C5269">
        <f>"B1093234XLR"</f>
        <v>0</v>
      </c>
      <c r="D5269">
        <v>0</v>
      </c>
      <c r="E5269">
        <v>1</v>
      </c>
      <c r="F5269" s="2">
        <v>9</v>
      </c>
      <c r="H5269">
        <v>0</v>
      </c>
      <c r="I5269">
        <v>0.1741125760648204</v>
      </c>
      <c r="J5269">
        <v>0</v>
      </c>
      <c r="K5269">
        <v>0</v>
      </c>
      <c r="L5269" s="2">
        <v>0</v>
      </c>
      <c r="M5269">
        <v>53.7</v>
      </c>
      <c r="N5269" t="s">
        <v>10236</v>
      </c>
    </row>
    <row r="5270" spans="1:14">
      <c r="A5270" t="s">
        <v>35</v>
      </c>
      <c r="B5270" t="s">
        <v>5382</v>
      </c>
      <c r="C5270">
        <f>"B1093234XLC"</f>
        <v>0</v>
      </c>
      <c r="D5270">
        <v>0</v>
      </c>
      <c r="E5270">
        <v>1</v>
      </c>
      <c r="F5270" s="2">
        <v>9</v>
      </c>
      <c r="H5270">
        <v>0</v>
      </c>
      <c r="I5270">
        <v>0.1741125760648204</v>
      </c>
      <c r="J5270">
        <v>0</v>
      </c>
      <c r="K5270">
        <v>0</v>
      </c>
      <c r="L5270" s="2">
        <v>0</v>
      </c>
      <c r="M5270">
        <v>53.71</v>
      </c>
      <c r="N5270" t="s">
        <v>10236</v>
      </c>
    </row>
    <row r="5271" spans="1:14">
      <c r="A5271" t="s">
        <v>35</v>
      </c>
      <c r="B5271" t="s">
        <v>5383</v>
      </c>
      <c r="C5271">
        <f>"3103AM"</f>
        <v>0</v>
      </c>
      <c r="D5271">
        <v>0</v>
      </c>
      <c r="E5271">
        <v>4</v>
      </c>
      <c r="F5271" s="2">
        <v>8</v>
      </c>
      <c r="H5271">
        <v>0</v>
      </c>
      <c r="I5271">
        <v>0.1741125760648204</v>
      </c>
      <c r="J5271">
        <v>0</v>
      </c>
      <c r="K5271">
        <v>0</v>
      </c>
      <c r="L5271" s="2">
        <v>0</v>
      </c>
      <c r="M5271">
        <v>53.72</v>
      </c>
      <c r="N5271" t="s">
        <v>10236</v>
      </c>
    </row>
    <row r="5272" spans="1:14">
      <c r="A5272" t="s">
        <v>35</v>
      </c>
      <c r="B5272" t="s">
        <v>5384</v>
      </c>
      <c r="C5272">
        <f>"3105mixLILA"</f>
        <v>0</v>
      </c>
      <c r="D5272">
        <v>0</v>
      </c>
      <c r="E5272">
        <v>3</v>
      </c>
      <c r="F5272" s="2">
        <v>15</v>
      </c>
      <c r="H5272">
        <v>0</v>
      </c>
      <c r="I5272">
        <v>0.1741125760648204</v>
      </c>
      <c r="J5272">
        <v>0</v>
      </c>
      <c r="K5272">
        <v>0</v>
      </c>
      <c r="L5272" s="2">
        <v>0</v>
      </c>
      <c r="M5272">
        <v>53.72</v>
      </c>
      <c r="N5272" t="s">
        <v>10236</v>
      </c>
    </row>
    <row r="5273" spans="1:14">
      <c r="A5273" t="s">
        <v>35</v>
      </c>
      <c r="B5273" t="s">
        <v>5385</v>
      </c>
      <c r="C5273">
        <f>"MSP008GC"</f>
        <v>0</v>
      </c>
      <c r="D5273">
        <v>0</v>
      </c>
      <c r="E5273">
        <v>0</v>
      </c>
      <c r="F5273" s="2">
        <v>0</v>
      </c>
      <c r="H5273">
        <v>0</v>
      </c>
      <c r="I5273">
        <v>0.1741125760648204</v>
      </c>
      <c r="J5273">
        <v>0</v>
      </c>
      <c r="K5273">
        <v>0</v>
      </c>
      <c r="L5273" s="2">
        <v>0</v>
      </c>
      <c r="M5273">
        <v>53.73</v>
      </c>
      <c r="N5273" t="s">
        <v>10236</v>
      </c>
    </row>
    <row r="5274" spans="1:14">
      <c r="A5274" t="s">
        <v>35</v>
      </c>
      <c r="B5274" t="s">
        <v>5386</v>
      </c>
      <c r="C5274">
        <f>"MSP008CELE"</f>
        <v>0</v>
      </c>
      <c r="D5274">
        <v>0</v>
      </c>
      <c r="E5274">
        <v>0</v>
      </c>
      <c r="F5274" s="2">
        <v>0</v>
      </c>
      <c r="H5274">
        <v>0</v>
      </c>
      <c r="I5274">
        <v>0.1741125760648204</v>
      </c>
      <c r="J5274">
        <v>0</v>
      </c>
      <c r="K5274">
        <v>0</v>
      </c>
      <c r="L5274" s="2">
        <v>0</v>
      </c>
      <c r="M5274">
        <v>53.74</v>
      </c>
      <c r="N5274" t="s">
        <v>10236</v>
      </c>
    </row>
    <row r="5275" spans="1:14">
      <c r="A5275" t="s">
        <v>35</v>
      </c>
      <c r="B5275" t="s">
        <v>5387</v>
      </c>
      <c r="C5275">
        <f>"MSP102GRIS"</f>
        <v>0</v>
      </c>
      <c r="D5275">
        <v>0</v>
      </c>
      <c r="E5275">
        <v>0</v>
      </c>
      <c r="F5275" s="2">
        <v>0</v>
      </c>
      <c r="H5275">
        <v>0</v>
      </c>
      <c r="I5275">
        <v>0.1741125760648204</v>
      </c>
      <c r="J5275">
        <v>0</v>
      </c>
      <c r="K5275">
        <v>0</v>
      </c>
      <c r="L5275" s="2">
        <v>0</v>
      </c>
      <c r="M5275">
        <v>53.75</v>
      </c>
      <c r="N5275" t="s">
        <v>10236</v>
      </c>
    </row>
    <row r="5276" spans="1:14">
      <c r="A5276" t="s">
        <v>35</v>
      </c>
      <c r="B5276" t="s">
        <v>5388</v>
      </c>
      <c r="C5276">
        <f>"MSP102A"</f>
        <v>0</v>
      </c>
      <c r="D5276">
        <v>0</v>
      </c>
      <c r="E5276">
        <v>0</v>
      </c>
      <c r="F5276" s="2">
        <v>0</v>
      </c>
      <c r="H5276">
        <v>0</v>
      </c>
      <c r="I5276">
        <v>0.1741125760648204</v>
      </c>
      <c r="J5276">
        <v>0</v>
      </c>
      <c r="K5276">
        <v>0</v>
      </c>
      <c r="L5276" s="2">
        <v>0</v>
      </c>
      <c r="M5276">
        <v>53.76</v>
      </c>
      <c r="N5276" t="s">
        <v>10236</v>
      </c>
    </row>
    <row r="5277" spans="1:14">
      <c r="A5277" t="s">
        <v>35</v>
      </c>
      <c r="B5277" t="s">
        <v>5389</v>
      </c>
      <c r="C5277">
        <f>"3106MIXNA"</f>
        <v>0</v>
      </c>
      <c r="D5277">
        <v>0</v>
      </c>
      <c r="E5277">
        <v>0</v>
      </c>
      <c r="F5277" s="2">
        <v>0</v>
      </c>
      <c r="H5277">
        <v>0</v>
      </c>
      <c r="I5277">
        <v>0.1741125760648204</v>
      </c>
      <c r="J5277">
        <v>0</v>
      </c>
      <c r="K5277">
        <v>0</v>
      </c>
      <c r="L5277" s="2">
        <v>0</v>
      </c>
      <c r="M5277">
        <v>53.77</v>
      </c>
      <c r="N5277" t="s">
        <v>10236</v>
      </c>
    </row>
    <row r="5278" spans="1:14">
      <c r="A5278" t="s">
        <v>35</v>
      </c>
      <c r="B5278" t="s">
        <v>5390</v>
      </c>
      <c r="C5278">
        <f>"3106MIXVE"</f>
        <v>0</v>
      </c>
      <c r="D5278">
        <v>0</v>
      </c>
      <c r="E5278">
        <v>0</v>
      </c>
      <c r="F5278" s="2">
        <v>0</v>
      </c>
      <c r="H5278">
        <v>0</v>
      </c>
      <c r="I5278">
        <v>0.1741125760648204</v>
      </c>
      <c r="J5278">
        <v>0</v>
      </c>
      <c r="K5278">
        <v>0</v>
      </c>
      <c r="L5278" s="2">
        <v>0</v>
      </c>
      <c r="M5278">
        <v>53.78</v>
      </c>
      <c r="N5278" t="s">
        <v>10236</v>
      </c>
    </row>
    <row r="5279" spans="1:14">
      <c r="A5279" t="s">
        <v>35</v>
      </c>
      <c r="B5279" t="s">
        <v>5391</v>
      </c>
      <c r="C5279">
        <f>"3106MIXBE"</f>
        <v>0</v>
      </c>
      <c r="D5279">
        <v>0</v>
      </c>
      <c r="E5279">
        <v>0</v>
      </c>
      <c r="F5279" s="2">
        <v>0</v>
      </c>
      <c r="H5279">
        <v>0</v>
      </c>
      <c r="I5279">
        <v>0.1741125760648204</v>
      </c>
      <c r="J5279">
        <v>0</v>
      </c>
      <c r="K5279">
        <v>0</v>
      </c>
      <c r="L5279" s="2">
        <v>0</v>
      </c>
      <c r="M5279">
        <v>53.79</v>
      </c>
      <c r="N5279" t="s">
        <v>10236</v>
      </c>
    </row>
    <row r="5280" spans="1:14">
      <c r="A5280" t="s">
        <v>215</v>
      </c>
      <c r="B5280" t="s">
        <v>5392</v>
      </c>
      <c r="C5280">
        <f>"325402"</f>
        <v>0</v>
      </c>
      <c r="D5280">
        <v>0</v>
      </c>
      <c r="E5280">
        <v>0</v>
      </c>
      <c r="F5280" s="2">
        <v>0</v>
      </c>
      <c r="H5280">
        <v>0</v>
      </c>
      <c r="I5280">
        <v>0.1741125760648204</v>
      </c>
      <c r="J5280">
        <v>0</v>
      </c>
      <c r="K5280">
        <v>0</v>
      </c>
      <c r="L5280" s="2">
        <v>0</v>
      </c>
      <c r="M5280">
        <v>53.8</v>
      </c>
      <c r="N5280" t="s">
        <v>10236</v>
      </c>
    </row>
    <row r="5281" spans="1:14">
      <c r="A5281" t="s">
        <v>35</v>
      </c>
      <c r="B5281" t="s">
        <v>5393</v>
      </c>
      <c r="C5281">
        <f>"PRIMAA"</f>
        <v>0</v>
      </c>
      <c r="D5281">
        <v>0</v>
      </c>
      <c r="E5281">
        <v>0</v>
      </c>
      <c r="F5281" s="2">
        <v>0</v>
      </c>
      <c r="H5281">
        <v>0</v>
      </c>
      <c r="I5281">
        <v>0.1741125760648204</v>
      </c>
      <c r="J5281">
        <v>0</v>
      </c>
      <c r="K5281">
        <v>0</v>
      </c>
      <c r="L5281" s="2">
        <v>0</v>
      </c>
      <c r="M5281">
        <v>53.81</v>
      </c>
      <c r="N5281" t="s">
        <v>10236</v>
      </c>
    </row>
    <row r="5282" spans="1:14">
      <c r="A5282" t="s">
        <v>35</v>
      </c>
      <c r="B5282" t="s">
        <v>5394</v>
      </c>
      <c r="C5282">
        <f>"3106MIXR"</f>
        <v>0</v>
      </c>
      <c r="D5282">
        <v>0</v>
      </c>
      <c r="E5282">
        <v>0</v>
      </c>
      <c r="F5282" s="2">
        <v>0</v>
      </c>
      <c r="H5282">
        <v>0</v>
      </c>
      <c r="I5282">
        <v>0.1741125760648204</v>
      </c>
      <c r="J5282">
        <v>0</v>
      </c>
      <c r="K5282">
        <v>0</v>
      </c>
      <c r="L5282" s="2">
        <v>0</v>
      </c>
      <c r="M5282">
        <v>53.82</v>
      </c>
      <c r="N5282" t="s">
        <v>10236</v>
      </c>
    </row>
    <row r="5283" spans="1:14">
      <c r="A5283" t="s">
        <v>35</v>
      </c>
      <c r="B5283" t="s">
        <v>5395</v>
      </c>
      <c r="C5283">
        <f>"MI1CAF"</f>
        <v>0</v>
      </c>
      <c r="D5283">
        <v>0</v>
      </c>
      <c r="E5283">
        <v>1</v>
      </c>
      <c r="F5283" s="2">
        <v>2</v>
      </c>
      <c r="H5283">
        <v>0</v>
      </c>
      <c r="I5283">
        <v>0.1741125760648204</v>
      </c>
      <c r="J5283">
        <v>0</v>
      </c>
      <c r="K5283">
        <v>0</v>
      </c>
      <c r="L5283" s="2">
        <v>0</v>
      </c>
      <c r="M5283">
        <v>53.83</v>
      </c>
      <c r="N5283" t="s">
        <v>10236</v>
      </c>
    </row>
    <row r="5284" spans="1:14">
      <c r="A5284" t="s">
        <v>35</v>
      </c>
      <c r="B5284" t="s">
        <v>5396</v>
      </c>
      <c r="C5284">
        <f>"3103M"</f>
        <v>0</v>
      </c>
      <c r="D5284">
        <v>0</v>
      </c>
      <c r="E5284">
        <v>0</v>
      </c>
      <c r="F5284" s="2">
        <v>0</v>
      </c>
      <c r="H5284">
        <v>0</v>
      </c>
      <c r="I5284">
        <v>0.1741125760648204</v>
      </c>
      <c r="J5284">
        <v>0</v>
      </c>
      <c r="K5284">
        <v>0</v>
      </c>
      <c r="L5284" s="2">
        <v>0</v>
      </c>
      <c r="M5284">
        <v>53.83</v>
      </c>
      <c r="N5284" t="s">
        <v>10236</v>
      </c>
    </row>
    <row r="5285" spans="1:14">
      <c r="A5285" t="s">
        <v>35</v>
      </c>
      <c r="B5285" t="s">
        <v>5397</v>
      </c>
      <c r="C5285">
        <f>"3114B"</f>
        <v>0</v>
      </c>
      <c r="D5285">
        <v>0</v>
      </c>
      <c r="E5285">
        <v>6</v>
      </c>
      <c r="F5285" s="2">
        <v>13</v>
      </c>
      <c r="H5285">
        <v>0</v>
      </c>
      <c r="I5285">
        <v>0.1741125760648204</v>
      </c>
      <c r="J5285">
        <v>0</v>
      </c>
      <c r="K5285">
        <v>0</v>
      </c>
      <c r="L5285" s="2">
        <v>0</v>
      </c>
      <c r="M5285">
        <v>53.84</v>
      </c>
      <c r="N5285" t="s">
        <v>10236</v>
      </c>
    </row>
    <row r="5286" spans="1:14">
      <c r="A5286" t="s">
        <v>35</v>
      </c>
      <c r="B5286" t="s">
        <v>5398</v>
      </c>
      <c r="C5286">
        <f>"3103C"</f>
        <v>0</v>
      </c>
      <c r="D5286">
        <v>0</v>
      </c>
      <c r="E5286">
        <v>0</v>
      </c>
      <c r="F5286" s="2">
        <v>0</v>
      </c>
      <c r="H5286">
        <v>0</v>
      </c>
      <c r="I5286">
        <v>0.1741125760648204</v>
      </c>
      <c r="J5286">
        <v>0</v>
      </c>
      <c r="K5286">
        <v>0</v>
      </c>
      <c r="L5286" s="2">
        <v>0</v>
      </c>
      <c r="M5286">
        <v>53.85</v>
      </c>
      <c r="N5286" t="s">
        <v>10236</v>
      </c>
    </row>
    <row r="5287" spans="1:14">
      <c r="A5287" t="s">
        <v>35</v>
      </c>
      <c r="B5287" t="s">
        <v>5399</v>
      </c>
      <c r="C5287">
        <f>"SA0115AZ"</f>
        <v>0</v>
      </c>
      <c r="D5287">
        <v>0</v>
      </c>
      <c r="E5287">
        <v>2</v>
      </c>
      <c r="F5287" s="2">
        <v>0</v>
      </c>
      <c r="H5287">
        <v>0</v>
      </c>
      <c r="I5287">
        <v>0.1741125760648204</v>
      </c>
      <c r="J5287">
        <v>0</v>
      </c>
      <c r="K5287">
        <v>0</v>
      </c>
      <c r="L5287" s="2">
        <v>0</v>
      </c>
      <c r="M5287">
        <v>53.86</v>
      </c>
      <c r="N5287" t="s">
        <v>10236</v>
      </c>
    </row>
    <row r="5288" spans="1:14">
      <c r="A5288" t="s">
        <v>35</v>
      </c>
      <c r="B5288" t="s">
        <v>5400</v>
      </c>
      <c r="C5288">
        <f>"SA0110ROJ"</f>
        <v>0</v>
      </c>
      <c r="D5288">
        <v>0</v>
      </c>
      <c r="E5288">
        <v>7</v>
      </c>
      <c r="F5288" s="2">
        <v>1</v>
      </c>
      <c r="H5288">
        <v>0</v>
      </c>
      <c r="I5288">
        <v>0.1741125760648204</v>
      </c>
      <c r="J5288">
        <v>0</v>
      </c>
      <c r="K5288">
        <v>0</v>
      </c>
      <c r="L5288" s="2">
        <v>0</v>
      </c>
      <c r="M5288">
        <v>53.87</v>
      </c>
      <c r="N5288" t="s">
        <v>10236</v>
      </c>
    </row>
    <row r="5289" spans="1:14">
      <c r="A5289" t="s">
        <v>35</v>
      </c>
      <c r="B5289" t="s">
        <v>5401</v>
      </c>
      <c r="C5289">
        <f>"SA0110BL"</f>
        <v>0</v>
      </c>
      <c r="D5289">
        <v>0</v>
      </c>
      <c r="E5289">
        <v>1</v>
      </c>
      <c r="F5289" s="2">
        <v>855</v>
      </c>
      <c r="H5289">
        <v>0</v>
      </c>
      <c r="I5289">
        <v>0.1741125760648204</v>
      </c>
      <c r="J5289">
        <v>0</v>
      </c>
      <c r="K5289">
        <v>0</v>
      </c>
      <c r="L5289" s="2">
        <v>0</v>
      </c>
      <c r="M5289">
        <v>53.88</v>
      </c>
      <c r="N5289" t="s">
        <v>10236</v>
      </c>
    </row>
    <row r="5290" spans="1:14">
      <c r="A5290" t="s">
        <v>35</v>
      </c>
      <c r="B5290" t="s">
        <v>5402</v>
      </c>
      <c r="C5290">
        <f>"SA0110AZ"</f>
        <v>0</v>
      </c>
      <c r="D5290">
        <v>0</v>
      </c>
      <c r="E5290">
        <v>0</v>
      </c>
      <c r="F5290" s="2">
        <v>0</v>
      </c>
      <c r="H5290">
        <v>0</v>
      </c>
      <c r="I5290">
        <v>0.1741125760648204</v>
      </c>
      <c r="J5290">
        <v>0</v>
      </c>
      <c r="K5290">
        <v>0</v>
      </c>
      <c r="L5290" s="2">
        <v>0</v>
      </c>
      <c r="M5290">
        <v>53.89</v>
      </c>
      <c r="N5290" t="s">
        <v>10236</v>
      </c>
    </row>
    <row r="5291" spans="1:14">
      <c r="A5291" t="s">
        <v>25</v>
      </c>
      <c r="B5291" t="s">
        <v>5403</v>
      </c>
      <c r="C5291">
        <f>"ZVP3131"</f>
        <v>0</v>
      </c>
      <c r="D5291">
        <v>0</v>
      </c>
      <c r="E5291">
        <v>0</v>
      </c>
      <c r="F5291" s="2">
        <v>0</v>
      </c>
      <c r="H5291">
        <v>0</v>
      </c>
      <c r="I5291">
        <v>0.1741125760648204</v>
      </c>
      <c r="J5291">
        <v>0</v>
      </c>
      <c r="K5291">
        <v>0</v>
      </c>
      <c r="L5291" s="2">
        <v>0</v>
      </c>
      <c r="M5291">
        <v>53.9</v>
      </c>
      <c r="N5291" t="s">
        <v>10236</v>
      </c>
    </row>
    <row r="5292" spans="1:14">
      <c r="A5292" t="s">
        <v>25</v>
      </c>
      <c r="B5292" t="s">
        <v>5404</v>
      </c>
      <c r="C5292">
        <f>"ZVP1032"</f>
        <v>0</v>
      </c>
      <c r="D5292">
        <v>0</v>
      </c>
      <c r="E5292">
        <v>2</v>
      </c>
      <c r="F5292" s="2">
        <v>1</v>
      </c>
      <c r="H5292">
        <v>0</v>
      </c>
      <c r="I5292">
        <v>0.1741125760648204</v>
      </c>
      <c r="J5292">
        <v>0</v>
      </c>
      <c r="K5292">
        <v>0</v>
      </c>
      <c r="L5292" s="2">
        <v>0</v>
      </c>
      <c r="M5292">
        <v>53.91</v>
      </c>
      <c r="N5292" t="s">
        <v>10236</v>
      </c>
    </row>
    <row r="5293" spans="1:14">
      <c r="A5293" t="s">
        <v>35</v>
      </c>
      <c r="B5293" t="s">
        <v>5405</v>
      </c>
      <c r="C5293">
        <f>"YTSC004"</f>
        <v>0</v>
      </c>
      <c r="D5293">
        <v>0</v>
      </c>
      <c r="E5293">
        <v>0</v>
      </c>
      <c r="F5293" s="2">
        <v>0</v>
      </c>
      <c r="H5293">
        <v>0</v>
      </c>
      <c r="I5293">
        <v>0.1741125760648204</v>
      </c>
      <c r="J5293">
        <v>0</v>
      </c>
      <c r="K5293">
        <v>0</v>
      </c>
      <c r="L5293" s="2">
        <v>0</v>
      </c>
      <c r="M5293">
        <v>53.92</v>
      </c>
      <c r="N5293" t="s">
        <v>10236</v>
      </c>
    </row>
    <row r="5294" spans="1:14">
      <c r="A5294" t="s">
        <v>24</v>
      </c>
      <c r="B5294" t="s">
        <v>5406</v>
      </c>
      <c r="C5294">
        <f>"8016060"</f>
        <v>0</v>
      </c>
      <c r="D5294">
        <v>0</v>
      </c>
      <c r="E5294">
        <v>113</v>
      </c>
      <c r="F5294" s="2">
        <v>0</v>
      </c>
      <c r="H5294">
        <v>0</v>
      </c>
      <c r="I5294">
        <v>0.1741125760648204</v>
      </c>
      <c r="J5294">
        <v>0</v>
      </c>
      <c r="K5294">
        <v>0</v>
      </c>
      <c r="L5294" s="2">
        <v>0</v>
      </c>
      <c r="M5294">
        <v>53.93</v>
      </c>
      <c r="N5294" t="s">
        <v>10236</v>
      </c>
    </row>
    <row r="5295" spans="1:14">
      <c r="A5295" t="s">
        <v>35</v>
      </c>
      <c r="B5295" t="s">
        <v>5407</v>
      </c>
      <c r="C5295">
        <f>"VFPM"</f>
        <v>0</v>
      </c>
      <c r="D5295">
        <v>0</v>
      </c>
      <c r="E5295">
        <v>0</v>
      </c>
      <c r="F5295" s="2">
        <v>0</v>
      </c>
      <c r="H5295">
        <v>0</v>
      </c>
      <c r="I5295">
        <v>0.1741125760648204</v>
      </c>
      <c r="J5295">
        <v>0</v>
      </c>
      <c r="K5295">
        <v>0</v>
      </c>
      <c r="L5295" s="2">
        <v>0</v>
      </c>
      <c r="M5295">
        <v>53.94</v>
      </c>
      <c r="N5295" t="s">
        <v>10236</v>
      </c>
    </row>
    <row r="5296" spans="1:14">
      <c r="A5296" t="s">
        <v>35</v>
      </c>
      <c r="B5296" t="s">
        <v>5408</v>
      </c>
      <c r="C5296">
        <f>"WPS075"</f>
        <v>0</v>
      </c>
      <c r="D5296">
        <v>0</v>
      </c>
      <c r="E5296">
        <v>0</v>
      </c>
      <c r="F5296" s="2">
        <v>0</v>
      </c>
      <c r="H5296">
        <v>0</v>
      </c>
      <c r="I5296">
        <v>0.1741125760648204</v>
      </c>
      <c r="J5296">
        <v>0</v>
      </c>
      <c r="K5296">
        <v>0</v>
      </c>
      <c r="L5296" s="2">
        <v>0</v>
      </c>
      <c r="M5296">
        <v>53.95</v>
      </c>
      <c r="N5296" t="s">
        <v>10236</v>
      </c>
    </row>
    <row r="5297" spans="1:14">
      <c r="A5297" t="s">
        <v>29</v>
      </c>
      <c r="B5297" t="s">
        <v>5409</v>
      </c>
      <c r="C5297">
        <f>"DPS3"</f>
        <v>0</v>
      </c>
      <c r="D5297">
        <v>0</v>
      </c>
      <c r="E5297">
        <v>0</v>
      </c>
      <c r="F5297" s="2">
        <v>0</v>
      </c>
      <c r="H5297">
        <v>0</v>
      </c>
      <c r="I5297">
        <v>0.1741125760648204</v>
      </c>
      <c r="J5297">
        <v>0</v>
      </c>
      <c r="K5297">
        <v>0</v>
      </c>
      <c r="L5297" s="2">
        <v>0</v>
      </c>
      <c r="M5297">
        <v>53.95</v>
      </c>
      <c r="N5297" t="s">
        <v>10236</v>
      </c>
    </row>
    <row r="5298" spans="1:14">
      <c r="A5298" t="s">
        <v>29</v>
      </c>
      <c r="B5298" t="s">
        <v>5410</v>
      </c>
      <c r="C5298">
        <f>"DPS2"</f>
        <v>0</v>
      </c>
      <c r="D5298">
        <v>0</v>
      </c>
      <c r="E5298">
        <v>0</v>
      </c>
      <c r="F5298" s="2">
        <v>0</v>
      </c>
      <c r="H5298">
        <v>0</v>
      </c>
      <c r="I5298">
        <v>0.1741125760648204</v>
      </c>
      <c r="J5298">
        <v>0</v>
      </c>
      <c r="K5298">
        <v>0</v>
      </c>
      <c r="L5298" s="2">
        <v>0</v>
      </c>
      <c r="M5298">
        <v>53.96</v>
      </c>
      <c r="N5298" t="s">
        <v>10236</v>
      </c>
    </row>
    <row r="5299" spans="1:14">
      <c r="A5299" t="s">
        <v>215</v>
      </c>
      <c r="B5299" t="s">
        <v>5411</v>
      </c>
      <c r="C5299">
        <f>"227102"</f>
        <v>0</v>
      </c>
      <c r="D5299">
        <v>0</v>
      </c>
      <c r="E5299">
        <v>0</v>
      </c>
      <c r="F5299" s="2">
        <v>0</v>
      </c>
      <c r="H5299">
        <v>0</v>
      </c>
      <c r="I5299">
        <v>0.1741125760648204</v>
      </c>
      <c r="J5299">
        <v>0</v>
      </c>
      <c r="K5299">
        <v>0</v>
      </c>
      <c r="L5299" s="2">
        <v>0</v>
      </c>
      <c r="M5299">
        <v>53.97</v>
      </c>
      <c r="N5299" t="s">
        <v>10236</v>
      </c>
    </row>
    <row r="5300" spans="1:14">
      <c r="A5300" t="s">
        <v>215</v>
      </c>
      <c r="B5300" t="s">
        <v>5412</v>
      </c>
      <c r="C5300">
        <f>"K01803"</f>
        <v>0</v>
      </c>
      <c r="D5300">
        <v>0</v>
      </c>
      <c r="E5300">
        <v>0</v>
      </c>
      <c r="F5300" s="2">
        <v>0</v>
      </c>
      <c r="H5300">
        <v>0</v>
      </c>
      <c r="I5300">
        <v>0.1741125760648204</v>
      </c>
      <c r="J5300">
        <v>0</v>
      </c>
      <c r="K5300">
        <v>0</v>
      </c>
      <c r="L5300" s="2">
        <v>0</v>
      </c>
      <c r="M5300">
        <v>53.98</v>
      </c>
      <c r="N5300" t="s">
        <v>10236</v>
      </c>
    </row>
    <row r="5301" spans="1:14">
      <c r="A5301" t="s">
        <v>215</v>
      </c>
      <c r="B5301" t="s">
        <v>5413</v>
      </c>
      <c r="C5301">
        <f>"K01802"</f>
        <v>0</v>
      </c>
      <c r="D5301">
        <v>0</v>
      </c>
      <c r="E5301">
        <v>0</v>
      </c>
      <c r="F5301" s="2">
        <v>0</v>
      </c>
      <c r="H5301">
        <v>0</v>
      </c>
      <c r="I5301">
        <v>0.1741125760648204</v>
      </c>
      <c r="J5301">
        <v>0</v>
      </c>
      <c r="K5301">
        <v>0</v>
      </c>
      <c r="L5301" s="2">
        <v>0</v>
      </c>
      <c r="M5301">
        <v>53.99</v>
      </c>
      <c r="N5301" t="s">
        <v>10236</v>
      </c>
    </row>
    <row r="5302" spans="1:14">
      <c r="A5302" t="s">
        <v>30</v>
      </c>
      <c r="B5302" t="s">
        <v>5414</v>
      </c>
      <c r="C5302">
        <f>"1000023"</f>
        <v>0</v>
      </c>
      <c r="D5302">
        <v>0</v>
      </c>
      <c r="E5302">
        <v>0</v>
      </c>
      <c r="F5302" s="2">
        <v>0</v>
      </c>
      <c r="H5302">
        <v>0</v>
      </c>
      <c r="I5302">
        <v>0.1741125760648204</v>
      </c>
      <c r="J5302">
        <v>0</v>
      </c>
      <c r="K5302">
        <v>0</v>
      </c>
      <c r="L5302" s="2">
        <v>0</v>
      </c>
      <c r="M5302">
        <v>54</v>
      </c>
      <c r="N5302" t="s">
        <v>10236</v>
      </c>
    </row>
    <row r="5303" spans="1:14">
      <c r="A5303" t="s">
        <v>35</v>
      </c>
      <c r="B5303" t="s">
        <v>5415</v>
      </c>
      <c r="C5303">
        <f>"B109323XSR"</f>
        <v>0</v>
      </c>
      <c r="D5303">
        <v>0</v>
      </c>
      <c r="E5303">
        <v>1</v>
      </c>
      <c r="F5303" s="2">
        <v>5</v>
      </c>
      <c r="H5303">
        <v>0</v>
      </c>
      <c r="I5303">
        <v>0.1741125760648204</v>
      </c>
      <c r="J5303">
        <v>0</v>
      </c>
      <c r="K5303">
        <v>0</v>
      </c>
      <c r="L5303" s="2">
        <v>0</v>
      </c>
      <c r="M5303">
        <v>54.01</v>
      </c>
      <c r="N5303" t="s">
        <v>10236</v>
      </c>
    </row>
    <row r="5304" spans="1:14">
      <c r="A5304" t="s">
        <v>35</v>
      </c>
      <c r="B5304" t="s">
        <v>5416</v>
      </c>
      <c r="C5304">
        <f>"B109323XSC"</f>
        <v>0</v>
      </c>
      <c r="D5304">
        <v>0</v>
      </c>
      <c r="E5304">
        <v>1</v>
      </c>
      <c r="F5304" s="2">
        <v>5</v>
      </c>
      <c r="H5304">
        <v>0</v>
      </c>
      <c r="I5304">
        <v>0.1741125760648204</v>
      </c>
      <c r="J5304">
        <v>0</v>
      </c>
      <c r="K5304">
        <v>0</v>
      </c>
      <c r="L5304" s="2">
        <v>0</v>
      </c>
      <c r="M5304">
        <v>54.02</v>
      </c>
      <c r="N5304" t="s">
        <v>10236</v>
      </c>
    </row>
    <row r="5305" spans="1:14">
      <c r="A5305" t="s">
        <v>35</v>
      </c>
      <c r="B5305" t="s">
        <v>5417</v>
      </c>
      <c r="C5305">
        <f>"B109323XSA"</f>
        <v>0</v>
      </c>
      <c r="D5305">
        <v>0</v>
      </c>
      <c r="E5305">
        <v>1</v>
      </c>
      <c r="F5305" s="2">
        <v>5</v>
      </c>
      <c r="H5305">
        <v>0</v>
      </c>
      <c r="I5305">
        <v>0.1741125760648204</v>
      </c>
      <c r="J5305">
        <v>0</v>
      </c>
      <c r="K5305">
        <v>0</v>
      </c>
      <c r="L5305" s="2">
        <v>0</v>
      </c>
      <c r="M5305">
        <v>54.03</v>
      </c>
      <c r="N5305" t="s">
        <v>10236</v>
      </c>
    </row>
    <row r="5306" spans="1:14">
      <c r="A5306" t="s">
        <v>35</v>
      </c>
      <c r="B5306" t="s">
        <v>5418</v>
      </c>
      <c r="C5306">
        <f>"B109323XLR"</f>
        <v>0</v>
      </c>
      <c r="D5306">
        <v>0</v>
      </c>
      <c r="E5306">
        <v>1</v>
      </c>
      <c r="F5306" s="2">
        <v>7</v>
      </c>
      <c r="H5306">
        <v>0</v>
      </c>
      <c r="I5306">
        <v>0.1741125760648204</v>
      </c>
      <c r="J5306">
        <v>0</v>
      </c>
      <c r="K5306">
        <v>0</v>
      </c>
      <c r="L5306" s="2">
        <v>0</v>
      </c>
      <c r="M5306">
        <v>54.04</v>
      </c>
      <c r="N5306" t="s">
        <v>10236</v>
      </c>
    </row>
    <row r="5307" spans="1:14">
      <c r="A5307" t="s">
        <v>35</v>
      </c>
      <c r="B5307" t="s">
        <v>5419</v>
      </c>
      <c r="C5307">
        <f>"B109323XLC"</f>
        <v>0</v>
      </c>
      <c r="D5307">
        <v>0</v>
      </c>
      <c r="E5307">
        <v>0</v>
      </c>
      <c r="F5307" s="2">
        <v>0</v>
      </c>
      <c r="H5307">
        <v>0</v>
      </c>
      <c r="I5307">
        <v>0.1741125760648204</v>
      </c>
      <c r="J5307">
        <v>0</v>
      </c>
      <c r="K5307">
        <v>0</v>
      </c>
      <c r="L5307" s="2">
        <v>0</v>
      </c>
      <c r="M5307">
        <v>54.05</v>
      </c>
      <c r="N5307" t="s">
        <v>10236</v>
      </c>
    </row>
    <row r="5308" spans="1:14">
      <c r="A5308" t="s">
        <v>35</v>
      </c>
      <c r="B5308" t="s">
        <v>5420</v>
      </c>
      <c r="C5308">
        <f>"B109323XLA"</f>
        <v>0</v>
      </c>
      <c r="D5308">
        <v>0</v>
      </c>
      <c r="E5308">
        <v>2</v>
      </c>
      <c r="F5308" s="2">
        <v>7</v>
      </c>
      <c r="H5308">
        <v>0</v>
      </c>
      <c r="I5308">
        <v>0.1741125760648204</v>
      </c>
      <c r="J5308">
        <v>0</v>
      </c>
      <c r="K5308">
        <v>0</v>
      </c>
      <c r="L5308" s="2">
        <v>0</v>
      </c>
      <c r="M5308">
        <v>54.06</v>
      </c>
      <c r="N5308" t="s">
        <v>10236</v>
      </c>
    </row>
    <row r="5309" spans="1:14">
      <c r="A5309" t="s">
        <v>35</v>
      </c>
      <c r="B5309" t="s">
        <v>5421</v>
      </c>
      <c r="C5309">
        <f>"B109323SR"</f>
        <v>0</v>
      </c>
      <c r="D5309">
        <v>0</v>
      </c>
      <c r="E5309">
        <v>1</v>
      </c>
      <c r="F5309" s="2">
        <v>6</v>
      </c>
      <c r="H5309">
        <v>0</v>
      </c>
      <c r="I5309">
        <v>0.1741125760648204</v>
      </c>
      <c r="J5309">
        <v>0</v>
      </c>
      <c r="K5309">
        <v>0</v>
      </c>
      <c r="L5309" s="2">
        <v>0</v>
      </c>
      <c r="M5309">
        <v>54.07</v>
      </c>
      <c r="N5309" t="s">
        <v>10236</v>
      </c>
    </row>
    <row r="5310" spans="1:14">
      <c r="A5310" t="s">
        <v>35</v>
      </c>
      <c r="B5310" t="s">
        <v>5422</v>
      </c>
      <c r="C5310">
        <f>"B109323SC"</f>
        <v>0</v>
      </c>
      <c r="D5310">
        <v>0</v>
      </c>
      <c r="E5310">
        <v>1</v>
      </c>
      <c r="F5310" s="2">
        <v>6</v>
      </c>
      <c r="H5310">
        <v>0</v>
      </c>
      <c r="I5310">
        <v>0.1741125760648204</v>
      </c>
      <c r="J5310">
        <v>0</v>
      </c>
      <c r="K5310">
        <v>0</v>
      </c>
      <c r="L5310" s="2">
        <v>0</v>
      </c>
      <c r="M5310">
        <v>54.07</v>
      </c>
      <c r="N5310" t="s">
        <v>10236</v>
      </c>
    </row>
    <row r="5311" spans="1:14">
      <c r="A5311" t="s">
        <v>35</v>
      </c>
      <c r="B5311" t="s">
        <v>5423</v>
      </c>
      <c r="C5311">
        <f>"CT133"</f>
        <v>0</v>
      </c>
      <c r="D5311">
        <v>0</v>
      </c>
      <c r="E5311">
        <v>0</v>
      </c>
      <c r="F5311" s="2">
        <v>0</v>
      </c>
      <c r="H5311">
        <v>0</v>
      </c>
      <c r="I5311">
        <v>0.1741125760648204</v>
      </c>
      <c r="J5311">
        <v>0</v>
      </c>
      <c r="K5311">
        <v>0</v>
      </c>
      <c r="L5311" s="2">
        <v>0</v>
      </c>
      <c r="M5311">
        <v>54.08</v>
      </c>
      <c r="N5311" t="s">
        <v>10236</v>
      </c>
    </row>
    <row r="5312" spans="1:14">
      <c r="A5312" t="s">
        <v>35</v>
      </c>
      <c r="B5312" t="s">
        <v>5424</v>
      </c>
      <c r="C5312">
        <f>"VFPL"</f>
        <v>0</v>
      </c>
      <c r="D5312">
        <v>0</v>
      </c>
      <c r="E5312">
        <v>1</v>
      </c>
      <c r="F5312" s="2">
        <v>2</v>
      </c>
      <c r="H5312">
        <v>0</v>
      </c>
      <c r="I5312">
        <v>0.1741125760648204</v>
      </c>
      <c r="J5312">
        <v>0</v>
      </c>
      <c r="K5312">
        <v>0</v>
      </c>
      <c r="L5312" s="2">
        <v>0</v>
      </c>
      <c r="M5312">
        <v>54.09</v>
      </c>
      <c r="N5312" t="s">
        <v>10236</v>
      </c>
    </row>
    <row r="5313" spans="1:14">
      <c r="A5313" t="s">
        <v>35</v>
      </c>
      <c r="B5313" t="s">
        <v>5425</v>
      </c>
      <c r="C5313">
        <f>"VVHBXS"</f>
        <v>0</v>
      </c>
      <c r="D5313">
        <v>0</v>
      </c>
      <c r="E5313">
        <v>0</v>
      </c>
      <c r="F5313" s="2">
        <v>0</v>
      </c>
      <c r="H5313">
        <v>0</v>
      </c>
      <c r="I5313">
        <v>0.1741125760648204</v>
      </c>
      <c r="J5313">
        <v>0</v>
      </c>
      <c r="K5313">
        <v>0</v>
      </c>
      <c r="L5313" s="2">
        <v>0</v>
      </c>
      <c r="M5313">
        <v>54.1</v>
      </c>
      <c r="N5313" t="s">
        <v>10236</v>
      </c>
    </row>
    <row r="5314" spans="1:14">
      <c r="A5314" t="s">
        <v>35</v>
      </c>
      <c r="B5314" t="s">
        <v>5426</v>
      </c>
      <c r="C5314">
        <f>"VVHBM"</f>
        <v>0</v>
      </c>
      <c r="D5314">
        <v>0</v>
      </c>
      <c r="E5314">
        <v>1</v>
      </c>
      <c r="F5314" s="2">
        <v>1</v>
      </c>
      <c r="H5314">
        <v>0</v>
      </c>
      <c r="I5314">
        <v>0.1741125760648204</v>
      </c>
      <c r="J5314">
        <v>0</v>
      </c>
      <c r="K5314">
        <v>0</v>
      </c>
      <c r="L5314" s="2">
        <v>0</v>
      </c>
      <c r="M5314">
        <v>54.11</v>
      </c>
      <c r="N5314" t="s">
        <v>10236</v>
      </c>
    </row>
    <row r="5315" spans="1:14">
      <c r="A5315" t="s">
        <v>35</v>
      </c>
      <c r="B5315" t="s">
        <v>5427</v>
      </c>
      <c r="C5315">
        <f>"VVHAXS"</f>
        <v>0</v>
      </c>
      <c r="D5315">
        <v>0</v>
      </c>
      <c r="E5315">
        <v>1</v>
      </c>
      <c r="F5315" s="2">
        <v>1</v>
      </c>
      <c r="H5315">
        <v>0</v>
      </c>
      <c r="I5315">
        <v>0.1741125760648204</v>
      </c>
      <c r="J5315">
        <v>0</v>
      </c>
      <c r="K5315">
        <v>0</v>
      </c>
      <c r="L5315" s="2">
        <v>0</v>
      </c>
      <c r="M5315">
        <v>54.12</v>
      </c>
      <c r="N5315" t="s">
        <v>10236</v>
      </c>
    </row>
    <row r="5316" spans="1:14">
      <c r="A5316" t="s">
        <v>35</v>
      </c>
      <c r="B5316" t="s">
        <v>5428</v>
      </c>
      <c r="C5316">
        <f>"VVHAS"</f>
        <v>0</v>
      </c>
      <c r="D5316">
        <v>0</v>
      </c>
      <c r="E5316">
        <v>0</v>
      </c>
      <c r="F5316" s="2">
        <v>0</v>
      </c>
      <c r="H5316">
        <v>0</v>
      </c>
      <c r="I5316">
        <v>0.1741125760648204</v>
      </c>
      <c r="J5316">
        <v>0</v>
      </c>
      <c r="K5316">
        <v>0</v>
      </c>
      <c r="L5316" s="2">
        <v>0</v>
      </c>
      <c r="M5316">
        <v>54.13</v>
      </c>
      <c r="N5316" t="s">
        <v>10236</v>
      </c>
    </row>
    <row r="5317" spans="1:14">
      <c r="A5317" t="s">
        <v>35</v>
      </c>
      <c r="B5317" t="s">
        <v>5429</v>
      </c>
      <c r="C5317">
        <f>"VVHAM"</f>
        <v>0</v>
      </c>
      <c r="D5317">
        <v>0</v>
      </c>
      <c r="E5317">
        <v>0</v>
      </c>
      <c r="F5317" s="2">
        <v>0</v>
      </c>
      <c r="H5317">
        <v>0</v>
      </c>
      <c r="I5317">
        <v>0.1741125760648204</v>
      </c>
      <c r="J5317">
        <v>0</v>
      </c>
      <c r="K5317">
        <v>0</v>
      </c>
      <c r="L5317" s="2">
        <v>0</v>
      </c>
      <c r="M5317">
        <v>54.14</v>
      </c>
      <c r="N5317" t="s">
        <v>10236</v>
      </c>
    </row>
    <row r="5318" spans="1:14">
      <c r="A5318" t="s">
        <v>35</v>
      </c>
      <c r="B5318" t="s">
        <v>5430</v>
      </c>
      <c r="C5318">
        <f>"VVHAL"</f>
        <v>0</v>
      </c>
      <c r="D5318">
        <v>0</v>
      </c>
      <c r="E5318">
        <v>0</v>
      </c>
      <c r="F5318" s="2">
        <v>0</v>
      </c>
      <c r="H5318">
        <v>0</v>
      </c>
      <c r="I5318">
        <v>0.1741125760648204</v>
      </c>
      <c r="J5318">
        <v>0</v>
      </c>
      <c r="K5318">
        <v>0</v>
      </c>
      <c r="L5318" s="2">
        <v>0</v>
      </c>
      <c r="M5318">
        <v>54.15</v>
      </c>
      <c r="N5318" t="s">
        <v>10236</v>
      </c>
    </row>
    <row r="5319" spans="1:14">
      <c r="A5319" t="s">
        <v>35</v>
      </c>
      <c r="B5319" t="s">
        <v>5431</v>
      </c>
      <c r="C5319">
        <f>"VHTUA"</f>
        <v>0</v>
      </c>
      <c r="D5319">
        <v>0</v>
      </c>
      <c r="E5319">
        <v>0</v>
      </c>
      <c r="F5319" s="2">
        <v>0</v>
      </c>
      <c r="H5319">
        <v>0</v>
      </c>
      <c r="I5319">
        <v>0.1741125760648204</v>
      </c>
      <c r="J5319">
        <v>0</v>
      </c>
      <c r="K5319">
        <v>0</v>
      </c>
      <c r="L5319" s="2">
        <v>0</v>
      </c>
      <c r="M5319">
        <v>54.16</v>
      </c>
      <c r="N5319" t="s">
        <v>10236</v>
      </c>
    </row>
    <row r="5320" spans="1:14">
      <c r="A5320" t="s">
        <v>35</v>
      </c>
      <c r="B5320" t="s">
        <v>5432</v>
      </c>
      <c r="C5320">
        <f>"E72XS"</f>
        <v>0</v>
      </c>
      <c r="D5320">
        <v>0</v>
      </c>
      <c r="E5320">
        <v>15</v>
      </c>
      <c r="F5320" s="2">
        <v>5</v>
      </c>
      <c r="H5320">
        <v>0</v>
      </c>
      <c r="I5320">
        <v>0.1741125760648204</v>
      </c>
      <c r="J5320">
        <v>0</v>
      </c>
      <c r="K5320">
        <v>0</v>
      </c>
      <c r="L5320" s="2">
        <v>0</v>
      </c>
      <c r="M5320">
        <v>54.17</v>
      </c>
      <c r="N5320" t="s">
        <v>10236</v>
      </c>
    </row>
    <row r="5321" spans="1:14">
      <c r="A5321" t="s">
        <v>35</v>
      </c>
      <c r="B5321" t="s">
        <v>5433</v>
      </c>
      <c r="C5321">
        <f>"E72XL"</f>
        <v>0</v>
      </c>
      <c r="D5321">
        <v>0</v>
      </c>
      <c r="E5321">
        <v>19</v>
      </c>
      <c r="F5321" s="2">
        <v>5</v>
      </c>
      <c r="H5321">
        <v>0</v>
      </c>
      <c r="I5321">
        <v>0.1741125760648204</v>
      </c>
      <c r="J5321">
        <v>0</v>
      </c>
      <c r="K5321">
        <v>0</v>
      </c>
      <c r="L5321" s="2">
        <v>0</v>
      </c>
      <c r="M5321">
        <v>54.18</v>
      </c>
      <c r="N5321" t="s">
        <v>10236</v>
      </c>
    </row>
    <row r="5322" spans="1:14">
      <c r="A5322" t="s">
        <v>35</v>
      </c>
      <c r="B5322" t="s">
        <v>5434</v>
      </c>
      <c r="C5322">
        <f>"E72S"</f>
        <v>0</v>
      </c>
      <c r="D5322">
        <v>0</v>
      </c>
      <c r="E5322">
        <v>14</v>
      </c>
      <c r="F5322" s="2">
        <v>5</v>
      </c>
      <c r="H5322">
        <v>0</v>
      </c>
      <c r="I5322">
        <v>0.1741125760648204</v>
      </c>
      <c r="J5322">
        <v>0</v>
      </c>
      <c r="K5322">
        <v>0</v>
      </c>
      <c r="L5322" s="2">
        <v>0</v>
      </c>
      <c r="M5322">
        <v>54.19</v>
      </c>
      <c r="N5322" t="s">
        <v>10236</v>
      </c>
    </row>
    <row r="5323" spans="1:14">
      <c r="A5323" t="s">
        <v>35</v>
      </c>
      <c r="B5323" t="s">
        <v>5435</v>
      </c>
      <c r="C5323">
        <f>"E72M"</f>
        <v>0</v>
      </c>
      <c r="D5323">
        <v>0</v>
      </c>
      <c r="E5323">
        <v>13</v>
      </c>
      <c r="F5323" s="2">
        <v>5</v>
      </c>
      <c r="H5323">
        <v>0</v>
      </c>
      <c r="I5323">
        <v>0.1741125760648204</v>
      </c>
      <c r="J5323">
        <v>0</v>
      </c>
      <c r="K5323">
        <v>0</v>
      </c>
      <c r="L5323" s="2">
        <v>0</v>
      </c>
      <c r="M5323">
        <v>54.19</v>
      </c>
      <c r="N5323" t="s">
        <v>10236</v>
      </c>
    </row>
    <row r="5324" spans="1:14">
      <c r="A5324" t="s">
        <v>35</v>
      </c>
      <c r="B5324" t="s">
        <v>5436</v>
      </c>
      <c r="C5324">
        <f>"E72L"</f>
        <v>0</v>
      </c>
      <c r="D5324">
        <v>0</v>
      </c>
      <c r="E5324">
        <v>17</v>
      </c>
      <c r="F5324" s="2">
        <v>5</v>
      </c>
      <c r="H5324">
        <v>0</v>
      </c>
      <c r="I5324">
        <v>0.1741125760648204</v>
      </c>
      <c r="J5324">
        <v>0</v>
      </c>
      <c r="K5324">
        <v>0</v>
      </c>
      <c r="L5324" s="2">
        <v>0</v>
      </c>
      <c r="M5324">
        <v>54.2</v>
      </c>
      <c r="N5324" t="s">
        <v>10236</v>
      </c>
    </row>
    <row r="5325" spans="1:14">
      <c r="A5325" t="s">
        <v>35</v>
      </c>
      <c r="B5325" t="s">
        <v>5437</v>
      </c>
      <c r="C5325">
        <f>"E231XL"</f>
        <v>0</v>
      </c>
      <c r="D5325">
        <v>0</v>
      </c>
      <c r="E5325">
        <v>9</v>
      </c>
      <c r="F5325" s="2">
        <v>3</v>
      </c>
      <c r="H5325">
        <v>0</v>
      </c>
      <c r="I5325">
        <v>0.1741125760648204</v>
      </c>
      <c r="J5325">
        <v>0</v>
      </c>
      <c r="K5325">
        <v>0</v>
      </c>
      <c r="L5325" s="2">
        <v>0</v>
      </c>
      <c r="M5325">
        <v>54.21</v>
      </c>
      <c r="N5325" t="s">
        <v>10236</v>
      </c>
    </row>
    <row r="5326" spans="1:14">
      <c r="A5326" t="s">
        <v>35</v>
      </c>
      <c r="B5326" t="s">
        <v>5438</v>
      </c>
      <c r="C5326">
        <f>"PRIMAN"</f>
        <v>0</v>
      </c>
      <c r="D5326">
        <v>0</v>
      </c>
      <c r="E5326">
        <v>0</v>
      </c>
      <c r="F5326" s="2">
        <v>0</v>
      </c>
      <c r="H5326">
        <v>0</v>
      </c>
      <c r="I5326">
        <v>0.1741125760648204</v>
      </c>
      <c r="J5326">
        <v>0</v>
      </c>
      <c r="K5326">
        <v>0</v>
      </c>
      <c r="L5326" s="2">
        <v>0</v>
      </c>
      <c r="M5326">
        <v>54.22</v>
      </c>
      <c r="N5326" t="s">
        <v>10236</v>
      </c>
    </row>
    <row r="5327" spans="1:14">
      <c r="A5327" t="s">
        <v>35</v>
      </c>
      <c r="B5327" t="s">
        <v>5439</v>
      </c>
      <c r="C5327">
        <f>"E231L"</f>
        <v>0</v>
      </c>
      <c r="D5327">
        <v>0</v>
      </c>
      <c r="E5327">
        <v>10</v>
      </c>
      <c r="F5327" s="2">
        <v>2</v>
      </c>
      <c r="H5327">
        <v>0</v>
      </c>
      <c r="I5327">
        <v>0.1741125760648204</v>
      </c>
      <c r="J5327">
        <v>0</v>
      </c>
      <c r="K5327">
        <v>0</v>
      </c>
      <c r="L5327" s="2">
        <v>0</v>
      </c>
      <c r="M5327">
        <v>54.23</v>
      </c>
      <c r="N5327" t="s">
        <v>10236</v>
      </c>
    </row>
    <row r="5328" spans="1:14">
      <c r="A5328" t="s">
        <v>35</v>
      </c>
      <c r="B5328" t="s">
        <v>5440</v>
      </c>
      <c r="C5328">
        <f>"E231XS"</f>
        <v>0</v>
      </c>
      <c r="D5328">
        <v>0</v>
      </c>
      <c r="E5328">
        <v>13</v>
      </c>
      <c r="F5328" s="2">
        <v>2</v>
      </c>
      <c r="H5328">
        <v>0</v>
      </c>
      <c r="I5328">
        <v>0.1741125760648204</v>
      </c>
      <c r="J5328">
        <v>0</v>
      </c>
      <c r="K5328">
        <v>0</v>
      </c>
      <c r="L5328" s="2">
        <v>0</v>
      </c>
      <c r="M5328">
        <v>54.24</v>
      </c>
      <c r="N5328" t="s">
        <v>10236</v>
      </c>
    </row>
    <row r="5329" spans="1:14">
      <c r="A5329" t="s">
        <v>35</v>
      </c>
      <c r="B5329" t="s">
        <v>5440</v>
      </c>
      <c r="C5329">
        <f>"E231S"</f>
        <v>0</v>
      </c>
      <c r="D5329">
        <v>0</v>
      </c>
      <c r="E5329">
        <v>22</v>
      </c>
      <c r="F5329" s="2">
        <v>2</v>
      </c>
      <c r="H5329">
        <v>0</v>
      </c>
      <c r="I5329">
        <v>0.1741125760648204</v>
      </c>
      <c r="J5329">
        <v>0</v>
      </c>
      <c r="K5329">
        <v>0</v>
      </c>
      <c r="L5329" s="2">
        <v>0</v>
      </c>
      <c r="M5329">
        <v>54.25</v>
      </c>
      <c r="N5329" t="s">
        <v>10236</v>
      </c>
    </row>
    <row r="5330" spans="1:14">
      <c r="A5330" t="s">
        <v>41</v>
      </c>
      <c r="B5330" t="s">
        <v>5441</v>
      </c>
      <c r="C5330">
        <f>"VERMIC01"</f>
        <v>0</v>
      </c>
      <c r="D5330">
        <v>0</v>
      </c>
      <c r="E5330">
        <v>0</v>
      </c>
      <c r="F5330" s="2">
        <v>0</v>
      </c>
      <c r="H5330">
        <v>0</v>
      </c>
      <c r="I5330">
        <v>0.1741125760648204</v>
      </c>
      <c r="J5330">
        <v>0</v>
      </c>
      <c r="K5330">
        <v>0</v>
      </c>
      <c r="L5330" s="2">
        <v>0</v>
      </c>
      <c r="M5330">
        <v>54.26</v>
      </c>
      <c r="N5330" t="s">
        <v>10236</v>
      </c>
    </row>
    <row r="5331" spans="1:14">
      <c r="A5331" t="s">
        <v>36</v>
      </c>
      <c r="B5331" t="s">
        <v>5442</v>
      </c>
      <c r="C5331">
        <f>"85045350"</f>
        <v>0</v>
      </c>
      <c r="D5331">
        <v>0</v>
      </c>
      <c r="E5331">
        <v>3</v>
      </c>
      <c r="F5331" s="2">
        <v>15</v>
      </c>
      <c r="H5331">
        <v>0</v>
      </c>
      <c r="I5331">
        <v>0.1741125760648204</v>
      </c>
      <c r="J5331">
        <v>0</v>
      </c>
      <c r="K5331">
        <v>0</v>
      </c>
      <c r="L5331" s="2">
        <v>0</v>
      </c>
      <c r="M5331">
        <v>54.27</v>
      </c>
      <c r="N5331" t="s">
        <v>10236</v>
      </c>
    </row>
    <row r="5332" spans="1:14">
      <c r="A5332" t="s">
        <v>36</v>
      </c>
      <c r="B5332" t="s">
        <v>5443</v>
      </c>
      <c r="C5332">
        <f>"85045393"</f>
        <v>0</v>
      </c>
      <c r="D5332">
        <v>0</v>
      </c>
      <c r="E5332">
        <v>2</v>
      </c>
      <c r="F5332" s="2">
        <v>9</v>
      </c>
      <c r="H5332">
        <v>0</v>
      </c>
      <c r="I5332">
        <v>0.1741125760648204</v>
      </c>
      <c r="J5332">
        <v>0</v>
      </c>
      <c r="K5332">
        <v>0</v>
      </c>
      <c r="L5332" s="2">
        <v>0</v>
      </c>
      <c r="M5332">
        <v>54.28</v>
      </c>
      <c r="N5332" t="s">
        <v>10236</v>
      </c>
    </row>
    <row r="5333" spans="1:14">
      <c r="A5333" t="s">
        <v>35</v>
      </c>
      <c r="B5333" t="s">
        <v>5444</v>
      </c>
      <c r="C5333">
        <f>"SA0175ROJ"</f>
        <v>0</v>
      </c>
      <c r="D5333">
        <v>0</v>
      </c>
      <c r="E5333">
        <v>0</v>
      </c>
      <c r="F5333" s="2">
        <v>0</v>
      </c>
      <c r="H5333">
        <v>0</v>
      </c>
      <c r="I5333">
        <v>0.1741125760648204</v>
      </c>
      <c r="J5333">
        <v>0</v>
      </c>
      <c r="K5333">
        <v>0</v>
      </c>
      <c r="L5333" s="2">
        <v>0</v>
      </c>
      <c r="M5333">
        <v>54.29</v>
      </c>
      <c r="N5333" t="s">
        <v>10236</v>
      </c>
    </row>
    <row r="5334" spans="1:14">
      <c r="A5334" t="s">
        <v>35</v>
      </c>
      <c r="B5334" t="s">
        <v>5445</v>
      </c>
      <c r="C5334">
        <f>"SA0175BL"</f>
        <v>0</v>
      </c>
      <c r="D5334">
        <v>0</v>
      </c>
      <c r="E5334">
        <v>0</v>
      </c>
      <c r="F5334" s="2">
        <v>0</v>
      </c>
      <c r="H5334">
        <v>0</v>
      </c>
      <c r="I5334">
        <v>0.1741125760648204</v>
      </c>
      <c r="J5334">
        <v>0</v>
      </c>
      <c r="K5334">
        <v>0</v>
      </c>
      <c r="L5334" s="2">
        <v>0</v>
      </c>
      <c r="M5334">
        <v>54.3</v>
      </c>
      <c r="N5334" t="s">
        <v>10236</v>
      </c>
    </row>
    <row r="5335" spans="1:14">
      <c r="A5335" t="s">
        <v>35</v>
      </c>
      <c r="B5335" t="s">
        <v>5446</v>
      </c>
      <c r="C5335">
        <f>"SA0175AZ"</f>
        <v>0</v>
      </c>
      <c r="D5335">
        <v>0</v>
      </c>
      <c r="E5335">
        <v>1</v>
      </c>
      <c r="F5335" s="2">
        <v>0</v>
      </c>
      <c r="H5335">
        <v>0</v>
      </c>
      <c r="I5335">
        <v>0.1741125760648204</v>
      </c>
      <c r="J5335">
        <v>0</v>
      </c>
      <c r="K5335">
        <v>0</v>
      </c>
      <c r="L5335" s="2">
        <v>0</v>
      </c>
      <c r="M5335">
        <v>54.31</v>
      </c>
      <c r="N5335" t="s">
        <v>10236</v>
      </c>
    </row>
    <row r="5336" spans="1:14">
      <c r="A5336" t="s">
        <v>35</v>
      </c>
      <c r="B5336" t="s">
        <v>5447</v>
      </c>
      <c r="C5336">
        <f>"SA015ROJ"</f>
        <v>0</v>
      </c>
      <c r="D5336">
        <v>0</v>
      </c>
      <c r="E5336">
        <v>0</v>
      </c>
      <c r="F5336" s="2">
        <v>0</v>
      </c>
      <c r="H5336">
        <v>0</v>
      </c>
      <c r="I5336">
        <v>0.1741125760648204</v>
      </c>
      <c r="J5336">
        <v>0</v>
      </c>
      <c r="K5336">
        <v>0</v>
      </c>
      <c r="L5336" s="2">
        <v>0</v>
      </c>
      <c r="M5336">
        <v>54.31</v>
      </c>
      <c r="N5336" t="s">
        <v>10236</v>
      </c>
    </row>
    <row r="5337" spans="1:14">
      <c r="A5337" t="s">
        <v>35</v>
      </c>
      <c r="B5337" t="s">
        <v>5448</v>
      </c>
      <c r="C5337">
        <f>"SA015BL"</f>
        <v>0</v>
      </c>
      <c r="D5337">
        <v>0</v>
      </c>
      <c r="E5337">
        <v>0</v>
      </c>
      <c r="F5337" s="2">
        <v>0</v>
      </c>
      <c r="H5337">
        <v>0</v>
      </c>
      <c r="I5337">
        <v>0.1741125760648204</v>
      </c>
      <c r="J5337">
        <v>0</v>
      </c>
      <c r="K5337">
        <v>0</v>
      </c>
      <c r="L5337" s="2">
        <v>0</v>
      </c>
      <c r="M5337">
        <v>54.32</v>
      </c>
      <c r="N5337" t="s">
        <v>10236</v>
      </c>
    </row>
    <row r="5338" spans="1:14">
      <c r="A5338" t="s">
        <v>35</v>
      </c>
      <c r="B5338" t="s">
        <v>5449</v>
      </c>
      <c r="C5338">
        <f>"SA0115BL"</f>
        <v>0</v>
      </c>
      <c r="D5338">
        <v>0</v>
      </c>
      <c r="E5338">
        <v>2</v>
      </c>
      <c r="F5338" s="2">
        <v>0</v>
      </c>
      <c r="H5338">
        <v>0</v>
      </c>
      <c r="I5338">
        <v>0.1741125760648204</v>
      </c>
      <c r="J5338">
        <v>0</v>
      </c>
      <c r="K5338">
        <v>0</v>
      </c>
      <c r="L5338" s="2">
        <v>0</v>
      </c>
      <c r="M5338">
        <v>54.33</v>
      </c>
      <c r="N5338" t="s">
        <v>10236</v>
      </c>
    </row>
    <row r="5339" spans="1:14">
      <c r="A5339" t="s">
        <v>35</v>
      </c>
      <c r="B5339" t="s">
        <v>5450</v>
      </c>
      <c r="C5339">
        <f>"MSP008VEA"</f>
        <v>0</v>
      </c>
      <c r="D5339">
        <v>0</v>
      </c>
      <c r="E5339">
        <v>0</v>
      </c>
      <c r="F5339" s="2">
        <v>0</v>
      </c>
      <c r="H5339">
        <v>0</v>
      </c>
      <c r="I5339">
        <v>0.1741125760648204</v>
      </c>
      <c r="J5339">
        <v>0</v>
      </c>
      <c r="K5339">
        <v>0</v>
      </c>
      <c r="L5339" s="2">
        <v>0</v>
      </c>
      <c r="M5339">
        <v>54.34</v>
      </c>
      <c r="N5339" t="s">
        <v>10236</v>
      </c>
    </row>
    <row r="5340" spans="1:14">
      <c r="A5340" t="s">
        <v>35</v>
      </c>
      <c r="B5340" t="s">
        <v>5451</v>
      </c>
      <c r="C5340">
        <f>"MSP008ROSM"</f>
        <v>0</v>
      </c>
      <c r="D5340">
        <v>0</v>
      </c>
      <c r="E5340">
        <v>0</v>
      </c>
      <c r="F5340" s="2">
        <v>0</v>
      </c>
      <c r="H5340">
        <v>0</v>
      </c>
      <c r="I5340">
        <v>0.1741125760648204</v>
      </c>
      <c r="J5340">
        <v>0</v>
      </c>
      <c r="K5340">
        <v>0</v>
      </c>
      <c r="L5340" s="2">
        <v>0</v>
      </c>
      <c r="M5340">
        <v>54.35</v>
      </c>
      <c r="N5340" t="s">
        <v>10236</v>
      </c>
    </row>
    <row r="5341" spans="1:14">
      <c r="A5341" t="s">
        <v>35</v>
      </c>
      <c r="B5341" t="s">
        <v>5452</v>
      </c>
      <c r="C5341">
        <f>"PRIMAR"</f>
        <v>0</v>
      </c>
      <c r="D5341">
        <v>0</v>
      </c>
      <c r="E5341">
        <v>0</v>
      </c>
      <c r="F5341" s="2">
        <v>0</v>
      </c>
      <c r="H5341">
        <v>0</v>
      </c>
      <c r="I5341">
        <v>0.1741125760648204</v>
      </c>
      <c r="J5341">
        <v>0</v>
      </c>
      <c r="K5341">
        <v>0</v>
      </c>
      <c r="L5341" s="2">
        <v>0</v>
      </c>
      <c r="M5341">
        <v>54.36</v>
      </c>
      <c r="N5341" t="s">
        <v>10236</v>
      </c>
    </row>
    <row r="5342" spans="1:14">
      <c r="A5342" t="s">
        <v>35</v>
      </c>
      <c r="B5342" t="s">
        <v>5453</v>
      </c>
      <c r="C5342">
        <f>"E231M"</f>
        <v>0</v>
      </c>
      <c r="D5342">
        <v>0</v>
      </c>
      <c r="E5342">
        <v>8</v>
      </c>
      <c r="F5342" s="2">
        <v>2</v>
      </c>
      <c r="H5342">
        <v>0</v>
      </c>
      <c r="I5342">
        <v>0.1741125760648204</v>
      </c>
      <c r="J5342">
        <v>0</v>
      </c>
      <c r="K5342">
        <v>0</v>
      </c>
      <c r="L5342" s="2">
        <v>0</v>
      </c>
      <c r="M5342">
        <v>54.37</v>
      </c>
      <c r="N5342" t="s">
        <v>10236</v>
      </c>
    </row>
    <row r="5343" spans="1:14">
      <c r="A5343" t="s">
        <v>35</v>
      </c>
      <c r="B5343" t="s">
        <v>5454</v>
      </c>
      <c r="C5343">
        <f>"Q942039"</f>
        <v>0</v>
      </c>
      <c r="D5343">
        <v>0</v>
      </c>
      <c r="E5343">
        <v>0</v>
      </c>
      <c r="F5343" s="2">
        <v>0</v>
      </c>
      <c r="H5343">
        <v>0</v>
      </c>
      <c r="I5343">
        <v>0.1741125760648204</v>
      </c>
      <c r="J5343">
        <v>0</v>
      </c>
      <c r="K5343">
        <v>0</v>
      </c>
      <c r="L5343" s="2">
        <v>0</v>
      </c>
      <c r="M5343">
        <v>54.38</v>
      </c>
      <c r="N5343" t="s">
        <v>10236</v>
      </c>
    </row>
    <row r="5344" spans="1:14">
      <c r="A5344" t="s">
        <v>35</v>
      </c>
      <c r="B5344" t="s">
        <v>5455</v>
      </c>
      <c r="C5344">
        <f>"Q9440"</f>
        <v>0</v>
      </c>
      <c r="D5344">
        <v>0</v>
      </c>
      <c r="E5344">
        <v>0</v>
      </c>
      <c r="F5344" s="2">
        <v>0</v>
      </c>
      <c r="H5344">
        <v>0</v>
      </c>
      <c r="I5344">
        <v>0.1741125760648204</v>
      </c>
      <c r="J5344">
        <v>0</v>
      </c>
      <c r="K5344">
        <v>0</v>
      </c>
      <c r="L5344" s="2">
        <v>0</v>
      </c>
      <c r="M5344">
        <v>54.39</v>
      </c>
      <c r="N5344" t="s">
        <v>10236</v>
      </c>
    </row>
    <row r="5345" spans="1:14">
      <c r="A5345" t="s">
        <v>218</v>
      </c>
      <c r="B5345" t="s">
        <v>5456</v>
      </c>
      <c r="C5345">
        <f>"1012374"</f>
        <v>0</v>
      </c>
      <c r="D5345">
        <v>0</v>
      </c>
      <c r="E5345">
        <v>0</v>
      </c>
      <c r="F5345" s="2">
        <v>0</v>
      </c>
      <c r="H5345">
        <v>0</v>
      </c>
      <c r="I5345">
        <v>0.1741125760648204</v>
      </c>
      <c r="J5345">
        <v>0</v>
      </c>
      <c r="K5345">
        <v>0</v>
      </c>
      <c r="L5345" s="2">
        <v>0</v>
      </c>
      <c r="M5345">
        <v>54.4</v>
      </c>
      <c r="N5345" t="s">
        <v>10236</v>
      </c>
    </row>
    <row r="5346" spans="1:14">
      <c r="A5346" t="s">
        <v>35</v>
      </c>
      <c r="B5346" t="s">
        <v>5457</v>
      </c>
      <c r="C5346">
        <f>"9503A"</f>
        <v>0</v>
      </c>
      <c r="D5346">
        <v>0</v>
      </c>
      <c r="E5346">
        <v>0</v>
      </c>
      <c r="F5346" s="2">
        <v>0</v>
      </c>
      <c r="H5346">
        <v>0</v>
      </c>
      <c r="I5346">
        <v>0.1741125760648204</v>
      </c>
      <c r="J5346">
        <v>0</v>
      </c>
      <c r="K5346">
        <v>0</v>
      </c>
      <c r="L5346" s="2">
        <v>0</v>
      </c>
      <c r="M5346">
        <v>54.41</v>
      </c>
      <c r="N5346" t="s">
        <v>10236</v>
      </c>
    </row>
    <row r="5347" spans="1:14">
      <c r="A5347" t="s">
        <v>35</v>
      </c>
      <c r="B5347" t="s">
        <v>5458</v>
      </c>
      <c r="C5347">
        <f>"PP290CB"</f>
        <v>0</v>
      </c>
      <c r="D5347">
        <v>0</v>
      </c>
      <c r="E5347">
        <v>0</v>
      </c>
      <c r="F5347" s="2">
        <v>0</v>
      </c>
      <c r="H5347">
        <v>0</v>
      </c>
      <c r="I5347">
        <v>0.1741125760648204</v>
      </c>
      <c r="J5347">
        <v>0</v>
      </c>
      <c r="K5347">
        <v>0</v>
      </c>
      <c r="L5347" s="2">
        <v>0</v>
      </c>
      <c r="M5347">
        <v>54.42</v>
      </c>
      <c r="N5347" t="s">
        <v>10236</v>
      </c>
    </row>
    <row r="5348" spans="1:14">
      <c r="A5348" t="s">
        <v>35</v>
      </c>
      <c r="B5348" t="s">
        <v>5459</v>
      </c>
      <c r="C5348">
        <f>"KF8219BN"</f>
        <v>0</v>
      </c>
      <c r="D5348">
        <v>0</v>
      </c>
      <c r="E5348">
        <v>0</v>
      </c>
      <c r="F5348" s="2">
        <v>0</v>
      </c>
      <c r="H5348">
        <v>0</v>
      </c>
      <c r="I5348">
        <v>0.1741125760648204</v>
      </c>
      <c r="J5348">
        <v>0</v>
      </c>
      <c r="K5348">
        <v>0</v>
      </c>
      <c r="L5348" s="2">
        <v>0</v>
      </c>
      <c r="M5348">
        <v>54.42</v>
      </c>
      <c r="N5348" t="s">
        <v>10236</v>
      </c>
    </row>
    <row r="5349" spans="1:14">
      <c r="A5349" t="s">
        <v>35</v>
      </c>
      <c r="B5349" t="s">
        <v>5460</v>
      </c>
      <c r="C5349">
        <f>"KF8015CB"</f>
        <v>0</v>
      </c>
      <c r="D5349">
        <v>0</v>
      </c>
      <c r="E5349">
        <v>0</v>
      </c>
      <c r="F5349" s="2">
        <v>0</v>
      </c>
      <c r="H5349">
        <v>0</v>
      </c>
      <c r="I5349">
        <v>0.1741125760648204</v>
      </c>
      <c r="J5349">
        <v>0</v>
      </c>
      <c r="K5349">
        <v>0</v>
      </c>
      <c r="L5349" s="2">
        <v>0</v>
      </c>
      <c r="M5349">
        <v>54.43</v>
      </c>
      <c r="N5349" t="s">
        <v>10236</v>
      </c>
    </row>
    <row r="5350" spans="1:14">
      <c r="A5350" t="s">
        <v>35</v>
      </c>
      <c r="B5350" t="s">
        <v>5461</v>
      </c>
      <c r="C5350">
        <f>"KF8092G"</f>
        <v>0</v>
      </c>
      <c r="D5350">
        <v>0</v>
      </c>
      <c r="E5350">
        <v>0</v>
      </c>
      <c r="F5350" s="2">
        <v>0</v>
      </c>
      <c r="H5350">
        <v>0</v>
      </c>
      <c r="I5350">
        <v>0.1741125760648204</v>
      </c>
      <c r="J5350">
        <v>0</v>
      </c>
      <c r="K5350">
        <v>0</v>
      </c>
      <c r="L5350" s="2">
        <v>0</v>
      </c>
      <c r="M5350">
        <v>54.44</v>
      </c>
      <c r="N5350" t="s">
        <v>10236</v>
      </c>
    </row>
    <row r="5351" spans="1:14">
      <c r="A5351" t="s">
        <v>35</v>
      </c>
      <c r="B5351" t="s">
        <v>5462</v>
      </c>
      <c r="C5351">
        <f>"Q950229"</f>
        <v>0</v>
      </c>
      <c r="D5351">
        <v>0</v>
      </c>
      <c r="E5351">
        <v>0</v>
      </c>
      <c r="F5351" s="2">
        <v>0</v>
      </c>
      <c r="H5351">
        <v>0</v>
      </c>
      <c r="I5351">
        <v>0.1741125760648204</v>
      </c>
      <c r="J5351">
        <v>0</v>
      </c>
      <c r="K5351">
        <v>0</v>
      </c>
      <c r="L5351" s="2">
        <v>0</v>
      </c>
      <c r="M5351">
        <v>54.45</v>
      </c>
      <c r="N5351" t="s">
        <v>10236</v>
      </c>
    </row>
    <row r="5352" spans="1:14">
      <c r="A5352" t="s">
        <v>35</v>
      </c>
      <c r="B5352" t="s">
        <v>5463</v>
      </c>
      <c r="C5352">
        <f>"9502A"</f>
        <v>0</v>
      </c>
      <c r="D5352">
        <v>0</v>
      </c>
      <c r="E5352">
        <v>0</v>
      </c>
      <c r="F5352" s="2">
        <v>0</v>
      </c>
      <c r="H5352">
        <v>0</v>
      </c>
      <c r="I5352">
        <v>0.1741125760648204</v>
      </c>
      <c r="J5352">
        <v>0</v>
      </c>
      <c r="K5352">
        <v>0</v>
      </c>
      <c r="L5352" s="2">
        <v>0</v>
      </c>
      <c r="M5352">
        <v>54.46</v>
      </c>
      <c r="N5352" t="s">
        <v>10236</v>
      </c>
    </row>
    <row r="5353" spans="1:14">
      <c r="A5353" t="s">
        <v>35</v>
      </c>
      <c r="B5353" t="s">
        <v>5464</v>
      </c>
      <c r="C5353">
        <f>"88M"</f>
        <v>0</v>
      </c>
      <c r="D5353">
        <v>0</v>
      </c>
      <c r="E5353">
        <v>0</v>
      </c>
      <c r="F5353" s="2">
        <v>0</v>
      </c>
      <c r="H5353">
        <v>0</v>
      </c>
      <c r="I5353">
        <v>0.1741125760648204</v>
      </c>
      <c r="J5353">
        <v>0</v>
      </c>
      <c r="K5353">
        <v>0</v>
      </c>
      <c r="L5353" s="2">
        <v>0</v>
      </c>
      <c r="M5353">
        <v>54.47</v>
      </c>
      <c r="N5353" t="s">
        <v>10236</v>
      </c>
    </row>
    <row r="5354" spans="1:14">
      <c r="A5354" t="s">
        <v>35</v>
      </c>
      <c r="B5354" t="s">
        <v>5465</v>
      </c>
      <c r="C5354">
        <f>"88xl"</f>
        <v>0</v>
      </c>
      <c r="D5354">
        <v>0</v>
      </c>
      <c r="E5354">
        <v>0</v>
      </c>
      <c r="F5354" s="2">
        <v>0</v>
      </c>
      <c r="H5354">
        <v>0</v>
      </c>
      <c r="I5354">
        <v>0.1741125760648204</v>
      </c>
      <c r="J5354">
        <v>0</v>
      </c>
      <c r="K5354">
        <v>0</v>
      </c>
      <c r="L5354" s="2">
        <v>0</v>
      </c>
      <c r="M5354">
        <v>54.48</v>
      </c>
      <c r="N5354" t="s">
        <v>10236</v>
      </c>
    </row>
    <row r="5355" spans="1:14">
      <c r="A5355" t="s">
        <v>35</v>
      </c>
      <c r="B5355" t="s">
        <v>5466</v>
      </c>
      <c r="C5355">
        <f>"Q950137"</f>
        <v>0</v>
      </c>
      <c r="D5355">
        <v>0</v>
      </c>
      <c r="E5355">
        <v>0</v>
      </c>
      <c r="F5355" s="2">
        <v>0</v>
      </c>
      <c r="H5355">
        <v>0</v>
      </c>
      <c r="I5355">
        <v>0.1741125760648204</v>
      </c>
      <c r="J5355">
        <v>0</v>
      </c>
      <c r="K5355">
        <v>0</v>
      </c>
      <c r="L5355" s="2">
        <v>0</v>
      </c>
      <c r="M5355">
        <v>54.49</v>
      </c>
      <c r="N5355" t="s">
        <v>10236</v>
      </c>
    </row>
    <row r="5356" spans="1:14">
      <c r="A5356" t="s">
        <v>35</v>
      </c>
      <c r="B5356" t="s">
        <v>5467</v>
      </c>
      <c r="C5356">
        <f>"9501A"</f>
        <v>0</v>
      </c>
      <c r="D5356">
        <v>0</v>
      </c>
      <c r="E5356">
        <v>0</v>
      </c>
      <c r="F5356" s="2">
        <v>0</v>
      </c>
      <c r="H5356">
        <v>0</v>
      </c>
      <c r="I5356">
        <v>0.1741125760648204</v>
      </c>
      <c r="J5356">
        <v>0</v>
      </c>
      <c r="K5356">
        <v>0</v>
      </c>
      <c r="L5356" s="2">
        <v>0</v>
      </c>
      <c r="M5356">
        <v>54.5</v>
      </c>
      <c r="N5356" t="s">
        <v>10236</v>
      </c>
    </row>
    <row r="5357" spans="1:14">
      <c r="A5357" t="s">
        <v>29</v>
      </c>
      <c r="B5357" t="s">
        <v>5468</v>
      </c>
      <c r="C5357">
        <f>"C580NG"</f>
        <v>0</v>
      </c>
      <c r="D5357">
        <v>0</v>
      </c>
      <c r="E5357">
        <v>0</v>
      </c>
      <c r="F5357" s="2">
        <v>0</v>
      </c>
      <c r="H5357">
        <v>0</v>
      </c>
      <c r="I5357">
        <v>0.1741125760648204</v>
      </c>
      <c r="J5357">
        <v>0</v>
      </c>
      <c r="K5357">
        <v>0</v>
      </c>
      <c r="L5357" s="2">
        <v>0</v>
      </c>
      <c r="M5357">
        <v>54.51</v>
      </c>
      <c r="N5357" t="s">
        <v>10236</v>
      </c>
    </row>
    <row r="5358" spans="1:14">
      <c r="A5358" t="s">
        <v>213</v>
      </c>
      <c r="B5358" t="s">
        <v>5469</v>
      </c>
      <c r="C5358">
        <f>"501086"</f>
        <v>0</v>
      </c>
      <c r="D5358">
        <v>0</v>
      </c>
      <c r="E5358">
        <v>0</v>
      </c>
      <c r="F5358" s="2">
        <v>0</v>
      </c>
      <c r="H5358">
        <v>0</v>
      </c>
      <c r="I5358">
        <v>0.1741125760648204</v>
      </c>
      <c r="J5358">
        <v>0</v>
      </c>
      <c r="K5358">
        <v>0</v>
      </c>
      <c r="L5358" s="2">
        <v>0</v>
      </c>
      <c r="M5358">
        <v>54.52</v>
      </c>
      <c r="N5358" t="s">
        <v>10236</v>
      </c>
    </row>
    <row r="5359" spans="1:14">
      <c r="A5359" t="s">
        <v>213</v>
      </c>
      <c r="B5359" t="s">
        <v>5470</v>
      </c>
      <c r="C5359">
        <f>"501085"</f>
        <v>0</v>
      </c>
      <c r="D5359">
        <v>0</v>
      </c>
      <c r="E5359">
        <v>2</v>
      </c>
      <c r="F5359" s="2">
        <v>15</v>
      </c>
      <c r="H5359">
        <v>0</v>
      </c>
      <c r="I5359">
        <v>0.1741125760648204</v>
      </c>
      <c r="J5359">
        <v>0</v>
      </c>
      <c r="K5359">
        <v>0</v>
      </c>
      <c r="L5359" s="2">
        <v>0</v>
      </c>
      <c r="M5359">
        <v>54.53</v>
      </c>
      <c r="N5359" t="s">
        <v>10236</v>
      </c>
    </row>
    <row r="5360" spans="1:14">
      <c r="A5360" t="s">
        <v>35</v>
      </c>
      <c r="B5360" t="s">
        <v>5471</v>
      </c>
      <c r="C5360">
        <f>"IC1059"</f>
        <v>0</v>
      </c>
      <c r="D5360">
        <v>0</v>
      </c>
      <c r="E5360">
        <v>0</v>
      </c>
      <c r="F5360" s="2">
        <v>0</v>
      </c>
      <c r="H5360">
        <v>0</v>
      </c>
      <c r="I5360">
        <v>0.1741125760648204</v>
      </c>
      <c r="J5360">
        <v>0</v>
      </c>
      <c r="K5360">
        <v>0</v>
      </c>
      <c r="L5360" s="2">
        <v>0</v>
      </c>
      <c r="M5360">
        <v>54.54</v>
      </c>
      <c r="N5360" t="s">
        <v>10236</v>
      </c>
    </row>
    <row r="5361" spans="1:14">
      <c r="A5361" t="s">
        <v>35</v>
      </c>
      <c r="B5361" t="s">
        <v>5472</v>
      </c>
      <c r="C5361">
        <f>"IC0065"</f>
        <v>0</v>
      </c>
      <c r="D5361">
        <v>0</v>
      </c>
      <c r="E5361">
        <v>0</v>
      </c>
      <c r="F5361" s="2">
        <v>0</v>
      </c>
      <c r="H5361">
        <v>0</v>
      </c>
      <c r="I5361">
        <v>0.1741125760648204</v>
      </c>
      <c r="J5361">
        <v>0</v>
      </c>
      <c r="K5361">
        <v>0</v>
      </c>
      <c r="L5361" s="2">
        <v>0</v>
      </c>
      <c r="M5361">
        <v>54.54</v>
      </c>
      <c r="N5361" t="s">
        <v>10236</v>
      </c>
    </row>
    <row r="5362" spans="1:14">
      <c r="A5362" t="s">
        <v>35</v>
      </c>
      <c r="B5362" t="s">
        <v>5473</v>
      </c>
      <c r="C5362">
        <f>"KF8215"</f>
        <v>0</v>
      </c>
      <c r="D5362">
        <v>0</v>
      </c>
      <c r="E5362">
        <v>1</v>
      </c>
      <c r="F5362" s="2">
        <v>0</v>
      </c>
      <c r="H5362">
        <v>0</v>
      </c>
      <c r="I5362">
        <v>0.1741125760648204</v>
      </c>
      <c r="J5362">
        <v>0</v>
      </c>
      <c r="K5362">
        <v>0</v>
      </c>
      <c r="L5362" s="2">
        <v>0</v>
      </c>
      <c r="M5362">
        <v>54.55</v>
      </c>
      <c r="N5362" t="s">
        <v>10236</v>
      </c>
    </row>
    <row r="5363" spans="1:14">
      <c r="A5363" t="s">
        <v>35</v>
      </c>
      <c r="B5363" t="s">
        <v>5474</v>
      </c>
      <c r="C5363">
        <f>"23HT6"</f>
        <v>0</v>
      </c>
      <c r="D5363">
        <v>0</v>
      </c>
      <c r="E5363">
        <v>0</v>
      </c>
      <c r="F5363" s="2">
        <v>0</v>
      </c>
      <c r="H5363">
        <v>0</v>
      </c>
      <c r="I5363">
        <v>0.1741125760648204</v>
      </c>
      <c r="J5363">
        <v>0</v>
      </c>
      <c r="K5363">
        <v>0</v>
      </c>
      <c r="L5363" s="2">
        <v>0</v>
      </c>
      <c r="M5363">
        <v>54.56</v>
      </c>
      <c r="N5363" t="s">
        <v>10236</v>
      </c>
    </row>
    <row r="5364" spans="1:14">
      <c r="A5364" t="s">
        <v>35</v>
      </c>
      <c r="B5364" t="s">
        <v>5475</v>
      </c>
      <c r="C5364">
        <f>"KF8055G"</f>
        <v>0</v>
      </c>
      <c r="D5364">
        <v>0</v>
      </c>
      <c r="E5364">
        <v>1</v>
      </c>
      <c r="F5364" s="2">
        <v>15</v>
      </c>
      <c r="H5364">
        <v>0</v>
      </c>
      <c r="I5364">
        <v>0.1741125760648204</v>
      </c>
      <c r="J5364">
        <v>0</v>
      </c>
      <c r="K5364">
        <v>0</v>
      </c>
      <c r="L5364" s="2">
        <v>0</v>
      </c>
      <c r="M5364">
        <v>54.57</v>
      </c>
      <c r="N5364" t="s">
        <v>10236</v>
      </c>
    </row>
    <row r="5365" spans="1:14">
      <c r="A5365" t="s">
        <v>35</v>
      </c>
      <c r="B5365" t="s">
        <v>5476</v>
      </c>
      <c r="C5365">
        <f>"KF8043CAF"</f>
        <v>0</v>
      </c>
      <c r="D5365">
        <v>0</v>
      </c>
      <c r="E5365">
        <v>0</v>
      </c>
      <c r="F5365" s="2">
        <v>0</v>
      </c>
      <c r="H5365">
        <v>0</v>
      </c>
      <c r="I5365">
        <v>0.1741125760648204</v>
      </c>
      <c r="J5365">
        <v>0</v>
      </c>
      <c r="K5365">
        <v>0</v>
      </c>
      <c r="L5365" s="2">
        <v>0</v>
      </c>
      <c r="M5365">
        <v>54.58</v>
      </c>
      <c r="N5365" t="s">
        <v>10236</v>
      </c>
    </row>
    <row r="5366" spans="1:14">
      <c r="A5366" t="s">
        <v>35</v>
      </c>
      <c r="B5366" t="s">
        <v>5477</v>
      </c>
      <c r="C5366">
        <f>"KF8043AZU"</f>
        <v>0</v>
      </c>
      <c r="D5366">
        <v>0</v>
      </c>
      <c r="E5366">
        <v>0</v>
      </c>
      <c r="F5366" s="2">
        <v>0</v>
      </c>
      <c r="H5366">
        <v>0</v>
      </c>
      <c r="I5366">
        <v>0.1741125760648204</v>
      </c>
      <c r="J5366">
        <v>0</v>
      </c>
      <c r="K5366">
        <v>0</v>
      </c>
      <c r="L5366" s="2">
        <v>0</v>
      </c>
      <c r="M5366">
        <v>54.59</v>
      </c>
      <c r="N5366" t="s">
        <v>10236</v>
      </c>
    </row>
    <row r="5367" spans="1:14">
      <c r="A5367" t="s">
        <v>35</v>
      </c>
      <c r="B5367" t="s">
        <v>5478</v>
      </c>
      <c r="C5367">
        <f>"KF8043"</f>
        <v>0</v>
      </c>
      <c r="D5367">
        <v>0</v>
      </c>
      <c r="E5367">
        <v>2</v>
      </c>
      <c r="F5367" s="2">
        <v>13</v>
      </c>
      <c r="H5367">
        <v>0</v>
      </c>
      <c r="I5367">
        <v>0.1741125760648204</v>
      </c>
      <c r="J5367">
        <v>0</v>
      </c>
      <c r="K5367">
        <v>0</v>
      </c>
      <c r="L5367" s="2">
        <v>0</v>
      </c>
      <c r="M5367">
        <v>54.6</v>
      </c>
      <c r="N5367" t="s">
        <v>10236</v>
      </c>
    </row>
    <row r="5368" spans="1:14">
      <c r="A5368" t="s">
        <v>35</v>
      </c>
      <c r="B5368" t="s">
        <v>5479</v>
      </c>
      <c r="C5368">
        <f>"KF8069V"</f>
        <v>0</v>
      </c>
      <c r="D5368">
        <v>0</v>
      </c>
      <c r="E5368">
        <v>0</v>
      </c>
      <c r="F5368" s="2">
        <v>0</v>
      </c>
      <c r="H5368">
        <v>0</v>
      </c>
      <c r="I5368">
        <v>0.1741125760648204</v>
      </c>
      <c r="J5368">
        <v>0</v>
      </c>
      <c r="K5368">
        <v>0</v>
      </c>
      <c r="L5368" s="2">
        <v>0</v>
      </c>
      <c r="M5368">
        <v>54.61</v>
      </c>
      <c r="N5368" t="s">
        <v>10236</v>
      </c>
    </row>
    <row r="5369" spans="1:14">
      <c r="A5369" t="s">
        <v>35</v>
      </c>
      <c r="B5369" t="s">
        <v>5480</v>
      </c>
      <c r="C5369">
        <f>"KF8069C"</f>
        <v>0</v>
      </c>
      <c r="D5369">
        <v>0</v>
      </c>
      <c r="E5369">
        <v>0</v>
      </c>
      <c r="F5369" s="2">
        <v>0</v>
      </c>
      <c r="H5369">
        <v>0</v>
      </c>
      <c r="I5369">
        <v>0.1741125760648204</v>
      </c>
      <c r="J5369">
        <v>0</v>
      </c>
      <c r="K5369">
        <v>0</v>
      </c>
      <c r="L5369" s="2">
        <v>0</v>
      </c>
      <c r="M5369">
        <v>54.62</v>
      </c>
      <c r="N5369" t="s">
        <v>10236</v>
      </c>
    </row>
    <row r="5370" spans="1:14">
      <c r="A5370" t="s">
        <v>35</v>
      </c>
      <c r="B5370" t="s">
        <v>5481</v>
      </c>
      <c r="C5370">
        <f>"23HT5"</f>
        <v>0</v>
      </c>
      <c r="D5370">
        <v>0</v>
      </c>
      <c r="E5370">
        <v>0</v>
      </c>
      <c r="F5370" s="2">
        <v>0</v>
      </c>
      <c r="H5370">
        <v>0</v>
      </c>
      <c r="I5370">
        <v>0.1741125760648204</v>
      </c>
      <c r="J5370">
        <v>0</v>
      </c>
      <c r="K5370">
        <v>0</v>
      </c>
      <c r="L5370" s="2">
        <v>0</v>
      </c>
      <c r="M5370">
        <v>54.63</v>
      </c>
      <c r="N5370" t="s">
        <v>10236</v>
      </c>
    </row>
    <row r="5371" spans="1:14">
      <c r="A5371" t="s">
        <v>35</v>
      </c>
      <c r="B5371" t="s">
        <v>5482</v>
      </c>
      <c r="C5371">
        <f>"PP290CC"</f>
        <v>0</v>
      </c>
      <c r="D5371">
        <v>0</v>
      </c>
      <c r="E5371">
        <v>0</v>
      </c>
      <c r="F5371" s="2">
        <v>0</v>
      </c>
      <c r="H5371">
        <v>0</v>
      </c>
      <c r="I5371">
        <v>0.1741125760648204</v>
      </c>
      <c r="J5371">
        <v>0</v>
      </c>
      <c r="K5371">
        <v>0</v>
      </c>
      <c r="L5371" s="2">
        <v>0</v>
      </c>
      <c r="M5371">
        <v>54.64</v>
      </c>
      <c r="N5371" t="s">
        <v>10236</v>
      </c>
    </row>
    <row r="5372" spans="1:14">
      <c r="A5372" t="s">
        <v>213</v>
      </c>
      <c r="B5372" t="s">
        <v>5483</v>
      </c>
      <c r="C5372">
        <f>"501087"</f>
        <v>0</v>
      </c>
      <c r="D5372">
        <v>0</v>
      </c>
      <c r="E5372">
        <v>0</v>
      </c>
      <c r="F5372" s="2">
        <v>0</v>
      </c>
      <c r="H5372">
        <v>0</v>
      </c>
      <c r="I5372">
        <v>0.1741125760648204</v>
      </c>
      <c r="J5372">
        <v>0</v>
      </c>
      <c r="K5372">
        <v>0</v>
      </c>
      <c r="L5372" s="2">
        <v>0</v>
      </c>
      <c r="M5372">
        <v>54.65</v>
      </c>
      <c r="N5372" t="s">
        <v>10236</v>
      </c>
    </row>
    <row r="5373" spans="1:14">
      <c r="A5373" t="s">
        <v>223</v>
      </c>
      <c r="B5373" t="s">
        <v>5484</v>
      </c>
      <c r="C5373">
        <f>"540505"</f>
        <v>0</v>
      </c>
      <c r="D5373">
        <v>0</v>
      </c>
      <c r="E5373">
        <v>0</v>
      </c>
      <c r="F5373" s="2">
        <v>0</v>
      </c>
      <c r="H5373">
        <v>0</v>
      </c>
      <c r="I5373">
        <v>0.1741125760648204</v>
      </c>
      <c r="J5373">
        <v>0</v>
      </c>
      <c r="K5373">
        <v>0</v>
      </c>
      <c r="L5373" s="2">
        <v>0</v>
      </c>
      <c r="M5373">
        <v>54.66</v>
      </c>
      <c r="N5373" t="s">
        <v>10236</v>
      </c>
    </row>
    <row r="5374" spans="1:14">
      <c r="A5374" t="s">
        <v>223</v>
      </c>
      <c r="B5374" t="s">
        <v>5485</v>
      </c>
      <c r="C5374">
        <f>"44821"</f>
        <v>0</v>
      </c>
      <c r="D5374">
        <v>0</v>
      </c>
      <c r="E5374">
        <v>0</v>
      </c>
      <c r="F5374" s="2">
        <v>0</v>
      </c>
      <c r="H5374">
        <v>0</v>
      </c>
      <c r="I5374">
        <v>0.1741125760648204</v>
      </c>
      <c r="J5374">
        <v>0</v>
      </c>
      <c r="K5374">
        <v>0</v>
      </c>
      <c r="L5374" s="2">
        <v>0</v>
      </c>
      <c r="M5374">
        <v>54.66</v>
      </c>
      <c r="N5374" t="s">
        <v>10236</v>
      </c>
    </row>
    <row r="5375" spans="1:14">
      <c r="A5375" t="s">
        <v>35</v>
      </c>
      <c r="B5375" t="s">
        <v>5486</v>
      </c>
      <c r="C5375">
        <f>"88S"</f>
        <v>0</v>
      </c>
      <c r="D5375">
        <v>0</v>
      </c>
      <c r="E5375">
        <v>0</v>
      </c>
      <c r="F5375" s="2">
        <v>0</v>
      </c>
      <c r="H5375">
        <v>0</v>
      </c>
      <c r="I5375">
        <v>0.1741125760648204</v>
      </c>
      <c r="J5375">
        <v>0</v>
      </c>
      <c r="K5375">
        <v>0</v>
      </c>
      <c r="L5375" s="2">
        <v>0</v>
      </c>
      <c r="M5375">
        <v>54.67</v>
      </c>
      <c r="N5375" t="s">
        <v>10236</v>
      </c>
    </row>
    <row r="5376" spans="1:14">
      <c r="A5376" t="s">
        <v>35</v>
      </c>
      <c r="B5376" t="s">
        <v>5487</v>
      </c>
      <c r="C5376">
        <f>"Q9201"</f>
        <v>0</v>
      </c>
      <c r="D5376">
        <v>0</v>
      </c>
      <c r="E5376">
        <v>0</v>
      </c>
      <c r="F5376" s="2">
        <v>0</v>
      </c>
      <c r="H5376">
        <v>0</v>
      </c>
      <c r="I5376">
        <v>0.1741125760648204</v>
      </c>
      <c r="J5376">
        <v>0</v>
      </c>
      <c r="K5376">
        <v>0</v>
      </c>
      <c r="L5376" s="2">
        <v>0</v>
      </c>
      <c r="M5376">
        <v>54.68</v>
      </c>
      <c r="N5376" t="s">
        <v>10236</v>
      </c>
    </row>
    <row r="5377" spans="1:14">
      <c r="A5377" t="s">
        <v>35</v>
      </c>
      <c r="B5377" t="s">
        <v>5488</v>
      </c>
      <c r="C5377">
        <f>"Q9202"</f>
        <v>0</v>
      </c>
      <c r="D5377">
        <v>0</v>
      </c>
      <c r="E5377">
        <v>0</v>
      </c>
      <c r="F5377" s="2">
        <v>0</v>
      </c>
      <c r="H5377">
        <v>0</v>
      </c>
      <c r="I5377">
        <v>0.1741125760648204</v>
      </c>
      <c r="J5377">
        <v>0</v>
      </c>
      <c r="K5377">
        <v>0</v>
      </c>
      <c r="L5377" s="2">
        <v>0</v>
      </c>
      <c r="M5377">
        <v>54.69</v>
      </c>
      <c r="N5377" t="s">
        <v>10236</v>
      </c>
    </row>
    <row r="5378" spans="1:14">
      <c r="A5378" t="s">
        <v>35</v>
      </c>
      <c r="B5378" t="s">
        <v>5489</v>
      </c>
      <c r="C5378">
        <f>"REDG"</f>
        <v>0</v>
      </c>
      <c r="D5378">
        <v>0</v>
      </c>
      <c r="E5378">
        <v>0</v>
      </c>
      <c r="F5378" s="2">
        <v>0</v>
      </c>
      <c r="H5378">
        <v>0</v>
      </c>
      <c r="I5378">
        <v>0.1741125760648204</v>
      </c>
      <c r="J5378">
        <v>0</v>
      </c>
      <c r="K5378">
        <v>0</v>
      </c>
      <c r="L5378" s="2">
        <v>0</v>
      </c>
      <c r="M5378">
        <v>54.7</v>
      </c>
      <c r="N5378" t="s">
        <v>10236</v>
      </c>
    </row>
    <row r="5379" spans="1:14">
      <c r="A5379" t="s">
        <v>29</v>
      </c>
      <c r="B5379" t="s">
        <v>5490</v>
      </c>
      <c r="C5379">
        <f>"RED8"</f>
        <v>0</v>
      </c>
      <c r="D5379">
        <v>0</v>
      </c>
      <c r="E5379">
        <v>0</v>
      </c>
      <c r="F5379" s="2">
        <v>0</v>
      </c>
      <c r="H5379">
        <v>0</v>
      </c>
      <c r="I5379">
        <v>0.1741125760648204</v>
      </c>
      <c r="J5379">
        <v>0</v>
      </c>
      <c r="K5379">
        <v>0</v>
      </c>
      <c r="L5379" s="2">
        <v>0</v>
      </c>
      <c r="M5379">
        <v>54.71</v>
      </c>
      <c r="N5379" t="s">
        <v>10236</v>
      </c>
    </row>
    <row r="5380" spans="1:14">
      <c r="A5380" t="s">
        <v>29</v>
      </c>
      <c r="B5380" t="s">
        <v>5491</v>
      </c>
      <c r="C5380">
        <f>"RED7"</f>
        <v>0</v>
      </c>
      <c r="D5380">
        <v>0</v>
      </c>
      <c r="E5380">
        <v>12</v>
      </c>
      <c r="F5380" s="2">
        <v>0</v>
      </c>
      <c r="H5380">
        <v>0</v>
      </c>
      <c r="I5380">
        <v>0.1741125760648204</v>
      </c>
      <c r="J5380">
        <v>0</v>
      </c>
      <c r="K5380">
        <v>0</v>
      </c>
      <c r="L5380" s="2">
        <v>0</v>
      </c>
      <c r="M5380">
        <v>54.72</v>
      </c>
      <c r="N5380" t="s">
        <v>10236</v>
      </c>
    </row>
    <row r="5381" spans="1:14">
      <c r="A5381" t="s">
        <v>29</v>
      </c>
      <c r="B5381" t="s">
        <v>5492</v>
      </c>
      <c r="C5381">
        <f>"RED6"</f>
        <v>0</v>
      </c>
      <c r="D5381">
        <v>0</v>
      </c>
      <c r="E5381">
        <v>3</v>
      </c>
      <c r="F5381" s="2">
        <v>1</v>
      </c>
      <c r="H5381">
        <v>0</v>
      </c>
      <c r="I5381">
        <v>0.1741125760648204</v>
      </c>
      <c r="J5381">
        <v>0</v>
      </c>
      <c r="K5381">
        <v>0</v>
      </c>
      <c r="L5381" s="2">
        <v>0</v>
      </c>
      <c r="M5381">
        <v>54.73</v>
      </c>
      <c r="N5381" t="s">
        <v>10236</v>
      </c>
    </row>
    <row r="5382" spans="1:14">
      <c r="A5382" t="s">
        <v>29</v>
      </c>
      <c r="B5382" t="s">
        <v>5493</v>
      </c>
      <c r="C5382">
        <f>"RED5"</f>
        <v>0</v>
      </c>
      <c r="D5382">
        <v>0</v>
      </c>
      <c r="E5382">
        <v>6</v>
      </c>
      <c r="F5382" s="2">
        <v>0</v>
      </c>
      <c r="H5382">
        <v>0</v>
      </c>
      <c r="I5382">
        <v>0.1741125760648204</v>
      </c>
      <c r="J5382">
        <v>0</v>
      </c>
      <c r="K5382">
        <v>0</v>
      </c>
      <c r="L5382" s="2">
        <v>0</v>
      </c>
      <c r="M5382">
        <v>54.74</v>
      </c>
      <c r="N5382" t="s">
        <v>10236</v>
      </c>
    </row>
    <row r="5383" spans="1:14">
      <c r="A5383" t="s">
        <v>196</v>
      </c>
      <c r="B5383" t="s">
        <v>5494</v>
      </c>
      <c r="C5383">
        <f>"2020"</f>
        <v>0</v>
      </c>
      <c r="D5383">
        <v>0</v>
      </c>
      <c r="E5383">
        <v>1</v>
      </c>
      <c r="F5383" s="2">
        <v>2</v>
      </c>
      <c r="H5383">
        <v>0</v>
      </c>
      <c r="I5383">
        <v>0.1741125760648204</v>
      </c>
      <c r="J5383">
        <v>0</v>
      </c>
      <c r="K5383">
        <v>0</v>
      </c>
      <c r="L5383" s="2">
        <v>0</v>
      </c>
      <c r="M5383">
        <v>54.75</v>
      </c>
      <c r="N5383" t="s">
        <v>10236</v>
      </c>
    </row>
    <row r="5384" spans="1:14">
      <c r="A5384" t="s">
        <v>196</v>
      </c>
      <c r="B5384" t="s">
        <v>5495</v>
      </c>
      <c r="C5384">
        <f>"COL2"</f>
        <v>0</v>
      </c>
      <c r="D5384">
        <v>0</v>
      </c>
      <c r="E5384">
        <v>0</v>
      </c>
      <c r="F5384" s="2">
        <v>0</v>
      </c>
      <c r="H5384">
        <v>0</v>
      </c>
      <c r="I5384">
        <v>0.1741125760648204</v>
      </c>
      <c r="J5384">
        <v>0</v>
      </c>
      <c r="K5384">
        <v>0</v>
      </c>
      <c r="L5384" s="2">
        <v>0</v>
      </c>
      <c r="M5384">
        <v>54.76</v>
      </c>
      <c r="N5384" t="s">
        <v>10236</v>
      </c>
    </row>
    <row r="5385" spans="1:14">
      <c r="A5385" t="s">
        <v>35</v>
      </c>
      <c r="B5385" t="s">
        <v>5496</v>
      </c>
      <c r="C5385">
        <f>"3103R"</f>
        <v>0</v>
      </c>
      <c r="D5385">
        <v>0</v>
      </c>
      <c r="E5385">
        <v>0</v>
      </c>
      <c r="F5385" s="2">
        <v>0</v>
      </c>
      <c r="H5385">
        <v>0</v>
      </c>
      <c r="I5385">
        <v>0.1741125760648204</v>
      </c>
      <c r="J5385">
        <v>0</v>
      </c>
      <c r="K5385">
        <v>0</v>
      </c>
      <c r="L5385" s="2">
        <v>0</v>
      </c>
      <c r="M5385">
        <v>54.77</v>
      </c>
      <c r="N5385" t="s">
        <v>10236</v>
      </c>
    </row>
    <row r="5386" spans="1:14">
      <c r="A5386" t="s">
        <v>35</v>
      </c>
      <c r="B5386" t="s">
        <v>5497</v>
      </c>
      <c r="C5386">
        <f>"3103N"</f>
        <v>0</v>
      </c>
      <c r="D5386">
        <v>0</v>
      </c>
      <c r="E5386">
        <v>0</v>
      </c>
      <c r="F5386" s="2">
        <v>0</v>
      </c>
      <c r="H5386">
        <v>0</v>
      </c>
      <c r="I5386">
        <v>0.1741125760648204</v>
      </c>
      <c r="J5386">
        <v>0</v>
      </c>
      <c r="K5386">
        <v>0</v>
      </c>
      <c r="L5386" s="2">
        <v>0</v>
      </c>
      <c r="M5386">
        <v>54.78</v>
      </c>
      <c r="N5386" t="s">
        <v>10236</v>
      </c>
    </row>
    <row r="5387" spans="1:14">
      <c r="A5387" t="s">
        <v>35</v>
      </c>
      <c r="B5387" t="s">
        <v>5498</v>
      </c>
      <c r="C5387">
        <f>"HDDZ75UNID"</f>
        <v>0</v>
      </c>
      <c r="D5387">
        <v>0</v>
      </c>
      <c r="E5387">
        <v>1</v>
      </c>
      <c r="F5387" s="2">
        <v>214</v>
      </c>
      <c r="H5387">
        <v>0</v>
      </c>
      <c r="I5387">
        <v>0.1741125760648204</v>
      </c>
      <c r="J5387">
        <v>0</v>
      </c>
      <c r="K5387">
        <v>0</v>
      </c>
      <c r="L5387" s="2">
        <v>0</v>
      </c>
      <c r="M5387">
        <v>54.78</v>
      </c>
      <c r="N5387" t="s">
        <v>10236</v>
      </c>
    </row>
    <row r="5388" spans="1:14">
      <c r="A5388" t="s">
        <v>35</v>
      </c>
      <c r="B5388" t="s">
        <v>5499</v>
      </c>
      <c r="C5388">
        <f>"C202"</f>
        <v>0</v>
      </c>
      <c r="D5388">
        <v>0</v>
      </c>
      <c r="E5388">
        <v>0</v>
      </c>
      <c r="F5388" s="2">
        <v>0</v>
      </c>
      <c r="H5388">
        <v>0</v>
      </c>
      <c r="I5388">
        <v>0.1741125760648204</v>
      </c>
      <c r="J5388">
        <v>0</v>
      </c>
      <c r="K5388">
        <v>0</v>
      </c>
      <c r="L5388" s="2">
        <v>0</v>
      </c>
      <c r="M5388">
        <v>54.79</v>
      </c>
      <c r="N5388" t="s">
        <v>10236</v>
      </c>
    </row>
    <row r="5389" spans="1:14">
      <c r="A5389" t="s">
        <v>35</v>
      </c>
      <c r="B5389" t="s">
        <v>5500</v>
      </c>
      <c r="C5389">
        <f>"BA001"</f>
        <v>0</v>
      </c>
      <c r="D5389">
        <v>0</v>
      </c>
      <c r="E5389">
        <v>1</v>
      </c>
      <c r="F5389" s="2">
        <v>405</v>
      </c>
      <c r="H5389">
        <v>0</v>
      </c>
      <c r="I5389">
        <v>0.1741125760648204</v>
      </c>
      <c r="J5389">
        <v>0</v>
      </c>
      <c r="K5389">
        <v>0</v>
      </c>
      <c r="L5389" s="2">
        <v>0</v>
      </c>
      <c r="M5389">
        <v>54.8</v>
      </c>
      <c r="N5389" t="s">
        <v>10236</v>
      </c>
    </row>
    <row r="5390" spans="1:14">
      <c r="A5390" t="s">
        <v>35</v>
      </c>
      <c r="B5390" t="s">
        <v>5501</v>
      </c>
      <c r="C5390">
        <f>"BA046SV"</f>
        <v>0</v>
      </c>
      <c r="D5390">
        <v>0</v>
      </c>
      <c r="E5390">
        <v>1</v>
      </c>
      <c r="F5390" s="2">
        <v>720</v>
      </c>
      <c r="H5390">
        <v>0</v>
      </c>
      <c r="I5390">
        <v>0.1741125760648204</v>
      </c>
      <c r="J5390">
        <v>0</v>
      </c>
      <c r="K5390">
        <v>0</v>
      </c>
      <c r="L5390" s="2">
        <v>0</v>
      </c>
      <c r="M5390">
        <v>54.81</v>
      </c>
      <c r="N5390" t="s">
        <v>10236</v>
      </c>
    </row>
    <row r="5391" spans="1:14">
      <c r="A5391" t="s">
        <v>35</v>
      </c>
      <c r="B5391" t="s">
        <v>5502</v>
      </c>
      <c r="C5391">
        <f>"BA046SA"</f>
        <v>0</v>
      </c>
      <c r="D5391">
        <v>0</v>
      </c>
      <c r="E5391">
        <v>0</v>
      </c>
      <c r="F5391" s="2">
        <v>0</v>
      </c>
      <c r="H5391">
        <v>0</v>
      </c>
      <c r="I5391">
        <v>0.1741125760648204</v>
      </c>
      <c r="J5391">
        <v>0</v>
      </c>
      <c r="K5391">
        <v>0</v>
      </c>
      <c r="L5391" s="2">
        <v>0</v>
      </c>
      <c r="M5391">
        <v>54.82</v>
      </c>
      <c r="N5391" t="s">
        <v>10236</v>
      </c>
    </row>
    <row r="5392" spans="1:14">
      <c r="A5392" t="s">
        <v>35</v>
      </c>
      <c r="B5392" t="s">
        <v>5503</v>
      </c>
      <c r="C5392">
        <f>"BA046MV"</f>
        <v>0</v>
      </c>
      <c r="D5392">
        <v>0</v>
      </c>
      <c r="E5392">
        <v>24</v>
      </c>
      <c r="F5392" s="2">
        <v>1</v>
      </c>
      <c r="H5392">
        <v>0</v>
      </c>
      <c r="I5392">
        <v>0.1741125760648204</v>
      </c>
      <c r="J5392">
        <v>0</v>
      </c>
      <c r="K5392">
        <v>0</v>
      </c>
      <c r="L5392" s="2">
        <v>0</v>
      </c>
      <c r="M5392">
        <v>54.83</v>
      </c>
      <c r="N5392" t="s">
        <v>10236</v>
      </c>
    </row>
    <row r="5393" spans="1:14">
      <c r="A5393" t="s">
        <v>29</v>
      </c>
      <c r="B5393" t="s">
        <v>5504</v>
      </c>
      <c r="C5393">
        <f>"red4"</f>
        <v>0</v>
      </c>
      <c r="D5393">
        <v>0</v>
      </c>
      <c r="E5393">
        <v>41</v>
      </c>
      <c r="F5393" s="2">
        <v>0</v>
      </c>
      <c r="H5393">
        <v>0</v>
      </c>
      <c r="I5393">
        <v>0.1741125760648204</v>
      </c>
      <c r="J5393">
        <v>0</v>
      </c>
      <c r="K5393">
        <v>0</v>
      </c>
      <c r="L5393" s="2">
        <v>0</v>
      </c>
      <c r="M5393">
        <v>54.84</v>
      </c>
      <c r="N5393" t="s">
        <v>10236</v>
      </c>
    </row>
    <row r="5394" spans="1:14">
      <c r="A5394" t="s">
        <v>29</v>
      </c>
      <c r="B5394" t="s">
        <v>5505</v>
      </c>
      <c r="C5394">
        <f>"RED3"</f>
        <v>0</v>
      </c>
      <c r="D5394">
        <v>0</v>
      </c>
      <c r="E5394">
        <v>0</v>
      </c>
      <c r="F5394" s="2">
        <v>0</v>
      </c>
      <c r="H5394">
        <v>0</v>
      </c>
      <c r="I5394">
        <v>0.1741125760648204</v>
      </c>
      <c r="J5394">
        <v>0</v>
      </c>
      <c r="K5394">
        <v>0</v>
      </c>
      <c r="L5394" s="2">
        <v>0</v>
      </c>
      <c r="M5394">
        <v>54.85</v>
      </c>
      <c r="N5394" t="s">
        <v>10236</v>
      </c>
    </row>
    <row r="5395" spans="1:14">
      <c r="A5395" t="s">
        <v>29</v>
      </c>
      <c r="B5395" t="s">
        <v>5506</v>
      </c>
      <c r="C5395">
        <f>"RED12"</f>
        <v>0</v>
      </c>
      <c r="D5395">
        <v>0</v>
      </c>
      <c r="E5395">
        <v>0</v>
      </c>
      <c r="F5395" s="2">
        <v>0</v>
      </c>
      <c r="H5395">
        <v>0</v>
      </c>
      <c r="I5395">
        <v>0.1741125760648204</v>
      </c>
      <c r="J5395">
        <v>0</v>
      </c>
      <c r="K5395">
        <v>0</v>
      </c>
      <c r="L5395" s="2">
        <v>0</v>
      </c>
      <c r="M5395">
        <v>54.86</v>
      </c>
      <c r="N5395" t="s">
        <v>10236</v>
      </c>
    </row>
    <row r="5396" spans="1:14">
      <c r="A5396" t="s">
        <v>29</v>
      </c>
      <c r="B5396" t="s">
        <v>5507</v>
      </c>
      <c r="C5396">
        <f>"RED10"</f>
        <v>0</v>
      </c>
      <c r="D5396">
        <v>0</v>
      </c>
      <c r="E5396">
        <v>11</v>
      </c>
      <c r="F5396" s="2">
        <v>1</v>
      </c>
      <c r="H5396">
        <v>0</v>
      </c>
      <c r="I5396">
        <v>0.1741125760648204</v>
      </c>
      <c r="J5396">
        <v>0</v>
      </c>
      <c r="K5396">
        <v>0</v>
      </c>
      <c r="L5396" s="2">
        <v>0</v>
      </c>
      <c r="M5396">
        <v>54.87</v>
      </c>
      <c r="N5396" t="s">
        <v>10236</v>
      </c>
    </row>
    <row r="5397" spans="1:14">
      <c r="A5397" t="s">
        <v>223</v>
      </c>
      <c r="B5397" t="s">
        <v>5508</v>
      </c>
      <c r="C5397">
        <f>"44785"</f>
        <v>0</v>
      </c>
      <c r="D5397">
        <v>0</v>
      </c>
      <c r="E5397">
        <v>0</v>
      </c>
      <c r="F5397" s="2">
        <v>0</v>
      </c>
      <c r="H5397">
        <v>0</v>
      </c>
      <c r="I5397">
        <v>0.1741125760648204</v>
      </c>
      <c r="J5397">
        <v>0</v>
      </c>
      <c r="K5397">
        <v>0</v>
      </c>
      <c r="L5397" s="2">
        <v>0</v>
      </c>
      <c r="M5397">
        <v>54.88</v>
      </c>
      <c r="N5397" t="s">
        <v>10236</v>
      </c>
    </row>
    <row r="5398" spans="1:14">
      <c r="A5398" t="s">
        <v>35</v>
      </c>
      <c r="B5398" t="s">
        <v>5509</v>
      </c>
      <c r="C5398">
        <f>"KF8304"</f>
        <v>0</v>
      </c>
      <c r="D5398">
        <v>0</v>
      </c>
      <c r="E5398">
        <v>1</v>
      </c>
      <c r="F5398" s="2">
        <v>7</v>
      </c>
      <c r="H5398">
        <v>0</v>
      </c>
      <c r="I5398">
        <v>0.1741125760648204</v>
      </c>
      <c r="J5398">
        <v>0</v>
      </c>
      <c r="K5398">
        <v>0</v>
      </c>
      <c r="L5398" s="2">
        <v>0</v>
      </c>
      <c r="M5398">
        <v>54.89</v>
      </c>
      <c r="N5398" t="s">
        <v>10236</v>
      </c>
    </row>
    <row r="5399" spans="1:14">
      <c r="A5399" t="s">
        <v>35</v>
      </c>
      <c r="B5399" t="s">
        <v>5510</v>
      </c>
      <c r="C5399">
        <f>"PP150CB"</f>
        <v>0</v>
      </c>
      <c r="D5399">
        <v>0</v>
      </c>
      <c r="E5399">
        <v>0</v>
      </c>
      <c r="F5399" s="2">
        <v>0</v>
      </c>
      <c r="H5399">
        <v>0</v>
      </c>
      <c r="I5399">
        <v>0.1741125760648204</v>
      </c>
      <c r="J5399">
        <v>0</v>
      </c>
      <c r="K5399">
        <v>0</v>
      </c>
      <c r="L5399" s="2">
        <v>0</v>
      </c>
      <c r="M5399">
        <v>54.89</v>
      </c>
      <c r="N5399" t="s">
        <v>10236</v>
      </c>
    </row>
    <row r="5400" spans="1:14">
      <c r="A5400" t="s">
        <v>35</v>
      </c>
      <c r="B5400" t="s">
        <v>5511</v>
      </c>
      <c r="C5400">
        <f>"TF1011"</f>
        <v>0</v>
      </c>
      <c r="D5400">
        <v>0</v>
      </c>
      <c r="E5400">
        <v>0</v>
      </c>
      <c r="F5400" s="2">
        <v>0</v>
      </c>
      <c r="H5400">
        <v>0</v>
      </c>
      <c r="I5400">
        <v>0.1741125760648204</v>
      </c>
      <c r="J5400">
        <v>0</v>
      </c>
      <c r="K5400">
        <v>0</v>
      </c>
      <c r="L5400" s="2">
        <v>0</v>
      </c>
      <c r="M5400">
        <v>54.9</v>
      </c>
      <c r="N5400" t="s">
        <v>10236</v>
      </c>
    </row>
    <row r="5401" spans="1:14">
      <c r="A5401" t="s">
        <v>35</v>
      </c>
      <c r="B5401" t="s">
        <v>5512</v>
      </c>
      <c r="C5401">
        <f>"N6503"</f>
        <v>0</v>
      </c>
      <c r="D5401">
        <v>0</v>
      </c>
      <c r="E5401">
        <v>0</v>
      </c>
      <c r="F5401" s="2">
        <v>0</v>
      </c>
      <c r="H5401">
        <v>0</v>
      </c>
      <c r="I5401">
        <v>0.1741125760648204</v>
      </c>
      <c r="J5401">
        <v>0</v>
      </c>
      <c r="K5401">
        <v>0</v>
      </c>
      <c r="L5401" s="2">
        <v>0</v>
      </c>
      <c r="M5401">
        <v>54.91</v>
      </c>
      <c r="N5401" t="s">
        <v>10236</v>
      </c>
    </row>
    <row r="5402" spans="1:14">
      <c r="A5402" t="s">
        <v>32</v>
      </c>
      <c r="B5402" t="s">
        <v>5513</v>
      </c>
      <c r="C5402">
        <f>"5001859"</f>
        <v>0</v>
      </c>
      <c r="D5402">
        <v>0</v>
      </c>
      <c r="E5402">
        <v>0</v>
      </c>
      <c r="F5402" s="2">
        <v>0</v>
      </c>
      <c r="H5402">
        <v>0</v>
      </c>
      <c r="I5402">
        <v>0.1741125760648204</v>
      </c>
      <c r="J5402">
        <v>0</v>
      </c>
      <c r="K5402">
        <v>0</v>
      </c>
      <c r="L5402" s="2">
        <v>0</v>
      </c>
      <c r="M5402">
        <v>54.92</v>
      </c>
      <c r="N5402" t="s">
        <v>10236</v>
      </c>
    </row>
    <row r="5403" spans="1:14">
      <c r="A5403" t="s">
        <v>35</v>
      </c>
      <c r="B5403" t="s">
        <v>5514</v>
      </c>
      <c r="C5403">
        <f>"3030EMBE"</f>
        <v>0</v>
      </c>
      <c r="D5403">
        <v>0</v>
      </c>
      <c r="E5403">
        <v>0</v>
      </c>
      <c r="F5403" s="2">
        <v>0</v>
      </c>
      <c r="H5403">
        <v>0</v>
      </c>
      <c r="I5403">
        <v>0.1741125760648204</v>
      </c>
      <c r="J5403">
        <v>0</v>
      </c>
      <c r="K5403">
        <v>0</v>
      </c>
      <c r="L5403" s="2">
        <v>0</v>
      </c>
      <c r="M5403">
        <v>54.93</v>
      </c>
      <c r="N5403" t="s">
        <v>10236</v>
      </c>
    </row>
    <row r="5404" spans="1:14">
      <c r="A5404" t="s">
        <v>196</v>
      </c>
      <c r="B5404" t="s">
        <v>5515</v>
      </c>
      <c r="C5404">
        <f>"2139"</f>
        <v>0</v>
      </c>
      <c r="D5404">
        <v>0</v>
      </c>
      <c r="E5404">
        <v>0</v>
      </c>
      <c r="F5404" s="2">
        <v>0</v>
      </c>
      <c r="H5404">
        <v>0</v>
      </c>
      <c r="I5404">
        <v>0.1741125760648204</v>
      </c>
      <c r="J5404">
        <v>0</v>
      </c>
      <c r="K5404">
        <v>0</v>
      </c>
      <c r="L5404" s="2">
        <v>0</v>
      </c>
      <c r="M5404">
        <v>54.94</v>
      </c>
      <c r="N5404" t="s">
        <v>10236</v>
      </c>
    </row>
    <row r="5405" spans="1:14">
      <c r="A5405" t="s">
        <v>29</v>
      </c>
      <c r="B5405" t="s">
        <v>5516</v>
      </c>
      <c r="C5405">
        <f>"BI100"</f>
        <v>0</v>
      </c>
      <c r="D5405">
        <v>0</v>
      </c>
      <c r="E5405">
        <v>0</v>
      </c>
      <c r="F5405" s="2">
        <v>0</v>
      </c>
      <c r="H5405">
        <v>0</v>
      </c>
      <c r="I5405">
        <v>0.1741125760648204</v>
      </c>
      <c r="J5405">
        <v>0</v>
      </c>
      <c r="K5405">
        <v>0</v>
      </c>
      <c r="L5405" s="2">
        <v>0</v>
      </c>
      <c r="M5405">
        <v>54.95</v>
      </c>
      <c r="N5405" t="s">
        <v>10236</v>
      </c>
    </row>
    <row r="5406" spans="1:14">
      <c r="A5406" t="s">
        <v>195</v>
      </c>
      <c r="B5406" t="s">
        <v>5517</v>
      </c>
      <c r="C5406">
        <f>"25390262"</f>
        <v>0</v>
      </c>
      <c r="D5406">
        <v>0</v>
      </c>
      <c r="E5406">
        <v>1</v>
      </c>
      <c r="F5406" s="2">
        <v>6</v>
      </c>
      <c r="H5406">
        <v>0</v>
      </c>
      <c r="I5406">
        <v>0.1741125760648204</v>
      </c>
      <c r="J5406">
        <v>0</v>
      </c>
      <c r="K5406">
        <v>0</v>
      </c>
      <c r="L5406" s="2">
        <v>0</v>
      </c>
      <c r="M5406">
        <v>54.96</v>
      </c>
      <c r="N5406" t="s">
        <v>10236</v>
      </c>
    </row>
    <row r="5407" spans="1:14">
      <c r="A5407" t="s">
        <v>25</v>
      </c>
      <c r="B5407" t="s">
        <v>5518</v>
      </c>
      <c r="C5407">
        <f>"BL50"</f>
        <v>0</v>
      </c>
      <c r="D5407">
        <v>0</v>
      </c>
      <c r="E5407">
        <v>0</v>
      </c>
      <c r="F5407" s="2">
        <v>0</v>
      </c>
      <c r="H5407">
        <v>0</v>
      </c>
      <c r="I5407">
        <v>0.1741125760648204</v>
      </c>
      <c r="J5407">
        <v>0</v>
      </c>
      <c r="K5407">
        <v>0</v>
      </c>
      <c r="L5407" s="2">
        <v>0</v>
      </c>
      <c r="M5407">
        <v>54.97</v>
      </c>
      <c r="N5407" t="s">
        <v>10236</v>
      </c>
    </row>
    <row r="5408" spans="1:14">
      <c r="A5408" t="s">
        <v>35</v>
      </c>
      <c r="B5408" t="s">
        <v>5519</v>
      </c>
      <c r="C5408">
        <f>"25570249"</f>
        <v>0</v>
      </c>
      <c r="D5408">
        <v>0</v>
      </c>
      <c r="E5408">
        <v>0</v>
      </c>
      <c r="F5408" s="2">
        <v>0</v>
      </c>
      <c r="H5408">
        <v>0</v>
      </c>
      <c r="I5408">
        <v>0.1741125760648204</v>
      </c>
      <c r="J5408">
        <v>0</v>
      </c>
      <c r="K5408">
        <v>0</v>
      </c>
      <c r="L5408" s="2">
        <v>0</v>
      </c>
      <c r="M5408">
        <v>54.98</v>
      </c>
      <c r="N5408" t="s">
        <v>10236</v>
      </c>
    </row>
    <row r="5409" spans="1:14">
      <c r="A5409" t="s">
        <v>35</v>
      </c>
      <c r="B5409" t="s">
        <v>5520</v>
      </c>
      <c r="C5409">
        <f>"LO80610"</f>
        <v>0</v>
      </c>
      <c r="D5409">
        <v>0</v>
      </c>
      <c r="E5409">
        <v>0</v>
      </c>
      <c r="F5409" s="2">
        <v>0</v>
      </c>
      <c r="H5409">
        <v>0</v>
      </c>
      <c r="I5409">
        <v>0.1741125760648204</v>
      </c>
      <c r="J5409">
        <v>0</v>
      </c>
      <c r="K5409">
        <v>0</v>
      </c>
      <c r="L5409" s="2">
        <v>0</v>
      </c>
      <c r="M5409">
        <v>54.99</v>
      </c>
      <c r="N5409" t="s">
        <v>10236</v>
      </c>
    </row>
    <row r="5410" spans="1:14">
      <c r="A5410" t="s">
        <v>223</v>
      </c>
      <c r="B5410" t="s">
        <v>5521</v>
      </c>
      <c r="C5410">
        <f>"5101108"</f>
        <v>0</v>
      </c>
      <c r="D5410">
        <v>0</v>
      </c>
      <c r="E5410">
        <v>0</v>
      </c>
      <c r="F5410" s="2">
        <v>0</v>
      </c>
      <c r="H5410">
        <v>0</v>
      </c>
      <c r="I5410">
        <v>0.1741125760648204</v>
      </c>
      <c r="J5410">
        <v>0</v>
      </c>
      <c r="K5410">
        <v>0</v>
      </c>
      <c r="L5410" s="2">
        <v>0</v>
      </c>
      <c r="M5410">
        <v>55</v>
      </c>
      <c r="N5410" t="s">
        <v>10236</v>
      </c>
    </row>
    <row r="5411" spans="1:14">
      <c r="A5411" t="s">
        <v>210</v>
      </c>
      <c r="B5411" t="s">
        <v>5522</v>
      </c>
      <c r="C5411">
        <f>"7798075343025"</f>
        <v>0</v>
      </c>
      <c r="D5411">
        <v>0</v>
      </c>
      <c r="E5411">
        <v>0</v>
      </c>
      <c r="F5411" s="2">
        <v>0</v>
      </c>
      <c r="H5411">
        <v>0</v>
      </c>
      <c r="I5411">
        <v>0.1741125760648204</v>
      </c>
      <c r="J5411">
        <v>0</v>
      </c>
      <c r="K5411">
        <v>0</v>
      </c>
      <c r="L5411" s="2">
        <v>0</v>
      </c>
      <c r="M5411">
        <v>55.01</v>
      </c>
      <c r="N5411" t="s">
        <v>10236</v>
      </c>
    </row>
    <row r="5412" spans="1:14">
      <c r="A5412" t="s">
        <v>210</v>
      </c>
      <c r="B5412" t="s">
        <v>5523</v>
      </c>
      <c r="C5412">
        <f>"110301011500"</f>
        <v>0</v>
      </c>
      <c r="D5412">
        <v>0</v>
      </c>
      <c r="E5412">
        <v>0</v>
      </c>
      <c r="F5412" s="2">
        <v>0</v>
      </c>
      <c r="H5412">
        <v>0</v>
      </c>
      <c r="I5412">
        <v>0.1741125760648204</v>
      </c>
      <c r="J5412">
        <v>0</v>
      </c>
      <c r="K5412">
        <v>0</v>
      </c>
      <c r="L5412" s="2">
        <v>0</v>
      </c>
      <c r="M5412">
        <v>55.01</v>
      </c>
      <c r="N5412" t="s">
        <v>10236</v>
      </c>
    </row>
    <row r="5413" spans="1:14">
      <c r="A5413" t="s">
        <v>210</v>
      </c>
      <c r="B5413" t="s">
        <v>5524</v>
      </c>
      <c r="C5413">
        <f>"7798075341304"</f>
        <v>0</v>
      </c>
      <c r="D5413">
        <v>0</v>
      </c>
      <c r="E5413">
        <v>0</v>
      </c>
      <c r="F5413" s="2">
        <v>0</v>
      </c>
      <c r="H5413">
        <v>0</v>
      </c>
      <c r="I5413">
        <v>0.1741125760648204</v>
      </c>
      <c r="J5413">
        <v>0</v>
      </c>
      <c r="K5413">
        <v>0</v>
      </c>
      <c r="L5413" s="2">
        <v>0</v>
      </c>
      <c r="M5413">
        <v>55.02</v>
      </c>
      <c r="N5413" t="s">
        <v>10236</v>
      </c>
    </row>
    <row r="5414" spans="1:14">
      <c r="A5414" t="s">
        <v>35</v>
      </c>
      <c r="B5414" t="s">
        <v>5525</v>
      </c>
      <c r="C5414">
        <f>"82044"</f>
        <v>0</v>
      </c>
      <c r="D5414">
        <v>0</v>
      </c>
      <c r="E5414">
        <v>0</v>
      </c>
      <c r="F5414" s="2">
        <v>0</v>
      </c>
      <c r="H5414">
        <v>0</v>
      </c>
      <c r="I5414">
        <v>0.1741125760648204</v>
      </c>
      <c r="J5414">
        <v>0</v>
      </c>
      <c r="K5414">
        <v>0</v>
      </c>
      <c r="L5414" s="2">
        <v>0</v>
      </c>
      <c r="M5414">
        <v>55.03</v>
      </c>
      <c r="N5414" t="s">
        <v>10236</v>
      </c>
    </row>
    <row r="5415" spans="1:14">
      <c r="A5415" t="s">
        <v>35</v>
      </c>
      <c r="B5415" t="s">
        <v>5526</v>
      </c>
      <c r="C5415">
        <f>"KF8056G"</f>
        <v>0</v>
      </c>
      <c r="D5415">
        <v>0</v>
      </c>
      <c r="E5415">
        <v>1</v>
      </c>
      <c r="F5415" s="2">
        <v>28</v>
      </c>
      <c r="H5415">
        <v>0</v>
      </c>
      <c r="I5415">
        <v>0.1741125760648204</v>
      </c>
      <c r="J5415">
        <v>0</v>
      </c>
      <c r="K5415">
        <v>0</v>
      </c>
      <c r="L5415" s="2">
        <v>0</v>
      </c>
      <c r="M5415">
        <v>55.04</v>
      </c>
      <c r="N5415" t="s">
        <v>10236</v>
      </c>
    </row>
    <row r="5416" spans="1:14">
      <c r="A5416" t="s">
        <v>35</v>
      </c>
      <c r="B5416" t="s">
        <v>5527</v>
      </c>
      <c r="C5416">
        <f>"DS33"</f>
        <v>0</v>
      </c>
      <c r="D5416">
        <v>0</v>
      </c>
      <c r="E5416">
        <v>0</v>
      </c>
      <c r="F5416" s="2">
        <v>0</v>
      </c>
      <c r="H5416">
        <v>0</v>
      </c>
      <c r="I5416">
        <v>0.1741125760648204</v>
      </c>
      <c r="J5416">
        <v>0</v>
      </c>
      <c r="K5416">
        <v>0</v>
      </c>
      <c r="L5416" s="2">
        <v>0</v>
      </c>
      <c r="M5416">
        <v>55.05</v>
      </c>
      <c r="N5416" t="s">
        <v>10236</v>
      </c>
    </row>
    <row r="5417" spans="1:14">
      <c r="A5417" t="s">
        <v>35</v>
      </c>
      <c r="B5417" t="s">
        <v>5528</v>
      </c>
      <c r="C5417">
        <f>"DS11"</f>
        <v>0</v>
      </c>
      <c r="D5417">
        <v>0</v>
      </c>
      <c r="E5417">
        <v>0</v>
      </c>
      <c r="F5417" s="2">
        <v>0</v>
      </c>
      <c r="H5417">
        <v>0</v>
      </c>
      <c r="I5417">
        <v>0.1741125760648204</v>
      </c>
      <c r="J5417">
        <v>0</v>
      </c>
      <c r="K5417">
        <v>0</v>
      </c>
      <c r="L5417" s="2">
        <v>0</v>
      </c>
      <c r="M5417">
        <v>55.06</v>
      </c>
      <c r="N5417" t="s">
        <v>10236</v>
      </c>
    </row>
    <row r="5418" spans="1:14">
      <c r="A5418" t="s">
        <v>35</v>
      </c>
      <c r="B5418" t="s">
        <v>5529</v>
      </c>
      <c r="C5418">
        <f>"hk15016"</f>
        <v>0</v>
      </c>
      <c r="D5418">
        <v>0</v>
      </c>
      <c r="E5418">
        <v>0</v>
      </c>
      <c r="F5418" s="2">
        <v>0</v>
      </c>
      <c r="H5418">
        <v>0</v>
      </c>
      <c r="I5418">
        <v>0.1741125760648204</v>
      </c>
      <c r="J5418">
        <v>0</v>
      </c>
      <c r="K5418">
        <v>0</v>
      </c>
      <c r="L5418" s="2">
        <v>0</v>
      </c>
      <c r="M5418">
        <v>55.07</v>
      </c>
      <c r="N5418" t="s">
        <v>10236</v>
      </c>
    </row>
    <row r="5419" spans="1:14">
      <c r="A5419" t="s">
        <v>35</v>
      </c>
      <c r="B5419" t="s">
        <v>5530</v>
      </c>
      <c r="C5419">
        <f>"1Z1"</f>
        <v>0</v>
      </c>
      <c r="D5419">
        <v>0</v>
      </c>
      <c r="E5419">
        <v>0</v>
      </c>
      <c r="F5419" s="2">
        <v>0</v>
      </c>
      <c r="H5419">
        <v>0</v>
      </c>
      <c r="I5419">
        <v>0.1741125760648204</v>
      </c>
      <c r="J5419">
        <v>0</v>
      </c>
      <c r="K5419">
        <v>0</v>
      </c>
      <c r="L5419" s="2">
        <v>0</v>
      </c>
      <c r="M5419">
        <v>55.08</v>
      </c>
      <c r="N5419" t="s">
        <v>10236</v>
      </c>
    </row>
    <row r="5420" spans="1:14">
      <c r="A5420" t="s">
        <v>35</v>
      </c>
      <c r="B5420" t="s">
        <v>5531</v>
      </c>
      <c r="C5420">
        <f>"KFFZ004"</f>
        <v>0</v>
      </c>
      <c r="D5420">
        <v>0</v>
      </c>
      <c r="E5420">
        <v>0</v>
      </c>
      <c r="F5420" s="2">
        <v>0</v>
      </c>
      <c r="H5420">
        <v>0</v>
      </c>
      <c r="I5420">
        <v>0.1741125760648204</v>
      </c>
      <c r="J5420">
        <v>0</v>
      </c>
      <c r="K5420">
        <v>0</v>
      </c>
      <c r="L5420" s="2">
        <v>0</v>
      </c>
      <c r="M5420">
        <v>55.09</v>
      </c>
      <c r="N5420" t="s">
        <v>10236</v>
      </c>
    </row>
    <row r="5421" spans="1:14">
      <c r="A5421" t="s">
        <v>35</v>
      </c>
      <c r="B5421" t="s">
        <v>5532</v>
      </c>
      <c r="C5421">
        <f>"KF8306"</f>
        <v>0</v>
      </c>
      <c r="D5421">
        <v>0</v>
      </c>
      <c r="E5421">
        <v>4</v>
      </c>
      <c r="F5421" s="2">
        <v>6</v>
      </c>
      <c r="H5421">
        <v>0</v>
      </c>
      <c r="I5421">
        <v>0.1741125760648204</v>
      </c>
      <c r="J5421">
        <v>0</v>
      </c>
      <c r="K5421">
        <v>0</v>
      </c>
      <c r="L5421" s="2">
        <v>0</v>
      </c>
      <c r="M5421">
        <v>55.1</v>
      </c>
      <c r="N5421" t="s">
        <v>10236</v>
      </c>
    </row>
    <row r="5422" spans="1:14">
      <c r="A5422" t="s">
        <v>35</v>
      </c>
      <c r="B5422" t="s">
        <v>5533</v>
      </c>
      <c r="C5422">
        <f>"MZB52C"</f>
        <v>0</v>
      </c>
      <c r="D5422">
        <v>0</v>
      </c>
      <c r="E5422">
        <v>0</v>
      </c>
      <c r="F5422" s="2">
        <v>0</v>
      </c>
      <c r="H5422">
        <v>0</v>
      </c>
      <c r="I5422">
        <v>0.1741125760648204</v>
      </c>
      <c r="J5422">
        <v>0</v>
      </c>
      <c r="K5422">
        <v>0</v>
      </c>
      <c r="L5422" s="2">
        <v>0</v>
      </c>
      <c r="M5422">
        <v>55.11</v>
      </c>
      <c r="N5422" t="s">
        <v>10236</v>
      </c>
    </row>
    <row r="5423" spans="1:14">
      <c r="A5423" t="s">
        <v>35</v>
      </c>
      <c r="B5423" t="s">
        <v>5534</v>
      </c>
      <c r="C5423">
        <f>"69713"</f>
        <v>0</v>
      </c>
      <c r="D5423">
        <v>0</v>
      </c>
      <c r="E5423">
        <v>0</v>
      </c>
      <c r="F5423" s="2">
        <v>0</v>
      </c>
      <c r="H5423">
        <v>0</v>
      </c>
      <c r="I5423">
        <v>0.1741125760648204</v>
      </c>
      <c r="J5423">
        <v>0</v>
      </c>
      <c r="K5423">
        <v>0</v>
      </c>
      <c r="L5423" s="2">
        <v>0</v>
      </c>
      <c r="M5423">
        <v>55.12</v>
      </c>
      <c r="N5423" t="s">
        <v>10236</v>
      </c>
    </row>
    <row r="5424" spans="1:14">
      <c r="A5424" t="s">
        <v>35</v>
      </c>
      <c r="B5424" t="s">
        <v>5535</v>
      </c>
      <c r="C5424">
        <f>"kf8033"</f>
        <v>0</v>
      </c>
      <c r="D5424">
        <v>0</v>
      </c>
      <c r="E5424">
        <v>0</v>
      </c>
      <c r="F5424" s="2">
        <v>0</v>
      </c>
      <c r="H5424">
        <v>0</v>
      </c>
      <c r="I5424">
        <v>0.1741125760648204</v>
      </c>
      <c r="J5424">
        <v>0</v>
      </c>
      <c r="K5424">
        <v>0</v>
      </c>
      <c r="L5424" s="2">
        <v>0</v>
      </c>
      <c r="M5424">
        <v>55.13</v>
      </c>
      <c r="N5424" t="s">
        <v>10236</v>
      </c>
    </row>
    <row r="5425" spans="1:14">
      <c r="A5425" t="s">
        <v>207</v>
      </c>
      <c r="B5425" t="s">
        <v>5536</v>
      </c>
      <c r="C5425">
        <f>"KF8021A"</f>
        <v>0</v>
      </c>
      <c r="D5425">
        <v>0</v>
      </c>
      <c r="E5425">
        <v>3</v>
      </c>
      <c r="F5425" s="2">
        <v>15</v>
      </c>
      <c r="H5425">
        <v>0</v>
      </c>
      <c r="I5425">
        <v>0.1741125760648204</v>
      </c>
      <c r="J5425">
        <v>0</v>
      </c>
      <c r="K5425">
        <v>0</v>
      </c>
      <c r="L5425" s="2">
        <v>0</v>
      </c>
      <c r="M5425">
        <v>55.13</v>
      </c>
      <c r="N5425" t="s">
        <v>10236</v>
      </c>
    </row>
    <row r="5426" spans="1:14">
      <c r="A5426" t="s">
        <v>35</v>
      </c>
      <c r="B5426" t="s">
        <v>5537</v>
      </c>
      <c r="C5426">
        <f>"CAT001LE"</f>
        <v>0</v>
      </c>
      <c r="D5426">
        <v>0</v>
      </c>
      <c r="E5426">
        <v>0</v>
      </c>
      <c r="F5426" s="2">
        <v>0</v>
      </c>
      <c r="H5426">
        <v>0</v>
      </c>
      <c r="I5426">
        <v>0.1741125760648204</v>
      </c>
      <c r="J5426">
        <v>0</v>
      </c>
      <c r="K5426">
        <v>0</v>
      </c>
      <c r="L5426" s="2">
        <v>0</v>
      </c>
      <c r="M5426">
        <v>55.14</v>
      </c>
      <c r="N5426" t="s">
        <v>10236</v>
      </c>
    </row>
    <row r="5427" spans="1:14">
      <c r="A5427" t="s">
        <v>35</v>
      </c>
      <c r="B5427" t="s">
        <v>5538</v>
      </c>
      <c r="C5427">
        <f>"KF8005BR"</f>
        <v>0</v>
      </c>
      <c r="D5427">
        <v>0</v>
      </c>
      <c r="E5427">
        <v>0</v>
      </c>
      <c r="F5427" s="2">
        <v>0</v>
      </c>
      <c r="H5427">
        <v>0</v>
      </c>
      <c r="I5427">
        <v>0.1741125760648204</v>
      </c>
      <c r="J5427">
        <v>0</v>
      </c>
      <c r="K5427">
        <v>0</v>
      </c>
      <c r="L5427" s="2">
        <v>0</v>
      </c>
      <c r="M5427">
        <v>55.15</v>
      </c>
      <c r="N5427" t="s">
        <v>10236</v>
      </c>
    </row>
    <row r="5428" spans="1:14">
      <c r="A5428" t="s">
        <v>35</v>
      </c>
      <c r="B5428" t="s">
        <v>5539</v>
      </c>
      <c r="C5428">
        <f>"KF8005BG"</f>
        <v>0</v>
      </c>
      <c r="D5428">
        <v>0</v>
      </c>
      <c r="E5428">
        <v>0</v>
      </c>
      <c r="F5428" s="2">
        <v>0</v>
      </c>
      <c r="H5428">
        <v>0</v>
      </c>
      <c r="I5428">
        <v>0.1741125760648204</v>
      </c>
      <c r="J5428">
        <v>0</v>
      </c>
      <c r="K5428">
        <v>0</v>
      </c>
      <c r="L5428" s="2">
        <v>0</v>
      </c>
      <c r="M5428">
        <v>55.16</v>
      </c>
      <c r="N5428" t="s">
        <v>10236</v>
      </c>
    </row>
    <row r="5429" spans="1:14">
      <c r="A5429" t="s">
        <v>35</v>
      </c>
      <c r="B5429" t="s">
        <v>5540</v>
      </c>
      <c r="C5429">
        <f>"KF8005BC"</f>
        <v>0</v>
      </c>
      <c r="D5429">
        <v>0</v>
      </c>
      <c r="E5429">
        <v>0</v>
      </c>
      <c r="F5429" s="2">
        <v>0</v>
      </c>
      <c r="H5429">
        <v>0</v>
      </c>
      <c r="I5429">
        <v>0.1741125760648204</v>
      </c>
      <c r="J5429">
        <v>0</v>
      </c>
      <c r="K5429">
        <v>0</v>
      </c>
      <c r="L5429" s="2">
        <v>0</v>
      </c>
      <c r="M5429">
        <v>55.17</v>
      </c>
      <c r="N5429" t="s">
        <v>10236</v>
      </c>
    </row>
    <row r="5430" spans="1:14">
      <c r="A5430" t="s">
        <v>35</v>
      </c>
      <c r="B5430" t="s">
        <v>5541</v>
      </c>
      <c r="C5430">
        <f>"XX2066M"</f>
        <v>0</v>
      </c>
      <c r="D5430">
        <v>0</v>
      </c>
      <c r="E5430">
        <v>0</v>
      </c>
      <c r="F5430" s="2">
        <v>0</v>
      </c>
      <c r="H5430">
        <v>0</v>
      </c>
      <c r="I5430">
        <v>0.1741125760648204</v>
      </c>
      <c r="J5430">
        <v>0</v>
      </c>
      <c r="K5430">
        <v>0</v>
      </c>
      <c r="L5430" s="2">
        <v>0</v>
      </c>
      <c r="M5430">
        <v>55.18</v>
      </c>
      <c r="N5430" t="s">
        <v>10236</v>
      </c>
    </row>
    <row r="5431" spans="1:14">
      <c r="A5431" t="s">
        <v>35</v>
      </c>
      <c r="B5431" t="s">
        <v>5542</v>
      </c>
      <c r="C5431">
        <f>"MZB40L"</f>
        <v>0</v>
      </c>
      <c r="D5431">
        <v>0</v>
      </c>
      <c r="E5431">
        <v>2</v>
      </c>
      <c r="F5431" s="2">
        <v>11</v>
      </c>
      <c r="H5431">
        <v>0</v>
      </c>
      <c r="I5431">
        <v>0.1741125760648204</v>
      </c>
      <c r="J5431">
        <v>0</v>
      </c>
      <c r="K5431">
        <v>0</v>
      </c>
      <c r="L5431" s="2">
        <v>0</v>
      </c>
      <c r="M5431">
        <v>55.19</v>
      </c>
      <c r="N5431" t="s">
        <v>10236</v>
      </c>
    </row>
    <row r="5432" spans="1:14">
      <c r="A5432" t="s">
        <v>35</v>
      </c>
      <c r="B5432" t="s">
        <v>5543</v>
      </c>
      <c r="C5432">
        <f>"KF8303"</f>
        <v>0</v>
      </c>
      <c r="D5432">
        <v>0</v>
      </c>
      <c r="E5432">
        <v>2</v>
      </c>
      <c r="F5432" s="2">
        <v>6</v>
      </c>
      <c r="H5432">
        <v>0</v>
      </c>
      <c r="I5432">
        <v>0.1741125760648204</v>
      </c>
      <c r="J5432">
        <v>0</v>
      </c>
      <c r="K5432">
        <v>0</v>
      </c>
      <c r="L5432" s="2">
        <v>0</v>
      </c>
      <c r="M5432">
        <v>55.2</v>
      </c>
      <c r="N5432" t="s">
        <v>10236</v>
      </c>
    </row>
    <row r="5433" spans="1:14">
      <c r="A5433" t="s">
        <v>35</v>
      </c>
      <c r="B5433" t="s">
        <v>5544</v>
      </c>
      <c r="C5433">
        <f>"MZB43"</f>
        <v>0</v>
      </c>
      <c r="D5433">
        <v>0</v>
      </c>
      <c r="E5433">
        <v>0</v>
      </c>
      <c r="F5433" s="2">
        <v>0</v>
      </c>
      <c r="H5433">
        <v>0</v>
      </c>
      <c r="I5433">
        <v>0.1741125760648204</v>
      </c>
      <c r="J5433">
        <v>0</v>
      </c>
      <c r="K5433">
        <v>0</v>
      </c>
      <c r="L5433" s="2">
        <v>0</v>
      </c>
      <c r="M5433">
        <v>55.21</v>
      </c>
      <c r="N5433" t="s">
        <v>10236</v>
      </c>
    </row>
    <row r="5434" spans="1:14">
      <c r="A5434" t="s">
        <v>35</v>
      </c>
      <c r="B5434" t="s">
        <v>5545</v>
      </c>
      <c r="C5434">
        <f>"LZ1GRIS"</f>
        <v>0</v>
      </c>
      <c r="D5434">
        <v>0</v>
      </c>
      <c r="E5434">
        <v>1</v>
      </c>
      <c r="F5434" s="2">
        <v>5</v>
      </c>
      <c r="H5434">
        <v>0</v>
      </c>
      <c r="I5434">
        <v>0.1741125760648204</v>
      </c>
      <c r="J5434">
        <v>0</v>
      </c>
      <c r="K5434">
        <v>0</v>
      </c>
      <c r="L5434" s="2">
        <v>0</v>
      </c>
      <c r="M5434">
        <v>55.22</v>
      </c>
      <c r="N5434" t="s">
        <v>10236</v>
      </c>
    </row>
    <row r="5435" spans="1:14">
      <c r="A5435" t="s">
        <v>35</v>
      </c>
      <c r="B5435" t="s">
        <v>5546</v>
      </c>
      <c r="C5435">
        <f>"KF8009"</f>
        <v>0</v>
      </c>
      <c r="D5435">
        <v>0</v>
      </c>
      <c r="E5435">
        <v>1</v>
      </c>
      <c r="F5435" s="2">
        <v>24</v>
      </c>
      <c r="H5435">
        <v>0</v>
      </c>
      <c r="I5435">
        <v>0.1741125760648204</v>
      </c>
      <c r="J5435">
        <v>0</v>
      </c>
      <c r="K5435">
        <v>0</v>
      </c>
      <c r="L5435" s="2">
        <v>0</v>
      </c>
      <c r="M5435">
        <v>55.23</v>
      </c>
      <c r="N5435" t="s">
        <v>10236</v>
      </c>
    </row>
    <row r="5436" spans="1:14">
      <c r="A5436" t="s">
        <v>35</v>
      </c>
      <c r="B5436" t="s">
        <v>5547</v>
      </c>
      <c r="C5436">
        <f>"hk15011"</f>
        <v>0</v>
      </c>
      <c r="D5436">
        <v>0</v>
      </c>
      <c r="E5436">
        <v>0</v>
      </c>
      <c r="F5436" s="2">
        <v>0</v>
      </c>
      <c r="H5436">
        <v>0</v>
      </c>
      <c r="I5436">
        <v>0.1741125760648204</v>
      </c>
      <c r="J5436">
        <v>0</v>
      </c>
      <c r="K5436">
        <v>0</v>
      </c>
      <c r="L5436" s="2">
        <v>0</v>
      </c>
      <c r="M5436">
        <v>55.24</v>
      </c>
      <c r="N5436" t="s">
        <v>10236</v>
      </c>
    </row>
    <row r="5437" spans="1:14">
      <c r="A5437" t="s">
        <v>35</v>
      </c>
      <c r="B5437" t="s">
        <v>5548</v>
      </c>
      <c r="C5437">
        <f>"KF8099B"</f>
        <v>0</v>
      </c>
      <c r="D5437">
        <v>0</v>
      </c>
      <c r="E5437">
        <v>0</v>
      </c>
      <c r="F5437" s="2">
        <v>0</v>
      </c>
      <c r="H5437">
        <v>0</v>
      </c>
      <c r="I5437">
        <v>0.1741125760648204</v>
      </c>
      <c r="J5437">
        <v>0</v>
      </c>
      <c r="K5437">
        <v>0</v>
      </c>
      <c r="L5437" s="2">
        <v>0</v>
      </c>
      <c r="M5437">
        <v>55.25</v>
      </c>
      <c r="N5437" t="s">
        <v>10236</v>
      </c>
    </row>
    <row r="5438" spans="1:14">
      <c r="A5438" t="s">
        <v>35</v>
      </c>
      <c r="B5438" t="s">
        <v>5549</v>
      </c>
      <c r="C5438">
        <f>"KF8205BR"</f>
        <v>0</v>
      </c>
      <c r="D5438">
        <v>0</v>
      </c>
      <c r="E5438">
        <v>0</v>
      </c>
      <c r="F5438" s="2">
        <v>0</v>
      </c>
      <c r="H5438">
        <v>0</v>
      </c>
      <c r="I5438">
        <v>0.1741125760648204</v>
      </c>
      <c r="J5438">
        <v>0</v>
      </c>
      <c r="K5438">
        <v>0</v>
      </c>
      <c r="L5438" s="2">
        <v>0</v>
      </c>
      <c r="M5438">
        <v>55.25</v>
      </c>
      <c r="N5438" t="s">
        <v>10236</v>
      </c>
    </row>
    <row r="5439" spans="1:14">
      <c r="A5439" t="s">
        <v>35</v>
      </c>
      <c r="B5439" t="s">
        <v>5550</v>
      </c>
      <c r="C5439">
        <f>"PP110CR"</f>
        <v>0</v>
      </c>
      <c r="D5439">
        <v>0</v>
      </c>
      <c r="E5439">
        <v>0</v>
      </c>
      <c r="F5439" s="2">
        <v>0</v>
      </c>
      <c r="H5439">
        <v>0</v>
      </c>
      <c r="I5439">
        <v>0.1741125760648204</v>
      </c>
      <c r="J5439">
        <v>0</v>
      </c>
      <c r="K5439">
        <v>0</v>
      </c>
      <c r="L5439" s="2">
        <v>0</v>
      </c>
      <c r="M5439">
        <v>55.26</v>
      </c>
      <c r="N5439" t="s">
        <v>10236</v>
      </c>
    </row>
    <row r="5440" spans="1:14">
      <c r="A5440" t="s">
        <v>35</v>
      </c>
      <c r="B5440" t="s">
        <v>5551</v>
      </c>
      <c r="C5440">
        <f>"PP110CB"</f>
        <v>0</v>
      </c>
      <c r="D5440">
        <v>0</v>
      </c>
      <c r="E5440">
        <v>0</v>
      </c>
      <c r="F5440" s="2">
        <v>0</v>
      </c>
      <c r="H5440">
        <v>0</v>
      </c>
      <c r="I5440">
        <v>0.1741125760648204</v>
      </c>
      <c r="J5440">
        <v>0</v>
      </c>
      <c r="K5440">
        <v>0</v>
      </c>
      <c r="L5440" s="2">
        <v>0</v>
      </c>
      <c r="M5440">
        <v>55.27</v>
      </c>
      <c r="N5440" t="s">
        <v>10236</v>
      </c>
    </row>
    <row r="5441" spans="1:14">
      <c r="A5441" t="s">
        <v>35</v>
      </c>
      <c r="B5441" t="s">
        <v>5552</v>
      </c>
      <c r="C5441">
        <f>"KF8016BG"</f>
        <v>0</v>
      </c>
      <c r="D5441">
        <v>0</v>
      </c>
      <c r="E5441">
        <v>0</v>
      </c>
      <c r="F5441" s="2">
        <v>0</v>
      </c>
      <c r="H5441">
        <v>0</v>
      </c>
      <c r="I5441">
        <v>0.1741125760648204</v>
      </c>
      <c r="J5441">
        <v>0</v>
      </c>
      <c r="K5441">
        <v>0</v>
      </c>
      <c r="L5441" s="2">
        <v>0</v>
      </c>
      <c r="M5441">
        <v>55.28</v>
      </c>
      <c r="N5441" t="s">
        <v>10236</v>
      </c>
    </row>
    <row r="5442" spans="1:14">
      <c r="A5442" t="s">
        <v>35</v>
      </c>
      <c r="B5442" t="s">
        <v>5553</v>
      </c>
      <c r="C5442">
        <f>"KF2013B"</f>
        <v>0</v>
      </c>
      <c r="D5442">
        <v>0</v>
      </c>
      <c r="E5442">
        <v>0</v>
      </c>
      <c r="F5442" s="2">
        <v>0</v>
      </c>
      <c r="H5442">
        <v>0</v>
      </c>
      <c r="I5442">
        <v>0.1741125760648204</v>
      </c>
      <c r="J5442">
        <v>0</v>
      </c>
      <c r="K5442">
        <v>0</v>
      </c>
      <c r="L5442" s="2">
        <v>0</v>
      </c>
      <c r="M5442">
        <v>55.29</v>
      </c>
      <c r="N5442" t="s">
        <v>10236</v>
      </c>
    </row>
    <row r="5443" spans="1:14">
      <c r="A5443" t="s">
        <v>35</v>
      </c>
      <c r="B5443" t="s">
        <v>5554</v>
      </c>
      <c r="C5443">
        <f>"KF8001AB"</f>
        <v>0</v>
      </c>
      <c r="D5443">
        <v>0</v>
      </c>
      <c r="E5443">
        <v>0</v>
      </c>
      <c r="F5443" s="2">
        <v>0</v>
      </c>
      <c r="H5443">
        <v>0</v>
      </c>
      <c r="I5443">
        <v>0.1741125760648204</v>
      </c>
      <c r="J5443">
        <v>0</v>
      </c>
      <c r="K5443">
        <v>0</v>
      </c>
      <c r="L5443" s="2">
        <v>0</v>
      </c>
      <c r="M5443">
        <v>55.3</v>
      </c>
      <c r="N5443" t="s">
        <v>10236</v>
      </c>
    </row>
    <row r="5444" spans="1:14">
      <c r="A5444" t="s">
        <v>35</v>
      </c>
      <c r="B5444" t="s">
        <v>5555</v>
      </c>
      <c r="C5444">
        <f>"PP047CG"</f>
        <v>0</v>
      </c>
      <c r="D5444">
        <v>0</v>
      </c>
      <c r="E5444">
        <v>0</v>
      </c>
      <c r="F5444" s="2">
        <v>0</v>
      </c>
      <c r="H5444">
        <v>0</v>
      </c>
      <c r="I5444">
        <v>0.1741125760648204</v>
      </c>
      <c r="J5444">
        <v>0</v>
      </c>
      <c r="K5444">
        <v>0</v>
      </c>
      <c r="L5444" s="2">
        <v>0</v>
      </c>
      <c r="M5444">
        <v>55.31</v>
      </c>
      <c r="N5444" t="s">
        <v>10236</v>
      </c>
    </row>
    <row r="5445" spans="1:14">
      <c r="A5445" t="s">
        <v>35</v>
      </c>
      <c r="B5445" t="s">
        <v>5556</v>
      </c>
      <c r="C5445">
        <f>"PP047CB"</f>
        <v>0</v>
      </c>
      <c r="D5445">
        <v>0</v>
      </c>
      <c r="E5445">
        <v>0</v>
      </c>
      <c r="F5445" s="2">
        <v>0</v>
      </c>
      <c r="H5445">
        <v>0</v>
      </c>
      <c r="I5445">
        <v>0.1741125760648204</v>
      </c>
      <c r="J5445">
        <v>0</v>
      </c>
      <c r="K5445">
        <v>0</v>
      </c>
      <c r="L5445" s="2">
        <v>0</v>
      </c>
      <c r="M5445">
        <v>55.32</v>
      </c>
      <c r="N5445" t="s">
        <v>10236</v>
      </c>
    </row>
    <row r="5446" spans="1:14">
      <c r="A5446" t="s">
        <v>35</v>
      </c>
      <c r="B5446" t="s">
        <v>5557</v>
      </c>
      <c r="C5446">
        <f>"PP110CCB"</f>
        <v>0</v>
      </c>
      <c r="D5446">
        <v>0</v>
      </c>
      <c r="E5446">
        <v>0</v>
      </c>
      <c r="F5446" s="2">
        <v>0</v>
      </c>
      <c r="H5446">
        <v>0</v>
      </c>
      <c r="I5446">
        <v>0.1741125760648204</v>
      </c>
      <c r="J5446">
        <v>0</v>
      </c>
      <c r="K5446">
        <v>0</v>
      </c>
      <c r="L5446" s="2">
        <v>0</v>
      </c>
      <c r="M5446">
        <v>55.33</v>
      </c>
      <c r="N5446" t="s">
        <v>10236</v>
      </c>
    </row>
    <row r="5447" spans="1:14">
      <c r="A5447" t="s">
        <v>35</v>
      </c>
      <c r="B5447" t="s">
        <v>5558</v>
      </c>
      <c r="C5447">
        <f>"PP110CBR"</f>
        <v>0</v>
      </c>
      <c r="D5447">
        <v>0</v>
      </c>
      <c r="E5447">
        <v>0</v>
      </c>
      <c r="F5447" s="2">
        <v>0</v>
      </c>
      <c r="H5447">
        <v>0</v>
      </c>
      <c r="I5447">
        <v>0.1741125760648204</v>
      </c>
      <c r="J5447">
        <v>0</v>
      </c>
      <c r="K5447">
        <v>0</v>
      </c>
      <c r="L5447" s="2">
        <v>0</v>
      </c>
      <c r="M5447">
        <v>55.34</v>
      </c>
      <c r="N5447" t="s">
        <v>10236</v>
      </c>
    </row>
    <row r="5448" spans="1:14">
      <c r="A5448" t="s">
        <v>207</v>
      </c>
      <c r="B5448" t="s">
        <v>5559</v>
      </c>
      <c r="C5448">
        <f>"CAT001BE"</f>
        <v>0</v>
      </c>
      <c r="D5448">
        <v>0</v>
      </c>
      <c r="E5448">
        <v>11</v>
      </c>
      <c r="F5448" s="2">
        <v>18</v>
      </c>
      <c r="H5448">
        <v>0</v>
      </c>
      <c r="I5448">
        <v>0.1741125760648204</v>
      </c>
      <c r="J5448">
        <v>0</v>
      </c>
      <c r="K5448">
        <v>0</v>
      </c>
      <c r="L5448" s="2">
        <v>0</v>
      </c>
      <c r="M5448">
        <v>55.35</v>
      </c>
      <c r="N5448" t="s">
        <v>10236</v>
      </c>
    </row>
    <row r="5449" spans="1:14">
      <c r="A5449" t="s">
        <v>196</v>
      </c>
      <c r="B5449" t="s">
        <v>5560</v>
      </c>
      <c r="C5449">
        <f>"2384"</f>
        <v>0</v>
      </c>
      <c r="D5449">
        <v>0</v>
      </c>
      <c r="E5449">
        <v>0</v>
      </c>
      <c r="F5449" s="2">
        <v>0</v>
      </c>
      <c r="H5449">
        <v>0</v>
      </c>
      <c r="I5449">
        <v>0.1741125760648204</v>
      </c>
      <c r="J5449">
        <v>0</v>
      </c>
      <c r="K5449">
        <v>0</v>
      </c>
      <c r="L5449" s="2">
        <v>0</v>
      </c>
      <c r="M5449">
        <v>55.36</v>
      </c>
      <c r="N5449" t="s">
        <v>10236</v>
      </c>
    </row>
    <row r="5450" spans="1:14">
      <c r="A5450" t="s">
        <v>35</v>
      </c>
      <c r="B5450" t="s">
        <v>5561</v>
      </c>
      <c r="C5450">
        <f>"CAT001G"</f>
        <v>0</v>
      </c>
      <c r="D5450">
        <v>0</v>
      </c>
      <c r="E5450">
        <v>0</v>
      </c>
      <c r="F5450" s="2">
        <v>0</v>
      </c>
      <c r="H5450">
        <v>0</v>
      </c>
      <c r="I5450">
        <v>0.1741125760648204</v>
      </c>
      <c r="J5450">
        <v>0</v>
      </c>
      <c r="K5450">
        <v>0</v>
      </c>
      <c r="L5450" s="2">
        <v>0</v>
      </c>
      <c r="M5450">
        <v>55.36</v>
      </c>
      <c r="N5450" t="s">
        <v>10236</v>
      </c>
    </row>
    <row r="5451" spans="1:14">
      <c r="A5451" t="s">
        <v>35</v>
      </c>
      <c r="B5451" t="s">
        <v>5562</v>
      </c>
      <c r="C5451">
        <f>"WPS152"</f>
        <v>0</v>
      </c>
      <c r="D5451">
        <v>0</v>
      </c>
      <c r="E5451">
        <v>0</v>
      </c>
      <c r="F5451" s="2">
        <v>0</v>
      </c>
      <c r="H5451">
        <v>0</v>
      </c>
      <c r="I5451">
        <v>0.1741125760648204</v>
      </c>
      <c r="J5451">
        <v>0</v>
      </c>
      <c r="K5451">
        <v>0</v>
      </c>
      <c r="L5451" s="2">
        <v>0</v>
      </c>
      <c r="M5451">
        <v>55.37</v>
      </c>
      <c r="N5451" t="s">
        <v>10236</v>
      </c>
    </row>
    <row r="5452" spans="1:14">
      <c r="A5452" t="s">
        <v>35</v>
      </c>
      <c r="B5452" t="s">
        <v>5563</v>
      </c>
      <c r="C5452">
        <f>"KF8039B"</f>
        <v>0</v>
      </c>
      <c r="D5452">
        <v>0</v>
      </c>
      <c r="E5452">
        <v>0</v>
      </c>
      <c r="F5452" s="2">
        <v>0</v>
      </c>
      <c r="H5452">
        <v>0</v>
      </c>
      <c r="I5452">
        <v>0.1741125760648204</v>
      </c>
      <c r="J5452">
        <v>0</v>
      </c>
      <c r="K5452">
        <v>0</v>
      </c>
      <c r="L5452" s="2">
        <v>0</v>
      </c>
      <c r="M5452">
        <v>55.38</v>
      </c>
      <c r="N5452" t="s">
        <v>10236</v>
      </c>
    </row>
    <row r="5453" spans="1:14">
      <c r="A5453" t="s">
        <v>35</v>
      </c>
      <c r="B5453" t="s">
        <v>5564</v>
      </c>
      <c r="C5453">
        <f>"PP045C"</f>
        <v>0</v>
      </c>
      <c r="D5453">
        <v>0</v>
      </c>
      <c r="E5453">
        <v>0</v>
      </c>
      <c r="F5453" s="2">
        <v>0</v>
      </c>
      <c r="H5453">
        <v>0</v>
      </c>
      <c r="I5453">
        <v>0.1741125760648204</v>
      </c>
      <c r="J5453">
        <v>0</v>
      </c>
      <c r="K5453">
        <v>0</v>
      </c>
      <c r="L5453" s="2">
        <v>0</v>
      </c>
      <c r="M5453">
        <v>55.39</v>
      </c>
      <c r="N5453" t="s">
        <v>10236</v>
      </c>
    </row>
    <row r="5454" spans="1:14">
      <c r="A5454" t="s">
        <v>35</v>
      </c>
      <c r="B5454" t="s">
        <v>5565</v>
      </c>
      <c r="C5454">
        <f>"IC1127"</f>
        <v>0</v>
      </c>
      <c r="D5454">
        <v>0</v>
      </c>
      <c r="E5454">
        <v>0</v>
      </c>
      <c r="F5454" s="2">
        <v>0</v>
      </c>
      <c r="H5454">
        <v>0</v>
      </c>
      <c r="I5454">
        <v>0.1741125760648204</v>
      </c>
      <c r="J5454">
        <v>0</v>
      </c>
      <c r="K5454">
        <v>0</v>
      </c>
      <c r="L5454" s="2">
        <v>0</v>
      </c>
      <c r="M5454">
        <v>55.4</v>
      </c>
      <c r="N5454" t="s">
        <v>10236</v>
      </c>
    </row>
    <row r="5455" spans="1:14">
      <c r="A5455" t="s">
        <v>35</v>
      </c>
      <c r="B5455" t="s">
        <v>5566</v>
      </c>
      <c r="C5455">
        <f>"KF8201"</f>
        <v>0</v>
      </c>
      <c r="D5455">
        <v>0</v>
      </c>
      <c r="E5455">
        <v>4</v>
      </c>
      <c r="F5455" s="2">
        <v>123</v>
      </c>
      <c r="H5455">
        <v>0</v>
      </c>
      <c r="I5455">
        <v>0.1741125760648204</v>
      </c>
      <c r="J5455">
        <v>0</v>
      </c>
      <c r="K5455">
        <v>0</v>
      </c>
      <c r="L5455" s="2">
        <v>0</v>
      </c>
      <c r="M5455">
        <v>55.41</v>
      </c>
      <c r="N5455" t="s">
        <v>10236</v>
      </c>
    </row>
    <row r="5456" spans="1:14">
      <c r="A5456" t="s">
        <v>35</v>
      </c>
      <c r="B5456" t="s">
        <v>5567</v>
      </c>
      <c r="C5456">
        <f>"KF8062"</f>
        <v>0</v>
      </c>
      <c r="D5456">
        <v>0</v>
      </c>
      <c r="E5456">
        <v>0</v>
      </c>
      <c r="F5456" s="2">
        <v>0</v>
      </c>
      <c r="H5456">
        <v>0</v>
      </c>
      <c r="I5456">
        <v>0.1741125760648204</v>
      </c>
      <c r="J5456">
        <v>0</v>
      </c>
      <c r="K5456">
        <v>0</v>
      </c>
      <c r="L5456" s="2">
        <v>0</v>
      </c>
      <c r="M5456">
        <v>55.42</v>
      </c>
      <c r="N5456" t="s">
        <v>10236</v>
      </c>
    </row>
    <row r="5457" spans="1:14">
      <c r="A5457" t="s">
        <v>218</v>
      </c>
      <c r="B5457" t="s">
        <v>5568</v>
      </c>
      <c r="C5457">
        <f>"is045dfa"</f>
        <v>0</v>
      </c>
      <c r="D5457">
        <v>0</v>
      </c>
      <c r="E5457">
        <v>0</v>
      </c>
      <c r="F5457" s="2">
        <v>0</v>
      </c>
      <c r="H5457">
        <v>0</v>
      </c>
      <c r="I5457">
        <v>0.1741125760648204</v>
      </c>
      <c r="J5457">
        <v>0</v>
      </c>
      <c r="K5457">
        <v>0</v>
      </c>
      <c r="L5457" s="2">
        <v>0</v>
      </c>
      <c r="M5457">
        <v>55.43</v>
      </c>
      <c r="N5457" t="s">
        <v>10236</v>
      </c>
    </row>
    <row r="5458" spans="1:14">
      <c r="A5458" t="s">
        <v>218</v>
      </c>
      <c r="B5458" t="s">
        <v>5569</v>
      </c>
      <c r="C5458">
        <f>"1013235"</f>
        <v>0</v>
      </c>
      <c r="D5458">
        <v>0</v>
      </c>
      <c r="E5458">
        <v>0</v>
      </c>
      <c r="F5458" s="2">
        <v>0</v>
      </c>
      <c r="H5458">
        <v>0</v>
      </c>
      <c r="I5458">
        <v>0.1741125760648204</v>
      </c>
      <c r="J5458">
        <v>0</v>
      </c>
      <c r="K5458">
        <v>0</v>
      </c>
      <c r="L5458" s="2">
        <v>0</v>
      </c>
      <c r="M5458">
        <v>55.44</v>
      </c>
      <c r="N5458" t="s">
        <v>10236</v>
      </c>
    </row>
    <row r="5459" spans="1:14">
      <c r="A5459" t="s">
        <v>218</v>
      </c>
      <c r="B5459" t="s">
        <v>5570</v>
      </c>
      <c r="C5459">
        <f>"QSL001"</f>
        <v>0</v>
      </c>
      <c r="D5459">
        <v>0</v>
      </c>
      <c r="E5459">
        <v>0</v>
      </c>
      <c r="F5459" s="2">
        <v>0</v>
      </c>
      <c r="H5459">
        <v>0</v>
      </c>
      <c r="I5459">
        <v>0.1741125760648204</v>
      </c>
      <c r="J5459">
        <v>0</v>
      </c>
      <c r="K5459">
        <v>0</v>
      </c>
      <c r="L5459" s="2">
        <v>0</v>
      </c>
      <c r="M5459">
        <v>55.45</v>
      </c>
      <c r="N5459" t="s">
        <v>10236</v>
      </c>
    </row>
    <row r="5460" spans="1:14">
      <c r="A5460" t="s">
        <v>32</v>
      </c>
      <c r="B5460" t="s">
        <v>5571</v>
      </c>
      <c r="C5460">
        <f>"5000198"</f>
        <v>0</v>
      </c>
      <c r="D5460">
        <v>0</v>
      </c>
      <c r="E5460">
        <v>0</v>
      </c>
      <c r="F5460" s="2">
        <v>0</v>
      </c>
      <c r="H5460">
        <v>0</v>
      </c>
      <c r="I5460">
        <v>0.1741125760648204</v>
      </c>
      <c r="J5460">
        <v>0</v>
      </c>
      <c r="K5460">
        <v>0</v>
      </c>
      <c r="L5460" s="2">
        <v>0</v>
      </c>
      <c r="M5460">
        <v>55.46</v>
      </c>
      <c r="N5460" t="s">
        <v>10236</v>
      </c>
    </row>
    <row r="5461" spans="1:14">
      <c r="A5461" t="s">
        <v>32</v>
      </c>
      <c r="B5461" t="s">
        <v>5572</v>
      </c>
      <c r="C5461">
        <f>"5000262"</f>
        <v>0</v>
      </c>
      <c r="D5461">
        <v>0</v>
      </c>
      <c r="E5461">
        <v>0</v>
      </c>
      <c r="F5461" s="2">
        <v>0</v>
      </c>
      <c r="H5461">
        <v>0</v>
      </c>
      <c r="I5461">
        <v>0.1741125760648204</v>
      </c>
      <c r="J5461">
        <v>0</v>
      </c>
      <c r="K5461">
        <v>0</v>
      </c>
      <c r="L5461" s="2">
        <v>0</v>
      </c>
      <c r="M5461">
        <v>55.47</v>
      </c>
      <c r="N5461" t="s">
        <v>10236</v>
      </c>
    </row>
    <row r="5462" spans="1:14">
      <c r="A5462" t="s">
        <v>32</v>
      </c>
      <c r="B5462" t="s">
        <v>5573</v>
      </c>
      <c r="C5462">
        <f>"5000197"</f>
        <v>0</v>
      </c>
      <c r="D5462">
        <v>0</v>
      </c>
      <c r="E5462">
        <v>0</v>
      </c>
      <c r="F5462" s="2">
        <v>0</v>
      </c>
      <c r="H5462">
        <v>0</v>
      </c>
      <c r="I5462">
        <v>0.1741125760648204</v>
      </c>
      <c r="J5462">
        <v>0</v>
      </c>
      <c r="K5462">
        <v>0</v>
      </c>
      <c r="L5462" s="2">
        <v>0</v>
      </c>
      <c r="M5462">
        <v>55.48</v>
      </c>
      <c r="N5462" t="s">
        <v>10236</v>
      </c>
    </row>
    <row r="5463" spans="1:14">
      <c r="A5463" t="s">
        <v>32</v>
      </c>
      <c r="B5463" t="s">
        <v>5574</v>
      </c>
      <c r="C5463">
        <f>"5000204"</f>
        <v>0</v>
      </c>
      <c r="D5463">
        <v>0</v>
      </c>
      <c r="E5463">
        <v>0</v>
      </c>
      <c r="F5463" s="2">
        <v>0</v>
      </c>
      <c r="H5463">
        <v>0</v>
      </c>
      <c r="I5463">
        <v>0.1741125760648204</v>
      </c>
      <c r="J5463">
        <v>0</v>
      </c>
      <c r="K5463">
        <v>0</v>
      </c>
      <c r="L5463" s="2">
        <v>0</v>
      </c>
      <c r="M5463">
        <v>55.48</v>
      </c>
      <c r="N5463" t="s">
        <v>10236</v>
      </c>
    </row>
    <row r="5464" spans="1:14">
      <c r="A5464" t="s">
        <v>196</v>
      </c>
      <c r="B5464" t="s">
        <v>5575</v>
      </c>
      <c r="C5464">
        <f>"2399"</f>
        <v>0</v>
      </c>
      <c r="D5464">
        <v>0</v>
      </c>
      <c r="E5464">
        <v>0</v>
      </c>
      <c r="F5464" s="2">
        <v>0</v>
      </c>
      <c r="H5464">
        <v>0</v>
      </c>
      <c r="I5464">
        <v>0.1741125760648204</v>
      </c>
      <c r="J5464">
        <v>0</v>
      </c>
      <c r="K5464">
        <v>0</v>
      </c>
      <c r="L5464" s="2">
        <v>0</v>
      </c>
      <c r="M5464">
        <v>55.49</v>
      </c>
      <c r="N5464" t="s">
        <v>10236</v>
      </c>
    </row>
    <row r="5465" spans="1:14">
      <c r="A5465" t="s">
        <v>35</v>
      </c>
      <c r="B5465" t="s">
        <v>5576</v>
      </c>
      <c r="C5465">
        <f>"CAT001R"</f>
        <v>0</v>
      </c>
      <c r="D5465">
        <v>0</v>
      </c>
      <c r="E5465">
        <v>0</v>
      </c>
      <c r="F5465" s="2">
        <v>0</v>
      </c>
      <c r="H5465">
        <v>0</v>
      </c>
      <c r="I5465">
        <v>0.1741125760648204</v>
      </c>
      <c r="J5465">
        <v>0</v>
      </c>
      <c r="K5465">
        <v>0</v>
      </c>
      <c r="L5465" s="2">
        <v>0</v>
      </c>
      <c r="M5465">
        <v>55.5</v>
      </c>
      <c r="N5465" t="s">
        <v>10236</v>
      </c>
    </row>
    <row r="5466" spans="1:14">
      <c r="A5466" t="s">
        <v>25</v>
      </c>
      <c r="B5466" t="s">
        <v>5577</v>
      </c>
      <c r="C5466">
        <f>"NV0107"</f>
        <v>0</v>
      </c>
      <c r="D5466">
        <v>0</v>
      </c>
      <c r="E5466">
        <v>0</v>
      </c>
      <c r="F5466" s="2">
        <v>0</v>
      </c>
      <c r="H5466">
        <v>0</v>
      </c>
      <c r="I5466">
        <v>0.1741125760648204</v>
      </c>
      <c r="J5466">
        <v>0</v>
      </c>
      <c r="K5466">
        <v>0</v>
      </c>
      <c r="L5466" s="2">
        <v>0</v>
      </c>
      <c r="M5466">
        <v>55.51</v>
      </c>
      <c r="N5466" t="s">
        <v>10236</v>
      </c>
    </row>
    <row r="5467" spans="1:14">
      <c r="A5467" t="s">
        <v>25</v>
      </c>
      <c r="B5467" t="s">
        <v>5578</v>
      </c>
      <c r="C5467">
        <f>"18#"</f>
        <v>0</v>
      </c>
      <c r="D5467">
        <v>0</v>
      </c>
      <c r="E5467">
        <v>2</v>
      </c>
      <c r="F5467" s="2">
        <v>4</v>
      </c>
      <c r="H5467">
        <v>0</v>
      </c>
      <c r="I5467">
        <v>0.1741125760648204</v>
      </c>
      <c r="J5467">
        <v>0</v>
      </c>
      <c r="K5467">
        <v>0</v>
      </c>
      <c r="L5467" s="2">
        <v>0</v>
      </c>
      <c r="M5467">
        <v>55.52</v>
      </c>
      <c r="N5467" t="s">
        <v>10236</v>
      </c>
    </row>
    <row r="5468" spans="1:14">
      <c r="A5468" t="s">
        <v>25</v>
      </c>
      <c r="B5468" t="s">
        <v>5579</v>
      </c>
      <c r="C5468">
        <f>"15#"</f>
        <v>0</v>
      </c>
      <c r="D5468">
        <v>0</v>
      </c>
      <c r="E5468">
        <v>2</v>
      </c>
      <c r="F5468" s="2">
        <v>2</v>
      </c>
      <c r="H5468">
        <v>0</v>
      </c>
      <c r="I5468">
        <v>0.1741125760648204</v>
      </c>
      <c r="J5468">
        <v>0</v>
      </c>
      <c r="K5468">
        <v>0</v>
      </c>
      <c r="L5468" s="2">
        <v>0</v>
      </c>
      <c r="M5468">
        <v>55.53</v>
      </c>
      <c r="N5468" t="s">
        <v>10236</v>
      </c>
    </row>
    <row r="5469" spans="1:14">
      <c r="A5469" t="s">
        <v>25</v>
      </c>
      <c r="B5469" t="s">
        <v>5580</v>
      </c>
      <c r="C5469">
        <f>"16#"</f>
        <v>0</v>
      </c>
      <c r="D5469">
        <v>0</v>
      </c>
      <c r="E5469">
        <v>2</v>
      </c>
      <c r="F5469" s="2">
        <v>2</v>
      </c>
      <c r="H5469">
        <v>0</v>
      </c>
      <c r="I5469">
        <v>0.1741125760648204</v>
      </c>
      <c r="J5469">
        <v>0</v>
      </c>
      <c r="K5469">
        <v>0</v>
      </c>
      <c r="L5469" s="2">
        <v>0</v>
      </c>
      <c r="M5469">
        <v>55.54</v>
      </c>
      <c r="N5469" t="s">
        <v>10236</v>
      </c>
    </row>
    <row r="5470" spans="1:14">
      <c r="A5470" t="s">
        <v>33</v>
      </c>
      <c r="B5470" t="s">
        <v>5581</v>
      </c>
      <c r="C5470">
        <f>"TOPK92173"</f>
        <v>0</v>
      </c>
      <c r="D5470">
        <v>0</v>
      </c>
      <c r="E5470">
        <v>7</v>
      </c>
      <c r="F5470" s="2">
        <v>2</v>
      </c>
      <c r="H5470">
        <v>0</v>
      </c>
      <c r="I5470">
        <v>0.1741125760648204</v>
      </c>
      <c r="J5470">
        <v>0</v>
      </c>
      <c r="K5470">
        <v>0</v>
      </c>
      <c r="L5470" s="2">
        <v>0</v>
      </c>
      <c r="M5470">
        <v>55.55</v>
      </c>
      <c r="N5470" t="s">
        <v>10236</v>
      </c>
    </row>
    <row r="5471" spans="1:14">
      <c r="A5471" t="s">
        <v>227</v>
      </c>
      <c r="B5471" t="s">
        <v>5582</v>
      </c>
      <c r="C5471">
        <f>"100644"</f>
        <v>0</v>
      </c>
      <c r="D5471">
        <v>0</v>
      </c>
      <c r="E5471">
        <v>0</v>
      </c>
      <c r="F5471" s="2">
        <v>0</v>
      </c>
      <c r="H5471">
        <v>0</v>
      </c>
      <c r="I5471">
        <v>0.1741125760648204</v>
      </c>
      <c r="J5471">
        <v>0</v>
      </c>
      <c r="K5471">
        <v>0</v>
      </c>
      <c r="L5471" s="2">
        <v>0</v>
      </c>
      <c r="M5471">
        <v>55.56</v>
      </c>
      <c r="N5471" t="s">
        <v>10236</v>
      </c>
    </row>
    <row r="5472" spans="1:14">
      <c r="A5472" t="s">
        <v>227</v>
      </c>
      <c r="B5472" t="s">
        <v>5583</v>
      </c>
      <c r="C5472">
        <f>"100643"</f>
        <v>0</v>
      </c>
      <c r="D5472">
        <v>0</v>
      </c>
      <c r="E5472">
        <v>0</v>
      </c>
      <c r="F5472" s="2">
        <v>0</v>
      </c>
      <c r="H5472">
        <v>0</v>
      </c>
      <c r="I5472">
        <v>0.1741125760648204</v>
      </c>
      <c r="J5472">
        <v>0</v>
      </c>
      <c r="K5472">
        <v>0</v>
      </c>
      <c r="L5472" s="2">
        <v>0</v>
      </c>
      <c r="M5472">
        <v>55.57</v>
      </c>
      <c r="N5472" t="s">
        <v>10236</v>
      </c>
    </row>
    <row r="5473" spans="1:14">
      <c r="A5473" t="s">
        <v>227</v>
      </c>
      <c r="B5473" t="s">
        <v>5584</v>
      </c>
      <c r="C5473">
        <f>"100636"</f>
        <v>0</v>
      </c>
      <c r="D5473">
        <v>0</v>
      </c>
      <c r="E5473">
        <v>0</v>
      </c>
      <c r="F5473" s="2">
        <v>0</v>
      </c>
      <c r="H5473">
        <v>0</v>
      </c>
      <c r="I5473">
        <v>0.1741125760648204</v>
      </c>
      <c r="J5473">
        <v>0</v>
      </c>
      <c r="K5473">
        <v>0</v>
      </c>
      <c r="L5473" s="2">
        <v>0</v>
      </c>
      <c r="M5473">
        <v>55.58</v>
      </c>
      <c r="N5473" t="s">
        <v>10236</v>
      </c>
    </row>
    <row r="5474" spans="1:14">
      <c r="A5474" t="s">
        <v>25</v>
      </c>
      <c r="B5474" t="s">
        <v>5585</v>
      </c>
      <c r="C5474">
        <f>"AYCS197"</f>
        <v>0</v>
      </c>
      <c r="D5474">
        <v>0</v>
      </c>
      <c r="E5474">
        <v>0</v>
      </c>
      <c r="F5474" s="2">
        <v>0</v>
      </c>
      <c r="H5474">
        <v>0</v>
      </c>
      <c r="I5474">
        <v>0.1741125760648204</v>
      </c>
      <c r="J5474">
        <v>0</v>
      </c>
      <c r="K5474">
        <v>0</v>
      </c>
      <c r="L5474" s="2">
        <v>0</v>
      </c>
      <c r="M5474">
        <v>55.59</v>
      </c>
      <c r="N5474" t="s">
        <v>10236</v>
      </c>
    </row>
    <row r="5475" spans="1:14">
      <c r="A5475" t="s">
        <v>25</v>
      </c>
      <c r="B5475" t="s">
        <v>5586</v>
      </c>
      <c r="C5475">
        <f>"AYCS4541"</f>
        <v>0</v>
      </c>
      <c r="D5475">
        <v>0</v>
      </c>
      <c r="E5475">
        <v>0</v>
      </c>
      <c r="F5475" s="2">
        <v>0</v>
      </c>
      <c r="H5475">
        <v>0</v>
      </c>
      <c r="I5475">
        <v>0.1741125760648204</v>
      </c>
      <c r="J5475">
        <v>0</v>
      </c>
      <c r="K5475">
        <v>0</v>
      </c>
      <c r="L5475" s="2">
        <v>0</v>
      </c>
      <c r="M5475">
        <v>55.6</v>
      </c>
      <c r="N5475" t="s">
        <v>10236</v>
      </c>
    </row>
    <row r="5476" spans="1:14">
      <c r="A5476" t="s">
        <v>25</v>
      </c>
      <c r="B5476" t="s">
        <v>5587</v>
      </c>
      <c r="C5476">
        <f>"AYCS0541"</f>
        <v>0</v>
      </c>
      <c r="D5476">
        <v>0</v>
      </c>
      <c r="E5476">
        <v>0</v>
      </c>
      <c r="F5476" s="2">
        <v>0</v>
      </c>
      <c r="H5476">
        <v>0</v>
      </c>
      <c r="I5476">
        <v>0.1741125760648204</v>
      </c>
      <c r="J5476">
        <v>0</v>
      </c>
      <c r="K5476">
        <v>0</v>
      </c>
      <c r="L5476" s="2">
        <v>0</v>
      </c>
      <c r="M5476">
        <v>55.6</v>
      </c>
      <c r="N5476" t="s">
        <v>10236</v>
      </c>
    </row>
    <row r="5477" spans="1:14">
      <c r="A5477" t="s">
        <v>35</v>
      </c>
      <c r="B5477" t="s">
        <v>5588</v>
      </c>
      <c r="C5477">
        <f>"X046"</f>
        <v>0</v>
      </c>
      <c r="D5477">
        <v>0</v>
      </c>
      <c r="E5477">
        <v>0</v>
      </c>
      <c r="F5477" s="2">
        <v>0</v>
      </c>
      <c r="H5477">
        <v>0</v>
      </c>
      <c r="I5477">
        <v>0.1741125760648204</v>
      </c>
      <c r="J5477">
        <v>0</v>
      </c>
      <c r="K5477">
        <v>0</v>
      </c>
      <c r="L5477" s="2">
        <v>0</v>
      </c>
      <c r="M5477">
        <v>55.61</v>
      </c>
      <c r="N5477" t="s">
        <v>10236</v>
      </c>
    </row>
    <row r="5478" spans="1:14">
      <c r="A5478" t="s">
        <v>25</v>
      </c>
      <c r="B5478" t="s">
        <v>5589</v>
      </c>
      <c r="C5478">
        <f>"NV1530"</f>
        <v>0</v>
      </c>
      <c r="D5478">
        <v>0</v>
      </c>
      <c r="E5478">
        <v>0</v>
      </c>
      <c r="F5478" s="2">
        <v>0</v>
      </c>
      <c r="H5478">
        <v>0</v>
      </c>
      <c r="I5478">
        <v>0.1741125760648204</v>
      </c>
      <c r="J5478">
        <v>0</v>
      </c>
      <c r="K5478">
        <v>0</v>
      </c>
      <c r="L5478" s="2">
        <v>0</v>
      </c>
      <c r="M5478">
        <v>55.62</v>
      </c>
      <c r="N5478" t="s">
        <v>10236</v>
      </c>
    </row>
    <row r="5479" spans="1:14">
      <c r="A5479" t="s">
        <v>35</v>
      </c>
      <c r="B5479" t="s">
        <v>5590</v>
      </c>
      <c r="C5479">
        <f>"ER020"</f>
        <v>0</v>
      </c>
      <c r="D5479">
        <v>0</v>
      </c>
      <c r="E5479">
        <v>2</v>
      </c>
      <c r="F5479" s="2">
        <v>5</v>
      </c>
      <c r="H5479">
        <v>0</v>
      </c>
      <c r="I5479">
        <v>0.1741125760648204</v>
      </c>
      <c r="J5479">
        <v>0</v>
      </c>
      <c r="K5479">
        <v>0</v>
      </c>
      <c r="L5479" s="2">
        <v>0</v>
      </c>
      <c r="M5479">
        <v>55.63</v>
      </c>
      <c r="N5479" t="s">
        <v>10236</v>
      </c>
    </row>
    <row r="5480" spans="1:14">
      <c r="A5480" t="s">
        <v>223</v>
      </c>
      <c r="B5480" t="s">
        <v>5591</v>
      </c>
      <c r="C5480">
        <f>"2110020"</f>
        <v>0</v>
      </c>
      <c r="D5480">
        <v>0</v>
      </c>
      <c r="E5480">
        <v>0</v>
      </c>
      <c r="F5480" s="2">
        <v>0</v>
      </c>
      <c r="H5480">
        <v>0</v>
      </c>
      <c r="I5480">
        <v>0.1741125760648204</v>
      </c>
      <c r="J5480">
        <v>0</v>
      </c>
      <c r="K5480">
        <v>0</v>
      </c>
      <c r="L5480" s="2">
        <v>0</v>
      </c>
      <c r="M5480">
        <v>55.64</v>
      </c>
      <c r="N5480" t="s">
        <v>10236</v>
      </c>
    </row>
    <row r="5481" spans="1:14">
      <c r="A5481" t="s">
        <v>223</v>
      </c>
      <c r="B5481" t="s">
        <v>5592</v>
      </c>
      <c r="C5481">
        <f>"2072015"</f>
        <v>0</v>
      </c>
      <c r="D5481">
        <v>0</v>
      </c>
      <c r="E5481">
        <v>0</v>
      </c>
      <c r="F5481" s="2">
        <v>0</v>
      </c>
      <c r="H5481">
        <v>0</v>
      </c>
      <c r="I5481">
        <v>0.1741125760648204</v>
      </c>
      <c r="J5481">
        <v>0</v>
      </c>
      <c r="K5481">
        <v>0</v>
      </c>
      <c r="L5481" s="2">
        <v>0</v>
      </c>
      <c r="M5481">
        <v>55.65</v>
      </c>
      <c r="N5481" t="s">
        <v>10236</v>
      </c>
    </row>
    <row r="5482" spans="1:14">
      <c r="A5482" t="s">
        <v>223</v>
      </c>
      <c r="B5482" t="s">
        <v>5593</v>
      </c>
      <c r="C5482">
        <f>"1508952545298"</f>
        <v>0</v>
      </c>
      <c r="D5482">
        <v>0</v>
      </c>
      <c r="E5482">
        <v>0</v>
      </c>
      <c r="F5482" s="2">
        <v>0</v>
      </c>
      <c r="H5482">
        <v>0</v>
      </c>
      <c r="I5482">
        <v>0.1741125760648204</v>
      </c>
      <c r="J5482">
        <v>0</v>
      </c>
      <c r="K5482">
        <v>0</v>
      </c>
      <c r="L5482" s="2">
        <v>0</v>
      </c>
      <c r="M5482">
        <v>55.66</v>
      </c>
      <c r="N5482" t="s">
        <v>10236</v>
      </c>
    </row>
    <row r="5483" spans="1:14">
      <c r="A5483" t="s">
        <v>25</v>
      </c>
      <c r="B5483" t="s">
        <v>5594</v>
      </c>
      <c r="C5483">
        <f>"S310"</f>
        <v>0</v>
      </c>
      <c r="D5483">
        <v>0</v>
      </c>
      <c r="E5483">
        <v>0</v>
      </c>
      <c r="F5483" s="2">
        <v>0</v>
      </c>
      <c r="H5483">
        <v>0</v>
      </c>
      <c r="I5483">
        <v>0.1741125760648204</v>
      </c>
      <c r="J5483">
        <v>0</v>
      </c>
      <c r="K5483">
        <v>0</v>
      </c>
      <c r="L5483" s="2">
        <v>0</v>
      </c>
      <c r="M5483">
        <v>55.67</v>
      </c>
      <c r="N5483" t="s">
        <v>10236</v>
      </c>
    </row>
    <row r="5484" spans="1:14">
      <c r="A5484" t="s">
        <v>25</v>
      </c>
      <c r="B5484" t="s">
        <v>5595</v>
      </c>
      <c r="C5484">
        <f>"S308"</f>
        <v>0</v>
      </c>
      <c r="D5484">
        <v>0</v>
      </c>
      <c r="E5484">
        <v>0</v>
      </c>
      <c r="F5484" s="2">
        <v>0</v>
      </c>
      <c r="H5484">
        <v>0</v>
      </c>
      <c r="I5484">
        <v>0.1741125760648204</v>
      </c>
      <c r="J5484">
        <v>0</v>
      </c>
      <c r="K5484">
        <v>0</v>
      </c>
      <c r="L5484" s="2">
        <v>0</v>
      </c>
      <c r="M5484">
        <v>55.68</v>
      </c>
      <c r="N5484" t="s">
        <v>10236</v>
      </c>
    </row>
    <row r="5485" spans="1:14">
      <c r="A5485" t="s">
        <v>25</v>
      </c>
      <c r="B5485" t="s">
        <v>5596</v>
      </c>
      <c r="C5485">
        <f>"S308AM"</f>
        <v>0</v>
      </c>
      <c r="D5485">
        <v>0</v>
      </c>
      <c r="E5485">
        <v>0</v>
      </c>
      <c r="F5485" s="2">
        <v>0</v>
      </c>
      <c r="H5485">
        <v>0</v>
      </c>
      <c r="I5485">
        <v>0.1741125760648204</v>
      </c>
      <c r="J5485">
        <v>0</v>
      </c>
      <c r="K5485">
        <v>0</v>
      </c>
      <c r="L5485" s="2">
        <v>0</v>
      </c>
      <c r="M5485">
        <v>55.69</v>
      </c>
      <c r="N5485" t="s">
        <v>10236</v>
      </c>
    </row>
    <row r="5486" spans="1:14">
      <c r="A5486" t="s">
        <v>25</v>
      </c>
      <c r="B5486" t="s">
        <v>5577</v>
      </c>
      <c r="C5486">
        <f>"NV0108"</f>
        <v>0</v>
      </c>
      <c r="D5486">
        <v>0</v>
      </c>
      <c r="E5486">
        <v>0</v>
      </c>
      <c r="F5486" s="2">
        <v>0</v>
      </c>
      <c r="H5486">
        <v>0</v>
      </c>
      <c r="I5486">
        <v>0.1741125760648204</v>
      </c>
      <c r="J5486">
        <v>0</v>
      </c>
      <c r="K5486">
        <v>0</v>
      </c>
      <c r="L5486" s="2">
        <v>0</v>
      </c>
      <c r="M5486">
        <v>55.7</v>
      </c>
      <c r="N5486" t="s">
        <v>10236</v>
      </c>
    </row>
    <row r="5487" spans="1:14">
      <c r="A5487" t="s">
        <v>29</v>
      </c>
      <c r="B5487" t="s">
        <v>5597</v>
      </c>
      <c r="C5487">
        <f>"100M"</f>
        <v>0</v>
      </c>
      <c r="D5487">
        <v>0</v>
      </c>
      <c r="E5487">
        <v>0</v>
      </c>
      <c r="F5487" s="2">
        <v>0</v>
      </c>
      <c r="H5487">
        <v>0</v>
      </c>
      <c r="I5487">
        <v>0.1741125760648204</v>
      </c>
      <c r="J5487">
        <v>0</v>
      </c>
      <c r="K5487">
        <v>0</v>
      </c>
      <c r="L5487" s="2">
        <v>0</v>
      </c>
      <c r="M5487">
        <v>55.71</v>
      </c>
      <c r="N5487" t="s">
        <v>10236</v>
      </c>
    </row>
    <row r="5488" spans="1:14">
      <c r="A5488" t="s">
        <v>35</v>
      </c>
      <c r="B5488" t="s">
        <v>5598</v>
      </c>
      <c r="C5488">
        <f>"EZ3001VE"</f>
        <v>0</v>
      </c>
      <c r="D5488">
        <v>0</v>
      </c>
      <c r="E5488">
        <v>2</v>
      </c>
      <c r="F5488" s="2">
        <v>8</v>
      </c>
      <c r="H5488">
        <v>0</v>
      </c>
      <c r="I5488">
        <v>0.1741125760648204</v>
      </c>
      <c r="J5488">
        <v>0</v>
      </c>
      <c r="K5488">
        <v>0</v>
      </c>
      <c r="L5488" s="2">
        <v>0</v>
      </c>
      <c r="M5488">
        <v>55.72</v>
      </c>
      <c r="N5488" t="s">
        <v>10236</v>
      </c>
    </row>
    <row r="5489" spans="1:14">
      <c r="A5489" t="s">
        <v>35</v>
      </c>
      <c r="B5489" t="s">
        <v>5599</v>
      </c>
      <c r="C5489">
        <f>"EZ3001ROS"</f>
        <v>0</v>
      </c>
      <c r="D5489">
        <v>0</v>
      </c>
      <c r="E5489">
        <v>1</v>
      </c>
      <c r="F5489" s="2">
        <v>5</v>
      </c>
      <c r="H5489">
        <v>0</v>
      </c>
      <c r="I5489">
        <v>0.1741125760648204</v>
      </c>
      <c r="J5489">
        <v>0</v>
      </c>
      <c r="K5489">
        <v>0</v>
      </c>
      <c r="L5489" s="2">
        <v>0</v>
      </c>
      <c r="M5489">
        <v>55.72</v>
      </c>
      <c r="N5489" t="s">
        <v>10236</v>
      </c>
    </row>
    <row r="5490" spans="1:14">
      <c r="A5490" t="s">
        <v>25</v>
      </c>
      <c r="B5490" t="s">
        <v>5600</v>
      </c>
      <c r="C5490">
        <f>"17#"</f>
        <v>0</v>
      </c>
      <c r="D5490">
        <v>0</v>
      </c>
      <c r="E5490">
        <v>2</v>
      </c>
      <c r="F5490" s="2">
        <v>2</v>
      </c>
      <c r="H5490">
        <v>0</v>
      </c>
      <c r="I5490">
        <v>0.1741125760648204</v>
      </c>
      <c r="J5490">
        <v>0</v>
      </c>
      <c r="K5490">
        <v>0</v>
      </c>
      <c r="L5490" s="2">
        <v>0</v>
      </c>
      <c r="M5490">
        <v>55.73</v>
      </c>
      <c r="N5490" t="s">
        <v>10236</v>
      </c>
    </row>
    <row r="5491" spans="1:14">
      <c r="A5491" t="s">
        <v>25</v>
      </c>
      <c r="B5491" t="s">
        <v>5601</v>
      </c>
      <c r="C5491">
        <f>"S309ROS"</f>
        <v>0</v>
      </c>
      <c r="D5491">
        <v>0</v>
      </c>
      <c r="E5491">
        <v>0</v>
      </c>
      <c r="F5491" s="2">
        <v>0</v>
      </c>
      <c r="H5491">
        <v>0</v>
      </c>
      <c r="I5491">
        <v>0.1741125760648204</v>
      </c>
      <c r="J5491">
        <v>0</v>
      </c>
      <c r="K5491">
        <v>0</v>
      </c>
      <c r="L5491" s="2">
        <v>0</v>
      </c>
      <c r="M5491">
        <v>55.74</v>
      </c>
      <c r="N5491" t="s">
        <v>10236</v>
      </c>
    </row>
    <row r="5492" spans="1:14">
      <c r="A5492" t="s">
        <v>25</v>
      </c>
      <c r="B5492" t="s">
        <v>5602</v>
      </c>
      <c r="C5492">
        <f>"S309AZ"</f>
        <v>0</v>
      </c>
      <c r="D5492">
        <v>0</v>
      </c>
      <c r="E5492">
        <v>0</v>
      </c>
      <c r="F5492" s="2">
        <v>0</v>
      </c>
      <c r="H5492">
        <v>0</v>
      </c>
      <c r="I5492">
        <v>0.1741125760648204</v>
      </c>
      <c r="J5492">
        <v>0</v>
      </c>
      <c r="K5492">
        <v>0</v>
      </c>
      <c r="L5492" s="2">
        <v>0</v>
      </c>
      <c r="M5492">
        <v>55.75</v>
      </c>
      <c r="N5492" t="s">
        <v>10236</v>
      </c>
    </row>
    <row r="5493" spans="1:14">
      <c r="A5493" t="s">
        <v>25</v>
      </c>
      <c r="B5493" t="s">
        <v>5603</v>
      </c>
      <c r="C5493">
        <f>"S309AM"</f>
        <v>0</v>
      </c>
      <c r="D5493">
        <v>0</v>
      </c>
      <c r="E5493">
        <v>0</v>
      </c>
      <c r="F5493" s="2">
        <v>0</v>
      </c>
      <c r="H5493">
        <v>0</v>
      </c>
      <c r="I5493">
        <v>0.1741125760648204</v>
      </c>
      <c r="J5493">
        <v>0</v>
      </c>
      <c r="K5493">
        <v>0</v>
      </c>
      <c r="L5493" s="2">
        <v>0</v>
      </c>
      <c r="M5493">
        <v>55.76</v>
      </c>
      <c r="N5493" t="s">
        <v>10236</v>
      </c>
    </row>
    <row r="5494" spans="1:14">
      <c r="A5494" t="s">
        <v>25</v>
      </c>
      <c r="B5494" t="s">
        <v>5604</v>
      </c>
      <c r="C5494">
        <f>"S309"</f>
        <v>0</v>
      </c>
      <c r="D5494">
        <v>0</v>
      </c>
      <c r="E5494">
        <v>0</v>
      </c>
      <c r="F5494" s="2">
        <v>0</v>
      </c>
      <c r="H5494">
        <v>0</v>
      </c>
      <c r="I5494">
        <v>0.1741125760648204</v>
      </c>
      <c r="J5494">
        <v>0</v>
      </c>
      <c r="K5494">
        <v>0</v>
      </c>
      <c r="L5494" s="2">
        <v>0</v>
      </c>
      <c r="M5494">
        <v>55.77</v>
      </c>
      <c r="N5494" t="s">
        <v>10236</v>
      </c>
    </row>
    <row r="5495" spans="1:14">
      <c r="A5495" t="s">
        <v>25</v>
      </c>
      <c r="B5495" t="s">
        <v>5605</v>
      </c>
      <c r="C5495">
        <f>"RJ342"</f>
        <v>0</v>
      </c>
      <c r="D5495">
        <v>0</v>
      </c>
      <c r="E5495">
        <v>0</v>
      </c>
      <c r="F5495" s="2">
        <v>0</v>
      </c>
      <c r="H5495">
        <v>0</v>
      </c>
      <c r="I5495">
        <v>0.1741125760648204</v>
      </c>
      <c r="J5495">
        <v>0</v>
      </c>
      <c r="K5495">
        <v>0</v>
      </c>
      <c r="L5495" s="2">
        <v>0</v>
      </c>
      <c r="M5495">
        <v>55.78</v>
      </c>
      <c r="N5495" t="s">
        <v>10236</v>
      </c>
    </row>
    <row r="5496" spans="1:14">
      <c r="A5496" t="s">
        <v>35</v>
      </c>
      <c r="B5496" t="s">
        <v>5606</v>
      </c>
      <c r="C5496">
        <f>"ER064"</f>
        <v>0</v>
      </c>
      <c r="D5496">
        <v>0</v>
      </c>
      <c r="E5496">
        <v>4</v>
      </c>
      <c r="F5496" s="2">
        <v>2</v>
      </c>
      <c r="H5496">
        <v>0</v>
      </c>
      <c r="I5496">
        <v>0.1741125760648204</v>
      </c>
      <c r="J5496">
        <v>0</v>
      </c>
      <c r="K5496">
        <v>0</v>
      </c>
      <c r="L5496" s="2">
        <v>0</v>
      </c>
      <c r="M5496">
        <v>55.79</v>
      </c>
      <c r="N5496" t="s">
        <v>10236</v>
      </c>
    </row>
    <row r="5497" spans="1:14">
      <c r="A5497" t="s">
        <v>223</v>
      </c>
      <c r="B5497" t="s">
        <v>5607</v>
      </c>
      <c r="C5497">
        <f>"5101105"</f>
        <v>0</v>
      </c>
      <c r="D5497">
        <v>0</v>
      </c>
      <c r="E5497">
        <v>0</v>
      </c>
      <c r="F5497" s="2">
        <v>0</v>
      </c>
      <c r="H5497">
        <v>0</v>
      </c>
      <c r="I5497">
        <v>0.1741125760648204</v>
      </c>
      <c r="J5497">
        <v>0</v>
      </c>
      <c r="K5497">
        <v>0</v>
      </c>
      <c r="L5497" s="2">
        <v>0</v>
      </c>
      <c r="M5497">
        <v>55.8</v>
      </c>
      <c r="N5497" t="s">
        <v>10236</v>
      </c>
    </row>
    <row r="5498" spans="1:14">
      <c r="A5498" t="s">
        <v>223</v>
      </c>
      <c r="B5498" t="s">
        <v>5608</v>
      </c>
      <c r="C5498">
        <f>"20100320"</f>
        <v>0</v>
      </c>
      <c r="D5498">
        <v>0</v>
      </c>
      <c r="E5498">
        <v>0</v>
      </c>
      <c r="F5498" s="2">
        <v>0</v>
      </c>
      <c r="H5498">
        <v>0</v>
      </c>
      <c r="I5498">
        <v>0.1741125760648204</v>
      </c>
      <c r="J5498">
        <v>0</v>
      </c>
      <c r="K5498">
        <v>0</v>
      </c>
      <c r="L5498" s="2">
        <v>0</v>
      </c>
      <c r="M5498">
        <v>55.81</v>
      </c>
      <c r="N5498" t="s">
        <v>10236</v>
      </c>
    </row>
    <row r="5499" spans="1:14">
      <c r="A5499" t="s">
        <v>223</v>
      </c>
      <c r="B5499" t="s">
        <v>5609</v>
      </c>
      <c r="C5499">
        <f>"5444025"</f>
        <v>0</v>
      </c>
      <c r="D5499">
        <v>0</v>
      </c>
      <c r="E5499">
        <v>0</v>
      </c>
      <c r="F5499" s="2">
        <v>0</v>
      </c>
      <c r="H5499">
        <v>0</v>
      </c>
      <c r="I5499">
        <v>0.1741125760648204</v>
      </c>
      <c r="J5499">
        <v>0</v>
      </c>
      <c r="K5499">
        <v>0</v>
      </c>
      <c r="L5499" s="2">
        <v>0</v>
      </c>
      <c r="M5499">
        <v>55.82</v>
      </c>
      <c r="N5499" t="s">
        <v>10236</v>
      </c>
    </row>
    <row r="5500" spans="1:14">
      <c r="A5500" t="s">
        <v>218</v>
      </c>
      <c r="B5500" t="s">
        <v>5610</v>
      </c>
      <c r="C5500">
        <f>"insnpr0007"</f>
        <v>0</v>
      </c>
      <c r="D5500">
        <v>0</v>
      </c>
      <c r="E5500">
        <v>0</v>
      </c>
      <c r="F5500" s="2">
        <v>0</v>
      </c>
      <c r="H5500">
        <v>0</v>
      </c>
      <c r="I5500">
        <v>0.1741125760648204</v>
      </c>
      <c r="J5500">
        <v>0</v>
      </c>
      <c r="K5500">
        <v>0</v>
      </c>
      <c r="L5500" s="2">
        <v>0</v>
      </c>
      <c r="M5500">
        <v>55.83</v>
      </c>
      <c r="N5500" t="s">
        <v>10236</v>
      </c>
    </row>
    <row r="5501" spans="1:14">
      <c r="A5501" t="s">
        <v>218</v>
      </c>
      <c r="B5501" t="s">
        <v>5611</v>
      </c>
      <c r="C5501">
        <f>"insnpr0010"</f>
        <v>0</v>
      </c>
      <c r="D5501">
        <v>0</v>
      </c>
      <c r="E5501">
        <v>0</v>
      </c>
      <c r="F5501" s="2">
        <v>0</v>
      </c>
      <c r="H5501">
        <v>0</v>
      </c>
      <c r="I5501">
        <v>0.1741125760648204</v>
      </c>
      <c r="J5501">
        <v>0</v>
      </c>
      <c r="K5501">
        <v>0</v>
      </c>
      <c r="L5501" s="2">
        <v>0</v>
      </c>
      <c r="M5501">
        <v>55.84</v>
      </c>
      <c r="N5501" t="s">
        <v>10236</v>
      </c>
    </row>
    <row r="5502" spans="1:14">
      <c r="A5502" t="s">
        <v>35</v>
      </c>
      <c r="B5502" t="s">
        <v>5612</v>
      </c>
      <c r="C5502">
        <f>"PD60047S"</f>
        <v>0</v>
      </c>
      <c r="D5502">
        <v>0</v>
      </c>
      <c r="E5502">
        <v>0</v>
      </c>
      <c r="F5502" s="2">
        <v>0</v>
      </c>
      <c r="H5502">
        <v>0</v>
      </c>
      <c r="I5502">
        <v>0.1741125760648204</v>
      </c>
      <c r="J5502">
        <v>0</v>
      </c>
      <c r="K5502">
        <v>0</v>
      </c>
      <c r="L5502" s="2">
        <v>0</v>
      </c>
      <c r="M5502">
        <v>55.84</v>
      </c>
      <c r="N5502" t="s">
        <v>10236</v>
      </c>
    </row>
    <row r="5503" spans="1:14">
      <c r="A5503" t="s">
        <v>35</v>
      </c>
      <c r="B5503" t="s">
        <v>5613</v>
      </c>
      <c r="C5503">
        <f>"PD60047M"</f>
        <v>0</v>
      </c>
      <c r="D5503">
        <v>0</v>
      </c>
      <c r="E5503">
        <v>0</v>
      </c>
      <c r="F5503" s="2">
        <v>0</v>
      </c>
      <c r="H5503">
        <v>0</v>
      </c>
      <c r="I5503">
        <v>0.1741125760648204</v>
      </c>
      <c r="J5503">
        <v>0</v>
      </c>
      <c r="K5503">
        <v>0</v>
      </c>
      <c r="L5503" s="2">
        <v>0</v>
      </c>
      <c r="M5503">
        <v>55.85</v>
      </c>
      <c r="N5503" t="s">
        <v>10236</v>
      </c>
    </row>
    <row r="5504" spans="1:14">
      <c r="A5504" t="s">
        <v>35</v>
      </c>
      <c r="B5504" t="s">
        <v>5614</v>
      </c>
      <c r="C5504">
        <f>"PD60047L"</f>
        <v>0</v>
      </c>
      <c r="D5504">
        <v>0</v>
      </c>
      <c r="E5504">
        <v>0</v>
      </c>
      <c r="F5504" s="2">
        <v>0</v>
      </c>
      <c r="H5504">
        <v>0</v>
      </c>
      <c r="I5504">
        <v>0.1741125760648204</v>
      </c>
      <c r="J5504">
        <v>0</v>
      </c>
      <c r="K5504">
        <v>0</v>
      </c>
      <c r="L5504" s="2">
        <v>0</v>
      </c>
      <c r="M5504">
        <v>55.86</v>
      </c>
      <c r="N5504" t="s">
        <v>10236</v>
      </c>
    </row>
    <row r="5505" spans="1:14">
      <c r="A5505" t="s">
        <v>35</v>
      </c>
      <c r="B5505" t="s">
        <v>5615</v>
      </c>
      <c r="C5505">
        <f>"TP590"</f>
        <v>0</v>
      </c>
      <c r="D5505">
        <v>0</v>
      </c>
      <c r="E5505">
        <v>0</v>
      </c>
      <c r="F5505" s="2">
        <v>0</v>
      </c>
      <c r="H5505">
        <v>0</v>
      </c>
      <c r="I5505">
        <v>0.1741125760648204</v>
      </c>
      <c r="J5505">
        <v>0</v>
      </c>
      <c r="K5505">
        <v>0</v>
      </c>
      <c r="L5505" s="2">
        <v>0</v>
      </c>
      <c r="M5505">
        <v>55.87</v>
      </c>
      <c r="N5505" t="s">
        <v>10236</v>
      </c>
    </row>
    <row r="5506" spans="1:14">
      <c r="A5506" t="s">
        <v>219</v>
      </c>
      <c r="B5506" t="s">
        <v>5616</v>
      </c>
      <c r="C5506">
        <f>"PRWSPL"</f>
        <v>0</v>
      </c>
      <c r="D5506">
        <v>0</v>
      </c>
      <c r="E5506">
        <v>0</v>
      </c>
      <c r="F5506" s="2">
        <v>0</v>
      </c>
      <c r="H5506">
        <v>0</v>
      </c>
      <c r="I5506">
        <v>0.1741125760648204</v>
      </c>
      <c r="J5506">
        <v>0</v>
      </c>
      <c r="K5506">
        <v>0</v>
      </c>
      <c r="L5506" s="2">
        <v>0</v>
      </c>
      <c r="M5506">
        <v>55.88</v>
      </c>
      <c r="N5506" t="s">
        <v>10236</v>
      </c>
    </row>
    <row r="5507" spans="1:14">
      <c r="A5507" t="s">
        <v>223</v>
      </c>
      <c r="B5507" t="s">
        <v>5617</v>
      </c>
      <c r="C5507">
        <f>"5062010"</f>
        <v>0</v>
      </c>
      <c r="D5507">
        <v>0</v>
      </c>
      <c r="E5507">
        <v>0</v>
      </c>
      <c r="F5507" s="2">
        <v>0</v>
      </c>
      <c r="H5507">
        <v>0</v>
      </c>
      <c r="I5507">
        <v>0.1741125760648204</v>
      </c>
      <c r="J5507">
        <v>0</v>
      </c>
      <c r="K5507">
        <v>0</v>
      </c>
      <c r="L5507" s="2">
        <v>0</v>
      </c>
      <c r="M5507">
        <v>55.89</v>
      </c>
      <c r="N5507" t="s">
        <v>10236</v>
      </c>
    </row>
    <row r="5508" spans="1:14">
      <c r="A5508" t="s">
        <v>223</v>
      </c>
      <c r="B5508" t="s">
        <v>5618</v>
      </c>
      <c r="C5508">
        <f>"BL18F"</f>
        <v>0</v>
      </c>
      <c r="D5508">
        <v>0</v>
      </c>
      <c r="E5508">
        <v>0</v>
      </c>
      <c r="F5508" s="2">
        <v>0</v>
      </c>
      <c r="H5508">
        <v>0</v>
      </c>
      <c r="I5508">
        <v>0.1741125760648204</v>
      </c>
      <c r="J5508">
        <v>0</v>
      </c>
      <c r="K5508">
        <v>0</v>
      </c>
      <c r="L5508" s="2">
        <v>0</v>
      </c>
      <c r="M5508">
        <v>55.9</v>
      </c>
      <c r="N5508" t="s">
        <v>10236</v>
      </c>
    </row>
    <row r="5509" spans="1:14">
      <c r="A5509" t="s">
        <v>223</v>
      </c>
      <c r="B5509" t="s">
        <v>5619</v>
      </c>
      <c r="C5509">
        <f>"2125015"</f>
        <v>0</v>
      </c>
      <c r="D5509">
        <v>0</v>
      </c>
      <c r="E5509">
        <v>0</v>
      </c>
      <c r="F5509" s="2">
        <v>0</v>
      </c>
      <c r="H5509">
        <v>0</v>
      </c>
      <c r="I5509">
        <v>0.1741125760648204</v>
      </c>
      <c r="J5509">
        <v>0</v>
      </c>
      <c r="K5509">
        <v>0</v>
      </c>
      <c r="L5509" s="2">
        <v>0</v>
      </c>
      <c r="M5509">
        <v>55.91</v>
      </c>
      <c r="N5509" t="s">
        <v>10236</v>
      </c>
    </row>
    <row r="5510" spans="1:14">
      <c r="A5510" t="s">
        <v>223</v>
      </c>
      <c r="B5510" t="s">
        <v>5620</v>
      </c>
      <c r="C5510">
        <f>"2073075"</f>
        <v>0</v>
      </c>
      <c r="D5510">
        <v>0</v>
      </c>
      <c r="E5510">
        <v>0</v>
      </c>
      <c r="F5510" s="2">
        <v>0</v>
      </c>
      <c r="H5510">
        <v>0</v>
      </c>
      <c r="I5510">
        <v>0.1741125760648204</v>
      </c>
      <c r="J5510">
        <v>0</v>
      </c>
      <c r="K5510">
        <v>0</v>
      </c>
      <c r="L5510" s="2">
        <v>0</v>
      </c>
      <c r="M5510">
        <v>55.92</v>
      </c>
      <c r="N5510" t="s">
        <v>10236</v>
      </c>
    </row>
    <row r="5511" spans="1:14">
      <c r="A5511" t="s">
        <v>35</v>
      </c>
      <c r="B5511" t="s">
        <v>5621</v>
      </c>
      <c r="C5511">
        <f>"SEP20"</f>
        <v>0</v>
      </c>
      <c r="D5511">
        <v>0</v>
      </c>
      <c r="E5511">
        <v>2</v>
      </c>
      <c r="F5511" s="2">
        <v>4</v>
      </c>
      <c r="H5511">
        <v>0</v>
      </c>
      <c r="I5511">
        <v>0.1741125760648204</v>
      </c>
      <c r="J5511">
        <v>0</v>
      </c>
      <c r="K5511">
        <v>0</v>
      </c>
      <c r="L5511" s="2">
        <v>0</v>
      </c>
      <c r="M5511">
        <v>55.93</v>
      </c>
      <c r="N5511" t="s">
        <v>10236</v>
      </c>
    </row>
    <row r="5512" spans="1:14">
      <c r="A5512" t="s">
        <v>29</v>
      </c>
      <c r="B5512" t="s">
        <v>5622</v>
      </c>
      <c r="C5512">
        <f>"80325"</f>
        <v>0</v>
      </c>
      <c r="D5512">
        <v>0</v>
      </c>
      <c r="E5512">
        <v>6</v>
      </c>
      <c r="F5512" s="2">
        <v>5</v>
      </c>
      <c r="H5512">
        <v>0</v>
      </c>
      <c r="I5512">
        <v>0.1741125760648204</v>
      </c>
      <c r="J5512">
        <v>0</v>
      </c>
      <c r="K5512">
        <v>0</v>
      </c>
      <c r="L5512" s="2">
        <v>0</v>
      </c>
      <c r="M5512">
        <v>55.94</v>
      </c>
      <c r="N5512" t="s">
        <v>10236</v>
      </c>
    </row>
    <row r="5513" spans="1:14">
      <c r="A5513" t="s">
        <v>29</v>
      </c>
      <c r="B5513" t="s">
        <v>5623</v>
      </c>
      <c r="C5513">
        <f>"80323"</f>
        <v>0</v>
      </c>
      <c r="D5513">
        <v>0</v>
      </c>
      <c r="E5513">
        <v>1</v>
      </c>
      <c r="F5513" s="2">
        <v>2</v>
      </c>
      <c r="H5513">
        <v>0</v>
      </c>
      <c r="I5513">
        <v>0.1741125760648204</v>
      </c>
      <c r="J5513">
        <v>0</v>
      </c>
      <c r="K5513">
        <v>0</v>
      </c>
      <c r="L5513" s="2">
        <v>0</v>
      </c>
      <c r="M5513">
        <v>55.95</v>
      </c>
      <c r="N5513" t="s">
        <v>10236</v>
      </c>
    </row>
    <row r="5514" spans="1:14">
      <c r="A5514" t="s">
        <v>195</v>
      </c>
      <c r="B5514" t="s">
        <v>5624</v>
      </c>
      <c r="C5514">
        <f>"25570765"</f>
        <v>0</v>
      </c>
      <c r="D5514">
        <v>0</v>
      </c>
      <c r="E5514">
        <v>0</v>
      </c>
      <c r="F5514" s="2">
        <v>0</v>
      </c>
      <c r="H5514">
        <v>0</v>
      </c>
      <c r="I5514">
        <v>0.1741125760648204</v>
      </c>
      <c r="J5514">
        <v>0</v>
      </c>
      <c r="K5514">
        <v>0</v>
      </c>
      <c r="L5514" s="2">
        <v>0</v>
      </c>
      <c r="M5514">
        <v>55.95</v>
      </c>
      <c r="N5514" t="s">
        <v>10236</v>
      </c>
    </row>
    <row r="5515" spans="1:14">
      <c r="A5515" t="s">
        <v>195</v>
      </c>
      <c r="B5515" t="s">
        <v>5625</v>
      </c>
      <c r="C5515">
        <f>"25570766"</f>
        <v>0</v>
      </c>
      <c r="D5515">
        <v>0</v>
      </c>
      <c r="E5515">
        <v>0</v>
      </c>
      <c r="F5515" s="2">
        <v>0</v>
      </c>
      <c r="H5515">
        <v>0</v>
      </c>
      <c r="I5515">
        <v>0.1741125760648204</v>
      </c>
      <c r="J5515">
        <v>0</v>
      </c>
      <c r="K5515">
        <v>0</v>
      </c>
      <c r="L5515" s="2">
        <v>0</v>
      </c>
      <c r="M5515">
        <v>55.96</v>
      </c>
      <c r="N5515" t="s">
        <v>10236</v>
      </c>
    </row>
    <row r="5516" spans="1:14">
      <c r="A5516" t="s">
        <v>195</v>
      </c>
      <c r="B5516" t="s">
        <v>5626</v>
      </c>
      <c r="C5516">
        <f>"25570767"</f>
        <v>0</v>
      </c>
      <c r="D5516">
        <v>0</v>
      </c>
      <c r="E5516">
        <v>0</v>
      </c>
      <c r="F5516" s="2">
        <v>0</v>
      </c>
      <c r="H5516">
        <v>0</v>
      </c>
      <c r="I5516">
        <v>0.1741125760648204</v>
      </c>
      <c r="J5516">
        <v>0</v>
      </c>
      <c r="K5516">
        <v>0</v>
      </c>
      <c r="L5516" s="2">
        <v>0</v>
      </c>
      <c r="M5516">
        <v>55.97</v>
      </c>
      <c r="N5516" t="s">
        <v>10236</v>
      </c>
    </row>
    <row r="5517" spans="1:14">
      <c r="A5517" t="s">
        <v>25</v>
      </c>
      <c r="B5517" t="s">
        <v>5627</v>
      </c>
      <c r="C5517">
        <f>"RJ180"</f>
        <v>0</v>
      </c>
      <c r="D5517">
        <v>0</v>
      </c>
      <c r="E5517">
        <v>0</v>
      </c>
      <c r="F5517" s="2">
        <v>0</v>
      </c>
      <c r="H5517">
        <v>0</v>
      </c>
      <c r="I5517">
        <v>0.1741125760648204</v>
      </c>
      <c r="J5517">
        <v>0</v>
      </c>
      <c r="K5517">
        <v>0</v>
      </c>
      <c r="L5517" s="2">
        <v>0</v>
      </c>
      <c r="M5517">
        <v>55.98</v>
      </c>
      <c r="N5517" t="s">
        <v>10236</v>
      </c>
    </row>
    <row r="5518" spans="1:14">
      <c r="A5518" t="s">
        <v>25</v>
      </c>
      <c r="B5518" t="s">
        <v>5628</v>
      </c>
      <c r="C5518">
        <f>"S310AROS"</f>
        <v>0</v>
      </c>
      <c r="D5518">
        <v>0</v>
      </c>
      <c r="E5518">
        <v>0</v>
      </c>
      <c r="F5518" s="2">
        <v>0</v>
      </c>
      <c r="H5518">
        <v>0</v>
      </c>
      <c r="I5518">
        <v>0.1741125760648204</v>
      </c>
      <c r="J5518">
        <v>0</v>
      </c>
      <c r="K5518">
        <v>0</v>
      </c>
      <c r="L5518" s="2">
        <v>0</v>
      </c>
      <c r="M5518">
        <v>55.99</v>
      </c>
      <c r="N5518" t="s">
        <v>10236</v>
      </c>
    </row>
    <row r="5519" spans="1:14">
      <c r="A5519" t="s">
        <v>25</v>
      </c>
      <c r="B5519" t="s">
        <v>5629</v>
      </c>
      <c r="C5519">
        <f>"S310AAZ"</f>
        <v>0</v>
      </c>
      <c r="D5519">
        <v>0</v>
      </c>
      <c r="E5519">
        <v>0</v>
      </c>
      <c r="F5519" s="2">
        <v>0</v>
      </c>
      <c r="H5519">
        <v>0</v>
      </c>
      <c r="I5519">
        <v>0.1741125760648204</v>
      </c>
      <c r="J5519">
        <v>0</v>
      </c>
      <c r="K5519">
        <v>0</v>
      </c>
      <c r="L5519" s="2">
        <v>0</v>
      </c>
      <c r="M5519">
        <v>56</v>
      </c>
      <c r="N5519" t="s">
        <v>10236</v>
      </c>
    </row>
    <row r="5520" spans="1:14">
      <c r="A5520" t="s">
        <v>25</v>
      </c>
      <c r="B5520" t="s">
        <v>5630</v>
      </c>
      <c r="C5520">
        <f>"S310A"</f>
        <v>0</v>
      </c>
      <c r="D5520">
        <v>0</v>
      </c>
      <c r="E5520">
        <v>3</v>
      </c>
      <c r="F5520" s="2">
        <v>6</v>
      </c>
      <c r="H5520">
        <v>0</v>
      </c>
      <c r="I5520">
        <v>0.1741125760648204</v>
      </c>
      <c r="J5520">
        <v>0</v>
      </c>
      <c r="K5520">
        <v>0</v>
      </c>
      <c r="L5520" s="2">
        <v>0</v>
      </c>
      <c r="M5520">
        <v>56.01</v>
      </c>
      <c r="N5520" t="s">
        <v>10236</v>
      </c>
    </row>
    <row r="5521" spans="1:14">
      <c r="A5521" t="s">
        <v>35</v>
      </c>
      <c r="B5521" t="s">
        <v>5631</v>
      </c>
      <c r="C5521">
        <f>"1065501200000"</f>
        <v>0</v>
      </c>
      <c r="D5521">
        <v>0</v>
      </c>
      <c r="E5521">
        <v>0</v>
      </c>
      <c r="F5521" s="2">
        <v>0</v>
      </c>
      <c r="H5521">
        <v>0</v>
      </c>
      <c r="I5521">
        <v>0.1741125760648204</v>
      </c>
      <c r="J5521">
        <v>0</v>
      </c>
      <c r="K5521">
        <v>0</v>
      </c>
      <c r="L5521" s="2">
        <v>0</v>
      </c>
      <c r="M5521">
        <v>56.02</v>
      </c>
      <c r="N5521" t="s">
        <v>10236</v>
      </c>
    </row>
    <row r="5522" spans="1:14">
      <c r="A5522" t="s">
        <v>35</v>
      </c>
      <c r="B5522" t="s">
        <v>5632</v>
      </c>
      <c r="C5522">
        <f>"1065501100000"</f>
        <v>0</v>
      </c>
      <c r="D5522">
        <v>0</v>
      </c>
      <c r="E5522">
        <v>5</v>
      </c>
      <c r="F5522" s="2">
        <v>0</v>
      </c>
      <c r="H5522">
        <v>0</v>
      </c>
      <c r="I5522">
        <v>0.1741125760648204</v>
      </c>
      <c r="J5522">
        <v>0</v>
      </c>
      <c r="K5522">
        <v>0</v>
      </c>
      <c r="L5522" s="2">
        <v>0</v>
      </c>
      <c r="M5522">
        <v>56.03</v>
      </c>
      <c r="N5522" t="s">
        <v>10236</v>
      </c>
    </row>
    <row r="5523" spans="1:14">
      <c r="A5523" t="s">
        <v>218</v>
      </c>
      <c r="B5523" t="s">
        <v>5633</v>
      </c>
      <c r="C5523">
        <f>"BRA015"</f>
        <v>0</v>
      </c>
      <c r="D5523">
        <v>0</v>
      </c>
      <c r="E5523">
        <v>0</v>
      </c>
      <c r="F5523" s="2">
        <v>0</v>
      </c>
      <c r="H5523">
        <v>0</v>
      </c>
      <c r="I5523">
        <v>0.1741125760648204</v>
      </c>
      <c r="J5523">
        <v>0</v>
      </c>
      <c r="K5523">
        <v>0</v>
      </c>
      <c r="L5523" s="2">
        <v>0</v>
      </c>
      <c r="M5523">
        <v>56.04</v>
      </c>
      <c r="N5523" t="s">
        <v>10236</v>
      </c>
    </row>
    <row r="5524" spans="1:14">
      <c r="A5524" t="s">
        <v>218</v>
      </c>
      <c r="B5524" t="s">
        <v>5634</v>
      </c>
      <c r="C5524">
        <f>"BRA023"</f>
        <v>0</v>
      </c>
      <c r="D5524">
        <v>0</v>
      </c>
      <c r="E5524">
        <v>0</v>
      </c>
      <c r="F5524" s="2">
        <v>0</v>
      </c>
      <c r="H5524">
        <v>0</v>
      </c>
      <c r="I5524">
        <v>0.1741125760648204</v>
      </c>
      <c r="J5524">
        <v>0</v>
      </c>
      <c r="K5524">
        <v>0</v>
      </c>
      <c r="L5524" s="2">
        <v>0</v>
      </c>
      <c r="M5524">
        <v>56.05</v>
      </c>
      <c r="N5524" t="s">
        <v>10236</v>
      </c>
    </row>
    <row r="5525" spans="1:14">
      <c r="A5525" t="s">
        <v>218</v>
      </c>
      <c r="B5525" t="s">
        <v>5635</v>
      </c>
      <c r="C5525">
        <f>"BRA032"</f>
        <v>0</v>
      </c>
      <c r="D5525">
        <v>0</v>
      </c>
      <c r="E5525">
        <v>0</v>
      </c>
      <c r="F5525" s="2">
        <v>0</v>
      </c>
      <c r="H5525">
        <v>0</v>
      </c>
      <c r="I5525">
        <v>0.1741125760648204</v>
      </c>
      <c r="J5525">
        <v>0</v>
      </c>
      <c r="K5525">
        <v>0</v>
      </c>
      <c r="L5525" s="2">
        <v>0</v>
      </c>
      <c r="M5525">
        <v>56.06</v>
      </c>
      <c r="N5525" t="s">
        <v>10236</v>
      </c>
    </row>
    <row r="5526" spans="1:14">
      <c r="A5526" t="s">
        <v>35</v>
      </c>
      <c r="B5526" t="s">
        <v>5636</v>
      </c>
      <c r="C5526">
        <f>"SEP40"</f>
        <v>0</v>
      </c>
      <c r="D5526">
        <v>0</v>
      </c>
      <c r="E5526">
        <v>0</v>
      </c>
      <c r="F5526" s="2">
        <v>0</v>
      </c>
      <c r="H5526">
        <v>0</v>
      </c>
      <c r="I5526">
        <v>0.1741125760648204</v>
      </c>
      <c r="J5526">
        <v>0</v>
      </c>
      <c r="K5526">
        <v>0</v>
      </c>
      <c r="L5526" s="2">
        <v>0</v>
      </c>
      <c r="M5526">
        <v>56.07</v>
      </c>
      <c r="N5526" t="s">
        <v>10236</v>
      </c>
    </row>
    <row r="5527" spans="1:14">
      <c r="A5527" t="s">
        <v>194</v>
      </c>
      <c r="B5527" t="s">
        <v>5637</v>
      </c>
      <c r="C5527">
        <f>"700200"</f>
        <v>0</v>
      </c>
      <c r="D5527">
        <v>0</v>
      </c>
      <c r="E5527">
        <v>2</v>
      </c>
      <c r="F5527" s="2">
        <v>24</v>
      </c>
      <c r="H5527">
        <v>0</v>
      </c>
      <c r="I5527">
        <v>0.1741125760648204</v>
      </c>
      <c r="J5527">
        <v>0</v>
      </c>
      <c r="K5527">
        <v>0</v>
      </c>
      <c r="L5527" s="2">
        <v>0</v>
      </c>
      <c r="M5527">
        <v>56.07</v>
      </c>
      <c r="N5527" t="s">
        <v>10236</v>
      </c>
    </row>
    <row r="5528" spans="1:14">
      <c r="A5528" t="s">
        <v>218</v>
      </c>
      <c r="B5528" t="s">
        <v>5638</v>
      </c>
      <c r="C5528">
        <f>"inscls0038"</f>
        <v>0</v>
      </c>
      <c r="D5528">
        <v>0</v>
      </c>
      <c r="E5528">
        <v>0</v>
      </c>
      <c r="F5528" s="2">
        <v>0</v>
      </c>
      <c r="H5528">
        <v>0</v>
      </c>
      <c r="I5528">
        <v>0.1741125760648204</v>
      </c>
      <c r="J5528">
        <v>0</v>
      </c>
      <c r="K5528">
        <v>0</v>
      </c>
      <c r="L5528" s="2">
        <v>0</v>
      </c>
      <c r="M5528">
        <v>56.08</v>
      </c>
      <c r="N5528" t="s">
        <v>10236</v>
      </c>
    </row>
    <row r="5529" spans="1:14">
      <c r="A5529" t="s">
        <v>210</v>
      </c>
      <c r="B5529" t="s">
        <v>5639</v>
      </c>
      <c r="C5529">
        <f>"110501201121"</f>
        <v>0</v>
      </c>
      <c r="D5529">
        <v>0</v>
      </c>
      <c r="E5529">
        <v>0</v>
      </c>
      <c r="F5529" s="2">
        <v>0</v>
      </c>
      <c r="H5529">
        <v>0</v>
      </c>
      <c r="I5529">
        <v>0.1741125760648204</v>
      </c>
      <c r="J5529">
        <v>0</v>
      </c>
      <c r="K5529">
        <v>0</v>
      </c>
      <c r="L5529" s="2">
        <v>0</v>
      </c>
      <c r="M5529">
        <v>56.09</v>
      </c>
      <c r="N5529" t="s">
        <v>10236</v>
      </c>
    </row>
    <row r="5530" spans="1:14">
      <c r="A5530" t="s">
        <v>210</v>
      </c>
      <c r="B5530" t="s">
        <v>5640</v>
      </c>
      <c r="C5530">
        <f>"7798075342417"</f>
        <v>0</v>
      </c>
      <c r="D5530">
        <v>0</v>
      </c>
      <c r="E5530">
        <v>0</v>
      </c>
      <c r="F5530" s="2">
        <v>0</v>
      </c>
      <c r="H5530">
        <v>0</v>
      </c>
      <c r="I5530">
        <v>0.1741125760648204</v>
      </c>
      <c r="J5530">
        <v>0</v>
      </c>
      <c r="K5530">
        <v>0</v>
      </c>
      <c r="L5530" s="2">
        <v>0</v>
      </c>
      <c r="M5530">
        <v>56.1</v>
      </c>
      <c r="N5530" t="s">
        <v>10236</v>
      </c>
    </row>
    <row r="5531" spans="1:14">
      <c r="A5531" t="s">
        <v>29</v>
      </c>
      <c r="B5531" t="s">
        <v>5641</v>
      </c>
      <c r="C5531">
        <f>"CH55151SA"</f>
        <v>0</v>
      </c>
      <c r="D5531">
        <v>0</v>
      </c>
      <c r="E5531">
        <v>9</v>
      </c>
      <c r="F5531" s="2">
        <v>4</v>
      </c>
      <c r="H5531">
        <v>0</v>
      </c>
      <c r="I5531">
        <v>0.1741125760648204</v>
      </c>
      <c r="J5531">
        <v>0</v>
      </c>
      <c r="K5531">
        <v>0</v>
      </c>
      <c r="L5531" s="2">
        <v>0</v>
      </c>
      <c r="M5531">
        <v>56.11</v>
      </c>
      <c r="N5531" t="s">
        <v>10236</v>
      </c>
    </row>
    <row r="5532" spans="1:14">
      <c r="A5532" t="s">
        <v>29</v>
      </c>
      <c r="B5532" t="s">
        <v>5642</v>
      </c>
      <c r="C5532">
        <f>"U718"</f>
        <v>0</v>
      </c>
      <c r="D5532">
        <v>0</v>
      </c>
      <c r="E5532">
        <v>3</v>
      </c>
      <c r="F5532" s="2">
        <v>8</v>
      </c>
      <c r="H5532">
        <v>0</v>
      </c>
      <c r="I5532">
        <v>0.1741125760648204</v>
      </c>
      <c r="J5532">
        <v>0</v>
      </c>
      <c r="K5532">
        <v>0</v>
      </c>
      <c r="L5532" s="2">
        <v>0</v>
      </c>
      <c r="M5532">
        <v>56.12</v>
      </c>
      <c r="N5532" t="s">
        <v>10236</v>
      </c>
    </row>
    <row r="5533" spans="1:14">
      <c r="A5533" t="s">
        <v>29</v>
      </c>
      <c r="B5533" t="s">
        <v>5643</v>
      </c>
      <c r="C5533">
        <f>"U125"</f>
        <v>0</v>
      </c>
      <c r="D5533">
        <v>0</v>
      </c>
      <c r="E5533">
        <v>0</v>
      </c>
      <c r="F5533" s="2">
        <v>0</v>
      </c>
      <c r="H5533">
        <v>0</v>
      </c>
      <c r="I5533">
        <v>0.1741125760648204</v>
      </c>
      <c r="J5533">
        <v>0</v>
      </c>
      <c r="K5533">
        <v>0</v>
      </c>
      <c r="L5533" s="2">
        <v>0</v>
      </c>
      <c r="M5533">
        <v>56.13</v>
      </c>
      <c r="N5533" t="s">
        <v>10236</v>
      </c>
    </row>
    <row r="5534" spans="1:14">
      <c r="A5534" t="s">
        <v>29</v>
      </c>
      <c r="B5534" t="s">
        <v>5644</v>
      </c>
      <c r="C5534">
        <f>"K722"</f>
        <v>0</v>
      </c>
      <c r="D5534">
        <v>0</v>
      </c>
      <c r="E5534">
        <v>0</v>
      </c>
      <c r="F5534" s="2">
        <v>0</v>
      </c>
      <c r="H5534">
        <v>0</v>
      </c>
      <c r="I5534">
        <v>0.1741125760648204</v>
      </c>
      <c r="J5534">
        <v>0</v>
      </c>
      <c r="K5534">
        <v>0</v>
      </c>
      <c r="L5534" s="2">
        <v>0</v>
      </c>
      <c r="M5534">
        <v>56.14</v>
      </c>
      <c r="N5534" t="s">
        <v>10236</v>
      </c>
    </row>
    <row r="5535" spans="1:14">
      <c r="A5535" t="s">
        <v>29</v>
      </c>
      <c r="B5535" t="s">
        <v>5645</v>
      </c>
      <c r="C5535">
        <f>"B3"</f>
        <v>0</v>
      </c>
      <c r="D5535">
        <v>0</v>
      </c>
      <c r="E5535">
        <v>0</v>
      </c>
      <c r="F5535" s="2">
        <v>0</v>
      </c>
      <c r="H5535">
        <v>0</v>
      </c>
      <c r="I5535">
        <v>0.1741125760648204</v>
      </c>
      <c r="J5535">
        <v>0</v>
      </c>
      <c r="K5535">
        <v>0</v>
      </c>
      <c r="L5535" s="2">
        <v>0</v>
      </c>
      <c r="M5535">
        <v>56.15</v>
      </c>
      <c r="N5535" t="s">
        <v>10236</v>
      </c>
    </row>
    <row r="5536" spans="1:14">
      <c r="A5536" t="s">
        <v>29</v>
      </c>
      <c r="B5536" t="s">
        <v>5646</v>
      </c>
      <c r="C5536">
        <f>"T1161"</f>
        <v>0</v>
      </c>
      <c r="D5536">
        <v>0</v>
      </c>
      <c r="E5536">
        <v>0</v>
      </c>
      <c r="F5536" s="2">
        <v>0</v>
      </c>
      <c r="H5536">
        <v>0</v>
      </c>
      <c r="I5536">
        <v>0.1741125760648204</v>
      </c>
      <c r="J5536">
        <v>0</v>
      </c>
      <c r="K5536">
        <v>0</v>
      </c>
      <c r="L5536" s="2">
        <v>0</v>
      </c>
      <c r="M5536">
        <v>56.16</v>
      </c>
      <c r="N5536" t="s">
        <v>10236</v>
      </c>
    </row>
    <row r="5537" spans="1:14">
      <c r="A5537" t="s">
        <v>29</v>
      </c>
      <c r="B5537" t="s">
        <v>2098</v>
      </c>
      <c r="C5537">
        <f>"P506"</f>
        <v>0</v>
      </c>
      <c r="D5537">
        <v>0</v>
      </c>
      <c r="E5537">
        <v>0</v>
      </c>
      <c r="F5537" s="2">
        <v>0</v>
      </c>
      <c r="H5537">
        <v>0</v>
      </c>
      <c r="I5537">
        <v>0.1741125760648204</v>
      </c>
      <c r="J5537">
        <v>0</v>
      </c>
      <c r="K5537">
        <v>0</v>
      </c>
      <c r="L5537" s="2">
        <v>0</v>
      </c>
      <c r="M5537">
        <v>56.17</v>
      </c>
      <c r="N5537" t="s">
        <v>10236</v>
      </c>
    </row>
    <row r="5538" spans="1:14">
      <c r="A5538" t="s">
        <v>210</v>
      </c>
      <c r="B5538" t="s">
        <v>5647</v>
      </c>
      <c r="C5538">
        <f>"110302051000"</f>
        <v>0</v>
      </c>
      <c r="D5538">
        <v>0</v>
      </c>
      <c r="E5538">
        <v>0</v>
      </c>
      <c r="F5538" s="2">
        <v>0</v>
      </c>
      <c r="H5538">
        <v>0</v>
      </c>
      <c r="I5538">
        <v>0.1741125760648204</v>
      </c>
      <c r="J5538">
        <v>0</v>
      </c>
      <c r="K5538">
        <v>0</v>
      </c>
      <c r="L5538" s="2">
        <v>0</v>
      </c>
      <c r="M5538">
        <v>56.18</v>
      </c>
      <c r="N5538" t="s">
        <v>10236</v>
      </c>
    </row>
    <row r="5539" spans="1:14">
      <c r="A5539" t="s">
        <v>210</v>
      </c>
      <c r="B5539" t="s">
        <v>5648</v>
      </c>
      <c r="C5539">
        <f>"110302050150"</f>
        <v>0</v>
      </c>
      <c r="D5539">
        <v>0</v>
      </c>
      <c r="E5539">
        <v>0</v>
      </c>
      <c r="F5539" s="2">
        <v>0</v>
      </c>
      <c r="H5539">
        <v>0</v>
      </c>
      <c r="I5539">
        <v>0.1741125760648204</v>
      </c>
      <c r="J5539">
        <v>0</v>
      </c>
      <c r="K5539">
        <v>0</v>
      </c>
      <c r="L5539" s="2">
        <v>0</v>
      </c>
      <c r="M5539">
        <v>56.19</v>
      </c>
      <c r="N5539" t="s">
        <v>10236</v>
      </c>
    </row>
    <row r="5540" spans="1:14">
      <c r="A5540" t="s">
        <v>210</v>
      </c>
      <c r="B5540" t="s">
        <v>5649</v>
      </c>
      <c r="C5540">
        <f>"346996"</f>
        <v>0</v>
      </c>
      <c r="D5540">
        <v>0</v>
      </c>
      <c r="E5540">
        <v>0</v>
      </c>
      <c r="F5540" s="2">
        <v>0</v>
      </c>
      <c r="H5540">
        <v>0</v>
      </c>
      <c r="I5540">
        <v>0.1741125760648204</v>
      </c>
      <c r="J5540">
        <v>0</v>
      </c>
      <c r="K5540">
        <v>0</v>
      </c>
      <c r="L5540" s="2">
        <v>0</v>
      </c>
      <c r="M5540">
        <v>56.19</v>
      </c>
      <c r="N5540" t="s">
        <v>10236</v>
      </c>
    </row>
    <row r="5541" spans="1:14">
      <c r="A5541" t="s">
        <v>218</v>
      </c>
      <c r="B5541" t="s">
        <v>5650</v>
      </c>
      <c r="C5541">
        <f>"humsdr0028"</f>
        <v>0</v>
      </c>
      <c r="D5541">
        <v>0</v>
      </c>
      <c r="E5541">
        <v>0</v>
      </c>
      <c r="F5541" s="2">
        <v>0</v>
      </c>
      <c r="H5541">
        <v>0</v>
      </c>
      <c r="I5541">
        <v>0.1741125760648204</v>
      </c>
      <c r="J5541">
        <v>0</v>
      </c>
      <c r="K5541">
        <v>0</v>
      </c>
      <c r="L5541" s="2">
        <v>0</v>
      </c>
      <c r="M5541">
        <v>56.2</v>
      </c>
      <c r="N5541" t="s">
        <v>10236</v>
      </c>
    </row>
    <row r="5542" spans="1:14">
      <c r="A5542" t="s">
        <v>35</v>
      </c>
      <c r="B5542" t="s">
        <v>5651</v>
      </c>
      <c r="C5542">
        <f>"W0051"</f>
        <v>0</v>
      </c>
      <c r="D5542">
        <v>0</v>
      </c>
      <c r="E5542">
        <v>7</v>
      </c>
      <c r="F5542" s="2">
        <v>1</v>
      </c>
      <c r="H5542">
        <v>0</v>
      </c>
      <c r="I5542">
        <v>0.1741125760648204</v>
      </c>
      <c r="J5542">
        <v>0</v>
      </c>
      <c r="K5542">
        <v>0</v>
      </c>
      <c r="L5542" s="2">
        <v>0</v>
      </c>
      <c r="M5542">
        <v>56.21</v>
      </c>
      <c r="N5542" t="s">
        <v>10236</v>
      </c>
    </row>
    <row r="5543" spans="1:14">
      <c r="A5543" t="s">
        <v>32</v>
      </c>
      <c r="B5543" t="s">
        <v>5652</v>
      </c>
      <c r="C5543">
        <f>"PFI029"</f>
        <v>0</v>
      </c>
      <c r="D5543">
        <v>0</v>
      </c>
      <c r="E5543">
        <v>0</v>
      </c>
      <c r="F5543" s="2">
        <v>0</v>
      </c>
      <c r="H5543">
        <v>0</v>
      </c>
      <c r="I5543">
        <v>0.1741125760648204</v>
      </c>
      <c r="J5543">
        <v>0</v>
      </c>
      <c r="K5543">
        <v>0</v>
      </c>
      <c r="L5543" s="2">
        <v>0</v>
      </c>
      <c r="M5543">
        <v>56.22</v>
      </c>
      <c r="N5543" t="s">
        <v>10236</v>
      </c>
    </row>
    <row r="5544" spans="1:14">
      <c r="A5544" t="s">
        <v>223</v>
      </c>
      <c r="B5544" t="s">
        <v>5653</v>
      </c>
      <c r="C5544">
        <f>"AK05Y"</f>
        <v>0</v>
      </c>
      <c r="D5544">
        <v>0</v>
      </c>
      <c r="E5544">
        <v>0</v>
      </c>
      <c r="F5544" s="2">
        <v>0</v>
      </c>
      <c r="H5544">
        <v>0</v>
      </c>
      <c r="I5544">
        <v>0.1741125760648204</v>
      </c>
      <c r="J5544">
        <v>0</v>
      </c>
      <c r="K5544">
        <v>0</v>
      </c>
      <c r="L5544" s="2">
        <v>0</v>
      </c>
      <c r="M5544">
        <v>56.23</v>
      </c>
      <c r="N5544" t="s">
        <v>10236</v>
      </c>
    </row>
    <row r="5545" spans="1:14">
      <c r="A5545" t="s">
        <v>223</v>
      </c>
      <c r="B5545" t="s">
        <v>5654</v>
      </c>
      <c r="C5545">
        <f>"5047020"</f>
        <v>0</v>
      </c>
      <c r="D5545">
        <v>0</v>
      </c>
      <c r="E5545">
        <v>0</v>
      </c>
      <c r="F5545" s="2">
        <v>0</v>
      </c>
      <c r="H5545">
        <v>0</v>
      </c>
      <c r="I5545">
        <v>0.1741125760648204</v>
      </c>
      <c r="J5545">
        <v>0</v>
      </c>
      <c r="K5545">
        <v>0</v>
      </c>
      <c r="L5545" s="2">
        <v>0</v>
      </c>
      <c r="M5545">
        <v>56.24</v>
      </c>
      <c r="N5545" t="s">
        <v>10236</v>
      </c>
    </row>
    <row r="5546" spans="1:14">
      <c r="A5546" t="s">
        <v>223</v>
      </c>
      <c r="B5546" t="s">
        <v>5655</v>
      </c>
      <c r="C5546">
        <f>"2057015"</f>
        <v>0</v>
      </c>
      <c r="D5546">
        <v>0</v>
      </c>
      <c r="E5546">
        <v>0</v>
      </c>
      <c r="F5546" s="2">
        <v>0</v>
      </c>
      <c r="H5546">
        <v>0</v>
      </c>
      <c r="I5546">
        <v>0.1741125760648204</v>
      </c>
      <c r="J5546">
        <v>0</v>
      </c>
      <c r="K5546">
        <v>0</v>
      </c>
      <c r="L5546" s="2">
        <v>0</v>
      </c>
      <c r="M5546">
        <v>56.25</v>
      </c>
      <c r="N5546" t="s">
        <v>10236</v>
      </c>
    </row>
    <row r="5547" spans="1:14">
      <c r="A5547" t="s">
        <v>32</v>
      </c>
      <c r="B5547" t="s">
        <v>5656</v>
      </c>
      <c r="C5547">
        <f>"1009442"</f>
        <v>0</v>
      </c>
      <c r="D5547">
        <v>0</v>
      </c>
      <c r="E5547">
        <v>0</v>
      </c>
      <c r="F5547" s="2">
        <v>0</v>
      </c>
      <c r="H5547">
        <v>0</v>
      </c>
      <c r="I5547">
        <v>0.1741125760648204</v>
      </c>
      <c r="J5547">
        <v>0</v>
      </c>
      <c r="K5547">
        <v>0</v>
      </c>
      <c r="L5547" s="2">
        <v>0</v>
      </c>
      <c r="M5547">
        <v>56.26</v>
      </c>
      <c r="N5547" t="s">
        <v>10236</v>
      </c>
    </row>
    <row r="5548" spans="1:14">
      <c r="A5548" t="s">
        <v>218</v>
      </c>
      <c r="B5548" t="s">
        <v>5657</v>
      </c>
      <c r="C5548">
        <f>"insdks0005"</f>
        <v>0</v>
      </c>
      <c r="D5548">
        <v>0</v>
      </c>
      <c r="E5548">
        <v>0</v>
      </c>
      <c r="F5548" s="2">
        <v>0</v>
      </c>
      <c r="H5548">
        <v>0</v>
      </c>
      <c r="I5548">
        <v>0.1741125760648204</v>
      </c>
      <c r="J5548">
        <v>0</v>
      </c>
      <c r="K5548">
        <v>0</v>
      </c>
      <c r="L5548" s="2">
        <v>0</v>
      </c>
      <c r="M5548">
        <v>56.27</v>
      </c>
      <c r="N5548" t="s">
        <v>10236</v>
      </c>
    </row>
    <row r="5549" spans="1:14">
      <c r="A5549" t="s">
        <v>25</v>
      </c>
      <c r="B5549" t="s">
        <v>5658</v>
      </c>
      <c r="C5549">
        <f>"RJ148"</f>
        <v>0</v>
      </c>
      <c r="D5549">
        <v>0</v>
      </c>
      <c r="E5549">
        <v>0</v>
      </c>
      <c r="F5549" s="2">
        <v>0</v>
      </c>
      <c r="H5549">
        <v>0</v>
      </c>
      <c r="I5549">
        <v>0.1741125760648204</v>
      </c>
      <c r="J5549">
        <v>0</v>
      </c>
      <c r="K5549">
        <v>0</v>
      </c>
      <c r="L5549" s="2">
        <v>0</v>
      </c>
      <c r="M5549">
        <v>56.28</v>
      </c>
      <c r="N5549" t="s">
        <v>10236</v>
      </c>
    </row>
    <row r="5550" spans="1:14">
      <c r="A5550" t="s">
        <v>207</v>
      </c>
      <c r="B5550" t="s">
        <v>5659</v>
      </c>
      <c r="C5550">
        <f>"1752261895267"</f>
        <v>0</v>
      </c>
      <c r="D5550">
        <v>0</v>
      </c>
      <c r="E5550">
        <v>3</v>
      </c>
      <c r="F5550" s="2">
        <v>2</v>
      </c>
      <c r="H5550">
        <v>0</v>
      </c>
      <c r="I5550">
        <v>0.1741125760648204</v>
      </c>
      <c r="J5550">
        <v>0</v>
      </c>
      <c r="K5550">
        <v>0</v>
      </c>
      <c r="L5550" s="2">
        <v>0</v>
      </c>
      <c r="M5550">
        <v>56.29</v>
      </c>
      <c r="N5550" t="s">
        <v>10236</v>
      </c>
    </row>
    <row r="5551" spans="1:14">
      <c r="A5551" t="s">
        <v>25</v>
      </c>
      <c r="B5551" t="s">
        <v>5660</v>
      </c>
      <c r="C5551">
        <f>"NS39"</f>
        <v>0</v>
      </c>
      <c r="D5551">
        <v>0</v>
      </c>
      <c r="E5551">
        <v>0</v>
      </c>
      <c r="F5551" s="2">
        <v>0</v>
      </c>
      <c r="H5551">
        <v>0</v>
      </c>
      <c r="I5551">
        <v>0.1741125760648204</v>
      </c>
      <c r="J5551">
        <v>0</v>
      </c>
      <c r="K5551">
        <v>0</v>
      </c>
      <c r="L5551" s="2">
        <v>0</v>
      </c>
      <c r="M5551">
        <v>56.3</v>
      </c>
      <c r="N5551" t="s">
        <v>10236</v>
      </c>
    </row>
    <row r="5552" spans="1:14">
      <c r="A5552" t="s">
        <v>25</v>
      </c>
      <c r="B5552" t="s">
        <v>5661</v>
      </c>
      <c r="C5552">
        <f>"NW12"</f>
        <v>0</v>
      </c>
      <c r="D5552">
        <v>0</v>
      </c>
      <c r="E5552">
        <v>0</v>
      </c>
      <c r="F5552" s="2">
        <v>0</v>
      </c>
      <c r="H5552">
        <v>0</v>
      </c>
      <c r="I5552">
        <v>0.1741125760648204</v>
      </c>
      <c r="J5552">
        <v>0</v>
      </c>
      <c r="K5552">
        <v>0</v>
      </c>
      <c r="L5552" s="2">
        <v>0</v>
      </c>
      <c r="M5552">
        <v>56.31</v>
      </c>
      <c r="N5552" t="s">
        <v>10236</v>
      </c>
    </row>
    <row r="5553" spans="1:14">
      <c r="A5553" t="s">
        <v>196</v>
      </c>
      <c r="B5553" t="s">
        <v>5662</v>
      </c>
      <c r="C5553">
        <f>"2378"</f>
        <v>0</v>
      </c>
      <c r="D5553">
        <v>0</v>
      </c>
      <c r="E5553">
        <v>0</v>
      </c>
      <c r="F5553" s="2">
        <v>0</v>
      </c>
      <c r="H5553">
        <v>0</v>
      </c>
      <c r="I5553">
        <v>0.1741125760648204</v>
      </c>
      <c r="J5553">
        <v>0</v>
      </c>
      <c r="K5553">
        <v>0</v>
      </c>
      <c r="L5553" s="2">
        <v>0</v>
      </c>
      <c r="M5553">
        <v>56.31</v>
      </c>
      <c r="N5553" t="s">
        <v>10236</v>
      </c>
    </row>
    <row r="5554" spans="1:14">
      <c r="A5554" t="s">
        <v>213</v>
      </c>
      <c r="B5554" t="s">
        <v>5663</v>
      </c>
      <c r="C5554">
        <f>"400722"</f>
        <v>0</v>
      </c>
      <c r="D5554">
        <v>0</v>
      </c>
      <c r="E5554">
        <v>0</v>
      </c>
      <c r="F5554" s="2">
        <v>0</v>
      </c>
      <c r="H5554">
        <v>0</v>
      </c>
      <c r="I5554">
        <v>0.1741125760648204</v>
      </c>
      <c r="J5554">
        <v>0</v>
      </c>
      <c r="K5554">
        <v>0</v>
      </c>
      <c r="L5554" s="2">
        <v>0</v>
      </c>
      <c r="M5554">
        <v>56.32</v>
      </c>
      <c r="N5554" t="s">
        <v>10236</v>
      </c>
    </row>
    <row r="5555" spans="1:14">
      <c r="A5555" t="s">
        <v>32</v>
      </c>
      <c r="B5555" t="s">
        <v>5664</v>
      </c>
      <c r="C5555">
        <f>"PCE38"</f>
        <v>0</v>
      </c>
      <c r="D5555">
        <v>0</v>
      </c>
      <c r="E5555">
        <v>0</v>
      </c>
      <c r="F5555" s="2">
        <v>0</v>
      </c>
      <c r="H5555">
        <v>0</v>
      </c>
      <c r="I5555">
        <v>0.1741125760648204</v>
      </c>
      <c r="J5555">
        <v>0</v>
      </c>
      <c r="K5555">
        <v>0</v>
      </c>
      <c r="L5555" s="2">
        <v>0</v>
      </c>
      <c r="M5555">
        <v>56.33</v>
      </c>
      <c r="N5555" t="s">
        <v>10236</v>
      </c>
    </row>
    <row r="5556" spans="1:14">
      <c r="A5556" t="s">
        <v>35</v>
      </c>
      <c r="B5556" t="s">
        <v>5665</v>
      </c>
      <c r="C5556">
        <f>"ANS21"</f>
        <v>0</v>
      </c>
      <c r="D5556">
        <v>0</v>
      </c>
      <c r="E5556">
        <v>0</v>
      </c>
      <c r="F5556" s="2">
        <v>0</v>
      </c>
      <c r="H5556">
        <v>0</v>
      </c>
      <c r="I5556">
        <v>0.1741125760648204</v>
      </c>
      <c r="J5556">
        <v>0</v>
      </c>
      <c r="K5556">
        <v>0</v>
      </c>
      <c r="L5556" s="2">
        <v>0</v>
      </c>
      <c r="M5556">
        <v>56.34</v>
      </c>
      <c r="N5556" t="s">
        <v>10236</v>
      </c>
    </row>
    <row r="5557" spans="1:14">
      <c r="A5557" t="s">
        <v>35</v>
      </c>
      <c r="B5557" t="s">
        <v>5666</v>
      </c>
      <c r="C5557">
        <f>"AD1001"</f>
        <v>0</v>
      </c>
      <c r="D5557">
        <v>0</v>
      </c>
      <c r="E5557">
        <v>1</v>
      </c>
      <c r="F5557" s="2">
        <v>3</v>
      </c>
      <c r="H5557">
        <v>0</v>
      </c>
      <c r="I5557">
        <v>0.1741125760648204</v>
      </c>
      <c r="J5557">
        <v>0</v>
      </c>
      <c r="K5557">
        <v>0</v>
      </c>
      <c r="L5557" s="2">
        <v>0</v>
      </c>
      <c r="M5557">
        <v>56.35</v>
      </c>
      <c r="N5557" t="s">
        <v>10236</v>
      </c>
    </row>
    <row r="5558" spans="1:14">
      <c r="A5558" t="s">
        <v>32</v>
      </c>
      <c r="B5558" t="s">
        <v>5667</v>
      </c>
      <c r="C5558">
        <f>"1009447"</f>
        <v>0</v>
      </c>
      <c r="D5558">
        <v>0</v>
      </c>
      <c r="E5558">
        <v>1</v>
      </c>
      <c r="F5558" s="2">
        <v>9</v>
      </c>
      <c r="H5558">
        <v>0</v>
      </c>
      <c r="I5558">
        <v>0.1741125760648204</v>
      </c>
      <c r="J5558">
        <v>0</v>
      </c>
      <c r="K5558">
        <v>0</v>
      </c>
      <c r="L5558" s="2">
        <v>0</v>
      </c>
      <c r="M5558">
        <v>56.36</v>
      </c>
      <c r="N5558" t="s">
        <v>10236</v>
      </c>
    </row>
    <row r="5559" spans="1:14">
      <c r="A5559" t="s">
        <v>35</v>
      </c>
      <c r="B5559" t="s">
        <v>5668</v>
      </c>
      <c r="C5559">
        <f>"BA046MRS"</f>
        <v>0</v>
      </c>
      <c r="D5559">
        <v>0</v>
      </c>
      <c r="E5559">
        <v>0</v>
      </c>
      <c r="F5559" s="2">
        <v>0</v>
      </c>
      <c r="H5559">
        <v>0</v>
      </c>
      <c r="I5559">
        <v>0.1741125760648204</v>
      </c>
      <c r="J5559">
        <v>0</v>
      </c>
      <c r="K5559">
        <v>0</v>
      </c>
      <c r="L5559" s="2">
        <v>0</v>
      </c>
      <c r="M5559">
        <v>56.37</v>
      </c>
      <c r="N5559" t="s">
        <v>10236</v>
      </c>
    </row>
    <row r="5560" spans="1:14">
      <c r="A5560" t="s">
        <v>35</v>
      </c>
      <c r="B5560" t="s">
        <v>5669</v>
      </c>
      <c r="C5560">
        <f>"DHO3R"</f>
        <v>0</v>
      </c>
      <c r="D5560">
        <v>0</v>
      </c>
      <c r="E5560">
        <v>0</v>
      </c>
      <c r="F5560" s="2">
        <v>0</v>
      </c>
      <c r="H5560">
        <v>0</v>
      </c>
      <c r="I5560">
        <v>0.1741125760648204</v>
      </c>
      <c r="J5560">
        <v>0</v>
      </c>
      <c r="K5560">
        <v>0</v>
      </c>
      <c r="L5560" s="2">
        <v>0</v>
      </c>
      <c r="M5560">
        <v>56.38</v>
      </c>
      <c r="N5560" t="s">
        <v>10236</v>
      </c>
    </row>
    <row r="5561" spans="1:14">
      <c r="A5561" t="s">
        <v>35</v>
      </c>
      <c r="B5561" t="s">
        <v>5670</v>
      </c>
      <c r="C5561">
        <f>"DHO3G"</f>
        <v>0</v>
      </c>
      <c r="D5561">
        <v>0</v>
      </c>
      <c r="E5561">
        <v>0</v>
      </c>
      <c r="F5561" s="2">
        <v>0</v>
      </c>
      <c r="H5561">
        <v>0</v>
      </c>
      <c r="I5561">
        <v>0.1741125760648204</v>
      </c>
      <c r="J5561">
        <v>0</v>
      </c>
      <c r="K5561">
        <v>0</v>
      </c>
      <c r="L5561" s="2">
        <v>0</v>
      </c>
      <c r="M5561">
        <v>56.39</v>
      </c>
      <c r="N5561" t="s">
        <v>10236</v>
      </c>
    </row>
    <row r="5562" spans="1:14">
      <c r="A5562" t="s">
        <v>196</v>
      </c>
      <c r="B5562" t="s">
        <v>5671</v>
      </c>
      <c r="C5562">
        <f>"col3"</f>
        <v>0</v>
      </c>
      <c r="D5562">
        <v>0</v>
      </c>
      <c r="E5562">
        <v>12</v>
      </c>
      <c r="F5562" s="2">
        <v>1</v>
      </c>
      <c r="H5562">
        <v>0</v>
      </c>
      <c r="I5562">
        <v>0.1741125760648204</v>
      </c>
      <c r="J5562">
        <v>0</v>
      </c>
      <c r="K5562">
        <v>0</v>
      </c>
      <c r="L5562" s="2">
        <v>0</v>
      </c>
      <c r="M5562">
        <v>56.4</v>
      </c>
      <c r="N5562" t="s">
        <v>10236</v>
      </c>
    </row>
    <row r="5563" spans="1:14">
      <c r="A5563" t="s">
        <v>196</v>
      </c>
      <c r="B5563" t="s">
        <v>5672</v>
      </c>
      <c r="C5563">
        <f>"COL1"</f>
        <v>0</v>
      </c>
      <c r="D5563">
        <v>0</v>
      </c>
      <c r="E5563">
        <v>2</v>
      </c>
      <c r="F5563" s="2">
        <v>1</v>
      </c>
      <c r="H5563">
        <v>0</v>
      </c>
      <c r="I5563">
        <v>0.1741125760648204</v>
      </c>
      <c r="J5563">
        <v>0</v>
      </c>
      <c r="K5563">
        <v>0</v>
      </c>
      <c r="L5563" s="2">
        <v>0</v>
      </c>
      <c r="M5563">
        <v>56.41</v>
      </c>
      <c r="N5563" t="s">
        <v>10236</v>
      </c>
    </row>
    <row r="5564" spans="1:14">
      <c r="A5564" t="s">
        <v>196</v>
      </c>
      <c r="B5564" t="s">
        <v>5673</v>
      </c>
      <c r="C5564">
        <f>"2066"</f>
        <v>0</v>
      </c>
      <c r="D5564">
        <v>0</v>
      </c>
      <c r="E5564">
        <v>0</v>
      </c>
      <c r="F5564" s="2">
        <v>0</v>
      </c>
      <c r="H5564">
        <v>0</v>
      </c>
      <c r="I5564">
        <v>0.1741125760648204</v>
      </c>
      <c r="J5564">
        <v>0</v>
      </c>
      <c r="K5564">
        <v>0</v>
      </c>
      <c r="L5564" s="2">
        <v>0</v>
      </c>
      <c r="M5564">
        <v>56.42</v>
      </c>
      <c r="N5564" t="s">
        <v>10236</v>
      </c>
    </row>
    <row r="5565" spans="1:14">
      <c r="A5565" t="s">
        <v>38</v>
      </c>
      <c r="B5565" t="s">
        <v>5674</v>
      </c>
      <c r="C5565">
        <f>"1003799"</f>
        <v>0</v>
      </c>
      <c r="D5565">
        <v>0</v>
      </c>
      <c r="E5565">
        <v>0</v>
      </c>
      <c r="F5565" s="2">
        <v>0</v>
      </c>
      <c r="H5565">
        <v>0</v>
      </c>
      <c r="I5565">
        <v>0.1741125760648204</v>
      </c>
      <c r="J5565">
        <v>0</v>
      </c>
      <c r="K5565">
        <v>0</v>
      </c>
      <c r="L5565" s="2">
        <v>0</v>
      </c>
      <c r="M5565">
        <v>56.42</v>
      </c>
      <c r="N5565" t="s">
        <v>10236</v>
      </c>
    </row>
    <row r="5566" spans="1:14">
      <c r="A5566" t="s">
        <v>38</v>
      </c>
      <c r="B5566" t="s">
        <v>5675</v>
      </c>
      <c r="C5566">
        <f>"BJSS"</f>
        <v>0</v>
      </c>
      <c r="D5566">
        <v>0</v>
      </c>
      <c r="E5566">
        <v>0</v>
      </c>
      <c r="F5566" s="2">
        <v>0</v>
      </c>
      <c r="H5566">
        <v>0</v>
      </c>
      <c r="I5566">
        <v>0.1741125760648204</v>
      </c>
      <c r="J5566">
        <v>0</v>
      </c>
      <c r="K5566">
        <v>0</v>
      </c>
      <c r="L5566" s="2">
        <v>0</v>
      </c>
      <c r="M5566">
        <v>56.43</v>
      </c>
      <c r="N5566" t="s">
        <v>10236</v>
      </c>
    </row>
    <row r="5567" spans="1:14">
      <c r="A5567" t="s">
        <v>38</v>
      </c>
      <c r="B5567" t="s">
        <v>5676</v>
      </c>
      <c r="C5567">
        <f>"BJAD"</f>
        <v>0</v>
      </c>
      <c r="D5567">
        <v>0</v>
      </c>
      <c r="E5567">
        <v>0</v>
      </c>
      <c r="F5567" s="2">
        <v>0</v>
      </c>
      <c r="H5567">
        <v>0</v>
      </c>
      <c r="I5567">
        <v>0.1741125760648204</v>
      </c>
      <c r="J5567">
        <v>0</v>
      </c>
      <c r="K5567">
        <v>0</v>
      </c>
      <c r="L5567" s="2">
        <v>0</v>
      </c>
      <c r="M5567">
        <v>56.44</v>
      </c>
      <c r="N5567" t="s">
        <v>10236</v>
      </c>
    </row>
    <row r="5568" spans="1:14">
      <c r="A5568" t="s">
        <v>38</v>
      </c>
      <c r="B5568" t="s">
        <v>5677</v>
      </c>
      <c r="C5568">
        <f>"2014214"</f>
        <v>0</v>
      </c>
      <c r="D5568">
        <v>0</v>
      </c>
      <c r="E5568">
        <v>4</v>
      </c>
      <c r="F5568" s="2">
        <v>49</v>
      </c>
      <c r="H5568">
        <v>0</v>
      </c>
      <c r="I5568">
        <v>0.1741125760648204</v>
      </c>
      <c r="J5568">
        <v>0</v>
      </c>
      <c r="K5568">
        <v>0</v>
      </c>
      <c r="L5568" s="2">
        <v>0</v>
      </c>
      <c r="M5568">
        <v>56.45</v>
      </c>
      <c r="N5568" t="s">
        <v>10236</v>
      </c>
    </row>
    <row r="5569" spans="1:14">
      <c r="A5569" t="s">
        <v>29</v>
      </c>
      <c r="B5569" t="s">
        <v>5678</v>
      </c>
      <c r="C5569">
        <f>"TR250"</f>
        <v>0</v>
      </c>
      <c r="D5569">
        <v>0</v>
      </c>
      <c r="E5569">
        <v>0</v>
      </c>
      <c r="F5569" s="2">
        <v>0</v>
      </c>
      <c r="H5569">
        <v>0</v>
      </c>
      <c r="I5569">
        <v>0.1741125760648204</v>
      </c>
      <c r="J5569">
        <v>0</v>
      </c>
      <c r="K5569">
        <v>0</v>
      </c>
      <c r="L5569" s="2">
        <v>0</v>
      </c>
      <c r="M5569">
        <v>56.46</v>
      </c>
      <c r="N5569" t="s">
        <v>10236</v>
      </c>
    </row>
    <row r="5570" spans="1:14">
      <c r="A5570" t="s">
        <v>35</v>
      </c>
      <c r="B5570" t="s">
        <v>5679</v>
      </c>
      <c r="C5570">
        <f>"RK38"</f>
        <v>0</v>
      </c>
      <c r="D5570">
        <v>0</v>
      </c>
      <c r="E5570">
        <v>0</v>
      </c>
      <c r="F5570" s="2">
        <v>0</v>
      </c>
      <c r="H5570">
        <v>0</v>
      </c>
      <c r="I5570">
        <v>0.1741125760648204</v>
      </c>
      <c r="J5570">
        <v>0</v>
      </c>
      <c r="K5570">
        <v>0</v>
      </c>
      <c r="L5570" s="2">
        <v>0</v>
      </c>
      <c r="M5570">
        <v>56.47</v>
      </c>
      <c r="N5570" t="s">
        <v>10236</v>
      </c>
    </row>
    <row r="5571" spans="1:14">
      <c r="A5571" t="s">
        <v>35</v>
      </c>
      <c r="B5571" t="s">
        <v>5680</v>
      </c>
      <c r="C5571">
        <f>"ER166"</f>
        <v>0</v>
      </c>
      <c r="D5571">
        <v>0</v>
      </c>
      <c r="E5571">
        <v>3</v>
      </c>
      <c r="F5571" s="2">
        <v>3</v>
      </c>
      <c r="H5571">
        <v>0</v>
      </c>
      <c r="I5571">
        <v>0.1741125760648204</v>
      </c>
      <c r="J5571">
        <v>0</v>
      </c>
      <c r="K5571">
        <v>0</v>
      </c>
      <c r="L5571" s="2">
        <v>0</v>
      </c>
      <c r="M5571">
        <v>56.48</v>
      </c>
      <c r="N5571" t="s">
        <v>10236</v>
      </c>
    </row>
    <row r="5572" spans="1:14">
      <c r="A5572" t="s">
        <v>223</v>
      </c>
      <c r="B5572" t="s">
        <v>5681</v>
      </c>
      <c r="C5572">
        <f>"5502019"</f>
        <v>0</v>
      </c>
      <c r="D5572">
        <v>0</v>
      </c>
      <c r="E5572">
        <v>0</v>
      </c>
      <c r="F5572" s="2">
        <v>0</v>
      </c>
      <c r="H5572">
        <v>0</v>
      </c>
      <c r="I5572">
        <v>0.1741125760648204</v>
      </c>
      <c r="J5572">
        <v>0</v>
      </c>
      <c r="K5572">
        <v>0</v>
      </c>
      <c r="L5572" s="2">
        <v>0</v>
      </c>
      <c r="M5572">
        <v>56.49</v>
      </c>
      <c r="N5572" t="s">
        <v>10236</v>
      </c>
    </row>
    <row r="5573" spans="1:14">
      <c r="A5573" t="s">
        <v>213</v>
      </c>
      <c r="B5573" t="s">
        <v>5682</v>
      </c>
      <c r="C5573">
        <f>"500616"</f>
        <v>0</v>
      </c>
      <c r="D5573">
        <v>0</v>
      </c>
      <c r="E5573">
        <v>0</v>
      </c>
      <c r="F5573" s="2">
        <v>0</v>
      </c>
      <c r="H5573">
        <v>0</v>
      </c>
      <c r="I5573">
        <v>0.1741125760648204</v>
      </c>
      <c r="J5573">
        <v>0</v>
      </c>
      <c r="K5573">
        <v>0</v>
      </c>
      <c r="L5573" s="2">
        <v>0</v>
      </c>
      <c r="M5573">
        <v>56.5</v>
      </c>
      <c r="N5573" t="s">
        <v>10236</v>
      </c>
    </row>
    <row r="5574" spans="1:14">
      <c r="A5574" t="s">
        <v>223</v>
      </c>
      <c r="B5574" t="s">
        <v>5683</v>
      </c>
      <c r="C5574">
        <f>"AY09D"</f>
        <v>0</v>
      </c>
      <c r="D5574">
        <v>0</v>
      </c>
      <c r="E5574">
        <v>0</v>
      </c>
      <c r="F5574" s="2">
        <v>0</v>
      </c>
      <c r="H5574">
        <v>0</v>
      </c>
      <c r="I5574">
        <v>0.1741125760648204</v>
      </c>
      <c r="J5574">
        <v>0</v>
      </c>
      <c r="K5574">
        <v>0</v>
      </c>
      <c r="L5574" s="2">
        <v>0</v>
      </c>
      <c r="M5574">
        <v>56.51</v>
      </c>
      <c r="N5574" t="s">
        <v>10236</v>
      </c>
    </row>
    <row r="5575" spans="1:14">
      <c r="A5575" t="s">
        <v>223</v>
      </c>
      <c r="B5575" t="s">
        <v>5684</v>
      </c>
      <c r="C5575">
        <f>"21100005"</f>
        <v>0</v>
      </c>
      <c r="D5575">
        <v>0</v>
      </c>
      <c r="E5575">
        <v>0</v>
      </c>
      <c r="F5575" s="2">
        <v>0</v>
      </c>
      <c r="H5575">
        <v>0</v>
      </c>
      <c r="I5575">
        <v>0.1741125760648204</v>
      </c>
      <c r="J5575">
        <v>0</v>
      </c>
      <c r="K5575">
        <v>0</v>
      </c>
      <c r="L5575" s="2">
        <v>0</v>
      </c>
      <c r="M5575">
        <v>56.52</v>
      </c>
      <c r="N5575" t="s">
        <v>10236</v>
      </c>
    </row>
    <row r="5576" spans="1:14">
      <c r="A5576" t="s">
        <v>223</v>
      </c>
      <c r="B5576" t="s">
        <v>5685</v>
      </c>
      <c r="C5576">
        <f>"AY08S"</f>
        <v>0</v>
      </c>
      <c r="D5576">
        <v>0</v>
      </c>
      <c r="E5576">
        <v>0</v>
      </c>
      <c r="F5576" s="2">
        <v>0</v>
      </c>
      <c r="H5576">
        <v>0</v>
      </c>
      <c r="I5576">
        <v>0.1741125760648204</v>
      </c>
      <c r="J5576">
        <v>0</v>
      </c>
      <c r="K5576">
        <v>0</v>
      </c>
      <c r="L5576" s="2">
        <v>0</v>
      </c>
      <c r="M5576">
        <v>56.53</v>
      </c>
      <c r="N5576" t="s">
        <v>10236</v>
      </c>
    </row>
    <row r="5577" spans="1:14">
      <c r="A5577" t="s">
        <v>223</v>
      </c>
      <c r="B5577" t="s">
        <v>5686</v>
      </c>
      <c r="C5577">
        <f>"1508952457019"</f>
        <v>0</v>
      </c>
      <c r="D5577">
        <v>0</v>
      </c>
      <c r="E5577">
        <v>0</v>
      </c>
      <c r="F5577" s="2">
        <v>0</v>
      </c>
      <c r="H5577">
        <v>0</v>
      </c>
      <c r="I5577">
        <v>0.1741125760648204</v>
      </c>
      <c r="J5577">
        <v>0</v>
      </c>
      <c r="K5577">
        <v>0</v>
      </c>
      <c r="L5577" s="2">
        <v>0</v>
      </c>
      <c r="M5577">
        <v>56.54</v>
      </c>
      <c r="N5577" t="s">
        <v>10236</v>
      </c>
    </row>
    <row r="5578" spans="1:14">
      <c r="A5578" t="s">
        <v>223</v>
      </c>
      <c r="B5578" t="s">
        <v>5687</v>
      </c>
      <c r="C5578">
        <f>"3653015"</f>
        <v>0</v>
      </c>
      <c r="D5578">
        <v>0</v>
      </c>
      <c r="E5578">
        <v>0</v>
      </c>
      <c r="F5578" s="2">
        <v>0</v>
      </c>
      <c r="H5578">
        <v>0</v>
      </c>
      <c r="I5578">
        <v>0.1741125760648204</v>
      </c>
      <c r="J5578">
        <v>0</v>
      </c>
      <c r="K5578">
        <v>0</v>
      </c>
      <c r="L5578" s="2">
        <v>0</v>
      </c>
      <c r="M5578">
        <v>56.54</v>
      </c>
      <c r="N5578" t="s">
        <v>10236</v>
      </c>
    </row>
    <row r="5579" spans="1:14">
      <c r="A5579" t="s">
        <v>24</v>
      </c>
      <c r="B5579" t="s">
        <v>5688</v>
      </c>
      <c r="C5579">
        <f>"DPI099"</f>
        <v>0</v>
      </c>
      <c r="D5579">
        <v>0</v>
      </c>
      <c r="E5579">
        <v>2</v>
      </c>
      <c r="F5579" s="2">
        <v>4</v>
      </c>
      <c r="H5579">
        <v>0</v>
      </c>
      <c r="I5579">
        <v>0.1741125760648204</v>
      </c>
      <c r="J5579">
        <v>0</v>
      </c>
      <c r="K5579">
        <v>0</v>
      </c>
      <c r="L5579" s="2">
        <v>0</v>
      </c>
      <c r="M5579">
        <v>56.55</v>
      </c>
      <c r="N5579" t="s">
        <v>10236</v>
      </c>
    </row>
    <row r="5580" spans="1:14">
      <c r="A5580" t="s">
        <v>35</v>
      </c>
      <c r="B5580" t="s">
        <v>5689</v>
      </c>
      <c r="C5580">
        <f>"RD001"</f>
        <v>0</v>
      </c>
      <c r="D5580">
        <v>0</v>
      </c>
      <c r="E5580">
        <v>2</v>
      </c>
      <c r="F5580" s="2">
        <v>3</v>
      </c>
      <c r="H5580">
        <v>0</v>
      </c>
      <c r="I5580">
        <v>0.1741125760648204</v>
      </c>
      <c r="J5580">
        <v>0</v>
      </c>
      <c r="K5580">
        <v>0</v>
      </c>
      <c r="L5580" s="2">
        <v>0</v>
      </c>
      <c r="M5580">
        <v>56.56</v>
      </c>
      <c r="N5580" t="s">
        <v>10236</v>
      </c>
    </row>
    <row r="5581" spans="1:14">
      <c r="A5581" t="s">
        <v>35</v>
      </c>
      <c r="B5581" t="s">
        <v>5690</v>
      </c>
      <c r="C5581">
        <f>"HF4"</f>
        <v>0</v>
      </c>
      <c r="D5581">
        <v>0</v>
      </c>
      <c r="E5581">
        <v>0</v>
      </c>
      <c r="F5581" s="2">
        <v>0</v>
      </c>
      <c r="H5581">
        <v>0</v>
      </c>
      <c r="I5581">
        <v>0.1741125760648204</v>
      </c>
      <c r="J5581">
        <v>0</v>
      </c>
      <c r="K5581">
        <v>0</v>
      </c>
      <c r="L5581" s="2">
        <v>0</v>
      </c>
      <c r="M5581">
        <v>56.57</v>
      </c>
      <c r="N5581" t="s">
        <v>10236</v>
      </c>
    </row>
    <row r="5582" spans="1:14">
      <c r="A5582" t="s">
        <v>25</v>
      </c>
      <c r="B5582" t="s">
        <v>5691</v>
      </c>
      <c r="C5582">
        <f>"11634"</f>
        <v>0</v>
      </c>
      <c r="D5582">
        <v>0</v>
      </c>
      <c r="E5582">
        <v>3</v>
      </c>
      <c r="F5582" s="2">
        <v>3</v>
      </c>
      <c r="H5582">
        <v>0</v>
      </c>
      <c r="I5582">
        <v>0.1741125760648204</v>
      </c>
      <c r="J5582">
        <v>0</v>
      </c>
      <c r="K5582">
        <v>0</v>
      </c>
      <c r="L5582" s="2">
        <v>0</v>
      </c>
      <c r="M5582">
        <v>56.58</v>
      </c>
      <c r="N5582" t="s">
        <v>10236</v>
      </c>
    </row>
    <row r="5583" spans="1:14">
      <c r="A5583" t="s">
        <v>35</v>
      </c>
      <c r="B5583" t="s">
        <v>5692</v>
      </c>
      <c r="C5583">
        <f>"EZ3001C"</f>
        <v>0</v>
      </c>
      <c r="D5583">
        <v>0</v>
      </c>
      <c r="E5583">
        <v>0</v>
      </c>
      <c r="F5583" s="2">
        <v>0</v>
      </c>
      <c r="H5583">
        <v>0</v>
      </c>
      <c r="I5583">
        <v>0.1741125760648204</v>
      </c>
      <c r="J5583">
        <v>0</v>
      </c>
      <c r="K5583">
        <v>0</v>
      </c>
      <c r="L5583" s="2">
        <v>0</v>
      </c>
      <c r="M5583">
        <v>56.59</v>
      </c>
      <c r="N5583" t="s">
        <v>10236</v>
      </c>
    </row>
    <row r="5584" spans="1:14">
      <c r="A5584" t="s">
        <v>205</v>
      </c>
      <c r="B5584" t="s">
        <v>5693</v>
      </c>
      <c r="C5584">
        <f>"ROCIADOR"</f>
        <v>0</v>
      </c>
      <c r="D5584">
        <v>0</v>
      </c>
      <c r="E5584">
        <v>1</v>
      </c>
      <c r="F5584" s="2">
        <v>3</v>
      </c>
      <c r="H5584">
        <v>0</v>
      </c>
      <c r="I5584">
        <v>0.1741125760648204</v>
      </c>
      <c r="J5584">
        <v>0</v>
      </c>
      <c r="K5584">
        <v>0</v>
      </c>
      <c r="L5584" s="2">
        <v>0</v>
      </c>
      <c r="M5584">
        <v>56.6</v>
      </c>
      <c r="N5584" t="s">
        <v>10236</v>
      </c>
    </row>
    <row r="5585" spans="1:14">
      <c r="A5585" t="s">
        <v>218</v>
      </c>
      <c r="B5585" t="s">
        <v>5694</v>
      </c>
      <c r="C5585">
        <f>"insdnl0003"</f>
        <v>0</v>
      </c>
      <c r="D5585">
        <v>0</v>
      </c>
      <c r="E5585">
        <v>0</v>
      </c>
      <c r="F5585" s="2">
        <v>0</v>
      </c>
      <c r="H5585">
        <v>0</v>
      </c>
      <c r="I5585">
        <v>0.1741125760648204</v>
      </c>
      <c r="J5585">
        <v>0</v>
      </c>
      <c r="K5585">
        <v>0</v>
      </c>
      <c r="L5585" s="2">
        <v>0</v>
      </c>
      <c r="M5585">
        <v>56.61</v>
      </c>
      <c r="N5585" t="s">
        <v>10236</v>
      </c>
    </row>
    <row r="5586" spans="1:14">
      <c r="A5586" t="s">
        <v>29</v>
      </c>
      <c r="B5586" t="s">
        <v>5695</v>
      </c>
      <c r="C5586">
        <f>"LBL12"</f>
        <v>0</v>
      </c>
      <c r="D5586">
        <v>0</v>
      </c>
      <c r="E5586">
        <v>0</v>
      </c>
      <c r="F5586" s="2">
        <v>0</v>
      </c>
      <c r="H5586">
        <v>0</v>
      </c>
      <c r="I5586">
        <v>0.1741125760648204</v>
      </c>
      <c r="J5586">
        <v>0</v>
      </c>
      <c r="K5586">
        <v>0</v>
      </c>
      <c r="L5586" s="2">
        <v>0</v>
      </c>
      <c r="M5586">
        <v>56.62</v>
      </c>
      <c r="N5586" t="s">
        <v>10236</v>
      </c>
    </row>
    <row r="5587" spans="1:14">
      <c r="A5587" t="s">
        <v>35</v>
      </c>
      <c r="B5587" t="s">
        <v>5696</v>
      </c>
      <c r="C5587">
        <f>"U457"</f>
        <v>0</v>
      </c>
      <c r="D5587">
        <v>0</v>
      </c>
      <c r="E5587">
        <v>10</v>
      </c>
      <c r="F5587" s="2">
        <v>12</v>
      </c>
      <c r="H5587">
        <v>0</v>
      </c>
      <c r="I5587">
        <v>0.1741125760648204</v>
      </c>
      <c r="J5587">
        <v>0</v>
      </c>
      <c r="K5587">
        <v>0</v>
      </c>
      <c r="L5587" s="2">
        <v>0</v>
      </c>
      <c r="M5587">
        <v>56.63</v>
      </c>
      <c r="N5587" t="s">
        <v>10236</v>
      </c>
    </row>
    <row r="5588" spans="1:14">
      <c r="A5588" t="s">
        <v>213</v>
      </c>
      <c r="B5588" t="s">
        <v>5697</v>
      </c>
      <c r="C5588">
        <f>"500610"</f>
        <v>0</v>
      </c>
      <c r="D5588">
        <v>0</v>
      </c>
      <c r="E5588">
        <v>1</v>
      </c>
      <c r="F5588" s="2">
        <v>19</v>
      </c>
      <c r="H5588">
        <v>0</v>
      </c>
      <c r="I5588">
        <v>0.1741125760648204</v>
      </c>
      <c r="J5588">
        <v>0</v>
      </c>
      <c r="K5588">
        <v>0</v>
      </c>
      <c r="L5588" s="2">
        <v>0</v>
      </c>
      <c r="M5588">
        <v>56.64</v>
      </c>
      <c r="N5588" t="s">
        <v>10236</v>
      </c>
    </row>
    <row r="5589" spans="1:14">
      <c r="A5589" t="s">
        <v>223</v>
      </c>
      <c r="B5589" t="s">
        <v>5698</v>
      </c>
      <c r="C5589">
        <f>"1508952411629"</f>
        <v>0</v>
      </c>
      <c r="D5589">
        <v>0</v>
      </c>
      <c r="E5589">
        <v>0</v>
      </c>
      <c r="F5589" s="2">
        <v>0</v>
      </c>
      <c r="H5589">
        <v>0</v>
      </c>
      <c r="I5589">
        <v>0.1741125760648204</v>
      </c>
      <c r="J5589">
        <v>0</v>
      </c>
      <c r="K5589">
        <v>0</v>
      </c>
      <c r="L5589" s="2">
        <v>0</v>
      </c>
      <c r="M5589">
        <v>56.65</v>
      </c>
      <c r="N5589" t="s">
        <v>10236</v>
      </c>
    </row>
    <row r="5590" spans="1:14">
      <c r="A5590" t="s">
        <v>35</v>
      </c>
      <c r="B5590" t="s">
        <v>5699</v>
      </c>
      <c r="C5590">
        <f>"YT012R"</f>
        <v>0</v>
      </c>
      <c r="D5590">
        <v>0</v>
      </c>
      <c r="E5590">
        <v>1</v>
      </c>
      <c r="F5590" s="2">
        <v>12</v>
      </c>
      <c r="H5590">
        <v>0</v>
      </c>
      <c r="I5590">
        <v>0.1741125760648204</v>
      </c>
      <c r="J5590">
        <v>0</v>
      </c>
      <c r="K5590">
        <v>0</v>
      </c>
      <c r="L5590" s="2">
        <v>0</v>
      </c>
      <c r="M5590">
        <v>56.66</v>
      </c>
      <c r="N5590" t="s">
        <v>10236</v>
      </c>
    </row>
    <row r="5591" spans="1:14">
      <c r="A5591" t="s">
        <v>35</v>
      </c>
      <c r="B5591" t="s">
        <v>5700</v>
      </c>
      <c r="C5591">
        <f>"YT012A"</f>
        <v>0</v>
      </c>
      <c r="D5591">
        <v>0</v>
      </c>
      <c r="E5591">
        <v>0</v>
      </c>
      <c r="F5591" s="2">
        <v>0</v>
      </c>
      <c r="H5591">
        <v>0</v>
      </c>
      <c r="I5591">
        <v>0.1741125760648204</v>
      </c>
      <c r="J5591">
        <v>0</v>
      </c>
      <c r="K5591">
        <v>0</v>
      </c>
      <c r="L5591" s="2">
        <v>0</v>
      </c>
      <c r="M5591">
        <v>56.66</v>
      </c>
      <c r="N5591" t="s">
        <v>10236</v>
      </c>
    </row>
    <row r="5592" spans="1:14">
      <c r="A5592" t="s">
        <v>35</v>
      </c>
      <c r="B5592" t="s">
        <v>5701</v>
      </c>
      <c r="C5592">
        <f>"WXD0005"</f>
        <v>0</v>
      </c>
      <c r="D5592">
        <v>0</v>
      </c>
      <c r="E5592">
        <v>1</v>
      </c>
      <c r="F5592" s="2">
        <v>9</v>
      </c>
      <c r="H5592">
        <v>0</v>
      </c>
      <c r="I5592">
        <v>0.1741125760648204</v>
      </c>
      <c r="J5592">
        <v>0</v>
      </c>
      <c r="K5592">
        <v>0</v>
      </c>
      <c r="L5592" s="2">
        <v>0</v>
      </c>
      <c r="M5592">
        <v>56.67</v>
      </c>
      <c r="N5592" t="s">
        <v>10236</v>
      </c>
    </row>
    <row r="5593" spans="1:14">
      <c r="A5593" t="s">
        <v>218</v>
      </c>
      <c r="B5593" t="s">
        <v>5702</v>
      </c>
      <c r="C5593">
        <f>"ALG001"</f>
        <v>0</v>
      </c>
      <c r="D5593">
        <v>0</v>
      </c>
      <c r="E5593">
        <v>0</v>
      </c>
      <c r="F5593" s="2">
        <v>0</v>
      </c>
      <c r="H5593">
        <v>0</v>
      </c>
      <c r="I5593">
        <v>0.1741125760648204</v>
      </c>
      <c r="J5593">
        <v>0</v>
      </c>
      <c r="K5593">
        <v>0</v>
      </c>
      <c r="L5593" s="2">
        <v>0</v>
      </c>
      <c r="M5593">
        <v>56.68</v>
      </c>
      <c r="N5593" t="s">
        <v>10236</v>
      </c>
    </row>
    <row r="5594" spans="1:14">
      <c r="A5594" t="s">
        <v>218</v>
      </c>
      <c r="B5594" t="s">
        <v>5703</v>
      </c>
      <c r="C5594">
        <f>"1004595"</f>
        <v>0</v>
      </c>
      <c r="D5594">
        <v>0</v>
      </c>
      <c r="E5594">
        <v>0</v>
      </c>
      <c r="F5594" s="2">
        <v>0</v>
      </c>
      <c r="H5594">
        <v>0</v>
      </c>
      <c r="I5594">
        <v>0.1741125760648204</v>
      </c>
      <c r="J5594">
        <v>0</v>
      </c>
      <c r="K5594">
        <v>0</v>
      </c>
      <c r="L5594" s="2">
        <v>0</v>
      </c>
      <c r="M5594">
        <v>56.69</v>
      </c>
      <c r="N5594" t="s">
        <v>10236</v>
      </c>
    </row>
    <row r="5595" spans="1:14">
      <c r="A5595" t="s">
        <v>218</v>
      </c>
      <c r="B5595" t="s">
        <v>5704</v>
      </c>
      <c r="C5595">
        <f>"insrtt0023"</f>
        <v>0</v>
      </c>
      <c r="D5595">
        <v>0</v>
      </c>
      <c r="E5595">
        <v>0</v>
      </c>
      <c r="F5595" s="2">
        <v>0</v>
      </c>
      <c r="H5595">
        <v>0</v>
      </c>
      <c r="I5595">
        <v>0.1741125760648204</v>
      </c>
      <c r="J5595">
        <v>0</v>
      </c>
      <c r="K5595">
        <v>0</v>
      </c>
      <c r="L5595" s="2">
        <v>0</v>
      </c>
      <c r="M5595">
        <v>56.7</v>
      </c>
      <c r="N5595" t="s">
        <v>10236</v>
      </c>
    </row>
    <row r="5596" spans="1:14">
      <c r="A5596" t="s">
        <v>25</v>
      </c>
      <c r="B5596" t="s">
        <v>5705</v>
      </c>
      <c r="C5596">
        <f>"ZVP1157"</f>
        <v>0</v>
      </c>
      <c r="D5596">
        <v>0</v>
      </c>
      <c r="E5596">
        <v>0</v>
      </c>
      <c r="F5596" s="2">
        <v>0</v>
      </c>
      <c r="H5596">
        <v>0</v>
      </c>
      <c r="I5596">
        <v>0.1741125760648204</v>
      </c>
      <c r="J5596">
        <v>0</v>
      </c>
      <c r="K5596">
        <v>0</v>
      </c>
      <c r="L5596" s="2">
        <v>0</v>
      </c>
      <c r="M5596">
        <v>56.71</v>
      </c>
      <c r="N5596" t="s">
        <v>10236</v>
      </c>
    </row>
    <row r="5597" spans="1:14">
      <c r="A5597" t="s">
        <v>25</v>
      </c>
      <c r="B5597" t="s">
        <v>5706</v>
      </c>
      <c r="C5597">
        <f>"ZVP1357"</f>
        <v>0</v>
      </c>
      <c r="D5597">
        <v>0</v>
      </c>
      <c r="E5597">
        <v>0</v>
      </c>
      <c r="F5597" s="2">
        <v>0</v>
      </c>
      <c r="H5597">
        <v>0</v>
      </c>
      <c r="I5597">
        <v>0.1741125760648204</v>
      </c>
      <c r="J5597">
        <v>0</v>
      </c>
      <c r="K5597">
        <v>0</v>
      </c>
      <c r="L5597" s="2">
        <v>0</v>
      </c>
      <c r="M5597">
        <v>56.72</v>
      </c>
      <c r="N5597" t="s">
        <v>10236</v>
      </c>
    </row>
    <row r="5598" spans="1:14">
      <c r="A5598" t="s">
        <v>25</v>
      </c>
      <c r="B5598" t="s">
        <v>5707</v>
      </c>
      <c r="C5598">
        <f>"ZVP1857"</f>
        <v>0</v>
      </c>
      <c r="D5598">
        <v>0</v>
      </c>
      <c r="E5598">
        <v>0</v>
      </c>
      <c r="F5598" s="2">
        <v>0</v>
      </c>
      <c r="H5598">
        <v>0</v>
      </c>
      <c r="I5598">
        <v>0.1741125760648204</v>
      </c>
      <c r="J5598">
        <v>0</v>
      </c>
      <c r="K5598">
        <v>0</v>
      </c>
      <c r="L5598" s="2">
        <v>0</v>
      </c>
      <c r="M5598">
        <v>56.73</v>
      </c>
      <c r="N5598" t="s">
        <v>10236</v>
      </c>
    </row>
    <row r="5599" spans="1:14">
      <c r="A5599" t="s">
        <v>223</v>
      </c>
      <c r="B5599" t="s">
        <v>5708</v>
      </c>
      <c r="C5599">
        <f>"BR05G31"</f>
        <v>0</v>
      </c>
      <c r="D5599">
        <v>0</v>
      </c>
      <c r="E5599">
        <v>0</v>
      </c>
      <c r="F5599" s="2">
        <v>0</v>
      </c>
      <c r="H5599">
        <v>0</v>
      </c>
      <c r="I5599">
        <v>0.1741125760648204</v>
      </c>
      <c r="J5599">
        <v>0</v>
      </c>
      <c r="K5599">
        <v>0</v>
      </c>
      <c r="L5599" s="2">
        <v>0</v>
      </c>
      <c r="M5599">
        <v>56.74</v>
      </c>
      <c r="N5599" t="s">
        <v>10236</v>
      </c>
    </row>
    <row r="5600" spans="1:14">
      <c r="A5600" t="s">
        <v>223</v>
      </c>
      <c r="B5600" t="s">
        <v>5709</v>
      </c>
      <c r="C5600">
        <f>"BR28P22"</f>
        <v>0</v>
      </c>
      <c r="D5600">
        <v>0</v>
      </c>
      <c r="E5600">
        <v>0</v>
      </c>
      <c r="F5600" s="2">
        <v>0</v>
      </c>
      <c r="H5600">
        <v>0</v>
      </c>
      <c r="I5600">
        <v>0.1741125760648204</v>
      </c>
      <c r="J5600">
        <v>0</v>
      </c>
      <c r="K5600">
        <v>0</v>
      </c>
      <c r="L5600" s="2">
        <v>0</v>
      </c>
      <c r="M5600">
        <v>56.75</v>
      </c>
      <c r="N5600" t="s">
        <v>10236</v>
      </c>
    </row>
    <row r="5601" spans="1:14">
      <c r="A5601" t="s">
        <v>223</v>
      </c>
      <c r="B5601" t="s">
        <v>5710</v>
      </c>
      <c r="C5601">
        <f>"BR29H21"</f>
        <v>0</v>
      </c>
      <c r="D5601">
        <v>0</v>
      </c>
      <c r="E5601">
        <v>0</v>
      </c>
      <c r="F5601" s="2">
        <v>0</v>
      </c>
      <c r="H5601">
        <v>0</v>
      </c>
      <c r="I5601">
        <v>0.1741125760648204</v>
      </c>
      <c r="J5601">
        <v>0</v>
      </c>
      <c r="K5601">
        <v>0</v>
      </c>
      <c r="L5601" s="2">
        <v>0</v>
      </c>
      <c r="M5601">
        <v>56.76</v>
      </c>
      <c r="N5601" t="s">
        <v>10236</v>
      </c>
    </row>
    <row r="5602" spans="1:14">
      <c r="A5602" t="s">
        <v>223</v>
      </c>
      <c r="B5602" t="s">
        <v>5711</v>
      </c>
      <c r="C5602">
        <f>"BR29X12"</f>
        <v>0</v>
      </c>
      <c r="D5602">
        <v>0</v>
      </c>
      <c r="E5602">
        <v>0</v>
      </c>
      <c r="F5602" s="2">
        <v>0</v>
      </c>
      <c r="H5602">
        <v>0</v>
      </c>
      <c r="I5602">
        <v>0.1741125760648204</v>
      </c>
      <c r="J5602">
        <v>0</v>
      </c>
      <c r="K5602">
        <v>0</v>
      </c>
      <c r="L5602" s="2">
        <v>0</v>
      </c>
      <c r="M5602">
        <v>56.77</v>
      </c>
      <c r="N5602" t="s">
        <v>10236</v>
      </c>
    </row>
    <row r="5603" spans="1:14">
      <c r="A5603" t="s">
        <v>192</v>
      </c>
      <c r="B5603" t="s">
        <v>5712</v>
      </c>
      <c r="C5603">
        <f>"ZVP2157"</f>
        <v>0</v>
      </c>
      <c r="D5603">
        <v>0</v>
      </c>
      <c r="E5603">
        <v>0</v>
      </c>
      <c r="F5603" s="2">
        <v>0</v>
      </c>
      <c r="H5603">
        <v>0</v>
      </c>
      <c r="I5603">
        <v>0.1741125760648204</v>
      </c>
      <c r="J5603">
        <v>0</v>
      </c>
      <c r="K5603">
        <v>0</v>
      </c>
      <c r="L5603" s="2">
        <v>0</v>
      </c>
      <c r="M5603">
        <v>56.78</v>
      </c>
      <c r="N5603" t="s">
        <v>10236</v>
      </c>
    </row>
    <row r="5604" spans="1:14">
      <c r="A5604" t="s">
        <v>35</v>
      </c>
      <c r="B5604" t="s">
        <v>5713</v>
      </c>
      <c r="C5604">
        <f>"KF8302"</f>
        <v>0</v>
      </c>
      <c r="D5604">
        <v>0</v>
      </c>
      <c r="E5604">
        <v>3</v>
      </c>
      <c r="F5604" s="2">
        <v>6</v>
      </c>
      <c r="H5604">
        <v>0</v>
      </c>
      <c r="I5604">
        <v>0.1741125760648204</v>
      </c>
      <c r="J5604">
        <v>0</v>
      </c>
      <c r="K5604">
        <v>0</v>
      </c>
      <c r="L5604" s="2">
        <v>0</v>
      </c>
      <c r="M5604">
        <v>56.78</v>
      </c>
      <c r="N5604" t="s">
        <v>10236</v>
      </c>
    </row>
    <row r="5605" spans="1:14">
      <c r="A5605" t="s">
        <v>25</v>
      </c>
      <c r="B5605" t="s">
        <v>5714</v>
      </c>
      <c r="C5605">
        <f>"NJ08"</f>
        <v>0</v>
      </c>
      <c r="D5605">
        <v>0</v>
      </c>
      <c r="E5605">
        <v>0</v>
      </c>
      <c r="F5605" s="2">
        <v>0</v>
      </c>
      <c r="H5605">
        <v>0</v>
      </c>
      <c r="I5605">
        <v>0.1741125760648204</v>
      </c>
      <c r="J5605">
        <v>0</v>
      </c>
      <c r="K5605">
        <v>0</v>
      </c>
      <c r="L5605" s="2">
        <v>0</v>
      </c>
      <c r="M5605">
        <v>56.79</v>
      </c>
      <c r="N5605" t="s">
        <v>10236</v>
      </c>
    </row>
    <row r="5606" spans="1:14">
      <c r="A5606" t="s">
        <v>25</v>
      </c>
      <c r="B5606" t="s">
        <v>5715</v>
      </c>
      <c r="C5606">
        <f>"NJ03"</f>
        <v>0</v>
      </c>
      <c r="D5606">
        <v>0</v>
      </c>
      <c r="E5606">
        <v>0</v>
      </c>
      <c r="F5606" s="2">
        <v>0</v>
      </c>
      <c r="H5606">
        <v>0</v>
      </c>
      <c r="I5606">
        <v>0.1741125760648204</v>
      </c>
      <c r="J5606">
        <v>0</v>
      </c>
      <c r="K5606">
        <v>0</v>
      </c>
      <c r="L5606" s="2">
        <v>0</v>
      </c>
      <c r="M5606">
        <v>56.8</v>
      </c>
      <c r="N5606" t="s">
        <v>10236</v>
      </c>
    </row>
    <row r="5607" spans="1:14">
      <c r="A5607" t="s">
        <v>192</v>
      </c>
      <c r="B5607" t="s">
        <v>785</v>
      </c>
      <c r="C5607">
        <f>"890107"</f>
        <v>0</v>
      </c>
      <c r="D5607">
        <v>0</v>
      </c>
      <c r="E5607">
        <v>0</v>
      </c>
      <c r="F5607" s="2">
        <v>0</v>
      </c>
      <c r="H5607">
        <v>0</v>
      </c>
      <c r="I5607">
        <v>0.1741125760648204</v>
      </c>
      <c r="J5607">
        <v>0</v>
      </c>
      <c r="K5607">
        <v>0</v>
      </c>
      <c r="L5607" s="2">
        <v>0</v>
      </c>
      <c r="M5607">
        <v>56.81</v>
      </c>
      <c r="N5607" t="s">
        <v>10236</v>
      </c>
    </row>
    <row r="5608" spans="1:14">
      <c r="A5608" t="s">
        <v>35</v>
      </c>
      <c r="B5608" t="s">
        <v>5716</v>
      </c>
      <c r="C5608">
        <f>"029695320538"</f>
        <v>0</v>
      </c>
      <c r="D5608">
        <v>0</v>
      </c>
      <c r="E5608">
        <v>0</v>
      </c>
      <c r="F5608" s="2">
        <v>0</v>
      </c>
      <c r="H5608">
        <v>0</v>
      </c>
      <c r="I5608">
        <v>0.1741125760648204</v>
      </c>
      <c r="J5608">
        <v>0</v>
      </c>
      <c r="K5608">
        <v>0</v>
      </c>
      <c r="L5608" s="2">
        <v>0</v>
      </c>
      <c r="M5608">
        <v>56.82</v>
      </c>
      <c r="N5608" t="s">
        <v>10236</v>
      </c>
    </row>
    <row r="5609" spans="1:14">
      <c r="A5609" t="s">
        <v>35</v>
      </c>
      <c r="B5609" t="s">
        <v>5717</v>
      </c>
      <c r="C5609">
        <f>"029695320545"</f>
        <v>0</v>
      </c>
      <c r="D5609">
        <v>0</v>
      </c>
      <c r="E5609">
        <v>0</v>
      </c>
      <c r="F5609" s="2">
        <v>0</v>
      </c>
      <c r="H5609">
        <v>0</v>
      </c>
      <c r="I5609">
        <v>0.1741125760648204</v>
      </c>
      <c r="J5609">
        <v>0</v>
      </c>
      <c r="K5609">
        <v>0</v>
      </c>
      <c r="L5609" s="2">
        <v>0</v>
      </c>
      <c r="M5609">
        <v>56.83</v>
      </c>
      <c r="N5609" t="s">
        <v>10236</v>
      </c>
    </row>
    <row r="5610" spans="1:14">
      <c r="A5610" t="s">
        <v>35</v>
      </c>
      <c r="B5610" t="s">
        <v>5718</v>
      </c>
      <c r="C5610">
        <f>"029695320521"</f>
        <v>0</v>
      </c>
      <c r="D5610">
        <v>0</v>
      </c>
      <c r="E5610">
        <v>0</v>
      </c>
      <c r="F5610" s="2">
        <v>0</v>
      </c>
      <c r="H5610">
        <v>0</v>
      </c>
      <c r="I5610">
        <v>0.1741125760648204</v>
      </c>
      <c r="J5610">
        <v>0</v>
      </c>
      <c r="K5610">
        <v>0</v>
      </c>
      <c r="L5610" s="2">
        <v>0</v>
      </c>
      <c r="M5610">
        <v>56.84</v>
      </c>
      <c r="N5610" t="s">
        <v>10236</v>
      </c>
    </row>
    <row r="5611" spans="1:14">
      <c r="A5611" t="s">
        <v>32</v>
      </c>
      <c r="B5611" t="s">
        <v>5719</v>
      </c>
      <c r="C5611">
        <f>"CHE041"</f>
        <v>0</v>
      </c>
      <c r="D5611">
        <v>0</v>
      </c>
      <c r="E5611">
        <v>0</v>
      </c>
      <c r="F5611" s="2">
        <v>0</v>
      </c>
      <c r="H5611">
        <v>0</v>
      </c>
      <c r="I5611">
        <v>0.1741125760648204</v>
      </c>
      <c r="J5611">
        <v>0</v>
      </c>
      <c r="K5611">
        <v>0</v>
      </c>
      <c r="L5611" s="2">
        <v>0</v>
      </c>
      <c r="M5611">
        <v>56.85</v>
      </c>
      <c r="N5611" t="s">
        <v>10236</v>
      </c>
    </row>
    <row r="5612" spans="1:14">
      <c r="A5612" t="s">
        <v>218</v>
      </c>
      <c r="B5612" t="s">
        <v>5720</v>
      </c>
      <c r="C5612">
        <f>"is277df"</f>
        <v>0</v>
      </c>
      <c r="D5612">
        <v>0</v>
      </c>
      <c r="E5612">
        <v>0</v>
      </c>
      <c r="F5612" s="2">
        <v>0</v>
      </c>
      <c r="H5612">
        <v>0</v>
      </c>
      <c r="I5612">
        <v>0.1741125760648204</v>
      </c>
      <c r="J5612">
        <v>0</v>
      </c>
      <c r="K5612">
        <v>0</v>
      </c>
      <c r="L5612" s="2">
        <v>0</v>
      </c>
      <c r="M5612">
        <v>56.86</v>
      </c>
      <c r="N5612" t="s">
        <v>10236</v>
      </c>
    </row>
    <row r="5613" spans="1:14">
      <c r="A5613" t="s">
        <v>202</v>
      </c>
      <c r="B5613" t="s">
        <v>5721</v>
      </c>
      <c r="C5613">
        <f>"13201001"</f>
        <v>0</v>
      </c>
      <c r="D5613">
        <v>0</v>
      </c>
      <c r="E5613">
        <v>1</v>
      </c>
      <c r="F5613" s="2">
        <v>14</v>
      </c>
      <c r="H5613">
        <v>0</v>
      </c>
      <c r="I5613">
        <v>0.1741125760648204</v>
      </c>
      <c r="J5613">
        <v>0</v>
      </c>
      <c r="K5613">
        <v>0</v>
      </c>
      <c r="L5613" s="2">
        <v>0</v>
      </c>
      <c r="M5613">
        <v>56.87</v>
      </c>
      <c r="N5613" t="s">
        <v>10236</v>
      </c>
    </row>
    <row r="5614" spans="1:14">
      <c r="A5614" t="s">
        <v>35</v>
      </c>
      <c r="B5614" t="s">
        <v>5722</v>
      </c>
      <c r="C5614">
        <f>"2127"</f>
        <v>0</v>
      </c>
      <c r="D5614">
        <v>0</v>
      </c>
      <c r="E5614">
        <v>0</v>
      </c>
      <c r="F5614" s="2">
        <v>0</v>
      </c>
      <c r="H5614">
        <v>0</v>
      </c>
      <c r="I5614">
        <v>0.1741125760648204</v>
      </c>
      <c r="J5614">
        <v>0</v>
      </c>
      <c r="K5614">
        <v>0</v>
      </c>
      <c r="L5614" s="2">
        <v>0</v>
      </c>
      <c r="M5614">
        <v>56.88</v>
      </c>
      <c r="N5614" t="s">
        <v>10236</v>
      </c>
    </row>
    <row r="5615" spans="1:14">
      <c r="A5615" t="s">
        <v>214</v>
      </c>
      <c r="B5615" t="s">
        <v>5723</v>
      </c>
      <c r="C5615">
        <f>"20742"</f>
        <v>0</v>
      </c>
      <c r="D5615">
        <v>0</v>
      </c>
      <c r="E5615">
        <v>6</v>
      </c>
      <c r="F5615" s="2">
        <v>3</v>
      </c>
      <c r="H5615">
        <v>0</v>
      </c>
      <c r="I5615">
        <v>0.1741125760648204</v>
      </c>
      <c r="J5615">
        <v>0</v>
      </c>
      <c r="K5615">
        <v>0</v>
      </c>
      <c r="L5615" s="2">
        <v>0</v>
      </c>
      <c r="M5615">
        <v>56.89</v>
      </c>
      <c r="N5615" t="s">
        <v>10236</v>
      </c>
    </row>
    <row r="5616" spans="1:14">
      <c r="A5616" t="s">
        <v>35</v>
      </c>
      <c r="B5616" t="s">
        <v>5724</v>
      </c>
      <c r="C5616">
        <f>"BY5632A"</f>
        <v>0</v>
      </c>
      <c r="D5616">
        <v>0</v>
      </c>
      <c r="E5616">
        <v>0</v>
      </c>
      <c r="F5616" s="2">
        <v>0</v>
      </c>
      <c r="H5616">
        <v>0</v>
      </c>
      <c r="I5616">
        <v>0.1741125760648204</v>
      </c>
      <c r="J5616">
        <v>0</v>
      </c>
      <c r="K5616">
        <v>0</v>
      </c>
      <c r="L5616" s="2">
        <v>0</v>
      </c>
      <c r="M5616">
        <v>56.9</v>
      </c>
      <c r="N5616" t="s">
        <v>10236</v>
      </c>
    </row>
    <row r="5617" spans="1:14">
      <c r="A5617" t="s">
        <v>35</v>
      </c>
      <c r="B5617" t="s">
        <v>5725</v>
      </c>
      <c r="C5617">
        <f>"BY5631V"</f>
        <v>0</v>
      </c>
      <c r="D5617">
        <v>0</v>
      </c>
      <c r="E5617">
        <v>0</v>
      </c>
      <c r="F5617" s="2">
        <v>0</v>
      </c>
      <c r="H5617">
        <v>0</v>
      </c>
      <c r="I5617">
        <v>0.1741125760648204</v>
      </c>
      <c r="J5617">
        <v>0</v>
      </c>
      <c r="K5617">
        <v>0</v>
      </c>
      <c r="L5617" s="2">
        <v>0</v>
      </c>
      <c r="M5617">
        <v>56.9</v>
      </c>
      <c r="N5617" t="s">
        <v>10236</v>
      </c>
    </row>
    <row r="5618" spans="1:14">
      <c r="A5618" t="s">
        <v>223</v>
      </c>
      <c r="B5618" t="s">
        <v>5726</v>
      </c>
      <c r="C5618">
        <f>"AT65P15"</f>
        <v>0</v>
      </c>
      <c r="D5618">
        <v>0</v>
      </c>
      <c r="E5618">
        <v>0</v>
      </c>
      <c r="F5618" s="2">
        <v>0</v>
      </c>
      <c r="H5618">
        <v>0</v>
      </c>
      <c r="I5618">
        <v>0.1741125760648204</v>
      </c>
      <c r="J5618">
        <v>0</v>
      </c>
      <c r="K5618">
        <v>0</v>
      </c>
      <c r="L5618" s="2">
        <v>0</v>
      </c>
      <c r="M5618">
        <v>56.91</v>
      </c>
      <c r="N5618" t="s">
        <v>10236</v>
      </c>
    </row>
    <row r="5619" spans="1:14">
      <c r="A5619" t="s">
        <v>35</v>
      </c>
      <c r="B5619" t="s">
        <v>5727</v>
      </c>
      <c r="C5619">
        <f>"ANS31"</f>
        <v>0</v>
      </c>
      <c r="D5619">
        <v>0</v>
      </c>
      <c r="E5619">
        <v>0</v>
      </c>
      <c r="F5619" s="2">
        <v>0</v>
      </c>
      <c r="H5619">
        <v>0</v>
      </c>
      <c r="I5619">
        <v>0.1741125760648204</v>
      </c>
      <c r="J5619">
        <v>0</v>
      </c>
      <c r="K5619">
        <v>0</v>
      </c>
      <c r="L5619" s="2">
        <v>0</v>
      </c>
      <c r="M5619">
        <v>56.92</v>
      </c>
      <c r="N5619" t="s">
        <v>10236</v>
      </c>
    </row>
    <row r="5620" spans="1:14">
      <c r="A5620" t="s">
        <v>218</v>
      </c>
      <c r="B5620" t="s">
        <v>5728</v>
      </c>
      <c r="C5620">
        <f>"is021df"</f>
        <v>0</v>
      </c>
      <c r="D5620">
        <v>0</v>
      </c>
      <c r="E5620">
        <v>0</v>
      </c>
      <c r="F5620" s="2">
        <v>0</v>
      </c>
      <c r="H5620">
        <v>0</v>
      </c>
      <c r="I5620">
        <v>0.1741125760648204</v>
      </c>
      <c r="J5620">
        <v>0</v>
      </c>
      <c r="K5620">
        <v>0</v>
      </c>
      <c r="L5620" s="2">
        <v>0</v>
      </c>
      <c r="M5620">
        <v>56.93</v>
      </c>
      <c r="N5620" t="s">
        <v>10236</v>
      </c>
    </row>
    <row r="5621" spans="1:14">
      <c r="A5621" t="s">
        <v>218</v>
      </c>
      <c r="B5621" t="s">
        <v>5729</v>
      </c>
      <c r="C5621">
        <f>"1003919"</f>
        <v>0</v>
      </c>
      <c r="D5621">
        <v>0</v>
      </c>
      <c r="E5621">
        <v>0</v>
      </c>
      <c r="F5621" s="2">
        <v>0</v>
      </c>
      <c r="H5621">
        <v>0</v>
      </c>
      <c r="I5621">
        <v>0.1741125760648204</v>
      </c>
      <c r="J5621">
        <v>0</v>
      </c>
      <c r="K5621">
        <v>0</v>
      </c>
      <c r="L5621" s="2">
        <v>0</v>
      </c>
      <c r="M5621">
        <v>56.94</v>
      </c>
      <c r="N5621" t="s">
        <v>10236</v>
      </c>
    </row>
    <row r="5622" spans="1:14">
      <c r="A5622" t="s">
        <v>210</v>
      </c>
      <c r="B5622" t="s">
        <v>5730</v>
      </c>
      <c r="C5622">
        <f>"110301021530"</f>
        <v>0</v>
      </c>
      <c r="D5622">
        <v>0</v>
      </c>
      <c r="E5622">
        <v>0</v>
      </c>
      <c r="F5622" s="2">
        <v>0</v>
      </c>
      <c r="H5622">
        <v>0</v>
      </c>
      <c r="I5622">
        <v>0.1741125760648204</v>
      </c>
      <c r="J5622">
        <v>0</v>
      </c>
      <c r="K5622">
        <v>0</v>
      </c>
      <c r="L5622" s="2">
        <v>0</v>
      </c>
      <c r="M5622">
        <v>56.95</v>
      </c>
      <c r="N5622" t="s">
        <v>10236</v>
      </c>
    </row>
    <row r="5623" spans="1:14">
      <c r="A5623" t="s">
        <v>210</v>
      </c>
      <c r="B5623" t="s">
        <v>5731</v>
      </c>
      <c r="C5623">
        <f>"AGPCAB15KG"</f>
        <v>0</v>
      </c>
      <c r="D5623">
        <v>0</v>
      </c>
      <c r="E5623">
        <v>0</v>
      </c>
      <c r="F5623" s="2">
        <v>0</v>
      </c>
      <c r="H5623">
        <v>0</v>
      </c>
      <c r="I5623">
        <v>0.1741125760648204</v>
      </c>
      <c r="J5623">
        <v>0</v>
      </c>
      <c r="K5623">
        <v>0</v>
      </c>
      <c r="L5623" s="2">
        <v>0</v>
      </c>
      <c r="M5623">
        <v>56.96</v>
      </c>
      <c r="N5623" t="s">
        <v>10236</v>
      </c>
    </row>
    <row r="5624" spans="1:14">
      <c r="A5624" t="s">
        <v>210</v>
      </c>
      <c r="B5624" t="s">
        <v>5732</v>
      </c>
      <c r="C5624">
        <f>"7798075343094"</f>
        <v>0</v>
      </c>
      <c r="D5624">
        <v>0</v>
      </c>
      <c r="E5624">
        <v>0</v>
      </c>
      <c r="F5624" s="2">
        <v>0</v>
      </c>
      <c r="H5624">
        <v>0</v>
      </c>
      <c r="I5624">
        <v>0.1741125760648204</v>
      </c>
      <c r="J5624">
        <v>0</v>
      </c>
      <c r="K5624">
        <v>0</v>
      </c>
      <c r="L5624" s="2">
        <v>0</v>
      </c>
      <c r="M5624">
        <v>56.97</v>
      </c>
      <c r="N5624" t="s">
        <v>10236</v>
      </c>
    </row>
    <row r="5625" spans="1:14">
      <c r="A5625" t="s">
        <v>35</v>
      </c>
      <c r="B5625" t="s">
        <v>5733</v>
      </c>
      <c r="C5625">
        <f>"9001163V"</f>
        <v>0</v>
      </c>
      <c r="D5625">
        <v>0</v>
      </c>
      <c r="E5625">
        <v>1</v>
      </c>
      <c r="F5625" s="2">
        <v>981</v>
      </c>
      <c r="H5625">
        <v>0</v>
      </c>
      <c r="I5625">
        <v>0.1741125760648204</v>
      </c>
      <c r="J5625">
        <v>0</v>
      </c>
      <c r="K5625">
        <v>0</v>
      </c>
      <c r="L5625" s="2">
        <v>0</v>
      </c>
      <c r="M5625">
        <v>56.98</v>
      </c>
      <c r="N5625" t="s">
        <v>10236</v>
      </c>
    </row>
    <row r="5626" spans="1:14">
      <c r="A5626" t="s">
        <v>193</v>
      </c>
      <c r="B5626" t="s">
        <v>5734</v>
      </c>
      <c r="C5626">
        <f>"1GA73090"</f>
        <v>0</v>
      </c>
      <c r="D5626">
        <v>0</v>
      </c>
      <c r="E5626">
        <v>0</v>
      </c>
      <c r="F5626" s="2">
        <v>0</v>
      </c>
      <c r="H5626">
        <v>0</v>
      </c>
      <c r="I5626">
        <v>0.1741125760648204</v>
      </c>
      <c r="J5626">
        <v>0</v>
      </c>
      <c r="K5626">
        <v>0</v>
      </c>
      <c r="L5626" s="2">
        <v>0</v>
      </c>
      <c r="M5626">
        <v>56.99</v>
      </c>
      <c r="N5626" t="s">
        <v>10236</v>
      </c>
    </row>
    <row r="5627" spans="1:14">
      <c r="A5627" t="s">
        <v>25</v>
      </c>
      <c r="B5627" t="s">
        <v>5735</v>
      </c>
      <c r="C5627">
        <f>"ZVP1158"</f>
        <v>0</v>
      </c>
      <c r="D5627">
        <v>0</v>
      </c>
      <c r="E5627">
        <v>0</v>
      </c>
      <c r="F5627" s="2">
        <v>0</v>
      </c>
      <c r="H5627">
        <v>0</v>
      </c>
      <c r="I5627">
        <v>0.1741125760648204</v>
      </c>
      <c r="J5627">
        <v>0</v>
      </c>
      <c r="K5627">
        <v>0</v>
      </c>
      <c r="L5627" s="2">
        <v>0</v>
      </c>
      <c r="M5627">
        <v>57</v>
      </c>
      <c r="N5627" t="s">
        <v>10236</v>
      </c>
    </row>
    <row r="5628" spans="1:14">
      <c r="A5628" t="s">
        <v>192</v>
      </c>
      <c r="B5628" t="s">
        <v>5736</v>
      </c>
      <c r="C5628">
        <f>"ZVP2257"</f>
        <v>0</v>
      </c>
      <c r="D5628">
        <v>0</v>
      </c>
      <c r="E5628">
        <v>0</v>
      </c>
      <c r="F5628" s="2">
        <v>0</v>
      </c>
      <c r="H5628">
        <v>0</v>
      </c>
      <c r="I5628">
        <v>0.1741125760648204</v>
      </c>
      <c r="J5628">
        <v>0</v>
      </c>
      <c r="K5628">
        <v>0</v>
      </c>
      <c r="L5628" s="2">
        <v>0</v>
      </c>
      <c r="M5628">
        <v>57.01</v>
      </c>
      <c r="N5628" t="s">
        <v>10236</v>
      </c>
    </row>
    <row r="5629" spans="1:14">
      <c r="A5629" t="s">
        <v>25</v>
      </c>
      <c r="B5629" t="s">
        <v>5737</v>
      </c>
      <c r="C5629">
        <f>"ZVP1657"</f>
        <v>0</v>
      </c>
      <c r="D5629">
        <v>0</v>
      </c>
      <c r="E5629">
        <v>0</v>
      </c>
      <c r="F5629" s="2">
        <v>0</v>
      </c>
      <c r="H5629">
        <v>0</v>
      </c>
      <c r="I5629">
        <v>0.1741125760648204</v>
      </c>
      <c r="J5629">
        <v>0</v>
      </c>
      <c r="K5629">
        <v>0</v>
      </c>
      <c r="L5629" s="2">
        <v>0</v>
      </c>
      <c r="M5629">
        <v>57.01</v>
      </c>
      <c r="N5629" t="s">
        <v>10236</v>
      </c>
    </row>
    <row r="5630" spans="1:14">
      <c r="A5630" t="s">
        <v>192</v>
      </c>
      <c r="B5630" t="s">
        <v>5738</v>
      </c>
      <c r="C5630">
        <f>"ZVP2557"</f>
        <v>0</v>
      </c>
      <c r="D5630">
        <v>0</v>
      </c>
      <c r="E5630">
        <v>0</v>
      </c>
      <c r="F5630" s="2">
        <v>0</v>
      </c>
      <c r="H5630">
        <v>0</v>
      </c>
      <c r="I5630">
        <v>0.1741125760648204</v>
      </c>
      <c r="J5630">
        <v>0</v>
      </c>
      <c r="K5630">
        <v>0</v>
      </c>
      <c r="L5630" s="2">
        <v>0</v>
      </c>
      <c r="M5630">
        <v>57.02</v>
      </c>
      <c r="N5630" t="s">
        <v>10236</v>
      </c>
    </row>
    <row r="5631" spans="1:14">
      <c r="A5631" t="s">
        <v>205</v>
      </c>
      <c r="B5631" t="s">
        <v>5739</v>
      </c>
      <c r="C5631">
        <f>"ProductoPruebaBsale-Beetrack"</f>
        <v>0</v>
      </c>
      <c r="D5631">
        <v>0</v>
      </c>
      <c r="E5631">
        <v>0</v>
      </c>
      <c r="F5631" s="2">
        <v>0</v>
      </c>
      <c r="H5631">
        <v>0</v>
      </c>
      <c r="I5631">
        <v>0.1741125760648204</v>
      </c>
      <c r="J5631">
        <v>0</v>
      </c>
      <c r="K5631">
        <v>0</v>
      </c>
      <c r="L5631" s="2">
        <v>0</v>
      </c>
      <c r="M5631">
        <v>57.03</v>
      </c>
      <c r="N5631" t="s">
        <v>10236</v>
      </c>
    </row>
    <row r="5632" spans="1:14">
      <c r="A5632" t="s">
        <v>196</v>
      </c>
      <c r="B5632" t="s">
        <v>5740</v>
      </c>
      <c r="C5632">
        <f>"2229"</f>
        <v>0</v>
      </c>
      <c r="D5632">
        <v>0</v>
      </c>
      <c r="E5632">
        <v>0</v>
      </c>
      <c r="F5632" s="2">
        <v>0</v>
      </c>
      <c r="H5632">
        <v>0</v>
      </c>
      <c r="I5632">
        <v>0.1741125760648204</v>
      </c>
      <c r="J5632">
        <v>0</v>
      </c>
      <c r="K5632">
        <v>0</v>
      </c>
      <c r="L5632" s="2">
        <v>0</v>
      </c>
      <c r="M5632">
        <v>57.04</v>
      </c>
      <c r="N5632" t="s">
        <v>10236</v>
      </c>
    </row>
    <row r="5633" spans="1:14">
      <c r="A5633" t="s">
        <v>195</v>
      </c>
      <c r="B5633" t="s">
        <v>5741</v>
      </c>
      <c r="C5633">
        <f>"25702358"</f>
        <v>0</v>
      </c>
      <c r="D5633">
        <v>0</v>
      </c>
      <c r="E5633">
        <v>0</v>
      </c>
      <c r="F5633" s="2">
        <v>0</v>
      </c>
      <c r="H5633">
        <v>0</v>
      </c>
      <c r="I5633">
        <v>0.1741125760648204</v>
      </c>
      <c r="J5633">
        <v>0</v>
      </c>
      <c r="K5633">
        <v>0</v>
      </c>
      <c r="L5633" s="2">
        <v>0</v>
      </c>
      <c r="M5633">
        <v>57.05</v>
      </c>
      <c r="N5633" t="s">
        <v>10236</v>
      </c>
    </row>
    <row r="5634" spans="1:14">
      <c r="A5634" t="s">
        <v>35</v>
      </c>
      <c r="B5634" t="s">
        <v>5742</v>
      </c>
      <c r="C5634">
        <f>"ZCM10A"</f>
        <v>0</v>
      </c>
      <c r="D5634">
        <v>0</v>
      </c>
      <c r="E5634">
        <v>0</v>
      </c>
      <c r="F5634" s="2">
        <v>0</v>
      </c>
      <c r="H5634">
        <v>0</v>
      </c>
      <c r="I5634">
        <v>0.1741125760648204</v>
      </c>
      <c r="J5634">
        <v>0</v>
      </c>
      <c r="K5634">
        <v>0</v>
      </c>
      <c r="L5634" s="2">
        <v>0</v>
      </c>
      <c r="M5634">
        <v>57.06</v>
      </c>
      <c r="N5634" t="s">
        <v>10236</v>
      </c>
    </row>
    <row r="5635" spans="1:14">
      <c r="A5635" t="s">
        <v>195</v>
      </c>
      <c r="B5635" t="s">
        <v>5743</v>
      </c>
      <c r="C5635">
        <f>"25702357"</f>
        <v>0</v>
      </c>
      <c r="D5635">
        <v>0</v>
      </c>
      <c r="E5635">
        <v>0</v>
      </c>
      <c r="F5635" s="2">
        <v>0</v>
      </c>
      <c r="H5635">
        <v>0</v>
      </c>
      <c r="I5635">
        <v>0.1741125760648204</v>
      </c>
      <c r="J5635">
        <v>0</v>
      </c>
      <c r="K5635">
        <v>0</v>
      </c>
      <c r="L5635" s="2">
        <v>0</v>
      </c>
      <c r="M5635">
        <v>57.07</v>
      </c>
      <c r="N5635" t="s">
        <v>10236</v>
      </c>
    </row>
    <row r="5636" spans="1:14">
      <c r="A5636" t="s">
        <v>195</v>
      </c>
      <c r="B5636" t="s">
        <v>5744</v>
      </c>
      <c r="C5636">
        <f>"25702397"</f>
        <v>0</v>
      </c>
      <c r="D5636">
        <v>0</v>
      </c>
      <c r="E5636">
        <v>0</v>
      </c>
      <c r="F5636" s="2">
        <v>0</v>
      </c>
      <c r="H5636">
        <v>0</v>
      </c>
      <c r="I5636">
        <v>0.1741125760648204</v>
      </c>
      <c r="J5636">
        <v>0</v>
      </c>
      <c r="K5636">
        <v>0</v>
      </c>
      <c r="L5636" s="2">
        <v>0</v>
      </c>
      <c r="M5636">
        <v>57.08</v>
      </c>
      <c r="N5636" t="s">
        <v>10236</v>
      </c>
    </row>
    <row r="5637" spans="1:14">
      <c r="A5637" t="s">
        <v>195</v>
      </c>
      <c r="B5637" t="s">
        <v>5745</v>
      </c>
      <c r="C5637">
        <f>"25702371"</f>
        <v>0</v>
      </c>
      <c r="D5637">
        <v>0</v>
      </c>
      <c r="E5637">
        <v>0</v>
      </c>
      <c r="F5637" s="2">
        <v>0</v>
      </c>
      <c r="H5637">
        <v>0</v>
      </c>
      <c r="I5637">
        <v>0.1741125760648204</v>
      </c>
      <c r="J5637">
        <v>0</v>
      </c>
      <c r="K5637">
        <v>0</v>
      </c>
      <c r="L5637" s="2">
        <v>0</v>
      </c>
      <c r="M5637">
        <v>57.09</v>
      </c>
      <c r="N5637" t="s">
        <v>10236</v>
      </c>
    </row>
    <row r="5638" spans="1:14">
      <c r="A5638" t="s">
        <v>195</v>
      </c>
      <c r="B5638" t="s">
        <v>5746</v>
      </c>
      <c r="C5638">
        <f>"25702394"</f>
        <v>0</v>
      </c>
      <c r="D5638">
        <v>0</v>
      </c>
      <c r="E5638">
        <v>0</v>
      </c>
      <c r="F5638" s="2">
        <v>0</v>
      </c>
      <c r="H5638">
        <v>0</v>
      </c>
      <c r="I5638">
        <v>0.1741125760648204</v>
      </c>
      <c r="J5638">
        <v>0</v>
      </c>
      <c r="K5638">
        <v>0</v>
      </c>
      <c r="L5638" s="2">
        <v>0</v>
      </c>
      <c r="M5638">
        <v>57.1</v>
      </c>
      <c r="N5638" t="s">
        <v>10236</v>
      </c>
    </row>
    <row r="5639" spans="1:14">
      <c r="A5639" t="s">
        <v>195</v>
      </c>
      <c r="B5639" t="s">
        <v>5747</v>
      </c>
      <c r="C5639">
        <f>"25702346"</f>
        <v>0</v>
      </c>
      <c r="D5639">
        <v>0</v>
      </c>
      <c r="E5639">
        <v>0</v>
      </c>
      <c r="F5639" s="2">
        <v>0</v>
      </c>
      <c r="H5639">
        <v>0</v>
      </c>
      <c r="I5639">
        <v>0.1741125760648204</v>
      </c>
      <c r="J5639">
        <v>0</v>
      </c>
      <c r="K5639">
        <v>0</v>
      </c>
      <c r="L5639" s="2">
        <v>0</v>
      </c>
      <c r="M5639">
        <v>57.11</v>
      </c>
      <c r="N5639" t="s">
        <v>10236</v>
      </c>
    </row>
    <row r="5640" spans="1:14">
      <c r="A5640" t="s">
        <v>195</v>
      </c>
      <c r="B5640" t="s">
        <v>5748</v>
      </c>
      <c r="C5640">
        <f>"25702347"</f>
        <v>0</v>
      </c>
      <c r="D5640">
        <v>0</v>
      </c>
      <c r="E5640">
        <v>0</v>
      </c>
      <c r="F5640" s="2">
        <v>0</v>
      </c>
      <c r="H5640">
        <v>0</v>
      </c>
      <c r="I5640">
        <v>0.1741125760648204</v>
      </c>
      <c r="J5640">
        <v>0</v>
      </c>
      <c r="K5640">
        <v>0</v>
      </c>
      <c r="L5640" s="2">
        <v>0</v>
      </c>
      <c r="M5640">
        <v>57.12</v>
      </c>
      <c r="N5640" t="s">
        <v>10236</v>
      </c>
    </row>
    <row r="5641" spans="1:14">
      <c r="A5641" t="s">
        <v>195</v>
      </c>
      <c r="B5641" t="s">
        <v>5749</v>
      </c>
      <c r="C5641">
        <f>"25570756"</f>
        <v>0</v>
      </c>
      <c r="D5641">
        <v>0</v>
      </c>
      <c r="E5641">
        <v>0</v>
      </c>
      <c r="F5641" s="2">
        <v>0</v>
      </c>
      <c r="H5641">
        <v>0</v>
      </c>
      <c r="I5641">
        <v>0.1741125760648204</v>
      </c>
      <c r="J5641">
        <v>0</v>
      </c>
      <c r="K5641">
        <v>0</v>
      </c>
      <c r="L5641" s="2">
        <v>0</v>
      </c>
      <c r="M5641">
        <v>57.13</v>
      </c>
      <c r="N5641" t="s">
        <v>10236</v>
      </c>
    </row>
    <row r="5642" spans="1:14">
      <c r="A5642" t="s">
        <v>195</v>
      </c>
      <c r="B5642" t="s">
        <v>5750</v>
      </c>
      <c r="C5642">
        <f>"25702380"</f>
        <v>0</v>
      </c>
      <c r="D5642">
        <v>0</v>
      </c>
      <c r="E5642">
        <v>0</v>
      </c>
      <c r="F5642" s="2">
        <v>0</v>
      </c>
      <c r="H5642">
        <v>0</v>
      </c>
      <c r="I5642">
        <v>0.1741125760648204</v>
      </c>
      <c r="J5642">
        <v>0</v>
      </c>
      <c r="K5642">
        <v>0</v>
      </c>
      <c r="L5642" s="2">
        <v>0</v>
      </c>
      <c r="M5642">
        <v>57.13</v>
      </c>
      <c r="N5642" t="s">
        <v>10236</v>
      </c>
    </row>
    <row r="5643" spans="1:14">
      <c r="A5643" t="s">
        <v>195</v>
      </c>
      <c r="B5643" t="s">
        <v>5751</v>
      </c>
      <c r="C5643">
        <f>"25395688"</f>
        <v>0</v>
      </c>
      <c r="D5643">
        <v>0</v>
      </c>
      <c r="E5643">
        <v>0</v>
      </c>
      <c r="F5643" s="2">
        <v>0</v>
      </c>
      <c r="H5643">
        <v>0</v>
      </c>
      <c r="I5643">
        <v>0.1741125760648204</v>
      </c>
      <c r="J5643">
        <v>0</v>
      </c>
      <c r="K5643">
        <v>0</v>
      </c>
      <c r="L5643" s="2">
        <v>0</v>
      </c>
      <c r="M5643">
        <v>57.14</v>
      </c>
      <c r="N5643" t="s">
        <v>10236</v>
      </c>
    </row>
    <row r="5644" spans="1:14">
      <c r="A5644" t="s">
        <v>195</v>
      </c>
      <c r="B5644" t="s">
        <v>5752</v>
      </c>
      <c r="C5644">
        <f>"25395689"</f>
        <v>0</v>
      </c>
      <c r="D5644">
        <v>0</v>
      </c>
      <c r="E5644">
        <v>0</v>
      </c>
      <c r="F5644" s="2">
        <v>0</v>
      </c>
      <c r="H5644">
        <v>0</v>
      </c>
      <c r="I5644">
        <v>0.1741125760648204</v>
      </c>
      <c r="J5644">
        <v>0</v>
      </c>
      <c r="K5644">
        <v>0</v>
      </c>
      <c r="L5644" s="2">
        <v>0</v>
      </c>
      <c r="M5644">
        <v>57.15</v>
      </c>
      <c r="N5644" t="s">
        <v>10236</v>
      </c>
    </row>
    <row r="5645" spans="1:14">
      <c r="A5645" t="s">
        <v>195</v>
      </c>
      <c r="B5645" t="s">
        <v>5753</v>
      </c>
      <c r="C5645">
        <f>"25395687"</f>
        <v>0</v>
      </c>
      <c r="D5645">
        <v>0</v>
      </c>
      <c r="E5645">
        <v>0</v>
      </c>
      <c r="F5645" s="2">
        <v>0</v>
      </c>
      <c r="H5645">
        <v>0</v>
      </c>
      <c r="I5645">
        <v>0.1741125760648204</v>
      </c>
      <c r="J5645">
        <v>0</v>
      </c>
      <c r="K5645">
        <v>0</v>
      </c>
      <c r="L5645" s="2">
        <v>0</v>
      </c>
      <c r="M5645">
        <v>57.16</v>
      </c>
      <c r="N5645" t="s">
        <v>10236</v>
      </c>
    </row>
    <row r="5646" spans="1:14">
      <c r="A5646" t="s">
        <v>25</v>
      </c>
      <c r="B5646" t="s">
        <v>5754</v>
      </c>
      <c r="C5646">
        <f>"ZVP1257"</f>
        <v>0</v>
      </c>
      <c r="D5646">
        <v>0</v>
      </c>
      <c r="E5646">
        <v>0</v>
      </c>
      <c r="F5646" s="2">
        <v>0</v>
      </c>
      <c r="H5646">
        <v>0</v>
      </c>
      <c r="I5646">
        <v>0.1741125760648204</v>
      </c>
      <c r="J5646">
        <v>0</v>
      </c>
      <c r="K5646">
        <v>0</v>
      </c>
      <c r="L5646" s="2">
        <v>0</v>
      </c>
      <c r="M5646">
        <v>57.17</v>
      </c>
      <c r="N5646" t="s">
        <v>10236</v>
      </c>
    </row>
    <row r="5647" spans="1:14">
      <c r="A5647" t="s">
        <v>25</v>
      </c>
      <c r="B5647" t="s">
        <v>5755</v>
      </c>
      <c r="C5647">
        <f>"ZVP5150"</f>
        <v>0</v>
      </c>
      <c r="D5647">
        <v>0</v>
      </c>
      <c r="E5647">
        <v>0</v>
      </c>
      <c r="F5647" s="2">
        <v>0</v>
      </c>
      <c r="H5647">
        <v>0</v>
      </c>
      <c r="I5647">
        <v>0.1741125760648204</v>
      </c>
      <c r="J5647">
        <v>0</v>
      </c>
      <c r="K5647">
        <v>0</v>
      </c>
      <c r="L5647" s="2">
        <v>0</v>
      </c>
      <c r="M5647">
        <v>57.18</v>
      </c>
      <c r="N5647" t="s">
        <v>10236</v>
      </c>
    </row>
    <row r="5648" spans="1:14">
      <c r="A5648" t="s">
        <v>25</v>
      </c>
      <c r="B5648" t="s">
        <v>5756</v>
      </c>
      <c r="C5648">
        <f>"ZVP5160"</f>
        <v>0</v>
      </c>
      <c r="D5648">
        <v>0</v>
      </c>
      <c r="E5648">
        <v>0</v>
      </c>
      <c r="F5648" s="2">
        <v>0</v>
      </c>
      <c r="H5648">
        <v>0</v>
      </c>
      <c r="I5648">
        <v>0.1741125760648204</v>
      </c>
      <c r="J5648">
        <v>0</v>
      </c>
      <c r="K5648">
        <v>0</v>
      </c>
      <c r="L5648" s="2">
        <v>0</v>
      </c>
      <c r="M5648">
        <v>57.19</v>
      </c>
      <c r="N5648" t="s">
        <v>10236</v>
      </c>
    </row>
    <row r="5649" spans="1:14">
      <c r="A5649" t="s">
        <v>35</v>
      </c>
      <c r="B5649" t="s">
        <v>5757</v>
      </c>
      <c r="C5649">
        <f>"ZCM10N"</f>
        <v>0</v>
      </c>
      <c r="D5649">
        <v>0</v>
      </c>
      <c r="E5649">
        <v>0</v>
      </c>
      <c r="F5649" s="2">
        <v>0</v>
      </c>
      <c r="H5649">
        <v>0</v>
      </c>
      <c r="I5649">
        <v>0.1741125760648204</v>
      </c>
      <c r="J5649">
        <v>0</v>
      </c>
      <c r="K5649">
        <v>0</v>
      </c>
      <c r="L5649" s="2">
        <v>0</v>
      </c>
      <c r="M5649">
        <v>57.2</v>
      </c>
      <c r="N5649" t="s">
        <v>10236</v>
      </c>
    </row>
    <row r="5650" spans="1:14">
      <c r="A5650" t="s">
        <v>195</v>
      </c>
      <c r="B5650" t="s">
        <v>5758</v>
      </c>
      <c r="C5650">
        <f>"25702359"</f>
        <v>0</v>
      </c>
      <c r="D5650">
        <v>0</v>
      </c>
      <c r="E5650">
        <v>0</v>
      </c>
      <c r="F5650" s="2">
        <v>0</v>
      </c>
      <c r="H5650">
        <v>0</v>
      </c>
      <c r="I5650">
        <v>0.1741125760648204</v>
      </c>
      <c r="J5650">
        <v>0</v>
      </c>
      <c r="K5650">
        <v>0</v>
      </c>
      <c r="L5650" s="2">
        <v>0</v>
      </c>
      <c r="M5650">
        <v>57.21</v>
      </c>
      <c r="N5650" t="s">
        <v>10236</v>
      </c>
    </row>
    <row r="5651" spans="1:14">
      <c r="A5651" t="s">
        <v>194</v>
      </c>
      <c r="B5651" t="s">
        <v>5759</v>
      </c>
      <c r="C5651">
        <f>"7016062"</f>
        <v>0</v>
      </c>
      <c r="D5651">
        <v>0</v>
      </c>
      <c r="E5651">
        <v>3</v>
      </c>
      <c r="F5651" s="2">
        <v>0</v>
      </c>
      <c r="H5651">
        <v>0</v>
      </c>
      <c r="I5651">
        <v>0.1741125760648204</v>
      </c>
      <c r="J5651">
        <v>0</v>
      </c>
      <c r="K5651">
        <v>0</v>
      </c>
      <c r="L5651" s="2">
        <v>0</v>
      </c>
      <c r="M5651">
        <v>57.22</v>
      </c>
      <c r="N5651" t="s">
        <v>10236</v>
      </c>
    </row>
    <row r="5652" spans="1:14">
      <c r="A5652" t="s">
        <v>35</v>
      </c>
      <c r="B5652" t="s">
        <v>5760</v>
      </c>
      <c r="C5652">
        <f>"JDC21"</f>
        <v>0</v>
      </c>
      <c r="D5652">
        <v>0</v>
      </c>
      <c r="E5652">
        <v>7</v>
      </c>
      <c r="F5652" s="2">
        <v>2</v>
      </c>
      <c r="H5652">
        <v>0</v>
      </c>
      <c r="I5652">
        <v>0.1741125760648204</v>
      </c>
      <c r="J5652">
        <v>0</v>
      </c>
      <c r="K5652">
        <v>0</v>
      </c>
      <c r="L5652" s="2">
        <v>0</v>
      </c>
      <c r="M5652">
        <v>57.23</v>
      </c>
      <c r="N5652" t="s">
        <v>10236</v>
      </c>
    </row>
    <row r="5653" spans="1:14">
      <c r="A5653" t="s">
        <v>195</v>
      </c>
      <c r="B5653" t="s">
        <v>5761</v>
      </c>
      <c r="C5653">
        <f>"25027189"</f>
        <v>0</v>
      </c>
      <c r="D5653">
        <v>0</v>
      </c>
      <c r="E5653">
        <v>0</v>
      </c>
      <c r="F5653" s="2">
        <v>0</v>
      </c>
      <c r="H5653">
        <v>0</v>
      </c>
      <c r="I5653">
        <v>0.1741125760648204</v>
      </c>
      <c r="J5653">
        <v>0</v>
      </c>
      <c r="K5653">
        <v>0</v>
      </c>
      <c r="L5653" s="2">
        <v>0</v>
      </c>
      <c r="M5653">
        <v>57.24</v>
      </c>
      <c r="N5653" t="s">
        <v>10236</v>
      </c>
    </row>
    <row r="5654" spans="1:14">
      <c r="A5654" t="s">
        <v>35</v>
      </c>
      <c r="B5654" t="s">
        <v>5762</v>
      </c>
      <c r="C5654">
        <f>"YP33XXLM"</f>
        <v>0</v>
      </c>
      <c r="D5654">
        <v>0</v>
      </c>
      <c r="E5654">
        <v>1</v>
      </c>
      <c r="F5654" s="2">
        <v>2</v>
      </c>
      <c r="H5654">
        <v>0</v>
      </c>
      <c r="I5654">
        <v>0.1741125760648204</v>
      </c>
      <c r="J5654">
        <v>0</v>
      </c>
      <c r="K5654">
        <v>0</v>
      </c>
      <c r="L5654" s="2">
        <v>0</v>
      </c>
      <c r="M5654">
        <v>57.25</v>
      </c>
      <c r="N5654" t="s">
        <v>10236</v>
      </c>
    </row>
    <row r="5655" spans="1:14">
      <c r="A5655" t="s">
        <v>35</v>
      </c>
      <c r="B5655" t="s">
        <v>5763</v>
      </c>
      <c r="C5655">
        <f>"YP33SB"</f>
        <v>0</v>
      </c>
      <c r="D5655">
        <v>0</v>
      </c>
      <c r="E5655">
        <v>0</v>
      </c>
      <c r="F5655" s="2">
        <v>0</v>
      </c>
      <c r="H5655">
        <v>0</v>
      </c>
      <c r="I5655">
        <v>0.1741125760648204</v>
      </c>
      <c r="J5655">
        <v>0</v>
      </c>
      <c r="K5655">
        <v>0</v>
      </c>
      <c r="L5655" s="2">
        <v>0</v>
      </c>
      <c r="M5655">
        <v>57.25</v>
      </c>
      <c r="N5655" t="s">
        <v>10236</v>
      </c>
    </row>
    <row r="5656" spans="1:14">
      <c r="A5656" t="s">
        <v>35</v>
      </c>
      <c r="B5656" t="s">
        <v>5764</v>
      </c>
      <c r="C5656">
        <f>"YP33LB"</f>
        <v>0</v>
      </c>
      <c r="D5656">
        <v>0</v>
      </c>
      <c r="E5656">
        <v>0</v>
      </c>
      <c r="F5656" s="2">
        <v>0</v>
      </c>
      <c r="H5656">
        <v>0</v>
      </c>
      <c r="I5656">
        <v>0.1741125760648204</v>
      </c>
      <c r="J5656">
        <v>0</v>
      </c>
      <c r="K5656">
        <v>0</v>
      </c>
      <c r="L5656" s="2">
        <v>0</v>
      </c>
      <c r="M5656">
        <v>57.26</v>
      </c>
      <c r="N5656" t="s">
        <v>10236</v>
      </c>
    </row>
    <row r="5657" spans="1:14">
      <c r="A5657" t="s">
        <v>35</v>
      </c>
      <c r="B5657" t="s">
        <v>5765</v>
      </c>
      <c r="C5657">
        <f>"YP333XLM"</f>
        <v>0</v>
      </c>
      <c r="D5657">
        <v>0</v>
      </c>
      <c r="E5657">
        <v>2</v>
      </c>
      <c r="F5657" s="2">
        <v>3</v>
      </c>
      <c r="H5657">
        <v>0</v>
      </c>
      <c r="I5657">
        <v>0.1741125760648204</v>
      </c>
      <c r="J5657">
        <v>0</v>
      </c>
      <c r="K5657">
        <v>0</v>
      </c>
      <c r="L5657" s="2">
        <v>0</v>
      </c>
      <c r="M5657">
        <v>57.27</v>
      </c>
      <c r="N5657" t="s">
        <v>10236</v>
      </c>
    </row>
    <row r="5658" spans="1:14">
      <c r="A5658" t="s">
        <v>35</v>
      </c>
      <c r="B5658" t="s">
        <v>5766</v>
      </c>
      <c r="C5658">
        <f>"109977"</f>
        <v>0</v>
      </c>
      <c r="D5658">
        <v>0</v>
      </c>
      <c r="E5658">
        <v>0</v>
      </c>
      <c r="F5658" s="2">
        <v>0</v>
      </c>
      <c r="H5658">
        <v>0</v>
      </c>
      <c r="I5658">
        <v>0.1741125760648204</v>
      </c>
      <c r="J5658">
        <v>0</v>
      </c>
      <c r="K5658">
        <v>0</v>
      </c>
      <c r="L5658" s="2">
        <v>0</v>
      </c>
      <c r="M5658">
        <v>57.28</v>
      </c>
      <c r="N5658" t="s">
        <v>10236</v>
      </c>
    </row>
    <row r="5659" spans="1:14">
      <c r="A5659" t="s">
        <v>25</v>
      </c>
      <c r="B5659" t="s">
        <v>5767</v>
      </c>
      <c r="C5659">
        <f>"ND01100"</f>
        <v>0</v>
      </c>
      <c r="D5659">
        <v>0</v>
      </c>
      <c r="E5659">
        <v>0</v>
      </c>
      <c r="F5659" s="2">
        <v>0</v>
      </c>
      <c r="H5659">
        <v>0</v>
      </c>
      <c r="I5659">
        <v>0.1741125760648204</v>
      </c>
      <c r="J5659">
        <v>0</v>
      </c>
      <c r="K5659">
        <v>0</v>
      </c>
      <c r="L5659" s="2">
        <v>0</v>
      </c>
      <c r="M5659">
        <v>57.29</v>
      </c>
      <c r="N5659" t="s">
        <v>10236</v>
      </c>
    </row>
    <row r="5660" spans="1:14">
      <c r="A5660" t="s">
        <v>25</v>
      </c>
      <c r="B5660" t="s">
        <v>5768</v>
      </c>
      <c r="C5660">
        <f>"ND210501"</f>
        <v>0</v>
      </c>
      <c r="D5660">
        <v>0</v>
      </c>
      <c r="E5660">
        <v>0</v>
      </c>
      <c r="F5660" s="2">
        <v>0</v>
      </c>
      <c r="H5660">
        <v>0</v>
      </c>
      <c r="I5660">
        <v>0.1741125760648204</v>
      </c>
      <c r="J5660">
        <v>0</v>
      </c>
      <c r="K5660">
        <v>0</v>
      </c>
      <c r="L5660" s="2">
        <v>0</v>
      </c>
      <c r="M5660">
        <v>57.3</v>
      </c>
      <c r="N5660" t="s">
        <v>10236</v>
      </c>
    </row>
    <row r="5661" spans="1:14">
      <c r="A5661" t="s">
        <v>25</v>
      </c>
      <c r="B5661" t="s">
        <v>5769</v>
      </c>
      <c r="C5661">
        <f>"ND211001"</f>
        <v>0</v>
      </c>
      <c r="D5661">
        <v>0</v>
      </c>
      <c r="E5661">
        <v>0</v>
      </c>
      <c r="F5661" s="2">
        <v>0</v>
      </c>
      <c r="H5661">
        <v>0</v>
      </c>
      <c r="I5661">
        <v>0.1741125760648204</v>
      </c>
      <c r="J5661">
        <v>0</v>
      </c>
      <c r="K5661">
        <v>0</v>
      </c>
      <c r="L5661" s="2">
        <v>0</v>
      </c>
      <c r="M5661">
        <v>57.31</v>
      </c>
      <c r="N5661" t="s">
        <v>10236</v>
      </c>
    </row>
    <row r="5662" spans="1:14">
      <c r="A5662" t="s">
        <v>39</v>
      </c>
      <c r="B5662" t="s">
        <v>5770</v>
      </c>
      <c r="C5662">
        <f>"VALIM01001"</f>
        <v>0</v>
      </c>
      <c r="D5662">
        <v>0</v>
      </c>
      <c r="E5662">
        <v>3</v>
      </c>
      <c r="F5662" s="2">
        <v>12</v>
      </c>
      <c r="H5662">
        <v>0</v>
      </c>
      <c r="I5662">
        <v>0.1741125760648204</v>
      </c>
      <c r="J5662">
        <v>0</v>
      </c>
      <c r="K5662">
        <v>0</v>
      </c>
      <c r="L5662" s="2">
        <v>0</v>
      </c>
      <c r="M5662">
        <v>57.32</v>
      </c>
      <c r="N5662" t="s">
        <v>10236</v>
      </c>
    </row>
    <row r="5663" spans="1:14">
      <c r="A5663" t="s">
        <v>25</v>
      </c>
      <c r="B5663" t="s">
        <v>5771</v>
      </c>
      <c r="C5663">
        <f>"ZVP5110"</f>
        <v>0</v>
      </c>
      <c r="D5663">
        <v>0</v>
      </c>
      <c r="E5663">
        <v>0</v>
      </c>
      <c r="F5663" s="2">
        <v>0</v>
      </c>
      <c r="H5663">
        <v>0</v>
      </c>
      <c r="I5663">
        <v>0.1741125760648204</v>
      </c>
      <c r="J5663">
        <v>0</v>
      </c>
      <c r="K5663">
        <v>0</v>
      </c>
      <c r="L5663" s="2">
        <v>0</v>
      </c>
      <c r="M5663">
        <v>57.33</v>
      </c>
      <c r="N5663" t="s">
        <v>10236</v>
      </c>
    </row>
    <row r="5664" spans="1:14">
      <c r="A5664" t="s">
        <v>25</v>
      </c>
      <c r="B5664" t="s">
        <v>5772</v>
      </c>
      <c r="C5664">
        <f>"ZVP5120"</f>
        <v>0</v>
      </c>
      <c r="D5664">
        <v>0</v>
      </c>
      <c r="E5664">
        <v>0</v>
      </c>
      <c r="F5664" s="2">
        <v>0</v>
      </c>
      <c r="H5664">
        <v>0</v>
      </c>
      <c r="I5664">
        <v>0.1741125760648204</v>
      </c>
      <c r="J5664">
        <v>0</v>
      </c>
      <c r="K5664">
        <v>0</v>
      </c>
      <c r="L5664" s="2">
        <v>0</v>
      </c>
      <c r="M5664">
        <v>57.34</v>
      </c>
      <c r="N5664" t="s">
        <v>10236</v>
      </c>
    </row>
    <row r="5665" spans="1:14">
      <c r="A5665" t="s">
        <v>223</v>
      </c>
      <c r="B5665" t="s">
        <v>5773</v>
      </c>
      <c r="C5665">
        <f>"AT66X18"</f>
        <v>0</v>
      </c>
      <c r="D5665">
        <v>0</v>
      </c>
      <c r="E5665">
        <v>0</v>
      </c>
      <c r="F5665" s="2">
        <v>0</v>
      </c>
      <c r="H5665">
        <v>0</v>
      </c>
      <c r="I5665">
        <v>0.1741125760648204</v>
      </c>
      <c r="J5665">
        <v>0</v>
      </c>
      <c r="K5665">
        <v>0</v>
      </c>
      <c r="L5665" s="2">
        <v>0</v>
      </c>
      <c r="M5665">
        <v>57.35</v>
      </c>
      <c r="N5665" t="s">
        <v>10236</v>
      </c>
    </row>
    <row r="5666" spans="1:14">
      <c r="A5666" t="s">
        <v>35</v>
      </c>
      <c r="B5666" t="s">
        <v>5774</v>
      </c>
      <c r="C5666">
        <f>"BL6"</f>
        <v>0</v>
      </c>
      <c r="D5666">
        <v>0</v>
      </c>
      <c r="E5666">
        <v>1</v>
      </c>
      <c r="F5666" s="2">
        <v>50</v>
      </c>
      <c r="H5666">
        <v>0</v>
      </c>
      <c r="I5666">
        <v>0.1741125760648204</v>
      </c>
      <c r="J5666">
        <v>0</v>
      </c>
      <c r="K5666">
        <v>0</v>
      </c>
      <c r="L5666" s="2">
        <v>0</v>
      </c>
      <c r="M5666">
        <v>57.36</v>
      </c>
      <c r="N5666" t="s">
        <v>10236</v>
      </c>
    </row>
    <row r="5667" spans="1:14">
      <c r="A5667" t="s">
        <v>35</v>
      </c>
      <c r="B5667" t="s">
        <v>5775</v>
      </c>
      <c r="C5667">
        <f>"BL4"</f>
        <v>0</v>
      </c>
      <c r="D5667">
        <v>0</v>
      </c>
      <c r="E5667">
        <v>1</v>
      </c>
      <c r="F5667" s="2">
        <v>40</v>
      </c>
      <c r="H5667">
        <v>0</v>
      </c>
      <c r="I5667">
        <v>0.1741125760648204</v>
      </c>
      <c r="J5667">
        <v>0</v>
      </c>
      <c r="K5667">
        <v>0</v>
      </c>
      <c r="L5667" s="2">
        <v>0</v>
      </c>
      <c r="M5667">
        <v>57.37</v>
      </c>
      <c r="N5667" t="s">
        <v>10236</v>
      </c>
    </row>
    <row r="5668" spans="1:14">
      <c r="A5668" t="s">
        <v>29</v>
      </c>
      <c r="B5668" t="s">
        <v>5776</v>
      </c>
      <c r="C5668">
        <f>"AF012"</f>
        <v>0</v>
      </c>
      <c r="D5668">
        <v>0</v>
      </c>
      <c r="E5668">
        <v>0</v>
      </c>
      <c r="F5668" s="2">
        <v>0</v>
      </c>
      <c r="H5668">
        <v>0</v>
      </c>
      <c r="I5668">
        <v>0.1741125760648204</v>
      </c>
      <c r="J5668">
        <v>0</v>
      </c>
      <c r="K5668">
        <v>0</v>
      </c>
      <c r="L5668" s="2">
        <v>0</v>
      </c>
      <c r="M5668">
        <v>57.37</v>
      </c>
      <c r="N5668" t="s">
        <v>10236</v>
      </c>
    </row>
    <row r="5669" spans="1:14">
      <c r="A5669" t="s">
        <v>209</v>
      </c>
      <c r="B5669" t="s">
        <v>5777</v>
      </c>
      <c r="C5669">
        <f>"5GA80005"</f>
        <v>0</v>
      </c>
      <c r="D5669">
        <v>0</v>
      </c>
      <c r="E5669">
        <v>0</v>
      </c>
      <c r="F5669" s="2">
        <v>0</v>
      </c>
      <c r="H5669">
        <v>0</v>
      </c>
      <c r="I5669">
        <v>0.1741125760648204</v>
      </c>
      <c r="J5669">
        <v>0</v>
      </c>
      <c r="K5669">
        <v>0</v>
      </c>
      <c r="L5669" s="2">
        <v>0</v>
      </c>
      <c r="M5669">
        <v>57.38</v>
      </c>
      <c r="N5669" t="s">
        <v>10236</v>
      </c>
    </row>
    <row r="5670" spans="1:14">
      <c r="A5670" t="s">
        <v>209</v>
      </c>
      <c r="B5670" t="s">
        <v>5778</v>
      </c>
      <c r="C5670">
        <f>"5GA80003"</f>
        <v>0</v>
      </c>
      <c r="D5670">
        <v>0</v>
      </c>
      <c r="E5670">
        <v>0</v>
      </c>
      <c r="F5670" s="2">
        <v>0</v>
      </c>
      <c r="H5670">
        <v>0</v>
      </c>
      <c r="I5670">
        <v>0.1741125760648204</v>
      </c>
      <c r="J5670">
        <v>0</v>
      </c>
      <c r="K5670">
        <v>0</v>
      </c>
      <c r="L5670" s="2">
        <v>0</v>
      </c>
      <c r="M5670">
        <v>57.39</v>
      </c>
      <c r="N5670" t="s">
        <v>10236</v>
      </c>
    </row>
    <row r="5671" spans="1:14">
      <c r="A5671" t="s">
        <v>209</v>
      </c>
      <c r="B5671" t="s">
        <v>5779</v>
      </c>
      <c r="C5671">
        <f>"5GA80006"</f>
        <v>0</v>
      </c>
      <c r="D5671">
        <v>0</v>
      </c>
      <c r="E5671">
        <v>0</v>
      </c>
      <c r="F5671" s="2">
        <v>0</v>
      </c>
      <c r="H5671">
        <v>0</v>
      </c>
      <c r="I5671">
        <v>0.1741125760648204</v>
      </c>
      <c r="J5671">
        <v>0</v>
      </c>
      <c r="K5671">
        <v>0</v>
      </c>
      <c r="L5671" s="2">
        <v>0</v>
      </c>
      <c r="M5671">
        <v>57.4</v>
      </c>
      <c r="N5671" t="s">
        <v>10236</v>
      </c>
    </row>
    <row r="5672" spans="1:14">
      <c r="A5672" t="s">
        <v>35</v>
      </c>
      <c r="B5672" t="s">
        <v>5780</v>
      </c>
      <c r="C5672">
        <f>"18xxl"</f>
        <v>0</v>
      </c>
      <c r="D5672">
        <v>0</v>
      </c>
      <c r="E5672">
        <v>0</v>
      </c>
      <c r="F5672" s="2">
        <v>0</v>
      </c>
      <c r="H5672">
        <v>0</v>
      </c>
      <c r="I5672">
        <v>0.1741125760648204</v>
      </c>
      <c r="J5672">
        <v>0</v>
      </c>
      <c r="K5672">
        <v>0</v>
      </c>
      <c r="L5672" s="2">
        <v>0</v>
      </c>
      <c r="M5672">
        <v>57.41</v>
      </c>
      <c r="N5672" t="s">
        <v>10236</v>
      </c>
    </row>
    <row r="5673" spans="1:14">
      <c r="A5673" t="s">
        <v>35</v>
      </c>
      <c r="B5673" t="s">
        <v>5781</v>
      </c>
      <c r="C5673">
        <f>"18xl"</f>
        <v>0</v>
      </c>
      <c r="D5673">
        <v>0</v>
      </c>
      <c r="E5673">
        <v>0</v>
      </c>
      <c r="F5673" s="2">
        <v>0</v>
      </c>
      <c r="H5673">
        <v>0</v>
      </c>
      <c r="I5673">
        <v>0.1741125760648204</v>
      </c>
      <c r="J5673">
        <v>0</v>
      </c>
      <c r="K5673">
        <v>0</v>
      </c>
      <c r="L5673" s="2">
        <v>0</v>
      </c>
      <c r="M5673">
        <v>57.42</v>
      </c>
      <c r="N5673" t="s">
        <v>10236</v>
      </c>
    </row>
    <row r="5674" spans="1:14">
      <c r="A5674" t="s">
        <v>35</v>
      </c>
      <c r="B5674" t="s">
        <v>5782</v>
      </c>
      <c r="C5674">
        <f>"18s"</f>
        <v>0</v>
      </c>
      <c r="D5674">
        <v>0</v>
      </c>
      <c r="E5674">
        <v>0</v>
      </c>
      <c r="F5674" s="2">
        <v>0</v>
      </c>
      <c r="H5674">
        <v>0</v>
      </c>
      <c r="I5674">
        <v>0.1741125760648204</v>
      </c>
      <c r="J5674">
        <v>0</v>
      </c>
      <c r="K5674">
        <v>0</v>
      </c>
      <c r="L5674" s="2">
        <v>0</v>
      </c>
      <c r="M5674">
        <v>57.43</v>
      </c>
      <c r="N5674" t="s">
        <v>10236</v>
      </c>
    </row>
    <row r="5675" spans="1:14">
      <c r="A5675" t="s">
        <v>35</v>
      </c>
      <c r="B5675" t="s">
        <v>5783</v>
      </c>
      <c r="C5675">
        <f>"B115044XLG"</f>
        <v>0</v>
      </c>
      <c r="D5675">
        <v>0</v>
      </c>
      <c r="E5675">
        <v>1</v>
      </c>
      <c r="F5675" s="2">
        <v>5</v>
      </c>
      <c r="H5675">
        <v>0</v>
      </c>
      <c r="I5675">
        <v>0.1741125760648204</v>
      </c>
      <c r="J5675">
        <v>0</v>
      </c>
      <c r="K5675">
        <v>0</v>
      </c>
      <c r="L5675" s="2">
        <v>0</v>
      </c>
      <c r="M5675">
        <v>57.44</v>
      </c>
      <c r="N5675" t="s">
        <v>10236</v>
      </c>
    </row>
    <row r="5676" spans="1:14">
      <c r="A5676" t="s">
        <v>35</v>
      </c>
      <c r="B5676" t="s">
        <v>5784</v>
      </c>
      <c r="C5676">
        <f>"B115044XLB"</f>
        <v>0</v>
      </c>
      <c r="D5676">
        <v>0</v>
      </c>
      <c r="E5676">
        <v>1</v>
      </c>
      <c r="F5676" s="2">
        <v>5</v>
      </c>
      <c r="H5676">
        <v>0</v>
      </c>
      <c r="I5676">
        <v>0.1741125760648204</v>
      </c>
      <c r="J5676">
        <v>0</v>
      </c>
      <c r="K5676">
        <v>0</v>
      </c>
      <c r="L5676" s="2">
        <v>0</v>
      </c>
      <c r="M5676">
        <v>57.45</v>
      </c>
      <c r="N5676" t="s">
        <v>10236</v>
      </c>
    </row>
    <row r="5677" spans="1:14">
      <c r="A5677" t="s">
        <v>35</v>
      </c>
      <c r="B5677" t="s">
        <v>5785</v>
      </c>
      <c r="C5677">
        <f>"CTB19AZ"</f>
        <v>0</v>
      </c>
      <c r="D5677">
        <v>0</v>
      </c>
      <c r="E5677">
        <v>0</v>
      </c>
      <c r="F5677" s="2">
        <v>0</v>
      </c>
      <c r="H5677">
        <v>0</v>
      </c>
      <c r="I5677">
        <v>0.1741125760648204</v>
      </c>
      <c r="J5677">
        <v>0</v>
      </c>
      <c r="K5677">
        <v>0</v>
      </c>
      <c r="L5677" s="2">
        <v>0</v>
      </c>
      <c r="M5677">
        <v>57.46</v>
      </c>
      <c r="N5677" t="s">
        <v>10236</v>
      </c>
    </row>
    <row r="5678" spans="1:14">
      <c r="A5678" t="s">
        <v>35</v>
      </c>
      <c r="B5678" t="s">
        <v>5786</v>
      </c>
      <c r="C5678">
        <f>"CTB19"</f>
        <v>0</v>
      </c>
      <c r="D5678">
        <v>0</v>
      </c>
      <c r="E5678">
        <v>7</v>
      </c>
      <c r="F5678" s="2">
        <v>1</v>
      </c>
      <c r="H5678">
        <v>0</v>
      </c>
      <c r="I5678">
        <v>0.1741125760648204</v>
      </c>
      <c r="J5678">
        <v>0</v>
      </c>
      <c r="K5678">
        <v>0</v>
      </c>
      <c r="L5678" s="2">
        <v>0</v>
      </c>
      <c r="M5678">
        <v>57.47</v>
      </c>
      <c r="N5678" t="s">
        <v>10236</v>
      </c>
    </row>
    <row r="5679" spans="1:14">
      <c r="A5679" t="s">
        <v>35</v>
      </c>
      <c r="B5679" t="s">
        <v>5787</v>
      </c>
      <c r="C5679">
        <f>"CTB18BL"</f>
        <v>0</v>
      </c>
      <c r="D5679">
        <v>0</v>
      </c>
      <c r="E5679">
        <v>0</v>
      </c>
      <c r="F5679" s="2">
        <v>0</v>
      </c>
      <c r="H5679">
        <v>0</v>
      </c>
      <c r="I5679">
        <v>0.1741125760648204</v>
      </c>
      <c r="J5679">
        <v>0</v>
      </c>
      <c r="K5679">
        <v>0</v>
      </c>
      <c r="L5679" s="2">
        <v>0</v>
      </c>
      <c r="M5679">
        <v>57.48</v>
      </c>
      <c r="N5679" t="s">
        <v>10236</v>
      </c>
    </row>
    <row r="5680" spans="1:14">
      <c r="A5680" t="s">
        <v>35</v>
      </c>
      <c r="B5680" t="s">
        <v>5788</v>
      </c>
      <c r="C5680">
        <f>"CTB18AZ"</f>
        <v>0</v>
      </c>
      <c r="D5680">
        <v>0</v>
      </c>
      <c r="E5680">
        <v>0</v>
      </c>
      <c r="F5680" s="2">
        <v>0</v>
      </c>
      <c r="H5680">
        <v>0</v>
      </c>
      <c r="I5680">
        <v>0.1741125760648204</v>
      </c>
      <c r="J5680">
        <v>0</v>
      </c>
      <c r="K5680">
        <v>0</v>
      </c>
      <c r="L5680" s="2">
        <v>0</v>
      </c>
      <c r="M5680">
        <v>57.48</v>
      </c>
      <c r="N5680" t="s">
        <v>10236</v>
      </c>
    </row>
    <row r="5681" spans="1:14">
      <c r="A5681" t="s">
        <v>192</v>
      </c>
      <c r="B5681" t="s">
        <v>5789</v>
      </c>
      <c r="C5681">
        <f>"APBPA"</f>
        <v>0</v>
      </c>
      <c r="D5681">
        <v>0</v>
      </c>
      <c r="E5681">
        <v>0</v>
      </c>
      <c r="F5681" s="2">
        <v>0</v>
      </c>
      <c r="H5681">
        <v>0</v>
      </c>
      <c r="I5681">
        <v>0.1741125760648204</v>
      </c>
      <c r="J5681">
        <v>0</v>
      </c>
      <c r="K5681">
        <v>0</v>
      </c>
      <c r="L5681" s="2">
        <v>0</v>
      </c>
      <c r="M5681">
        <v>57.49</v>
      </c>
      <c r="N5681" t="s">
        <v>10236</v>
      </c>
    </row>
    <row r="5682" spans="1:14">
      <c r="A5682" t="s">
        <v>223</v>
      </c>
      <c r="B5682" t="s">
        <v>5790</v>
      </c>
      <c r="C5682">
        <f>"BP96J32"</f>
        <v>0</v>
      </c>
      <c r="D5682">
        <v>0</v>
      </c>
      <c r="E5682">
        <v>0</v>
      </c>
      <c r="F5682" s="2">
        <v>0</v>
      </c>
      <c r="H5682">
        <v>0</v>
      </c>
      <c r="I5682">
        <v>0.1741125760648204</v>
      </c>
      <c r="J5682">
        <v>0</v>
      </c>
      <c r="K5682">
        <v>0</v>
      </c>
      <c r="L5682" s="2">
        <v>0</v>
      </c>
      <c r="M5682">
        <v>57.5</v>
      </c>
      <c r="N5682" t="s">
        <v>10236</v>
      </c>
    </row>
    <row r="5683" spans="1:14">
      <c r="A5683" t="s">
        <v>35</v>
      </c>
      <c r="B5683" t="s">
        <v>5791</v>
      </c>
      <c r="C5683">
        <f>"JDC02"</f>
        <v>0</v>
      </c>
      <c r="D5683">
        <v>0</v>
      </c>
      <c r="E5683">
        <v>0</v>
      </c>
      <c r="F5683" s="2">
        <v>0</v>
      </c>
      <c r="H5683">
        <v>0</v>
      </c>
      <c r="I5683">
        <v>0.1741125760648204</v>
      </c>
      <c r="J5683">
        <v>0</v>
      </c>
      <c r="K5683">
        <v>0</v>
      </c>
      <c r="L5683" s="2">
        <v>0</v>
      </c>
      <c r="M5683">
        <v>57.51</v>
      </c>
      <c r="N5683" t="s">
        <v>10236</v>
      </c>
    </row>
    <row r="5684" spans="1:14">
      <c r="A5684" t="s">
        <v>35</v>
      </c>
      <c r="B5684" t="s">
        <v>5792</v>
      </c>
      <c r="C5684">
        <f>"JD1M"</f>
        <v>0</v>
      </c>
      <c r="D5684">
        <v>0</v>
      </c>
      <c r="E5684">
        <v>0</v>
      </c>
      <c r="F5684" s="2">
        <v>0</v>
      </c>
      <c r="H5684">
        <v>0</v>
      </c>
      <c r="I5684">
        <v>0.1741125760648204</v>
      </c>
      <c r="J5684">
        <v>0</v>
      </c>
      <c r="K5684">
        <v>0</v>
      </c>
      <c r="L5684" s="2">
        <v>0</v>
      </c>
      <c r="M5684">
        <v>57.52</v>
      </c>
      <c r="N5684" t="s">
        <v>10236</v>
      </c>
    </row>
    <row r="5685" spans="1:14">
      <c r="A5685" t="s">
        <v>35</v>
      </c>
      <c r="B5685" t="s">
        <v>5793</v>
      </c>
      <c r="C5685">
        <f>"JDC09"</f>
        <v>0</v>
      </c>
      <c r="D5685">
        <v>0</v>
      </c>
      <c r="E5685">
        <v>0</v>
      </c>
      <c r="F5685" s="2">
        <v>0</v>
      </c>
      <c r="H5685">
        <v>0</v>
      </c>
      <c r="I5685">
        <v>0.1741125760648204</v>
      </c>
      <c r="J5685">
        <v>0</v>
      </c>
      <c r="K5685">
        <v>0</v>
      </c>
      <c r="L5685" s="2">
        <v>0</v>
      </c>
      <c r="M5685">
        <v>57.53</v>
      </c>
      <c r="N5685" t="s">
        <v>10236</v>
      </c>
    </row>
    <row r="5686" spans="1:14">
      <c r="A5686" t="s">
        <v>223</v>
      </c>
      <c r="B5686" t="s">
        <v>5794</v>
      </c>
      <c r="C5686">
        <f>"BR30G11"</f>
        <v>0</v>
      </c>
      <c r="D5686">
        <v>0</v>
      </c>
      <c r="E5686">
        <v>0</v>
      </c>
      <c r="F5686" s="2">
        <v>0</v>
      </c>
      <c r="H5686">
        <v>0</v>
      </c>
      <c r="I5686">
        <v>0.1741125760648204</v>
      </c>
      <c r="J5686">
        <v>0</v>
      </c>
      <c r="K5686">
        <v>0</v>
      </c>
      <c r="L5686" s="2">
        <v>0</v>
      </c>
      <c r="M5686">
        <v>57.54</v>
      </c>
      <c r="N5686" t="s">
        <v>10236</v>
      </c>
    </row>
    <row r="5687" spans="1:14">
      <c r="A5687" t="s">
        <v>223</v>
      </c>
      <c r="B5687" t="s">
        <v>5795</v>
      </c>
      <c r="C5687">
        <f>"BM39P1"</f>
        <v>0</v>
      </c>
      <c r="D5687">
        <v>0</v>
      </c>
      <c r="E5687">
        <v>0</v>
      </c>
      <c r="F5687" s="2">
        <v>0</v>
      </c>
      <c r="H5687">
        <v>0</v>
      </c>
      <c r="I5687">
        <v>0.1741125760648204</v>
      </c>
      <c r="J5687">
        <v>0</v>
      </c>
      <c r="K5687">
        <v>0</v>
      </c>
      <c r="L5687" s="2">
        <v>0</v>
      </c>
      <c r="M5687">
        <v>57.55</v>
      </c>
      <c r="N5687" t="s">
        <v>10236</v>
      </c>
    </row>
    <row r="5688" spans="1:14">
      <c r="A5688" t="s">
        <v>223</v>
      </c>
      <c r="B5688" t="s">
        <v>5796</v>
      </c>
      <c r="C5688">
        <f>"CC64P"</f>
        <v>0</v>
      </c>
      <c r="D5688">
        <v>0</v>
      </c>
      <c r="E5688">
        <v>0</v>
      </c>
      <c r="F5688" s="2">
        <v>0</v>
      </c>
      <c r="H5688">
        <v>0</v>
      </c>
      <c r="I5688">
        <v>0.1741125760648204</v>
      </c>
      <c r="J5688">
        <v>0</v>
      </c>
      <c r="K5688">
        <v>0</v>
      </c>
      <c r="L5688" s="2">
        <v>0</v>
      </c>
      <c r="M5688">
        <v>57.56</v>
      </c>
      <c r="N5688" t="s">
        <v>10236</v>
      </c>
    </row>
    <row r="5689" spans="1:14">
      <c r="A5689" t="s">
        <v>223</v>
      </c>
      <c r="B5689" t="s">
        <v>5797</v>
      </c>
      <c r="C5689">
        <f>"AT66N17"</f>
        <v>0</v>
      </c>
      <c r="D5689">
        <v>0</v>
      </c>
      <c r="E5689">
        <v>0</v>
      </c>
      <c r="F5689" s="2">
        <v>0</v>
      </c>
      <c r="H5689">
        <v>0</v>
      </c>
      <c r="I5689">
        <v>0.1741125760648204</v>
      </c>
      <c r="J5689">
        <v>0</v>
      </c>
      <c r="K5689">
        <v>0</v>
      </c>
      <c r="L5689" s="2">
        <v>0</v>
      </c>
      <c r="M5689">
        <v>57.57</v>
      </c>
      <c r="N5689" t="s">
        <v>10236</v>
      </c>
    </row>
    <row r="5690" spans="1:14">
      <c r="A5690" t="s">
        <v>223</v>
      </c>
      <c r="B5690" t="s">
        <v>5798</v>
      </c>
      <c r="C5690">
        <f>"at66c16"</f>
        <v>0</v>
      </c>
      <c r="D5690">
        <v>0</v>
      </c>
      <c r="E5690">
        <v>0</v>
      </c>
      <c r="F5690" s="2">
        <v>0</v>
      </c>
      <c r="H5690">
        <v>0</v>
      </c>
      <c r="I5690">
        <v>0.1741125760648204</v>
      </c>
      <c r="J5690">
        <v>0</v>
      </c>
      <c r="K5690">
        <v>0</v>
      </c>
      <c r="L5690" s="2">
        <v>0</v>
      </c>
      <c r="M5690">
        <v>57.58</v>
      </c>
      <c r="N5690" t="s">
        <v>10236</v>
      </c>
    </row>
    <row r="5691" spans="1:14">
      <c r="A5691" t="s">
        <v>32</v>
      </c>
      <c r="B5691" t="s">
        <v>5799</v>
      </c>
      <c r="C5691">
        <f>"310020"</f>
        <v>0</v>
      </c>
      <c r="D5691">
        <v>0</v>
      </c>
      <c r="E5691">
        <v>1</v>
      </c>
      <c r="F5691" s="2">
        <v>9</v>
      </c>
      <c r="H5691">
        <v>0</v>
      </c>
      <c r="I5691">
        <v>0.1741125760648204</v>
      </c>
      <c r="J5691">
        <v>0</v>
      </c>
      <c r="K5691">
        <v>0</v>
      </c>
      <c r="L5691" s="2">
        <v>0</v>
      </c>
      <c r="M5691">
        <v>57.59</v>
      </c>
      <c r="N5691" t="s">
        <v>10236</v>
      </c>
    </row>
    <row r="5692" spans="1:14">
      <c r="A5692" t="s">
        <v>29</v>
      </c>
      <c r="B5692" t="s">
        <v>5800</v>
      </c>
      <c r="C5692">
        <f>"PMP50"</f>
        <v>0</v>
      </c>
      <c r="D5692">
        <v>0</v>
      </c>
      <c r="E5692">
        <v>0</v>
      </c>
      <c r="F5692" s="2">
        <v>0</v>
      </c>
      <c r="H5692">
        <v>0</v>
      </c>
      <c r="I5692">
        <v>0.1741125760648204</v>
      </c>
      <c r="J5692">
        <v>0</v>
      </c>
      <c r="K5692">
        <v>0</v>
      </c>
      <c r="L5692" s="2">
        <v>0</v>
      </c>
      <c r="M5692">
        <v>57.6</v>
      </c>
      <c r="N5692" t="s">
        <v>10236</v>
      </c>
    </row>
    <row r="5693" spans="1:14">
      <c r="A5693" t="s">
        <v>29</v>
      </c>
      <c r="B5693" t="s">
        <v>5801</v>
      </c>
      <c r="C5693">
        <f>"PMP25"</f>
        <v>0</v>
      </c>
      <c r="D5693">
        <v>0</v>
      </c>
      <c r="E5693">
        <v>0</v>
      </c>
      <c r="F5693" s="2">
        <v>0</v>
      </c>
      <c r="H5693">
        <v>0</v>
      </c>
      <c r="I5693">
        <v>0.1741125760648204</v>
      </c>
      <c r="J5693">
        <v>0</v>
      </c>
      <c r="K5693">
        <v>0</v>
      </c>
      <c r="L5693" s="2">
        <v>0</v>
      </c>
      <c r="M5693">
        <v>57.6</v>
      </c>
      <c r="N5693" t="s">
        <v>10236</v>
      </c>
    </row>
    <row r="5694" spans="1:14">
      <c r="A5694" t="s">
        <v>29</v>
      </c>
      <c r="B5694" t="s">
        <v>5802</v>
      </c>
      <c r="C5694">
        <f>"PMP100"</f>
        <v>0</v>
      </c>
      <c r="D5694">
        <v>0</v>
      </c>
      <c r="E5694">
        <v>0</v>
      </c>
      <c r="F5694" s="2">
        <v>0</v>
      </c>
      <c r="H5694">
        <v>0</v>
      </c>
      <c r="I5694">
        <v>0.1741125760648204</v>
      </c>
      <c r="J5694">
        <v>0</v>
      </c>
      <c r="K5694">
        <v>0</v>
      </c>
      <c r="L5694" s="2">
        <v>0</v>
      </c>
      <c r="M5694">
        <v>57.61</v>
      </c>
      <c r="N5694" t="s">
        <v>10236</v>
      </c>
    </row>
    <row r="5695" spans="1:14">
      <c r="A5695" t="s">
        <v>32</v>
      </c>
      <c r="B5695" t="s">
        <v>5803</v>
      </c>
      <c r="C5695">
        <f>"HCH052"</f>
        <v>0</v>
      </c>
      <c r="D5695">
        <v>0</v>
      </c>
      <c r="E5695">
        <v>0</v>
      </c>
      <c r="F5695" s="2">
        <v>0</v>
      </c>
      <c r="H5695">
        <v>0</v>
      </c>
      <c r="I5695">
        <v>0.1741125760648204</v>
      </c>
      <c r="J5695">
        <v>0</v>
      </c>
      <c r="K5695">
        <v>0</v>
      </c>
      <c r="L5695" s="2">
        <v>0</v>
      </c>
      <c r="M5695">
        <v>57.62</v>
      </c>
      <c r="N5695" t="s">
        <v>10236</v>
      </c>
    </row>
    <row r="5696" spans="1:14">
      <c r="A5696" t="s">
        <v>194</v>
      </c>
      <c r="B5696" t="s">
        <v>5804</v>
      </c>
      <c r="C5696">
        <f>"7016060"</f>
        <v>0</v>
      </c>
      <c r="D5696">
        <v>0</v>
      </c>
      <c r="E5696">
        <v>2</v>
      </c>
      <c r="F5696" s="2">
        <v>0</v>
      </c>
      <c r="H5696">
        <v>0</v>
      </c>
      <c r="I5696">
        <v>0.1741125760648204</v>
      </c>
      <c r="J5696">
        <v>0</v>
      </c>
      <c r="K5696">
        <v>0</v>
      </c>
      <c r="L5696" s="2">
        <v>0</v>
      </c>
      <c r="M5696">
        <v>57.63</v>
      </c>
      <c r="N5696" t="s">
        <v>10236</v>
      </c>
    </row>
    <row r="5697" spans="1:14">
      <c r="A5697" t="s">
        <v>25</v>
      </c>
      <c r="B5697" t="s">
        <v>5805</v>
      </c>
      <c r="C5697">
        <f>"NJ05"</f>
        <v>0</v>
      </c>
      <c r="D5697">
        <v>0</v>
      </c>
      <c r="E5697">
        <v>0</v>
      </c>
      <c r="F5697" s="2">
        <v>0</v>
      </c>
      <c r="H5697">
        <v>0</v>
      </c>
      <c r="I5697">
        <v>0.1741125760648204</v>
      </c>
      <c r="J5697">
        <v>0</v>
      </c>
      <c r="K5697">
        <v>0</v>
      </c>
      <c r="L5697" s="2">
        <v>0</v>
      </c>
      <c r="M5697">
        <v>57.64</v>
      </c>
      <c r="N5697" t="s">
        <v>10236</v>
      </c>
    </row>
    <row r="5698" spans="1:14">
      <c r="A5698" t="s">
        <v>35</v>
      </c>
      <c r="B5698" t="s">
        <v>5806</v>
      </c>
      <c r="C5698">
        <f>"18m"</f>
        <v>0</v>
      </c>
      <c r="D5698">
        <v>0</v>
      </c>
      <c r="E5698">
        <v>0</v>
      </c>
      <c r="F5698" s="2">
        <v>0</v>
      </c>
      <c r="H5698">
        <v>0</v>
      </c>
      <c r="I5698">
        <v>0.1741125760648204</v>
      </c>
      <c r="J5698">
        <v>0</v>
      </c>
      <c r="K5698">
        <v>0</v>
      </c>
      <c r="L5698" s="2">
        <v>0</v>
      </c>
      <c r="M5698">
        <v>57.65</v>
      </c>
      <c r="N5698" t="s">
        <v>10236</v>
      </c>
    </row>
    <row r="5699" spans="1:14">
      <c r="A5699" t="s">
        <v>35</v>
      </c>
      <c r="B5699" t="s">
        <v>5807</v>
      </c>
      <c r="C5699">
        <f>"18l"</f>
        <v>0</v>
      </c>
      <c r="D5699">
        <v>0</v>
      </c>
      <c r="E5699">
        <v>0</v>
      </c>
      <c r="F5699" s="2">
        <v>0</v>
      </c>
      <c r="H5699">
        <v>0</v>
      </c>
      <c r="I5699">
        <v>0.1741125760648204</v>
      </c>
      <c r="J5699">
        <v>0</v>
      </c>
      <c r="K5699">
        <v>0</v>
      </c>
      <c r="L5699" s="2">
        <v>0</v>
      </c>
      <c r="M5699">
        <v>57.66</v>
      </c>
      <c r="N5699" t="s">
        <v>10236</v>
      </c>
    </row>
    <row r="5700" spans="1:14">
      <c r="A5700" t="s">
        <v>35</v>
      </c>
      <c r="B5700" t="s">
        <v>5808</v>
      </c>
      <c r="C5700">
        <f>"B115044XSG"</f>
        <v>0</v>
      </c>
      <c r="D5700">
        <v>0</v>
      </c>
      <c r="E5700">
        <v>1</v>
      </c>
      <c r="F5700" s="2">
        <v>3</v>
      </c>
      <c r="H5700">
        <v>0</v>
      </c>
      <c r="I5700">
        <v>0.1741125760648204</v>
      </c>
      <c r="J5700">
        <v>0</v>
      </c>
      <c r="K5700">
        <v>0</v>
      </c>
      <c r="L5700" s="2">
        <v>0</v>
      </c>
      <c r="M5700">
        <v>57.67</v>
      </c>
      <c r="N5700" t="s">
        <v>10236</v>
      </c>
    </row>
    <row r="5701" spans="1:14">
      <c r="A5701" t="s">
        <v>35</v>
      </c>
      <c r="B5701" t="s">
        <v>5809</v>
      </c>
      <c r="C5701">
        <f>"B115044XSB"</f>
        <v>0</v>
      </c>
      <c r="D5701">
        <v>0</v>
      </c>
      <c r="E5701">
        <v>3</v>
      </c>
      <c r="F5701" s="2">
        <v>3</v>
      </c>
      <c r="H5701">
        <v>0</v>
      </c>
      <c r="I5701">
        <v>0.1741125760648204</v>
      </c>
      <c r="J5701">
        <v>0</v>
      </c>
      <c r="K5701">
        <v>0</v>
      </c>
      <c r="L5701" s="2">
        <v>0</v>
      </c>
      <c r="M5701">
        <v>57.68</v>
      </c>
      <c r="N5701" t="s">
        <v>10236</v>
      </c>
    </row>
    <row r="5702" spans="1:14">
      <c r="A5702" t="s">
        <v>218</v>
      </c>
      <c r="B5702" t="s">
        <v>5810</v>
      </c>
      <c r="C5702">
        <f>"inscls0070"</f>
        <v>0</v>
      </c>
      <c r="D5702">
        <v>0</v>
      </c>
      <c r="E5702">
        <v>0</v>
      </c>
      <c r="F5702" s="2">
        <v>0</v>
      </c>
      <c r="H5702">
        <v>0</v>
      </c>
      <c r="I5702">
        <v>0.1741125760648204</v>
      </c>
      <c r="J5702">
        <v>0</v>
      </c>
      <c r="K5702">
        <v>0</v>
      </c>
      <c r="L5702" s="2">
        <v>0</v>
      </c>
      <c r="M5702">
        <v>57.69</v>
      </c>
      <c r="N5702" t="s">
        <v>10236</v>
      </c>
    </row>
    <row r="5703" spans="1:14">
      <c r="A5703" t="s">
        <v>35</v>
      </c>
      <c r="B5703" t="s">
        <v>5811</v>
      </c>
      <c r="C5703">
        <f>"ZX011GR"</f>
        <v>0</v>
      </c>
      <c r="D5703">
        <v>0</v>
      </c>
      <c r="E5703">
        <v>5</v>
      </c>
      <c r="F5703" s="2">
        <v>1</v>
      </c>
      <c r="H5703">
        <v>0</v>
      </c>
      <c r="I5703">
        <v>0.1741125760648204</v>
      </c>
      <c r="J5703">
        <v>0</v>
      </c>
      <c r="K5703">
        <v>0</v>
      </c>
      <c r="L5703" s="2">
        <v>0</v>
      </c>
      <c r="M5703">
        <v>57.7</v>
      </c>
      <c r="N5703" t="s">
        <v>10236</v>
      </c>
    </row>
    <row r="5704" spans="1:14">
      <c r="A5704" t="s">
        <v>35</v>
      </c>
      <c r="B5704" t="s">
        <v>5812</v>
      </c>
      <c r="C5704">
        <f>"ZX011"</f>
        <v>0</v>
      </c>
      <c r="D5704">
        <v>0</v>
      </c>
      <c r="E5704">
        <v>7</v>
      </c>
      <c r="F5704" s="2">
        <v>1</v>
      </c>
      <c r="H5704">
        <v>0</v>
      </c>
      <c r="I5704">
        <v>0.1741125760648204</v>
      </c>
      <c r="J5704">
        <v>0</v>
      </c>
      <c r="K5704">
        <v>0</v>
      </c>
      <c r="L5704" s="2">
        <v>0</v>
      </c>
      <c r="M5704">
        <v>57.71</v>
      </c>
      <c r="N5704" t="s">
        <v>10236</v>
      </c>
    </row>
    <row r="5705" spans="1:14">
      <c r="A5705" t="s">
        <v>223</v>
      </c>
      <c r="B5705" t="s">
        <v>5813</v>
      </c>
      <c r="C5705">
        <f>"3712030"</f>
        <v>0</v>
      </c>
      <c r="D5705">
        <v>0</v>
      </c>
      <c r="E5705">
        <v>0</v>
      </c>
      <c r="F5705" s="2">
        <v>0</v>
      </c>
      <c r="H5705">
        <v>0</v>
      </c>
      <c r="I5705">
        <v>0.1741125760648204</v>
      </c>
      <c r="J5705">
        <v>0</v>
      </c>
      <c r="K5705">
        <v>0</v>
      </c>
      <c r="L5705" s="2">
        <v>0</v>
      </c>
      <c r="M5705">
        <v>57.72</v>
      </c>
      <c r="N5705" t="s">
        <v>10236</v>
      </c>
    </row>
    <row r="5706" spans="1:14">
      <c r="A5706" t="s">
        <v>223</v>
      </c>
      <c r="B5706" t="s">
        <v>5814</v>
      </c>
      <c r="C5706">
        <f>"5501108"</f>
        <v>0</v>
      </c>
      <c r="D5706">
        <v>0</v>
      </c>
      <c r="E5706">
        <v>0</v>
      </c>
      <c r="F5706" s="2">
        <v>0</v>
      </c>
      <c r="H5706">
        <v>0</v>
      </c>
      <c r="I5706">
        <v>0.1741125760648204</v>
      </c>
      <c r="J5706">
        <v>0</v>
      </c>
      <c r="K5706">
        <v>0</v>
      </c>
      <c r="L5706" s="2">
        <v>0</v>
      </c>
      <c r="M5706">
        <v>57.72</v>
      </c>
      <c r="N5706" t="s">
        <v>10236</v>
      </c>
    </row>
    <row r="5707" spans="1:14">
      <c r="A5707" t="s">
        <v>223</v>
      </c>
      <c r="B5707" t="s">
        <v>5815</v>
      </c>
      <c r="C5707">
        <f>"5441025"</f>
        <v>0</v>
      </c>
      <c r="D5707">
        <v>0</v>
      </c>
      <c r="E5707">
        <v>0</v>
      </c>
      <c r="F5707" s="2">
        <v>0</v>
      </c>
      <c r="H5707">
        <v>0</v>
      </c>
      <c r="I5707">
        <v>0.1741125760648204</v>
      </c>
      <c r="J5707">
        <v>0</v>
      </c>
      <c r="K5707">
        <v>0</v>
      </c>
      <c r="L5707" s="2">
        <v>0</v>
      </c>
      <c r="M5707">
        <v>57.73</v>
      </c>
      <c r="N5707" t="s">
        <v>10236</v>
      </c>
    </row>
    <row r="5708" spans="1:14">
      <c r="A5708" t="s">
        <v>29</v>
      </c>
      <c r="B5708" t="s">
        <v>5816</v>
      </c>
      <c r="C5708">
        <f>"00365"</f>
        <v>0</v>
      </c>
      <c r="D5708">
        <v>0</v>
      </c>
      <c r="E5708">
        <v>3</v>
      </c>
      <c r="F5708" s="2">
        <v>4</v>
      </c>
      <c r="H5708">
        <v>0</v>
      </c>
      <c r="I5708">
        <v>0.1741125760648204</v>
      </c>
      <c r="J5708">
        <v>0</v>
      </c>
      <c r="K5708">
        <v>0</v>
      </c>
      <c r="L5708" s="2">
        <v>0</v>
      </c>
      <c r="M5708">
        <v>57.74</v>
      </c>
      <c r="N5708" t="s">
        <v>10236</v>
      </c>
    </row>
    <row r="5709" spans="1:14">
      <c r="A5709" t="s">
        <v>35</v>
      </c>
      <c r="B5709" t="s">
        <v>5817</v>
      </c>
      <c r="C5709">
        <f>"JD1XL"</f>
        <v>0</v>
      </c>
      <c r="D5709">
        <v>0</v>
      </c>
      <c r="E5709">
        <v>7</v>
      </c>
      <c r="F5709" s="2">
        <v>1</v>
      </c>
      <c r="H5709">
        <v>0</v>
      </c>
      <c r="I5709">
        <v>0.1741125760648204</v>
      </c>
      <c r="J5709">
        <v>0</v>
      </c>
      <c r="K5709">
        <v>0</v>
      </c>
      <c r="L5709" s="2">
        <v>0</v>
      </c>
      <c r="M5709">
        <v>57.75</v>
      </c>
      <c r="N5709" t="s">
        <v>10236</v>
      </c>
    </row>
    <row r="5710" spans="1:14">
      <c r="A5710" t="s">
        <v>35</v>
      </c>
      <c r="B5710" t="s">
        <v>5818</v>
      </c>
      <c r="C5710">
        <f>"B1150442XLG"</f>
        <v>0</v>
      </c>
      <c r="D5710">
        <v>0</v>
      </c>
      <c r="E5710">
        <v>2</v>
      </c>
      <c r="F5710" s="2">
        <v>6</v>
      </c>
      <c r="H5710">
        <v>0</v>
      </c>
      <c r="I5710">
        <v>0.1741125760648204</v>
      </c>
      <c r="J5710">
        <v>0</v>
      </c>
      <c r="K5710">
        <v>0</v>
      </c>
      <c r="L5710" s="2">
        <v>0</v>
      </c>
      <c r="M5710">
        <v>57.76</v>
      </c>
      <c r="N5710" t="s">
        <v>10236</v>
      </c>
    </row>
    <row r="5711" spans="1:14">
      <c r="A5711" t="s">
        <v>35</v>
      </c>
      <c r="B5711" t="s">
        <v>5819</v>
      </c>
      <c r="C5711">
        <f>"B1150442XLB"</f>
        <v>0</v>
      </c>
      <c r="D5711">
        <v>0</v>
      </c>
      <c r="E5711">
        <v>0</v>
      </c>
      <c r="F5711" s="2">
        <v>0</v>
      </c>
      <c r="H5711">
        <v>0</v>
      </c>
      <c r="I5711">
        <v>0.1741125760648204</v>
      </c>
      <c r="J5711">
        <v>0</v>
      </c>
      <c r="K5711">
        <v>0</v>
      </c>
      <c r="L5711" s="2">
        <v>0</v>
      </c>
      <c r="M5711">
        <v>57.77</v>
      </c>
      <c r="N5711" t="s">
        <v>10236</v>
      </c>
    </row>
    <row r="5712" spans="1:14">
      <c r="A5712" t="s">
        <v>35</v>
      </c>
      <c r="B5712" t="s">
        <v>5820</v>
      </c>
      <c r="C5712">
        <f>"C608"</f>
        <v>0</v>
      </c>
      <c r="D5712">
        <v>0</v>
      </c>
      <c r="E5712">
        <v>1</v>
      </c>
      <c r="F5712" s="2">
        <v>765</v>
      </c>
      <c r="H5712">
        <v>0</v>
      </c>
      <c r="I5712">
        <v>0.1741125760648204</v>
      </c>
      <c r="J5712">
        <v>0</v>
      </c>
      <c r="K5712">
        <v>0</v>
      </c>
      <c r="L5712" s="2">
        <v>0</v>
      </c>
      <c r="M5712">
        <v>57.78</v>
      </c>
      <c r="N5712" t="s">
        <v>10236</v>
      </c>
    </row>
    <row r="5713" spans="1:14">
      <c r="A5713" t="s">
        <v>35</v>
      </c>
      <c r="B5713" t="s">
        <v>5821</v>
      </c>
      <c r="C5713">
        <f>"CT265A"</f>
        <v>0</v>
      </c>
      <c r="D5713">
        <v>0</v>
      </c>
      <c r="E5713">
        <v>0</v>
      </c>
      <c r="F5713" s="2">
        <v>0</v>
      </c>
      <c r="H5713">
        <v>0</v>
      </c>
      <c r="I5713">
        <v>0.1741125760648204</v>
      </c>
      <c r="J5713">
        <v>0</v>
      </c>
      <c r="K5713">
        <v>0</v>
      </c>
      <c r="L5713" s="2">
        <v>0</v>
      </c>
      <c r="M5713">
        <v>57.79</v>
      </c>
      <c r="N5713" t="s">
        <v>10236</v>
      </c>
    </row>
    <row r="5714" spans="1:14">
      <c r="A5714" t="s">
        <v>35</v>
      </c>
      <c r="B5714" t="s">
        <v>5822</v>
      </c>
      <c r="C5714">
        <f>"PP040C"</f>
        <v>0</v>
      </c>
      <c r="D5714">
        <v>0</v>
      </c>
      <c r="E5714">
        <v>0</v>
      </c>
      <c r="F5714" s="2">
        <v>0</v>
      </c>
      <c r="H5714">
        <v>0</v>
      </c>
      <c r="I5714">
        <v>0.1741125760648204</v>
      </c>
      <c r="J5714">
        <v>0</v>
      </c>
      <c r="K5714">
        <v>0</v>
      </c>
      <c r="L5714" s="2">
        <v>0</v>
      </c>
      <c r="M5714">
        <v>57.8</v>
      </c>
      <c r="N5714" t="s">
        <v>10236</v>
      </c>
    </row>
    <row r="5715" spans="1:14">
      <c r="A5715" t="s">
        <v>35</v>
      </c>
      <c r="B5715" t="s">
        <v>5823</v>
      </c>
      <c r="C5715">
        <f>"KFW02"</f>
        <v>0</v>
      </c>
      <c r="D5715">
        <v>0</v>
      </c>
      <c r="E5715">
        <v>3</v>
      </c>
      <c r="F5715" s="2">
        <v>6</v>
      </c>
      <c r="H5715">
        <v>0</v>
      </c>
      <c r="I5715">
        <v>0.1741125760648204</v>
      </c>
      <c r="J5715">
        <v>0</v>
      </c>
      <c r="K5715">
        <v>0</v>
      </c>
      <c r="L5715" s="2">
        <v>0</v>
      </c>
      <c r="M5715">
        <v>57.81</v>
      </c>
      <c r="N5715" t="s">
        <v>10236</v>
      </c>
    </row>
    <row r="5716" spans="1:14">
      <c r="A5716" t="s">
        <v>35</v>
      </c>
      <c r="B5716" t="s">
        <v>5824</v>
      </c>
      <c r="C5716">
        <f>"DS31"</f>
        <v>0</v>
      </c>
      <c r="D5716">
        <v>0</v>
      </c>
      <c r="E5716">
        <v>0</v>
      </c>
      <c r="F5716" s="2">
        <v>0</v>
      </c>
      <c r="H5716">
        <v>0</v>
      </c>
      <c r="I5716">
        <v>0.1741125760648204</v>
      </c>
      <c r="J5716">
        <v>0</v>
      </c>
      <c r="K5716">
        <v>0</v>
      </c>
      <c r="L5716" s="2">
        <v>0</v>
      </c>
      <c r="M5716">
        <v>57.82</v>
      </c>
      <c r="N5716" t="s">
        <v>10236</v>
      </c>
    </row>
    <row r="5717" spans="1:14">
      <c r="A5717" t="s">
        <v>35</v>
      </c>
      <c r="B5717" t="s">
        <v>5825</v>
      </c>
      <c r="C5717">
        <f>"KF8057LEBE"</f>
        <v>0</v>
      </c>
      <c r="D5717">
        <v>0</v>
      </c>
      <c r="E5717">
        <v>0</v>
      </c>
      <c r="F5717" s="2">
        <v>0</v>
      </c>
      <c r="H5717">
        <v>0</v>
      </c>
      <c r="I5717">
        <v>0.1741125760648204</v>
      </c>
      <c r="J5717">
        <v>0</v>
      </c>
      <c r="K5717">
        <v>0</v>
      </c>
      <c r="L5717" s="2">
        <v>0</v>
      </c>
      <c r="M5717">
        <v>57.83</v>
      </c>
      <c r="N5717" t="s">
        <v>10236</v>
      </c>
    </row>
    <row r="5718" spans="1:14">
      <c r="A5718" t="s">
        <v>35</v>
      </c>
      <c r="B5718" t="s">
        <v>5826</v>
      </c>
      <c r="C5718">
        <f>"KF8057GRBE"</f>
        <v>0</v>
      </c>
      <c r="D5718">
        <v>0</v>
      </c>
      <c r="E5718">
        <v>0</v>
      </c>
      <c r="F5718" s="2">
        <v>0</v>
      </c>
      <c r="H5718">
        <v>0</v>
      </c>
      <c r="I5718">
        <v>0.1741125760648204</v>
      </c>
      <c r="J5718">
        <v>0</v>
      </c>
      <c r="K5718">
        <v>0</v>
      </c>
      <c r="L5718" s="2">
        <v>0</v>
      </c>
      <c r="M5718">
        <v>57.84</v>
      </c>
      <c r="N5718" t="s">
        <v>10236</v>
      </c>
    </row>
    <row r="5719" spans="1:14">
      <c r="A5719" t="s">
        <v>35</v>
      </c>
      <c r="B5719" t="s">
        <v>5827</v>
      </c>
      <c r="C5719">
        <f>"we240042"</f>
        <v>0</v>
      </c>
      <c r="D5719">
        <v>0</v>
      </c>
      <c r="E5719">
        <v>0</v>
      </c>
      <c r="F5719" s="2">
        <v>0</v>
      </c>
      <c r="H5719">
        <v>0</v>
      </c>
      <c r="I5719">
        <v>0.1741125760648204</v>
      </c>
      <c r="J5719">
        <v>0</v>
      </c>
      <c r="K5719">
        <v>0</v>
      </c>
      <c r="L5719" s="2">
        <v>0</v>
      </c>
      <c r="M5719">
        <v>57.84</v>
      </c>
      <c r="N5719" t="s">
        <v>10236</v>
      </c>
    </row>
    <row r="5720" spans="1:14">
      <c r="A5720" t="s">
        <v>35</v>
      </c>
      <c r="B5720" t="s">
        <v>5828</v>
      </c>
      <c r="C5720">
        <f>"KF1025C"</f>
        <v>0</v>
      </c>
      <c r="D5720">
        <v>0</v>
      </c>
      <c r="E5720">
        <v>2</v>
      </c>
      <c r="F5720" s="2">
        <v>4</v>
      </c>
      <c r="H5720">
        <v>0</v>
      </c>
      <c r="I5720">
        <v>0.1741125760648204</v>
      </c>
      <c r="J5720">
        <v>0</v>
      </c>
      <c r="K5720">
        <v>0</v>
      </c>
      <c r="L5720" s="2">
        <v>0</v>
      </c>
      <c r="M5720">
        <v>57.85</v>
      </c>
      <c r="N5720" t="s">
        <v>10236</v>
      </c>
    </row>
    <row r="5721" spans="1:14">
      <c r="A5721" t="s">
        <v>35</v>
      </c>
      <c r="B5721" t="s">
        <v>5829</v>
      </c>
      <c r="C5721">
        <f>"KF8076"</f>
        <v>0</v>
      </c>
      <c r="D5721">
        <v>0</v>
      </c>
      <c r="E5721">
        <v>2</v>
      </c>
      <c r="F5721" s="2">
        <v>21</v>
      </c>
      <c r="H5721">
        <v>0</v>
      </c>
      <c r="I5721">
        <v>0.1741125760648204</v>
      </c>
      <c r="J5721">
        <v>0</v>
      </c>
      <c r="K5721">
        <v>0</v>
      </c>
      <c r="L5721" s="2">
        <v>0</v>
      </c>
      <c r="M5721">
        <v>57.86</v>
      </c>
      <c r="N5721" t="s">
        <v>10236</v>
      </c>
    </row>
    <row r="5722" spans="1:14">
      <c r="A5722" t="s">
        <v>35</v>
      </c>
      <c r="B5722" t="s">
        <v>5830</v>
      </c>
      <c r="C5722">
        <f>"KF8020"</f>
        <v>0</v>
      </c>
      <c r="D5722">
        <v>0</v>
      </c>
      <c r="E5722">
        <v>3</v>
      </c>
      <c r="F5722" s="2">
        <v>42</v>
      </c>
      <c r="H5722">
        <v>0</v>
      </c>
      <c r="I5722">
        <v>0.1741125760648204</v>
      </c>
      <c r="J5722">
        <v>0</v>
      </c>
      <c r="K5722">
        <v>0</v>
      </c>
      <c r="L5722" s="2">
        <v>0</v>
      </c>
      <c r="M5722">
        <v>57.87</v>
      </c>
      <c r="N5722" t="s">
        <v>10236</v>
      </c>
    </row>
    <row r="5723" spans="1:14">
      <c r="A5723" t="s">
        <v>218</v>
      </c>
      <c r="B5723" t="s">
        <v>5831</v>
      </c>
      <c r="C5723">
        <f>"1011810"</f>
        <v>0</v>
      </c>
      <c r="D5723">
        <v>0</v>
      </c>
      <c r="E5723">
        <v>0</v>
      </c>
      <c r="F5723" s="2">
        <v>0</v>
      </c>
      <c r="H5723">
        <v>0</v>
      </c>
      <c r="I5723">
        <v>0.1741125760648204</v>
      </c>
      <c r="J5723">
        <v>0</v>
      </c>
      <c r="K5723">
        <v>0</v>
      </c>
      <c r="L5723" s="2">
        <v>0</v>
      </c>
      <c r="M5723">
        <v>57.88</v>
      </c>
      <c r="N5723" t="s">
        <v>10236</v>
      </c>
    </row>
    <row r="5724" spans="1:14">
      <c r="A5724" t="s">
        <v>218</v>
      </c>
      <c r="B5724" t="s">
        <v>5832</v>
      </c>
      <c r="C5724">
        <f>"5004997"</f>
        <v>0</v>
      </c>
      <c r="D5724">
        <v>0</v>
      </c>
      <c r="E5724">
        <v>0</v>
      </c>
      <c r="F5724" s="2">
        <v>0</v>
      </c>
      <c r="H5724">
        <v>0</v>
      </c>
      <c r="I5724">
        <v>0.1741125760648204</v>
      </c>
      <c r="J5724">
        <v>0</v>
      </c>
      <c r="K5724">
        <v>0</v>
      </c>
      <c r="L5724" s="2">
        <v>0</v>
      </c>
      <c r="M5724">
        <v>57.89</v>
      </c>
      <c r="N5724" t="s">
        <v>10236</v>
      </c>
    </row>
    <row r="5725" spans="1:14">
      <c r="A5725" t="s">
        <v>35</v>
      </c>
      <c r="B5725" t="s">
        <v>5833</v>
      </c>
      <c r="C5725">
        <f>"190882320058"</f>
        <v>0</v>
      </c>
      <c r="D5725">
        <v>0</v>
      </c>
      <c r="E5725">
        <v>0</v>
      </c>
      <c r="F5725" s="2">
        <v>0</v>
      </c>
      <c r="H5725">
        <v>0</v>
      </c>
      <c r="I5725">
        <v>0.1741125760648204</v>
      </c>
      <c r="J5725">
        <v>0</v>
      </c>
      <c r="K5725">
        <v>0</v>
      </c>
      <c r="L5725" s="2">
        <v>0</v>
      </c>
      <c r="M5725">
        <v>57.9</v>
      </c>
      <c r="N5725" t="s">
        <v>10236</v>
      </c>
    </row>
    <row r="5726" spans="1:14">
      <c r="A5726" t="s">
        <v>223</v>
      </c>
      <c r="B5726" t="s">
        <v>5834</v>
      </c>
      <c r="C5726">
        <f>"3441010"</f>
        <v>0</v>
      </c>
      <c r="D5726">
        <v>0</v>
      </c>
      <c r="E5726">
        <v>0</v>
      </c>
      <c r="F5726" s="2">
        <v>0</v>
      </c>
      <c r="H5726">
        <v>0</v>
      </c>
      <c r="I5726">
        <v>0.1741125760648204</v>
      </c>
      <c r="J5726">
        <v>0</v>
      </c>
      <c r="K5726">
        <v>0</v>
      </c>
      <c r="L5726" s="2">
        <v>0</v>
      </c>
      <c r="M5726">
        <v>57.91</v>
      </c>
      <c r="N5726" t="s">
        <v>10236</v>
      </c>
    </row>
    <row r="5727" spans="1:14">
      <c r="A5727" t="s">
        <v>218</v>
      </c>
      <c r="B5727" t="s">
        <v>5835</v>
      </c>
      <c r="C5727">
        <f>"insnpr0005"</f>
        <v>0</v>
      </c>
      <c r="D5727">
        <v>0</v>
      </c>
      <c r="E5727">
        <v>0</v>
      </c>
      <c r="F5727" s="2">
        <v>0</v>
      </c>
      <c r="H5727">
        <v>0</v>
      </c>
      <c r="I5727">
        <v>0.1741125760648204</v>
      </c>
      <c r="J5727">
        <v>0</v>
      </c>
      <c r="K5727">
        <v>0</v>
      </c>
      <c r="L5727" s="2">
        <v>0</v>
      </c>
      <c r="M5727">
        <v>57.92</v>
      </c>
      <c r="N5727" t="s">
        <v>10236</v>
      </c>
    </row>
    <row r="5728" spans="1:14">
      <c r="A5728" t="s">
        <v>35</v>
      </c>
      <c r="B5728" t="s">
        <v>5836</v>
      </c>
      <c r="C5728">
        <f>"HK1506"</f>
        <v>0</v>
      </c>
      <c r="D5728">
        <v>0</v>
      </c>
      <c r="E5728">
        <v>0</v>
      </c>
      <c r="F5728" s="2">
        <v>0</v>
      </c>
      <c r="H5728">
        <v>0</v>
      </c>
      <c r="I5728">
        <v>0.1741125760648204</v>
      </c>
      <c r="J5728">
        <v>0</v>
      </c>
      <c r="K5728">
        <v>0</v>
      </c>
      <c r="L5728" s="2">
        <v>0</v>
      </c>
      <c r="M5728">
        <v>57.93</v>
      </c>
      <c r="N5728" t="s">
        <v>10236</v>
      </c>
    </row>
    <row r="5729" spans="1:14">
      <c r="A5729" t="s">
        <v>35</v>
      </c>
      <c r="B5729" t="s">
        <v>5837</v>
      </c>
      <c r="C5729">
        <f>"KF8214"</f>
        <v>0</v>
      </c>
      <c r="D5729">
        <v>0</v>
      </c>
      <c r="E5729">
        <v>0</v>
      </c>
      <c r="F5729" s="2">
        <v>0</v>
      </c>
      <c r="H5729">
        <v>0</v>
      </c>
      <c r="I5729">
        <v>0.1741125760648204</v>
      </c>
      <c r="J5729">
        <v>0</v>
      </c>
      <c r="K5729">
        <v>0</v>
      </c>
      <c r="L5729" s="2">
        <v>0</v>
      </c>
      <c r="M5729">
        <v>57.94</v>
      </c>
      <c r="N5729" t="s">
        <v>10236</v>
      </c>
    </row>
    <row r="5730" spans="1:14">
      <c r="A5730" t="s">
        <v>35</v>
      </c>
      <c r="B5730" t="s">
        <v>5838</v>
      </c>
      <c r="C5730">
        <f>"kf8091"</f>
        <v>0</v>
      </c>
      <c r="D5730">
        <v>0</v>
      </c>
      <c r="E5730">
        <v>0</v>
      </c>
      <c r="F5730" s="2">
        <v>0</v>
      </c>
      <c r="H5730">
        <v>0</v>
      </c>
      <c r="I5730">
        <v>0.1741125760648204</v>
      </c>
      <c r="J5730">
        <v>0</v>
      </c>
      <c r="K5730">
        <v>0</v>
      </c>
      <c r="L5730" s="2">
        <v>0</v>
      </c>
      <c r="M5730">
        <v>57.95</v>
      </c>
      <c r="N5730" t="s">
        <v>10236</v>
      </c>
    </row>
    <row r="5731" spans="1:14">
      <c r="A5731" t="s">
        <v>35</v>
      </c>
      <c r="B5731" t="s">
        <v>5839</v>
      </c>
      <c r="C5731">
        <f>"KF8070"</f>
        <v>0</v>
      </c>
      <c r="D5731">
        <v>0</v>
      </c>
      <c r="E5731">
        <v>0</v>
      </c>
      <c r="F5731" s="2">
        <v>0</v>
      </c>
      <c r="H5731">
        <v>0</v>
      </c>
      <c r="I5731">
        <v>0.1741125760648204</v>
      </c>
      <c r="J5731">
        <v>0</v>
      </c>
      <c r="K5731">
        <v>0</v>
      </c>
      <c r="L5731" s="2">
        <v>0</v>
      </c>
      <c r="M5731">
        <v>57.95</v>
      </c>
      <c r="N5731" t="s">
        <v>10236</v>
      </c>
    </row>
    <row r="5732" spans="1:14">
      <c r="A5732" t="s">
        <v>35</v>
      </c>
      <c r="B5732" t="s">
        <v>5840</v>
      </c>
      <c r="C5732">
        <f>"kf8016CB"</f>
        <v>0</v>
      </c>
      <c r="D5732">
        <v>0</v>
      </c>
      <c r="E5732">
        <v>0</v>
      </c>
      <c r="F5732" s="2">
        <v>0</v>
      </c>
      <c r="H5732">
        <v>0</v>
      </c>
      <c r="I5732">
        <v>0.1741125760648204</v>
      </c>
      <c r="J5732">
        <v>0</v>
      </c>
      <c r="K5732">
        <v>0</v>
      </c>
      <c r="L5732" s="2">
        <v>0</v>
      </c>
      <c r="M5732">
        <v>57.96</v>
      </c>
      <c r="N5732" t="s">
        <v>10236</v>
      </c>
    </row>
    <row r="5733" spans="1:14">
      <c r="A5733" t="s">
        <v>35</v>
      </c>
      <c r="B5733" t="s">
        <v>5841</v>
      </c>
      <c r="C5733">
        <f>"KF8205R"</f>
        <v>0</v>
      </c>
      <c r="D5733">
        <v>0</v>
      </c>
      <c r="E5733">
        <v>0</v>
      </c>
      <c r="F5733" s="2">
        <v>0</v>
      </c>
      <c r="H5733">
        <v>0</v>
      </c>
      <c r="I5733">
        <v>0.1741125760648204</v>
      </c>
      <c r="J5733">
        <v>0</v>
      </c>
      <c r="K5733">
        <v>0</v>
      </c>
      <c r="L5733" s="2">
        <v>0</v>
      </c>
      <c r="M5733">
        <v>57.97</v>
      </c>
      <c r="N5733" t="s">
        <v>10236</v>
      </c>
    </row>
    <row r="5734" spans="1:14">
      <c r="A5734" t="s">
        <v>35</v>
      </c>
      <c r="B5734" t="s">
        <v>5842</v>
      </c>
      <c r="C5734">
        <f>"KF8205B"</f>
        <v>0</v>
      </c>
      <c r="D5734">
        <v>0</v>
      </c>
      <c r="E5734">
        <v>0</v>
      </c>
      <c r="F5734" s="2">
        <v>0</v>
      </c>
      <c r="H5734">
        <v>0</v>
      </c>
      <c r="I5734">
        <v>0.1741125760648204</v>
      </c>
      <c r="J5734">
        <v>0</v>
      </c>
      <c r="K5734">
        <v>0</v>
      </c>
      <c r="L5734" s="2">
        <v>0</v>
      </c>
      <c r="M5734">
        <v>57.98</v>
      </c>
      <c r="N5734" t="s">
        <v>10236</v>
      </c>
    </row>
    <row r="5735" spans="1:14">
      <c r="A5735" t="s">
        <v>29</v>
      </c>
      <c r="B5735" t="s">
        <v>5843</v>
      </c>
      <c r="C5735">
        <f>"FPM"</f>
        <v>0</v>
      </c>
      <c r="D5735">
        <v>0</v>
      </c>
      <c r="E5735">
        <v>0</v>
      </c>
      <c r="F5735" s="2">
        <v>0</v>
      </c>
      <c r="H5735">
        <v>0</v>
      </c>
      <c r="I5735">
        <v>0.1741125760648204</v>
      </c>
      <c r="J5735">
        <v>0</v>
      </c>
      <c r="K5735">
        <v>0</v>
      </c>
      <c r="L5735" s="2">
        <v>0</v>
      </c>
      <c r="M5735">
        <v>57.99</v>
      </c>
      <c r="N5735" t="s">
        <v>10236</v>
      </c>
    </row>
    <row r="5736" spans="1:14">
      <c r="A5736" t="s">
        <v>35</v>
      </c>
      <c r="B5736" t="s">
        <v>5844</v>
      </c>
      <c r="C5736">
        <f>"SG3"</f>
        <v>0</v>
      </c>
      <c r="D5736">
        <v>0</v>
      </c>
      <c r="E5736">
        <v>0</v>
      </c>
      <c r="F5736" s="2">
        <v>0</v>
      </c>
      <c r="H5736">
        <v>0</v>
      </c>
      <c r="I5736">
        <v>0.1741125760648204</v>
      </c>
      <c r="J5736">
        <v>0</v>
      </c>
      <c r="K5736">
        <v>0</v>
      </c>
      <c r="L5736" s="2">
        <v>0</v>
      </c>
      <c r="M5736">
        <v>58</v>
      </c>
      <c r="N5736" t="s">
        <v>10236</v>
      </c>
    </row>
    <row r="5737" spans="1:14">
      <c r="A5737" t="s">
        <v>35</v>
      </c>
      <c r="B5737" t="s">
        <v>5845</v>
      </c>
      <c r="C5737">
        <f>"C411"</f>
        <v>0</v>
      </c>
      <c r="D5737">
        <v>0</v>
      </c>
      <c r="E5737">
        <v>0</v>
      </c>
      <c r="F5737" s="2">
        <v>0</v>
      </c>
      <c r="H5737">
        <v>0</v>
      </c>
      <c r="I5737">
        <v>0.1741125760648204</v>
      </c>
      <c r="J5737">
        <v>0</v>
      </c>
      <c r="K5737">
        <v>0</v>
      </c>
      <c r="L5737" s="2">
        <v>0</v>
      </c>
      <c r="M5737">
        <v>58.01</v>
      </c>
      <c r="N5737" t="s">
        <v>10236</v>
      </c>
    </row>
    <row r="5738" spans="1:14">
      <c r="A5738" t="s">
        <v>218</v>
      </c>
      <c r="B5738" t="s">
        <v>5846</v>
      </c>
      <c r="C5738">
        <f>"1007811"</f>
        <v>0</v>
      </c>
      <c r="D5738">
        <v>0</v>
      </c>
      <c r="E5738">
        <v>0</v>
      </c>
      <c r="F5738" s="2">
        <v>0</v>
      </c>
      <c r="H5738">
        <v>0</v>
      </c>
      <c r="I5738">
        <v>0.1741125760648204</v>
      </c>
      <c r="J5738">
        <v>0</v>
      </c>
      <c r="K5738">
        <v>0</v>
      </c>
      <c r="L5738" s="2">
        <v>0</v>
      </c>
      <c r="M5738">
        <v>58.02</v>
      </c>
      <c r="N5738" t="s">
        <v>10236</v>
      </c>
    </row>
    <row r="5739" spans="1:14">
      <c r="A5739" t="s">
        <v>35</v>
      </c>
      <c r="B5739" t="s">
        <v>5847</v>
      </c>
      <c r="C5739">
        <f>"XDB433G"</f>
        <v>0</v>
      </c>
      <c r="D5739">
        <v>0</v>
      </c>
      <c r="E5739">
        <v>1</v>
      </c>
      <c r="F5739" s="2">
        <v>18</v>
      </c>
      <c r="H5739">
        <v>0</v>
      </c>
      <c r="I5739">
        <v>0.1741125760648204</v>
      </c>
      <c r="J5739">
        <v>0</v>
      </c>
      <c r="K5739">
        <v>0</v>
      </c>
      <c r="L5739" s="2">
        <v>0</v>
      </c>
      <c r="M5739">
        <v>58.03</v>
      </c>
      <c r="N5739" t="s">
        <v>10236</v>
      </c>
    </row>
    <row r="5740" spans="1:14">
      <c r="A5740" t="s">
        <v>35</v>
      </c>
      <c r="B5740" t="s">
        <v>5848</v>
      </c>
      <c r="C5740">
        <f>"XDB433BE"</f>
        <v>0</v>
      </c>
      <c r="D5740">
        <v>0</v>
      </c>
      <c r="E5740">
        <v>9</v>
      </c>
      <c r="F5740" s="2">
        <v>19</v>
      </c>
      <c r="H5740">
        <v>0</v>
      </c>
      <c r="I5740">
        <v>0.1741125760648204</v>
      </c>
      <c r="J5740">
        <v>0</v>
      </c>
      <c r="K5740">
        <v>0</v>
      </c>
      <c r="L5740" s="2">
        <v>0</v>
      </c>
      <c r="M5740">
        <v>58.04</v>
      </c>
      <c r="N5740" t="s">
        <v>10236</v>
      </c>
    </row>
    <row r="5741" spans="1:14">
      <c r="A5741" t="s">
        <v>35</v>
      </c>
      <c r="B5741" t="s">
        <v>5849</v>
      </c>
      <c r="C5741">
        <f>"XDB433AM"</f>
        <v>0</v>
      </c>
      <c r="D5741">
        <v>0</v>
      </c>
      <c r="E5741">
        <v>0</v>
      </c>
      <c r="F5741" s="2">
        <v>0</v>
      </c>
      <c r="H5741">
        <v>0</v>
      </c>
      <c r="I5741">
        <v>0.1741125760648204</v>
      </c>
      <c r="J5741">
        <v>0</v>
      </c>
      <c r="K5741">
        <v>0</v>
      </c>
      <c r="L5741" s="2">
        <v>0</v>
      </c>
      <c r="M5741">
        <v>58.05</v>
      </c>
      <c r="N5741" t="s">
        <v>10236</v>
      </c>
    </row>
    <row r="5742" spans="1:14">
      <c r="A5742" t="s">
        <v>35</v>
      </c>
      <c r="B5742" t="s">
        <v>5850</v>
      </c>
      <c r="C5742">
        <f>"KF8212"</f>
        <v>0</v>
      </c>
      <c r="D5742">
        <v>0</v>
      </c>
      <c r="E5742">
        <v>0</v>
      </c>
      <c r="F5742" s="2">
        <v>0</v>
      </c>
      <c r="H5742">
        <v>0</v>
      </c>
      <c r="I5742">
        <v>0.1741125760648204</v>
      </c>
      <c r="J5742">
        <v>0</v>
      </c>
      <c r="K5742">
        <v>0</v>
      </c>
      <c r="L5742" s="2">
        <v>0</v>
      </c>
      <c r="M5742">
        <v>58.06</v>
      </c>
      <c r="N5742" t="s">
        <v>10236</v>
      </c>
    </row>
    <row r="5743" spans="1:14">
      <c r="A5743" t="s">
        <v>35</v>
      </c>
      <c r="B5743" t="s">
        <v>5851</v>
      </c>
      <c r="C5743">
        <f>"IC0070A"</f>
        <v>0</v>
      </c>
      <c r="D5743">
        <v>0</v>
      </c>
      <c r="E5743">
        <v>0</v>
      </c>
      <c r="F5743" s="2">
        <v>0</v>
      </c>
      <c r="H5743">
        <v>0</v>
      </c>
      <c r="I5743">
        <v>0.1741125760648204</v>
      </c>
      <c r="J5743">
        <v>0</v>
      </c>
      <c r="K5743">
        <v>0</v>
      </c>
      <c r="L5743" s="2">
        <v>0</v>
      </c>
      <c r="M5743">
        <v>58.07</v>
      </c>
      <c r="N5743" t="s">
        <v>10236</v>
      </c>
    </row>
    <row r="5744" spans="1:14">
      <c r="A5744" t="s">
        <v>35</v>
      </c>
      <c r="B5744" t="s">
        <v>5852</v>
      </c>
      <c r="C5744">
        <f>"XX21066"</f>
        <v>0</v>
      </c>
      <c r="D5744">
        <v>0</v>
      </c>
      <c r="E5744">
        <v>0</v>
      </c>
      <c r="F5744" s="2">
        <v>0</v>
      </c>
      <c r="H5744">
        <v>0</v>
      </c>
      <c r="I5744">
        <v>0.1741125760648204</v>
      </c>
      <c r="J5744">
        <v>0</v>
      </c>
      <c r="K5744">
        <v>0</v>
      </c>
      <c r="L5744" s="2">
        <v>0</v>
      </c>
      <c r="M5744">
        <v>58.07</v>
      </c>
      <c r="N5744" t="s">
        <v>10236</v>
      </c>
    </row>
    <row r="5745" spans="1:14">
      <c r="A5745" t="s">
        <v>35</v>
      </c>
      <c r="B5745" t="s">
        <v>5853</v>
      </c>
      <c r="C5745">
        <f>"kf8033a"</f>
        <v>0</v>
      </c>
      <c r="D5745">
        <v>0</v>
      </c>
      <c r="E5745">
        <v>0</v>
      </c>
      <c r="F5745" s="2">
        <v>0</v>
      </c>
      <c r="H5745">
        <v>0</v>
      </c>
      <c r="I5745">
        <v>0.1741125760648204</v>
      </c>
      <c r="J5745">
        <v>0</v>
      </c>
      <c r="K5745">
        <v>0</v>
      </c>
      <c r="L5745" s="2">
        <v>0</v>
      </c>
      <c r="M5745">
        <v>58.08</v>
      </c>
      <c r="N5745" t="s">
        <v>10236</v>
      </c>
    </row>
    <row r="5746" spans="1:14">
      <c r="A5746" t="s">
        <v>35</v>
      </c>
      <c r="B5746" t="s">
        <v>5854</v>
      </c>
      <c r="C5746">
        <f>"DS03"</f>
        <v>0</v>
      </c>
      <c r="D5746">
        <v>0</v>
      </c>
      <c r="E5746">
        <v>0</v>
      </c>
      <c r="F5746" s="2">
        <v>0</v>
      </c>
      <c r="H5746">
        <v>0</v>
      </c>
      <c r="I5746">
        <v>0.1741125760648204</v>
      </c>
      <c r="J5746">
        <v>0</v>
      </c>
      <c r="K5746">
        <v>0</v>
      </c>
      <c r="L5746" s="2">
        <v>0</v>
      </c>
      <c r="M5746">
        <v>58.09</v>
      </c>
      <c r="N5746" t="s">
        <v>10236</v>
      </c>
    </row>
    <row r="5747" spans="1:14">
      <c r="A5747" t="s">
        <v>35</v>
      </c>
      <c r="B5747" t="s">
        <v>5855</v>
      </c>
      <c r="C5747">
        <f>"KF8056C"</f>
        <v>0</v>
      </c>
      <c r="D5747">
        <v>0</v>
      </c>
      <c r="E5747">
        <v>0</v>
      </c>
      <c r="F5747" s="2">
        <v>0</v>
      </c>
      <c r="H5747">
        <v>0</v>
      </c>
      <c r="I5747">
        <v>0.1741125760648204</v>
      </c>
      <c r="J5747">
        <v>0</v>
      </c>
      <c r="K5747">
        <v>0</v>
      </c>
      <c r="L5747" s="2">
        <v>0</v>
      </c>
      <c r="M5747">
        <v>58.1</v>
      </c>
      <c r="N5747" t="s">
        <v>10236</v>
      </c>
    </row>
    <row r="5748" spans="1:14">
      <c r="A5748" t="s">
        <v>35</v>
      </c>
      <c r="B5748" t="s">
        <v>5856</v>
      </c>
      <c r="C5748">
        <f>"23HT11"</f>
        <v>0</v>
      </c>
      <c r="D5748">
        <v>0</v>
      </c>
      <c r="E5748">
        <v>2</v>
      </c>
      <c r="F5748" s="2">
        <v>5</v>
      </c>
      <c r="H5748">
        <v>0</v>
      </c>
      <c r="I5748">
        <v>0.1741125760648204</v>
      </c>
      <c r="J5748">
        <v>0</v>
      </c>
      <c r="K5748">
        <v>0</v>
      </c>
      <c r="L5748" s="2">
        <v>0</v>
      </c>
      <c r="M5748">
        <v>58.11</v>
      </c>
      <c r="N5748" t="s">
        <v>10236</v>
      </c>
    </row>
    <row r="5749" spans="1:14">
      <c r="A5749" t="s">
        <v>35</v>
      </c>
      <c r="B5749" t="s">
        <v>5857</v>
      </c>
      <c r="C5749">
        <f>"23HT12"</f>
        <v>0</v>
      </c>
      <c r="D5749">
        <v>0</v>
      </c>
      <c r="E5749">
        <v>2</v>
      </c>
      <c r="F5749" s="2">
        <v>5</v>
      </c>
      <c r="H5749">
        <v>0</v>
      </c>
      <c r="I5749">
        <v>0.1741125760648204</v>
      </c>
      <c r="J5749">
        <v>0</v>
      </c>
      <c r="K5749">
        <v>0</v>
      </c>
      <c r="L5749" s="2">
        <v>0</v>
      </c>
      <c r="M5749">
        <v>58.12</v>
      </c>
      <c r="N5749" t="s">
        <v>10236</v>
      </c>
    </row>
    <row r="5750" spans="1:14">
      <c r="A5750" t="s">
        <v>35</v>
      </c>
      <c r="B5750" t="s">
        <v>5858</v>
      </c>
      <c r="C5750">
        <f>"IC0070N"</f>
        <v>0</v>
      </c>
      <c r="D5750">
        <v>0</v>
      </c>
      <c r="E5750">
        <v>0</v>
      </c>
      <c r="F5750" s="2">
        <v>0</v>
      </c>
      <c r="H5750">
        <v>0</v>
      </c>
      <c r="I5750">
        <v>0.1741125760648204</v>
      </c>
      <c r="J5750">
        <v>0</v>
      </c>
      <c r="K5750">
        <v>0</v>
      </c>
      <c r="L5750" s="2">
        <v>0</v>
      </c>
      <c r="M5750">
        <v>58.13</v>
      </c>
      <c r="N5750" t="s">
        <v>10236</v>
      </c>
    </row>
    <row r="5751" spans="1:14">
      <c r="A5751" t="s">
        <v>35</v>
      </c>
      <c r="B5751" t="s">
        <v>5859</v>
      </c>
      <c r="C5751">
        <f>"DS56"</f>
        <v>0</v>
      </c>
      <c r="D5751">
        <v>0</v>
      </c>
      <c r="E5751">
        <v>0</v>
      </c>
      <c r="F5751" s="2">
        <v>0</v>
      </c>
      <c r="H5751">
        <v>0</v>
      </c>
      <c r="I5751">
        <v>0.1741125760648204</v>
      </c>
      <c r="J5751">
        <v>0</v>
      </c>
      <c r="K5751">
        <v>0</v>
      </c>
      <c r="L5751" s="2">
        <v>0</v>
      </c>
      <c r="M5751">
        <v>58.14</v>
      </c>
      <c r="N5751" t="s">
        <v>10236</v>
      </c>
    </row>
    <row r="5752" spans="1:14">
      <c r="A5752" t="s">
        <v>35</v>
      </c>
      <c r="B5752" t="s">
        <v>5860</v>
      </c>
      <c r="C5752">
        <f>"DS55"</f>
        <v>0</v>
      </c>
      <c r="D5752">
        <v>0</v>
      </c>
      <c r="E5752">
        <v>0</v>
      </c>
      <c r="F5752" s="2">
        <v>0</v>
      </c>
      <c r="H5752">
        <v>0</v>
      </c>
      <c r="I5752">
        <v>0.1741125760648204</v>
      </c>
      <c r="J5752">
        <v>0</v>
      </c>
      <c r="K5752">
        <v>0</v>
      </c>
      <c r="L5752" s="2">
        <v>0</v>
      </c>
      <c r="M5752">
        <v>58.15</v>
      </c>
      <c r="N5752" t="s">
        <v>10236</v>
      </c>
    </row>
    <row r="5753" spans="1:14">
      <c r="A5753" t="s">
        <v>35</v>
      </c>
      <c r="B5753" t="s">
        <v>5861</v>
      </c>
      <c r="C5753">
        <f>"MZB11"</f>
        <v>0</v>
      </c>
      <c r="D5753">
        <v>0</v>
      </c>
      <c r="E5753">
        <v>0</v>
      </c>
      <c r="F5753" s="2">
        <v>0</v>
      </c>
      <c r="H5753">
        <v>0</v>
      </c>
      <c r="I5753">
        <v>0.1741125760648204</v>
      </c>
      <c r="J5753">
        <v>0</v>
      </c>
      <c r="K5753">
        <v>0</v>
      </c>
      <c r="L5753" s="2">
        <v>0</v>
      </c>
      <c r="M5753">
        <v>58.16</v>
      </c>
      <c r="N5753" t="s">
        <v>10236</v>
      </c>
    </row>
    <row r="5754" spans="1:14">
      <c r="A5754" t="s">
        <v>35</v>
      </c>
      <c r="B5754" t="s">
        <v>5862</v>
      </c>
      <c r="C5754">
        <f>"LJQ0009"</f>
        <v>0</v>
      </c>
      <c r="D5754">
        <v>0</v>
      </c>
      <c r="E5754">
        <v>0</v>
      </c>
      <c r="F5754" s="2">
        <v>0</v>
      </c>
      <c r="H5754">
        <v>0</v>
      </c>
      <c r="I5754">
        <v>0.1741125760648204</v>
      </c>
      <c r="J5754">
        <v>0</v>
      </c>
      <c r="K5754">
        <v>0</v>
      </c>
      <c r="L5754" s="2">
        <v>0</v>
      </c>
      <c r="M5754">
        <v>58.17</v>
      </c>
      <c r="N5754" t="s">
        <v>10236</v>
      </c>
    </row>
    <row r="5755" spans="1:14">
      <c r="A5755" t="s">
        <v>29</v>
      </c>
      <c r="B5755" t="s">
        <v>5863</v>
      </c>
      <c r="C5755">
        <f>"LBL03"</f>
        <v>0</v>
      </c>
      <c r="D5755">
        <v>0</v>
      </c>
      <c r="E5755">
        <v>0</v>
      </c>
      <c r="F5755" s="2">
        <v>0</v>
      </c>
      <c r="H5755">
        <v>0</v>
      </c>
      <c r="I5755">
        <v>0.1741125760648204</v>
      </c>
      <c r="J5755">
        <v>0</v>
      </c>
      <c r="K5755">
        <v>0</v>
      </c>
      <c r="L5755" s="2">
        <v>0</v>
      </c>
      <c r="M5755">
        <v>58.18</v>
      </c>
      <c r="N5755" t="s">
        <v>10236</v>
      </c>
    </row>
    <row r="5756" spans="1:14">
      <c r="A5756" t="s">
        <v>35</v>
      </c>
      <c r="B5756" t="s">
        <v>5864</v>
      </c>
      <c r="C5756">
        <f>"PT2003"</f>
        <v>0</v>
      </c>
      <c r="D5756">
        <v>0</v>
      </c>
      <c r="E5756">
        <v>0</v>
      </c>
      <c r="F5756" s="2">
        <v>0</v>
      </c>
      <c r="H5756">
        <v>0</v>
      </c>
      <c r="I5756">
        <v>0.1741125760648204</v>
      </c>
      <c r="J5756">
        <v>0</v>
      </c>
      <c r="K5756">
        <v>0</v>
      </c>
      <c r="L5756" s="2">
        <v>0</v>
      </c>
      <c r="M5756">
        <v>58.19</v>
      </c>
      <c r="N5756" t="s">
        <v>10236</v>
      </c>
    </row>
    <row r="5757" spans="1:14">
      <c r="A5757" t="s">
        <v>35</v>
      </c>
      <c r="B5757" t="s">
        <v>5865</v>
      </c>
      <c r="C5757">
        <f>"ER001L"</f>
        <v>0</v>
      </c>
      <c r="D5757">
        <v>0</v>
      </c>
      <c r="E5757">
        <v>4</v>
      </c>
      <c r="F5757" s="2">
        <v>3</v>
      </c>
      <c r="H5757">
        <v>0</v>
      </c>
      <c r="I5757">
        <v>0.1741125760648204</v>
      </c>
      <c r="J5757">
        <v>0</v>
      </c>
      <c r="K5757">
        <v>0</v>
      </c>
      <c r="L5757" s="2">
        <v>0</v>
      </c>
      <c r="M5757">
        <v>58.19</v>
      </c>
      <c r="N5757" t="s">
        <v>10236</v>
      </c>
    </row>
    <row r="5758" spans="1:14">
      <c r="A5758" t="s">
        <v>35</v>
      </c>
      <c r="B5758" t="s">
        <v>5866</v>
      </c>
      <c r="C5758">
        <f>"PP044C"</f>
        <v>0</v>
      </c>
      <c r="D5758">
        <v>0</v>
      </c>
      <c r="E5758">
        <v>0</v>
      </c>
      <c r="F5758" s="2">
        <v>0</v>
      </c>
      <c r="H5758">
        <v>0</v>
      </c>
      <c r="I5758">
        <v>0.1741125760648204</v>
      </c>
      <c r="J5758">
        <v>0</v>
      </c>
      <c r="K5758">
        <v>0</v>
      </c>
      <c r="L5758" s="2">
        <v>0</v>
      </c>
      <c r="M5758">
        <v>58.2</v>
      </c>
      <c r="N5758" t="s">
        <v>10236</v>
      </c>
    </row>
    <row r="5759" spans="1:14">
      <c r="A5759" t="s">
        <v>35</v>
      </c>
      <c r="B5759" t="s">
        <v>5867</v>
      </c>
      <c r="C5759">
        <f>"3026"</f>
        <v>0</v>
      </c>
      <c r="D5759">
        <v>0</v>
      </c>
      <c r="E5759">
        <v>0</v>
      </c>
      <c r="F5759" s="2">
        <v>0</v>
      </c>
      <c r="H5759">
        <v>0</v>
      </c>
      <c r="I5759">
        <v>0.1741125760648204</v>
      </c>
      <c r="J5759">
        <v>0</v>
      </c>
      <c r="K5759">
        <v>0</v>
      </c>
      <c r="L5759" s="2">
        <v>0</v>
      </c>
      <c r="M5759">
        <v>58.21</v>
      </c>
      <c r="N5759" t="s">
        <v>10236</v>
      </c>
    </row>
    <row r="5760" spans="1:14">
      <c r="A5760" t="s">
        <v>32</v>
      </c>
      <c r="B5760" t="s">
        <v>5868</v>
      </c>
      <c r="C5760">
        <f>"1014060"</f>
        <v>0</v>
      </c>
      <c r="D5760">
        <v>0</v>
      </c>
      <c r="E5760">
        <v>0</v>
      </c>
      <c r="F5760" s="2">
        <v>0</v>
      </c>
      <c r="H5760">
        <v>0</v>
      </c>
      <c r="I5760">
        <v>0.1741125760648204</v>
      </c>
      <c r="J5760">
        <v>0</v>
      </c>
      <c r="K5760">
        <v>0</v>
      </c>
      <c r="L5760" s="2">
        <v>0</v>
      </c>
      <c r="M5760">
        <v>58.22</v>
      </c>
      <c r="N5760" t="s">
        <v>10236</v>
      </c>
    </row>
    <row r="5761" spans="1:14">
      <c r="A5761" t="s">
        <v>29</v>
      </c>
      <c r="B5761" t="s">
        <v>5869</v>
      </c>
      <c r="C5761">
        <f>"11365"</f>
        <v>0</v>
      </c>
      <c r="D5761">
        <v>0</v>
      </c>
      <c r="E5761">
        <v>0</v>
      </c>
      <c r="F5761" s="2">
        <v>0</v>
      </c>
      <c r="H5761">
        <v>0</v>
      </c>
      <c r="I5761">
        <v>0.1741125760648204</v>
      </c>
      <c r="J5761">
        <v>0</v>
      </c>
      <c r="K5761">
        <v>0</v>
      </c>
      <c r="L5761" s="2">
        <v>0</v>
      </c>
      <c r="M5761">
        <v>58.23</v>
      </c>
      <c r="N5761" t="s">
        <v>10236</v>
      </c>
    </row>
    <row r="5762" spans="1:14">
      <c r="A5762" t="s">
        <v>214</v>
      </c>
      <c r="B5762" t="s">
        <v>5870</v>
      </c>
      <c r="C5762">
        <f>"11341"</f>
        <v>0</v>
      </c>
      <c r="D5762">
        <v>0</v>
      </c>
      <c r="E5762">
        <v>10</v>
      </c>
      <c r="F5762" s="2">
        <v>1</v>
      </c>
      <c r="H5762">
        <v>0</v>
      </c>
      <c r="I5762">
        <v>0.1741125760648204</v>
      </c>
      <c r="J5762">
        <v>0</v>
      </c>
      <c r="K5762">
        <v>0</v>
      </c>
      <c r="L5762" s="2">
        <v>0</v>
      </c>
      <c r="M5762">
        <v>58.24</v>
      </c>
      <c r="N5762" t="s">
        <v>10236</v>
      </c>
    </row>
    <row r="5763" spans="1:14">
      <c r="A5763" t="s">
        <v>214</v>
      </c>
      <c r="B5763" t="s">
        <v>5871</v>
      </c>
      <c r="C5763">
        <f>"11363"</f>
        <v>0</v>
      </c>
      <c r="D5763">
        <v>0</v>
      </c>
      <c r="E5763">
        <v>2</v>
      </c>
      <c r="F5763" s="2">
        <v>1</v>
      </c>
      <c r="H5763">
        <v>0</v>
      </c>
      <c r="I5763">
        <v>0.1741125760648204</v>
      </c>
      <c r="J5763">
        <v>0</v>
      </c>
      <c r="K5763">
        <v>0</v>
      </c>
      <c r="L5763" s="2">
        <v>0</v>
      </c>
      <c r="M5763">
        <v>58.25</v>
      </c>
      <c r="N5763" t="s">
        <v>10236</v>
      </c>
    </row>
    <row r="5764" spans="1:14">
      <c r="A5764" t="s">
        <v>214</v>
      </c>
      <c r="B5764" t="s">
        <v>5872</v>
      </c>
      <c r="C5764">
        <f>"11366"</f>
        <v>0</v>
      </c>
      <c r="D5764">
        <v>0</v>
      </c>
      <c r="E5764">
        <v>0</v>
      </c>
      <c r="F5764" s="2">
        <v>0</v>
      </c>
      <c r="H5764">
        <v>0</v>
      </c>
      <c r="I5764">
        <v>0.1741125760648204</v>
      </c>
      <c r="J5764">
        <v>0</v>
      </c>
      <c r="K5764">
        <v>0</v>
      </c>
      <c r="L5764" s="2">
        <v>0</v>
      </c>
      <c r="M5764">
        <v>58.26</v>
      </c>
      <c r="N5764" t="s">
        <v>10236</v>
      </c>
    </row>
    <row r="5765" spans="1:14">
      <c r="A5765" t="s">
        <v>29</v>
      </c>
      <c r="B5765" t="s">
        <v>5873</v>
      </c>
      <c r="C5765">
        <f>"11364"</f>
        <v>0</v>
      </c>
      <c r="D5765">
        <v>0</v>
      </c>
      <c r="E5765">
        <v>0</v>
      </c>
      <c r="F5765" s="2">
        <v>0</v>
      </c>
      <c r="H5765">
        <v>0</v>
      </c>
      <c r="I5765">
        <v>0.1741125760648204</v>
      </c>
      <c r="J5765">
        <v>0</v>
      </c>
      <c r="K5765">
        <v>0</v>
      </c>
      <c r="L5765" s="2">
        <v>0</v>
      </c>
      <c r="M5765">
        <v>58.27</v>
      </c>
      <c r="N5765" t="s">
        <v>10236</v>
      </c>
    </row>
    <row r="5766" spans="1:14">
      <c r="A5766" t="s">
        <v>29</v>
      </c>
      <c r="B5766" t="s">
        <v>5874</v>
      </c>
      <c r="C5766">
        <f>"77504"</f>
        <v>0</v>
      </c>
      <c r="D5766">
        <v>0</v>
      </c>
      <c r="E5766">
        <v>1</v>
      </c>
      <c r="F5766" s="2">
        <v>5</v>
      </c>
      <c r="H5766">
        <v>0</v>
      </c>
      <c r="I5766">
        <v>0.1741125760648204</v>
      </c>
      <c r="J5766">
        <v>0</v>
      </c>
      <c r="K5766">
        <v>0</v>
      </c>
      <c r="L5766" s="2">
        <v>0</v>
      </c>
      <c r="M5766">
        <v>58.28</v>
      </c>
      <c r="N5766" t="s">
        <v>10236</v>
      </c>
    </row>
    <row r="5767" spans="1:14">
      <c r="A5767" t="s">
        <v>32</v>
      </c>
      <c r="B5767" t="s">
        <v>5875</v>
      </c>
      <c r="C5767">
        <f>"5000267"</f>
        <v>0</v>
      </c>
      <c r="D5767">
        <v>0</v>
      </c>
      <c r="E5767">
        <v>0</v>
      </c>
      <c r="F5767" s="2">
        <v>0</v>
      </c>
      <c r="H5767">
        <v>0</v>
      </c>
      <c r="I5767">
        <v>0.1741125760648204</v>
      </c>
      <c r="J5767">
        <v>0</v>
      </c>
      <c r="K5767">
        <v>0</v>
      </c>
      <c r="L5767" s="2">
        <v>0</v>
      </c>
      <c r="M5767">
        <v>58.29</v>
      </c>
      <c r="N5767" t="s">
        <v>10236</v>
      </c>
    </row>
    <row r="5768" spans="1:14">
      <c r="A5768" t="s">
        <v>35</v>
      </c>
      <c r="B5768" t="s">
        <v>5876</v>
      </c>
      <c r="C5768">
        <f>"LMV01L"</f>
        <v>0</v>
      </c>
      <c r="D5768">
        <v>0</v>
      </c>
      <c r="E5768">
        <v>0</v>
      </c>
      <c r="F5768" s="2">
        <v>0</v>
      </c>
      <c r="H5768">
        <v>0</v>
      </c>
      <c r="I5768">
        <v>0.1741125760648204</v>
      </c>
      <c r="J5768">
        <v>0</v>
      </c>
      <c r="K5768">
        <v>0</v>
      </c>
      <c r="L5768" s="2">
        <v>0</v>
      </c>
      <c r="M5768">
        <v>58.3</v>
      </c>
      <c r="N5768" t="s">
        <v>10236</v>
      </c>
    </row>
    <row r="5769" spans="1:14">
      <c r="A5769" t="s">
        <v>35</v>
      </c>
      <c r="B5769" t="s">
        <v>5877</v>
      </c>
      <c r="C5769">
        <f>"LMV01S"</f>
        <v>0</v>
      </c>
      <c r="D5769">
        <v>0</v>
      </c>
      <c r="E5769">
        <v>0</v>
      </c>
      <c r="F5769" s="2">
        <v>0</v>
      </c>
      <c r="H5769">
        <v>0</v>
      </c>
      <c r="I5769">
        <v>0.1741125760648204</v>
      </c>
      <c r="J5769">
        <v>0</v>
      </c>
      <c r="K5769">
        <v>0</v>
      </c>
      <c r="L5769" s="2">
        <v>0</v>
      </c>
      <c r="M5769">
        <v>58.31</v>
      </c>
      <c r="N5769" t="s">
        <v>10236</v>
      </c>
    </row>
    <row r="5770" spans="1:14">
      <c r="A5770" t="s">
        <v>35</v>
      </c>
      <c r="B5770" t="s">
        <v>5878</v>
      </c>
      <c r="C5770">
        <f>"KF1035"</f>
        <v>0</v>
      </c>
      <c r="D5770">
        <v>0</v>
      </c>
      <c r="E5770">
        <v>0</v>
      </c>
      <c r="F5770" s="2">
        <v>0</v>
      </c>
      <c r="H5770">
        <v>0</v>
      </c>
      <c r="I5770">
        <v>0.1741125760648204</v>
      </c>
      <c r="J5770">
        <v>0</v>
      </c>
      <c r="K5770">
        <v>0</v>
      </c>
      <c r="L5770" s="2">
        <v>0</v>
      </c>
      <c r="M5770">
        <v>58.31</v>
      </c>
      <c r="N5770" t="s">
        <v>10236</v>
      </c>
    </row>
    <row r="5771" spans="1:14">
      <c r="A5771" t="s">
        <v>35</v>
      </c>
      <c r="B5771" t="s">
        <v>5879</v>
      </c>
      <c r="C5771">
        <f>"IC0047"</f>
        <v>0</v>
      </c>
      <c r="D5771">
        <v>0</v>
      </c>
      <c r="E5771">
        <v>0</v>
      </c>
      <c r="F5771" s="2">
        <v>0</v>
      </c>
      <c r="H5771">
        <v>0</v>
      </c>
      <c r="I5771">
        <v>0.1741125760648204</v>
      </c>
      <c r="J5771">
        <v>0</v>
      </c>
      <c r="K5771">
        <v>0</v>
      </c>
      <c r="L5771" s="2">
        <v>0</v>
      </c>
      <c r="M5771">
        <v>58.32</v>
      </c>
      <c r="N5771" t="s">
        <v>10236</v>
      </c>
    </row>
    <row r="5772" spans="1:14">
      <c r="A5772" t="s">
        <v>35</v>
      </c>
      <c r="B5772" t="s">
        <v>5880</v>
      </c>
      <c r="C5772">
        <f>"33HT1"</f>
        <v>0</v>
      </c>
      <c r="D5772">
        <v>0</v>
      </c>
      <c r="E5772">
        <v>0</v>
      </c>
      <c r="F5772" s="2">
        <v>0</v>
      </c>
      <c r="H5772">
        <v>0</v>
      </c>
      <c r="I5772">
        <v>0.1741125760648204</v>
      </c>
      <c r="J5772">
        <v>0</v>
      </c>
      <c r="K5772">
        <v>0</v>
      </c>
      <c r="L5772" s="2">
        <v>0</v>
      </c>
      <c r="M5772">
        <v>58.33</v>
      </c>
      <c r="N5772" t="s">
        <v>10236</v>
      </c>
    </row>
    <row r="5773" spans="1:14">
      <c r="A5773" t="s">
        <v>35</v>
      </c>
      <c r="B5773" t="s">
        <v>5881</v>
      </c>
      <c r="C5773">
        <f>"pp168c"</f>
        <v>0</v>
      </c>
      <c r="D5773">
        <v>0</v>
      </c>
      <c r="E5773">
        <v>1</v>
      </c>
      <c r="F5773" s="2">
        <v>47</v>
      </c>
      <c r="H5773">
        <v>0</v>
      </c>
      <c r="I5773">
        <v>0.1741125760648204</v>
      </c>
      <c r="J5773">
        <v>0</v>
      </c>
      <c r="K5773">
        <v>0</v>
      </c>
      <c r="L5773" s="2">
        <v>0</v>
      </c>
      <c r="M5773">
        <v>58.34</v>
      </c>
      <c r="N5773" t="s">
        <v>10236</v>
      </c>
    </row>
    <row r="5774" spans="1:14">
      <c r="A5774" t="s">
        <v>35</v>
      </c>
      <c r="B5774" t="s">
        <v>5882</v>
      </c>
      <c r="C5774">
        <f>"LO80704"</f>
        <v>0</v>
      </c>
      <c r="D5774">
        <v>0</v>
      </c>
      <c r="E5774">
        <v>0</v>
      </c>
      <c r="F5774" s="2">
        <v>0</v>
      </c>
      <c r="H5774">
        <v>0</v>
      </c>
      <c r="I5774">
        <v>0.1741125760648204</v>
      </c>
      <c r="J5774">
        <v>0</v>
      </c>
      <c r="K5774">
        <v>0</v>
      </c>
      <c r="L5774" s="2">
        <v>0</v>
      </c>
      <c r="M5774">
        <v>58.35</v>
      </c>
      <c r="N5774" t="s">
        <v>10236</v>
      </c>
    </row>
    <row r="5775" spans="1:14">
      <c r="A5775" t="s">
        <v>29</v>
      </c>
      <c r="B5775" t="s">
        <v>5883</v>
      </c>
      <c r="C5775">
        <f>"PULGA100"</f>
        <v>0</v>
      </c>
      <c r="D5775">
        <v>0</v>
      </c>
      <c r="E5775">
        <v>0</v>
      </c>
      <c r="F5775" s="2">
        <v>0</v>
      </c>
      <c r="H5775">
        <v>0</v>
      </c>
      <c r="I5775">
        <v>0.1741125760648204</v>
      </c>
      <c r="J5775">
        <v>0</v>
      </c>
      <c r="K5775">
        <v>0</v>
      </c>
      <c r="L5775" s="2">
        <v>0</v>
      </c>
      <c r="M5775">
        <v>58.36</v>
      </c>
      <c r="N5775" t="s">
        <v>10236</v>
      </c>
    </row>
    <row r="5776" spans="1:14">
      <c r="A5776" t="s">
        <v>204</v>
      </c>
      <c r="B5776" t="s">
        <v>5884</v>
      </c>
      <c r="C5776">
        <f>"12482280"</f>
        <v>0</v>
      </c>
      <c r="D5776">
        <v>0</v>
      </c>
      <c r="E5776">
        <v>0</v>
      </c>
      <c r="F5776" s="2">
        <v>0</v>
      </c>
      <c r="H5776">
        <v>0</v>
      </c>
      <c r="I5776">
        <v>0.1741125760648204</v>
      </c>
      <c r="J5776">
        <v>0</v>
      </c>
      <c r="K5776">
        <v>0</v>
      </c>
      <c r="L5776" s="2">
        <v>0</v>
      </c>
      <c r="M5776">
        <v>58.37</v>
      </c>
      <c r="N5776" t="s">
        <v>10236</v>
      </c>
    </row>
    <row r="5777" spans="1:14">
      <c r="A5777" t="s">
        <v>35</v>
      </c>
      <c r="B5777" t="s">
        <v>2217</v>
      </c>
      <c r="C5777">
        <f>"C401"</f>
        <v>0</v>
      </c>
      <c r="D5777">
        <v>0</v>
      </c>
      <c r="E5777">
        <v>20</v>
      </c>
      <c r="F5777" s="2">
        <v>4</v>
      </c>
      <c r="H5777">
        <v>0</v>
      </c>
      <c r="I5777">
        <v>0.1741125760648204</v>
      </c>
      <c r="J5777">
        <v>0</v>
      </c>
      <c r="K5777">
        <v>0</v>
      </c>
      <c r="L5777" s="2">
        <v>0</v>
      </c>
      <c r="M5777">
        <v>58.38</v>
      </c>
      <c r="N5777" t="s">
        <v>10236</v>
      </c>
    </row>
    <row r="5778" spans="1:14">
      <c r="A5778" t="s">
        <v>35</v>
      </c>
      <c r="B5778" t="s">
        <v>5885</v>
      </c>
      <c r="C5778">
        <f>"C408"</f>
        <v>0</v>
      </c>
      <c r="D5778">
        <v>0</v>
      </c>
      <c r="E5778">
        <v>1</v>
      </c>
      <c r="F5778" s="2">
        <v>5</v>
      </c>
      <c r="H5778">
        <v>0</v>
      </c>
      <c r="I5778">
        <v>0.1741125760648204</v>
      </c>
      <c r="J5778">
        <v>0</v>
      </c>
      <c r="K5778">
        <v>0</v>
      </c>
      <c r="L5778" s="2">
        <v>0</v>
      </c>
      <c r="M5778">
        <v>58.39</v>
      </c>
      <c r="N5778" t="s">
        <v>10236</v>
      </c>
    </row>
    <row r="5779" spans="1:14">
      <c r="A5779" t="s">
        <v>35</v>
      </c>
      <c r="B5779" t="s">
        <v>5886</v>
      </c>
      <c r="C5779">
        <f>"C403"</f>
        <v>0</v>
      </c>
      <c r="D5779">
        <v>0</v>
      </c>
      <c r="E5779">
        <v>18</v>
      </c>
      <c r="F5779" s="2">
        <v>4</v>
      </c>
      <c r="H5779">
        <v>0</v>
      </c>
      <c r="I5779">
        <v>0.1741125760648204</v>
      </c>
      <c r="J5779">
        <v>0</v>
      </c>
      <c r="K5779">
        <v>0</v>
      </c>
      <c r="L5779" s="2">
        <v>0</v>
      </c>
      <c r="M5779">
        <v>58.4</v>
      </c>
      <c r="N5779" t="s">
        <v>10236</v>
      </c>
    </row>
    <row r="5780" spans="1:14">
      <c r="A5780" t="s">
        <v>35</v>
      </c>
      <c r="B5780" t="s">
        <v>5887</v>
      </c>
      <c r="C5780">
        <f>"C402"</f>
        <v>0</v>
      </c>
      <c r="D5780">
        <v>0</v>
      </c>
      <c r="E5780">
        <v>11</v>
      </c>
      <c r="F5780" s="2">
        <v>5</v>
      </c>
      <c r="H5780">
        <v>0</v>
      </c>
      <c r="I5780">
        <v>0.1741125760648204</v>
      </c>
      <c r="J5780">
        <v>0</v>
      </c>
      <c r="K5780">
        <v>0</v>
      </c>
      <c r="L5780" s="2">
        <v>0</v>
      </c>
      <c r="M5780">
        <v>58.41</v>
      </c>
      <c r="N5780" t="s">
        <v>10236</v>
      </c>
    </row>
    <row r="5781" spans="1:14">
      <c r="A5781" t="s">
        <v>205</v>
      </c>
      <c r="B5781" t="s">
        <v>5888</v>
      </c>
      <c r="C5781">
        <f>"Prueb-Bc/29-09"</f>
        <v>0</v>
      </c>
      <c r="D5781">
        <v>0</v>
      </c>
      <c r="E5781">
        <v>217</v>
      </c>
      <c r="F5781" s="2">
        <v>0</v>
      </c>
      <c r="H5781">
        <v>0</v>
      </c>
      <c r="I5781">
        <v>0.1741125760648204</v>
      </c>
      <c r="J5781">
        <v>0</v>
      </c>
      <c r="K5781">
        <v>0</v>
      </c>
      <c r="L5781" s="2">
        <v>0</v>
      </c>
      <c r="M5781">
        <v>58.42</v>
      </c>
      <c r="N5781" t="s">
        <v>10236</v>
      </c>
    </row>
    <row r="5782" spans="1:14">
      <c r="A5782" t="s">
        <v>210</v>
      </c>
      <c r="B5782" t="s">
        <v>5889</v>
      </c>
      <c r="C5782">
        <f>"11040102500"</f>
        <v>0</v>
      </c>
      <c r="D5782">
        <v>0</v>
      </c>
      <c r="E5782">
        <v>2</v>
      </c>
      <c r="F5782" s="2">
        <v>21</v>
      </c>
      <c r="H5782">
        <v>0</v>
      </c>
      <c r="I5782">
        <v>0.1741125760648204</v>
      </c>
      <c r="J5782">
        <v>0</v>
      </c>
      <c r="K5782">
        <v>0</v>
      </c>
      <c r="L5782" s="2">
        <v>0</v>
      </c>
      <c r="M5782">
        <v>58.43</v>
      </c>
      <c r="N5782" t="s">
        <v>10236</v>
      </c>
    </row>
    <row r="5783" spans="1:14">
      <c r="A5783" t="s">
        <v>210</v>
      </c>
      <c r="B5783" t="s">
        <v>5890</v>
      </c>
      <c r="C5783">
        <f>"110401011500"</f>
        <v>0</v>
      </c>
      <c r="D5783">
        <v>0</v>
      </c>
      <c r="E5783">
        <v>0</v>
      </c>
      <c r="F5783" s="2">
        <v>0</v>
      </c>
      <c r="H5783">
        <v>0</v>
      </c>
      <c r="I5783">
        <v>0.1741125760648204</v>
      </c>
      <c r="J5783">
        <v>0</v>
      </c>
      <c r="K5783">
        <v>0</v>
      </c>
      <c r="L5783" s="2">
        <v>0</v>
      </c>
      <c r="M5783">
        <v>58.43</v>
      </c>
      <c r="N5783" t="s">
        <v>10236</v>
      </c>
    </row>
    <row r="5784" spans="1:14">
      <c r="A5784" t="s">
        <v>32</v>
      </c>
      <c r="B5784" t="s">
        <v>5891</v>
      </c>
      <c r="C5784">
        <f>"PCE10"</f>
        <v>0</v>
      </c>
      <c r="D5784">
        <v>0</v>
      </c>
      <c r="E5784">
        <v>0</v>
      </c>
      <c r="F5784" s="2">
        <v>0</v>
      </c>
      <c r="H5784">
        <v>0</v>
      </c>
      <c r="I5784">
        <v>0.1741125760648204</v>
      </c>
      <c r="J5784">
        <v>0</v>
      </c>
      <c r="K5784">
        <v>0</v>
      </c>
      <c r="L5784" s="2">
        <v>0</v>
      </c>
      <c r="M5784">
        <v>58.44</v>
      </c>
      <c r="N5784" t="s">
        <v>10236</v>
      </c>
    </row>
    <row r="5785" spans="1:14">
      <c r="A5785" t="s">
        <v>25</v>
      </c>
      <c r="B5785" t="s">
        <v>5892</v>
      </c>
      <c r="C5785">
        <f>"NJ09002"</f>
        <v>0</v>
      </c>
      <c r="D5785">
        <v>0</v>
      </c>
      <c r="E5785">
        <v>1</v>
      </c>
      <c r="F5785" s="2">
        <v>4</v>
      </c>
      <c r="H5785">
        <v>0</v>
      </c>
      <c r="I5785">
        <v>0.1741125760648204</v>
      </c>
      <c r="J5785">
        <v>0</v>
      </c>
      <c r="K5785">
        <v>0</v>
      </c>
      <c r="L5785" s="2">
        <v>0</v>
      </c>
      <c r="M5785">
        <v>58.45</v>
      </c>
      <c r="N5785" t="s">
        <v>10236</v>
      </c>
    </row>
    <row r="5786" spans="1:14">
      <c r="A5786" t="s">
        <v>204</v>
      </c>
      <c r="B5786" t="s">
        <v>5893</v>
      </c>
      <c r="C5786">
        <f>"12453312"</f>
        <v>0</v>
      </c>
      <c r="D5786">
        <v>0</v>
      </c>
      <c r="E5786">
        <v>0</v>
      </c>
      <c r="F5786" s="2">
        <v>0</v>
      </c>
      <c r="H5786">
        <v>0</v>
      </c>
      <c r="I5786">
        <v>0.1741125760648204</v>
      </c>
      <c r="J5786">
        <v>0</v>
      </c>
      <c r="K5786">
        <v>0</v>
      </c>
      <c r="L5786" s="2">
        <v>0</v>
      </c>
      <c r="M5786">
        <v>58.46</v>
      </c>
      <c r="N5786" t="s">
        <v>10236</v>
      </c>
    </row>
    <row r="5787" spans="1:14">
      <c r="A5787" t="s">
        <v>204</v>
      </c>
      <c r="B5787" t="s">
        <v>5894</v>
      </c>
      <c r="C5787">
        <f>"12599652"</f>
        <v>0</v>
      </c>
      <c r="D5787">
        <v>0</v>
      </c>
      <c r="E5787">
        <v>0</v>
      </c>
      <c r="F5787" s="2">
        <v>0</v>
      </c>
      <c r="H5787">
        <v>0</v>
      </c>
      <c r="I5787">
        <v>0.1741125760648204</v>
      </c>
      <c r="J5787">
        <v>0</v>
      </c>
      <c r="K5787">
        <v>0</v>
      </c>
      <c r="L5787" s="2">
        <v>0</v>
      </c>
      <c r="M5787">
        <v>58.47</v>
      </c>
      <c r="N5787" t="s">
        <v>10236</v>
      </c>
    </row>
    <row r="5788" spans="1:14">
      <c r="A5788" t="s">
        <v>204</v>
      </c>
      <c r="B5788" t="s">
        <v>5895</v>
      </c>
      <c r="C5788">
        <f>"12453105"</f>
        <v>0</v>
      </c>
      <c r="D5788">
        <v>0</v>
      </c>
      <c r="E5788">
        <v>0</v>
      </c>
      <c r="F5788" s="2">
        <v>0</v>
      </c>
      <c r="H5788">
        <v>0</v>
      </c>
      <c r="I5788">
        <v>0.1741125760648204</v>
      </c>
      <c r="J5788">
        <v>0</v>
      </c>
      <c r="K5788">
        <v>0</v>
      </c>
      <c r="L5788" s="2">
        <v>0</v>
      </c>
      <c r="M5788">
        <v>58.48</v>
      </c>
      <c r="N5788" t="s">
        <v>10236</v>
      </c>
    </row>
    <row r="5789" spans="1:14">
      <c r="A5789" t="s">
        <v>218</v>
      </c>
      <c r="B5789" t="s">
        <v>5896</v>
      </c>
      <c r="C5789">
        <f>"1009595"</f>
        <v>0</v>
      </c>
      <c r="D5789">
        <v>0</v>
      </c>
      <c r="E5789">
        <v>0</v>
      </c>
      <c r="F5789" s="2">
        <v>0</v>
      </c>
      <c r="H5789">
        <v>0</v>
      </c>
      <c r="I5789">
        <v>0.1741125760648204</v>
      </c>
      <c r="J5789">
        <v>0</v>
      </c>
      <c r="K5789">
        <v>0</v>
      </c>
      <c r="L5789" s="2">
        <v>0</v>
      </c>
      <c r="M5789">
        <v>58.49</v>
      </c>
      <c r="N5789" t="s">
        <v>10236</v>
      </c>
    </row>
    <row r="5790" spans="1:14">
      <c r="A5790" t="s">
        <v>204</v>
      </c>
      <c r="B5790" t="s">
        <v>5897</v>
      </c>
      <c r="C5790">
        <f>"12453294"</f>
        <v>0</v>
      </c>
      <c r="D5790">
        <v>0</v>
      </c>
      <c r="E5790">
        <v>0</v>
      </c>
      <c r="F5790" s="2">
        <v>0</v>
      </c>
      <c r="H5790">
        <v>0</v>
      </c>
      <c r="I5790">
        <v>0.1741125760648204</v>
      </c>
      <c r="J5790">
        <v>0</v>
      </c>
      <c r="K5790">
        <v>0</v>
      </c>
      <c r="L5790" s="2">
        <v>0</v>
      </c>
      <c r="M5790">
        <v>58.5</v>
      </c>
      <c r="N5790" t="s">
        <v>10236</v>
      </c>
    </row>
    <row r="5791" spans="1:14">
      <c r="A5791" t="s">
        <v>195</v>
      </c>
      <c r="B5791" t="s">
        <v>5898</v>
      </c>
      <c r="C5791">
        <f>"25702345"</f>
        <v>0</v>
      </c>
      <c r="D5791">
        <v>0</v>
      </c>
      <c r="E5791">
        <v>0</v>
      </c>
      <c r="F5791" s="2">
        <v>0</v>
      </c>
      <c r="H5791">
        <v>0</v>
      </c>
      <c r="I5791">
        <v>0.1741125760648204</v>
      </c>
      <c r="J5791">
        <v>0</v>
      </c>
      <c r="K5791">
        <v>0</v>
      </c>
      <c r="L5791" s="2">
        <v>0</v>
      </c>
      <c r="M5791">
        <v>58.51</v>
      </c>
      <c r="N5791" t="s">
        <v>10236</v>
      </c>
    </row>
    <row r="5792" spans="1:14">
      <c r="A5792" t="s">
        <v>35</v>
      </c>
      <c r="B5792" t="s">
        <v>5899</v>
      </c>
      <c r="C5792">
        <f>"25702381"</f>
        <v>0</v>
      </c>
      <c r="D5792">
        <v>0</v>
      </c>
      <c r="E5792">
        <v>0</v>
      </c>
      <c r="F5792" s="2">
        <v>0</v>
      </c>
      <c r="H5792">
        <v>0</v>
      </c>
      <c r="I5792">
        <v>0.1741125760648204</v>
      </c>
      <c r="J5792">
        <v>0</v>
      </c>
      <c r="K5792">
        <v>0</v>
      </c>
      <c r="L5792" s="2">
        <v>0</v>
      </c>
      <c r="M5792">
        <v>58.52</v>
      </c>
      <c r="N5792" t="s">
        <v>10236</v>
      </c>
    </row>
    <row r="5793" spans="1:14">
      <c r="A5793" t="s">
        <v>195</v>
      </c>
      <c r="B5793" t="s">
        <v>5900</v>
      </c>
      <c r="C5793">
        <f>"25702382"</f>
        <v>0</v>
      </c>
      <c r="D5793">
        <v>0</v>
      </c>
      <c r="E5793">
        <v>0</v>
      </c>
      <c r="F5793" s="2">
        <v>0</v>
      </c>
      <c r="H5793">
        <v>0</v>
      </c>
      <c r="I5793">
        <v>0.1741125760648204</v>
      </c>
      <c r="J5793">
        <v>0</v>
      </c>
      <c r="K5793">
        <v>0</v>
      </c>
      <c r="L5793" s="2">
        <v>0</v>
      </c>
      <c r="M5793">
        <v>58.53</v>
      </c>
      <c r="N5793" t="s">
        <v>10236</v>
      </c>
    </row>
    <row r="5794" spans="1:14">
      <c r="A5794" t="s">
        <v>195</v>
      </c>
      <c r="B5794" t="s">
        <v>5901</v>
      </c>
      <c r="C5794">
        <f>"25702383"</f>
        <v>0</v>
      </c>
      <c r="D5794">
        <v>0</v>
      </c>
      <c r="E5794">
        <v>0</v>
      </c>
      <c r="F5794" s="2">
        <v>0</v>
      </c>
      <c r="H5794">
        <v>0</v>
      </c>
      <c r="I5794">
        <v>0.1741125760648204</v>
      </c>
      <c r="J5794">
        <v>0</v>
      </c>
      <c r="K5794">
        <v>0</v>
      </c>
      <c r="L5794" s="2">
        <v>0</v>
      </c>
      <c r="M5794">
        <v>58.54</v>
      </c>
      <c r="N5794" t="s">
        <v>10236</v>
      </c>
    </row>
    <row r="5795" spans="1:14">
      <c r="A5795" t="s">
        <v>204</v>
      </c>
      <c r="B5795" t="s">
        <v>5902</v>
      </c>
      <c r="C5795">
        <f>"12600054"</f>
        <v>0</v>
      </c>
      <c r="D5795">
        <v>0</v>
      </c>
      <c r="E5795">
        <v>0</v>
      </c>
      <c r="F5795" s="2">
        <v>0</v>
      </c>
      <c r="H5795">
        <v>0</v>
      </c>
      <c r="I5795">
        <v>0.1741125760648204</v>
      </c>
      <c r="J5795">
        <v>0</v>
      </c>
      <c r="K5795">
        <v>0</v>
      </c>
      <c r="L5795" s="2">
        <v>0</v>
      </c>
      <c r="M5795">
        <v>58.54</v>
      </c>
      <c r="N5795" t="s">
        <v>10236</v>
      </c>
    </row>
    <row r="5796" spans="1:14">
      <c r="A5796" t="s">
        <v>204</v>
      </c>
      <c r="B5796" t="s">
        <v>5903</v>
      </c>
      <c r="C5796">
        <f>"12604195"</f>
        <v>0</v>
      </c>
      <c r="D5796">
        <v>0</v>
      </c>
      <c r="E5796">
        <v>0</v>
      </c>
      <c r="F5796" s="2">
        <v>0</v>
      </c>
      <c r="H5796">
        <v>0</v>
      </c>
      <c r="I5796">
        <v>0.1741125760648204</v>
      </c>
      <c r="J5796">
        <v>0</v>
      </c>
      <c r="K5796">
        <v>0</v>
      </c>
      <c r="L5796" s="2">
        <v>0</v>
      </c>
      <c r="M5796">
        <v>58.55</v>
      </c>
      <c r="N5796" t="s">
        <v>10236</v>
      </c>
    </row>
    <row r="5797" spans="1:14">
      <c r="A5797" t="s">
        <v>204</v>
      </c>
      <c r="B5797" t="s">
        <v>5904</v>
      </c>
      <c r="C5797">
        <f>"12599627"</f>
        <v>0</v>
      </c>
      <c r="D5797">
        <v>0</v>
      </c>
      <c r="E5797">
        <v>0</v>
      </c>
      <c r="F5797" s="2">
        <v>0</v>
      </c>
      <c r="H5797">
        <v>0</v>
      </c>
      <c r="I5797">
        <v>0.1741125760648204</v>
      </c>
      <c r="J5797">
        <v>0</v>
      </c>
      <c r="K5797">
        <v>0</v>
      </c>
      <c r="L5797" s="2">
        <v>0</v>
      </c>
      <c r="M5797">
        <v>58.56</v>
      </c>
      <c r="N5797" t="s">
        <v>10236</v>
      </c>
    </row>
    <row r="5798" spans="1:14">
      <c r="A5798" t="s">
        <v>214</v>
      </c>
      <c r="B5798" t="s">
        <v>5905</v>
      </c>
      <c r="C5798">
        <f>"33135"</f>
        <v>0</v>
      </c>
      <c r="D5798">
        <v>0</v>
      </c>
      <c r="E5798">
        <v>0</v>
      </c>
      <c r="F5798" s="2">
        <v>0</v>
      </c>
      <c r="H5798">
        <v>0</v>
      </c>
      <c r="I5798">
        <v>0.1741125760648204</v>
      </c>
      <c r="J5798">
        <v>0</v>
      </c>
      <c r="K5798">
        <v>0</v>
      </c>
      <c r="L5798" s="2">
        <v>0</v>
      </c>
      <c r="M5798">
        <v>58.57</v>
      </c>
      <c r="N5798" t="s">
        <v>10236</v>
      </c>
    </row>
    <row r="5799" spans="1:14">
      <c r="A5799" t="s">
        <v>214</v>
      </c>
      <c r="B5799" t="s">
        <v>5906</v>
      </c>
      <c r="C5799">
        <f>"33032"</f>
        <v>0</v>
      </c>
      <c r="D5799">
        <v>0</v>
      </c>
      <c r="E5799">
        <v>2</v>
      </c>
      <c r="F5799" s="2">
        <v>2</v>
      </c>
      <c r="H5799">
        <v>0</v>
      </c>
      <c r="I5799">
        <v>0.1741125760648204</v>
      </c>
      <c r="J5799">
        <v>0</v>
      </c>
      <c r="K5799">
        <v>0</v>
      </c>
      <c r="L5799" s="2">
        <v>0</v>
      </c>
      <c r="M5799">
        <v>58.58</v>
      </c>
      <c r="N5799" t="s">
        <v>10236</v>
      </c>
    </row>
    <row r="5800" spans="1:14">
      <c r="A5800" t="s">
        <v>214</v>
      </c>
      <c r="B5800" t="s">
        <v>5907</v>
      </c>
      <c r="C5800">
        <f>"33035"</f>
        <v>0</v>
      </c>
      <c r="D5800">
        <v>0</v>
      </c>
      <c r="E5800">
        <v>0</v>
      </c>
      <c r="F5800" s="2">
        <v>0</v>
      </c>
      <c r="H5800">
        <v>0</v>
      </c>
      <c r="I5800">
        <v>0.1741125760648204</v>
      </c>
      <c r="J5800">
        <v>0</v>
      </c>
      <c r="K5800">
        <v>0</v>
      </c>
      <c r="L5800" s="2">
        <v>0</v>
      </c>
      <c r="M5800">
        <v>58.59</v>
      </c>
      <c r="N5800" t="s">
        <v>10236</v>
      </c>
    </row>
    <row r="5801" spans="1:14">
      <c r="A5801" t="s">
        <v>207</v>
      </c>
      <c r="B5801" t="s">
        <v>5908</v>
      </c>
      <c r="C5801">
        <f>"2520021S"</f>
        <v>0</v>
      </c>
      <c r="D5801">
        <v>0</v>
      </c>
      <c r="E5801">
        <v>1</v>
      </c>
      <c r="F5801" s="2">
        <v>1</v>
      </c>
      <c r="H5801">
        <v>0</v>
      </c>
      <c r="I5801">
        <v>0.1741125760648204</v>
      </c>
      <c r="J5801">
        <v>0</v>
      </c>
      <c r="K5801">
        <v>0</v>
      </c>
      <c r="L5801" s="2">
        <v>0</v>
      </c>
      <c r="M5801">
        <v>58.6</v>
      </c>
      <c r="N5801" t="s">
        <v>10236</v>
      </c>
    </row>
    <row r="5802" spans="1:14">
      <c r="A5802" t="s">
        <v>207</v>
      </c>
      <c r="B5802" t="s">
        <v>5909</v>
      </c>
      <c r="C5802">
        <f>"2520021L"</f>
        <v>0</v>
      </c>
      <c r="D5802">
        <v>0</v>
      </c>
      <c r="E5802">
        <v>10</v>
      </c>
      <c r="F5802" s="2">
        <v>2</v>
      </c>
      <c r="H5802">
        <v>0</v>
      </c>
      <c r="I5802">
        <v>0.1741125760648204</v>
      </c>
      <c r="J5802">
        <v>0</v>
      </c>
      <c r="K5802">
        <v>0</v>
      </c>
      <c r="L5802" s="2">
        <v>0</v>
      </c>
      <c r="M5802">
        <v>58.61</v>
      </c>
      <c r="N5802" t="s">
        <v>10236</v>
      </c>
    </row>
    <row r="5803" spans="1:14">
      <c r="A5803" t="s">
        <v>207</v>
      </c>
      <c r="B5803" t="s">
        <v>5909</v>
      </c>
      <c r="C5803">
        <f>"2520021M"</f>
        <v>0</v>
      </c>
      <c r="D5803">
        <v>0</v>
      </c>
      <c r="E5803">
        <v>3</v>
      </c>
      <c r="F5803" s="2">
        <v>2</v>
      </c>
      <c r="H5803">
        <v>0</v>
      </c>
      <c r="I5803">
        <v>0.1741125760648204</v>
      </c>
      <c r="J5803">
        <v>0</v>
      </c>
      <c r="K5803">
        <v>0</v>
      </c>
      <c r="L5803" s="2">
        <v>0</v>
      </c>
      <c r="M5803">
        <v>58.62</v>
      </c>
      <c r="N5803" t="s">
        <v>10236</v>
      </c>
    </row>
    <row r="5804" spans="1:14">
      <c r="A5804" t="s">
        <v>218</v>
      </c>
      <c r="B5804" t="s">
        <v>5910</v>
      </c>
      <c r="C5804">
        <f>"insnpr0023"</f>
        <v>0</v>
      </c>
      <c r="D5804">
        <v>0</v>
      </c>
      <c r="E5804">
        <v>0</v>
      </c>
      <c r="F5804" s="2">
        <v>0</v>
      </c>
      <c r="H5804">
        <v>0</v>
      </c>
      <c r="I5804">
        <v>0.1741125760648204</v>
      </c>
      <c r="J5804">
        <v>0</v>
      </c>
      <c r="K5804">
        <v>0</v>
      </c>
      <c r="L5804" s="2">
        <v>0</v>
      </c>
      <c r="M5804">
        <v>58.63</v>
      </c>
      <c r="N5804" t="s">
        <v>10236</v>
      </c>
    </row>
    <row r="5805" spans="1:14">
      <c r="A5805" t="s">
        <v>204</v>
      </c>
      <c r="B5805" t="s">
        <v>5911</v>
      </c>
      <c r="C5805">
        <f>"12453113"</f>
        <v>0</v>
      </c>
      <c r="D5805">
        <v>0</v>
      </c>
      <c r="E5805">
        <v>0</v>
      </c>
      <c r="F5805" s="2">
        <v>0</v>
      </c>
      <c r="H5805">
        <v>0</v>
      </c>
      <c r="I5805">
        <v>0.1741125760648204</v>
      </c>
      <c r="J5805">
        <v>0</v>
      </c>
      <c r="K5805">
        <v>0</v>
      </c>
      <c r="L5805" s="2">
        <v>0</v>
      </c>
      <c r="M5805">
        <v>58.64</v>
      </c>
      <c r="N5805" t="s">
        <v>10236</v>
      </c>
    </row>
    <row r="5806" spans="1:14">
      <c r="A5806" t="s">
        <v>35</v>
      </c>
      <c r="B5806" t="s">
        <v>5912</v>
      </c>
      <c r="C5806">
        <f>"9001163G"</f>
        <v>0</v>
      </c>
      <c r="D5806">
        <v>0</v>
      </c>
      <c r="E5806">
        <v>0</v>
      </c>
      <c r="F5806" s="2">
        <v>0</v>
      </c>
      <c r="H5806">
        <v>0</v>
      </c>
      <c r="I5806">
        <v>0.1741125760648204</v>
      </c>
      <c r="J5806">
        <v>0</v>
      </c>
      <c r="K5806">
        <v>0</v>
      </c>
      <c r="L5806" s="2">
        <v>0</v>
      </c>
      <c r="M5806">
        <v>58.65</v>
      </c>
      <c r="N5806" t="s">
        <v>10236</v>
      </c>
    </row>
    <row r="5807" spans="1:14">
      <c r="A5807" t="s">
        <v>35</v>
      </c>
      <c r="B5807" t="s">
        <v>5913</v>
      </c>
      <c r="C5807">
        <f>"9001163C"</f>
        <v>0</v>
      </c>
      <c r="D5807">
        <v>0</v>
      </c>
      <c r="E5807">
        <v>0</v>
      </c>
      <c r="F5807" s="2">
        <v>0</v>
      </c>
      <c r="H5807">
        <v>0</v>
      </c>
      <c r="I5807">
        <v>0.1741125760648204</v>
      </c>
      <c r="J5807">
        <v>0</v>
      </c>
      <c r="K5807">
        <v>0</v>
      </c>
      <c r="L5807" s="2">
        <v>0</v>
      </c>
      <c r="M5807">
        <v>58.66</v>
      </c>
      <c r="N5807" t="s">
        <v>10236</v>
      </c>
    </row>
    <row r="5808" spans="1:14">
      <c r="A5808" t="s">
        <v>35</v>
      </c>
      <c r="B5808" t="s">
        <v>5914</v>
      </c>
      <c r="C5808">
        <f>"ZCM10R"</f>
        <v>0</v>
      </c>
      <c r="D5808">
        <v>0</v>
      </c>
      <c r="E5808">
        <v>1</v>
      </c>
      <c r="F5808" s="2">
        <v>7</v>
      </c>
      <c r="H5808">
        <v>0</v>
      </c>
      <c r="I5808">
        <v>0.1741125760648204</v>
      </c>
      <c r="J5808">
        <v>0</v>
      </c>
      <c r="K5808">
        <v>0</v>
      </c>
      <c r="L5808" s="2">
        <v>0</v>
      </c>
      <c r="M5808">
        <v>58.66</v>
      </c>
      <c r="N5808" t="s">
        <v>10236</v>
      </c>
    </row>
    <row r="5809" spans="1:14">
      <c r="A5809" t="s">
        <v>210</v>
      </c>
      <c r="B5809" t="s">
        <v>5915</v>
      </c>
      <c r="C5809">
        <f>"110501102111"</f>
        <v>0</v>
      </c>
      <c r="D5809">
        <v>0</v>
      </c>
      <c r="E5809">
        <v>0</v>
      </c>
      <c r="F5809" s="2">
        <v>0</v>
      </c>
      <c r="H5809">
        <v>0</v>
      </c>
      <c r="I5809">
        <v>0.1741125760648204</v>
      </c>
      <c r="J5809">
        <v>0</v>
      </c>
      <c r="K5809">
        <v>0</v>
      </c>
      <c r="L5809" s="2">
        <v>0</v>
      </c>
      <c r="M5809">
        <v>58.67</v>
      </c>
      <c r="N5809" t="s">
        <v>10236</v>
      </c>
    </row>
    <row r="5810" spans="1:14">
      <c r="A5810" t="s">
        <v>210</v>
      </c>
      <c r="B5810" t="s">
        <v>5916</v>
      </c>
      <c r="C5810">
        <f>"501102142"</f>
        <v>0</v>
      </c>
      <c r="D5810">
        <v>0</v>
      </c>
      <c r="E5810">
        <v>0</v>
      </c>
      <c r="F5810" s="2">
        <v>0</v>
      </c>
      <c r="H5810">
        <v>0</v>
      </c>
      <c r="I5810">
        <v>0.1741125760648204</v>
      </c>
      <c r="J5810">
        <v>0</v>
      </c>
      <c r="K5810">
        <v>0</v>
      </c>
      <c r="L5810" s="2">
        <v>0</v>
      </c>
      <c r="M5810">
        <v>58.68</v>
      </c>
      <c r="N5810" t="s">
        <v>10236</v>
      </c>
    </row>
    <row r="5811" spans="1:14">
      <c r="A5811" t="s">
        <v>210</v>
      </c>
      <c r="B5811" t="s">
        <v>5917</v>
      </c>
      <c r="C5811">
        <f>"501102141"</f>
        <v>0</v>
      </c>
      <c r="D5811">
        <v>0</v>
      </c>
      <c r="E5811">
        <v>0</v>
      </c>
      <c r="F5811" s="2">
        <v>0</v>
      </c>
      <c r="H5811">
        <v>0</v>
      </c>
      <c r="I5811">
        <v>0.1741125760648204</v>
      </c>
      <c r="J5811">
        <v>0</v>
      </c>
      <c r="K5811">
        <v>0</v>
      </c>
      <c r="L5811" s="2">
        <v>0</v>
      </c>
      <c r="M5811">
        <v>58.69</v>
      </c>
      <c r="N5811" t="s">
        <v>10236</v>
      </c>
    </row>
    <row r="5812" spans="1:14">
      <c r="A5812" t="s">
        <v>210</v>
      </c>
      <c r="B5812" t="s">
        <v>5918</v>
      </c>
      <c r="C5812">
        <f>"5343230"</f>
        <v>0</v>
      </c>
      <c r="D5812">
        <v>0</v>
      </c>
      <c r="E5812">
        <v>0</v>
      </c>
      <c r="F5812" s="2">
        <v>0</v>
      </c>
      <c r="H5812">
        <v>0</v>
      </c>
      <c r="I5812">
        <v>0.1741125760648204</v>
      </c>
      <c r="J5812">
        <v>0</v>
      </c>
      <c r="K5812">
        <v>0</v>
      </c>
      <c r="L5812" s="2">
        <v>0</v>
      </c>
      <c r="M5812">
        <v>58.7</v>
      </c>
      <c r="N5812" t="s">
        <v>10236</v>
      </c>
    </row>
    <row r="5813" spans="1:14">
      <c r="A5813" t="s">
        <v>210</v>
      </c>
      <c r="B5813" t="s">
        <v>5919</v>
      </c>
      <c r="C5813">
        <f>"110302031000"</f>
        <v>0</v>
      </c>
      <c r="D5813">
        <v>0</v>
      </c>
      <c r="E5813">
        <v>0</v>
      </c>
      <c r="F5813" s="2">
        <v>0</v>
      </c>
      <c r="H5813">
        <v>0</v>
      </c>
      <c r="I5813">
        <v>0.1741125760648204</v>
      </c>
      <c r="J5813">
        <v>0</v>
      </c>
      <c r="K5813">
        <v>0</v>
      </c>
      <c r="L5813" s="2">
        <v>0</v>
      </c>
      <c r="M5813">
        <v>58.71</v>
      </c>
      <c r="N5813" t="s">
        <v>10236</v>
      </c>
    </row>
    <row r="5814" spans="1:14">
      <c r="A5814" t="s">
        <v>210</v>
      </c>
      <c r="B5814" t="s">
        <v>5920</v>
      </c>
      <c r="C5814">
        <f>"110302030150"</f>
        <v>0</v>
      </c>
      <c r="D5814">
        <v>0</v>
      </c>
      <c r="E5814">
        <v>0</v>
      </c>
      <c r="F5814" s="2">
        <v>0</v>
      </c>
      <c r="H5814">
        <v>0</v>
      </c>
      <c r="I5814">
        <v>0.1741125760648204</v>
      </c>
      <c r="J5814">
        <v>0</v>
      </c>
      <c r="K5814">
        <v>0</v>
      </c>
      <c r="L5814" s="2">
        <v>0</v>
      </c>
      <c r="M5814">
        <v>58.72</v>
      </c>
      <c r="N5814" t="s">
        <v>10236</v>
      </c>
    </row>
    <row r="5815" spans="1:14">
      <c r="A5815" t="s">
        <v>210</v>
      </c>
      <c r="B5815" t="s">
        <v>5921</v>
      </c>
      <c r="C5815">
        <f>"110302041000"</f>
        <v>0</v>
      </c>
      <c r="D5815">
        <v>0</v>
      </c>
      <c r="E5815">
        <v>0</v>
      </c>
      <c r="F5815" s="2">
        <v>0</v>
      </c>
      <c r="H5815">
        <v>0</v>
      </c>
      <c r="I5815">
        <v>0.1741125760648204</v>
      </c>
      <c r="J5815">
        <v>0</v>
      </c>
      <c r="K5815">
        <v>0</v>
      </c>
      <c r="L5815" s="2">
        <v>0</v>
      </c>
      <c r="M5815">
        <v>58.73</v>
      </c>
      <c r="N5815" t="s">
        <v>10236</v>
      </c>
    </row>
    <row r="5816" spans="1:14">
      <c r="A5816" t="s">
        <v>210</v>
      </c>
      <c r="B5816" t="s">
        <v>5922</v>
      </c>
      <c r="C5816">
        <f>"110302040150"</f>
        <v>0</v>
      </c>
      <c r="D5816">
        <v>0</v>
      </c>
      <c r="E5816">
        <v>0</v>
      </c>
      <c r="F5816" s="2">
        <v>0</v>
      </c>
      <c r="H5816">
        <v>0</v>
      </c>
      <c r="I5816">
        <v>0.1741125760648204</v>
      </c>
      <c r="J5816">
        <v>0</v>
      </c>
      <c r="K5816">
        <v>0</v>
      </c>
      <c r="L5816" s="2">
        <v>0</v>
      </c>
      <c r="M5816">
        <v>58.74</v>
      </c>
      <c r="N5816" t="s">
        <v>10236</v>
      </c>
    </row>
    <row r="5817" spans="1:14">
      <c r="A5817" t="s">
        <v>210</v>
      </c>
      <c r="B5817" t="s">
        <v>5923</v>
      </c>
      <c r="C5817">
        <f>"110302011000"</f>
        <v>0</v>
      </c>
      <c r="D5817">
        <v>0</v>
      </c>
      <c r="E5817">
        <v>0</v>
      </c>
      <c r="F5817" s="2">
        <v>0</v>
      </c>
      <c r="H5817">
        <v>0</v>
      </c>
      <c r="I5817">
        <v>0.1741125760648204</v>
      </c>
      <c r="J5817">
        <v>0</v>
      </c>
      <c r="K5817">
        <v>0</v>
      </c>
      <c r="L5817" s="2">
        <v>0</v>
      </c>
      <c r="M5817">
        <v>58.75</v>
      </c>
      <c r="N5817" t="s">
        <v>10236</v>
      </c>
    </row>
    <row r="5818" spans="1:14">
      <c r="A5818" t="s">
        <v>210</v>
      </c>
      <c r="B5818" t="s">
        <v>5924</v>
      </c>
      <c r="C5818">
        <f>"110302010150"</f>
        <v>0</v>
      </c>
      <c r="D5818">
        <v>0</v>
      </c>
      <c r="E5818">
        <v>0</v>
      </c>
      <c r="F5818" s="2">
        <v>0</v>
      </c>
      <c r="H5818">
        <v>0</v>
      </c>
      <c r="I5818">
        <v>0.1741125760648204</v>
      </c>
      <c r="J5818">
        <v>0</v>
      </c>
      <c r="K5818">
        <v>0</v>
      </c>
      <c r="L5818" s="2">
        <v>0</v>
      </c>
      <c r="M5818">
        <v>58.76</v>
      </c>
      <c r="N5818" t="s">
        <v>10236</v>
      </c>
    </row>
    <row r="5819" spans="1:14">
      <c r="A5819" t="s">
        <v>35</v>
      </c>
      <c r="B5819" t="s">
        <v>5925</v>
      </c>
      <c r="C5819">
        <f>"JN002"</f>
        <v>0</v>
      </c>
      <c r="D5819">
        <v>0</v>
      </c>
      <c r="E5819">
        <v>1</v>
      </c>
      <c r="F5819" s="2">
        <v>3</v>
      </c>
      <c r="H5819">
        <v>0</v>
      </c>
      <c r="I5819">
        <v>0.1741125760648204</v>
      </c>
      <c r="J5819">
        <v>0</v>
      </c>
      <c r="K5819">
        <v>0</v>
      </c>
      <c r="L5819" s="2">
        <v>0</v>
      </c>
      <c r="M5819">
        <v>58.77</v>
      </c>
      <c r="N5819" t="s">
        <v>10236</v>
      </c>
    </row>
    <row r="5820" spans="1:14">
      <c r="A5820" t="s">
        <v>29</v>
      </c>
      <c r="B5820" t="s">
        <v>5926</v>
      </c>
      <c r="C5820">
        <f>"FPM500"</f>
        <v>0</v>
      </c>
      <c r="D5820">
        <v>0</v>
      </c>
      <c r="E5820">
        <v>0</v>
      </c>
      <c r="F5820" s="2">
        <v>0</v>
      </c>
      <c r="H5820">
        <v>0</v>
      </c>
      <c r="I5820">
        <v>0.1741125760648204</v>
      </c>
      <c r="J5820">
        <v>0</v>
      </c>
      <c r="K5820">
        <v>0</v>
      </c>
      <c r="L5820" s="2">
        <v>0</v>
      </c>
      <c r="M5820">
        <v>58.78</v>
      </c>
      <c r="N5820" t="s">
        <v>10236</v>
      </c>
    </row>
    <row r="5821" spans="1:14">
      <c r="A5821" t="s">
        <v>196</v>
      </c>
      <c r="B5821" t="s">
        <v>5927</v>
      </c>
      <c r="C5821">
        <f>"2381"</f>
        <v>0</v>
      </c>
      <c r="D5821">
        <v>0</v>
      </c>
      <c r="E5821">
        <v>0</v>
      </c>
      <c r="F5821" s="2">
        <v>0</v>
      </c>
      <c r="H5821">
        <v>0</v>
      </c>
      <c r="I5821">
        <v>0.1741125760648204</v>
      </c>
      <c r="J5821">
        <v>0</v>
      </c>
      <c r="K5821">
        <v>0</v>
      </c>
      <c r="L5821" s="2">
        <v>0</v>
      </c>
      <c r="M5821">
        <v>58.78</v>
      </c>
      <c r="N5821" t="s">
        <v>10236</v>
      </c>
    </row>
    <row r="5822" spans="1:14">
      <c r="A5822" t="s">
        <v>218</v>
      </c>
      <c r="B5822" t="s">
        <v>5928</v>
      </c>
      <c r="C5822">
        <f>"1017784"</f>
        <v>0</v>
      </c>
      <c r="D5822">
        <v>0</v>
      </c>
      <c r="E5822">
        <v>0</v>
      </c>
      <c r="F5822" s="2">
        <v>0</v>
      </c>
      <c r="H5822">
        <v>0</v>
      </c>
      <c r="I5822">
        <v>0.1741125760648204</v>
      </c>
      <c r="J5822">
        <v>0</v>
      </c>
      <c r="K5822">
        <v>0</v>
      </c>
      <c r="L5822" s="2">
        <v>0</v>
      </c>
      <c r="M5822">
        <v>58.79</v>
      </c>
      <c r="N5822" t="s">
        <v>10236</v>
      </c>
    </row>
    <row r="5823" spans="1:14">
      <c r="A5823" t="s">
        <v>218</v>
      </c>
      <c r="B5823" t="s">
        <v>5929</v>
      </c>
      <c r="C5823">
        <f>"1015779"</f>
        <v>0</v>
      </c>
      <c r="D5823">
        <v>0</v>
      </c>
      <c r="E5823">
        <v>0</v>
      </c>
      <c r="F5823" s="2">
        <v>0</v>
      </c>
      <c r="H5823">
        <v>0</v>
      </c>
      <c r="I5823">
        <v>0.1741125760648204</v>
      </c>
      <c r="J5823">
        <v>0</v>
      </c>
      <c r="K5823">
        <v>0</v>
      </c>
      <c r="L5823" s="2">
        <v>0</v>
      </c>
      <c r="M5823">
        <v>58.8</v>
      </c>
      <c r="N5823" t="s">
        <v>10236</v>
      </c>
    </row>
    <row r="5824" spans="1:14">
      <c r="A5824" t="s">
        <v>25</v>
      </c>
      <c r="B5824" t="s">
        <v>5930</v>
      </c>
      <c r="C5824">
        <f>"NJ09001"</f>
        <v>0</v>
      </c>
      <c r="D5824">
        <v>0</v>
      </c>
      <c r="E5824">
        <v>1</v>
      </c>
      <c r="F5824" s="2">
        <v>4</v>
      </c>
      <c r="H5824">
        <v>0</v>
      </c>
      <c r="I5824">
        <v>0.1741125760648204</v>
      </c>
      <c r="J5824">
        <v>0</v>
      </c>
      <c r="K5824">
        <v>0</v>
      </c>
      <c r="L5824" s="2">
        <v>0</v>
      </c>
      <c r="M5824">
        <v>58.81</v>
      </c>
      <c r="N5824" t="s">
        <v>10236</v>
      </c>
    </row>
    <row r="5825" spans="1:14">
      <c r="A5825" t="s">
        <v>218</v>
      </c>
      <c r="B5825" t="s">
        <v>5931</v>
      </c>
      <c r="C5825">
        <f>"1019706"</f>
        <v>0</v>
      </c>
      <c r="D5825">
        <v>0</v>
      </c>
      <c r="E5825">
        <v>0</v>
      </c>
      <c r="F5825" s="2">
        <v>0</v>
      </c>
      <c r="H5825">
        <v>0</v>
      </c>
      <c r="I5825">
        <v>0.1741125760648204</v>
      </c>
      <c r="J5825">
        <v>0</v>
      </c>
      <c r="K5825">
        <v>0</v>
      </c>
      <c r="L5825" s="2">
        <v>0</v>
      </c>
      <c r="M5825">
        <v>58.82</v>
      </c>
      <c r="N5825" t="s">
        <v>10236</v>
      </c>
    </row>
    <row r="5826" spans="1:14">
      <c r="A5826" t="s">
        <v>218</v>
      </c>
      <c r="B5826" t="s">
        <v>5932</v>
      </c>
      <c r="C5826">
        <f>"INSUPROP01"</f>
        <v>0</v>
      </c>
      <c r="D5826">
        <v>0</v>
      </c>
      <c r="E5826">
        <v>0</v>
      </c>
      <c r="F5826" s="2">
        <v>0</v>
      </c>
      <c r="H5826">
        <v>0</v>
      </c>
      <c r="I5826">
        <v>0.1741125760648204</v>
      </c>
      <c r="J5826">
        <v>0</v>
      </c>
      <c r="K5826">
        <v>0</v>
      </c>
      <c r="L5826" s="2">
        <v>0</v>
      </c>
      <c r="M5826">
        <v>58.83</v>
      </c>
      <c r="N5826" t="s">
        <v>10236</v>
      </c>
    </row>
    <row r="5827" spans="1:14">
      <c r="A5827" t="s">
        <v>223</v>
      </c>
      <c r="B5827" t="s">
        <v>5933</v>
      </c>
      <c r="C5827">
        <f>"42015"</f>
        <v>0</v>
      </c>
      <c r="D5827">
        <v>0</v>
      </c>
      <c r="E5827">
        <v>0</v>
      </c>
      <c r="F5827" s="2">
        <v>0</v>
      </c>
      <c r="H5827">
        <v>0</v>
      </c>
      <c r="I5827">
        <v>0.1741125760648204</v>
      </c>
      <c r="J5827">
        <v>0</v>
      </c>
      <c r="K5827">
        <v>0</v>
      </c>
      <c r="L5827" s="2">
        <v>0</v>
      </c>
      <c r="M5827">
        <v>58.84</v>
      </c>
      <c r="N5827" t="s">
        <v>10236</v>
      </c>
    </row>
    <row r="5828" spans="1:14">
      <c r="A5828" t="s">
        <v>196</v>
      </c>
      <c r="B5828" t="s">
        <v>5934</v>
      </c>
      <c r="C5828">
        <f>"2027"</f>
        <v>0</v>
      </c>
      <c r="D5828">
        <v>0</v>
      </c>
      <c r="E5828">
        <v>0</v>
      </c>
      <c r="F5828" s="2">
        <v>0</v>
      </c>
      <c r="H5828">
        <v>0</v>
      </c>
      <c r="I5828">
        <v>0.1741125760648204</v>
      </c>
      <c r="J5828">
        <v>0</v>
      </c>
      <c r="K5828">
        <v>0</v>
      </c>
      <c r="L5828" s="2">
        <v>0</v>
      </c>
      <c r="M5828">
        <v>58.85</v>
      </c>
      <c r="N5828" t="s">
        <v>10236</v>
      </c>
    </row>
    <row r="5829" spans="1:14">
      <c r="A5829" t="s">
        <v>196</v>
      </c>
      <c r="B5829" t="s">
        <v>5935</v>
      </c>
      <c r="C5829">
        <f>"2079"</f>
        <v>0</v>
      </c>
      <c r="D5829">
        <v>0</v>
      </c>
      <c r="E5829">
        <v>0</v>
      </c>
      <c r="F5829" s="2">
        <v>0</v>
      </c>
      <c r="H5829">
        <v>0</v>
      </c>
      <c r="I5829">
        <v>0.1741125760648204</v>
      </c>
      <c r="J5829">
        <v>0</v>
      </c>
      <c r="K5829">
        <v>0</v>
      </c>
      <c r="L5829" s="2">
        <v>0</v>
      </c>
      <c r="M5829">
        <v>58.86</v>
      </c>
      <c r="N5829" t="s">
        <v>10236</v>
      </c>
    </row>
    <row r="5830" spans="1:14">
      <c r="A5830" t="s">
        <v>202</v>
      </c>
      <c r="B5830" t="s">
        <v>5936</v>
      </c>
      <c r="C5830">
        <f>"11002039"</f>
        <v>0</v>
      </c>
      <c r="D5830">
        <v>0</v>
      </c>
      <c r="E5830">
        <v>0</v>
      </c>
      <c r="F5830" s="2">
        <v>0</v>
      </c>
      <c r="H5830">
        <v>0</v>
      </c>
      <c r="I5830">
        <v>0.1741125760648204</v>
      </c>
      <c r="J5830">
        <v>0</v>
      </c>
      <c r="K5830">
        <v>0</v>
      </c>
      <c r="L5830" s="2">
        <v>0</v>
      </c>
      <c r="M5830">
        <v>58.87</v>
      </c>
      <c r="N5830" t="s">
        <v>10236</v>
      </c>
    </row>
    <row r="5831" spans="1:14">
      <c r="A5831" t="s">
        <v>35</v>
      </c>
      <c r="B5831" t="s">
        <v>5937</v>
      </c>
      <c r="C5831">
        <f>"SILKT"</f>
        <v>0</v>
      </c>
      <c r="D5831">
        <v>0</v>
      </c>
      <c r="E5831">
        <v>0</v>
      </c>
      <c r="F5831" s="2">
        <v>0</v>
      </c>
      <c r="H5831">
        <v>0</v>
      </c>
      <c r="I5831">
        <v>0.1741125760648204</v>
      </c>
      <c r="J5831">
        <v>0</v>
      </c>
      <c r="K5831">
        <v>0</v>
      </c>
      <c r="L5831" s="2">
        <v>0</v>
      </c>
      <c r="M5831">
        <v>58.88</v>
      </c>
      <c r="N5831" t="s">
        <v>10236</v>
      </c>
    </row>
    <row r="5832" spans="1:14">
      <c r="A5832" t="s">
        <v>25</v>
      </c>
      <c r="B5832" t="s">
        <v>5938</v>
      </c>
      <c r="C5832">
        <f>"SILKE"</f>
        <v>0</v>
      </c>
      <c r="D5832">
        <v>0</v>
      </c>
      <c r="E5832">
        <v>0</v>
      </c>
      <c r="F5832" s="2">
        <v>0</v>
      </c>
      <c r="H5832">
        <v>0</v>
      </c>
      <c r="I5832">
        <v>0.1741125760648204</v>
      </c>
      <c r="J5832">
        <v>0</v>
      </c>
      <c r="K5832">
        <v>0</v>
      </c>
      <c r="L5832" s="2">
        <v>0</v>
      </c>
      <c r="M5832">
        <v>58.89</v>
      </c>
      <c r="N5832" t="s">
        <v>10236</v>
      </c>
    </row>
    <row r="5833" spans="1:14">
      <c r="A5833" t="s">
        <v>25</v>
      </c>
      <c r="B5833" t="s">
        <v>5939</v>
      </c>
      <c r="C5833">
        <f>"SILK1KG"</f>
        <v>0</v>
      </c>
      <c r="D5833">
        <v>0</v>
      </c>
      <c r="E5833">
        <v>1</v>
      </c>
      <c r="F5833" s="2">
        <v>8</v>
      </c>
      <c r="H5833">
        <v>0</v>
      </c>
      <c r="I5833">
        <v>0.1741125760648204</v>
      </c>
      <c r="J5833">
        <v>0</v>
      </c>
      <c r="K5833">
        <v>0</v>
      </c>
      <c r="L5833" s="2">
        <v>0</v>
      </c>
      <c r="M5833">
        <v>58.9</v>
      </c>
      <c r="N5833" t="s">
        <v>10236</v>
      </c>
    </row>
    <row r="5834" spans="1:14">
      <c r="A5834" t="s">
        <v>35</v>
      </c>
      <c r="B5834" t="s">
        <v>5940</v>
      </c>
      <c r="C5834">
        <f>"PX7202"</f>
        <v>0</v>
      </c>
      <c r="D5834">
        <v>0</v>
      </c>
      <c r="E5834">
        <v>0</v>
      </c>
      <c r="F5834" s="2">
        <v>0</v>
      </c>
      <c r="H5834">
        <v>0</v>
      </c>
      <c r="I5834">
        <v>0.1741125760648204</v>
      </c>
      <c r="J5834">
        <v>0</v>
      </c>
      <c r="K5834">
        <v>0</v>
      </c>
      <c r="L5834" s="2">
        <v>0</v>
      </c>
      <c r="M5834">
        <v>58.9</v>
      </c>
      <c r="N5834" t="s">
        <v>10236</v>
      </c>
    </row>
    <row r="5835" spans="1:14">
      <c r="A5835" t="s">
        <v>35</v>
      </c>
      <c r="B5835" t="s">
        <v>5941</v>
      </c>
      <c r="C5835">
        <f>"M1"</f>
        <v>0</v>
      </c>
      <c r="D5835">
        <v>0</v>
      </c>
      <c r="E5835">
        <v>1</v>
      </c>
      <c r="F5835" s="2">
        <v>10</v>
      </c>
      <c r="H5835">
        <v>0</v>
      </c>
      <c r="I5835">
        <v>0.1741125760648204</v>
      </c>
      <c r="J5835">
        <v>0</v>
      </c>
      <c r="K5835">
        <v>0</v>
      </c>
      <c r="L5835" s="2">
        <v>0</v>
      </c>
      <c r="M5835">
        <v>58.91</v>
      </c>
      <c r="N5835" t="s">
        <v>10236</v>
      </c>
    </row>
    <row r="5836" spans="1:14">
      <c r="A5836" t="s">
        <v>35</v>
      </c>
      <c r="B5836" t="s">
        <v>5942</v>
      </c>
      <c r="C5836">
        <f>"C501"</f>
        <v>0</v>
      </c>
      <c r="D5836">
        <v>0</v>
      </c>
      <c r="E5836">
        <v>0</v>
      </c>
      <c r="F5836" s="2">
        <v>0</v>
      </c>
      <c r="H5836">
        <v>0</v>
      </c>
      <c r="I5836">
        <v>0.1741125760648204</v>
      </c>
      <c r="J5836">
        <v>0</v>
      </c>
      <c r="K5836">
        <v>0</v>
      </c>
      <c r="L5836" s="2">
        <v>0</v>
      </c>
      <c r="M5836">
        <v>58.92</v>
      </c>
      <c r="N5836" t="s">
        <v>10236</v>
      </c>
    </row>
    <row r="5837" spans="1:14">
      <c r="A5837" t="s">
        <v>29</v>
      </c>
      <c r="B5837" t="s">
        <v>5943</v>
      </c>
      <c r="C5837">
        <f>"HR230N"</f>
        <v>0</v>
      </c>
      <c r="D5837">
        <v>0</v>
      </c>
      <c r="E5837">
        <v>0</v>
      </c>
      <c r="F5837" s="2">
        <v>0</v>
      </c>
      <c r="H5837">
        <v>0</v>
      </c>
      <c r="I5837">
        <v>0.1741125760648204</v>
      </c>
      <c r="J5837">
        <v>0</v>
      </c>
      <c r="K5837">
        <v>0</v>
      </c>
      <c r="L5837" s="2">
        <v>0</v>
      </c>
      <c r="M5837">
        <v>58.93</v>
      </c>
      <c r="N5837" t="s">
        <v>10236</v>
      </c>
    </row>
    <row r="5838" spans="1:14">
      <c r="A5838" t="s">
        <v>29</v>
      </c>
      <c r="B5838" t="s">
        <v>5944</v>
      </c>
      <c r="C5838">
        <f>"HR230B"</f>
        <v>0</v>
      </c>
      <c r="D5838">
        <v>0</v>
      </c>
      <c r="E5838">
        <v>0</v>
      </c>
      <c r="F5838" s="2">
        <v>0</v>
      </c>
      <c r="H5838">
        <v>0</v>
      </c>
      <c r="I5838">
        <v>0.1741125760648204</v>
      </c>
      <c r="J5838">
        <v>0</v>
      </c>
      <c r="K5838">
        <v>0</v>
      </c>
      <c r="L5838" s="2">
        <v>0</v>
      </c>
      <c r="M5838">
        <v>58.94</v>
      </c>
      <c r="N5838" t="s">
        <v>10236</v>
      </c>
    </row>
    <row r="5839" spans="1:14">
      <c r="A5839" t="s">
        <v>29</v>
      </c>
      <c r="B5839" t="s">
        <v>5945</v>
      </c>
      <c r="C5839">
        <f>"HR230A"</f>
        <v>0</v>
      </c>
      <c r="D5839">
        <v>0</v>
      </c>
      <c r="E5839">
        <v>0</v>
      </c>
      <c r="F5839" s="2">
        <v>0</v>
      </c>
      <c r="H5839">
        <v>0</v>
      </c>
      <c r="I5839">
        <v>0.1741125760648204</v>
      </c>
      <c r="J5839">
        <v>0</v>
      </c>
      <c r="K5839">
        <v>0</v>
      </c>
      <c r="L5839" s="2">
        <v>0</v>
      </c>
      <c r="M5839">
        <v>58.95</v>
      </c>
      <c r="N5839" t="s">
        <v>10236</v>
      </c>
    </row>
    <row r="5840" spans="1:14">
      <c r="A5840" t="s">
        <v>29</v>
      </c>
      <c r="B5840" t="s">
        <v>5946</v>
      </c>
      <c r="C5840">
        <f>"HR500R"</f>
        <v>0</v>
      </c>
      <c r="D5840">
        <v>0</v>
      </c>
      <c r="E5840">
        <v>0</v>
      </c>
      <c r="F5840" s="2">
        <v>0</v>
      </c>
      <c r="H5840">
        <v>0</v>
      </c>
      <c r="I5840">
        <v>0.1741125760648204</v>
      </c>
      <c r="J5840">
        <v>0</v>
      </c>
      <c r="K5840">
        <v>0</v>
      </c>
      <c r="L5840" s="2">
        <v>0</v>
      </c>
      <c r="M5840">
        <v>58.96</v>
      </c>
      <c r="N5840" t="s">
        <v>10236</v>
      </c>
    </row>
    <row r="5841" spans="1:14">
      <c r="A5841" t="s">
        <v>29</v>
      </c>
      <c r="B5841" t="s">
        <v>5947</v>
      </c>
      <c r="C5841">
        <f>"HR500N"</f>
        <v>0</v>
      </c>
      <c r="D5841">
        <v>0</v>
      </c>
      <c r="E5841">
        <v>0</v>
      </c>
      <c r="F5841" s="2">
        <v>0</v>
      </c>
      <c r="H5841">
        <v>0</v>
      </c>
      <c r="I5841">
        <v>0.1741125760648204</v>
      </c>
      <c r="J5841">
        <v>0</v>
      </c>
      <c r="K5841">
        <v>0</v>
      </c>
      <c r="L5841" s="2">
        <v>0</v>
      </c>
      <c r="M5841">
        <v>58.97</v>
      </c>
      <c r="N5841" t="s">
        <v>10236</v>
      </c>
    </row>
    <row r="5842" spans="1:14">
      <c r="A5842" t="s">
        <v>29</v>
      </c>
      <c r="B5842" t="s">
        <v>5948</v>
      </c>
      <c r="C5842">
        <f>"HR500B"</f>
        <v>0</v>
      </c>
      <c r="D5842">
        <v>0</v>
      </c>
      <c r="E5842">
        <v>0</v>
      </c>
      <c r="F5842" s="2">
        <v>0</v>
      </c>
      <c r="H5842">
        <v>0</v>
      </c>
      <c r="I5842">
        <v>0.1741125760648204</v>
      </c>
      <c r="J5842">
        <v>0</v>
      </c>
      <c r="K5842">
        <v>0</v>
      </c>
      <c r="L5842" s="2">
        <v>0</v>
      </c>
      <c r="M5842">
        <v>58.98</v>
      </c>
      <c r="N5842" t="s">
        <v>10236</v>
      </c>
    </row>
    <row r="5843" spans="1:14">
      <c r="A5843" t="s">
        <v>29</v>
      </c>
      <c r="B5843" t="s">
        <v>5949</v>
      </c>
      <c r="C5843">
        <f>"HR500A"</f>
        <v>0</v>
      </c>
      <c r="D5843">
        <v>0</v>
      </c>
      <c r="E5843">
        <v>0</v>
      </c>
      <c r="F5843" s="2">
        <v>0</v>
      </c>
      <c r="H5843">
        <v>0</v>
      </c>
      <c r="I5843">
        <v>0.1741125760648204</v>
      </c>
      <c r="J5843">
        <v>0</v>
      </c>
      <c r="K5843">
        <v>0</v>
      </c>
      <c r="L5843" s="2">
        <v>0</v>
      </c>
      <c r="M5843">
        <v>58.99</v>
      </c>
      <c r="N5843" t="s">
        <v>10236</v>
      </c>
    </row>
    <row r="5844" spans="1:14">
      <c r="A5844" t="s">
        <v>29</v>
      </c>
      <c r="B5844" t="s">
        <v>5950</v>
      </c>
      <c r="C5844">
        <f>"HR380R"</f>
        <v>0</v>
      </c>
      <c r="D5844">
        <v>0</v>
      </c>
      <c r="E5844">
        <v>0</v>
      </c>
      <c r="F5844" s="2">
        <v>0</v>
      </c>
      <c r="H5844">
        <v>0</v>
      </c>
      <c r="I5844">
        <v>0.1741125760648204</v>
      </c>
      <c r="J5844">
        <v>0</v>
      </c>
      <c r="K5844">
        <v>0</v>
      </c>
      <c r="L5844" s="2">
        <v>0</v>
      </c>
      <c r="M5844">
        <v>59</v>
      </c>
      <c r="N5844" t="s">
        <v>10236</v>
      </c>
    </row>
    <row r="5845" spans="1:14">
      <c r="A5845" t="s">
        <v>29</v>
      </c>
      <c r="B5845" t="s">
        <v>5951</v>
      </c>
      <c r="C5845">
        <f>"HR380N"</f>
        <v>0</v>
      </c>
      <c r="D5845">
        <v>0</v>
      </c>
      <c r="E5845">
        <v>0</v>
      </c>
      <c r="F5845" s="2">
        <v>0</v>
      </c>
      <c r="H5845">
        <v>0</v>
      </c>
      <c r="I5845">
        <v>0.1741125760648204</v>
      </c>
      <c r="J5845">
        <v>0</v>
      </c>
      <c r="K5845">
        <v>0</v>
      </c>
      <c r="L5845" s="2">
        <v>0</v>
      </c>
      <c r="M5845">
        <v>59.01</v>
      </c>
      <c r="N5845" t="s">
        <v>10236</v>
      </c>
    </row>
    <row r="5846" spans="1:14">
      <c r="A5846" t="s">
        <v>29</v>
      </c>
      <c r="B5846" t="s">
        <v>5952</v>
      </c>
      <c r="C5846">
        <f>"CH44610"</f>
        <v>0</v>
      </c>
      <c r="D5846">
        <v>0</v>
      </c>
      <c r="E5846">
        <v>12</v>
      </c>
      <c r="F5846" s="2">
        <v>5</v>
      </c>
      <c r="H5846">
        <v>0</v>
      </c>
      <c r="I5846">
        <v>0.1741125760648204</v>
      </c>
      <c r="J5846">
        <v>0</v>
      </c>
      <c r="K5846">
        <v>0</v>
      </c>
      <c r="L5846" s="2">
        <v>0</v>
      </c>
      <c r="M5846">
        <v>59.01</v>
      </c>
      <c r="N5846" t="s">
        <v>10236</v>
      </c>
    </row>
    <row r="5847" spans="1:14">
      <c r="A5847" t="s">
        <v>29</v>
      </c>
      <c r="B5847" t="s">
        <v>5953</v>
      </c>
      <c r="C5847">
        <f>"NS60"</f>
        <v>0</v>
      </c>
      <c r="D5847">
        <v>0</v>
      </c>
      <c r="E5847">
        <v>0</v>
      </c>
      <c r="F5847" s="2">
        <v>0</v>
      </c>
      <c r="H5847">
        <v>0</v>
      </c>
      <c r="I5847">
        <v>0.1741125760648204</v>
      </c>
      <c r="J5847">
        <v>0</v>
      </c>
      <c r="K5847">
        <v>0</v>
      </c>
      <c r="L5847" s="2">
        <v>0</v>
      </c>
      <c r="M5847">
        <v>59.02</v>
      </c>
      <c r="N5847" t="s">
        <v>10236</v>
      </c>
    </row>
    <row r="5848" spans="1:14">
      <c r="A5848" t="s">
        <v>214</v>
      </c>
      <c r="B5848" t="s">
        <v>5954</v>
      </c>
      <c r="C5848">
        <f>"65373"</f>
        <v>0</v>
      </c>
      <c r="D5848">
        <v>0</v>
      </c>
      <c r="E5848">
        <v>2</v>
      </c>
      <c r="F5848" s="2">
        <v>5</v>
      </c>
      <c r="H5848">
        <v>0</v>
      </c>
      <c r="I5848">
        <v>0.1741125760648204</v>
      </c>
      <c r="J5848">
        <v>0</v>
      </c>
      <c r="K5848">
        <v>0</v>
      </c>
      <c r="L5848" s="2">
        <v>0</v>
      </c>
      <c r="M5848">
        <v>59.03</v>
      </c>
      <c r="N5848" t="s">
        <v>10236</v>
      </c>
    </row>
    <row r="5849" spans="1:14">
      <c r="A5849" t="s">
        <v>195</v>
      </c>
      <c r="B5849" t="s">
        <v>5955</v>
      </c>
      <c r="C5849">
        <f>"25002419"</f>
        <v>0</v>
      </c>
      <c r="D5849">
        <v>0</v>
      </c>
      <c r="E5849">
        <v>0</v>
      </c>
      <c r="F5849" s="2">
        <v>0</v>
      </c>
      <c r="H5849">
        <v>0</v>
      </c>
      <c r="I5849">
        <v>0.1741125760648204</v>
      </c>
      <c r="J5849">
        <v>0</v>
      </c>
      <c r="K5849">
        <v>0</v>
      </c>
      <c r="L5849" s="2">
        <v>0</v>
      </c>
      <c r="M5849">
        <v>59.04</v>
      </c>
      <c r="N5849" t="s">
        <v>10236</v>
      </c>
    </row>
    <row r="5850" spans="1:14">
      <c r="A5850" t="s">
        <v>35</v>
      </c>
      <c r="B5850" t="s">
        <v>5956</v>
      </c>
      <c r="C5850">
        <f>"C612"</f>
        <v>0</v>
      </c>
      <c r="D5850">
        <v>0</v>
      </c>
      <c r="E5850">
        <v>0</v>
      </c>
      <c r="F5850" s="2">
        <v>0</v>
      </c>
      <c r="H5850">
        <v>0</v>
      </c>
      <c r="I5850">
        <v>0.1741125760648204</v>
      </c>
      <c r="J5850">
        <v>0</v>
      </c>
      <c r="K5850">
        <v>0</v>
      </c>
      <c r="L5850" s="2">
        <v>0</v>
      </c>
      <c r="M5850">
        <v>59.05</v>
      </c>
      <c r="N5850" t="s">
        <v>10236</v>
      </c>
    </row>
    <row r="5851" spans="1:14">
      <c r="A5851" t="s">
        <v>29</v>
      </c>
      <c r="B5851" t="s">
        <v>5957</v>
      </c>
      <c r="C5851">
        <f>"DR0817SSS"</f>
        <v>0</v>
      </c>
      <c r="D5851">
        <v>0</v>
      </c>
      <c r="E5851">
        <v>4</v>
      </c>
      <c r="F5851" s="2">
        <v>15</v>
      </c>
      <c r="H5851">
        <v>0</v>
      </c>
      <c r="I5851">
        <v>0.1741125760648204</v>
      </c>
      <c r="J5851">
        <v>0</v>
      </c>
      <c r="K5851">
        <v>0</v>
      </c>
      <c r="L5851" s="2">
        <v>0</v>
      </c>
      <c r="M5851">
        <v>59.06</v>
      </c>
      <c r="N5851" t="s">
        <v>10236</v>
      </c>
    </row>
    <row r="5852" spans="1:14">
      <c r="A5852" t="s">
        <v>35</v>
      </c>
      <c r="B5852" t="s">
        <v>5958</v>
      </c>
      <c r="C5852">
        <f>"2401"</f>
        <v>0</v>
      </c>
      <c r="D5852">
        <v>0</v>
      </c>
      <c r="E5852">
        <v>0</v>
      </c>
      <c r="F5852" s="2">
        <v>0</v>
      </c>
      <c r="H5852">
        <v>0</v>
      </c>
      <c r="I5852">
        <v>0.1741125760648204</v>
      </c>
      <c r="J5852">
        <v>0</v>
      </c>
      <c r="K5852">
        <v>0</v>
      </c>
      <c r="L5852" s="2">
        <v>0</v>
      </c>
      <c r="M5852">
        <v>59.07</v>
      </c>
      <c r="N5852" t="s">
        <v>10236</v>
      </c>
    </row>
    <row r="5853" spans="1:14">
      <c r="A5853" t="s">
        <v>195</v>
      </c>
      <c r="B5853" t="s">
        <v>5959</v>
      </c>
      <c r="C5853">
        <f>"25002418"</f>
        <v>0</v>
      </c>
      <c r="D5853">
        <v>0</v>
      </c>
      <c r="E5853">
        <v>0</v>
      </c>
      <c r="F5853" s="2">
        <v>0</v>
      </c>
      <c r="H5853">
        <v>0</v>
      </c>
      <c r="I5853">
        <v>0.1741125760648204</v>
      </c>
      <c r="J5853">
        <v>0</v>
      </c>
      <c r="K5853">
        <v>0</v>
      </c>
      <c r="L5853" s="2">
        <v>0</v>
      </c>
      <c r="M5853">
        <v>59.08</v>
      </c>
      <c r="N5853" t="s">
        <v>10236</v>
      </c>
    </row>
    <row r="5854" spans="1:14">
      <c r="A5854" t="s">
        <v>192</v>
      </c>
      <c r="B5854" t="s">
        <v>5960</v>
      </c>
      <c r="C5854">
        <f>"890805"</f>
        <v>0</v>
      </c>
      <c r="D5854">
        <v>0</v>
      </c>
      <c r="E5854">
        <v>0</v>
      </c>
      <c r="F5854" s="2">
        <v>0</v>
      </c>
      <c r="H5854">
        <v>0</v>
      </c>
      <c r="I5854">
        <v>0.1741125760648204</v>
      </c>
      <c r="J5854">
        <v>0</v>
      </c>
      <c r="K5854">
        <v>0</v>
      </c>
      <c r="L5854" s="2">
        <v>0</v>
      </c>
      <c r="M5854">
        <v>59.09</v>
      </c>
      <c r="N5854" t="s">
        <v>10236</v>
      </c>
    </row>
    <row r="5855" spans="1:14">
      <c r="A5855" t="s">
        <v>35</v>
      </c>
      <c r="B5855" t="s">
        <v>5961</v>
      </c>
      <c r="C5855">
        <f>"YP59XXLA"</f>
        <v>0</v>
      </c>
      <c r="D5855">
        <v>0</v>
      </c>
      <c r="E5855">
        <v>1</v>
      </c>
      <c r="F5855" s="2">
        <v>3</v>
      </c>
      <c r="H5855">
        <v>0</v>
      </c>
      <c r="I5855">
        <v>0.1741125760648204</v>
      </c>
      <c r="J5855">
        <v>0</v>
      </c>
      <c r="K5855">
        <v>0</v>
      </c>
      <c r="L5855" s="2">
        <v>0</v>
      </c>
      <c r="M5855">
        <v>59.1</v>
      </c>
      <c r="N5855" t="s">
        <v>10236</v>
      </c>
    </row>
    <row r="5856" spans="1:14">
      <c r="A5856" t="s">
        <v>35</v>
      </c>
      <c r="B5856" t="s">
        <v>5962</v>
      </c>
      <c r="C5856">
        <f>"YP59XLA"</f>
        <v>0</v>
      </c>
      <c r="D5856">
        <v>0</v>
      </c>
      <c r="E5856">
        <v>1</v>
      </c>
      <c r="F5856" s="2">
        <v>3</v>
      </c>
      <c r="H5856">
        <v>0</v>
      </c>
      <c r="I5856">
        <v>0.1741125760648204</v>
      </c>
      <c r="J5856">
        <v>0</v>
      </c>
      <c r="K5856">
        <v>0</v>
      </c>
      <c r="L5856" s="2">
        <v>0</v>
      </c>
      <c r="M5856">
        <v>59.11</v>
      </c>
      <c r="N5856" t="s">
        <v>10236</v>
      </c>
    </row>
    <row r="5857" spans="1:14">
      <c r="A5857" t="s">
        <v>35</v>
      </c>
      <c r="B5857" t="s">
        <v>5963</v>
      </c>
      <c r="C5857">
        <f>"YP59SA"</f>
        <v>0</v>
      </c>
      <c r="D5857">
        <v>0</v>
      </c>
      <c r="E5857">
        <v>0</v>
      </c>
      <c r="F5857" s="2">
        <v>0</v>
      </c>
      <c r="H5857">
        <v>0</v>
      </c>
      <c r="I5857">
        <v>0.1741125760648204</v>
      </c>
      <c r="J5857">
        <v>0</v>
      </c>
      <c r="K5857">
        <v>0</v>
      </c>
      <c r="L5857" s="2">
        <v>0</v>
      </c>
      <c r="M5857">
        <v>59.12</v>
      </c>
      <c r="N5857" t="s">
        <v>10236</v>
      </c>
    </row>
    <row r="5858" spans="1:14">
      <c r="A5858" t="s">
        <v>35</v>
      </c>
      <c r="B5858" t="s">
        <v>5964</v>
      </c>
      <c r="C5858">
        <f>"YP59MG"</f>
        <v>0</v>
      </c>
      <c r="D5858">
        <v>0</v>
      </c>
      <c r="E5858">
        <v>1</v>
      </c>
      <c r="F5858" s="2">
        <v>2</v>
      </c>
      <c r="H5858">
        <v>0</v>
      </c>
      <c r="I5858">
        <v>0.1741125760648204</v>
      </c>
      <c r="J5858">
        <v>0</v>
      </c>
      <c r="K5858">
        <v>0</v>
      </c>
      <c r="L5858" s="2">
        <v>0</v>
      </c>
      <c r="M5858">
        <v>59.13</v>
      </c>
      <c r="N5858" t="s">
        <v>10236</v>
      </c>
    </row>
    <row r="5859" spans="1:14">
      <c r="A5859" t="s">
        <v>35</v>
      </c>
      <c r="B5859" t="s">
        <v>5965</v>
      </c>
      <c r="C5859">
        <f>"YP59LA"</f>
        <v>0</v>
      </c>
      <c r="D5859">
        <v>0</v>
      </c>
      <c r="E5859">
        <v>0</v>
      </c>
      <c r="F5859" s="2">
        <v>0</v>
      </c>
      <c r="H5859">
        <v>0</v>
      </c>
      <c r="I5859">
        <v>0.1741125760648204</v>
      </c>
      <c r="J5859">
        <v>0</v>
      </c>
      <c r="K5859">
        <v>0</v>
      </c>
      <c r="L5859" s="2">
        <v>0</v>
      </c>
      <c r="M5859">
        <v>59.13</v>
      </c>
      <c r="N5859" t="s">
        <v>10236</v>
      </c>
    </row>
    <row r="5860" spans="1:14">
      <c r="A5860" t="s">
        <v>35</v>
      </c>
      <c r="B5860" t="s">
        <v>5966</v>
      </c>
      <c r="C5860">
        <f>"YP593XLG"</f>
        <v>0</v>
      </c>
      <c r="D5860">
        <v>0</v>
      </c>
      <c r="E5860">
        <v>1</v>
      </c>
      <c r="F5860" s="2">
        <v>3</v>
      </c>
      <c r="H5860">
        <v>0</v>
      </c>
      <c r="I5860">
        <v>0.1741125760648204</v>
      </c>
      <c r="J5860">
        <v>0</v>
      </c>
      <c r="K5860">
        <v>0</v>
      </c>
      <c r="L5860" s="2">
        <v>0</v>
      </c>
      <c r="M5860">
        <v>59.14</v>
      </c>
      <c r="N5860" t="s">
        <v>10236</v>
      </c>
    </row>
    <row r="5861" spans="1:14">
      <c r="A5861" t="s">
        <v>35</v>
      </c>
      <c r="B5861" t="s">
        <v>5967</v>
      </c>
      <c r="C5861">
        <f>"A79L1"</f>
        <v>0</v>
      </c>
      <c r="D5861">
        <v>0</v>
      </c>
      <c r="E5861">
        <v>0</v>
      </c>
      <c r="F5861" s="2">
        <v>0</v>
      </c>
      <c r="H5861">
        <v>0</v>
      </c>
      <c r="I5861">
        <v>0.1741125760648204</v>
      </c>
      <c r="J5861">
        <v>0</v>
      </c>
      <c r="K5861">
        <v>0</v>
      </c>
      <c r="L5861" s="2">
        <v>0</v>
      </c>
      <c r="M5861">
        <v>59.15</v>
      </c>
      <c r="N5861" t="s">
        <v>10236</v>
      </c>
    </row>
    <row r="5862" spans="1:14">
      <c r="A5862" t="s">
        <v>29</v>
      </c>
      <c r="B5862" t="s">
        <v>5968</v>
      </c>
      <c r="C5862">
        <f>"U409"</f>
        <v>0</v>
      </c>
      <c r="D5862">
        <v>0</v>
      </c>
      <c r="E5862">
        <v>0</v>
      </c>
      <c r="F5862" s="2">
        <v>0</v>
      </c>
      <c r="H5862">
        <v>0</v>
      </c>
      <c r="I5862">
        <v>0.1741125760648204</v>
      </c>
      <c r="J5862">
        <v>0</v>
      </c>
      <c r="K5862">
        <v>0</v>
      </c>
      <c r="L5862" s="2">
        <v>0</v>
      </c>
      <c r="M5862">
        <v>59.16</v>
      </c>
      <c r="N5862" t="s">
        <v>10236</v>
      </c>
    </row>
    <row r="5863" spans="1:14">
      <c r="A5863" t="s">
        <v>35</v>
      </c>
      <c r="B5863" t="s">
        <v>5969</v>
      </c>
      <c r="C5863">
        <f>"SPP01"</f>
        <v>0</v>
      </c>
      <c r="D5863">
        <v>0</v>
      </c>
      <c r="E5863">
        <v>2</v>
      </c>
      <c r="F5863" s="2">
        <v>6</v>
      </c>
      <c r="H5863">
        <v>0</v>
      </c>
      <c r="I5863">
        <v>0.1741125760648204</v>
      </c>
      <c r="J5863">
        <v>0</v>
      </c>
      <c r="K5863">
        <v>0</v>
      </c>
      <c r="L5863" s="2">
        <v>0</v>
      </c>
      <c r="M5863">
        <v>59.17</v>
      </c>
      <c r="N5863" t="s">
        <v>10236</v>
      </c>
    </row>
    <row r="5864" spans="1:14">
      <c r="A5864" t="s">
        <v>32</v>
      </c>
      <c r="B5864" t="s">
        <v>5970</v>
      </c>
      <c r="C5864">
        <f>"50039522"</f>
        <v>0</v>
      </c>
      <c r="D5864">
        <v>0</v>
      </c>
      <c r="E5864">
        <v>0</v>
      </c>
      <c r="F5864" s="2">
        <v>0</v>
      </c>
      <c r="H5864">
        <v>0</v>
      </c>
      <c r="I5864">
        <v>0.1741125760648204</v>
      </c>
      <c r="J5864">
        <v>0</v>
      </c>
      <c r="K5864">
        <v>0</v>
      </c>
      <c r="L5864" s="2">
        <v>0</v>
      </c>
      <c r="M5864">
        <v>59.18</v>
      </c>
      <c r="N5864" t="s">
        <v>10236</v>
      </c>
    </row>
    <row r="5865" spans="1:14">
      <c r="A5865" t="s">
        <v>32</v>
      </c>
      <c r="B5865" t="s">
        <v>5971</v>
      </c>
      <c r="C5865">
        <f>"5003953"</f>
        <v>0</v>
      </c>
      <c r="D5865">
        <v>0</v>
      </c>
      <c r="E5865">
        <v>0</v>
      </c>
      <c r="F5865" s="2">
        <v>0</v>
      </c>
      <c r="H5865">
        <v>0</v>
      </c>
      <c r="I5865">
        <v>0.1741125760648204</v>
      </c>
      <c r="J5865">
        <v>0</v>
      </c>
      <c r="K5865">
        <v>0</v>
      </c>
      <c r="L5865" s="2">
        <v>0</v>
      </c>
      <c r="M5865">
        <v>59.19</v>
      </c>
      <c r="N5865" t="s">
        <v>10236</v>
      </c>
    </row>
    <row r="5866" spans="1:14">
      <c r="A5866" t="s">
        <v>35</v>
      </c>
      <c r="B5866" t="s">
        <v>5972</v>
      </c>
      <c r="C5866">
        <f>"CS020"</f>
        <v>0</v>
      </c>
      <c r="D5866">
        <v>0</v>
      </c>
      <c r="E5866">
        <v>19</v>
      </c>
      <c r="F5866" s="2">
        <v>3</v>
      </c>
      <c r="H5866">
        <v>0</v>
      </c>
      <c r="I5866">
        <v>0.1741125760648204</v>
      </c>
      <c r="J5866">
        <v>0</v>
      </c>
      <c r="K5866">
        <v>0</v>
      </c>
      <c r="L5866" s="2">
        <v>0</v>
      </c>
      <c r="M5866">
        <v>59.2</v>
      </c>
      <c r="N5866" t="s">
        <v>10236</v>
      </c>
    </row>
    <row r="5867" spans="1:14">
      <c r="A5867" t="s">
        <v>25</v>
      </c>
      <c r="B5867" t="s">
        <v>5973</v>
      </c>
      <c r="C5867">
        <f>"NFF41H"</f>
        <v>0</v>
      </c>
      <c r="D5867">
        <v>0</v>
      </c>
      <c r="E5867">
        <v>0</v>
      </c>
      <c r="F5867" s="2">
        <v>0</v>
      </c>
      <c r="H5867">
        <v>0</v>
      </c>
      <c r="I5867">
        <v>0.1741125760648204</v>
      </c>
      <c r="J5867">
        <v>0</v>
      </c>
      <c r="K5867">
        <v>0</v>
      </c>
      <c r="L5867" s="2">
        <v>0</v>
      </c>
      <c r="M5867">
        <v>59.21</v>
      </c>
      <c r="N5867" t="s">
        <v>10236</v>
      </c>
    </row>
    <row r="5868" spans="1:14">
      <c r="A5868" t="s">
        <v>218</v>
      </c>
      <c r="B5868" t="s">
        <v>5974</v>
      </c>
      <c r="C5868">
        <f>"1003740"</f>
        <v>0</v>
      </c>
      <c r="D5868">
        <v>0</v>
      </c>
      <c r="E5868">
        <v>0</v>
      </c>
      <c r="F5868" s="2">
        <v>0</v>
      </c>
      <c r="H5868">
        <v>0</v>
      </c>
      <c r="I5868">
        <v>0.1741125760648204</v>
      </c>
      <c r="J5868">
        <v>0</v>
      </c>
      <c r="K5868">
        <v>0</v>
      </c>
      <c r="L5868" s="2">
        <v>0</v>
      </c>
      <c r="M5868">
        <v>59.22</v>
      </c>
      <c r="N5868" t="s">
        <v>10236</v>
      </c>
    </row>
    <row r="5869" spans="1:14">
      <c r="A5869" t="s">
        <v>227</v>
      </c>
      <c r="B5869" t="s">
        <v>5975</v>
      </c>
      <c r="C5869">
        <f>"100642"</f>
        <v>0</v>
      </c>
      <c r="D5869">
        <v>0</v>
      </c>
      <c r="E5869">
        <v>0</v>
      </c>
      <c r="F5869" s="2">
        <v>0</v>
      </c>
      <c r="H5869">
        <v>0</v>
      </c>
      <c r="I5869">
        <v>0.1741125760648204</v>
      </c>
      <c r="J5869">
        <v>0</v>
      </c>
      <c r="K5869">
        <v>0</v>
      </c>
      <c r="L5869" s="2">
        <v>0</v>
      </c>
      <c r="M5869">
        <v>59.23</v>
      </c>
      <c r="N5869" t="s">
        <v>10236</v>
      </c>
    </row>
    <row r="5870" spans="1:14">
      <c r="A5870" t="s">
        <v>227</v>
      </c>
      <c r="B5870" t="s">
        <v>5976</v>
      </c>
      <c r="C5870">
        <f>"100646"</f>
        <v>0</v>
      </c>
      <c r="D5870">
        <v>0</v>
      </c>
      <c r="E5870">
        <v>0</v>
      </c>
      <c r="F5870" s="2">
        <v>0</v>
      </c>
      <c r="H5870">
        <v>0</v>
      </c>
      <c r="I5870">
        <v>0.1741125760648204</v>
      </c>
      <c r="J5870">
        <v>0</v>
      </c>
      <c r="K5870">
        <v>0</v>
      </c>
      <c r="L5870" s="2">
        <v>0</v>
      </c>
      <c r="M5870">
        <v>59.24</v>
      </c>
      <c r="N5870" t="s">
        <v>10236</v>
      </c>
    </row>
    <row r="5871" spans="1:14">
      <c r="A5871" t="s">
        <v>32</v>
      </c>
      <c r="B5871" t="s">
        <v>5977</v>
      </c>
      <c r="C5871">
        <f>"6510002819"</f>
        <v>0</v>
      </c>
      <c r="D5871">
        <v>0</v>
      </c>
      <c r="E5871">
        <v>0</v>
      </c>
      <c r="F5871" s="2">
        <v>0</v>
      </c>
      <c r="H5871">
        <v>0</v>
      </c>
      <c r="I5871">
        <v>0.1741125760648204</v>
      </c>
      <c r="J5871">
        <v>0</v>
      </c>
      <c r="K5871">
        <v>0</v>
      </c>
      <c r="L5871" s="2">
        <v>0</v>
      </c>
      <c r="M5871">
        <v>59.25</v>
      </c>
      <c r="N5871" t="s">
        <v>10236</v>
      </c>
    </row>
    <row r="5872" spans="1:14">
      <c r="A5872" t="s">
        <v>35</v>
      </c>
      <c r="B5872" t="s">
        <v>5978</v>
      </c>
      <c r="C5872">
        <f>"SK3013"</f>
        <v>0</v>
      </c>
      <c r="D5872">
        <v>0</v>
      </c>
      <c r="E5872">
        <v>10</v>
      </c>
      <c r="F5872" s="2">
        <v>5</v>
      </c>
      <c r="H5872">
        <v>0</v>
      </c>
      <c r="I5872">
        <v>0.1741125760648204</v>
      </c>
      <c r="J5872">
        <v>0</v>
      </c>
      <c r="K5872">
        <v>0</v>
      </c>
      <c r="L5872" s="2">
        <v>0</v>
      </c>
      <c r="M5872">
        <v>59.25</v>
      </c>
      <c r="N5872" t="s">
        <v>10236</v>
      </c>
    </row>
    <row r="5873" spans="1:14">
      <c r="A5873" t="s">
        <v>218</v>
      </c>
      <c r="B5873" t="s">
        <v>5979</v>
      </c>
      <c r="C5873">
        <f>"insatm0002"</f>
        <v>0</v>
      </c>
      <c r="D5873">
        <v>0</v>
      </c>
      <c r="E5873">
        <v>0</v>
      </c>
      <c r="F5873" s="2">
        <v>0</v>
      </c>
      <c r="H5873">
        <v>0</v>
      </c>
      <c r="I5873">
        <v>0.1741125760648204</v>
      </c>
      <c r="J5873">
        <v>0</v>
      </c>
      <c r="K5873">
        <v>0</v>
      </c>
      <c r="L5873" s="2">
        <v>0</v>
      </c>
      <c r="M5873">
        <v>59.26</v>
      </c>
      <c r="N5873" t="s">
        <v>10236</v>
      </c>
    </row>
    <row r="5874" spans="1:14">
      <c r="A5874" t="s">
        <v>218</v>
      </c>
      <c r="B5874" t="s">
        <v>5980</v>
      </c>
      <c r="C5874">
        <f>"5003316"</f>
        <v>0</v>
      </c>
      <c r="D5874">
        <v>0</v>
      </c>
      <c r="E5874">
        <v>0</v>
      </c>
      <c r="F5874" s="2">
        <v>0</v>
      </c>
      <c r="H5874">
        <v>0</v>
      </c>
      <c r="I5874">
        <v>0.1741125760648204</v>
      </c>
      <c r="J5874">
        <v>0</v>
      </c>
      <c r="K5874">
        <v>0</v>
      </c>
      <c r="L5874" s="2">
        <v>0</v>
      </c>
      <c r="M5874">
        <v>59.27</v>
      </c>
      <c r="N5874" t="s">
        <v>10236</v>
      </c>
    </row>
    <row r="5875" spans="1:14">
      <c r="A5875" t="s">
        <v>218</v>
      </c>
      <c r="B5875" t="s">
        <v>5981</v>
      </c>
      <c r="C5875">
        <f>"1006354"</f>
        <v>0</v>
      </c>
      <c r="D5875">
        <v>0</v>
      </c>
      <c r="E5875">
        <v>0</v>
      </c>
      <c r="F5875" s="2">
        <v>0</v>
      </c>
      <c r="H5875">
        <v>0</v>
      </c>
      <c r="I5875">
        <v>0.1741125760648204</v>
      </c>
      <c r="J5875">
        <v>0</v>
      </c>
      <c r="K5875">
        <v>0</v>
      </c>
      <c r="L5875" s="2">
        <v>0</v>
      </c>
      <c r="M5875">
        <v>59.28</v>
      </c>
      <c r="N5875" t="s">
        <v>10236</v>
      </c>
    </row>
    <row r="5876" spans="1:14">
      <c r="A5876" t="s">
        <v>25</v>
      </c>
      <c r="B5876" t="s">
        <v>5982</v>
      </c>
      <c r="C5876">
        <f>"SUST2K"</f>
        <v>0</v>
      </c>
      <c r="D5876">
        <v>0</v>
      </c>
      <c r="E5876">
        <v>0</v>
      </c>
      <c r="F5876" s="2">
        <v>0</v>
      </c>
      <c r="H5876">
        <v>0</v>
      </c>
      <c r="I5876">
        <v>0.1741125760648204</v>
      </c>
      <c r="J5876">
        <v>0</v>
      </c>
      <c r="K5876">
        <v>0</v>
      </c>
      <c r="L5876" s="2">
        <v>0</v>
      </c>
      <c r="M5876">
        <v>59.29</v>
      </c>
      <c r="N5876" t="s">
        <v>10236</v>
      </c>
    </row>
    <row r="5877" spans="1:14">
      <c r="A5877" t="s">
        <v>29</v>
      </c>
      <c r="B5877" t="s">
        <v>5983</v>
      </c>
      <c r="C5877">
        <f>"KY3L"</f>
        <v>0</v>
      </c>
      <c r="D5877">
        <v>0</v>
      </c>
      <c r="E5877">
        <v>0</v>
      </c>
      <c r="F5877" s="2">
        <v>0</v>
      </c>
      <c r="H5877">
        <v>0</v>
      </c>
      <c r="I5877">
        <v>0.1741125760648204</v>
      </c>
      <c r="J5877">
        <v>0</v>
      </c>
      <c r="K5877">
        <v>0</v>
      </c>
      <c r="L5877" s="2">
        <v>0</v>
      </c>
      <c r="M5877">
        <v>59.3</v>
      </c>
      <c r="N5877" t="s">
        <v>10236</v>
      </c>
    </row>
    <row r="5878" spans="1:14">
      <c r="A5878" t="s">
        <v>195</v>
      </c>
      <c r="B5878" t="s">
        <v>5984</v>
      </c>
      <c r="C5878">
        <f>"25002416"</f>
        <v>0</v>
      </c>
      <c r="D5878">
        <v>0</v>
      </c>
      <c r="E5878">
        <v>0</v>
      </c>
      <c r="F5878" s="2">
        <v>0</v>
      </c>
      <c r="H5878">
        <v>0</v>
      </c>
      <c r="I5878">
        <v>0.1741125760648204</v>
      </c>
      <c r="J5878">
        <v>0</v>
      </c>
      <c r="K5878">
        <v>0</v>
      </c>
      <c r="L5878" s="2">
        <v>0</v>
      </c>
      <c r="M5878">
        <v>59.31</v>
      </c>
      <c r="N5878" t="s">
        <v>10236</v>
      </c>
    </row>
    <row r="5879" spans="1:14">
      <c r="A5879" t="s">
        <v>25</v>
      </c>
      <c r="B5879" t="s">
        <v>5985</v>
      </c>
      <c r="C5879">
        <f>"SGRILLO"</f>
        <v>0</v>
      </c>
      <c r="D5879">
        <v>0</v>
      </c>
      <c r="E5879">
        <v>0</v>
      </c>
      <c r="F5879" s="2">
        <v>0</v>
      </c>
      <c r="H5879">
        <v>0</v>
      </c>
      <c r="I5879">
        <v>0.1741125760648204</v>
      </c>
      <c r="J5879">
        <v>0</v>
      </c>
      <c r="K5879">
        <v>0</v>
      </c>
      <c r="L5879" s="2">
        <v>0</v>
      </c>
      <c r="M5879">
        <v>59.32</v>
      </c>
      <c r="N5879" t="s">
        <v>10236</v>
      </c>
    </row>
    <row r="5880" spans="1:14">
      <c r="A5880" t="s">
        <v>25</v>
      </c>
      <c r="B5880" t="s">
        <v>5986</v>
      </c>
      <c r="C5880">
        <f>"SC50"</f>
        <v>0</v>
      </c>
      <c r="D5880">
        <v>0</v>
      </c>
      <c r="E5880">
        <v>0</v>
      </c>
      <c r="F5880" s="2">
        <v>0</v>
      </c>
      <c r="H5880">
        <v>0</v>
      </c>
      <c r="I5880">
        <v>0.1741125760648204</v>
      </c>
      <c r="J5880">
        <v>0</v>
      </c>
      <c r="K5880">
        <v>0</v>
      </c>
      <c r="L5880" s="2">
        <v>0</v>
      </c>
      <c r="M5880">
        <v>59.33</v>
      </c>
      <c r="N5880" t="s">
        <v>10236</v>
      </c>
    </row>
    <row r="5881" spans="1:14">
      <c r="A5881" t="s">
        <v>29</v>
      </c>
      <c r="B5881" t="s">
        <v>5987</v>
      </c>
      <c r="C5881">
        <f>"HR230R"</f>
        <v>0</v>
      </c>
      <c r="D5881">
        <v>0</v>
      </c>
      <c r="E5881">
        <v>0</v>
      </c>
      <c r="F5881" s="2">
        <v>0</v>
      </c>
      <c r="H5881">
        <v>0</v>
      </c>
      <c r="I5881">
        <v>0.1741125760648204</v>
      </c>
      <c r="J5881">
        <v>0</v>
      </c>
      <c r="K5881">
        <v>0</v>
      </c>
      <c r="L5881" s="2">
        <v>0</v>
      </c>
      <c r="M5881">
        <v>59.34</v>
      </c>
      <c r="N5881" t="s">
        <v>10236</v>
      </c>
    </row>
    <row r="5882" spans="1:14">
      <c r="A5882" t="s">
        <v>214</v>
      </c>
      <c r="B5882" t="s">
        <v>5988</v>
      </c>
      <c r="C5882">
        <f>"60423"</f>
        <v>0</v>
      </c>
      <c r="D5882">
        <v>0</v>
      </c>
      <c r="E5882">
        <v>0</v>
      </c>
      <c r="F5882" s="2">
        <v>0</v>
      </c>
      <c r="H5882">
        <v>0</v>
      </c>
      <c r="I5882">
        <v>0.1741125760648204</v>
      </c>
      <c r="J5882">
        <v>0</v>
      </c>
      <c r="K5882">
        <v>0</v>
      </c>
      <c r="L5882" s="2">
        <v>0</v>
      </c>
      <c r="M5882">
        <v>59.35</v>
      </c>
      <c r="N5882" t="s">
        <v>10236</v>
      </c>
    </row>
    <row r="5883" spans="1:14">
      <c r="A5883" t="s">
        <v>214</v>
      </c>
      <c r="B5883" t="s">
        <v>5989</v>
      </c>
      <c r="C5883">
        <f>"61421"</f>
        <v>0</v>
      </c>
      <c r="D5883">
        <v>0</v>
      </c>
      <c r="E5883">
        <v>0</v>
      </c>
      <c r="F5883" s="2">
        <v>0</v>
      </c>
      <c r="H5883">
        <v>0</v>
      </c>
      <c r="I5883">
        <v>0.1741125760648204</v>
      </c>
      <c r="J5883">
        <v>0</v>
      </c>
      <c r="K5883">
        <v>0</v>
      </c>
      <c r="L5883" s="2">
        <v>0</v>
      </c>
      <c r="M5883">
        <v>59.36</v>
      </c>
      <c r="N5883" t="s">
        <v>10236</v>
      </c>
    </row>
    <row r="5884" spans="1:14">
      <c r="A5884" t="s">
        <v>29</v>
      </c>
      <c r="B5884" t="s">
        <v>5990</v>
      </c>
      <c r="C5884">
        <f>"70065"</f>
        <v>0</v>
      </c>
      <c r="D5884">
        <v>0</v>
      </c>
      <c r="E5884">
        <v>2</v>
      </c>
      <c r="F5884" s="2">
        <v>5</v>
      </c>
      <c r="H5884">
        <v>0</v>
      </c>
      <c r="I5884">
        <v>0.1741125760648204</v>
      </c>
      <c r="J5884">
        <v>0</v>
      </c>
      <c r="K5884">
        <v>0</v>
      </c>
      <c r="L5884" s="2">
        <v>0</v>
      </c>
      <c r="M5884">
        <v>59.37</v>
      </c>
      <c r="N5884" t="s">
        <v>10236</v>
      </c>
    </row>
    <row r="5885" spans="1:14">
      <c r="A5885" t="s">
        <v>29</v>
      </c>
      <c r="B5885" t="s">
        <v>5991</v>
      </c>
      <c r="C5885">
        <f>"77105"</f>
        <v>0</v>
      </c>
      <c r="D5885">
        <v>0</v>
      </c>
      <c r="E5885">
        <v>0</v>
      </c>
      <c r="F5885" s="2">
        <v>0</v>
      </c>
      <c r="H5885">
        <v>0</v>
      </c>
      <c r="I5885">
        <v>0.1741125760648204</v>
      </c>
      <c r="J5885">
        <v>0</v>
      </c>
      <c r="K5885">
        <v>0</v>
      </c>
      <c r="L5885" s="2">
        <v>0</v>
      </c>
      <c r="M5885">
        <v>59.37</v>
      </c>
      <c r="N5885" t="s">
        <v>10236</v>
      </c>
    </row>
    <row r="5886" spans="1:14">
      <c r="A5886" t="s">
        <v>214</v>
      </c>
      <c r="B5886" t="s">
        <v>5992</v>
      </c>
      <c r="C5886">
        <f>"77104"</f>
        <v>0</v>
      </c>
      <c r="D5886">
        <v>0</v>
      </c>
      <c r="E5886">
        <v>0</v>
      </c>
      <c r="F5886" s="2">
        <v>0</v>
      </c>
      <c r="H5886">
        <v>0</v>
      </c>
      <c r="I5886">
        <v>0.1741125760648204</v>
      </c>
      <c r="J5886">
        <v>0</v>
      </c>
      <c r="K5886">
        <v>0</v>
      </c>
      <c r="L5886" s="2">
        <v>0</v>
      </c>
      <c r="M5886">
        <v>59.38</v>
      </c>
      <c r="N5886" t="s">
        <v>10236</v>
      </c>
    </row>
    <row r="5887" spans="1:14">
      <c r="A5887" t="s">
        <v>29</v>
      </c>
      <c r="B5887" t="s">
        <v>5993</v>
      </c>
      <c r="C5887">
        <f>"70409"</f>
        <v>0</v>
      </c>
      <c r="D5887">
        <v>0</v>
      </c>
      <c r="E5887">
        <v>0</v>
      </c>
      <c r="F5887" s="2">
        <v>0</v>
      </c>
      <c r="H5887">
        <v>0</v>
      </c>
      <c r="I5887">
        <v>0.1741125760648204</v>
      </c>
      <c r="J5887">
        <v>0</v>
      </c>
      <c r="K5887">
        <v>0</v>
      </c>
      <c r="L5887" s="2">
        <v>0</v>
      </c>
      <c r="M5887">
        <v>59.39</v>
      </c>
      <c r="N5887" t="s">
        <v>10236</v>
      </c>
    </row>
    <row r="5888" spans="1:14">
      <c r="A5888" t="s">
        <v>214</v>
      </c>
      <c r="B5888" t="s">
        <v>5994</v>
      </c>
      <c r="C5888">
        <f>"77106"</f>
        <v>0</v>
      </c>
      <c r="D5888">
        <v>0</v>
      </c>
      <c r="E5888">
        <v>0</v>
      </c>
      <c r="F5888" s="2">
        <v>0</v>
      </c>
      <c r="H5888">
        <v>0</v>
      </c>
      <c r="I5888">
        <v>0.1741125760648204</v>
      </c>
      <c r="J5888">
        <v>0</v>
      </c>
      <c r="K5888">
        <v>0</v>
      </c>
      <c r="L5888" s="2">
        <v>0</v>
      </c>
      <c r="M5888">
        <v>59.4</v>
      </c>
      <c r="N5888" t="s">
        <v>10236</v>
      </c>
    </row>
    <row r="5889" spans="1:14">
      <c r="A5889" t="s">
        <v>32</v>
      </c>
      <c r="B5889" t="s">
        <v>5995</v>
      </c>
      <c r="C5889">
        <f>"5003952"</f>
        <v>0</v>
      </c>
      <c r="D5889">
        <v>0</v>
      </c>
      <c r="E5889">
        <v>0</v>
      </c>
      <c r="F5889" s="2">
        <v>0</v>
      </c>
      <c r="H5889">
        <v>0</v>
      </c>
      <c r="I5889">
        <v>0.1741125760648204</v>
      </c>
      <c r="J5889">
        <v>0</v>
      </c>
      <c r="K5889">
        <v>0</v>
      </c>
      <c r="L5889" s="2">
        <v>0</v>
      </c>
      <c r="M5889">
        <v>59.41</v>
      </c>
      <c r="N5889" t="s">
        <v>10236</v>
      </c>
    </row>
    <row r="5890" spans="1:14">
      <c r="A5890" t="s">
        <v>25</v>
      </c>
      <c r="B5890" t="s">
        <v>5996</v>
      </c>
      <c r="C5890">
        <f>"ST25"</f>
        <v>0</v>
      </c>
      <c r="D5890">
        <v>0</v>
      </c>
      <c r="E5890">
        <v>0</v>
      </c>
      <c r="F5890" s="2">
        <v>0</v>
      </c>
      <c r="H5890">
        <v>0</v>
      </c>
      <c r="I5890">
        <v>0.1741125760648204</v>
      </c>
      <c r="J5890">
        <v>0</v>
      </c>
      <c r="K5890">
        <v>0</v>
      </c>
      <c r="L5890" s="2">
        <v>0</v>
      </c>
      <c r="M5890">
        <v>59.42</v>
      </c>
      <c r="N5890" t="s">
        <v>10236</v>
      </c>
    </row>
    <row r="5891" spans="1:14">
      <c r="A5891" t="s">
        <v>25</v>
      </c>
      <c r="B5891" t="s">
        <v>5997</v>
      </c>
      <c r="C5891">
        <f>"STB"</f>
        <v>0</v>
      </c>
      <c r="D5891">
        <v>0</v>
      </c>
      <c r="E5891">
        <v>0</v>
      </c>
      <c r="F5891" s="2">
        <v>0</v>
      </c>
      <c r="H5891">
        <v>0</v>
      </c>
      <c r="I5891">
        <v>0.1741125760648204</v>
      </c>
      <c r="J5891">
        <v>0</v>
      </c>
      <c r="K5891">
        <v>0</v>
      </c>
      <c r="L5891" s="2">
        <v>0</v>
      </c>
      <c r="M5891">
        <v>59.43</v>
      </c>
      <c r="N5891" t="s">
        <v>10236</v>
      </c>
    </row>
    <row r="5892" spans="1:14">
      <c r="A5892" t="s">
        <v>25</v>
      </c>
      <c r="B5892" t="s">
        <v>5998</v>
      </c>
      <c r="C5892">
        <f>"STB400"</f>
        <v>0</v>
      </c>
      <c r="D5892">
        <v>0</v>
      </c>
      <c r="E5892">
        <v>0</v>
      </c>
      <c r="F5892" s="2">
        <v>0</v>
      </c>
      <c r="H5892">
        <v>0</v>
      </c>
      <c r="I5892">
        <v>0.1741125760648204</v>
      </c>
      <c r="J5892">
        <v>0</v>
      </c>
      <c r="K5892">
        <v>0</v>
      </c>
      <c r="L5892" s="2">
        <v>0</v>
      </c>
      <c r="M5892">
        <v>59.44</v>
      </c>
      <c r="N5892" t="s">
        <v>10236</v>
      </c>
    </row>
    <row r="5893" spans="1:14">
      <c r="A5893" t="s">
        <v>214</v>
      </c>
      <c r="B5893" t="s">
        <v>5999</v>
      </c>
      <c r="C5893">
        <f>"65372"</f>
        <v>0</v>
      </c>
      <c r="D5893">
        <v>0</v>
      </c>
      <c r="E5893">
        <v>2</v>
      </c>
      <c r="F5893" s="2">
        <v>1</v>
      </c>
      <c r="H5893">
        <v>0</v>
      </c>
      <c r="I5893">
        <v>0.1741125760648204</v>
      </c>
      <c r="J5893">
        <v>0</v>
      </c>
      <c r="K5893">
        <v>0</v>
      </c>
      <c r="L5893" s="2">
        <v>0</v>
      </c>
      <c r="M5893">
        <v>59.45</v>
      </c>
      <c r="N5893" t="s">
        <v>10236</v>
      </c>
    </row>
    <row r="5894" spans="1:14">
      <c r="A5894" t="s">
        <v>29</v>
      </c>
      <c r="B5894" t="s">
        <v>6000</v>
      </c>
      <c r="C5894">
        <f>"CH88842S"</f>
        <v>0</v>
      </c>
      <c r="D5894">
        <v>0</v>
      </c>
      <c r="E5894">
        <v>6</v>
      </c>
      <c r="F5894" s="2">
        <v>3</v>
      </c>
      <c r="H5894">
        <v>0</v>
      </c>
      <c r="I5894">
        <v>0.1741125760648204</v>
      </c>
      <c r="J5894">
        <v>0</v>
      </c>
      <c r="K5894">
        <v>0</v>
      </c>
      <c r="L5894" s="2">
        <v>0</v>
      </c>
      <c r="M5894">
        <v>59.46</v>
      </c>
      <c r="N5894" t="s">
        <v>10236</v>
      </c>
    </row>
    <row r="5895" spans="1:14">
      <c r="A5895" t="s">
        <v>29</v>
      </c>
      <c r="B5895" t="s">
        <v>6001</v>
      </c>
      <c r="C5895">
        <f>"U780M"</f>
        <v>0</v>
      </c>
      <c r="D5895">
        <v>0</v>
      </c>
      <c r="E5895">
        <v>0</v>
      </c>
      <c r="F5895" s="2">
        <v>0</v>
      </c>
      <c r="H5895">
        <v>0</v>
      </c>
      <c r="I5895">
        <v>0.1741125760648204</v>
      </c>
      <c r="J5895">
        <v>0</v>
      </c>
      <c r="K5895">
        <v>0</v>
      </c>
      <c r="L5895" s="2">
        <v>0</v>
      </c>
      <c r="M5895">
        <v>59.47</v>
      </c>
      <c r="N5895" t="s">
        <v>10236</v>
      </c>
    </row>
    <row r="5896" spans="1:14">
      <c r="A5896" t="s">
        <v>29</v>
      </c>
      <c r="B5896" t="s">
        <v>6002</v>
      </c>
      <c r="C5896">
        <f>"U780L"</f>
        <v>0</v>
      </c>
      <c r="D5896">
        <v>0</v>
      </c>
      <c r="E5896">
        <v>3</v>
      </c>
      <c r="F5896" s="2">
        <v>4</v>
      </c>
      <c r="H5896">
        <v>0</v>
      </c>
      <c r="I5896">
        <v>0.1741125760648204</v>
      </c>
      <c r="J5896">
        <v>0</v>
      </c>
      <c r="K5896">
        <v>0</v>
      </c>
      <c r="L5896" s="2">
        <v>0</v>
      </c>
      <c r="M5896">
        <v>59.48</v>
      </c>
      <c r="N5896" t="s">
        <v>10236</v>
      </c>
    </row>
    <row r="5897" spans="1:14">
      <c r="A5897" t="s">
        <v>29</v>
      </c>
      <c r="B5897" t="s">
        <v>6003</v>
      </c>
      <c r="C5897">
        <f>"20674"</f>
        <v>0</v>
      </c>
      <c r="D5897">
        <v>0</v>
      </c>
      <c r="E5897">
        <v>0</v>
      </c>
      <c r="F5897" s="2">
        <v>0</v>
      </c>
      <c r="H5897">
        <v>0</v>
      </c>
      <c r="I5897">
        <v>0.1741125760648204</v>
      </c>
      <c r="J5897">
        <v>0</v>
      </c>
      <c r="K5897">
        <v>0</v>
      </c>
      <c r="L5897" s="2">
        <v>0</v>
      </c>
      <c r="M5897">
        <v>59.49</v>
      </c>
      <c r="N5897" t="s">
        <v>10236</v>
      </c>
    </row>
    <row r="5898" spans="1:14">
      <c r="A5898" t="s">
        <v>25</v>
      </c>
      <c r="B5898" t="s">
        <v>6004</v>
      </c>
      <c r="C5898">
        <f>"LS111"</f>
        <v>0</v>
      </c>
      <c r="D5898">
        <v>0</v>
      </c>
      <c r="E5898">
        <v>0</v>
      </c>
      <c r="F5898" s="2">
        <v>0</v>
      </c>
      <c r="H5898">
        <v>0</v>
      </c>
      <c r="I5898">
        <v>0.1741125760648204</v>
      </c>
      <c r="J5898">
        <v>0</v>
      </c>
      <c r="K5898">
        <v>0</v>
      </c>
      <c r="L5898" s="2">
        <v>0</v>
      </c>
      <c r="M5898">
        <v>59.49</v>
      </c>
      <c r="N5898" t="s">
        <v>10236</v>
      </c>
    </row>
    <row r="5899" spans="1:14">
      <c r="A5899" t="s">
        <v>35</v>
      </c>
      <c r="B5899" t="s">
        <v>6005</v>
      </c>
      <c r="C5899">
        <f>"MSP109A"</f>
        <v>0</v>
      </c>
      <c r="D5899">
        <v>0</v>
      </c>
      <c r="E5899">
        <v>3</v>
      </c>
      <c r="F5899" s="2">
        <v>16</v>
      </c>
      <c r="H5899">
        <v>0</v>
      </c>
      <c r="I5899">
        <v>0.1741125760648204</v>
      </c>
      <c r="J5899">
        <v>0</v>
      </c>
      <c r="K5899">
        <v>0</v>
      </c>
      <c r="L5899" s="2">
        <v>0</v>
      </c>
      <c r="M5899">
        <v>59.5</v>
      </c>
      <c r="N5899" t="s">
        <v>10236</v>
      </c>
    </row>
    <row r="5900" spans="1:14">
      <c r="A5900" t="s">
        <v>35</v>
      </c>
      <c r="B5900" t="s">
        <v>6006</v>
      </c>
      <c r="C5900">
        <f>"MSP009TV"</f>
        <v>0</v>
      </c>
      <c r="D5900">
        <v>0</v>
      </c>
      <c r="E5900">
        <v>0</v>
      </c>
      <c r="F5900" s="2">
        <v>0</v>
      </c>
      <c r="H5900">
        <v>0</v>
      </c>
      <c r="I5900">
        <v>0.1741125760648204</v>
      </c>
      <c r="J5900">
        <v>0</v>
      </c>
      <c r="K5900">
        <v>0</v>
      </c>
      <c r="L5900" s="2">
        <v>0</v>
      </c>
      <c r="M5900">
        <v>59.51</v>
      </c>
      <c r="N5900" t="s">
        <v>10236</v>
      </c>
    </row>
    <row r="5901" spans="1:14">
      <c r="A5901" t="s">
        <v>30</v>
      </c>
      <c r="B5901" t="s">
        <v>6007</v>
      </c>
      <c r="C5901">
        <f>"100435"</f>
        <v>0</v>
      </c>
      <c r="D5901">
        <v>0</v>
      </c>
      <c r="E5901">
        <v>0</v>
      </c>
      <c r="F5901" s="2">
        <v>0</v>
      </c>
      <c r="H5901">
        <v>0</v>
      </c>
      <c r="I5901">
        <v>0.1741125760648204</v>
      </c>
      <c r="J5901">
        <v>0</v>
      </c>
      <c r="K5901">
        <v>0</v>
      </c>
      <c r="L5901" s="2">
        <v>0</v>
      </c>
      <c r="M5901">
        <v>59.52</v>
      </c>
      <c r="N5901" t="s">
        <v>10236</v>
      </c>
    </row>
    <row r="5902" spans="1:14">
      <c r="A5902" t="s">
        <v>25</v>
      </c>
      <c r="B5902" t="s">
        <v>6008</v>
      </c>
      <c r="C5902">
        <f>"RJ192"</f>
        <v>0</v>
      </c>
      <c r="D5902">
        <v>0</v>
      </c>
      <c r="E5902">
        <v>0</v>
      </c>
      <c r="F5902" s="2">
        <v>0</v>
      </c>
      <c r="H5902">
        <v>0</v>
      </c>
      <c r="I5902">
        <v>0.1741125760648204</v>
      </c>
      <c r="J5902">
        <v>0</v>
      </c>
      <c r="K5902">
        <v>0</v>
      </c>
      <c r="L5902" s="2">
        <v>0</v>
      </c>
      <c r="M5902">
        <v>59.53</v>
      </c>
      <c r="N5902" t="s">
        <v>10236</v>
      </c>
    </row>
    <row r="5903" spans="1:14">
      <c r="A5903" t="s">
        <v>192</v>
      </c>
      <c r="B5903" t="s">
        <v>6009</v>
      </c>
      <c r="C5903">
        <f>"6224"</f>
        <v>0</v>
      </c>
      <c r="D5903">
        <v>0</v>
      </c>
      <c r="E5903">
        <v>0</v>
      </c>
      <c r="F5903" s="2">
        <v>0</v>
      </c>
      <c r="H5903">
        <v>0</v>
      </c>
      <c r="I5903">
        <v>0.1741125760648204</v>
      </c>
      <c r="J5903">
        <v>0</v>
      </c>
      <c r="K5903">
        <v>0</v>
      </c>
      <c r="L5903" s="2">
        <v>0</v>
      </c>
      <c r="M5903">
        <v>59.54</v>
      </c>
      <c r="N5903" t="s">
        <v>10236</v>
      </c>
    </row>
    <row r="5904" spans="1:14">
      <c r="A5904" t="s">
        <v>192</v>
      </c>
      <c r="B5904" t="s">
        <v>6010</v>
      </c>
      <c r="C5904">
        <f>"AB115"</f>
        <v>0</v>
      </c>
      <c r="D5904">
        <v>0</v>
      </c>
      <c r="E5904">
        <v>0</v>
      </c>
      <c r="F5904" s="2">
        <v>0</v>
      </c>
      <c r="H5904">
        <v>0</v>
      </c>
      <c r="I5904">
        <v>0.1741125760648204</v>
      </c>
      <c r="J5904">
        <v>0</v>
      </c>
      <c r="K5904">
        <v>0</v>
      </c>
      <c r="L5904" s="2">
        <v>0</v>
      </c>
      <c r="M5904">
        <v>59.55</v>
      </c>
      <c r="N5904" t="s">
        <v>10236</v>
      </c>
    </row>
    <row r="5905" spans="1:14">
      <c r="A5905" t="s">
        <v>192</v>
      </c>
      <c r="B5905" t="s">
        <v>6011</v>
      </c>
      <c r="C5905">
        <f>"AB114"</f>
        <v>0</v>
      </c>
      <c r="D5905">
        <v>0</v>
      </c>
      <c r="E5905">
        <v>0</v>
      </c>
      <c r="F5905" s="2">
        <v>0</v>
      </c>
      <c r="H5905">
        <v>0</v>
      </c>
      <c r="I5905">
        <v>0.1741125760648204</v>
      </c>
      <c r="J5905">
        <v>0</v>
      </c>
      <c r="K5905">
        <v>0</v>
      </c>
      <c r="L5905" s="2">
        <v>0</v>
      </c>
      <c r="M5905">
        <v>59.56</v>
      </c>
      <c r="N5905" t="s">
        <v>10236</v>
      </c>
    </row>
    <row r="5906" spans="1:14">
      <c r="A5906" t="s">
        <v>29</v>
      </c>
      <c r="B5906" t="s">
        <v>6012</v>
      </c>
      <c r="C5906">
        <f>"CH22009"</f>
        <v>0</v>
      </c>
      <c r="D5906">
        <v>0</v>
      </c>
      <c r="E5906">
        <v>3</v>
      </c>
      <c r="F5906" s="2">
        <v>4</v>
      </c>
      <c r="H5906">
        <v>0</v>
      </c>
      <c r="I5906">
        <v>0.1741125760648204</v>
      </c>
      <c r="J5906">
        <v>0</v>
      </c>
      <c r="K5906">
        <v>0</v>
      </c>
      <c r="L5906" s="2">
        <v>0</v>
      </c>
      <c r="M5906">
        <v>59.57</v>
      </c>
      <c r="N5906" t="s">
        <v>10236</v>
      </c>
    </row>
    <row r="5907" spans="1:14">
      <c r="A5907" t="s">
        <v>29</v>
      </c>
      <c r="B5907" t="s">
        <v>6013</v>
      </c>
      <c r="C5907">
        <f>"CH22827"</f>
        <v>0</v>
      </c>
      <c r="D5907">
        <v>0</v>
      </c>
      <c r="E5907">
        <v>8</v>
      </c>
      <c r="F5907" s="2">
        <v>4</v>
      </c>
      <c r="H5907">
        <v>0</v>
      </c>
      <c r="I5907">
        <v>0.1741125760648204</v>
      </c>
      <c r="J5907">
        <v>0</v>
      </c>
      <c r="K5907">
        <v>0</v>
      </c>
      <c r="L5907" s="2">
        <v>0</v>
      </c>
      <c r="M5907">
        <v>59.58</v>
      </c>
      <c r="N5907" t="s">
        <v>10236</v>
      </c>
    </row>
    <row r="5908" spans="1:14">
      <c r="A5908" t="s">
        <v>29</v>
      </c>
      <c r="B5908" t="s">
        <v>6014</v>
      </c>
      <c r="C5908">
        <f>"CH9796"</f>
        <v>0</v>
      </c>
      <c r="D5908">
        <v>0</v>
      </c>
      <c r="E5908">
        <v>2</v>
      </c>
      <c r="F5908" s="2">
        <v>2</v>
      </c>
      <c r="H5908">
        <v>0</v>
      </c>
      <c r="I5908">
        <v>0.1741125760648204</v>
      </c>
      <c r="J5908">
        <v>0</v>
      </c>
      <c r="K5908">
        <v>0</v>
      </c>
      <c r="L5908" s="2">
        <v>0</v>
      </c>
      <c r="M5908">
        <v>59.59</v>
      </c>
      <c r="N5908" t="s">
        <v>10236</v>
      </c>
    </row>
    <row r="5909" spans="1:14">
      <c r="A5909" t="s">
        <v>218</v>
      </c>
      <c r="B5909" t="s">
        <v>6015</v>
      </c>
      <c r="C5909">
        <f>"1005263"</f>
        <v>0</v>
      </c>
      <c r="D5909">
        <v>0</v>
      </c>
      <c r="E5909">
        <v>0</v>
      </c>
      <c r="F5909" s="2">
        <v>0</v>
      </c>
      <c r="H5909">
        <v>0</v>
      </c>
      <c r="I5909">
        <v>0.1741125760648204</v>
      </c>
      <c r="J5909">
        <v>0</v>
      </c>
      <c r="K5909">
        <v>0</v>
      </c>
      <c r="L5909" s="2">
        <v>0</v>
      </c>
      <c r="M5909">
        <v>59.6</v>
      </c>
      <c r="N5909" t="s">
        <v>10236</v>
      </c>
    </row>
    <row r="5910" spans="1:14">
      <c r="A5910" t="s">
        <v>29</v>
      </c>
      <c r="B5910" t="s">
        <v>6016</v>
      </c>
      <c r="C5910">
        <f>"GT3003"</f>
        <v>0</v>
      </c>
      <c r="D5910">
        <v>0</v>
      </c>
      <c r="E5910">
        <v>0</v>
      </c>
      <c r="F5910" s="2">
        <v>0</v>
      </c>
      <c r="H5910">
        <v>0</v>
      </c>
      <c r="I5910">
        <v>0.1741125760648204</v>
      </c>
      <c r="J5910">
        <v>0</v>
      </c>
      <c r="K5910">
        <v>0</v>
      </c>
      <c r="L5910" s="2">
        <v>0</v>
      </c>
      <c r="M5910">
        <v>59.6</v>
      </c>
      <c r="N5910" t="s">
        <v>10236</v>
      </c>
    </row>
    <row r="5911" spans="1:14">
      <c r="A5911" t="s">
        <v>29</v>
      </c>
      <c r="B5911" t="s">
        <v>6017</v>
      </c>
      <c r="C5911">
        <f>"GT3001"</f>
        <v>0</v>
      </c>
      <c r="D5911">
        <v>0</v>
      </c>
      <c r="E5911">
        <v>0</v>
      </c>
      <c r="F5911" s="2">
        <v>0</v>
      </c>
      <c r="H5911">
        <v>0</v>
      </c>
      <c r="I5911">
        <v>0.1741125760648204</v>
      </c>
      <c r="J5911">
        <v>0</v>
      </c>
      <c r="K5911">
        <v>0</v>
      </c>
      <c r="L5911" s="2">
        <v>0</v>
      </c>
      <c r="M5911">
        <v>59.61</v>
      </c>
      <c r="N5911" t="s">
        <v>10236</v>
      </c>
    </row>
    <row r="5912" spans="1:14">
      <c r="A5912" t="s">
        <v>35</v>
      </c>
      <c r="B5912" t="s">
        <v>6018</v>
      </c>
      <c r="C5912">
        <f>"25390131"</f>
        <v>0</v>
      </c>
      <c r="D5912">
        <v>0</v>
      </c>
      <c r="E5912">
        <v>0</v>
      </c>
      <c r="F5912" s="2">
        <v>0</v>
      </c>
      <c r="H5912">
        <v>0</v>
      </c>
      <c r="I5912">
        <v>0.1741125760648204</v>
      </c>
      <c r="J5912">
        <v>0</v>
      </c>
      <c r="K5912">
        <v>0</v>
      </c>
      <c r="L5912" s="2">
        <v>0</v>
      </c>
      <c r="M5912">
        <v>59.62</v>
      </c>
      <c r="N5912" t="s">
        <v>10236</v>
      </c>
    </row>
    <row r="5913" spans="1:14">
      <c r="A5913" t="s">
        <v>29</v>
      </c>
      <c r="B5913" t="s">
        <v>6019</v>
      </c>
      <c r="C5913">
        <f>"67761"</f>
        <v>0</v>
      </c>
      <c r="D5913">
        <v>0</v>
      </c>
      <c r="E5913">
        <v>0</v>
      </c>
      <c r="F5913" s="2">
        <v>0</v>
      </c>
      <c r="H5913">
        <v>0</v>
      </c>
      <c r="I5913">
        <v>0.1741125760648204</v>
      </c>
      <c r="J5913">
        <v>0</v>
      </c>
      <c r="K5913">
        <v>0</v>
      </c>
      <c r="L5913" s="2">
        <v>0</v>
      </c>
      <c r="M5913">
        <v>59.63</v>
      </c>
      <c r="N5913" t="s">
        <v>10236</v>
      </c>
    </row>
    <row r="5914" spans="1:14">
      <c r="A5914" t="s">
        <v>29</v>
      </c>
      <c r="B5914" t="s">
        <v>6020</v>
      </c>
      <c r="C5914">
        <f>"67414"</f>
        <v>0</v>
      </c>
      <c r="D5914">
        <v>0</v>
      </c>
      <c r="E5914">
        <v>0</v>
      </c>
      <c r="F5914" s="2">
        <v>0</v>
      </c>
      <c r="H5914">
        <v>0</v>
      </c>
      <c r="I5914">
        <v>0.1741125760648204</v>
      </c>
      <c r="J5914">
        <v>0</v>
      </c>
      <c r="K5914">
        <v>0</v>
      </c>
      <c r="L5914" s="2">
        <v>0</v>
      </c>
      <c r="M5914">
        <v>59.64</v>
      </c>
      <c r="N5914" t="s">
        <v>10236</v>
      </c>
    </row>
    <row r="5915" spans="1:14">
      <c r="A5915" t="s">
        <v>29</v>
      </c>
      <c r="B5915" t="s">
        <v>6021</v>
      </c>
      <c r="C5915">
        <f>"67411"</f>
        <v>0</v>
      </c>
      <c r="D5915">
        <v>0</v>
      </c>
      <c r="E5915">
        <v>9</v>
      </c>
      <c r="F5915" s="2">
        <v>2</v>
      </c>
      <c r="H5915">
        <v>0</v>
      </c>
      <c r="I5915">
        <v>0.1741125760648204</v>
      </c>
      <c r="J5915">
        <v>0</v>
      </c>
      <c r="K5915">
        <v>0</v>
      </c>
      <c r="L5915" s="2">
        <v>0</v>
      </c>
      <c r="M5915">
        <v>59.65</v>
      </c>
      <c r="N5915" t="s">
        <v>10236</v>
      </c>
    </row>
    <row r="5916" spans="1:14">
      <c r="A5916" t="s">
        <v>33</v>
      </c>
      <c r="B5916" t="s">
        <v>6022</v>
      </c>
      <c r="C5916">
        <f>"TOPK93209"</f>
        <v>0</v>
      </c>
      <c r="D5916">
        <v>0</v>
      </c>
      <c r="E5916">
        <v>0</v>
      </c>
      <c r="F5916" s="2">
        <v>0</v>
      </c>
      <c r="H5916">
        <v>0</v>
      </c>
      <c r="I5916">
        <v>0.1741125760648204</v>
      </c>
      <c r="J5916">
        <v>0</v>
      </c>
      <c r="K5916">
        <v>0</v>
      </c>
      <c r="L5916" s="2">
        <v>0</v>
      </c>
      <c r="M5916">
        <v>59.66</v>
      </c>
      <c r="N5916" t="s">
        <v>10236</v>
      </c>
    </row>
    <row r="5917" spans="1:14">
      <c r="A5917" t="s">
        <v>33</v>
      </c>
      <c r="B5917" t="s">
        <v>6023</v>
      </c>
      <c r="C5917">
        <f>"TOPK93213"</f>
        <v>0</v>
      </c>
      <c r="D5917">
        <v>0</v>
      </c>
      <c r="E5917">
        <v>0</v>
      </c>
      <c r="F5917" s="2">
        <v>0</v>
      </c>
      <c r="H5917">
        <v>0</v>
      </c>
      <c r="I5917">
        <v>0.1741125760648204</v>
      </c>
      <c r="J5917">
        <v>0</v>
      </c>
      <c r="K5917">
        <v>0</v>
      </c>
      <c r="L5917" s="2">
        <v>0</v>
      </c>
      <c r="M5917">
        <v>59.67</v>
      </c>
      <c r="N5917" t="s">
        <v>10236</v>
      </c>
    </row>
    <row r="5918" spans="1:14">
      <c r="A5918" t="s">
        <v>33</v>
      </c>
      <c r="B5918" t="s">
        <v>6024</v>
      </c>
      <c r="C5918">
        <f>"TOPK93212"</f>
        <v>0</v>
      </c>
      <c r="D5918">
        <v>0</v>
      </c>
      <c r="E5918">
        <v>0</v>
      </c>
      <c r="F5918" s="2">
        <v>0</v>
      </c>
      <c r="H5918">
        <v>0</v>
      </c>
      <c r="I5918">
        <v>0.1741125760648204</v>
      </c>
      <c r="J5918">
        <v>0</v>
      </c>
      <c r="K5918">
        <v>0</v>
      </c>
      <c r="L5918" s="2">
        <v>0</v>
      </c>
      <c r="M5918">
        <v>59.68</v>
      </c>
      <c r="N5918" t="s">
        <v>10236</v>
      </c>
    </row>
    <row r="5919" spans="1:14">
      <c r="A5919" t="s">
        <v>33</v>
      </c>
      <c r="B5919" t="s">
        <v>6025</v>
      </c>
      <c r="C5919">
        <f>"TOPK93214"</f>
        <v>0</v>
      </c>
      <c r="D5919">
        <v>0</v>
      </c>
      <c r="E5919">
        <v>0</v>
      </c>
      <c r="F5919" s="2">
        <v>0</v>
      </c>
      <c r="H5919">
        <v>0</v>
      </c>
      <c r="I5919">
        <v>0.1741125760648204</v>
      </c>
      <c r="J5919">
        <v>0</v>
      </c>
      <c r="K5919">
        <v>0</v>
      </c>
      <c r="L5919" s="2">
        <v>0</v>
      </c>
      <c r="M5919">
        <v>59.69</v>
      </c>
      <c r="N5919" t="s">
        <v>10236</v>
      </c>
    </row>
    <row r="5920" spans="1:14">
      <c r="A5920" t="s">
        <v>33</v>
      </c>
      <c r="B5920" t="s">
        <v>6026</v>
      </c>
      <c r="C5920">
        <f>"TOPK93207"</f>
        <v>0</v>
      </c>
      <c r="D5920">
        <v>0</v>
      </c>
      <c r="E5920">
        <v>0</v>
      </c>
      <c r="F5920" s="2">
        <v>0</v>
      </c>
      <c r="H5920">
        <v>0</v>
      </c>
      <c r="I5920">
        <v>0.1741125760648204</v>
      </c>
      <c r="J5920">
        <v>0</v>
      </c>
      <c r="K5920">
        <v>0</v>
      </c>
      <c r="L5920" s="2">
        <v>0</v>
      </c>
      <c r="M5920">
        <v>59.7</v>
      </c>
      <c r="N5920" t="s">
        <v>10236</v>
      </c>
    </row>
    <row r="5921" spans="1:14">
      <c r="A5921" t="s">
        <v>33</v>
      </c>
      <c r="B5921" t="s">
        <v>6027</v>
      </c>
      <c r="C5921">
        <f>"TOPK93206"</f>
        <v>0</v>
      </c>
      <c r="D5921">
        <v>0</v>
      </c>
      <c r="E5921">
        <v>0</v>
      </c>
      <c r="F5921" s="2">
        <v>0</v>
      </c>
      <c r="H5921">
        <v>0</v>
      </c>
      <c r="I5921">
        <v>0.1741125760648204</v>
      </c>
      <c r="J5921">
        <v>0</v>
      </c>
      <c r="K5921">
        <v>0</v>
      </c>
      <c r="L5921" s="2">
        <v>0</v>
      </c>
      <c r="M5921">
        <v>59.71</v>
      </c>
      <c r="N5921" t="s">
        <v>10236</v>
      </c>
    </row>
    <row r="5922" spans="1:14">
      <c r="A5922" t="s">
        <v>33</v>
      </c>
      <c r="B5922" t="s">
        <v>6028</v>
      </c>
      <c r="C5922">
        <f>"TOPK93208"</f>
        <v>0</v>
      </c>
      <c r="D5922">
        <v>0</v>
      </c>
      <c r="E5922">
        <v>0</v>
      </c>
      <c r="F5922" s="2">
        <v>0</v>
      </c>
      <c r="H5922">
        <v>0</v>
      </c>
      <c r="I5922">
        <v>0.1741125760648204</v>
      </c>
      <c r="J5922">
        <v>0</v>
      </c>
      <c r="K5922">
        <v>0</v>
      </c>
      <c r="L5922" s="2">
        <v>0</v>
      </c>
      <c r="M5922">
        <v>59.72</v>
      </c>
      <c r="N5922" t="s">
        <v>10236</v>
      </c>
    </row>
    <row r="5923" spans="1:14">
      <c r="A5923" t="s">
        <v>33</v>
      </c>
      <c r="B5923" t="s">
        <v>6029</v>
      </c>
      <c r="C5923">
        <f>"TOPK93203"</f>
        <v>0</v>
      </c>
      <c r="D5923">
        <v>0</v>
      </c>
      <c r="E5923">
        <v>0</v>
      </c>
      <c r="F5923" s="2">
        <v>0</v>
      </c>
      <c r="H5923">
        <v>0</v>
      </c>
      <c r="I5923">
        <v>0.1741125760648204</v>
      </c>
      <c r="J5923">
        <v>0</v>
      </c>
      <c r="K5923">
        <v>0</v>
      </c>
      <c r="L5923" s="2">
        <v>0</v>
      </c>
      <c r="M5923">
        <v>59.72</v>
      </c>
      <c r="N5923" t="s">
        <v>10236</v>
      </c>
    </row>
    <row r="5924" spans="1:14">
      <c r="A5924" t="s">
        <v>33</v>
      </c>
      <c r="B5924" t="s">
        <v>6030</v>
      </c>
      <c r="C5924">
        <f>"TOPK93204"</f>
        <v>0</v>
      </c>
      <c r="D5924">
        <v>0</v>
      </c>
      <c r="E5924">
        <v>0</v>
      </c>
      <c r="F5924" s="2">
        <v>0</v>
      </c>
      <c r="H5924">
        <v>0</v>
      </c>
      <c r="I5924">
        <v>0.1741125760648204</v>
      </c>
      <c r="J5924">
        <v>0</v>
      </c>
      <c r="K5924">
        <v>0</v>
      </c>
      <c r="L5924" s="2">
        <v>0</v>
      </c>
      <c r="M5924">
        <v>59.73</v>
      </c>
      <c r="N5924" t="s">
        <v>10236</v>
      </c>
    </row>
    <row r="5925" spans="1:14">
      <c r="A5925" t="s">
        <v>33</v>
      </c>
      <c r="B5925" t="s">
        <v>6031</v>
      </c>
      <c r="C5925">
        <f>"TOPK93205"</f>
        <v>0</v>
      </c>
      <c r="D5925">
        <v>0</v>
      </c>
      <c r="E5925">
        <v>0</v>
      </c>
      <c r="F5925" s="2">
        <v>0</v>
      </c>
      <c r="H5925">
        <v>0</v>
      </c>
      <c r="I5925">
        <v>0.1741125760648204</v>
      </c>
      <c r="J5925">
        <v>0</v>
      </c>
      <c r="K5925">
        <v>0</v>
      </c>
      <c r="L5925" s="2">
        <v>0</v>
      </c>
      <c r="M5925">
        <v>59.74</v>
      </c>
      <c r="N5925" t="s">
        <v>10236</v>
      </c>
    </row>
    <row r="5926" spans="1:14">
      <c r="A5926" t="s">
        <v>196</v>
      </c>
      <c r="B5926" t="s">
        <v>6032</v>
      </c>
      <c r="C5926">
        <f>"2326"</f>
        <v>0</v>
      </c>
      <c r="D5926">
        <v>0</v>
      </c>
      <c r="E5926">
        <v>0</v>
      </c>
      <c r="F5926" s="2">
        <v>0</v>
      </c>
      <c r="H5926">
        <v>0</v>
      </c>
      <c r="I5926">
        <v>0.1741125760648204</v>
      </c>
      <c r="J5926">
        <v>0</v>
      </c>
      <c r="K5926">
        <v>0</v>
      </c>
      <c r="L5926" s="2">
        <v>0</v>
      </c>
      <c r="M5926">
        <v>59.75</v>
      </c>
      <c r="N5926" t="s">
        <v>10236</v>
      </c>
    </row>
    <row r="5927" spans="1:14">
      <c r="A5927" t="s">
        <v>35</v>
      </c>
      <c r="B5927" t="s">
        <v>6033</v>
      </c>
      <c r="C5927">
        <f>"MS010"</f>
        <v>0</v>
      </c>
      <c r="D5927">
        <v>0</v>
      </c>
      <c r="E5927">
        <v>0</v>
      </c>
      <c r="F5927" s="2">
        <v>0</v>
      </c>
      <c r="H5927">
        <v>0</v>
      </c>
      <c r="I5927">
        <v>0.1741125760648204</v>
      </c>
      <c r="J5927">
        <v>0</v>
      </c>
      <c r="K5927">
        <v>0</v>
      </c>
      <c r="L5927" s="2">
        <v>0</v>
      </c>
      <c r="M5927">
        <v>59.76</v>
      </c>
      <c r="N5927" t="s">
        <v>10236</v>
      </c>
    </row>
    <row r="5928" spans="1:14">
      <c r="A5928" t="s">
        <v>29</v>
      </c>
      <c r="B5928" t="s">
        <v>6034</v>
      </c>
      <c r="C5928">
        <f>"CH9697"</f>
        <v>0</v>
      </c>
      <c r="D5928">
        <v>0</v>
      </c>
      <c r="E5928">
        <v>2</v>
      </c>
      <c r="F5928" s="2">
        <v>0</v>
      </c>
      <c r="H5928">
        <v>0</v>
      </c>
      <c r="I5928">
        <v>0.1741125760648204</v>
      </c>
      <c r="J5928">
        <v>0</v>
      </c>
      <c r="K5928">
        <v>0</v>
      </c>
      <c r="L5928" s="2">
        <v>0</v>
      </c>
      <c r="M5928">
        <v>59.77</v>
      </c>
      <c r="N5928" t="s">
        <v>10236</v>
      </c>
    </row>
    <row r="5929" spans="1:14">
      <c r="A5929" t="s">
        <v>29</v>
      </c>
      <c r="B5929" t="s">
        <v>6035</v>
      </c>
      <c r="C5929">
        <f>"STC1001"</f>
        <v>0</v>
      </c>
      <c r="D5929">
        <v>0</v>
      </c>
      <c r="E5929">
        <v>0</v>
      </c>
      <c r="F5929" s="2">
        <v>0</v>
      </c>
      <c r="H5929">
        <v>0</v>
      </c>
      <c r="I5929">
        <v>0.1741125760648204</v>
      </c>
      <c r="J5929">
        <v>0</v>
      </c>
      <c r="K5929">
        <v>0</v>
      </c>
      <c r="L5929" s="2">
        <v>0</v>
      </c>
      <c r="M5929">
        <v>59.78</v>
      </c>
      <c r="N5929" t="s">
        <v>10236</v>
      </c>
    </row>
    <row r="5930" spans="1:14">
      <c r="A5930" t="s">
        <v>223</v>
      </c>
      <c r="B5930" t="s">
        <v>6036</v>
      </c>
      <c r="C5930">
        <f>"227240"</f>
        <v>0</v>
      </c>
      <c r="D5930">
        <v>0</v>
      </c>
      <c r="E5930">
        <v>0</v>
      </c>
      <c r="F5930" s="2">
        <v>0</v>
      </c>
      <c r="H5930">
        <v>0</v>
      </c>
      <c r="I5930">
        <v>0.1741125760648204</v>
      </c>
      <c r="J5930">
        <v>0</v>
      </c>
      <c r="K5930">
        <v>0</v>
      </c>
      <c r="L5930" s="2">
        <v>0</v>
      </c>
      <c r="M5930">
        <v>59.79</v>
      </c>
      <c r="N5930" t="s">
        <v>10236</v>
      </c>
    </row>
    <row r="5931" spans="1:14">
      <c r="A5931" t="s">
        <v>223</v>
      </c>
      <c r="B5931" t="s">
        <v>6037</v>
      </c>
      <c r="C5931">
        <f>"227210"</f>
        <v>0</v>
      </c>
      <c r="D5931">
        <v>0</v>
      </c>
      <c r="E5931">
        <v>0</v>
      </c>
      <c r="F5931" s="2">
        <v>0</v>
      </c>
      <c r="H5931">
        <v>0</v>
      </c>
      <c r="I5931">
        <v>0.1741125760648204</v>
      </c>
      <c r="J5931">
        <v>0</v>
      </c>
      <c r="K5931">
        <v>0</v>
      </c>
      <c r="L5931" s="2">
        <v>0</v>
      </c>
      <c r="M5931">
        <v>59.8</v>
      </c>
      <c r="N5931" t="s">
        <v>10236</v>
      </c>
    </row>
    <row r="5932" spans="1:14">
      <c r="A5932" t="s">
        <v>223</v>
      </c>
      <c r="B5932" t="s">
        <v>6038</v>
      </c>
      <c r="C5932">
        <f>"2415200"</f>
        <v>0</v>
      </c>
      <c r="D5932">
        <v>0</v>
      </c>
      <c r="E5932">
        <v>0</v>
      </c>
      <c r="F5932" s="2">
        <v>0</v>
      </c>
      <c r="H5932">
        <v>0</v>
      </c>
      <c r="I5932">
        <v>0.1741125760648204</v>
      </c>
      <c r="J5932">
        <v>0</v>
      </c>
      <c r="K5932">
        <v>0</v>
      </c>
      <c r="L5932" s="2">
        <v>0</v>
      </c>
      <c r="M5932">
        <v>59.81</v>
      </c>
      <c r="N5932" t="s">
        <v>10236</v>
      </c>
    </row>
    <row r="5933" spans="1:14">
      <c r="A5933" t="s">
        <v>35</v>
      </c>
      <c r="B5933" t="s">
        <v>6039</v>
      </c>
      <c r="C5933">
        <f>"ZEM"</f>
        <v>0</v>
      </c>
      <c r="D5933">
        <v>0</v>
      </c>
      <c r="E5933">
        <v>0</v>
      </c>
      <c r="F5933" s="2">
        <v>0</v>
      </c>
      <c r="H5933">
        <v>0</v>
      </c>
      <c r="I5933">
        <v>0.1741125760648204</v>
      </c>
      <c r="J5933">
        <v>0</v>
      </c>
      <c r="K5933">
        <v>0</v>
      </c>
      <c r="L5933" s="2">
        <v>0</v>
      </c>
      <c r="M5933">
        <v>59.82</v>
      </c>
      <c r="N5933" t="s">
        <v>10236</v>
      </c>
    </row>
    <row r="5934" spans="1:14">
      <c r="A5934" t="s">
        <v>196</v>
      </c>
      <c r="B5934" t="s">
        <v>6040</v>
      </c>
      <c r="C5934">
        <f>"2382"</f>
        <v>0</v>
      </c>
      <c r="D5934">
        <v>0</v>
      </c>
      <c r="E5934">
        <v>5</v>
      </c>
      <c r="F5934" s="2">
        <v>2</v>
      </c>
      <c r="H5934">
        <v>0</v>
      </c>
      <c r="I5934">
        <v>0.1741125760648204</v>
      </c>
      <c r="J5934">
        <v>0</v>
      </c>
      <c r="K5934">
        <v>0</v>
      </c>
      <c r="L5934" s="2">
        <v>0</v>
      </c>
      <c r="M5934">
        <v>59.83</v>
      </c>
      <c r="N5934" t="s">
        <v>10236</v>
      </c>
    </row>
    <row r="5935" spans="1:14">
      <c r="A5935" t="s">
        <v>33</v>
      </c>
      <c r="B5935" t="s">
        <v>6041</v>
      </c>
      <c r="C5935">
        <f>"TOPK93211"</f>
        <v>0</v>
      </c>
      <c r="D5935">
        <v>0</v>
      </c>
      <c r="E5935">
        <v>0</v>
      </c>
      <c r="F5935" s="2">
        <v>0</v>
      </c>
      <c r="H5935">
        <v>0</v>
      </c>
      <c r="I5935">
        <v>0.1741125760648204</v>
      </c>
      <c r="J5935">
        <v>0</v>
      </c>
      <c r="K5935">
        <v>0</v>
      </c>
      <c r="L5935" s="2">
        <v>0</v>
      </c>
      <c r="M5935">
        <v>59.84</v>
      </c>
      <c r="N5935" t="s">
        <v>10236</v>
      </c>
    </row>
    <row r="5936" spans="1:14">
      <c r="A5936" t="s">
        <v>213</v>
      </c>
      <c r="B5936" t="s">
        <v>6042</v>
      </c>
      <c r="C5936">
        <f>"500520"</f>
        <v>0</v>
      </c>
      <c r="D5936">
        <v>0</v>
      </c>
      <c r="E5936">
        <v>0</v>
      </c>
      <c r="F5936" s="2">
        <v>0</v>
      </c>
      <c r="H5936">
        <v>0</v>
      </c>
      <c r="I5936">
        <v>0.1741125760648204</v>
      </c>
      <c r="J5936">
        <v>0</v>
      </c>
      <c r="K5936">
        <v>0</v>
      </c>
      <c r="L5936" s="2">
        <v>0</v>
      </c>
      <c r="M5936">
        <v>59.84</v>
      </c>
      <c r="N5936" t="s">
        <v>10236</v>
      </c>
    </row>
    <row r="5937" spans="1:14">
      <c r="A5937" t="s">
        <v>193</v>
      </c>
      <c r="B5937" t="s">
        <v>6043</v>
      </c>
      <c r="C5937">
        <f>"1PA101"</f>
        <v>0</v>
      </c>
      <c r="D5937">
        <v>0</v>
      </c>
      <c r="E5937">
        <v>0</v>
      </c>
      <c r="F5937" s="2">
        <v>0</v>
      </c>
      <c r="H5937">
        <v>0</v>
      </c>
      <c r="I5937">
        <v>0.1741125760648204</v>
      </c>
      <c r="J5937">
        <v>0</v>
      </c>
      <c r="K5937">
        <v>0</v>
      </c>
      <c r="L5937" s="2">
        <v>0</v>
      </c>
      <c r="M5937">
        <v>59.85</v>
      </c>
      <c r="N5937" t="s">
        <v>10236</v>
      </c>
    </row>
    <row r="5938" spans="1:14">
      <c r="A5938" t="s">
        <v>193</v>
      </c>
      <c r="B5938" t="s">
        <v>6044</v>
      </c>
      <c r="C5938">
        <f>"1PA106"</f>
        <v>0</v>
      </c>
      <c r="D5938">
        <v>0</v>
      </c>
      <c r="E5938">
        <v>0</v>
      </c>
      <c r="F5938" s="2">
        <v>0</v>
      </c>
      <c r="H5938">
        <v>0</v>
      </c>
      <c r="I5938">
        <v>0.1741125760648204</v>
      </c>
      <c r="J5938">
        <v>0</v>
      </c>
      <c r="K5938">
        <v>0</v>
      </c>
      <c r="L5938" s="2">
        <v>0</v>
      </c>
      <c r="M5938">
        <v>59.86</v>
      </c>
      <c r="N5938" t="s">
        <v>10236</v>
      </c>
    </row>
    <row r="5939" spans="1:14">
      <c r="A5939" t="s">
        <v>35</v>
      </c>
      <c r="B5939" t="s">
        <v>6045</v>
      </c>
      <c r="C5939">
        <f>"54105"</f>
        <v>0</v>
      </c>
      <c r="D5939">
        <v>0</v>
      </c>
      <c r="E5939">
        <v>0</v>
      </c>
      <c r="F5939" s="2">
        <v>0</v>
      </c>
      <c r="H5939">
        <v>0</v>
      </c>
      <c r="I5939">
        <v>0.1741125760648204</v>
      </c>
      <c r="J5939">
        <v>0</v>
      </c>
      <c r="K5939">
        <v>0</v>
      </c>
      <c r="L5939" s="2">
        <v>0</v>
      </c>
      <c r="M5939">
        <v>59.87</v>
      </c>
      <c r="N5939" t="s">
        <v>10236</v>
      </c>
    </row>
    <row r="5940" spans="1:14">
      <c r="A5940" t="s">
        <v>225</v>
      </c>
      <c r="B5940" t="s">
        <v>6046</v>
      </c>
      <c r="C5940">
        <f>"77134"</f>
        <v>0</v>
      </c>
      <c r="D5940">
        <v>0</v>
      </c>
      <c r="E5940">
        <v>5</v>
      </c>
      <c r="F5940" s="2">
        <v>3</v>
      </c>
      <c r="H5940">
        <v>0</v>
      </c>
      <c r="I5940">
        <v>0.1741125760648204</v>
      </c>
      <c r="J5940">
        <v>0</v>
      </c>
      <c r="K5940">
        <v>0</v>
      </c>
      <c r="L5940" s="2">
        <v>0</v>
      </c>
      <c r="M5940">
        <v>59.88</v>
      </c>
      <c r="N5940" t="s">
        <v>10236</v>
      </c>
    </row>
    <row r="5941" spans="1:14">
      <c r="A5941" t="s">
        <v>29</v>
      </c>
      <c r="B5941" t="s">
        <v>6047</v>
      </c>
      <c r="C5941">
        <f>"77133"</f>
        <v>0</v>
      </c>
      <c r="D5941">
        <v>0</v>
      </c>
      <c r="E5941">
        <v>0</v>
      </c>
      <c r="F5941" s="2">
        <v>0</v>
      </c>
      <c r="H5941">
        <v>0</v>
      </c>
      <c r="I5941">
        <v>0.1741125760648204</v>
      </c>
      <c r="J5941">
        <v>0</v>
      </c>
      <c r="K5941">
        <v>0</v>
      </c>
      <c r="L5941" s="2">
        <v>0</v>
      </c>
      <c r="M5941">
        <v>59.89</v>
      </c>
      <c r="N5941" t="s">
        <v>10236</v>
      </c>
    </row>
    <row r="5942" spans="1:14">
      <c r="A5942" t="s">
        <v>195</v>
      </c>
      <c r="B5942" t="s">
        <v>6048</v>
      </c>
      <c r="C5942">
        <f>"25999352"</f>
        <v>0</v>
      </c>
      <c r="D5942">
        <v>0</v>
      </c>
      <c r="E5942">
        <v>0</v>
      </c>
      <c r="F5942" s="2">
        <v>0</v>
      </c>
      <c r="H5942">
        <v>0</v>
      </c>
      <c r="I5942">
        <v>0.1741125760648204</v>
      </c>
      <c r="J5942">
        <v>0</v>
      </c>
      <c r="K5942">
        <v>0</v>
      </c>
      <c r="L5942" s="2">
        <v>0</v>
      </c>
      <c r="M5942">
        <v>59.9</v>
      </c>
      <c r="N5942" t="s">
        <v>10236</v>
      </c>
    </row>
    <row r="5943" spans="1:14">
      <c r="A5943" t="s">
        <v>192</v>
      </c>
      <c r="B5943" t="s">
        <v>6049</v>
      </c>
      <c r="C5943">
        <f>"B205"</f>
        <v>0</v>
      </c>
      <c r="D5943">
        <v>0</v>
      </c>
      <c r="E5943">
        <v>0</v>
      </c>
      <c r="F5943" s="2">
        <v>0</v>
      </c>
      <c r="H5943">
        <v>0</v>
      </c>
      <c r="I5943">
        <v>0.1741125760648204</v>
      </c>
      <c r="J5943">
        <v>0</v>
      </c>
      <c r="K5943">
        <v>0</v>
      </c>
      <c r="L5943" s="2">
        <v>0</v>
      </c>
      <c r="M5943">
        <v>59.91</v>
      </c>
      <c r="N5943" t="s">
        <v>10236</v>
      </c>
    </row>
    <row r="5944" spans="1:14">
      <c r="A5944" t="s">
        <v>35</v>
      </c>
      <c r="B5944" t="s">
        <v>6050</v>
      </c>
      <c r="C5944">
        <f>"SPP06"</f>
        <v>0</v>
      </c>
      <c r="D5944">
        <v>0</v>
      </c>
      <c r="E5944">
        <v>1</v>
      </c>
      <c r="F5944" s="2">
        <v>6</v>
      </c>
      <c r="H5944">
        <v>0</v>
      </c>
      <c r="I5944">
        <v>0.1741125760648204</v>
      </c>
      <c r="J5944">
        <v>0</v>
      </c>
      <c r="K5944">
        <v>0</v>
      </c>
      <c r="L5944" s="2">
        <v>0</v>
      </c>
      <c r="M5944">
        <v>59.92</v>
      </c>
      <c r="N5944" t="s">
        <v>10236</v>
      </c>
    </row>
    <row r="5945" spans="1:14">
      <c r="A5945" t="s">
        <v>35</v>
      </c>
      <c r="B5945" t="s">
        <v>6051</v>
      </c>
      <c r="C5945">
        <f>"SPP03"</f>
        <v>0</v>
      </c>
      <c r="D5945">
        <v>0</v>
      </c>
      <c r="E5945">
        <v>2</v>
      </c>
      <c r="F5945" s="2">
        <v>6</v>
      </c>
      <c r="H5945">
        <v>0</v>
      </c>
      <c r="I5945">
        <v>0.1741125760648204</v>
      </c>
      <c r="J5945">
        <v>0</v>
      </c>
      <c r="K5945">
        <v>0</v>
      </c>
      <c r="L5945" s="2">
        <v>0</v>
      </c>
      <c r="M5945">
        <v>59.93</v>
      </c>
      <c r="N5945" t="s">
        <v>10236</v>
      </c>
    </row>
    <row r="5946" spans="1:14">
      <c r="A5946" t="s">
        <v>25</v>
      </c>
      <c r="B5946" t="s">
        <v>6052</v>
      </c>
      <c r="C5946">
        <f>"00269"</f>
        <v>0</v>
      </c>
      <c r="D5946">
        <v>0</v>
      </c>
      <c r="E5946">
        <v>2</v>
      </c>
      <c r="F5946" s="2">
        <v>1</v>
      </c>
      <c r="H5946">
        <v>0</v>
      </c>
      <c r="I5946">
        <v>0.1741125760648204</v>
      </c>
      <c r="J5946">
        <v>0</v>
      </c>
      <c r="K5946">
        <v>0</v>
      </c>
      <c r="L5946" s="2">
        <v>0</v>
      </c>
      <c r="M5946">
        <v>59.94</v>
      </c>
      <c r="N5946" t="s">
        <v>10236</v>
      </c>
    </row>
    <row r="5947" spans="1:14">
      <c r="A5947" t="s">
        <v>25</v>
      </c>
      <c r="B5947" t="s">
        <v>6053</v>
      </c>
      <c r="C5947">
        <f>"00238"</f>
        <v>0</v>
      </c>
      <c r="D5947">
        <v>0</v>
      </c>
      <c r="E5947">
        <v>10</v>
      </c>
      <c r="F5947" s="2">
        <v>1</v>
      </c>
      <c r="H5947">
        <v>0</v>
      </c>
      <c r="I5947">
        <v>0.1741125760648204</v>
      </c>
      <c r="J5947">
        <v>0</v>
      </c>
      <c r="K5947">
        <v>0</v>
      </c>
      <c r="L5947" s="2">
        <v>0</v>
      </c>
      <c r="M5947">
        <v>59.95</v>
      </c>
      <c r="N5947" t="s">
        <v>10236</v>
      </c>
    </row>
    <row r="5948" spans="1:14">
      <c r="A5948" t="s">
        <v>35</v>
      </c>
      <c r="B5948" t="s">
        <v>6054</v>
      </c>
      <c r="C5948">
        <f>"SPG06"</f>
        <v>0</v>
      </c>
      <c r="D5948">
        <v>0</v>
      </c>
      <c r="E5948">
        <v>0</v>
      </c>
      <c r="F5948" s="2">
        <v>0</v>
      </c>
      <c r="H5948">
        <v>0</v>
      </c>
      <c r="I5948">
        <v>0.1741125760648204</v>
      </c>
      <c r="J5948">
        <v>0</v>
      </c>
      <c r="K5948">
        <v>0</v>
      </c>
      <c r="L5948" s="2">
        <v>0</v>
      </c>
      <c r="M5948">
        <v>59.96</v>
      </c>
      <c r="N5948" t="s">
        <v>10236</v>
      </c>
    </row>
    <row r="5949" spans="1:14">
      <c r="A5949" t="s">
        <v>25</v>
      </c>
      <c r="B5949" t="s">
        <v>6055</v>
      </c>
      <c r="C5949">
        <f>"NJ01"</f>
        <v>0</v>
      </c>
      <c r="D5949">
        <v>0</v>
      </c>
      <c r="E5949">
        <v>0</v>
      </c>
      <c r="F5949" s="2">
        <v>0</v>
      </c>
      <c r="H5949">
        <v>0</v>
      </c>
      <c r="I5949">
        <v>0.1741125760648204</v>
      </c>
      <c r="J5949">
        <v>0</v>
      </c>
      <c r="K5949">
        <v>0</v>
      </c>
      <c r="L5949" s="2">
        <v>0</v>
      </c>
      <c r="M5949">
        <v>59.96</v>
      </c>
      <c r="N5949" t="s">
        <v>10236</v>
      </c>
    </row>
    <row r="5950" spans="1:14">
      <c r="A5950" t="s">
        <v>35</v>
      </c>
      <c r="B5950" t="s">
        <v>6056</v>
      </c>
      <c r="C5950">
        <f>"3008"</f>
        <v>0</v>
      </c>
      <c r="D5950">
        <v>0</v>
      </c>
      <c r="E5950">
        <v>0</v>
      </c>
      <c r="F5950" s="2">
        <v>0</v>
      </c>
      <c r="H5950">
        <v>0</v>
      </c>
      <c r="I5950">
        <v>0.1741125760648204</v>
      </c>
      <c r="J5950">
        <v>0</v>
      </c>
      <c r="K5950">
        <v>0</v>
      </c>
      <c r="L5950" s="2">
        <v>0</v>
      </c>
      <c r="M5950">
        <v>59.97</v>
      </c>
      <c r="N5950" t="s">
        <v>10236</v>
      </c>
    </row>
    <row r="5951" spans="1:14">
      <c r="A5951" t="s">
        <v>35</v>
      </c>
      <c r="B5951" t="s">
        <v>6057</v>
      </c>
      <c r="C5951">
        <f>"3007"</f>
        <v>0</v>
      </c>
      <c r="D5951">
        <v>0</v>
      </c>
      <c r="E5951">
        <v>0</v>
      </c>
      <c r="F5951" s="2">
        <v>0</v>
      </c>
      <c r="H5951">
        <v>0</v>
      </c>
      <c r="I5951">
        <v>0.1741125760648204</v>
      </c>
      <c r="J5951">
        <v>0</v>
      </c>
      <c r="K5951">
        <v>0</v>
      </c>
      <c r="L5951" s="2">
        <v>0</v>
      </c>
      <c r="M5951">
        <v>59.98</v>
      </c>
      <c r="N5951" t="s">
        <v>10236</v>
      </c>
    </row>
    <row r="5952" spans="1:14">
      <c r="A5952" t="s">
        <v>218</v>
      </c>
      <c r="B5952" t="s">
        <v>6058</v>
      </c>
      <c r="C5952">
        <f>"500996"</f>
        <v>0</v>
      </c>
      <c r="D5952">
        <v>0</v>
      </c>
      <c r="E5952">
        <v>0</v>
      </c>
      <c r="F5952" s="2">
        <v>0</v>
      </c>
      <c r="H5952">
        <v>0</v>
      </c>
      <c r="I5952">
        <v>0.1741125760648204</v>
      </c>
      <c r="J5952">
        <v>0</v>
      </c>
      <c r="K5952">
        <v>0</v>
      </c>
      <c r="L5952" s="2">
        <v>0</v>
      </c>
      <c r="M5952">
        <v>59.99</v>
      </c>
      <c r="N5952" t="s">
        <v>10236</v>
      </c>
    </row>
    <row r="5953" spans="1:14">
      <c r="A5953" t="s">
        <v>29</v>
      </c>
      <c r="B5953" t="s">
        <v>6059</v>
      </c>
      <c r="C5953">
        <f>"CH10007"</f>
        <v>0</v>
      </c>
      <c r="D5953">
        <v>0</v>
      </c>
      <c r="E5953">
        <v>0</v>
      </c>
      <c r="F5953" s="2">
        <v>0</v>
      </c>
      <c r="H5953">
        <v>0</v>
      </c>
      <c r="I5953">
        <v>0.1741125760648204</v>
      </c>
      <c r="J5953">
        <v>0</v>
      </c>
      <c r="K5953">
        <v>0</v>
      </c>
      <c r="L5953" s="2">
        <v>0</v>
      </c>
      <c r="M5953">
        <v>60</v>
      </c>
      <c r="N5953" t="s">
        <v>10236</v>
      </c>
    </row>
    <row r="5954" spans="1:14">
      <c r="A5954" t="s">
        <v>29</v>
      </c>
      <c r="B5954" t="s">
        <v>6060</v>
      </c>
      <c r="C5954">
        <f>"CH2283"</f>
        <v>0</v>
      </c>
      <c r="D5954">
        <v>0</v>
      </c>
      <c r="E5954">
        <v>0</v>
      </c>
      <c r="F5954" s="2">
        <v>0</v>
      </c>
      <c r="H5954">
        <v>0</v>
      </c>
      <c r="I5954">
        <v>0.1741125760648204</v>
      </c>
      <c r="J5954">
        <v>0</v>
      </c>
      <c r="K5954">
        <v>0</v>
      </c>
      <c r="L5954" s="2">
        <v>0</v>
      </c>
      <c r="M5954">
        <v>60.01</v>
      </c>
      <c r="N5954" t="s">
        <v>10236</v>
      </c>
    </row>
    <row r="5955" spans="1:14">
      <c r="A5955" t="s">
        <v>29</v>
      </c>
      <c r="B5955" t="s">
        <v>6061</v>
      </c>
      <c r="C5955">
        <f>"U326"</f>
        <v>0</v>
      </c>
      <c r="D5955">
        <v>0</v>
      </c>
      <c r="E5955">
        <v>0</v>
      </c>
      <c r="F5955" s="2">
        <v>0</v>
      </c>
      <c r="H5955">
        <v>0</v>
      </c>
      <c r="I5955">
        <v>0.1741125760648204</v>
      </c>
      <c r="J5955">
        <v>0</v>
      </c>
      <c r="K5955">
        <v>0</v>
      </c>
      <c r="L5955" s="2">
        <v>0</v>
      </c>
      <c r="M5955">
        <v>60.02</v>
      </c>
      <c r="N5955" t="s">
        <v>10236</v>
      </c>
    </row>
    <row r="5956" spans="1:14">
      <c r="A5956" t="s">
        <v>29</v>
      </c>
      <c r="B5956" t="s">
        <v>6062</v>
      </c>
      <c r="C5956">
        <f>"CH88013"</f>
        <v>0</v>
      </c>
      <c r="D5956">
        <v>0</v>
      </c>
      <c r="E5956">
        <v>0</v>
      </c>
      <c r="F5956" s="2">
        <v>0</v>
      </c>
      <c r="H5956">
        <v>0</v>
      </c>
      <c r="I5956">
        <v>0.1741125760648204</v>
      </c>
      <c r="J5956">
        <v>0</v>
      </c>
      <c r="K5956">
        <v>0</v>
      </c>
      <c r="L5956" s="2">
        <v>0</v>
      </c>
      <c r="M5956">
        <v>60.03</v>
      </c>
      <c r="N5956" t="s">
        <v>10236</v>
      </c>
    </row>
    <row r="5957" spans="1:14">
      <c r="A5957" t="s">
        <v>35</v>
      </c>
      <c r="B5957" t="s">
        <v>6063</v>
      </c>
      <c r="C5957">
        <f>"LS193"</f>
        <v>0</v>
      </c>
      <c r="D5957">
        <v>0</v>
      </c>
      <c r="E5957">
        <v>0</v>
      </c>
      <c r="F5957" s="2">
        <v>0</v>
      </c>
      <c r="H5957">
        <v>0</v>
      </c>
      <c r="I5957">
        <v>0.1741125760648204</v>
      </c>
      <c r="J5957">
        <v>0</v>
      </c>
      <c r="K5957">
        <v>0</v>
      </c>
      <c r="L5957" s="2">
        <v>0</v>
      </c>
      <c r="M5957">
        <v>60.04</v>
      </c>
      <c r="N5957" t="s">
        <v>10236</v>
      </c>
    </row>
    <row r="5958" spans="1:14">
      <c r="A5958" t="s">
        <v>203</v>
      </c>
      <c r="B5958" t="s">
        <v>6064</v>
      </c>
      <c r="C5958">
        <f>"553325"</f>
        <v>0</v>
      </c>
      <c r="D5958">
        <v>0</v>
      </c>
      <c r="E5958">
        <v>0</v>
      </c>
      <c r="F5958" s="2">
        <v>0</v>
      </c>
      <c r="H5958">
        <v>0</v>
      </c>
      <c r="I5958">
        <v>0.1741125760648204</v>
      </c>
      <c r="J5958">
        <v>0</v>
      </c>
      <c r="K5958">
        <v>0</v>
      </c>
      <c r="L5958" s="2">
        <v>0</v>
      </c>
      <c r="M5958">
        <v>60.05</v>
      </c>
      <c r="N5958" t="s">
        <v>10236</v>
      </c>
    </row>
    <row r="5959" spans="1:14">
      <c r="A5959" t="s">
        <v>35</v>
      </c>
      <c r="B5959" t="s">
        <v>6065</v>
      </c>
      <c r="C5959">
        <f>"SPP02"</f>
        <v>0</v>
      </c>
      <c r="D5959">
        <v>0</v>
      </c>
      <c r="E5959">
        <v>2</v>
      </c>
      <c r="F5959" s="2">
        <v>6</v>
      </c>
      <c r="H5959">
        <v>0</v>
      </c>
      <c r="I5959">
        <v>0.1741125760648204</v>
      </c>
      <c r="J5959">
        <v>0</v>
      </c>
      <c r="K5959">
        <v>0</v>
      </c>
      <c r="L5959" s="2">
        <v>0</v>
      </c>
      <c r="M5959">
        <v>60.06</v>
      </c>
      <c r="N5959" t="s">
        <v>10236</v>
      </c>
    </row>
    <row r="5960" spans="1:14">
      <c r="A5960" t="s">
        <v>195</v>
      </c>
      <c r="B5960" t="s">
        <v>6066</v>
      </c>
      <c r="C5960">
        <f>"25570450"</f>
        <v>0</v>
      </c>
      <c r="D5960">
        <v>0</v>
      </c>
      <c r="E5960">
        <v>0</v>
      </c>
      <c r="F5960" s="2">
        <v>0</v>
      </c>
      <c r="H5960">
        <v>0</v>
      </c>
      <c r="I5960">
        <v>0.1741125760648204</v>
      </c>
      <c r="J5960">
        <v>0</v>
      </c>
      <c r="K5960">
        <v>0</v>
      </c>
      <c r="L5960" s="2">
        <v>0</v>
      </c>
      <c r="M5960">
        <v>60.07</v>
      </c>
      <c r="N5960" t="s">
        <v>10236</v>
      </c>
    </row>
    <row r="5961" spans="1:14">
      <c r="A5961" t="s">
        <v>29</v>
      </c>
      <c r="B5961" t="s">
        <v>6067</v>
      </c>
      <c r="C5961">
        <f>"S01"</f>
        <v>0</v>
      </c>
      <c r="D5961">
        <v>0</v>
      </c>
      <c r="E5961">
        <v>0</v>
      </c>
      <c r="F5961" s="2">
        <v>0</v>
      </c>
      <c r="H5961">
        <v>0</v>
      </c>
      <c r="I5961">
        <v>0.1741125760648204</v>
      </c>
      <c r="J5961">
        <v>0</v>
      </c>
      <c r="K5961">
        <v>0</v>
      </c>
      <c r="L5961" s="2">
        <v>0</v>
      </c>
      <c r="M5961">
        <v>60.07</v>
      </c>
      <c r="N5961" t="s">
        <v>10236</v>
      </c>
    </row>
    <row r="5962" spans="1:14">
      <c r="A5962" t="s">
        <v>29</v>
      </c>
      <c r="B5962" t="s">
        <v>6068</v>
      </c>
      <c r="C5962">
        <f>"REPTM"</f>
        <v>0</v>
      </c>
      <c r="D5962">
        <v>0</v>
      </c>
      <c r="E5962">
        <v>0</v>
      </c>
      <c r="F5962" s="2">
        <v>0</v>
      </c>
      <c r="H5962">
        <v>0</v>
      </c>
      <c r="I5962">
        <v>0.1741125760648204</v>
      </c>
      <c r="J5962">
        <v>0</v>
      </c>
      <c r="K5962">
        <v>0</v>
      </c>
      <c r="L5962" s="2">
        <v>0</v>
      </c>
      <c r="M5962">
        <v>60.08</v>
      </c>
      <c r="N5962" t="s">
        <v>10236</v>
      </c>
    </row>
    <row r="5963" spans="1:14">
      <c r="A5963" t="s">
        <v>25</v>
      </c>
      <c r="B5963" t="s">
        <v>6069</v>
      </c>
      <c r="C5963">
        <f>"NNF54"</f>
        <v>0</v>
      </c>
      <c r="D5963">
        <v>0</v>
      </c>
      <c r="E5963">
        <v>0</v>
      </c>
      <c r="F5963" s="2">
        <v>0</v>
      </c>
      <c r="H5963">
        <v>0</v>
      </c>
      <c r="I5963">
        <v>0.1741125760648204</v>
      </c>
      <c r="J5963">
        <v>0</v>
      </c>
      <c r="K5963">
        <v>0</v>
      </c>
      <c r="L5963" s="2">
        <v>0</v>
      </c>
      <c r="M5963">
        <v>60.09</v>
      </c>
      <c r="N5963" t="s">
        <v>10236</v>
      </c>
    </row>
    <row r="5964" spans="1:14">
      <c r="A5964" t="s">
        <v>195</v>
      </c>
      <c r="B5964" t="s">
        <v>6070</v>
      </c>
      <c r="C5964">
        <f>"25570437"</f>
        <v>0</v>
      </c>
      <c r="D5964">
        <v>0</v>
      </c>
      <c r="E5964">
        <v>0</v>
      </c>
      <c r="F5964" s="2">
        <v>0</v>
      </c>
      <c r="H5964">
        <v>0</v>
      </c>
      <c r="I5964">
        <v>0.1741125760648204</v>
      </c>
      <c r="J5964">
        <v>0</v>
      </c>
      <c r="K5964">
        <v>0</v>
      </c>
      <c r="L5964" s="2">
        <v>0</v>
      </c>
      <c r="M5964">
        <v>60.1</v>
      </c>
      <c r="N5964" t="s">
        <v>10236</v>
      </c>
    </row>
    <row r="5965" spans="1:14">
      <c r="A5965" t="s">
        <v>195</v>
      </c>
      <c r="B5965" t="s">
        <v>6071</v>
      </c>
      <c r="C5965">
        <f>"25570497"</f>
        <v>0</v>
      </c>
      <c r="D5965">
        <v>0</v>
      </c>
      <c r="E5965">
        <v>0</v>
      </c>
      <c r="F5965" s="2">
        <v>0</v>
      </c>
      <c r="H5965">
        <v>0</v>
      </c>
      <c r="I5965">
        <v>0.1741125760648204</v>
      </c>
      <c r="J5965">
        <v>0</v>
      </c>
      <c r="K5965">
        <v>0</v>
      </c>
      <c r="L5965" s="2">
        <v>0</v>
      </c>
      <c r="M5965">
        <v>60.11</v>
      </c>
      <c r="N5965" t="s">
        <v>10236</v>
      </c>
    </row>
    <row r="5966" spans="1:14">
      <c r="A5966" t="s">
        <v>195</v>
      </c>
      <c r="B5966" t="s">
        <v>6072</v>
      </c>
      <c r="C5966">
        <f>"25570480"</f>
        <v>0</v>
      </c>
      <c r="D5966">
        <v>0</v>
      </c>
      <c r="E5966">
        <v>0</v>
      </c>
      <c r="F5966" s="2">
        <v>0</v>
      </c>
      <c r="H5966">
        <v>0</v>
      </c>
      <c r="I5966">
        <v>0.1741125760648204</v>
      </c>
      <c r="J5966">
        <v>0</v>
      </c>
      <c r="K5966">
        <v>0</v>
      </c>
      <c r="L5966" s="2">
        <v>0</v>
      </c>
      <c r="M5966">
        <v>60.12</v>
      </c>
      <c r="N5966" t="s">
        <v>10236</v>
      </c>
    </row>
    <row r="5967" spans="1:14">
      <c r="A5967" t="s">
        <v>195</v>
      </c>
      <c r="B5967" t="s">
        <v>6073</v>
      </c>
      <c r="C5967">
        <f>"25570481"</f>
        <v>0</v>
      </c>
      <c r="D5967">
        <v>0</v>
      </c>
      <c r="E5967">
        <v>0</v>
      </c>
      <c r="F5967" s="2">
        <v>0</v>
      </c>
      <c r="H5967">
        <v>0</v>
      </c>
      <c r="I5967">
        <v>0.1741125760648204</v>
      </c>
      <c r="J5967">
        <v>0</v>
      </c>
      <c r="K5967">
        <v>0</v>
      </c>
      <c r="L5967" s="2">
        <v>0</v>
      </c>
      <c r="M5967">
        <v>60.13</v>
      </c>
      <c r="N5967" t="s">
        <v>10236</v>
      </c>
    </row>
    <row r="5968" spans="1:14">
      <c r="A5968" t="s">
        <v>193</v>
      </c>
      <c r="B5968" t="s">
        <v>6074</v>
      </c>
      <c r="C5968">
        <f>"HU451027"</f>
        <v>0</v>
      </c>
      <c r="D5968">
        <v>0</v>
      </c>
      <c r="E5968">
        <v>0</v>
      </c>
      <c r="F5968" s="2">
        <v>0</v>
      </c>
      <c r="H5968">
        <v>0</v>
      </c>
      <c r="I5968">
        <v>0.1741125760648204</v>
      </c>
      <c r="J5968">
        <v>0</v>
      </c>
      <c r="K5968">
        <v>0</v>
      </c>
      <c r="L5968" s="2">
        <v>0</v>
      </c>
      <c r="M5968">
        <v>60.14</v>
      </c>
      <c r="N5968" t="s">
        <v>10236</v>
      </c>
    </row>
    <row r="5969" spans="1:14">
      <c r="A5969" t="s">
        <v>193</v>
      </c>
      <c r="B5969" t="s">
        <v>6075</v>
      </c>
      <c r="C5969">
        <f>"HU451041"</f>
        <v>0</v>
      </c>
      <c r="D5969">
        <v>0</v>
      </c>
      <c r="E5969">
        <v>0</v>
      </c>
      <c r="F5969" s="2">
        <v>0</v>
      </c>
      <c r="H5969">
        <v>0</v>
      </c>
      <c r="I5969">
        <v>0.1741125760648204</v>
      </c>
      <c r="J5969">
        <v>0</v>
      </c>
      <c r="K5969">
        <v>0</v>
      </c>
      <c r="L5969" s="2">
        <v>0</v>
      </c>
      <c r="M5969">
        <v>60.15</v>
      </c>
      <c r="N5969" t="s">
        <v>10236</v>
      </c>
    </row>
    <row r="5970" spans="1:14">
      <c r="A5970" t="s">
        <v>193</v>
      </c>
      <c r="B5970" t="s">
        <v>6076</v>
      </c>
      <c r="C5970">
        <f>"HU451010"</f>
        <v>0</v>
      </c>
      <c r="D5970">
        <v>0</v>
      </c>
      <c r="E5970">
        <v>0</v>
      </c>
      <c r="F5970" s="2">
        <v>0</v>
      </c>
      <c r="H5970">
        <v>0</v>
      </c>
      <c r="I5970">
        <v>0.1741125760648204</v>
      </c>
      <c r="J5970">
        <v>0</v>
      </c>
      <c r="K5970">
        <v>0</v>
      </c>
      <c r="L5970" s="2">
        <v>0</v>
      </c>
      <c r="M5970">
        <v>60.16</v>
      </c>
      <c r="N5970" t="s">
        <v>10236</v>
      </c>
    </row>
    <row r="5971" spans="1:14">
      <c r="A5971" t="s">
        <v>35</v>
      </c>
      <c r="B5971" t="s">
        <v>6077</v>
      </c>
      <c r="C5971">
        <f>"W2004"</f>
        <v>0</v>
      </c>
      <c r="D5971">
        <v>0</v>
      </c>
      <c r="E5971">
        <v>6</v>
      </c>
      <c r="F5971" s="2">
        <v>4</v>
      </c>
      <c r="H5971">
        <v>0</v>
      </c>
      <c r="I5971">
        <v>0.1741125760648204</v>
      </c>
      <c r="J5971">
        <v>0</v>
      </c>
      <c r="K5971">
        <v>0</v>
      </c>
      <c r="L5971" s="2">
        <v>0</v>
      </c>
      <c r="M5971">
        <v>60.17</v>
      </c>
      <c r="N5971" t="s">
        <v>10236</v>
      </c>
    </row>
    <row r="5972" spans="1:14">
      <c r="A5972" t="s">
        <v>41</v>
      </c>
      <c r="B5972" t="s">
        <v>6078</v>
      </c>
      <c r="C5972">
        <f>"230500"</f>
        <v>0</v>
      </c>
      <c r="D5972">
        <v>0</v>
      </c>
      <c r="E5972">
        <v>4</v>
      </c>
      <c r="F5972" s="2">
        <v>1</v>
      </c>
      <c r="H5972">
        <v>0</v>
      </c>
      <c r="I5972">
        <v>0.1741125760648204</v>
      </c>
      <c r="J5972">
        <v>0</v>
      </c>
      <c r="K5972">
        <v>0</v>
      </c>
      <c r="L5972" s="2">
        <v>0</v>
      </c>
      <c r="M5972">
        <v>60.18</v>
      </c>
      <c r="N5972" t="s">
        <v>10236</v>
      </c>
    </row>
    <row r="5973" spans="1:14">
      <c r="A5973" t="s">
        <v>221</v>
      </c>
      <c r="B5973" t="s">
        <v>6079</v>
      </c>
      <c r="C5973">
        <f>"40601"</f>
        <v>0</v>
      </c>
      <c r="D5973">
        <v>0</v>
      </c>
      <c r="E5973">
        <v>1</v>
      </c>
      <c r="F5973" s="2">
        <v>45</v>
      </c>
      <c r="H5973">
        <v>0</v>
      </c>
      <c r="I5973">
        <v>0.1741125760648204</v>
      </c>
      <c r="J5973">
        <v>0</v>
      </c>
      <c r="K5973">
        <v>0</v>
      </c>
      <c r="L5973" s="2">
        <v>0</v>
      </c>
      <c r="M5973">
        <v>60.19</v>
      </c>
      <c r="N5973" t="s">
        <v>10236</v>
      </c>
    </row>
    <row r="5974" spans="1:14">
      <c r="A5974" t="s">
        <v>214</v>
      </c>
      <c r="B5974" t="s">
        <v>1435</v>
      </c>
      <c r="C5974">
        <f>"70083"</f>
        <v>0</v>
      </c>
      <c r="D5974">
        <v>0</v>
      </c>
      <c r="E5974">
        <v>5</v>
      </c>
      <c r="F5974" s="2">
        <v>1</v>
      </c>
      <c r="H5974">
        <v>0</v>
      </c>
      <c r="I5974">
        <v>0.1741125760648204</v>
      </c>
      <c r="J5974">
        <v>0</v>
      </c>
      <c r="K5974">
        <v>0</v>
      </c>
      <c r="L5974" s="2">
        <v>0</v>
      </c>
      <c r="M5974">
        <v>60.19</v>
      </c>
      <c r="N5974" t="s">
        <v>10236</v>
      </c>
    </row>
    <row r="5975" spans="1:14">
      <c r="A5975" t="s">
        <v>25</v>
      </c>
      <c r="B5975" t="s">
        <v>6080</v>
      </c>
      <c r="C5975">
        <f>"TEN50"</f>
        <v>0</v>
      </c>
      <c r="D5975">
        <v>0</v>
      </c>
      <c r="E5975">
        <v>0</v>
      </c>
      <c r="F5975" s="2">
        <v>0</v>
      </c>
      <c r="H5975">
        <v>0</v>
      </c>
      <c r="I5975">
        <v>0.1741125760648204</v>
      </c>
      <c r="J5975">
        <v>0</v>
      </c>
      <c r="K5975">
        <v>0</v>
      </c>
      <c r="L5975" s="2">
        <v>0</v>
      </c>
      <c r="M5975">
        <v>60.2</v>
      </c>
      <c r="N5975" t="s">
        <v>10236</v>
      </c>
    </row>
    <row r="5976" spans="1:14">
      <c r="A5976" t="s">
        <v>25</v>
      </c>
      <c r="B5976" t="s">
        <v>6081</v>
      </c>
      <c r="C5976">
        <f>"TBS"</f>
        <v>0</v>
      </c>
      <c r="D5976">
        <v>0</v>
      </c>
      <c r="E5976">
        <v>0</v>
      </c>
      <c r="F5976" s="2">
        <v>0</v>
      </c>
      <c r="H5976">
        <v>0</v>
      </c>
      <c r="I5976">
        <v>0.1741125760648204</v>
      </c>
      <c r="J5976">
        <v>0</v>
      </c>
      <c r="K5976">
        <v>0</v>
      </c>
      <c r="L5976" s="2">
        <v>0</v>
      </c>
      <c r="M5976">
        <v>60.21</v>
      </c>
      <c r="N5976" t="s">
        <v>10236</v>
      </c>
    </row>
    <row r="5977" spans="1:14">
      <c r="A5977" t="s">
        <v>218</v>
      </c>
      <c r="B5977" t="s">
        <v>6082</v>
      </c>
      <c r="C5977">
        <f>"BRA026"</f>
        <v>0</v>
      </c>
      <c r="D5977">
        <v>0</v>
      </c>
      <c r="E5977">
        <v>0</v>
      </c>
      <c r="F5977" s="2">
        <v>0</v>
      </c>
      <c r="H5977">
        <v>0</v>
      </c>
      <c r="I5977">
        <v>0.1741125760648204</v>
      </c>
      <c r="J5977">
        <v>0</v>
      </c>
      <c r="K5977">
        <v>0</v>
      </c>
      <c r="L5977" s="2">
        <v>0</v>
      </c>
      <c r="M5977">
        <v>60.22</v>
      </c>
      <c r="N5977" t="s">
        <v>10236</v>
      </c>
    </row>
    <row r="5978" spans="1:14">
      <c r="A5978" t="s">
        <v>29</v>
      </c>
      <c r="B5978" t="s">
        <v>6083</v>
      </c>
      <c r="C5978">
        <f>"80100"</f>
        <v>0</v>
      </c>
      <c r="D5978">
        <v>0</v>
      </c>
      <c r="E5978">
        <v>0</v>
      </c>
      <c r="F5978" s="2">
        <v>0</v>
      </c>
      <c r="H5978">
        <v>0</v>
      </c>
      <c r="I5978">
        <v>0.1741125760648204</v>
      </c>
      <c r="J5978">
        <v>0</v>
      </c>
      <c r="K5978">
        <v>0</v>
      </c>
      <c r="L5978" s="2">
        <v>0</v>
      </c>
      <c r="M5978">
        <v>60.23</v>
      </c>
      <c r="N5978" t="s">
        <v>10236</v>
      </c>
    </row>
    <row r="5979" spans="1:14">
      <c r="A5979" t="s">
        <v>29</v>
      </c>
      <c r="B5979" t="s">
        <v>6084</v>
      </c>
      <c r="C5979">
        <f>"80104"</f>
        <v>0</v>
      </c>
      <c r="D5979">
        <v>0</v>
      </c>
      <c r="E5979">
        <v>0</v>
      </c>
      <c r="F5979" s="2">
        <v>0</v>
      </c>
      <c r="H5979">
        <v>0</v>
      </c>
      <c r="I5979">
        <v>0.1741125760648204</v>
      </c>
      <c r="J5979">
        <v>0</v>
      </c>
      <c r="K5979">
        <v>0</v>
      </c>
      <c r="L5979" s="2">
        <v>0</v>
      </c>
      <c r="M5979">
        <v>60.24</v>
      </c>
      <c r="N5979" t="s">
        <v>10236</v>
      </c>
    </row>
    <row r="5980" spans="1:14">
      <c r="A5980" t="s">
        <v>29</v>
      </c>
      <c r="B5980" t="s">
        <v>6085</v>
      </c>
      <c r="C5980">
        <f>"80103"</f>
        <v>0</v>
      </c>
      <c r="D5980">
        <v>0</v>
      </c>
      <c r="E5980">
        <v>0</v>
      </c>
      <c r="F5980" s="2">
        <v>0</v>
      </c>
      <c r="H5980">
        <v>0</v>
      </c>
      <c r="I5980">
        <v>0.1741125760648204</v>
      </c>
      <c r="J5980">
        <v>0</v>
      </c>
      <c r="K5980">
        <v>0</v>
      </c>
      <c r="L5980" s="2">
        <v>0</v>
      </c>
      <c r="M5980">
        <v>60.25</v>
      </c>
      <c r="N5980" t="s">
        <v>10236</v>
      </c>
    </row>
    <row r="5981" spans="1:14">
      <c r="A5981" t="s">
        <v>218</v>
      </c>
      <c r="B5981" t="s">
        <v>6086</v>
      </c>
      <c r="C5981">
        <f>"1016741"</f>
        <v>0</v>
      </c>
      <c r="D5981">
        <v>0</v>
      </c>
      <c r="E5981">
        <v>0</v>
      </c>
      <c r="F5981" s="2">
        <v>0</v>
      </c>
      <c r="H5981">
        <v>0</v>
      </c>
      <c r="I5981">
        <v>0.1741125760648204</v>
      </c>
      <c r="J5981">
        <v>0</v>
      </c>
      <c r="K5981">
        <v>0</v>
      </c>
      <c r="L5981" s="2">
        <v>0</v>
      </c>
      <c r="M5981">
        <v>60.26</v>
      </c>
      <c r="N5981" t="s">
        <v>10236</v>
      </c>
    </row>
    <row r="5982" spans="1:14">
      <c r="A5982" t="s">
        <v>214</v>
      </c>
      <c r="B5982" t="s">
        <v>6087</v>
      </c>
      <c r="C5982">
        <f>"80106"</f>
        <v>0</v>
      </c>
      <c r="D5982">
        <v>0</v>
      </c>
      <c r="E5982">
        <v>0</v>
      </c>
      <c r="F5982" s="2">
        <v>0</v>
      </c>
      <c r="H5982">
        <v>0</v>
      </c>
      <c r="I5982">
        <v>0.1741125760648204</v>
      </c>
      <c r="J5982">
        <v>0</v>
      </c>
      <c r="K5982">
        <v>0</v>
      </c>
      <c r="L5982" s="2">
        <v>0</v>
      </c>
      <c r="M5982">
        <v>60.27</v>
      </c>
      <c r="N5982" t="s">
        <v>10236</v>
      </c>
    </row>
    <row r="5983" spans="1:14">
      <c r="A5983" t="s">
        <v>25</v>
      </c>
      <c r="B5983" t="s">
        <v>6088</v>
      </c>
      <c r="C5983">
        <f>"ZVP4051"</f>
        <v>0</v>
      </c>
      <c r="D5983">
        <v>0</v>
      </c>
      <c r="E5983">
        <v>0</v>
      </c>
      <c r="F5983" s="2">
        <v>0</v>
      </c>
      <c r="H5983">
        <v>0</v>
      </c>
      <c r="I5983">
        <v>0.1741125760648204</v>
      </c>
      <c r="J5983">
        <v>0</v>
      </c>
      <c r="K5983">
        <v>0</v>
      </c>
      <c r="L5983" s="2">
        <v>0</v>
      </c>
      <c r="M5983">
        <v>60.28</v>
      </c>
      <c r="N5983" t="s">
        <v>10236</v>
      </c>
    </row>
    <row r="5984" spans="1:14">
      <c r="A5984" t="s">
        <v>25</v>
      </c>
      <c r="B5984" t="s">
        <v>6089</v>
      </c>
      <c r="C5984">
        <f>"TT803"</f>
        <v>0</v>
      </c>
      <c r="D5984">
        <v>0</v>
      </c>
      <c r="E5984">
        <v>0</v>
      </c>
      <c r="F5984" s="2">
        <v>0</v>
      </c>
      <c r="H5984">
        <v>0</v>
      </c>
      <c r="I5984">
        <v>0.1741125760648204</v>
      </c>
      <c r="J5984">
        <v>0</v>
      </c>
      <c r="K5984">
        <v>0</v>
      </c>
      <c r="L5984" s="2">
        <v>0</v>
      </c>
      <c r="M5984">
        <v>60.29</v>
      </c>
      <c r="N5984" t="s">
        <v>10236</v>
      </c>
    </row>
    <row r="5985" spans="1:14">
      <c r="A5985" t="s">
        <v>25</v>
      </c>
      <c r="B5985" t="s">
        <v>6090</v>
      </c>
      <c r="C5985">
        <f>"TT800"</f>
        <v>0</v>
      </c>
      <c r="D5985">
        <v>0</v>
      </c>
      <c r="E5985">
        <v>0</v>
      </c>
      <c r="F5985" s="2">
        <v>0</v>
      </c>
      <c r="H5985">
        <v>0</v>
      </c>
      <c r="I5985">
        <v>0.1741125760648204</v>
      </c>
      <c r="J5985">
        <v>0</v>
      </c>
      <c r="K5985">
        <v>0</v>
      </c>
      <c r="L5985" s="2">
        <v>0</v>
      </c>
      <c r="M5985">
        <v>60.3</v>
      </c>
      <c r="N5985" t="s">
        <v>10236</v>
      </c>
    </row>
    <row r="5986" spans="1:14">
      <c r="A5986" t="s">
        <v>29</v>
      </c>
      <c r="B5986" t="s">
        <v>6091</v>
      </c>
      <c r="C5986">
        <f>"F0045"</f>
        <v>0</v>
      </c>
      <c r="D5986">
        <v>0</v>
      </c>
      <c r="E5986">
        <v>0</v>
      </c>
      <c r="F5986" s="2">
        <v>0</v>
      </c>
      <c r="H5986">
        <v>0</v>
      </c>
      <c r="I5986">
        <v>0.1741125760648204</v>
      </c>
      <c r="J5986">
        <v>0</v>
      </c>
      <c r="K5986">
        <v>0</v>
      </c>
      <c r="L5986" s="2">
        <v>0</v>
      </c>
      <c r="M5986">
        <v>60.31</v>
      </c>
      <c r="N5986" t="s">
        <v>10236</v>
      </c>
    </row>
    <row r="5987" spans="1:14">
      <c r="A5987" t="s">
        <v>25</v>
      </c>
      <c r="B5987" t="s">
        <v>6092</v>
      </c>
      <c r="C5987">
        <f>"DT400"</f>
        <v>0</v>
      </c>
      <c r="D5987">
        <v>0</v>
      </c>
      <c r="E5987">
        <v>0</v>
      </c>
      <c r="F5987" s="2">
        <v>0</v>
      </c>
      <c r="H5987">
        <v>0</v>
      </c>
      <c r="I5987">
        <v>0.1741125760648204</v>
      </c>
      <c r="J5987">
        <v>0</v>
      </c>
      <c r="K5987">
        <v>0</v>
      </c>
      <c r="L5987" s="2">
        <v>0</v>
      </c>
      <c r="M5987">
        <v>60.31</v>
      </c>
      <c r="N5987" t="s">
        <v>10236</v>
      </c>
    </row>
    <row r="5988" spans="1:14">
      <c r="A5988" t="s">
        <v>25</v>
      </c>
      <c r="B5988" t="s">
        <v>6093</v>
      </c>
      <c r="C5988">
        <f>"NMM01"</f>
        <v>0</v>
      </c>
      <c r="D5988">
        <v>0</v>
      </c>
      <c r="E5988">
        <v>0</v>
      </c>
      <c r="F5988" s="2">
        <v>0</v>
      </c>
      <c r="H5988">
        <v>0</v>
      </c>
      <c r="I5988">
        <v>0.1741125760648204</v>
      </c>
      <c r="J5988">
        <v>0</v>
      </c>
      <c r="K5988">
        <v>0</v>
      </c>
      <c r="L5988" s="2">
        <v>0</v>
      </c>
      <c r="M5988">
        <v>60.32</v>
      </c>
      <c r="N5988" t="s">
        <v>10236</v>
      </c>
    </row>
    <row r="5989" spans="1:14">
      <c r="A5989" t="s">
        <v>232</v>
      </c>
      <c r="B5989" t="s">
        <v>6094</v>
      </c>
      <c r="C5989">
        <f>"TGM2"</f>
        <v>0</v>
      </c>
      <c r="D5989">
        <v>0</v>
      </c>
      <c r="E5989">
        <v>0</v>
      </c>
      <c r="F5989" s="2">
        <v>0</v>
      </c>
      <c r="H5989">
        <v>0</v>
      </c>
      <c r="I5989">
        <v>0.1741125760648204</v>
      </c>
      <c r="J5989">
        <v>0</v>
      </c>
      <c r="K5989">
        <v>0</v>
      </c>
      <c r="L5989" s="2">
        <v>0</v>
      </c>
      <c r="M5989">
        <v>60.33</v>
      </c>
      <c r="N5989" t="s">
        <v>10236</v>
      </c>
    </row>
    <row r="5990" spans="1:14">
      <c r="A5990" t="s">
        <v>221</v>
      </c>
      <c r="B5990" t="s">
        <v>6095</v>
      </c>
      <c r="C5990">
        <f>"40301"</f>
        <v>0</v>
      </c>
      <c r="D5990">
        <v>0</v>
      </c>
      <c r="E5990">
        <v>1</v>
      </c>
      <c r="F5990" s="2">
        <v>54</v>
      </c>
      <c r="H5990">
        <v>0</v>
      </c>
      <c r="I5990">
        <v>0.1741125760648204</v>
      </c>
      <c r="J5990">
        <v>0</v>
      </c>
      <c r="K5990">
        <v>0</v>
      </c>
      <c r="L5990" s="2">
        <v>0</v>
      </c>
      <c r="M5990">
        <v>60.34</v>
      </c>
      <c r="N5990" t="s">
        <v>10236</v>
      </c>
    </row>
    <row r="5991" spans="1:14">
      <c r="A5991" t="s">
        <v>29</v>
      </c>
      <c r="B5991" t="s">
        <v>6096</v>
      </c>
      <c r="C5991">
        <f>"C480NG"</f>
        <v>0</v>
      </c>
      <c r="D5991">
        <v>0</v>
      </c>
      <c r="E5991">
        <v>0</v>
      </c>
      <c r="F5991" s="2">
        <v>0</v>
      </c>
      <c r="H5991">
        <v>0</v>
      </c>
      <c r="I5991">
        <v>0.1741125760648204</v>
      </c>
      <c r="J5991">
        <v>0</v>
      </c>
      <c r="K5991">
        <v>0</v>
      </c>
      <c r="L5991" s="2">
        <v>0</v>
      </c>
      <c r="M5991">
        <v>60.35</v>
      </c>
      <c r="N5991" t="s">
        <v>10236</v>
      </c>
    </row>
    <row r="5992" spans="1:14">
      <c r="A5992" t="s">
        <v>29</v>
      </c>
      <c r="B5992" t="s">
        <v>6097</v>
      </c>
      <c r="C5992">
        <f>"C380NG"</f>
        <v>0</v>
      </c>
      <c r="D5992">
        <v>0</v>
      </c>
      <c r="E5992">
        <v>0</v>
      </c>
      <c r="F5992" s="2">
        <v>0</v>
      </c>
      <c r="H5992">
        <v>0</v>
      </c>
      <c r="I5992">
        <v>0.1741125760648204</v>
      </c>
      <c r="J5992">
        <v>0</v>
      </c>
      <c r="K5992">
        <v>0</v>
      </c>
      <c r="L5992" s="2">
        <v>0</v>
      </c>
      <c r="M5992">
        <v>60.36</v>
      </c>
      <c r="N5992" t="s">
        <v>10236</v>
      </c>
    </row>
    <row r="5993" spans="1:14">
      <c r="A5993" t="s">
        <v>29</v>
      </c>
      <c r="B5993" t="s">
        <v>6098</v>
      </c>
      <c r="C5993">
        <f>"DPS45"</f>
        <v>0</v>
      </c>
      <c r="D5993">
        <v>0</v>
      </c>
      <c r="E5993">
        <v>1</v>
      </c>
      <c r="F5993" s="2">
        <v>0</v>
      </c>
      <c r="H5993">
        <v>0</v>
      </c>
      <c r="I5993">
        <v>0.1741125760648204</v>
      </c>
      <c r="J5993">
        <v>0</v>
      </c>
      <c r="K5993">
        <v>0</v>
      </c>
      <c r="L5993" s="2">
        <v>0</v>
      </c>
      <c r="M5993">
        <v>60.37</v>
      </c>
      <c r="N5993" t="s">
        <v>10236</v>
      </c>
    </row>
    <row r="5994" spans="1:14">
      <c r="A5994" t="s">
        <v>33</v>
      </c>
      <c r="B5994" t="s">
        <v>6099</v>
      </c>
      <c r="C5994">
        <f>"TOPK92098"</f>
        <v>0</v>
      </c>
      <c r="D5994">
        <v>0</v>
      </c>
      <c r="E5994">
        <v>0</v>
      </c>
      <c r="F5994" s="2">
        <v>0</v>
      </c>
      <c r="H5994">
        <v>0</v>
      </c>
      <c r="I5994">
        <v>0.1741125760648204</v>
      </c>
      <c r="J5994">
        <v>0</v>
      </c>
      <c r="K5994">
        <v>0</v>
      </c>
      <c r="L5994" s="2">
        <v>0</v>
      </c>
      <c r="M5994">
        <v>60.38</v>
      </c>
      <c r="N5994" t="s">
        <v>10236</v>
      </c>
    </row>
    <row r="5995" spans="1:14">
      <c r="A5995" t="s">
        <v>195</v>
      </c>
      <c r="B5995" t="s">
        <v>6100</v>
      </c>
      <c r="C5995">
        <f>"25570464"</f>
        <v>0</v>
      </c>
      <c r="D5995">
        <v>0</v>
      </c>
      <c r="E5995">
        <v>0</v>
      </c>
      <c r="F5995" s="2">
        <v>0</v>
      </c>
      <c r="H5995">
        <v>0</v>
      </c>
      <c r="I5995">
        <v>0.1741125760648204</v>
      </c>
      <c r="J5995">
        <v>0</v>
      </c>
      <c r="K5995">
        <v>0</v>
      </c>
      <c r="L5995" s="2">
        <v>0</v>
      </c>
      <c r="M5995">
        <v>60.39</v>
      </c>
      <c r="N5995" t="s">
        <v>10236</v>
      </c>
    </row>
    <row r="5996" spans="1:14">
      <c r="A5996" t="s">
        <v>195</v>
      </c>
      <c r="B5996" t="s">
        <v>6101</v>
      </c>
      <c r="C5996">
        <f>"25570465"</f>
        <v>0</v>
      </c>
      <c r="D5996">
        <v>0</v>
      </c>
      <c r="E5996">
        <v>0</v>
      </c>
      <c r="F5996" s="2">
        <v>0</v>
      </c>
      <c r="H5996">
        <v>0</v>
      </c>
      <c r="I5996">
        <v>0.1741125760648204</v>
      </c>
      <c r="J5996">
        <v>0</v>
      </c>
      <c r="K5996">
        <v>0</v>
      </c>
      <c r="L5996" s="2">
        <v>0</v>
      </c>
      <c r="M5996">
        <v>60.4</v>
      </c>
      <c r="N5996" t="s">
        <v>10236</v>
      </c>
    </row>
    <row r="5997" spans="1:14">
      <c r="A5997" t="s">
        <v>195</v>
      </c>
      <c r="B5997" t="s">
        <v>6102</v>
      </c>
      <c r="C5997">
        <f>"25570436"</f>
        <v>0</v>
      </c>
      <c r="D5997">
        <v>0</v>
      </c>
      <c r="E5997">
        <v>0</v>
      </c>
      <c r="F5997" s="2">
        <v>0</v>
      </c>
      <c r="H5997">
        <v>0</v>
      </c>
      <c r="I5997">
        <v>0.1741125760648204</v>
      </c>
      <c r="J5997">
        <v>0</v>
      </c>
      <c r="K5997">
        <v>0</v>
      </c>
      <c r="L5997" s="2">
        <v>0</v>
      </c>
      <c r="M5997">
        <v>60.41</v>
      </c>
      <c r="N5997" t="s">
        <v>10236</v>
      </c>
    </row>
    <row r="5998" spans="1:14">
      <c r="A5998" t="s">
        <v>196</v>
      </c>
      <c r="B5998" t="s">
        <v>6103</v>
      </c>
      <c r="C5998">
        <f>"2092"</f>
        <v>0</v>
      </c>
      <c r="D5998">
        <v>0</v>
      </c>
      <c r="E5998">
        <v>0</v>
      </c>
      <c r="F5998" s="2">
        <v>0</v>
      </c>
      <c r="H5998">
        <v>0</v>
      </c>
      <c r="I5998">
        <v>0.1741125760648204</v>
      </c>
      <c r="J5998">
        <v>0</v>
      </c>
      <c r="K5998">
        <v>0</v>
      </c>
      <c r="L5998" s="2">
        <v>0</v>
      </c>
      <c r="M5998">
        <v>60.42</v>
      </c>
      <c r="N5998" t="s">
        <v>10236</v>
      </c>
    </row>
    <row r="5999" spans="1:14">
      <c r="A5999" t="s">
        <v>196</v>
      </c>
      <c r="B5999" t="s">
        <v>6104</v>
      </c>
      <c r="C5999">
        <f>"2018"</f>
        <v>0</v>
      </c>
      <c r="D5999">
        <v>0</v>
      </c>
      <c r="E5999">
        <v>0</v>
      </c>
      <c r="F5999" s="2">
        <v>0</v>
      </c>
      <c r="H5999">
        <v>0</v>
      </c>
      <c r="I5999">
        <v>0.1741125760648204</v>
      </c>
      <c r="J5999">
        <v>0</v>
      </c>
      <c r="K5999">
        <v>0</v>
      </c>
      <c r="L5999" s="2">
        <v>0</v>
      </c>
      <c r="M5999">
        <v>60.43</v>
      </c>
      <c r="N5999" t="s">
        <v>10236</v>
      </c>
    </row>
    <row r="6000" spans="1:14">
      <c r="A6000" t="s">
        <v>32</v>
      </c>
      <c r="B6000" t="s">
        <v>6105</v>
      </c>
      <c r="C6000">
        <f>"500995"</f>
        <v>0</v>
      </c>
      <c r="D6000">
        <v>0</v>
      </c>
      <c r="E6000">
        <v>0</v>
      </c>
      <c r="F6000" s="2">
        <v>0</v>
      </c>
      <c r="H6000">
        <v>0</v>
      </c>
      <c r="I6000">
        <v>0.1741125760648204</v>
      </c>
      <c r="J6000">
        <v>0</v>
      </c>
      <c r="K6000">
        <v>0</v>
      </c>
      <c r="L6000" s="2">
        <v>0</v>
      </c>
      <c r="M6000">
        <v>60.43</v>
      </c>
      <c r="N6000" t="s">
        <v>10236</v>
      </c>
    </row>
    <row r="6001" spans="1:14">
      <c r="A6001" t="s">
        <v>33</v>
      </c>
      <c r="B6001" t="s">
        <v>6106</v>
      </c>
      <c r="C6001">
        <f>"TOPK92177"</f>
        <v>0</v>
      </c>
      <c r="D6001">
        <v>0</v>
      </c>
      <c r="E6001">
        <v>0</v>
      </c>
      <c r="F6001" s="2">
        <v>0</v>
      </c>
      <c r="H6001">
        <v>0</v>
      </c>
      <c r="I6001">
        <v>0.1741125760648204</v>
      </c>
      <c r="J6001">
        <v>0</v>
      </c>
      <c r="K6001">
        <v>0</v>
      </c>
      <c r="L6001" s="2">
        <v>0</v>
      </c>
      <c r="M6001">
        <v>60.44</v>
      </c>
      <c r="N6001" t="s">
        <v>10236</v>
      </c>
    </row>
    <row r="6002" spans="1:14">
      <c r="A6002" t="s">
        <v>33</v>
      </c>
      <c r="B6002" t="s">
        <v>6107</v>
      </c>
      <c r="C6002">
        <f>"TOPK92176"</f>
        <v>0</v>
      </c>
      <c r="D6002">
        <v>0</v>
      </c>
      <c r="E6002">
        <v>0</v>
      </c>
      <c r="F6002" s="2">
        <v>0</v>
      </c>
      <c r="H6002">
        <v>0</v>
      </c>
      <c r="I6002">
        <v>0.1741125760648204</v>
      </c>
      <c r="J6002">
        <v>0</v>
      </c>
      <c r="K6002">
        <v>0</v>
      </c>
      <c r="L6002" s="2">
        <v>0</v>
      </c>
      <c r="M6002">
        <v>60.45</v>
      </c>
      <c r="N6002" t="s">
        <v>10236</v>
      </c>
    </row>
    <row r="6003" spans="1:14">
      <c r="A6003" t="s">
        <v>33</v>
      </c>
      <c r="B6003" t="s">
        <v>6108</v>
      </c>
      <c r="C6003">
        <f>"TOPK92187"</f>
        <v>0</v>
      </c>
      <c r="D6003">
        <v>0</v>
      </c>
      <c r="E6003">
        <v>0</v>
      </c>
      <c r="F6003" s="2">
        <v>0</v>
      </c>
      <c r="H6003">
        <v>0</v>
      </c>
      <c r="I6003">
        <v>0.1741125760648204</v>
      </c>
      <c r="J6003">
        <v>0</v>
      </c>
      <c r="K6003">
        <v>0</v>
      </c>
      <c r="L6003" s="2">
        <v>0</v>
      </c>
      <c r="M6003">
        <v>60.46</v>
      </c>
      <c r="N6003" t="s">
        <v>10236</v>
      </c>
    </row>
    <row r="6004" spans="1:14">
      <c r="A6004" t="s">
        <v>33</v>
      </c>
      <c r="B6004" t="s">
        <v>6109</v>
      </c>
      <c r="C6004">
        <f>"TOPK92186"</f>
        <v>0</v>
      </c>
      <c r="D6004">
        <v>0</v>
      </c>
      <c r="E6004">
        <v>0</v>
      </c>
      <c r="F6004" s="2">
        <v>0</v>
      </c>
      <c r="H6004">
        <v>0</v>
      </c>
      <c r="I6004">
        <v>0.1741125760648204</v>
      </c>
      <c r="J6004">
        <v>0</v>
      </c>
      <c r="K6004">
        <v>0</v>
      </c>
      <c r="L6004" s="2">
        <v>0</v>
      </c>
      <c r="M6004">
        <v>60.47</v>
      </c>
      <c r="N6004" t="s">
        <v>10236</v>
      </c>
    </row>
    <row r="6005" spans="1:14">
      <c r="A6005" t="s">
        <v>35</v>
      </c>
      <c r="B6005" t="s">
        <v>6110</v>
      </c>
      <c r="C6005">
        <f>"i09017"</f>
        <v>0</v>
      </c>
      <c r="D6005">
        <v>0</v>
      </c>
      <c r="E6005">
        <v>0</v>
      </c>
      <c r="F6005" s="2">
        <v>0</v>
      </c>
      <c r="H6005">
        <v>0</v>
      </c>
      <c r="I6005">
        <v>0.1741125760648204</v>
      </c>
      <c r="J6005">
        <v>0</v>
      </c>
      <c r="K6005">
        <v>0</v>
      </c>
      <c r="L6005" s="2">
        <v>0</v>
      </c>
      <c r="M6005">
        <v>60.48</v>
      </c>
      <c r="N6005" t="s">
        <v>10236</v>
      </c>
    </row>
    <row r="6006" spans="1:14">
      <c r="A6006" t="s">
        <v>35</v>
      </c>
      <c r="B6006" t="s">
        <v>6111</v>
      </c>
      <c r="C6006">
        <f>"HC0102"</f>
        <v>0</v>
      </c>
      <c r="D6006">
        <v>0</v>
      </c>
      <c r="E6006">
        <v>0</v>
      </c>
      <c r="F6006" s="2">
        <v>0</v>
      </c>
      <c r="H6006">
        <v>0</v>
      </c>
      <c r="I6006">
        <v>0.1741125760648204</v>
      </c>
      <c r="J6006">
        <v>0</v>
      </c>
      <c r="K6006">
        <v>0</v>
      </c>
      <c r="L6006" s="2">
        <v>0</v>
      </c>
      <c r="M6006">
        <v>60.49</v>
      </c>
      <c r="N6006" t="s">
        <v>10236</v>
      </c>
    </row>
    <row r="6007" spans="1:14">
      <c r="A6007" t="s">
        <v>35</v>
      </c>
      <c r="B6007" t="s">
        <v>6112</v>
      </c>
      <c r="C6007">
        <f>"HC1022"</f>
        <v>0</v>
      </c>
      <c r="D6007">
        <v>0</v>
      </c>
      <c r="E6007">
        <v>0</v>
      </c>
      <c r="F6007" s="2">
        <v>0</v>
      </c>
      <c r="H6007">
        <v>0</v>
      </c>
      <c r="I6007">
        <v>0.1741125760648204</v>
      </c>
      <c r="J6007">
        <v>0</v>
      </c>
      <c r="K6007">
        <v>0</v>
      </c>
      <c r="L6007" s="2">
        <v>0</v>
      </c>
      <c r="M6007">
        <v>60.5</v>
      </c>
      <c r="N6007" t="s">
        <v>10236</v>
      </c>
    </row>
    <row r="6008" spans="1:14">
      <c r="A6008" t="s">
        <v>35</v>
      </c>
      <c r="B6008" t="s">
        <v>6113</v>
      </c>
      <c r="C6008">
        <f>"HC0107"</f>
        <v>0</v>
      </c>
      <c r="D6008">
        <v>0</v>
      </c>
      <c r="E6008">
        <v>0</v>
      </c>
      <c r="F6008" s="2">
        <v>0</v>
      </c>
      <c r="H6008">
        <v>0</v>
      </c>
      <c r="I6008">
        <v>0.1741125760648204</v>
      </c>
      <c r="J6008">
        <v>0</v>
      </c>
      <c r="K6008">
        <v>0</v>
      </c>
      <c r="L6008" s="2">
        <v>0</v>
      </c>
      <c r="M6008">
        <v>60.51</v>
      </c>
      <c r="N6008" t="s">
        <v>10236</v>
      </c>
    </row>
    <row r="6009" spans="1:14">
      <c r="A6009" t="s">
        <v>218</v>
      </c>
      <c r="B6009" t="s">
        <v>6114</v>
      </c>
      <c r="C6009">
        <f>"agr047"</f>
        <v>0</v>
      </c>
      <c r="D6009">
        <v>0</v>
      </c>
      <c r="E6009">
        <v>0</v>
      </c>
      <c r="F6009" s="2">
        <v>0</v>
      </c>
      <c r="H6009">
        <v>0</v>
      </c>
      <c r="I6009">
        <v>0.1741125760648204</v>
      </c>
      <c r="J6009">
        <v>0</v>
      </c>
      <c r="K6009">
        <v>0</v>
      </c>
      <c r="L6009" s="2">
        <v>0</v>
      </c>
      <c r="M6009">
        <v>60.52</v>
      </c>
      <c r="N6009" t="s">
        <v>10236</v>
      </c>
    </row>
    <row r="6010" spans="1:14">
      <c r="A6010" t="s">
        <v>216</v>
      </c>
      <c r="B6010" t="s">
        <v>6115</v>
      </c>
      <c r="C6010">
        <f>"TETRAOR"</f>
        <v>0</v>
      </c>
      <c r="D6010">
        <v>0</v>
      </c>
      <c r="E6010">
        <v>0</v>
      </c>
      <c r="F6010" s="2">
        <v>0</v>
      </c>
      <c r="H6010">
        <v>0</v>
      </c>
      <c r="I6010">
        <v>0.1741125760648204</v>
      </c>
      <c r="J6010">
        <v>0</v>
      </c>
      <c r="K6010">
        <v>0</v>
      </c>
      <c r="L6010" s="2">
        <v>0</v>
      </c>
      <c r="M6010">
        <v>60.53</v>
      </c>
      <c r="N6010" t="s">
        <v>10236</v>
      </c>
    </row>
    <row r="6011" spans="1:14">
      <c r="A6011" t="s">
        <v>218</v>
      </c>
      <c r="B6011" t="s">
        <v>6116</v>
      </c>
      <c r="C6011">
        <f>"1016730"</f>
        <v>0</v>
      </c>
      <c r="D6011">
        <v>0</v>
      </c>
      <c r="E6011">
        <v>0</v>
      </c>
      <c r="F6011" s="2">
        <v>0</v>
      </c>
      <c r="H6011">
        <v>0</v>
      </c>
      <c r="I6011">
        <v>0.1741125760648204</v>
      </c>
      <c r="J6011">
        <v>0</v>
      </c>
      <c r="K6011">
        <v>0</v>
      </c>
      <c r="L6011" s="2">
        <v>0</v>
      </c>
      <c r="M6011">
        <v>60.54</v>
      </c>
      <c r="N6011" t="s">
        <v>10236</v>
      </c>
    </row>
    <row r="6012" spans="1:14">
      <c r="A6012" t="s">
        <v>25</v>
      </c>
      <c r="B6012" t="s">
        <v>6117</v>
      </c>
      <c r="C6012">
        <f>"00279"</f>
        <v>0</v>
      </c>
      <c r="D6012">
        <v>0</v>
      </c>
      <c r="E6012">
        <v>2</v>
      </c>
      <c r="F6012" s="2">
        <v>5</v>
      </c>
      <c r="H6012">
        <v>0</v>
      </c>
      <c r="I6012">
        <v>0.1741125760648204</v>
      </c>
      <c r="J6012">
        <v>0</v>
      </c>
      <c r="K6012">
        <v>0</v>
      </c>
      <c r="L6012" s="2">
        <v>0</v>
      </c>
      <c r="M6012">
        <v>60.54</v>
      </c>
      <c r="N6012" t="s">
        <v>10236</v>
      </c>
    </row>
    <row r="6013" spans="1:14">
      <c r="A6013" t="s">
        <v>25</v>
      </c>
      <c r="B6013" t="s">
        <v>6118</v>
      </c>
      <c r="C6013">
        <f>"00278"</f>
        <v>0</v>
      </c>
      <c r="D6013">
        <v>0</v>
      </c>
      <c r="E6013">
        <v>2</v>
      </c>
      <c r="F6013" s="2">
        <v>2</v>
      </c>
      <c r="H6013">
        <v>0</v>
      </c>
      <c r="I6013">
        <v>0.1741125760648204</v>
      </c>
      <c r="J6013">
        <v>0</v>
      </c>
      <c r="K6013">
        <v>0</v>
      </c>
      <c r="L6013" s="2">
        <v>0</v>
      </c>
      <c r="M6013">
        <v>60.55</v>
      </c>
      <c r="N6013" t="s">
        <v>10236</v>
      </c>
    </row>
    <row r="6014" spans="1:14">
      <c r="A6014" t="s">
        <v>25</v>
      </c>
      <c r="B6014" t="s">
        <v>6119</v>
      </c>
      <c r="C6014">
        <f>"00277"</f>
        <v>0</v>
      </c>
      <c r="D6014">
        <v>0</v>
      </c>
      <c r="E6014">
        <v>1</v>
      </c>
      <c r="F6014" s="2">
        <v>2</v>
      </c>
      <c r="H6014">
        <v>0</v>
      </c>
      <c r="I6014">
        <v>0.1741125760648204</v>
      </c>
      <c r="J6014">
        <v>0</v>
      </c>
      <c r="K6014">
        <v>0</v>
      </c>
      <c r="L6014" s="2">
        <v>0</v>
      </c>
      <c r="M6014">
        <v>60.56</v>
      </c>
      <c r="N6014" t="s">
        <v>10236</v>
      </c>
    </row>
    <row r="6015" spans="1:14">
      <c r="A6015" t="s">
        <v>25</v>
      </c>
      <c r="B6015" t="s">
        <v>6120</v>
      </c>
      <c r="C6015">
        <f>"00280"</f>
        <v>0</v>
      </c>
      <c r="D6015">
        <v>0</v>
      </c>
      <c r="E6015">
        <v>2</v>
      </c>
      <c r="F6015" s="2">
        <v>2</v>
      </c>
      <c r="H6015">
        <v>0</v>
      </c>
      <c r="I6015">
        <v>0.1741125760648204</v>
      </c>
      <c r="J6015">
        <v>0</v>
      </c>
      <c r="K6015">
        <v>0</v>
      </c>
      <c r="L6015" s="2">
        <v>0</v>
      </c>
      <c r="M6015">
        <v>60.57</v>
      </c>
      <c r="N6015" t="s">
        <v>10236</v>
      </c>
    </row>
    <row r="6016" spans="1:14">
      <c r="A6016" t="s">
        <v>25</v>
      </c>
      <c r="B6016" t="s">
        <v>6121</v>
      </c>
      <c r="C6016">
        <f>"TR056"</f>
        <v>0</v>
      </c>
      <c r="D6016">
        <v>0</v>
      </c>
      <c r="E6016">
        <v>0</v>
      </c>
      <c r="F6016" s="2">
        <v>0</v>
      </c>
      <c r="H6016">
        <v>0</v>
      </c>
      <c r="I6016">
        <v>0.1741125760648204</v>
      </c>
      <c r="J6016">
        <v>0</v>
      </c>
      <c r="K6016">
        <v>0</v>
      </c>
      <c r="L6016" s="2">
        <v>0</v>
      </c>
      <c r="M6016">
        <v>60.58</v>
      </c>
      <c r="N6016" t="s">
        <v>10236</v>
      </c>
    </row>
    <row r="6017" spans="1:14">
      <c r="A6017" t="s">
        <v>218</v>
      </c>
      <c r="B6017" t="s">
        <v>6122</v>
      </c>
      <c r="C6017">
        <f>"inscls0026"</f>
        <v>0</v>
      </c>
      <c r="D6017">
        <v>0</v>
      </c>
      <c r="E6017">
        <v>0</v>
      </c>
      <c r="F6017" s="2">
        <v>0</v>
      </c>
      <c r="H6017">
        <v>0</v>
      </c>
      <c r="I6017">
        <v>0.1741125760648204</v>
      </c>
      <c r="J6017">
        <v>0</v>
      </c>
      <c r="K6017">
        <v>0</v>
      </c>
      <c r="L6017" s="2">
        <v>0</v>
      </c>
      <c r="M6017">
        <v>60.59</v>
      </c>
      <c r="N6017" t="s">
        <v>10236</v>
      </c>
    </row>
    <row r="6018" spans="1:14">
      <c r="A6018" t="s">
        <v>218</v>
      </c>
      <c r="B6018" t="s">
        <v>6123</v>
      </c>
      <c r="C6018">
        <f>"inscls0014"</f>
        <v>0</v>
      </c>
      <c r="D6018">
        <v>0</v>
      </c>
      <c r="E6018">
        <v>0</v>
      </c>
      <c r="F6018" s="2">
        <v>0</v>
      </c>
      <c r="H6018">
        <v>0</v>
      </c>
      <c r="I6018">
        <v>0.1741125760648204</v>
      </c>
      <c r="J6018">
        <v>0</v>
      </c>
      <c r="K6018">
        <v>0</v>
      </c>
      <c r="L6018" s="2">
        <v>0</v>
      </c>
      <c r="M6018">
        <v>60.6</v>
      </c>
      <c r="N6018" t="s">
        <v>10236</v>
      </c>
    </row>
    <row r="6019" spans="1:14">
      <c r="A6019" t="s">
        <v>218</v>
      </c>
      <c r="B6019" t="s">
        <v>6124</v>
      </c>
      <c r="C6019">
        <f>"it755tl"</f>
        <v>0</v>
      </c>
      <c r="D6019">
        <v>0</v>
      </c>
      <c r="E6019">
        <v>0</v>
      </c>
      <c r="F6019" s="2">
        <v>0</v>
      </c>
      <c r="H6019">
        <v>0</v>
      </c>
      <c r="I6019">
        <v>0.1741125760648204</v>
      </c>
      <c r="J6019">
        <v>0</v>
      </c>
      <c r="K6019">
        <v>0</v>
      </c>
      <c r="L6019" s="2">
        <v>0</v>
      </c>
      <c r="M6019">
        <v>60.61</v>
      </c>
      <c r="N6019" t="s">
        <v>10236</v>
      </c>
    </row>
    <row r="6020" spans="1:14">
      <c r="A6020" t="s">
        <v>35</v>
      </c>
      <c r="B6020" t="s">
        <v>6110</v>
      </c>
      <c r="C6020">
        <f>"I090017"</f>
        <v>0</v>
      </c>
      <c r="D6020">
        <v>0</v>
      </c>
      <c r="E6020">
        <v>0</v>
      </c>
      <c r="F6020" s="2">
        <v>0</v>
      </c>
      <c r="H6020">
        <v>0</v>
      </c>
      <c r="I6020">
        <v>0.1741125760648204</v>
      </c>
      <c r="J6020">
        <v>0</v>
      </c>
      <c r="K6020">
        <v>0</v>
      </c>
      <c r="L6020" s="2">
        <v>0</v>
      </c>
      <c r="M6020">
        <v>60.62</v>
      </c>
      <c r="N6020" t="s">
        <v>10236</v>
      </c>
    </row>
    <row r="6021" spans="1:14">
      <c r="A6021" t="s">
        <v>196</v>
      </c>
      <c r="B6021" t="s">
        <v>6125</v>
      </c>
      <c r="C6021">
        <f>"2000"</f>
        <v>0</v>
      </c>
      <c r="D6021">
        <v>0</v>
      </c>
      <c r="E6021">
        <v>0</v>
      </c>
      <c r="F6021" s="2">
        <v>0</v>
      </c>
      <c r="H6021">
        <v>0</v>
      </c>
      <c r="I6021">
        <v>0.1741125760648204</v>
      </c>
      <c r="J6021">
        <v>0</v>
      </c>
      <c r="K6021">
        <v>0</v>
      </c>
      <c r="L6021" s="2">
        <v>0</v>
      </c>
      <c r="M6021">
        <v>60.63</v>
      </c>
      <c r="N6021" t="s">
        <v>10236</v>
      </c>
    </row>
    <row r="6022" spans="1:14">
      <c r="A6022" t="s">
        <v>232</v>
      </c>
      <c r="B6022" t="s">
        <v>6126</v>
      </c>
      <c r="C6022">
        <f>"TLA6"</f>
        <v>0</v>
      </c>
      <c r="D6022">
        <v>0</v>
      </c>
      <c r="E6022">
        <v>0</v>
      </c>
      <c r="F6022" s="2">
        <v>0</v>
      </c>
      <c r="H6022">
        <v>0</v>
      </c>
      <c r="I6022">
        <v>0.1741125760648204</v>
      </c>
      <c r="J6022">
        <v>0</v>
      </c>
      <c r="K6022">
        <v>0</v>
      </c>
      <c r="L6022" s="2">
        <v>0</v>
      </c>
      <c r="M6022">
        <v>60.64</v>
      </c>
      <c r="N6022" t="s">
        <v>10236</v>
      </c>
    </row>
    <row r="6023" spans="1:14">
      <c r="A6023" t="s">
        <v>232</v>
      </c>
      <c r="B6023" t="s">
        <v>6127</v>
      </c>
      <c r="C6023">
        <f>"TLA2"</f>
        <v>0</v>
      </c>
      <c r="D6023">
        <v>0</v>
      </c>
      <c r="E6023">
        <v>0</v>
      </c>
      <c r="F6023" s="2">
        <v>0</v>
      </c>
      <c r="H6023">
        <v>0</v>
      </c>
      <c r="I6023">
        <v>0.1741125760648204</v>
      </c>
      <c r="J6023">
        <v>0</v>
      </c>
      <c r="K6023">
        <v>0</v>
      </c>
      <c r="L6023" s="2">
        <v>0</v>
      </c>
      <c r="M6023">
        <v>60.65</v>
      </c>
      <c r="N6023" t="s">
        <v>10236</v>
      </c>
    </row>
    <row r="6024" spans="1:14">
      <c r="A6024" t="s">
        <v>232</v>
      </c>
      <c r="B6024" t="s">
        <v>6128</v>
      </c>
      <c r="C6024">
        <f>"TGM7"</f>
        <v>0</v>
      </c>
      <c r="D6024">
        <v>0</v>
      </c>
      <c r="E6024">
        <v>0</v>
      </c>
      <c r="F6024" s="2">
        <v>0</v>
      </c>
      <c r="H6024">
        <v>0</v>
      </c>
      <c r="I6024">
        <v>0.1741125760648204</v>
      </c>
      <c r="J6024">
        <v>0</v>
      </c>
      <c r="K6024">
        <v>0</v>
      </c>
      <c r="L6024" s="2">
        <v>0</v>
      </c>
      <c r="M6024">
        <v>60.66</v>
      </c>
      <c r="N6024" t="s">
        <v>10236</v>
      </c>
    </row>
    <row r="6025" spans="1:14">
      <c r="A6025" t="s">
        <v>35</v>
      </c>
      <c r="B6025" t="s">
        <v>6129</v>
      </c>
      <c r="C6025">
        <f>"ZD06"</f>
        <v>0</v>
      </c>
      <c r="D6025">
        <v>0</v>
      </c>
      <c r="E6025">
        <v>0</v>
      </c>
      <c r="F6025" s="2">
        <v>0</v>
      </c>
      <c r="H6025">
        <v>0</v>
      </c>
      <c r="I6025">
        <v>0.1741125760648204</v>
      </c>
      <c r="J6025">
        <v>0</v>
      </c>
      <c r="K6025">
        <v>0</v>
      </c>
      <c r="L6025" s="2">
        <v>0</v>
      </c>
      <c r="M6025">
        <v>60.66</v>
      </c>
      <c r="N6025" t="s">
        <v>10236</v>
      </c>
    </row>
    <row r="6026" spans="1:14">
      <c r="A6026" t="s">
        <v>35</v>
      </c>
      <c r="B6026" t="s">
        <v>6130</v>
      </c>
      <c r="C6026">
        <f>"(ZD06)"</f>
        <v>0</v>
      </c>
      <c r="D6026">
        <v>0</v>
      </c>
      <c r="E6026">
        <v>3</v>
      </c>
      <c r="F6026" s="2">
        <v>2</v>
      </c>
      <c r="H6026">
        <v>0</v>
      </c>
      <c r="I6026">
        <v>0.1741125760648204</v>
      </c>
      <c r="J6026">
        <v>0</v>
      </c>
      <c r="K6026">
        <v>0</v>
      </c>
      <c r="L6026" s="2">
        <v>0</v>
      </c>
      <c r="M6026">
        <v>60.67</v>
      </c>
      <c r="N6026" t="s">
        <v>10236</v>
      </c>
    </row>
    <row r="6027" spans="1:14">
      <c r="A6027" t="s">
        <v>232</v>
      </c>
      <c r="B6027" t="s">
        <v>6131</v>
      </c>
      <c r="C6027">
        <f>"TPC6"</f>
        <v>0</v>
      </c>
      <c r="D6027">
        <v>0</v>
      </c>
      <c r="E6027">
        <v>0</v>
      </c>
      <c r="F6027" s="2">
        <v>0</v>
      </c>
      <c r="H6027">
        <v>0</v>
      </c>
      <c r="I6027">
        <v>0.1741125760648204</v>
      </c>
      <c r="J6027">
        <v>0</v>
      </c>
      <c r="K6027">
        <v>0</v>
      </c>
      <c r="L6027" s="2">
        <v>0</v>
      </c>
      <c r="M6027">
        <v>60.68</v>
      </c>
      <c r="N6027" t="s">
        <v>10236</v>
      </c>
    </row>
    <row r="6028" spans="1:14">
      <c r="A6028" t="s">
        <v>232</v>
      </c>
      <c r="B6028" t="s">
        <v>6132</v>
      </c>
      <c r="C6028">
        <f>"TPC2"</f>
        <v>0</v>
      </c>
      <c r="D6028">
        <v>0</v>
      </c>
      <c r="E6028">
        <v>0</v>
      </c>
      <c r="F6028" s="2">
        <v>0</v>
      </c>
      <c r="H6028">
        <v>0</v>
      </c>
      <c r="I6028">
        <v>0.1741125760648204</v>
      </c>
      <c r="J6028">
        <v>0</v>
      </c>
      <c r="K6028">
        <v>0</v>
      </c>
      <c r="L6028" s="2">
        <v>0</v>
      </c>
      <c r="M6028">
        <v>60.69</v>
      </c>
      <c r="N6028" t="s">
        <v>10236</v>
      </c>
    </row>
    <row r="6029" spans="1:14">
      <c r="A6029" t="s">
        <v>232</v>
      </c>
      <c r="B6029" t="s">
        <v>6133</v>
      </c>
      <c r="C6029">
        <f>"TPC13"</f>
        <v>0</v>
      </c>
      <c r="D6029">
        <v>0</v>
      </c>
      <c r="E6029">
        <v>0</v>
      </c>
      <c r="F6029" s="2">
        <v>0</v>
      </c>
      <c r="H6029">
        <v>0</v>
      </c>
      <c r="I6029">
        <v>0.1741125760648204</v>
      </c>
      <c r="J6029">
        <v>0</v>
      </c>
      <c r="K6029">
        <v>0</v>
      </c>
      <c r="L6029" s="2">
        <v>0</v>
      </c>
      <c r="M6029">
        <v>60.7</v>
      </c>
      <c r="N6029" t="s">
        <v>10236</v>
      </c>
    </row>
    <row r="6030" spans="1:14">
      <c r="A6030" t="s">
        <v>232</v>
      </c>
      <c r="B6030" t="s">
        <v>6134</v>
      </c>
      <c r="C6030">
        <f>"TPA6"</f>
        <v>0</v>
      </c>
      <c r="D6030">
        <v>0</v>
      </c>
      <c r="E6030">
        <v>0</v>
      </c>
      <c r="F6030" s="2">
        <v>0</v>
      </c>
      <c r="H6030">
        <v>0</v>
      </c>
      <c r="I6030">
        <v>0.1741125760648204</v>
      </c>
      <c r="J6030">
        <v>0</v>
      </c>
      <c r="K6030">
        <v>0</v>
      </c>
      <c r="L6030" s="2">
        <v>0</v>
      </c>
      <c r="M6030">
        <v>60.71</v>
      </c>
      <c r="N6030" t="s">
        <v>10236</v>
      </c>
    </row>
    <row r="6031" spans="1:14">
      <c r="A6031" t="s">
        <v>232</v>
      </c>
      <c r="B6031" t="s">
        <v>6135</v>
      </c>
      <c r="C6031">
        <f>"TPA2"</f>
        <v>0</v>
      </c>
      <c r="D6031">
        <v>0</v>
      </c>
      <c r="E6031">
        <v>0</v>
      </c>
      <c r="F6031" s="2">
        <v>0</v>
      </c>
      <c r="H6031">
        <v>0</v>
      </c>
      <c r="I6031">
        <v>0.1741125760648204</v>
      </c>
      <c r="J6031">
        <v>0</v>
      </c>
      <c r="K6031">
        <v>0</v>
      </c>
      <c r="L6031" s="2">
        <v>0</v>
      </c>
      <c r="M6031">
        <v>60.72</v>
      </c>
      <c r="N6031" t="s">
        <v>10236</v>
      </c>
    </row>
    <row r="6032" spans="1:14">
      <c r="A6032" t="s">
        <v>232</v>
      </c>
      <c r="B6032" t="s">
        <v>6136</v>
      </c>
      <c r="C6032">
        <f>"TPA10"</f>
        <v>0</v>
      </c>
      <c r="D6032">
        <v>0</v>
      </c>
      <c r="E6032">
        <v>0</v>
      </c>
      <c r="F6032" s="2">
        <v>0</v>
      </c>
      <c r="H6032">
        <v>0</v>
      </c>
      <c r="I6032">
        <v>0.1741125760648204</v>
      </c>
      <c r="J6032">
        <v>0</v>
      </c>
      <c r="K6032">
        <v>0</v>
      </c>
      <c r="L6032" s="2">
        <v>0</v>
      </c>
      <c r="M6032">
        <v>60.73</v>
      </c>
      <c r="N6032" t="s">
        <v>10236</v>
      </c>
    </row>
    <row r="6033" spans="1:14">
      <c r="A6033" t="s">
        <v>232</v>
      </c>
      <c r="B6033" t="s">
        <v>6137</v>
      </c>
      <c r="C6033">
        <f>"TCPA"</f>
        <v>0</v>
      </c>
      <c r="D6033">
        <v>0</v>
      </c>
      <c r="E6033">
        <v>0</v>
      </c>
      <c r="F6033" s="2">
        <v>0</v>
      </c>
      <c r="H6033">
        <v>0</v>
      </c>
      <c r="I6033">
        <v>0.1741125760648204</v>
      </c>
      <c r="J6033">
        <v>0</v>
      </c>
      <c r="K6033">
        <v>0</v>
      </c>
      <c r="L6033" s="2">
        <v>0</v>
      </c>
      <c r="M6033">
        <v>60.74</v>
      </c>
      <c r="N6033" t="s">
        <v>10236</v>
      </c>
    </row>
    <row r="6034" spans="1:14">
      <c r="A6034" t="s">
        <v>232</v>
      </c>
      <c r="B6034" t="s">
        <v>6138</v>
      </c>
      <c r="C6034">
        <f>"TGL7"</f>
        <v>0</v>
      </c>
      <c r="D6034">
        <v>0</v>
      </c>
      <c r="E6034">
        <v>0</v>
      </c>
      <c r="F6034" s="2">
        <v>0</v>
      </c>
      <c r="H6034">
        <v>0</v>
      </c>
      <c r="I6034">
        <v>0.1741125760648204</v>
      </c>
      <c r="J6034">
        <v>0</v>
      </c>
      <c r="K6034">
        <v>0</v>
      </c>
      <c r="L6034" s="2">
        <v>0</v>
      </c>
      <c r="M6034">
        <v>60.75</v>
      </c>
      <c r="N6034" t="s">
        <v>10236</v>
      </c>
    </row>
    <row r="6035" spans="1:14">
      <c r="A6035" t="s">
        <v>232</v>
      </c>
      <c r="B6035" t="s">
        <v>6139</v>
      </c>
      <c r="C6035">
        <f>"TGL2"</f>
        <v>0</v>
      </c>
      <c r="D6035">
        <v>0</v>
      </c>
      <c r="E6035">
        <v>0</v>
      </c>
      <c r="F6035" s="2">
        <v>0</v>
      </c>
      <c r="H6035">
        <v>0</v>
      </c>
      <c r="I6035">
        <v>0.1741125760648204</v>
      </c>
      <c r="J6035">
        <v>0</v>
      </c>
      <c r="K6035">
        <v>0</v>
      </c>
      <c r="L6035" s="2">
        <v>0</v>
      </c>
      <c r="M6035">
        <v>60.76</v>
      </c>
      <c r="N6035" t="s">
        <v>10236</v>
      </c>
    </row>
    <row r="6036" spans="1:14">
      <c r="A6036" t="s">
        <v>232</v>
      </c>
      <c r="B6036" t="s">
        <v>6140</v>
      </c>
      <c r="C6036">
        <f>"TFA2"</f>
        <v>0</v>
      </c>
      <c r="D6036">
        <v>0</v>
      </c>
      <c r="E6036">
        <v>0</v>
      </c>
      <c r="F6036" s="2">
        <v>0</v>
      </c>
      <c r="H6036">
        <v>0</v>
      </c>
      <c r="I6036">
        <v>0.1741125760648204</v>
      </c>
      <c r="J6036">
        <v>0</v>
      </c>
      <c r="K6036">
        <v>0</v>
      </c>
      <c r="L6036" s="2">
        <v>0</v>
      </c>
      <c r="M6036">
        <v>60.77</v>
      </c>
      <c r="N6036" t="s">
        <v>10236</v>
      </c>
    </row>
    <row r="6037" spans="1:14">
      <c r="A6037" t="s">
        <v>232</v>
      </c>
      <c r="B6037" t="s">
        <v>6141</v>
      </c>
      <c r="C6037">
        <f>"THP2"</f>
        <v>0</v>
      </c>
      <c r="D6037">
        <v>0</v>
      </c>
      <c r="E6037">
        <v>0</v>
      </c>
      <c r="F6037" s="2">
        <v>0</v>
      </c>
      <c r="H6037">
        <v>0</v>
      </c>
      <c r="I6037">
        <v>0.1741125760648204</v>
      </c>
      <c r="J6037">
        <v>0</v>
      </c>
      <c r="K6037">
        <v>0</v>
      </c>
      <c r="L6037" s="2">
        <v>0</v>
      </c>
      <c r="M6037">
        <v>60.78</v>
      </c>
      <c r="N6037" t="s">
        <v>10236</v>
      </c>
    </row>
    <row r="6038" spans="1:14">
      <c r="A6038" t="s">
        <v>232</v>
      </c>
      <c r="B6038" t="s">
        <v>6142</v>
      </c>
      <c r="C6038">
        <f>"THP13"</f>
        <v>0</v>
      </c>
      <c r="D6038">
        <v>0</v>
      </c>
      <c r="E6038">
        <v>0</v>
      </c>
      <c r="F6038" s="2">
        <v>0</v>
      </c>
      <c r="H6038">
        <v>0</v>
      </c>
      <c r="I6038">
        <v>0.1741125760648204</v>
      </c>
      <c r="J6038">
        <v>0</v>
      </c>
      <c r="K6038">
        <v>0</v>
      </c>
      <c r="L6038" s="2">
        <v>0</v>
      </c>
      <c r="M6038">
        <v>60.78</v>
      </c>
      <c r="N6038" t="s">
        <v>10236</v>
      </c>
    </row>
    <row r="6039" spans="1:14">
      <c r="A6039" t="s">
        <v>218</v>
      </c>
      <c r="B6039" t="s">
        <v>6143</v>
      </c>
      <c r="C6039">
        <f>"BRA0181"</f>
        <v>0</v>
      </c>
      <c r="D6039">
        <v>0</v>
      </c>
      <c r="E6039">
        <v>0</v>
      </c>
      <c r="F6039" s="2">
        <v>0</v>
      </c>
      <c r="H6039">
        <v>0</v>
      </c>
      <c r="I6039">
        <v>0.1741125760648204</v>
      </c>
      <c r="J6039">
        <v>0</v>
      </c>
      <c r="K6039">
        <v>0</v>
      </c>
      <c r="L6039" s="2">
        <v>0</v>
      </c>
      <c r="M6039">
        <v>60.79</v>
      </c>
      <c r="N6039" t="s">
        <v>10236</v>
      </c>
    </row>
    <row r="6040" spans="1:14">
      <c r="A6040" t="s">
        <v>29</v>
      </c>
      <c r="B6040" t="s">
        <v>6144</v>
      </c>
      <c r="C6040">
        <f>"34333"</f>
        <v>0</v>
      </c>
      <c r="D6040">
        <v>0</v>
      </c>
      <c r="E6040">
        <v>2</v>
      </c>
      <c r="F6040" s="2">
        <v>2</v>
      </c>
      <c r="H6040">
        <v>0</v>
      </c>
      <c r="I6040">
        <v>0.1741125760648204</v>
      </c>
      <c r="J6040">
        <v>0</v>
      </c>
      <c r="K6040">
        <v>0</v>
      </c>
      <c r="L6040" s="2">
        <v>0</v>
      </c>
      <c r="M6040">
        <v>60.8</v>
      </c>
      <c r="N6040" t="s">
        <v>10236</v>
      </c>
    </row>
    <row r="6041" spans="1:14">
      <c r="A6041" t="s">
        <v>35</v>
      </c>
      <c r="B6041" t="s">
        <v>6145</v>
      </c>
      <c r="C6041">
        <f>"NSD13"</f>
        <v>0</v>
      </c>
      <c r="D6041">
        <v>0</v>
      </c>
      <c r="E6041">
        <v>0</v>
      </c>
      <c r="F6041" s="2">
        <v>0</v>
      </c>
      <c r="H6041">
        <v>0</v>
      </c>
      <c r="I6041">
        <v>0.1741125760648204</v>
      </c>
      <c r="J6041">
        <v>0</v>
      </c>
      <c r="K6041">
        <v>0</v>
      </c>
      <c r="L6041" s="2">
        <v>0</v>
      </c>
      <c r="M6041">
        <v>60.81</v>
      </c>
      <c r="N6041" t="s">
        <v>10236</v>
      </c>
    </row>
    <row r="6042" spans="1:14">
      <c r="A6042" t="s">
        <v>35</v>
      </c>
      <c r="B6042" t="s">
        <v>6145</v>
      </c>
      <c r="C6042">
        <f>"NSD11"</f>
        <v>0</v>
      </c>
      <c r="D6042">
        <v>0</v>
      </c>
      <c r="E6042">
        <v>0</v>
      </c>
      <c r="F6042" s="2">
        <v>0</v>
      </c>
      <c r="H6042">
        <v>0</v>
      </c>
      <c r="I6042">
        <v>0.1741125760648204</v>
      </c>
      <c r="J6042">
        <v>0</v>
      </c>
      <c r="K6042">
        <v>0</v>
      </c>
      <c r="L6042" s="2">
        <v>0</v>
      </c>
      <c r="M6042">
        <v>60.82</v>
      </c>
      <c r="N6042" t="s">
        <v>10236</v>
      </c>
    </row>
    <row r="6043" spans="1:14">
      <c r="A6043" t="s">
        <v>218</v>
      </c>
      <c r="B6043" t="s">
        <v>6146</v>
      </c>
      <c r="C6043">
        <f>"1009429"</f>
        <v>0</v>
      </c>
      <c r="D6043">
        <v>0</v>
      </c>
      <c r="E6043">
        <v>0</v>
      </c>
      <c r="F6043" s="2">
        <v>0</v>
      </c>
      <c r="H6043">
        <v>0</v>
      </c>
      <c r="I6043">
        <v>0.1741125760648204</v>
      </c>
      <c r="J6043">
        <v>0</v>
      </c>
      <c r="K6043">
        <v>0</v>
      </c>
      <c r="L6043" s="2">
        <v>0</v>
      </c>
      <c r="M6043">
        <v>60.83</v>
      </c>
      <c r="N6043" t="s">
        <v>10236</v>
      </c>
    </row>
    <row r="6044" spans="1:14">
      <c r="A6044" t="s">
        <v>29</v>
      </c>
      <c r="B6044" t="s">
        <v>6147</v>
      </c>
      <c r="C6044">
        <f>"X105L"</f>
        <v>0</v>
      </c>
      <c r="D6044">
        <v>0</v>
      </c>
      <c r="E6044">
        <v>0</v>
      </c>
      <c r="F6044" s="2">
        <v>0</v>
      </c>
      <c r="H6044">
        <v>0</v>
      </c>
      <c r="I6044">
        <v>0.1741125760648204</v>
      </c>
      <c r="J6044">
        <v>0</v>
      </c>
      <c r="K6044">
        <v>0</v>
      </c>
      <c r="L6044" s="2">
        <v>0</v>
      </c>
      <c r="M6044">
        <v>60.84</v>
      </c>
      <c r="N6044" t="s">
        <v>10236</v>
      </c>
    </row>
    <row r="6045" spans="1:14">
      <c r="A6045" t="s">
        <v>29</v>
      </c>
      <c r="B6045" t="s">
        <v>6148</v>
      </c>
      <c r="C6045">
        <f>"X102L"</f>
        <v>0</v>
      </c>
      <c r="D6045">
        <v>0</v>
      </c>
      <c r="E6045">
        <v>0</v>
      </c>
      <c r="F6045" s="2">
        <v>0</v>
      </c>
      <c r="H6045">
        <v>0</v>
      </c>
      <c r="I6045">
        <v>0.1741125760648204</v>
      </c>
      <c r="J6045">
        <v>0</v>
      </c>
      <c r="K6045">
        <v>0</v>
      </c>
      <c r="L6045" s="2">
        <v>0</v>
      </c>
      <c r="M6045">
        <v>60.85</v>
      </c>
      <c r="N6045" t="s">
        <v>10236</v>
      </c>
    </row>
    <row r="6046" spans="1:14">
      <c r="A6046" t="s">
        <v>214</v>
      </c>
      <c r="B6046" t="s">
        <v>6149</v>
      </c>
      <c r="C6046">
        <f>"77214"</f>
        <v>0</v>
      </c>
      <c r="D6046">
        <v>0</v>
      </c>
      <c r="E6046">
        <v>4</v>
      </c>
      <c r="F6046" s="2">
        <v>3</v>
      </c>
      <c r="H6046">
        <v>0</v>
      </c>
      <c r="I6046">
        <v>0.1741125760648204</v>
      </c>
      <c r="J6046">
        <v>0</v>
      </c>
      <c r="K6046">
        <v>0</v>
      </c>
      <c r="L6046" s="2">
        <v>0</v>
      </c>
      <c r="M6046">
        <v>60.86</v>
      </c>
      <c r="N6046" t="s">
        <v>10236</v>
      </c>
    </row>
    <row r="6047" spans="1:14">
      <c r="A6047" t="s">
        <v>194</v>
      </c>
      <c r="B6047" t="s">
        <v>6150</v>
      </c>
      <c r="C6047">
        <f>"10664"</f>
        <v>0</v>
      </c>
      <c r="D6047">
        <v>0</v>
      </c>
      <c r="E6047">
        <v>0</v>
      </c>
      <c r="F6047" s="2">
        <v>0</v>
      </c>
      <c r="H6047">
        <v>0</v>
      </c>
      <c r="I6047">
        <v>0.1741125760648204</v>
      </c>
      <c r="J6047">
        <v>0</v>
      </c>
      <c r="K6047">
        <v>0</v>
      </c>
      <c r="L6047" s="2">
        <v>0</v>
      </c>
      <c r="M6047">
        <v>60.87</v>
      </c>
      <c r="N6047" t="s">
        <v>10236</v>
      </c>
    </row>
    <row r="6048" spans="1:14">
      <c r="A6048" t="s">
        <v>194</v>
      </c>
      <c r="B6048" t="s">
        <v>6151</v>
      </c>
      <c r="C6048">
        <f>"10665"</f>
        <v>0</v>
      </c>
      <c r="D6048">
        <v>0</v>
      </c>
      <c r="E6048">
        <v>0</v>
      </c>
      <c r="F6048" s="2">
        <v>0</v>
      </c>
      <c r="H6048">
        <v>0</v>
      </c>
      <c r="I6048">
        <v>0.1741125760648204</v>
      </c>
      <c r="J6048">
        <v>0</v>
      </c>
      <c r="K6048">
        <v>0</v>
      </c>
      <c r="L6048" s="2">
        <v>0</v>
      </c>
      <c r="M6048">
        <v>60.88</v>
      </c>
      <c r="N6048" t="s">
        <v>10236</v>
      </c>
    </row>
    <row r="6049" spans="1:14">
      <c r="A6049" t="s">
        <v>194</v>
      </c>
      <c r="B6049" t="s">
        <v>6152</v>
      </c>
      <c r="C6049">
        <f>"10666"</f>
        <v>0</v>
      </c>
      <c r="D6049">
        <v>0</v>
      </c>
      <c r="E6049">
        <v>0</v>
      </c>
      <c r="F6049" s="2">
        <v>0</v>
      </c>
      <c r="H6049">
        <v>0</v>
      </c>
      <c r="I6049">
        <v>0.1741125760648204</v>
      </c>
      <c r="J6049">
        <v>0</v>
      </c>
      <c r="K6049">
        <v>0</v>
      </c>
      <c r="L6049" s="2">
        <v>0</v>
      </c>
      <c r="M6049">
        <v>60.89</v>
      </c>
      <c r="N6049" t="s">
        <v>10236</v>
      </c>
    </row>
    <row r="6050" spans="1:14">
      <c r="A6050" t="s">
        <v>196</v>
      </c>
      <c r="B6050" t="s">
        <v>6153</v>
      </c>
      <c r="C6050">
        <f>"2240"</f>
        <v>0</v>
      </c>
      <c r="D6050">
        <v>0</v>
      </c>
      <c r="E6050">
        <v>0</v>
      </c>
      <c r="F6050" s="2">
        <v>0</v>
      </c>
      <c r="H6050">
        <v>0</v>
      </c>
      <c r="I6050">
        <v>0.1741125760648204</v>
      </c>
      <c r="J6050">
        <v>0</v>
      </c>
      <c r="K6050">
        <v>0</v>
      </c>
      <c r="L6050" s="2">
        <v>0</v>
      </c>
      <c r="M6050">
        <v>60.9</v>
      </c>
      <c r="N6050" t="s">
        <v>10236</v>
      </c>
    </row>
    <row r="6051" spans="1:14">
      <c r="A6051" t="s">
        <v>35</v>
      </c>
      <c r="B6051" t="s">
        <v>6154</v>
      </c>
      <c r="C6051">
        <f>"WPS284"</f>
        <v>0</v>
      </c>
      <c r="D6051">
        <v>0</v>
      </c>
      <c r="E6051">
        <v>0</v>
      </c>
      <c r="F6051" s="2">
        <v>0</v>
      </c>
      <c r="H6051">
        <v>0</v>
      </c>
      <c r="I6051">
        <v>0.1741125760648204</v>
      </c>
      <c r="J6051">
        <v>0</v>
      </c>
      <c r="K6051">
        <v>0</v>
      </c>
      <c r="L6051" s="2">
        <v>0</v>
      </c>
      <c r="M6051">
        <v>60.9</v>
      </c>
      <c r="N6051" t="s">
        <v>10236</v>
      </c>
    </row>
    <row r="6052" spans="1:14">
      <c r="A6052" t="s">
        <v>232</v>
      </c>
      <c r="B6052" t="s">
        <v>6155</v>
      </c>
      <c r="C6052">
        <f>"THAP6"</f>
        <v>0</v>
      </c>
      <c r="D6052">
        <v>0</v>
      </c>
      <c r="E6052">
        <v>0</v>
      </c>
      <c r="F6052" s="2">
        <v>0</v>
      </c>
      <c r="H6052">
        <v>0</v>
      </c>
      <c r="I6052">
        <v>0.1741125760648204</v>
      </c>
      <c r="J6052">
        <v>0</v>
      </c>
      <c r="K6052">
        <v>0</v>
      </c>
      <c r="L6052" s="2">
        <v>0</v>
      </c>
      <c r="M6052">
        <v>60.91</v>
      </c>
      <c r="N6052" t="s">
        <v>10236</v>
      </c>
    </row>
    <row r="6053" spans="1:14">
      <c r="A6053" t="s">
        <v>232</v>
      </c>
      <c r="B6053" t="s">
        <v>6156</v>
      </c>
      <c r="C6053">
        <f>"TFA6"</f>
        <v>0</v>
      </c>
      <c r="D6053">
        <v>0</v>
      </c>
      <c r="E6053">
        <v>0</v>
      </c>
      <c r="F6053" s="2">
        <v>0</v>
      </c>
      <c r="H6053">
        <v>0</v>
      </c>
      <c r="I6053">
        <v>0.1741125760648204</v>
      </c>
      <c r="J6053">
        <v>0</v>
      </c>
      <c r="K6053">
        <v>0</v>
      </c>
      <c r="L6053" s="2">
        <v>0</v>
      </c>
      <c r="M6053">
        <v>60.92</v>
      </c>
      <c r="N6053" t="s">
        <v>10236</v>
      </c>
    </row>
    <row r="6054" spans="1:14">
      <c r="A6054" t="s">
        <v>29</v>
      </c>
      <c r="B6054" t="s">
        <v>6157</v>
      </c>
      <c r="C6054">
        <f>"GLASS1"</f>
        <v>0</v>
      </c>
      <c r="D6054">
        <v>0</v>
      </c>
      <c r="E6054">
        <v>0</v>
      </c>
      <c r="F6054" s="2">
        <v>0</v>
      </c>
      <c r="H6054">
        <v>0</v>
      </c>
      <c r="I6054">
        <v>0.1741125760648204</v>
      </c>
      <c r="J6054">
        <v>0</v>
      </c>
      <c r="K6054">
        <v>0</v>
      </c>
      <c r="L6054" s="2">
        <v>0</v>
      </c>
      <c r="M6054">
        <v>60.93</v>
      </c>
      <c r="N6054" t="s">
        <v>10236</v>
      </c>
    </row>
    <row r="6055" spans="1:14">
      <c r="A6055" t="s">
        <v>25</v>
      </c>
      <c r="B6055" t="s">
        <v>6158</v>
      </c>
      <c r="C6055">
        <f>"DT04"</f>
        <v>0</v>
      </c>
      <c r="D6055">
        <v>0</v>
      </c>
      <c r="E6055">
        <v>1</v>
      </c>
      <c r="F6055" s="2">
        <v>4</v>
      </c>
      <c r="H6055">
        <v>0</v>
      </c>
      <c r="I6055">
        <v>0.1741125760648204</v>
      </c>
      <c r="J6055">
        <v>0</v>
      </c>
      <c r="K6055">
        <v>0</v>
      </c>
      <c r="L6055" s="2">
        <v>0</v>
      </c>
      <c r="M6055">
        <v>60.94</v>
      </c>
      <c r="N6055" t="s">
        <v>10236</v>
      </c>
    </row>
    <row r="6056" spans="1:14">
      <c r="A6056" t="s">
        <v>29</v>
      </c>
      <c r="B6056" t="s">
        <v>6159</v>
      </c>
      <c r="C6056">
        <f>"D25"</f>
        <v>0</v>
      </c>
      <c r="D6056">
        <v>0</v>
      </c>
      <c r="E6056">
        <v>7</v>
      </c>
      <c r="F6056" s="2">
        <v>6</v>
      </c>
      <c r="H6056">
        <v>0</v>
      </c>
      <c r="I6056">
        <v>0.1741125760648204</v>
      </c>
      <c r="J6056">
        <v>0</v>
      </c>
      <c r="K6056">
        <v>0</v>
      </c>
      <c r="L6056" s="2">
        <v>0</v>
      </c>
      <c r="M6056">
        <v>60.95</v>
      </c>
      <c r="N6056" t="s">
        <v>10236</v>
      </c>
    </row>
    <row r="6057" spans="1:14">
      <c r="A6057" t="s">
        <v>29</v>
      </c>
      <c r="B6057" t="s">
        <v>6160</v>
      </c>
      <c r="C6057">
        <f>"D500"</f>
        <v>0</v>
      </c>
      <c r="D6057">
        <v>0</v>
      </c>
      <c r="E6057">
        <v>1</v>
      </c>
      <c r="F6057" s="2">
        <v>5</v>
      </c>
      <c r="H6057">
        <v>0</v>
      </c>
      <c r="I6057">
        <v>0.1741125760648204</v>
      </c>
      <c r="J6057">
        <v>0</v>
      </c>
      <c r="K6057">
        <v>0</v>
      </c>
      <c r="L6057" s="2">
        <v>0</v>
      </c>
      <c r="M6057">
        <v>60.96</v>
      </c>
      <c r="N6057" t="s">
        <v>10236</v>
      </c>
    </row>
    <row r="6058" spans="1:14">
      <c r="A6058" t="s">
        <v>29</v>
      </c>
      <c r="B6058" t="s">
        <v>6161</v>
      </c>
      <c r="C6058">
        <f>"D100"</f>
        <v>0</v>
      </c>
      <c r="D6058">
        <v>0</v>
      </c>
      <c r="E6058">
        <v>7</v>
      </c>
      <c r="F6058" s="2">
        <v>7</v>
      </c>
      <c r="H6058">
        <v>0</v>
      </c>
      <c r="I6058">
        <v>0.1741125760648204</v>
      </c>
      <c r="J6058">
        <v>0</v>
      </c>
      <c r="K6058">
        <v>0</v>
      </c>
      <c r="L6058" s="2">
        <v>0</v>
      </c>
      <c r="M6058">
        <v>60.97</v>
      </c>
      <c r="N6058" t="s">
        <v>10236</v>
      </c>
    </row>
    <row r="6059" spans="1:14">
      <c r="A6059" t="s">
        <v>29</v>
      </c>
      <c r="B6059" t="s">
        <v>6162</v>
      </c>
      <c r="C6059">
        <f>"CNI300"</f>
        <v>0</v>
      </c>
      <c r="D6059">
        <v>0</v>
      </c>
      <c r="E6059">
        <v>4</v>
      </c>
      <c r="F6059" s="2">
        <v>5</v>
      </c>
      <c r="H6059">
        <v>0</v>
      </c>
      <c r="I6059">
        <v>0.1741125760648204</v>
      </c>
      <c r="J6059">
        <v>0</v>
      </c>
      <c r="K6059">
        <v>0</v>
      </c>
      <c r="L6059" s="2">
        <v>0</v>
      </c>
      <c r="M6059">
        <v>60.98</v>
      </c>
      <c r="N6059" t="s">
        <v>10236</v>
      </c>
    </row>
    <row r="6060" spans="1:14">
      <c r="A6060" t="s">
        <v>29</v>
      </c>
      <c r="B6060" t="s">
        <v>6163</v>
      </c>
      <c r="C6060">
        <f>"CNI200"</f>
        <v>0</v>
      </c>
      <c r="D6060">
        <v>0</v>
      </c>
      <c r="E6060">
        <v>0</v>
      </c>
      <c r="F6060" s="2">
        <v>0</v>
      </c>
      <c r="H6060">
        <v>0</v>
      </c>
      <c r="I6060">
        <v>0.1741125760648204</v>
      </c>
      <c r="J6060">
        <v>0</v>
      </c>
      <c r="K6060">
        <v>0</v>
      </c>
      <c r="L6060" s="2">
        <v>0</v>
      </c>
      <c r="M6060">
        <v>60.99</v>
      </c>
      <c r="N6060" t="s">
        <v>10236</v>
      </c>
    </row>
    <row r="6061" spans="1:14">
      <c r="A6061" t="s">
        <v>29</v>
      </c>
      <c r="B6061" t="s">
        <v>6164</v>
      </c>
      <c r="C6061">
        <f>"CNI100"</f>
        <v>0</v>
      </c>
      <c r="D6061">
        <v>0</v>
      </c>
      <c r="E6061">
        <v>0</v>
      </c>
      <c r="F6061" s="2">
        <v>0</v>
      </c>
      <c r="H6061">
        <v>0</v>
      </c>
      <c r="I6061">
        <v>0.1741125760648204</v>
      </c>
      <c r="J6061">
        <v>0</v>
      </c>
      <c r="K6061">
        <v>0</v>
      </c>
      <c r="L6061" s="2">
        <v>0</v>
      </c>
      <c r="M6061">
        <v>61</v>
      </c>
      <c r="N6061" t="s">
        <v>10236</v>
      </c>
    </row>
    <row r="6062" spans="1:14">
      <c r="A6062" t="s">
        <v>24</v>
      </c>
      <c r="B6062" t="s">
        <v>6165</v>
      </c>
      <c r="C6062">
        <f>"1376001"</f>
        <v>0</v>
      </c>
      <c r="D6062">
        <v>0</v>
      </c>
      <c r="E6062">
        <v>4</v>
      </c>
      <c r="F6062" s="2">
        <v>8</v>
      </c>
      <c r="H6062">
        <v>0</v>
      </c>
      <c r="I6062">
        <v>0.1741125760648204</v>
      </c>
      <c r="J6062">
        <v>0</v>
      </c>
      <c r="K6062">
        <v>0</v>
      </c>
      <c r="L6062" s="2">
        <v>0</v>
      </c>
      <c r="M6062">
        <v>61.01</v>
      </c>
      <c r="N6062" t="s">
        <v>10236</v>
      </c>
    </row>
    <row r="6063" spans="1:14">
      <c r="A6063" t="s">
        <v>218</v>
      </c>
      <c r="B6063" t="s">
        <v>6143</v>
      </c>
      <c r="C6063">
        <f>"BRA018"</f>
        <v>0</v>
      </c>
      <c r="D6063">
        <v>0</v>
      </c>
      <c r="E6063">
        <v>0</v>
      </c>
      <c r="F6063" s="2">
        <v>0</v>
      </c>
      <c r="H6063">
        <v>0</v>
      </c>
      <c r="I6063">
        <v>0.1741125760648204</v>
      </c>
      <c r="J6063">
        <v>0</v>
      </c>
      <c r="K6063">
        <v>0</v>
      </c>
      <c r="L6063" s="2">
        <v>0</v>
      </c>
      <c r="M6063">
        <v>61.02</v>
      </c>
      <c r="N6063" t="s">
        <v>10236</v>
      </c>
    </row>
    <row r="6064" spans="1:14">
      <c r="A6064" t="s">
        <v>35</v>
      </c>
      <c r="B6064" t="s">
        <v>6166</v>
      </c>
      <c r="C6064">
        <f>"NSD12"</f>
        <v>0</v>
      </c>
      <c r="D6064">
        <v>0</v>
      </c>
      <c r="E6064">
        <v>5</v>
      </c>
      <c r="F6064" s="2">
        <v>9</v>
      </c>
      <c r="H6064">
        <v>0</v>
      </c>
      <c r="I6064">
        <v>0.1741125760648204</v>
      </c>
      <c r="J6064">
        <v>0</v>
      </c>
      <c r="K6064">
        <v>0</v>
      </c>
      <c r="L6064" s="2">
        <v>0</v>
      </c>
      <c r="M6064">
        <v>61.02</v>
      </c>
      <c r="N6064" t="s">
        <v>10236</v>
      </c>
    </row>
    <row r="6065" spans="1:14">
      <c r="A6065" t="s">
        <v>35</v>
      </c>
      <c r="B6065" t="s">
        <v>6167</v>
      </c>
      <c r="C6065">
        <f>"2391"</f>
        <v>0</v>
      </c>
      <c r="D6065">
        <v>0</v>
      </c>
      <c r="E6065">
        <v>0</v>
      </c>
      <c r="F6065" s="2">
        <v>0</v>
      </c>
      <c r="H6065">
        <v>0</v>
      </c>
      <c r="I6065">
        <v>0.1741125760648204</v>
      </c>
      <c r="J6065">
        <v>0</v>
      </c>
      <c r="K6065">
        <v>0</v>
      </c>
      <c r="L6065" s="2">
        <v>0</v>
      </c>
      <c r="M6065">
        <v>61.03</v>
      </c>
      <c r="N6065" t="s">
        <v>10236</v>
      </c>
    </row>
    <row r="6066" spans="1:14">
      <c r="A6066" t="s">
        <v>192</v>
      </c>
      <c r="B6066" t="s">
        <v>6168</v>
      </c>
      <c r="C6066">
        <f>"B207"</f>
        <v>0</v>
      </c>
      <c r="D6066">
        <v>0</v>
      </c>
      <c r="E6066">
        <v>0</v>
      </c>
      <c r="F6066" s="2">
        <v>0</v>
      </c>
      <c r="H6066">
        <v>0</v>
      </c>
      <c r="I6066">
        <v>0.1741125760648204</v>
      </c>
      <c r="J6066">
        <v>0</v>
      </c>
      <c r="K6066">
        <v>0</v>
      </c>
      <c r="L6066" s="2">
        <v>0</v>
      </c>
      <c r="M6066">
        <v>61.04</v>
      </c>
      <c r="N6066" t="s">
        <v>10236</v>
      </c>
    </row>
    <row r="6067" spans="1:14">
      <c r="A6067" t="s">
        <v>232</v>
      </c>
      <c r="B6067" t="s">
        <v>6169</v>
      </c>
      <c r="C6067">
        <f>"TCSW"</f>
        <v>0</v>
      </c>
      <c r="D6067">
        <v>0</v>
      </c>
      <c r="E6067">
        <v>0</v>
      </c>
      <c r="F6067" s="2">
        <v>0</v>
      </c>
      <c r="H6067">
        <v>0</v>
      </c>
      <c r="I6067">
        <v>0.1741125760648204</v>
      </c>
      <c r="J6067">
        <v>0</v>
      </c>
      <c r="K6067">
        <v>0</v>
      </c>
      <c r="L6067" s="2">
        <v>0</v>
      </c>
      <c r="M6067">
        <v>61.05</v>
      </c>
      <c r="N6067" t="s">
        <v>10236</v>
      </c>
    </row>
    <row r="6068" spans="1:14">
      <c r="A6068" t="s">
        <v>35</v>
      </c>
      <c r="B6068" t="s">
        <v>6170</v>
      </c>
      <c r="C6068">
        <f>"311G"</f>
        <v>0</v>
      </c>
      <c r="D6068">
        <v>0</v>
      </c>
      <c r="E6068">
        <v>0</v>
      </c>
      <c r="F6068" s="2">
        <v>0</v>
      </c>
      <c r="H6068">
        <v>0</v>
      </c>
      <c r="I6068">
        <v>0.1741125760648204</v>
      </c>
      <c r="J6068">
        <v>0</v>
      </c>
      <c r="K6068">
        <v>0</v>
      </c>
      <c r="L6068" s="2">
        <v>0</v>
      </c>
      <c r="M6068">
        <v>61.06</v>
      </c>
      <c r="N6068" t="s">
        <v>10236</v>
      </c>
    </row>
    <row r="6069" spans="1:14">
      <c r="A6069" t="s">
        <v>35</v>
      </c>
      <c r="B6069" t="s">
        <v>6171</v>
      </c>
      <c r="C6069">
        <f>"311BE"</f>
        <v>0</v>
      </c>
      <c r="D6069">
        <v>0</v>
      </c>
      <c r="E6069">
        <v>0</v>
      </c>
      <c r="F6069" s="2">
        <v>0</v>
      </c>
      <c r="H6069">
        <v>0</v>
      </c>
      <c r="I6069">
        <v>0.1741125760648204</v>
      </c>
      <c r="J6069">
        <v>0</v>
      </c>
      <c r="K6069">
        <v>0</v>
      </c>
      <c r="L6069" s="2">
        <v>0</v>
      </c>
      <c r="M6069">
        <v>61.07</v>
      </c>
      <c r="N6069" t="s">
        <v>10236</v>
      </c>
    </row>
    <row r="6070" spans="1:14">
      <c r="A6070" t="s">
        <v>35</v>
      </c>
      <c r="B6070" t="s">
        <v>6172</v>
      </c>
      <c r="C6070">
        <f>"311A"</f>
        <v>0</v>
      </c>
      <c r="D6070">
        <v>0</v>
      </c>
      <c r="E6070">
        <v>0</v>
      </c>
      <c r="F6070" s="2">
        <v>0</v>
      </c>
      <c r="H6070">
        <v>0</v>
      </c>
      <c r="I6070">
        <v>0.1741125760648204</v>
      </c>
      <c r="J6070">
        <v>0</v>
      </c>
      <c r="K6070">
        <v>0</v>
      </c>
      <c r="L6070" s="2">
        <v>0</v>
      </c>
      <c r="M6070">
        <v>61.08</v>
      </c>
      <c r="N6070" t="s">
        <v>10236</v>
      </c>
    </row>
    <row r="6071" spans="1:14">
      <c r="A6071" t="s">
        <v>35</v>
      </c>
      <c r="B6071" t="s">
        <v>6173</v>
      </c>
      <c r="C6071">
        <f>"C104"</f>
        <v>0</v>
      </c>
      <c r="D6071">
        <v>0</v>
      </c>
      <c r="E6071">
        <v>0</v>
      </c>
      <c r="F6071" s="2">
        <v>0</v>
      </c>
      <c r="H6071">
        <v>0</v>
      </c>
      <c r="I6071">
        <v>0.1741125760648204</v>
      </c>
      <c r="J6071">
        <v>0</v>
      </c>
      <c r="K6071">
        <v>0</v>
      </c>
      <c r="L6071" s="2">
        <v>0</v>
      </c>
      <c r="M6071">
        <v>61.09</v>
      </c>
      <c r="N6071" t="s">
        <v>10236</v>
      </c>
    </row>
    <row r="6072" spans="1:14">
      <c r="A6072" t="s">
        <v>25</v>
      </c>
      <c r="B6072" t="s">
        <v>6174</v>
      </c>
      <c r="C6072">
        <f>"B500"</f>
        <v>0</v>
      </c>
      <c r="D6072">
        <v>0</v>
      </c>
      <c r="E6072">
        <v>0</v>
      </c>
      <c r="F6072" s="2">
        <v>0</v>
      </c>
      <c r="H6072">
        <v>0</v>
      </c>
      <c r="I6072">
        <v>0.1741125760648204</v>
      </c>
      <c r="J6072">
        <v>0</v>
      </c>
      <c r="K6072">
        <v>0</v>
      </c>
      <c r="L6072" s="2">
        <v>0</v>
      </c>
      <c r="M6072">
        <v>61.1</v>
      </c>
      <c r="N6072" t="s">
        <v>10236</v>
      </c>
    </row>
    <row r="6073" spans="1:14">
      <c r="A6073" t="s">
        <v>25</v>
      </c>
      <c r="B6073" t="s">
        <v>6175</v>
      </c>
      <c r="C6073">
        <f>"RJ724"</f>
        <v>0</v>
      </c>
      <c r="D6073">
        <v>0</v>
      </c>
      <c r="E6073">
        <v>1</v>
      </c>
      <c r="F6073" s="2">
        <v>1</v>
      </c>
      <c r="H6073">
        <v>0</v>
      </c>
      <c r="I6073">
        <v>0.1741125760648204</v>
      </c>
      <c r="J6073">
        <v>0</v>
      </c>
      <c r="K6073">
        <v>0</v>
      </c>
      <c r="L6073" s="2">
        <v>0</v>
      </c>
      <c r="M6073">
        <v>61.11</v>
      </c>
      <c r="N6073" t="s">
        <v>10236</v>
      </c>
    </row>
    <row r="6074" spans="1:14">
      <c r="A6074" t="s">
        <v>35</v>
      </c>
      <c r="B6074" t="s">
        <v>6176</v>
      </c>
      <c r="C6074">
        <f>"LS221V"</f>
        <v>0</v>
      </c>
      <c r="D6074">
        <v>0</v>
      </c>
      <c r="E6074">
        <v>0</v>
      </c>
      <c r="F6074" s="2">
        <v>0</v>
      </c>
      <c r="H6074">
        <v>0</v>
      </c>
      <c r="I6074">
        <v>0.1741125760648204</v>
      </c>
      <c r="J6074">
        <v>0</v>
      </c>
      <c r="K6074">
        <v>0</v>
      </c>
      <c r="L6074" s="2">
        <v>0</v>
      </c>
      <c r="M6074">
        <v>61.12</v>
      </c>
      <c r="N6074" t="s">
        <v>10236</v>
      </c>
    </row>
    <row r="6075" spans="1:14">
      <c r="A6075" t="s">
        <v>35</v>
      </c>
      <c r="B6075" t="s">
        <v>6177</v>
      </c>
      <c r="C6075">
        <f>"LS221NA"</f>
        <v>0</v>
      </c>
      <c r="D6075">
        <v>0</v>
      </c>
      <c r="E6075">
        <v>0</v>
      </c>
      <c r="F6075" s="2">
        <v>0</v>
      </c>
      <c r="H6075">
        <v>0</v>
      </c>
      <c r="I6075">
        <v>0.1741125760648204</v>
      </c>
      <c r="J6075">
        <v>0</v>
      </c>
      <c r="K6075">
        <v>0</v>
      </c>
      <c r="L6075" s="2">
        <v>0</v>
      </c>
      <c r="M6075">
        <v>61.13</v>
      </c>
      <c r="N6075" t="s">
        <v>10236</v>
      </c>
    </row>
    <row r="6076" spans="1:14">
      <c r="A6076" t="s">
        <v>35</v>
      </c>
      <c r="B6076" t="s">
        <v>6178</v>
      </c>
      <c r="C6076">
        <f>"LS221G"</f>
        <v>0</v>
      </c>
      <c r="D6076">
        <v>0</v>
      </c>
      <c r="E6076">
        <v>0</v>
      </c>
      <c r="F6076" s="2">
        <v>0</v>
      </c>
      <c r="H6076">
        <v>0</v>
      </c>
      <c r="I6076">
        <v>0.1741125760648204</v>
      </c>
      <c r="J6076">
        <v>0</v>
      </c>
      <c r="K6076">
        <v>0</v>
      </c>
      <c r="L6076" s="2">
        <v>0</v>
      </c>
      <c r="M6076">
        <v>61.13</v>
      </c>
      <c r="N6076" t="s">
        <v>10236</v>
      </c>
    </row>
    <row r="6077" spans="1:14">
      <c r="A6077" t="s">
        <v>35</v>
      </c>
      <c r="B6077" t="s">
        <v>6179</v>
      </c>
      <c r="C6077">
        <f>"LS298ROS"</f>
        <v>0</v>
      </c>
      <c r="D6077">
        <v>0</v>
      </c>
      <c r="E6077">
        <v>0</v>
      </c>
      <c r="F6077" s="2">
        <v>0</v>
      </c>
      <c r="H6077">
        <v>0</v>
      </c>
      <c r="I6077">
        <v>0.1741125760648204</v>
      </c>
      <c r="J6077">
        <v>0</v>
      </c>
      <c r="K6077">
        <v>0</v>
      </c>
      <c r="L6077" s="2">
        <v>0</v>
      </c>
      <c r="M6077">
        <v>61.14</v>
      </c>
      <c r="N6077" t="s">
        <v>10236</v>
      </c>
    </row>
    <row r="6078" spans="1:14">
      <c r="A6078" t="s">
        <v>35</v>
      </c>
      <c r="B6078" t="s">
        <v>6180</v>
      </c>
      <c r="C6078">
        <f>"LS298NA"</f>
        <v>0</v>
      </c>
      <c r="D6078">
        <v>0</v>
      </c>
      <c r="E6078">
        <v>0</v>
      </c>
      <c r="F6078" s="2">
        <v>0</v>
      </c>
      <c r="H6078">
        <v>0</v>
      </c>
      <c r="I6078">
        <v>0.1741125760648204</v>
      </c>
      <c r="J6078">
        <v>0</v>
      </c>
      <c r="K6078">
        <v>0</v>
      </c>
      <c r="L6078" s="2">
        <v>0</v>
      </c>
      <c r="M6078">
        <v>61.15</v>
      </c>
      <c r="N6078" t="s">
        <v>10236</v>
      </c>
    </row>
    <row r="6079" spans="1:14">
      <c r="A6079" t="s">
        <v>35</v>
      </c>
      <c r="B6079" t="s">
        <v>6181</v>
      </c>
      <c r="C6079">
        <f>"LS298GR"</f>
        <v>0</v>
      </c>
      <c r="D6079">
        <v>0</v>
      </c>
      <c r="E6079">
        <v>0</v>
      </c>
      <c r="F6079" s="2">
        <v>0</v>
      </c>
      <c r="H6079">
        <v>0</v>
      </c>
      <c r="I6079">
        <v>0.1741125760648204</v>
      </c>
      <c r="J6079">
        <v>0</v>
      </c>
      <c r="K6079">
        <v>0</v>
      </c>
      <c r="L6079" s="2">
        <v>0</v>
      </c>
      <c r="M6079">
        <v>61.16</v>
      </c>
      <c r="N6079" t="s">
        <v>10236</v>
      </c>
    </row>
    <row r="6080" spans="1:14">
      <c r="A6080" t="s">
        <v>35</v>
      </c>
      <c r="B6080" t="s">
        <v>6182</v>
      </c>
      <c r="C6080">
        <f>"LS298CE"</f>
        <v>0</v>
      </c>
      <c r="D6080">
        <v>0</v>
      </c>
      <c r="E6080">
        <v>0</v>
      </c>
      <c r="F6080" s="2">
        <v>0</v>
      </c>
      <c r="H6080">
        <v>0</v>
      </c>
      <c r="I6080">
        <v>0.1741125760648204</v>
      </c>
      <c r="J6080">
        <v>0</v>
      </c>
      <c r="K6080">
        <v>0</v>
      </c>
      <c r="L6080" s="2">
        <v>0</v>
      </c>
      <c r="M6080">
        <v>61.17</v>
      </c>
      <c r="N6080" t="s">
        <v>10236</v>
      </c>
    </row>
    <row r="6081" spans="1:14">
      <c r="A6081" t="s">
        <v>35</v>
      </c>
      <c r="B6081" t="s">
        <v>6183</v>
      </c>
      <c r="C6081">
        <f>"LS298"</f>
        <v>0</v>
      </c>
      <c r="D6081">
        <v>0</v>
      </c>
      <c r="E6081">
        <v>3</v>
      </c>
      <c r="F6081" s="2">
        <v>4</v>
      </c>
      <c r="H6081">
        <v>0</v>
      </c>
      <c r="I6081">
        <v>0.1741125760648204</v>
      </c>
      <c r="J6081">
        <v>0</v>
      </c>
      <c r="K6081">
        <v>0</v>
      </c>
      <c r="L6081" s="2">
        <v>0</v>
      </c>
      <c r="M6081">
        <v>61.18</v>
      </c>
      <c r="N6081" t="s">
        <v>10236</v>
      </c>
    </row>
    <row r="6082" spans="1:14">
      <c r="A6082" t="s">
        <v>232</v>
      </c>
      <c r="B6082" t="s">
        <v>6184</v>
      </c>
      <c r="C6082">
        <f>"TBA2"</f>
        <v>0</v>
      </c>
      <c r="D6082">
        <v>0</v>
      </c>
      <c r="E6082">
        <v>0</v>
      </c>
      <c r="F6082" s="2">
        <v>0</v>
      </c>
      <c r="H6082">
        <v>0</v>
      </c>
      <c r="I6082">
        <v>0.1741125760648204</v>
      </c>
      <c r="J6082">
        <v>0</v>
      </c>
      <c r="K6082">
        <v>0</v>
      </c>
      <c r="L6082" s="2">
        <v>0</v>
      </c>
      <c r="M6082">
        <v>61.19</v>
      </c>
      <c r="N6082" t="s">
        <v>10236</v>
      </c>
    </row>
    <row r="6083" spans="1:14">
      <c r="A6083" t="s">
        <v>192</v>
      </c>
      <c r="B6083" t="s">
        <v>6185</v>
      </c>
      <c r="C6083">
        <f>"890215"</f>
        <v>0</v>
      </c>
      <c r="D6083">
        <v>0</v>
      </c>
      <c r="E6083">
        <v>0</v>
      </c>
      <c r="F6083" s="2">
        <v>0</v>
      </c>
      <c r="H6083">
        <v>0</v>
      </c>
      <c r="I6083">
        <v>0.1741125760648204</v>
      </c>
      <c r="J6083">
        <v>0</v>
      </c>
      <c r="K6083">
        <v>0</v>
      </c>
      <c r="L6083" s="2">
        <v>0</v>
      </c>
      <c r="M6083">
        <v>61.2</v>
      </c>
      <c r="N6083" t="s">
        <v>10236</v>
      </c>
    </row>
    <row r="6084" spans="1:14">
      <c r="A6084" t="s">
        <v>29</v>
      </c>
      <c r="B6084" t="s">
        <v>6186</v>
      </c>
      <c r="C6084">
        <f>"BAA"</f>
        <v>0</v>
      </c>
      <c r="D6084">
        <v>0</v>
      </c>
      <c r="E6084">
        <v>0</v>
      </c>
      <c r="F6084" s="2">
        <v>0</v>
      </c>
      <c r="H6084">
        <v>0</v>
      </c>
      <c r="I6084">
        <v>0.1741125760648204</v>
      </c>
      <c r="J6084">
        <v>0</v>
      </c>
      <c r="K6084">
        <v>0</v>
      </c>
      <c r="L6084" s="2">
        <v>0</v>
      </c>
      <c r="M6084">
        <v>61.21</v>
      </c>
      <c r="N6084" t="s">
        <v>10236</v>
      </c>
    </row>
    <row r="6085" spans="1:14">
      <c r="A6085" t="s">
        <v>25</v>
      </c>
      <c r="B6085" t="s">
        <v>6187</v>
      </c>
      <c r="C6085">
        <f>"SFN1"</f>
        <v>0</v>
      </c>
      <c r="D6085">
        <v>0</v>
      </c>
      <c r="E6085">
        <v>3</v>
      </c>
      <c r="F6085" s="2">
        <v>2</v>
      </c>
      <c r="H6085">
        <v>0</v>
      </c>
      <c r="I6085">
        <v>0.1741125760648204</v>
      </c>
      <c r="J6085">
        <v>0</v>
      </c>
      <c r="K6085">
        <v>0</v>
      </c>
      <c r="L6085" s="2">
        <v>0</v>
      </c>
      <c r="M6085">
        <v>61.22</v>
      </c>
      <c r="N6085" t="s">
        <v>10236</v>
      </c>
    </row>
    <row r="6086" spans="1:14">
      <c r="A6086" t="s">
        <v>29</v>
      </c>
      <c r="B6086" t="s">
        <v>6188</v>
      </c>
      <c r="C6086">
        <f>"SAG"</f>
        <v>0</v>
      </c>
      <c r="D6086">
        <v>0</v>
      </c>
      <c r="E6086">
        <v>0</v>
      </c>
      <c r="F6086" s="2">
        <v>0</v>
      </c>
      <c r="H6086">
        <v>0</v>
      </c>
      <c r="I6086">
        <v>0.1741125760648204</v>
      </c>
      <c r="J6086">
        <v>0</v>
      </c>
      <c r="K6086">
        <v>0</v>
      </c>
      <c r="L6086" s="2">
        <v>0</v>
      </c>
      <c r="M6086">
        <v>61.23</v>
      </c>
      <c r="N6086" t="s">
        <v>10236</v>
      </c>
    </row>
    <row r="6087" spans="1:14">
      <c r="A6087" t="s">
        <v>223</v>
      </c>
      <c r="B6087" t="s">
        <v>6189</v>
      </c>
      <c r="C6087">
        <f>"3441030"</f>
        <v>0</v>
      </c>
      <c r="D6087">
        <v>0</v>
      </c>
      <c r="E6087">
        <v>0</v>
      </c>
      <c r="F6087" s="2">
        <v>0</v>
      </c>
      <c r="H6087">
        <v>0</v>
      </c>
      <c r="I6087">
        <v>0.1741125760648204</v>
      </c>
      <c r="J6087">
        <v>0</v>
      </c>
      <c r="K6087">
        <v>0</v>
      </c>
      <c r="L6087" s="2">
        <v>0</v>
      </c>
      <c r="M6087">
        <v>61.24</v>
      </c>
      <c r="N6087" t="s">
        <v>10236</v>
      </c>
    </row>
    <row r="6088" spans="1:14">
      <c r="A6088" t="s">
        <v>194</v>
      </c>
      <c r="B6088" t="s">
        <v>6190</v>
      </c>
      <c r="C6088">
        <f>"10633"</f>
        <v>0</v>
      </c>
      <c r="D6088">
        <v>0</v>
      </c>
      <c r="E6088">
        <v>0</v>
      </c>
      <c r="F6088" s="2">
        <v>0</v>
      </c>
      <c r="H6088">
        <v>0</v>
      </c>
      <c r="I6088">
        <v>0.1741125760648204</v>
      </c>
      <c r="J6088">
        <v>0</v>
      </c>
      <c r="K6088">
        <v>0</v>
      </c>
      <c r="L6088" s="2">
        <v>0</v>
      </c>
      <c r="M6088">
        <v>61.25</v>
      </c>
      <c r="N6088" t="s">
        <v>10236</v>
      </c>
    </row>
    <row r="6089" spans="1:14">
      <c r="A6089" t="s">
        <v>194</v>
      </c>
      <c r="B6089" t="s">
        <v>6191</v>
      </c>
      <c r="C6089">
        <f>"10632"</f>
        <v>0</v>
      </c>
      <c r="D6089">
        <v>0</v>
      </c>
      <c r="E6089">
        <v>0</v>
      </c>
      <c r="F6089" s="2">
        <v>0</v>
      </c>
      <c r="H6089">
        <v>0</v>
      </c>
      <c r="I6089">
        <v>0.1741125760648204</v>
      </c>
      <c r="J6089">
        <v>0</v>
      </c>
      <c r="K6089">
        <v>0</v>
      </c>
      <c r="L6089" s="2">
        <v>0</v>
      </c>
      <c r="M6089">
        <v>61.25</v>
      </c>
      <c r="N6089" t="s">
        <v>10236</v>
      </c>
    </row>
    <row r="6090" spans="1:14">
      <c r="A6090" t="s">
        <v>213</v>
      </c>
      <c r="B6090" t="s">
        <v>6192</v>
      </c>
      <c r="C6090">
        <f>"500821"</f>
        <v>0</v>
      </c>
      <c r="D6090">
        <v>0</v>
      </c>
      <c r="E6090">
        <v>3</v>
      </c>
      <c r="F6090" s="2">
        <v>4</v>
      </c>
      <c r="H6090">
        <v>0</v>
      </c>
      <c r="I6090">
        <v>0.1741125760648204</v>
      </c>
      <c r="J6090">
        <v>0</v>
      </c>
      <c r="K6090">
        <v>0</v>
      </c>
      <c r="L6090" s="2">
        <v>0</v>
      </c>
      <c r="M6090">
        <v>61.26</v>
      </c>
      <c r="N6090" t="s">
        <v>10236</v>
      </c>
    </row>
    <row r="6091" spans="1:14">
      <c r="A6091" t="s">
        <v>24</v>
      </c>
      <c r="B6091" t="s">
        <v>6193</v>
      </c>
      <c r="C6091">
        <f>"1113581"</f>
        <v>0</v>
      </c>
      <c r="D6091">
        <v>0</v>
      </c>
      <c r="E6091">
        <v>30</v>
      </c>
      <c r="F6091" s="2">
        <v>0</v>
      </c>
      <c r="H6091">
        <v>0</v>
      </c>
      <c r="I6091">
        <v>0.1741125760648204</v>
      </c>
      <c r="J6091">
        <v>0</v>
      </c>
      <c r="K6091">
        <v>0</v>
      </c>
      <c r="L6091" s="2">
        <v>0</v>
      </c>
      <c r="M6091">
        <v>61.27</v>
      </c>
      <c r="N6091" t="s">
        <v>10236</v>
      </c>
    </row>
    <row r="6092" spans="1:14">
      <c r="A6092" t="s">
        <v>24</v>
      </c>
      <c r="B6092" t="s">
        <v>6194</v>
      </c>
      <c r="C6092">
        <f>"1113561"</f>
        <v>0</v>
      </c>
      <c r="D6092">
        <v>0</v>
      </c>
      <c r="E6092">
        <v>50</v>
      </c>
      <c r="F6092" s="2">
        <v>0</v>
      </c>
      <c r="H6092">
        <v>0</v>
      </c>
      <c r="I6092">
        <v>0.1741125760648204</v>
      </c>
      <c r="J6092">
        <v>0</v>
      </c>
      <c r="K6092">
        <v>0</v>
      </c>
      <c r="L6092" s="2">
        <v>0</v>
      </c>
      <c r="M6092">
        <v>61.28</v>
      </c>
      <c r="N6092" t="s">
        <v>10236</v>
      </c>
    </row>
    <row r="6093" spans="1:14">
      <c r="A6093" t="s">
        <v>24</v>
      </c>
      <c r="B6093" t="s">
        <v>6195</v>
      </c>
      <c r="C6093">
        <f>"1113521"</f>
        <v>0</v>
      </c>
      <c r="D6093">
        <v>0</v>
      </c>
      <c r="E6093">
        <v>80</v>
      </c>
      <c r="F6093" s="2">
        <v>0</v>
      </c>
      <c r="H6093">
        <v>0</v>
      </c>
      <c r="I6093">
        <v>0.1741125760648204</v>
      </c>
      <c r="J6093">
        <v>0</v>
      </c>
      <c r="K6093">
        <v>0</v>
      </c>
      <c r="L6093" s="2">
        <v>0</v>
      </c>
      <c r="M6093">
        <v>61.29</v>
      </c>
      <c r="N6093" t="s">
        <v>10236</v>
      </c>
    </row>
    <row r="6094" spans="1:14">
      <c r="A6094" t="s">
        <v>213</v>
      </c>
      <c r="B6094" t="s">
        <v>6196</v>
      </c>
      <c r="C6094">
        <f>"500824"</f>
        <v>0</v>
      </c>
      <c r="D6094">
        <v>0</v>
      </c>
      <c r="E6094">
        <v>1</v>
      </c>
      <c r="F6094" s="2">
        <v>3</v>
      </c>
      <c r="H6094">
        <v>0</v>
      </c>
      <c r="I6094">
        <v>0.1741125760648204</v>
      </c>
      <c r="J6094">
        <v>0</v>
      </c>
      <c r="K6094">
        <v>0</v>
      </c>
      <c r="L6094" s="2">
        <v>0</v>
      </c>
      <c r="M6094">
        <v>61.3</v>
      </c>
      <c r="N6094" t="s">
        <v>10236</v>
      </c>
    </row>
    <row r="6095" spans="1:14">
      <c r="A6095" t="s">
        <v>213</v>
      </c>
      <c r="B6095" t="s">
        <v>6197</v>
      </c>
      <c r="C6095">
        <f>"500825"</f>
        <v>0</v>
      </c>
      <c r="D6095">
        <v>0</v>
      </c>
      <c r="E6095">
        <v>0</v>
      </c>
      <c r="F6095" s="2">
        <v>0</v>
      </c>
      <c r="H6095">
        <v>0</v>
      </c>
      <c r="I6095">
        <v>0.1741125760648204</v>
      </c>
      <c r="J6095">
        <v>0</v>
      </c>
      <c r="K6095">
        <v>0</v>
      </c>
      <c r="L6095" s="2">
        <v>0</v>
      </c>
      <c r="M6095">
        <v>61.31</v>
      </c>
      <c r="N6095" t="s">
        <v>10236</v>
      </c>
    </row>
    <row r="6096" spans="1:14">
      <c r="A6096" t="s">
        <v>35</v>
      </c>
      <c r="B6096" t="s">
        <v>6198</v>
      </c>
      <c r="C6096">
        <f>"6008WH"</f>
        <v>0</v>
      </c>
      <c r="D6096">
        <v>0</v>
      </c>
      <c r="E6096">
        <v>0</v>
      </c>
      <c r="F6096" s="2">
        <v>0</v>
      </c>
      <c r="H6096">
        <v>0</v>
      </c>
      <c r="I6096">
        <v>0.1741125760648204</v>
      </c>
      <c r="J6096">
        <v>0</v>
      </c>
      <c r="K6096">
        <v>0</v>
      </c>
      <c r="L6096" s="2">
        <v>0</v>
      </c>
      <c r="M6096">
        <v>61.32</v>
      </c>
      <c r="N6096" t="s">
        <v>10236</v>
      </c>
    </row>
    <row r="6097" spans="1:14">
      <c r="A6097" t="s">
        <v>35</v>
      </c>
      <c r="B6097" t="s">
        <v>6199</v>
      </c>
      <c r="C6097">
        <f>"10225"</f>
        <v>0</v>
      </c>
      <c r="D6097">
        <v>0</v>
      </c>
      <c r="E6097">
        <v>2</v>
      </c>
      <c r="F6097" s="2">
        <v>20</v>
      </c>
      <c r="H6097">
        <v>0</v>
      </c>
      <c r="I6097">
        <v>0.1741125760648204</v>
      </c>
      <c r="J6097">
        <v>0</v>
      </c>
      <c r="K6097">
        <v>0</v>
      </c>
      <c r="L6097" s="2">
        <v>0</v>
      </c>
      <c r="M6097">
        <v>61.33</v>
      </c>
      <c r="N6097" t="s">
        <v>10236</v>
      </c>
    </row>
    <row r="6098" spans="1:14">
      <c r="A6098" t="s">
        <v>25</v>
      </c>
      <c r="B6098" t="s">
        <v>6200</v>
      </c>
      <c r="C6098">
        <f>"00245"</f>
        <v>0</v>
      </c>
      <c r="D6098">
        <v>0</v>
      </c>
      <c r="E6098">
        <v>0</v>
      </c>
      <c r="F6098" s="2">
        <v>0</v>
      </c>
      <c r="H6098">
        <v>0</v>
      </c>
      <c r="I6098">
        <v>0.1741125760648204</v>
      </c>
      <c r="J6098">
        <v>0</v>
      </c>
      <c r="K6098">
        <v>0</v>
      </c>
      <c r="L6098" s="2">
        <v>0</v>
      </c>
      <c r="M6098">
        <v>61.34</v>
      </c>
      <c r="N6098" t="s">
        <v>10236</v>
      </c>
    </row>
    <row r="6099" spans="1:14">
      <c r="A6099" t="s">
        <v>194</v>
      </c>
      <c r="B6099" t="s">
        <v>6201</v>
      </c>
      <c r="C6099">
        <f>"10630"</f>
        <v>0</v>
      </c>
      <c r="D6099">
        <v>0</v>
      </c>
      <c r="E6099">
        <v>0</v>
      </c>
      <c r="F6099" s="2">
        <v>0</v>
      </c>
      <c r="H6099">
        <v>0</v>
      </c>
      <c r="I6099">
        <v>0.1741125760648204</v>
      </c>
      <c r="J6099">
        <v>0</v>
      </c>
      <c r="K6099">
        <v>0</v>
      </c>
      <c r="L6099" s="2">
        <v>0</v>
      </c>
      <c r="M6099">
        <v>61.35</v>
      </c>
      <c r="N6099" t="s">
        <v>10236</v>
      </c>
    </row>
    <row r="6100" spans="1:14">
      <c r="A6100" t="s">
        <v>194</v>
      </c>
      <c r="B6100" t="s">
        <v>6202</v>
      </c>
      <c r="C6100">
        <f>"10634"</f>
        <v>0</v>
      </c>
      <c r="D6100">
        <v>0</v>
      </c>
      <c r="E6100">
        <v>0</v>
      </c>
      <c r="F6100" s="2">
        <v>0</v>
      </c>
      <c r="H6100">
        <v>0</v>
      </c>
      <c r="I6100">
        <v>0.1741125760648204</v>
      </c>
      <c r="J6100">
        <v>0</v>
      </c>
      <c r="K6100">
        <v>0</v>
      </c>
      <c r="L6100" s="2">
        <v>0</v>
      </c>
      <c r="M6100">
        <v>61.36</v>
      </c>
      <c r="N6100" t="s">
        <v>10236</v>
      </c>
    </row>
    <row r="6101" spans="1:14">
      <c r="A6101" t="s">
        <v>196</v>
      </c>
      <c r="B6101" t="s">
        <v>6203</v>
      </c>
      <c r="C6101">
        <f>"2007"</f>
        <v>0</v>
      </c>
      <c r="D6101">
        <v>0</v>
      </c>
      <c r="E6101">
        <v>30</v>
      </c>
      <c r="F6101" s="2">
        <v>2</v>
      </c>
      <c r="H6101">
        <v>0</v>
      </c>
      <c r="I6101">
        <v>0.1741125760648204</v>
      </c>
      <c r="J6101">
        <v>0</v>
      </c>
      <c r="K6101">
        <v>0</v>
      </c>
      <c r="L6101" s="2">
        <v>0</v>
      </c>
      <c r="M6101">
        <v>61.37</v>
      </c>
      <c r="N6101" t="s">
        <v>10236</v>
      </c>
    </row>
    <row r="6102" spans="1:14">
      <c r="A6102" t="s">
        <v>30</v>
      </c>
      <c r="B6102" t="s">
        <v>6204</v>
      </c>
      <c r="C6102">
        <f>"100105"</f>
        <v>0</v>
      </c>
      <c r="D6102">
        <v>0</v>
      </c>
      <c r="E6102">
        <v>0</v>
      </c>
      <c r="F6102" s="2">
        <v>0</v>
      </c>
      <c r="H6102">
        <v>0</v>
      </c>
      <c r="I6102">
        <v>0.1741125760648204</v>
      </c>
      <c r="J6102">
        <v>0</v>
      </c>
      <c r="K6102">
        <v>0</v>
      </c>
      <c r="L6102" s="2">
        <v>0</v>
      </c>
      <c r="M6102">
        <v>61.37</v>
      </c>
      <c r="N6102" t="s">
        <v>10236</v>
      </c>
    </row>
    <row r="6103" spans="1:14">
      <c r="A6103" t="s">
        <v>30</v>
      </c>
      <c r="B6103" t="s">
        <v>6205</v>
      </c>
      <c r="C6103">
        <f>"100027"</f>
        <v>0</v>
      </c>
      <c r="D6103">
        <v>0</v>
      </c>
      <c r="E6103">
        <v>0</v>
      </c>
      <c r="F6103" s="2">
        <v>0</v>
      </c>
      <c r="H6103">
        <v>0</v>
      </c>
      <c r="I6103">
        <v>0.1741125760648204</v>
      </c>
      <c r="J6103">
        <v>0</v>
      </c>
      <c r="K6103">
        <v>0</v>
      </c>
      <c r="L6103" s="2">
        <v>0</v>
      </c>
      <c r="M6103">
        <v>61.38</v>
      </c>
      <c r="N6103" t="s">
        <v>10236</v>
      </c>
    </row>
    <row r="6104" spans="1:14">
      <c r="A6104" t="s">
        <v>35</v>
      </c>
      <c r="B6104" t="s">
        <v>6206</v>
      </c>
      <c r="C6104">
        <f>"SHP"</f>
        <v>0</v>
      </c>
      <c r="D6104">
        <v>0</v>
      </c>
      <c r="E6104">
        <v>0</v>
      </c>
      <c r="F6104" s="2">
        <v>0</v>
      </c>
      <c r="H6104">
        <v>0</v>
      </c>
      <c r="I6104">
        <v>0.1741125760648204</v>
      </c>
      <c r="J6104">
        <v>0</v>
      </c>
      <c r="K6104">
        <v>0</v>
      </c>
      <c r="L6104" s="2">
        <v>0</v>
      </c>
      <c r="M6104">
        <v>61.39</v>
      </c>
      <c r="N6104" t="s">
        <v>10236</v>
      </c>
    </row>
    <row r="6105" spans="1:14">
      <c r="A6105" t="s">
        <v>35</v>
      </c>
      <c r="B6105" t="s">
        <v>6207</v>
      </c>
      <c r="C6105">
        <f>"2300ER"</f>
        <v>0</v>
      </c>
      <c r="D6105">
        <v>0</v>
      </c>
      <c r="E6105">
        <v>0</v>
      </c>
      <c r="F6105" s="2">
        <v>0</v>
      </c>
      <c r="H6105">
        <v>0</v>
      </c>
      <c r="I6105">
        <v>0.1741125760648204</v>
      </c>
      <c r="J6105">
        <v>0</v>
      </c>
      <c r="K6105">
        <v>0</v>
      </c>
      <c r="L6105" s="2">
        <v>0</v>
      </c>
      <c r="M6105">
        <v>61.4</v>
      </c>
      <c r="N6105" t="s">
        <v>10236</v>
      </c>
    </row>
    <row r="6106" spans="1:14">
      <c r="A6106" t="s">
        <v>213</v>
      </c>
      <c r="B6106" t="s">
        <v>6208</v>
      </c>
      <c r="C6106">
        <f>"500826"</f>
        <v>0</v>
      </c>
      <c r="D6106">
        <v>0</v>
      </c>
      <c r="E6106">
        <v>0</v>
      </c>
      <c r="F6106" s="2">
        <v>0</v>
      </c>
      <c r="H6106">
        <v>0</v>
      </c>
      <c r="I6106">
        <v>0.1741125760648204</v>
      </c>
      <c r="J6106">
        <v>0</v>
      </c>
      <c r="K6106">
        <v>0</v>
      </c>
      <c r="L6106" s="2">
        <v>0</v>
      </c>
      <c r="M6106">
        <v>61.41</v>
      </c>
      <c r="N6106" t="s">
        <v>10236</v>
      </c>
    </row>
    <row r="6107" spans="1:14">
      <c r="A6107" t="s">
        <v>24</v>
      </c>
      <c r="B6107" t="s">
        <v>6209</v>
      </c>
      <c r="C6107">
        <f>"1320851"</f>
        <v>0</v>
      </c>
      <c r="D6107">
        <v>0</v>
      </c>
      <c r="E6107">
        <v>2</v>
      </c>
      <c r="F6107" s="2">
        <v>6</v>
      </c>
      <c r="H6107">
        <v>0</v>
      </c>
      <c r="I6107">
        <v>0.1741125760648204</v>
      </c>
      <c r="J6107">
        <v>0</v>
      </c>
      <c r="K6107">
        <v>0</v>
      </c>
      <c r="L6107" s="2">
        <v>0</v>
      </c>
      <c r="M6107">
        <v>61.42</v>
      </c>
      <c r="N6107" t="s">
        <v>10236</v>
      </c>
    </row>
    <row r="6108" spans="1:14">
      <c r="A6108" t="s">
        <v>35</v>
      </c>
      <c r="B6108" t="s">
        <v>6210</v>
      </c>
      <c r="C6108">
        <f>"WPS191"</f>
        <v>0</v>
      </c>
      <c r="D6108">
        <v>0</v>
      </c>
      <c r="E6108">
        <v>0</v>
      </c>
      <c r="F6108" s="2">
        <v>0</v>
      </c>
      <c r="H6108">
        <v>0</v>
      </c>
      <c r="I6108">
        <v>0.1741125760648204</v>
      </c>
      <c r="J6108">
        <v>0</v>
      </c>
      <c r="K6108">
        <v>0</v>
      </c>
      <c r="L6108" s="2">
        <v>0</v>
      </c>
      <c r="M6108">
        <v>61.43</v>
      </c>
      <c r="N6108" t="s">
        <v>10236</v>
      </c>
    </row>
    <row r="6109" spans="1:14">
      <c r="A6109" t="s">
        <v>36</v>
      </c>
      <c r="B6109" t="s">
        <v>6211</v>
      </c>
      <c r="C6109">
        <f>"1022174"</f>
        <v>0</v>
      </c>
      <c r="D6109">
        <v>0</v>
      </c>
      <c r="E6109">
        <v>0</v>
      </c>
      <c r="F6109" s="2">
        <v>0</v>
      </c>
      <c r="H6109">
        <v>0</v>
      </c>
      <c r="I6109">
        <v>0.1741125760648204</v>
      </c>
      <c r="J6109">
        <v>0</v>
      </c>
      <c r="K6109">
        <v>0</v>
      </c>
      <c r="L6109" s="2">
        <v>0</v>
      </c>
      <c r="M6109">
        <v>61.44</v>
      </c>
      <c r="N6109" t="s">
        <v>10236</v>
      </c>
    </row>
    <row r="6110" spans="1:14">
      <c r="A6110" t="s">
        <v>218</v>
      </c>
      <c r="B6110" t="s">
        <v>6212</v>
      </c>
      <c r="C6110">
        <f>"inscls0048"</f>
        <v>0</v>
      </c>
      <c r="D6110">
        <v>0</v>
      </c>
      <c r="E6110">
        <v>0</v>
      </c>
      <c r="F6110" s="2">
        <v>0</v>
      </c>
      <c r="H6110">
        <v>0</v>
      </c>
      <c r="I6110">
        <v>0.1741125760648204</v>
      </c>
      <c r="J6110">
        <v>0</v>
      </c>
      <c r="K6110">
        <v>0</v>
      </c>
      <c r="L6110" s="2">
        <v>0</v>
      </c>
      <c r="M6110">
        <v>61.45</v>
      </c>
      <c r="N6110" t="s">
        <v>10236</v>
      </c>
    </row>
    <row r="6111" spans="1:14">
      <c r="A6111" t="s">
        <v>35</v>
      </c>
      <c r="B6111" t="s">
        <v>6213</v>
      </c>
      <c r="C6111">
        <f>"2392"</f>
        <v>0</v>
      </c>
      <c r="D6111">
        <v>0</v>
      </c>
      <c r="E6111">
        <v>1</v>
      </c>
      <c r="F6111" s="2">
        <v>2</v>
      </c>
      <c r="H6111">
        <v>0</v>
      </c>
      <c r="I6111">
        <v>0.1741125760648204</v>
      </c>
      <c r="J6111">
        <v>0</v>
      </c>
      <c r="K6111">
        <v>0</v>
      </c>
      <c r="L6111" s="2">
        <v>0</v>
      </c>
      <c r="M6111">
        <v>61.46</v>
      </c>
      <c r="N6111" t="s">
        <v>10236</v>
      </c>
    </row>
    <row r="6112" spans="1:14">
      <c r="A6112" t="s">
        <v>32</v>
      </c>
      <c r="B6112" t="s">
        <v>6214</v>
      </c>
      <c r="C6112">
        <f>"ANS25"</f>
        <v>0</v>
      </c>
      <c r="D6112">
        <v>0</v>
      </c>
      <c r="E6112">
        <v>0</v>
      </c>
      <c r="F6112" s="2">
        <v>0</v>
      </c>
      <c r="H6112">
        <v>0</v>
      </c>
      <c r="I6112">
        <v>0.1741125760648204</v>
      </c>
      <c r="J6112">
        <v>0</v>
      </c>
      <c r="K6112">
        <v>0</v>
      </c>
      <c r="L6112" s="2">
        <v>0</v>
      </c>
      <c r="M6112">
        <v>61.47</v>
      </c>
      <c r="N6112" t="s">
        <v>10236</v>
      </c>
    </row>
    <row r="6113" spans="1:14">
      <c r="A6113" t="s">
        <v>35</v>
      </c>
      <c r="B6113" t="s">
        <v>6215</v>
      </c>
      <c r="C6113">
        <f>"10224"</f>
        <v>0</v>
      </c>
      <c r="D6113">
        <v>0</v>
      </c>
      <c r="E6113">
        <v>3</v>
      </c>
      <c r="F6113" s="2">
        <v>20</v>
      </c>
      <c r="H6113">
        <v>0</v>
      </c>
      <c r="I6113">
        <v>0.1741125760648204</v>
      </c>
      <c r="J6113">
        <v>0</v>
      </c>
      <c r="K6113">
        <v>0</v>
      </c>
      <c r="L6113" s="2">
        <v>0</v>
      </c>
      <c r="M6113">
        <v>61.48</v>
      </c>
      <c r="N6113" t="s">
        <v>10236</v>
      </c>
    </row>
    <row r="6114" spans="1:14">
      <c r="A6114" t="s">
        <v>25</v>
      </c>
      <c r="B6114" t="s">
        <v>6216</v>
      </c>
      <c r="C6114">
        <f>"NN02S"</f>
        <v>0</v>
      </c>
      <c r="D6114">
        <v>0</v>
      </c>
      <c r="E6114">
        <v>7</v>
      </c>
      <c r="F6114" s="2">
        <v>4</v>
      </c>
      <c r="H6114">
        <v>0</v>
      </c>
      <c r="I6114">
        <v>0.1741125760648204</v>
      </c>
      <c r="J6114">
        <v>0</v>
      </c>
      <c r="K6114">
        <v>0</v>
      </c>
      <c r="L6114" s="2">
        <v>0</v>
      </c>
      <c r="M6114">
        <v>61.49</v>
      </c>
      <c r="N6114" t="s">
        <v>10236</v>
      </c>
    </row>
    <row r="6115" spans="1:14">
      <c r="A6115" t="s">
        <v>25</v>
      </c>
      <c r="B6115" t="s">
        <v>6217</v>
      </c>
      <c r="C6115">
        <f>"NN02L"</f>
        <v>0</v>
      </c>
      <c r="D6115">
        <v>0</v>
      </c>
      <c r="E6115">
        <v>11</v>
      </c>
      <c r="F6115" s="2">
        <v>8</v>
      </c>
      <c r="H6115">
        <v>0</v>
      </c>
      <c r="I6115">
        <v>0.1741125760648204</v>
      </c>
      <c r="J6115">
        <v>0</v>
      </c>
      <c r="K6115">
        <v>0</v>
      </c>
      <c r="L6115" s="2">
        <v>0</v>
      </c>
      <c r="M6115">
        <v>61.49</v>
      </c>
      <c r="N6115" t="s">
        <v>10236</v>
      </c>
    </row>
    <row r="6116" spans="1:14">
      <c r="A6116" t="s">
        <v>29</v>
      </c>
      <c r="B6116" t="s">
        <v>6218</v>
      </c>
      <c r="C6116">
        <f>"CH88532"</f>
        <v>0</v>
      </c>
      <c r="D6116">
        <v>0</v>
      </c>
      <c r="E6116">
        <v>13</v>
      </c>
      <c r="F6116" s="2">
        <v>3</v>
      </c>
      <c r="H6116">
        <v>0</v>
      </c>
      <c r="I6116">
        <v>0.1741125760648204</v>
      </c>
      <c r="J6116">
        <v>0</v>
      </c>
      <c r="K6116">
        <v>0</v>
      </c>
      <c r="L6116" s="2">
        <v>0</v>
      </c>
      <c r="M6116">
        <v>61.5</v>
      </c>
      <c r="N6116" t="s">
        <v>10236</v>
      </c>
    </row>
    <row r="6117" spans="1:14">
      <c r="A6117" t="s">
        <v>29</v>
      </c>
      <c r="B6117" t="s">
        <v>6219</v>
      </c>
      <c r="C6117">
        <f>"B2"</f>
        <v>0</v>
      </c>
      <c r="D6117">
        <v>0</v>
      </c>
      <c r="E6117">
        <v>0</v>
      </c>
      <c r="F6117" s="2">
        <v>0</v>
      </c>
      <c r="H6117">
        <v>0</v>
      </c>
      <c r="I6117">
        <v>0.1741125760648204</v>
      </c>
      <c r="J6117">
        <v>0</v>
      </c>
      <c r="K6117">
        <v>0</v>
      </c>
      <c r="L6117" s="2">
        <v>0</v>
      </c>
      <c r="M6117">
        <v>61.51</v>
      </c>
      <c r="N6117" t="s">
        <v>10236</v>
      </c>
    </row>
    <row r="6118" spans="1:14">
      <c r="A6118" t="s">
        <v>29</v>
      </c>
      <c r="B6118" t="s">
        <v>6220</v>
      </c>
      <c r="C6118">
        <f>"CH6654"</f>
        <v>0</v>
      </c>
      <c r="D6118">
        <v>0</v>
      </c>
      <c r="E6118">
        <v>0</v>
      </c>
      <c r="F6118" s="2">
        <v>0</v>
      </c>
      <c r="H6118">
        <v>0</v>
      </c>
      <c r="I6118">
        <v>0.1741125760648204</v>
      </c>
      <c r="J6118">
        <v>0</v>
      </c>
      <c r="K6118">
        <v>0</v>
      </c>
      <c r="L6118" s="2">
        <v>0</v>
      </c>
      <c r="M6118">
        <v>61.52</v>
      </c>
      <c r="N6118" t="s">
        <v>10236</v>
      </c>
    </row>
    <row r="6119" spans="1:14">
      <c r="A6119" t="s">
        <v>223</v>
      </c>
      <c r="B6119" t="s">
        <v>6221</v>
      </c>
      <c r="C6119">
        <f>"5501419"</f>
        <v>0</v>
      </c>
      <c r="D6119">
        <v>0</v>
      </c>
      <c r="E6119">
        <v>0</v>
      </c>
      <c r="F6119" s="2">
        <v>0</v>
      </c>
      <c r="H6119">
        <v>0</v>
      </c>
      <c r="I6119">
        <v>0.1741125760648204</v>
      </c>
      <c r="J6119">
        <v>0</v>
      </c>
      <c r="K6119">
        <v>0</v>
      </c>
      <c r="L6119" s="2">
        <v>0</v>
      </c>
      <c r="M6119">
        <v>61.53</v>
      </c>
      <c r="N6119" t="s">
        <v>10236</v>
      </c>
    </row>
    <row r="6120" spans="1:14">
      <c r="A6120" t="s">
        <v>223</v>
      </c>
      <c r="B6120" t="s">
        <v>6222</v>
      </c>
      <c r="C6120">
        <f>"5501519"</f>
        <v>0</v>
      </c>
      <c r="D6120">
        <v>0</v>
      </c>
      <c r="E6120">
        <v>0</v>
      </c>
      <c r="F6120" s="2">
        <v>0</v>
      </c>
      <c r="H6120">
        <v>0</v>
      </c>
      <c r="I6120">
        <v>0.1741125760648204</v>
      </c>
      <c r="J6120">
        <v>0</v>
      </c>
      <c r="K6120">
        <v>0</v>
      </c>
      <c r="L6120" s="2">
        <v>0</v>
      </c>
      <c r="M6120">
        <v>61.54</v>
      </c>
      <c r="N6120" t="s">
        <v>10236</v>
      </c>
    </row>
    <row r="6121" spans="1:14">
      <c r="A6121" t="s">
        <v>213</v>
      </c>
      <c r="B6121" t="s">
        <v>6223</v>
      </c>
      <c r="C6121">
        <f>"500827"</f>
        <v>0</v>
      </c>
      <c r="D6121">
        <v>0</v>
      </c>
      <c r="E6121">
        <v>1</v>
      </c>
      <c r="F6121" s="2">
        <v>5</v>
      </c>
      <c r="H6121">
        <v>0</v>
      </c>
      <c r="I6121">
        <v>0.1741125760648204</v>
      </c>
      <c r="J6121">
        <v>0</v>
      </c>
      <c r="K6121">
        <v>0</v>
      </c>
      <c r="L6121" s="2">
        <v>0</v>
      </c>
      <c r="M6121">
        <v>61.55</v>
      </c>
      <c r="N6121" t="s">
        <v>10236</v>
      </c>
    </row>
    <row r="6122" spans="1:14">
      <c r="A6122" t="s">
        <v>213</v>
      </c>
      <c r="B6122" t="s">
        <v>6224</v>
      </c>
      <c r="C6122">
        <f>"402295"</f>
        <v>0</v>
      </c>
      <c r="D6122">
        <v>0</v>
      </c>
      <c r="E6122">
        <v>0</v>
      </c>
      <c r="F6122" s="2">
        <v>0</v>
      </c>
      <c r="H6122">
        <v>0</v>
      </c>
      <c r="I6122">
        <v>0.1741125760648204</v>
      </c>
      <c r="J6122">
        <v>0</v>
      </c>
      <c r="K6122">
        <v>0</v>
      </c>
      <c r="L6122" s="2">
        <v>0</v>
      </c>
      <c r="M6122">
        <v>61.56</v>
      </c>
      <c r="N6122" t="s">
        <v>10236</v>
      </c>
    </row>
    <row r="6123" spans="1:14">
      <c r="A6123" t="s">
        <v>32</v>
      </c>
      <c r="B6123" t="s">
        <v>6225</v>
      </c>
      <c r="C6123">
        <f>"5006745"</f>
        <v>0</v>
      </c>
      <c r="D6123">
        <v>0</v>
      </c>
      <c r="E6123">
        <v>10</v>
      </c>
      <c r="F6123" s="2">
        <v>4</v>
      </c>
      <c r="H6123">
        <v>0</v>
      </c>
      <c r="I6123">
        <v>0.1741125760648204</v>
      </c>
      <c r="J6123">
        <v>0</v>
      </c>
      <c r="K6123">
        <v>0</v>
      </c>
      <c r="L6123" s="2">
        <v>0</v>
      </c>
      <c r="M6123">
        <v>61.57</v>
      </c>
      <c r="N6123" t="s">
        <v>10236</v>
      </c>
    </row>
    <row r="6124" spans="1:14">
      <c r="A6124" t="s">
        <v>35</v>
      </c>
      <c r="B6124" t="s">
        <v>6226</v>
      </c>
      <c r="C6124">
        <f>"SPC"</f>
        <v>0</v>
      </c>
      <c r="D6124">
        <v>0</v>
      </c>
      <c r="E6124">
        <v>0</v>
      </c>
      <c r="F6124" s="2">
        <v>0</v>
      </c>
      <c r="H6124">
        <v>0</v>
      </c>
      <c r="I6124">
        <v>0.1741125760648204</v>
      </c>
      <c r="J6124">
        <v>0</v>
      </c>
      <c r="K6124">
        <v>0</v>
      </c>
      <c r="L6124" s="2">
        <v>0</v>
      </c>
      <c r="M6124">
        <v>61.58</v>
      </c>
      <c r="N6124" t="s">
        <v>10236</v>
      </c>
    </row>
    <row r="6125" spans="1:14">
      <c r="A6125" t="s">
        <v>196</v>
      </c>
      <c r="B6125" t="s">
        <v>6227</v>
      </c>
      <c r="C6125">
        <f>"2288"</f>
        <v>0</v>
      </c>
      <c r="D6125">
        <v>0</v>
      </c>
      <c r="E6125">
        <v>2</v>
      </c>
      <c r="F6125" s="2">
        <v>2</v>
      </c>
      <c r="H6125">
        <v>0</v>
      </c>
      <c r="I6125">
        <v>0.1741125760648204</v>
      </c>
      <c r="J6125">
        <v>0</v>
      </c>
      <c r="K6125">
        <v>0</v>
      </c>
      <c r="L6125" s="2">
        <v>0</v>
      </c>
      <c r="M6125">
        <v>61.59</v>
      </c>
      <c r="N6125" t="s">
        <v>10236</v>
      </c>
    </row>
    <row r="6126" spans="1:14">
      <c r="A6126" t="s">
        <v>196</v>
      </c>
      <c r="B6126" t="s">
        <v>6228</v>
      </c>
      <c r="C6126">
        <f>"20004"</f>
        <v>0</v>
      </c>
      <c r="D6126">
        <v>0</v>
      </c>
      <c r="E6126">
        <v>0</v>
      </c>
      <c r="F6126" s="2">
        <v>0</v>
      </c>
      <c r="H6126">
        <v>0</v>
      </c>
      <c r="I6126">
        <v>0.1741125760648204</v>
      </c>
      <c r="J6126">
        <v>0</v>
      </c>
      <c r="K6126">
        <v>0</v>
      </c>
      <c r="L6126" s="2">
        <v>0</v>
      </c>
      <c r="M6126">
        <v>61.6</v>
      </c>
      <c r="N6126" t="s">
        <v>10236</v>
      </c>
    </row>
    <row r="6127" spans="1:14">
      <c r="A6127" t="s">
        <v>196</v>
      </c>
      <c r="B6127" t="s">
        <v>6229</v>
      </c>
      <c r="C6127">
        <f>"2006"</f>
        <v>0</v>
      </c>
      <c r="D6127">
        <v>0</v>
      </c>
      <c r="E6127">
        <v>0</v>
      </c>
      <c r="F6127" s="2">
        <v>0</v>
      </c>
      <c r="H6127">
        <v>0</v>
      </c>
      <c r="I6127">
        <v>0.1741125760648204</v>
      </c>
      <c r="J6127">
        <v>0</v>
      </c>
      <c r="K6127">
        <v>0</v>
      </c>
      <c r="L6127" s="2">
        <v>0</v>
      </c>
      <c r="M6127">
        <v>61.6</v>
      </c>
      <c r="N6127" t="s">
        <v>10236</v>
      </c>
    </row>
    <row r="6128" spans="1:14">
      <c r="A6128" t="s">
        <v>29</v>
      </c>
      <c r="B6128" t="s">
        <v>6230</v>
      </c>
      <c r="C6128">
        <f>"F10025"</f>
        <v>0</v>
      </c>
      <c r="D6128">
        <v>0</v>
      </c>
      <c r="E6128">
        <v>0</v>
      </c>
      <c r="F6128" s="2">
        <v>0</v>
      </c>
      <c r="H6128">
        <v>0</v>
      </c>
      <c r="I6128">
        <v>0.1741125760648204</v>
      </c>
      <c r="J6128">
        <v>0</v>
      </c>
      <c r="K6128">
        <v>0</v>
      </c>
      <c r="L6128" s="2">
        <v>0</v>
      </c>
      <c r="M6128">
        <v>61.61</v>
      </c>
      <c r="N6128" t="s">
        <v>10236</v>
      </c>
    </row>
    <row r="6129" spans="1:14">
      <c r="A6129" t="s">
        <v>203</v>
      </c>
      <c r="B6129" t="s">
        <v>6231</v>
      </c>
      <c r="C6129">
        <f>"554525"</f>
        <v>0</v>
      </c>
      <c r="D6129">
        <v>0</v>
      </c>
      <c r="E6129">
        <v>0</v>
      </c>
      <c r="F6129" s="2">
        <v>0</v>
      </c>
      <c r="H6129">
        <v>0</v>
      </c>
      <c r="I6129">
        <v>0.1741125760648204</v>
      </c>
      <c r="J6129">
        <v>0</v>
      </c>
      <c r="K6129">
        <v>0</v>
      </c>
      <c r="L6129" s="2">
        <v>0</v>
      </c>
      <c r="M6129">
        <v>61.62</v>
      </c>
      <c r="N6129" t="s">
        <v>10236</v>
      </c>
    </row>
    <row r="6130" spans="1:14">
      <c r="A6130" t="s">
        <v>203</v>
      </c>
      <c r="B6130" t="s">
        <v>6232</v>
      </c>
      <c r="C6130">
        <f>"553715"</f>
        <v>0</v>
      </c>
      <c r="D6130">
        <v>0</v>
      </c>
      <c r="E6130">
        <v>0</v>
      </c>
      <c r="F6130" s="2">
        <v>0</v>
      </c>
      <c r="H6130">
        <v>0</v>
      </c>
      <c r="I6130">
        <v>0.1741125760648204</v>
      </c>
      <c r="J6130">
        <v>0</v>
      </c>
      <c r="K6130">
        <v>0</v>
      </c>
      <c r="L6130" s="2">
        <v>0</v>
      </c>
      <c r="M6130">
        <v>61.63</v>
      </c>
      <c r="N6130" t="s">
        <v>10236</v>
      </c>
    </row>
    <row r="6131" spans="1:14">
      <c r="A6131" t="s">
        <v>203</v>
      </c>
      <c r="B6131" t="s">
        <v>6233</v>
      </c>
      <c r="C6131">
        <f>"554915"</f>
        <v>0</v>
      </c>
      <c r="D6131">
        <v>0</v>
      </c>
      <c r="E6131">
        <v>0</v>
      </c>
      <c r="F6131" s="2">
        <v>0</v>
      </c>
      <c r="H6131">
        <v>0</v>
      </c>
      <c r="I6131">
        <v>0.1741125760648204</v>
      </c>
      <c r="J6131">
        <v>0</v>
      </c>
      <c r="K6131">
        <v>0</v>
      </c>
      <c r="L6131" s="2">
        <v>0</v>
      </c>
      <c r="M6131">
        <v>61.64</v>
      </c>
      <c r="N6131" t="s">
        <v>10236</v>
      </c>
    </row>
    <row r="6132" spans="1:14">
      <c r="A6132" t="s">
        <v>203</v>
      </c>
      <c r="B6132" t="s">
        <v>6234</v>
      </c>
      <c r="C6132">
        <f>"554925"</f>
        <v>0</v>
      </c>
      <c r="D6132">
        <v>0</v>
      </c>
      <c r="E6132">
        <v>0</v>
      </c>
      <c r="F6132" s="2">
        <v>0</v>
      </c>
      <c r="H6132">
        <v>0</v>
      </c>
      <c r="I6132">
        <v>0.1741125760648204</v>
      </c>
      <c r="J6132">
        <v>0</v>
      </c>
      <c r="K6132">
        <v>0</v>
      </c>
      <c r="L6132" s="2">
        <v>0</v>
      </c>
      <c r="M6132">
        <v>61.65</v>
      </c>
      <c r="N6132" t="s">
        <v>10236</v>
      </c>
    </row>
    <row r="6133" spans="1:14">
      <c r="A6133" t="s">
        <v>203</v>
      </c>
      <c r="B6133" t="s">
        <v>6235</v>
      </c>
      <c r="C6133">
        <f>"554905"</f>
        <v>0</v>
      </c>
      <c r="D6133">
        <v>0</v>
      </c>
      <c r="E6133">
        <v>0</v>
      </c>
      <c r="F6133" s="2">
        <v>0</v>
      </c>
      <c r="H6133">
        <v>0</v>
      </c>
      <c r="I6133">
        <v>0.1741125760648204</v>
      </c>
      <c r="J6133">
        <v>0</v>
      </c>
      <c r="K6133">
        <v>0</v>
      </c>
      <c r="L6133" s="2">
        <v>0</v>
      </c>
      <c r="M6133">
        <v>61.66</v>
      </c>
      <c r="N6133" t="s">
        <v>10236</v>
      </c>
    </row>
    <row r="6134" spans="1:14">
      <c r="A6134" t="s">
        <v>203</v>
      </c>
      <c r="B6134" t="s">
        <v>6236</v>
      </c>
      <c r="C6134">
        <f>"554725"</f>
        <v>0</v>
      </c>
      <c r="D6134">
        <v>0</v>
      </c>
      <c r="E6134">
        <v>0</v>
      </c>
      <c r="F6134" s="2">
        <v>0</v>
      </c>
      <c r="H6134">
        <v>0</v>
      </c>
      <c r="I6134">
        <v>0.1741125760648204</v>
      </c>
      <c r="J6134">
        <v>0</v>
      </c>
      <c r="K6134">
        <v>0</v>
      </c>
      <c r="L6134" s="2">
        <v>0</v>
      </c>
      <c r="M6134">
        <v>61.67</v>
      </c>
      <c r="N6134" t="s">
        <v>10236</v>
      </c>
    </row>
    <row r="6135" spans="1:14">
      <c r="A6135" t="s">
        <v>203</v>
      </c>
      <c r="B6135" t="s">
        <v>6237</v>
      </c>
      <c r="C6135">
        <f>"554705"</f>
        <v>0</v>
      </c>
      <c r="D6135">
        <v>0</v>
      </c>
      <c r="E6135">
        <v>0</v>
      </c>
      <c r="F6135" s="2">
        <v>0</v>
      </c>
      <c r="H6135">
        <v>0</v>
      </c>
      <c r="I6135">
        <v>0.1741125760648204</v>
      </c>
      <c r="J6135">
        <v>0</v>
      </c>
      <c r="K6135">
        <v>0</v>
      </c>
      <c r="L6135" s="2">
        <v>0</v>
      </c>
      <c r="M6135">
        <v>61.68</v>
      </c>
      <c r="N6135" t="s">
        <v>10236</v>
      </c>
    </row>
    <row r="6136" spans="1:14">
      <c r="A6136" t="s">
        <v>203</v>
      </c>
      <c r="B6136" t="s">
        <v>6238</v>
      </c>
      <c r="C6136">
        <f>"556225"</f>
        <v>0</v>
      </c>
      <c r="D6136">
        <v>0</v>
      </c>
      <c r="E6136">
        <v>0</v>
      </c>
      <c r="F6136" s="2">
        <v>0</v>
      </c>
      <c r="H6136">
        <v>0</v>
      </c>
      <c r="I6136">
        <v>0.1741125760648204</v>
      </c>
      <c r="J6136">
        <v>0</v>
      </c>
      <c r="K6136">
        <v>0</v>
      </c>
      <c r="L6136" s="2">
        <v>0</v>
      </c>
      <c r="M6136">
        <v>61.69</v>
      </c>
      <c r="N6136" t="s">
        <v>10236</v>
      </c>
    </row>
    <row r="6137" spans="1:14">
      <c r="A6137" t="s">
        <v>203</v>
      </c>
      <c r="B6137" t="s">
        <v>6239</v>
      </c>
      <c r="C6137">
        <f>"554625"</f>
        <v>0</v>
      </c>
      <c r="D6137">
        <v>0</v>
      </c>
      <c r="E6137">
        <v>0</v>
      </c>
      <c r="F6137" s="2">
        <v>0</v>
      </c>
      <c r="H6137">
        <v>0</v>
      </c>
      <c r="I6137">
        <v>0.1741125760648204</v>
      </c>
      <c r="J6137">
        <v>0</v>
      </c>
      <c r="K6137">
        <v>0</v>
      </c>
      <c r="L6137" s="2">
        <v>0</v>
      </c>
      <c r="M6137">
        <v>61.7</v>
      </c>
      <c r="N6137" t="s">
        <v>10236</v>
      </c>
    </row>
    <row r="6138" spans="1:14">
      <c r="A6138" t="s">
        <v>29</v>
      </c>
      <c r="B6138" t="s">
        <v>6240</v>
      </c>
      <c r="C6138">
        <f>"D10200B"</f>
        <v>0</v>
      </c>
      <c r="D6138">
        <v>0</v>
      </c>
      <c r="E6138">
        <v>1</v>
      </c>
      <c r="F6138" s="2">
        <v>2</v>
      </c>
      <c r="H6138">
        <v>0</v>
      </c>
      <c r="I6138">
        <v>0.1741125760648204</v>
      </c>
      <c r="J6138">
        <v>0</v>
      </c>
      <c r="K6138">
        <v>0</v>
      </c>
      <c r="L6138" s="2">
        <v>0</v>
      </c>
      <c r="M6138">
        <v>61.71</v>
      </c>
      <c r="N6138" t="s">
        <v>10236</v>
      </c>
    </row>
    <row r="6139" spans="1:14">
      <c r="A6139" t="s">
        <v>29</v>
      </c>
      <c r="B6139" t="s">
        <v>6241</v>
      </c>
      <c r="C6139">
        <f>"BT104"</f>
        <v>0</v>
      </c>
      <c r="D6139">
        <v>0</v>
      </c>
      <c r="E6139">
        <v>0</v>
      </c>
      <c r="F6139" s="2">
        <v>0</v>
      </c>
      <c r="H6139">
        <v>0</v>
      </c>
      <c r="I6139">
        <v>0.1741125760648204</v>
      </c>
      <c r="J6139">
        <v>0</v>
      </c>
      <c r="K6139">
        <v>0</v>
      </c>
      <c r="L6139" s="2">
        <v>0</v>
      </c>
      <c r="M6139">
        <v>61.72</v>
      </c>
      <c r="N6139" t="s">
        <v>10236</v>
      </c>
    </row>
    <row r="6140" spans="1:14">
      <c r="A6140" t="s">
        <v>214</v>
      </c>
      <c r="B6140" t="s">
        <v>6242</v>
      </c>
      <c r="C6140">
        <f>"77063"</f>
        <v>0</v>
      </c>
      <c r="D6140">
        <v>0</v>
      </c>
      <c r="E6140">
        <v>0</v>
      </c>
      <c r="F6140" s="2">
        <v>0</v>
      </c>
      <c r="H6140">
        <v>0</v>
      </c>
      <c r="I6140">
        <v>0.1741125760648204</v>
      </c>
      <c r="J6140">
        <v>0</v>
      </c>
      <c r="K6140">
        <v>0</v>
      </c>
      <c r="L6140" s="2">
        <v>0</v>
      </c>
      <c r="M6140">
        <v>61.72</v>
      </c>
      <c r="N6140" t="s">
        <v>10236</v>
      </c>
    </row>
    <row r="6141" spans="1:14">
      <c r="A6141" t="s">
        <v>35</v>
      </c>
      <c r="B6141" t="s">
        <v>6243</v>
      </c>
      <c r="C6141">
        <f>"872400"</f>
        <v>0</v>
      </c>
      <c r="D6141">
        <v>0</v>
      </c>
      <c r="E6141">
        <v>8</v>
      </c>
      <c r="F6141" s="2">
        <v>0</v>
      </c>
      <c r="H6141">
        <v>0</v>
      </c>
      <c r="I6141">
        <v>0.1741125760648204</v>
      </c>
      <c r="J6141">
        <v>0</v>
      </c>
      <c r="K6141">
        <v>0</v>
      </c>
      <c r="L6141" s="2">
        <v>0</v>
      </c>
      <c r="M6141">
        <v>61.73</v>
      </c>
      <c r="N6141" t="s">
        <v>10236</v>
      </c>
    </row>
    <row r="6142" spans="1:14">
      <c r="A6142" t="s">
        <v>32</v>
      </c>
      <c r="B6142" t="s">
        <v>6244</v>
      </c>
      <c r="C6142">
        <f>"1008748"</f>
        <v>0</v>
      </c>
      <c r="D6142">
        <v>0</v>
      </c>
      <c r="E6142">
        <v>2</v>
      </c>
      <c r="F6142" s="2">
        <v>5</v>
      </c>
      <c r="H6142">
        <v>0</v>
      </c>
      <c r="I6142">
        <v>0.1741125760648204</v>
      </c>
      <c r="J6142">
        <v>0</v>
      </c>
      <c r="K6142">
        <v>0</v>
      </c>
      <c r="L6142" s="2">
        <v>0</v>
      </c>
      <c r="M6142">
        <v>61.74</v>
      </c>
      <c r="N6142" t="s">
        <v>10236</v>
      </c>
    </row>
    <row r="6143" spans="1:14">
      <c r="A6143" t="s">
        <v>24</v>
      </c>
      <c r="B6143" t="s">
        <v>6245</v>
      </c>
      <c r="C6143">
        <f>"1589920600085"</f>
        <v>0</v>
      </c>
      <c r="D6143">
        <v>0</v>
      </c>
      <c r="E6143">
        <v>0</v>
      </c>
      <c r="F6143" s="2">
        <v>0</v>
      </c>
      <c r="H6143">
        <v>0</v>
      </c>
      <c r="I6143">
        <v>0.1741125760648204</v>
      </c>
      <c r="J6143">
        <v>0</v>
      </c>
      <c r="K6143">
        <v>0</v>
      </c>
      <c r="L6143" s="2">
        <v>0</v>
      </c>
      <c r="M6143">
        <v>61.75</v>
      </c>
      <c r="N6143" t="s">
        <v>10236</v>
      </c>
    </row>
    <row r="6144" spans="1:14">
      <c r="A6144" t="s">
        <v>38</v>
      </c>
      <c r="B6144" t="s">
        <v>6246</v>
      </c>
      <c r="C6144">
        <f>"1000773"</f>
        <v>0</v>
      </c>
      <c r="D6144">
        <v>0</v>
      </c>
      <c r="E6144">
        <v>0</v>
      </c>
      <c r="F6144" s="2">
        <v>0</v>
      </c>
      <c r="H6144">
        <v>0</v>
      </c>
      <c r="I6144">
        <v>0.1741125760648204</v>
      </c>
      <c r="J6144">
        <v>0</v>
      </c>
      <c r="K6144">
        <v>0</v>
      </c>
      <c r="L6144" s="2">
        <v>0</v>
      </c>
      <c r="M6144">
        <v>61.76</v>
      </c>
      <c r="N6144" t="s">
        <v>10236</v>
      </c>
    </row>
    <row r="6145" spans="1:14">
      <c r="A6145" t="s">
        <v>30</v>
      </c>
      <c r="B6145" t="s">
        <v>6247</v>
      </c>
      <c r="C6145">
        <f>"101092"</f>
        <v>0</v>
      </c>
      <c r="D6145">
        <v>0</v>
      </c>
      <c r="E6145">
        <v>0</v>
      </c>
      <c r="F6145" s="2">
        <v>0</v>
      </c>
      <c r="H6145">
        <v>0</v>
      </c>
      <c r="I6145">
        <v>0.1741125760648204</v>
      </c>
      <c r="J6145">
        <v>0</v>
      </c>
      <c r="K6145">
        <v>0</v>
      </c>
      <c r="L6145" s="2">
        <v>0</v>
      </c>
      <c r="M6145">
        <v>61.77</v>
      </c>
      <c r="N6145" t="s">
        <v>10236</v>
      </c>
    </row>
    <row r="6146" spans="1:14">
      <c r="A6146" t="s">
        <v>30</v>
      </c>
      <c r="B6146" t="s">
        <v>6248</v>
      </c>
      <c r="C6146">
        <f>"101091"</f>
        <v>0</v>
      </c>
      <c r="D6146">
        <v>0</v>
      </c>
      <c r="E6146">
        <v>0</v>
      </c>
      <c r="F6146" s="2">
        <v>0</v>
      </c>
      <c r="H6146">
        <v>0</v>
      </c>
      <c r="I6146">
        <v>0.1741125760648204</v>
      </c>
      <c r="J6146">
        <v>0</v>
      </c>
      <c r="K6146">
        <v>0</v>
      </c>
      <c r="L6146" s="2">
        <v>0</v>
      </c>
      <c r="M6146">
        <v>61.78</v>
      </c>
      <c r="N6146" t="s">
        <v>10236</v>
      </c>
    </row>
    <row r="6147" spans="1:14">
      <c r="A6147" t="s">
        <v>218</v>
      </c>
      <c r="B6147" t="s">
        <v>6249</v>
      </c>
      <c r="C6147">
        <f>"5002236"</f>
        <v>0</v>
      </c>
      <c r="D6147">
        <v>0</v>
      </c>
      <c r="E6147">
        <v>0</v>
      </c>
      <c r="F6147" s="2">
        <v>0</v>
      </c>
      <c r="H6147">
        <v>0</v>
      </c>
      <c r="I6147">
        <v>0.1741125760648204</v>
      </c>
      <c r="J6147">
        <v>0</v>
      </c>
      <c r="K6147">
        <v>0</v>
      </c>
      <c r="L6147" s="2">
        <v>0</v>
      </c>
      <c r="M6147">
        <v>61.79</v>
      </c>
      <c r="N6147" t="s">
        <v>10236</v>
      </c>
    </row>
    <row r="6148" spans="1:14">
      <c r="A6148" t="s">
        <v>195</v>
      </c>
      <c r="B6148" t="s">
        <v>6250</v>
      </c>
      <c r="C6148">
        <f>"25570821"</f>
        <v>0</v>
      </c>
      <c r="D6148">
        <v>0</v>
      </c>
      <c r="E6148">
        <v>0</v>
      </c>
      <c r="F6148" s="2">
        <v>0</v>
      </c>
      <c r="H6148">
        <v>0</v>
      </c>
      <c r="I6148">
        <v>0.1741125760648204</v>
      </c>
      <c r="J6148">
        <v>0</v>
      </c>
      <c r="K6148">
        <v>0</v>
      </c>
      <c r="L6148" s="2">
        <v>0</v>
      </c>
      <c r="M6148">
        <v>61.8</v>
      </c>
      <c r="N6148" t="s">
        <v>10236</v>
      </c>
    </row>
    <row r="6149" spans="1:14">
      <c r="A6149" t="s">
        <v>29</v>
      </c>
      <c r="B6149" t="s">
        <v>6251</v>
      </c>
      <c r="C6149">
        <f>"80314"</f>
        <v>0</v>
      </c>
      <c r="D6149">
        <v>0</v>
      </c>
      <c r="E6149">
        <v>0</v>
      </c>
      <c r="F6149" s="2">
        <v>0</v>
      </c>
      <c r="H6149">
        <v>0</v>
      </c>
      <c r="I6149">
        <v>0.1741125760648204</v>
      </c>
      <c r="J6149">
        <v>0</v>
      </c>
      <c r="K6149">
        <v>0</v>
      </c>
      <c r="L6149" s="2">
        <v>0</v>
      </c>
      <c r="M6149">
        <v>61.81</v>
      </c>
      <c r="N6149" t="s">
        <v>10236</v>
      </c>
    </row>
    <row r="6150" spans="1:14">
      <c r="A6150" t="s">
        <v>196</v>
      </c>
      <c r="B6150" t="s">
        <v>6252</v>
      </c>
      <c r="C6150">
        <f>"2342"</f>
        <v>0</v>
      </c>
      <c r="D6150">
        <v>0</v>
      </c>
      <c r="E6150">
        <v>0</v>
      </c>
      <c r="F6150" s="2">
        <v>0</v>
      </c>
      <c r="H6150">
        <v>0</v>
      </c>
      <c r="I6150">
        <v>0.1741125760648204</v>
      </c>
      <c r="J6150">
        <v>0</v>
      </c>
      <c r="K6150">
        <v>0</v>
      </c>
      <c r="L6150" s="2">
        <v>0</v>
      </c>
      <c r="M6150">
        <v>61.82</v>
      </c>
      <c r="N6150" t="s">
        <v>10236</v>
      </c>
    </row>
    <row r="6151" spans="1:14">
      <c r="A6151" t="s">
        <v>196</v>
      </c>
      <c r="B6151" t="s">
        <v>6253</v>
      </c>
      <c r="C6151">
        <f>"2239"</f>
        <v>0</v>
      </c>
      <c r="D6151">
        <v>0</v>
      </c>
      <c r="E6151">
        <v>0</v>
      </c>
      <c r="F6151" s="2">
        <v>0</v>
      </c>
      <c r="H6151">
        <v>0</v>
      </c>
      <c r="I6151">
        <v>0.1741125760648204</v>
      </c>
      <c r="J6151">
        <v>0</v>
      </c>
      <c r="K6151">
        <v>0</v>
      </c>
      <c r="L6151" s="2">
        <v>0</v>
      </c>
      <c r="M6151">
        <v>61.83</v>
      </c>
      <c r="N6151" t="s">
        <v>10236</v>
      </c>
    </row>
    <row r="6152" spans="1:14">
      <c r="A6152" t="s">
        <v>223</v>
      </c>
      <c r="B6152" t="s">
        <v>6254</v>
      </c>
      <c r="C6152">
        <f>"1234015"</f>
        <v>0</v>
      </c>
      <c r="D6152">
        <v>0</v>
      </c>
      <c r="E6152">
        <v>0</v>
      </c>
      <c r="F6152" s="2">
        <v>0</v>
      </c>
      <c r="H6152">
        <v>0</v>
      </c>
      <c r="I6152">
        <v>0.1741125760648204</v>
      </c>
      <c r="J6152">
        <v>0</v>
      </c>
      <c r="K6152">
        <v>0</v>
      </c>
      <c r="L6152" s="2">
        <v>0</v>
      </c>
      <c r="M6152">
        <v>61.84</v>
      </c>
      <c r="N6152" t="s">
        <v>10236</v>
      </c>
    </row>
    <row r="6153" spans="1:14">
      <c r="A6153" t="s">
        <v>25</v>
      </c>
      <c r="B6153" t="s">
        <v>6255</v>
      </c>
      <c r="C6153">
        <f>"13135455"</f>
        <v>0</v>
      </c>
      <c r="D6153">
        <v>0</v>
      </c>
      <c r="E6153">
        <v>0</v>
      </c>
      <c r="F6153" s="2">
        <v>0</v>
      </c>
      <c r="H6153">
        <v>0</v>
      </c>
      <c r="I6153">
        <v>0.1741125760648204</v>
      </c>
      <c r="J6153">
        <v>0</v>
      </c>
      <c r="K6153">
        <v>0</v>
      </c>
      <c r="L6153" s="2">
        <v>0</v>
      </c>
      <c r="M6153">
        <v>61.84</v>
      </c>
      <c r="N6153" t="s">
        <v>10236</v>
      </c>
    </row>
    <row r="6154" spans="1:14">
      <c r="A6154" t="s">
        <v>210</v>
      </c>
      <c r="B6154" t="s">
        <v>6256</v>
      </c>
      <c r="C6154">
        <f>"347016"</f>
        <v>0</v>
      </c>
      <c r="D6154">
        <v>0</v>
      </c>
      <c r="E6154">
        <v>0</v>
      </c>
      <c r="F6154" s="2">
        <v>0</v>
      </c>
      <c r="H6154">
        <v>0</v>
      </c>
      <c r="I6154">
        <v>0.1741125760648204</v>
      </c>
      <c r="J6154">
        <v>0</v>
      </c>
      <c r="K6154">
        <v>0</v>
      </c>
      <c r="L6154" s="2">
        <v>0</v>
      </c>
      <c r="M6154">
        <v>61.85</v>
      </c>
      <c r="N6154" t="s">
        <v>10236</v>
      </c>
    </row>
    <row r="6155" spans="1:14">
      <c r="A6155" t="s">
        <v>223</v>
      </c>
      <c r="B6155" t="s">
        <v>6257</v>
      </c>
      <c r="C6155">
        <f>"8166370"</f>
        <v>0</v>
      </c>
      <c r="D6155">
        <v>0</v>
      </c>
      <c r="E6155">
        <v>0</v>
      </c>
      <c r="F6155" s="2">
        <v>0</v>
      </c>
      <c r="H6155">
        <v>0</v>
      </c>
      <c r="I6155">
        <v>0.1741125760648204</v>
      </c>
      <c r="J6155">
        <v>0</v>
      </c>
      <c r="K6155">
        <v>0</v>
      </c>
      <c r="L6155" s="2">
        <v>0</v>
      </c>
      <c r="M6155">
        <v>61.86</v>
      </c>
      <c r="N6155" t="s">
        <v>10236</v>
      </c>
    </row>
    <row r="6156" spans="1:14">
      <c r="A6156" t="s">
        <v>29</v>
      </c>
      <c r="B6156" t="s">
        <v>6258</v>
      </c>
      <c r="C6156">
        <f>"CH10029"</f>
        <v>0</v>
      </c>
      <c r="D6156">
        <v>0</v>
      </c>
      <c r="E6156">
        <v>0</v>
      </c>
      <c r="F6156" s="2">
        <v>0</v>
      </c>
      <c r="H6156">
        <v>0</v>
      </c>
      <c r="I6156">
        <v>0.1741125760648204</v>
      </c>
      <c r="J6156">
        <v>0</v>
      </c>
      <c r="K6156">
        <v>0</v>
      </c>
      <c r="L6156" s="2">
        <v>0</v>
      </c>
      <c r="M6156">
        <v>61.87</v>
      </c>
      <c r="N6156" t="s">
        <v>10236</v>
      </c>
    </row>
    <row r="6157" spans="1:14">
      <c r="A6157" t="s">
        <v>29</v>
      </c>
      <c r="B6157" t="s">
        <v>6259</v>
      </c>
      <c r="C6157">
        <f>"CH5980"</f>
        <v>0</v>
      </c>
      <c r="D6157">
        <v>0</v>
      </c>
      <c r="E6157">
        <v>0</v>
      </c>
      <c r="F6157" s="2">
        <v>0</v>
      </c>
      <c r="H6157">
        <v>0</v>
      </c>
      <c r="I6157">
        <v>0.1741125760648204</v>
      </c>
      <c r="J6157">
        <v>0</v>
      </c>
      <c r="K6157">
        <v>0</v>
      </c>
      <c r="L6157" s="2">
        <v>0</v>
      </c>
      <c r="M6157">
        <v>61.88</v>
      </c>
      <c r="N6157" t="s">
        <v>10236</v>
      </c>
    </row>
    <row r="6158" spans="1:14">
      <c r="A6158" t="s">
        <v>38</v>
      </c>
      <c r="B6158" t="s">
        <v>6260</v>
      </c>
      <c r="C6158">
        <f>"1003638"</f>
        <v>0</v>
      </c>
      <c r="D6158">
        <v>0</v>
      </c>
      <c r="E6158">
        <v>0</v>
      </c>
      <c r="F6158" s="2">
        <v>0</v>
      </c>
      <c r="H6158">
        <v>0</v>
      </c>
      <c r="I6158">
        <v>0.1741125760648204</v>
      </c>
      <c r="J6158">
        <v>0</v>
      </c>
      <c r="K6158">
        <v>0</v>
      </c>
      <c r="L6158" s="2">
        <v>0</v>
      </c>
      <c r="M6158">
        <v>61.89</v>
      </c>
      <c r="N6158" t="s">
        <v>10236</v>
      </c>
    </row>
    <row r="6159" spans="1:14">
      <c r="A6159" t="s">
        <v>35</v>
      </c>
      <c r="B6159" t="s">
        <v>6261</v>
      </c>
      <c r="C6159">
        <f>"ANS26"</f>
        <v>0</v>
      </c>
      <c r="D6159">
        <v>0</v>
      </c>
      <c r="E6159">
        <v>0</v>
      </c>
      <c r="F6159" s="2">
        <v>0</v>
      </c>
      <c r="H6159">
        <v>0</v>
      </c>
      <c r="I6159">
        <v>0.1741125760648204</v>
      </c>
      <c r="J6159">
        <v>0</v>
      </c>
      <c r="K6159">
        <v>0</v>
      </c>
      <c r="L6159" s="2">
        <v>0</v>
      </c>
      <c r="M6159">
        <v>61.9</v>
      </c>
      <c r="N6159" t="s">
        <v>10236</v>
      </c>
    </row>
    <row r="6160" spans="1:14">
      <c r="A6160" t="s">
        <v>35</v>
      </c>
      <c r="B6160" t="s">
        <v>6262</v>
      </c>
      <c r="C6160">
        <f>"831250"</f>
        <v>0</v>
      </c>
      <c r="D6160">
        <v>0</v>
      </c>
      <c r="E6160">
        <v>0</v>
      </c>
      <c r="F6160" s="2">
        <v>0</v>
      </c>
      <c r="H6160">
        <v>0</v>
      </c>
      <c r="I6160">
        <v>0.1741125760648204</v>
      </c>
      <c r="J6160">
        <v>0</v>
      </c>
      <c r="K6160">
        <v>0</v>
      </c>
      <c r="L6160" s="2">
        <v>0</v>
      </c>
      <c r="M6160">
        <v>61.91</v>
      </c>
      <c r="N6160" t="s">
        <v>10236</v>
      </c>
    </row>
    <row r="6161" spans="1:14">
      <c r="A6161" t="s">
        <v>35</v>
      </c>
      <c r="B6161" t="s">
        <v>6263</v>
      </c>
      <c r="C6161">
        <f>"851350"</f>
        <v>0</v>
      </c>
      <c r="D6161">
        <v>0</v>
      </c>
      <c r="E6161">
        <v>5</v>
      </c>
      <c r="F6161" s="2">
        <v>4</v>
      </c>
      <c r="H6161">
        <v>0</v>
      </c>
      <c r="I6161">
        <v>0.1741125760648204</v>
      </c>
      <c r="J6161">
        <v>0</v>
      </c>
      <c r="K6161">
        <v>0</v>
      </c>
      <c r="L6161" s="2">
        <v>0</v>
      </c>
      <c r="M6161">
        <v>61.92</v>
      </c>
      <c r="N6161" t="s">
        <v>10236</v>
      </c>
    </row>
    <row r="6162" spans="1:14">
      <c r="A6162" t="s">
        <v>35</v>
      </c>
      <c r="B6162" t="s">
        <v>6264</v>
      </c>
      <c r="C6162">
        <f>"832250"</f>
        <v>0</v>
      </c>
      <c r="D6162">
        <v>0</v>
      </c>
      <c r="E6162">
        <v>1</v>
      </c>
      <c r="F6162" s="2">
        <v>0</v>
      </c>
      <c r="H6162">
        <v>0</v>
      </c>
      <c r="I6162">
        <v>0.1741125760648204</v>
      </c>
      <c r="J6162">
        <v>0</v>
      </c>
      <c r="K6162">
        <v>0</v>
      </c>
      <c r="L6162" s="2">
        <v>0</v>
      </c>
      <c r="M6162">
        <v>61.93</v>
      </c>
      <c r="N6162" t="s">
        <v>10236</v>
      </c>
    </row>
    <row r="6163" spans="1:14">
      <c r="A6163" t="s">
        <v>35</v>
      </c>
      <c r="B6163" t="s">
        <v>6265</v>
      </c>
      <c r="C6163">
        <f>"881300"</f>
        <v>0</v>
      </c>
      <c r="D6163">
        <v>0</v>
      </c>
      <c r="E6163">
        <v>4</v>
      </c>
      <c r="F6163" s="2">
        <v>5</v>
      </c>
      <c r="H6163">
        <v>0</v>
      </c>
      <c r="I6163">
        <v>0.1741125760648204</v>
      </c>
      <c r="J6163">
        <v>0</v>
      </c>
      <c r="K6163">
        <v>0</v>
      </c>
      <c r="L6163" s="2">
        <v>0</v>
      </c>
      <c r="M6163">
        <v>61.94</v>
      </c>
      <c r="N6163" t="s">
        <v>10236</v>
      </c>
    </row>
    <row r="6164" spans="1:14">
      <c r="A6164" t="s">
        <v>35</v>
      </c>
      <c r="B6164" t="s">
        <v>6266</v>
      </c>
      <c r="C6164">
        <f>"882300"</f>
        <v>0</v>
      </c>
      <c r="D6164">
        <v>0</v>
      </c>
      <c r="E6164">
        <v>4</v>
      </c>
      <c r="F6164" s="2">
        <v>0</v>
      </c>
      <c r="H6164">
        <v>0</v>
      </c>
      <c r="I6164">
        <v>0.1741125760648204</v>
      </c>
      <c r="J6164">
        <v>0</v>
      </c>
      <c r="K6164">
        <v>0</v>
      </c>
      <c r="L6164" s="2">
        <v>0</v>
      </c>
      <c r="M6164">
        <v>61.95</v>
      </c>
      <c r="N6164" t="s">
        <v>10236</v>
      </c>
    </row>
    <row r="6165" spans="1:14">
      <c r="A6165" t="s">
        <v>35</v>
      </c>
      <c r="B6165" t="s">
        <v>6267</v>
      </c>
      <c r="C6165">
        <f>"862350"</f>
        <v>0</v>
      </c>
      <c r="D6165">
        <v>0</v>
      </c>
      <c r="E6165">
        <v>6</v>
      </c>
      <c r="F6165" s="2">
        <v>0</v>
      </c>
      <c r="H6165">
        <v>0</v>
      </c>
      <c r="I6165">
        <v>0.1741125760648204</v>
      </c>
      <c r="J6165">
        <v>0</v>
      </c>
      <c r="K6165">
        <v>0</v>
      </c>
      <c r="L6165" s="2">
        <v>0</v>
      </c>
      <c r="M6165">
        <v>61.96</v>
      </c>
      <c r="N6165" t="s">
        <v>10236</v>
      </c>
    </row>
    <row r="6166" spans="1:14">
      <c r="A6166" t="s">
        <v>203</v>
      </c>
      <c r="B6166" t="s">
        <v>6268</v>
      </c>
      <c r="C6166">
        <f>"553015"</f>
        <v>0</v>
      </c>
      <c r="D6166">
        <v>0</v>
      </c>
      <c r="E6166">
        <v>0</v>
      </c>
      <c r="F6166" s="2">
        <v>0</v>
      </c>
      <c r="H6166">
        <v>0</v>
      </c>
      <c r="I6166">
        <v>0.1741125760648204</v>
      </c>
      <c r="J6166">
        <v>0</v>
      </c>
      <c r="K6166">
        <v>0</v>
      </c>
      <c r="L6166" s="2">
        <v>0</v>
      </c>
      <c r="M6166">
        <v>61.96</v>
      </c>
      <c r="N6166" t="s">
        <v>10236</v>
      </c>
    </row>
    <row r="6167" spans="1:14">
      <c r="A6167" t="s">
        <v>29</v>
      </c>
      <c r="B6167" t="s">
        <v>6269</v>
      </c>
      <c r="C6167">
        <f>"U124"</f>
        <v>0</v>
      </c>
      <c r="D6167">
        <v>0</v>
      </c>
      <c r="E6167">
        <v>0</v>
      </c>
      <c r="F6167" s="2">
        <v>0</v>
      </c>
      <c r="H6167">
        <v>0</v>
      </c>
      <c r="I6167">
        <v>0.1741125760648204</v>
      </c>
      <c r="J6167">
        <v>0</v>
      </c>
      <c r="K6167">
        <v>0</v>
      </c>
      <c r="L6167" s="2">
        <v>0</v>
      </c>
      <c r="M6167">
        <v>61.97</v>
      </c>
      <c r="N6167" t="s">
        <v>10236</v>
      </c>
    </row>
    <row r="6168" spans="1:14">
      <c r="A6168" t="s">
        <v>29</v>
      </c>
      <c r="B6168" t="s">
        <v>6270</v>
      </c>
      <c r="C6168">
        <f>"CH1800"</f>
        <v>0</v>
      </c>
      <c r="D6168">
        <v>0</v>
      </c>
      <c r="E6168">
        <v>0</v>
      </c>
      <c r="F6168" s="2">
        <v>0</v>
      </c>
      <c r="H6168">
        <v>0</v>
      </c>
      <c r="I6168">
        <v>0.1741125760648204</v>
      </c>
      <c r="J6168">
        <v>0</v>
      </c>
      <c r="K6168">
        <v>0</v>
      </c>
      <c r="L6168" s="2">
        <v>0</v>
      </c>
      <c r="M6168">
        <v>61.98</v>
      </c>
      <c r="N6168" t="s">
        <v>10236</v>
      </c>
    </row>
    <row r="6169" spans="1:14">
      <c r="A6169" t="s">
        <v>29</v>
      </c>
      <c r="B6169" t="s">
        <v>6271</v>
      </c>
      <c r="C6169">
        <f>"CH11814"</f>
        <v>0</v>
      </c>
      <c r="D6169">
        <v>0</v>
      </c>
      <c r="E6169">
        <v>5</v>
      </c>
      <c r="F6169" s="2">
        <v>2</v>
      </c>
      <c r="H6169">
        <v>0</v>
      </c>
      <c r="I6169">
        <v>0.1741125760648204</v>
      </c>
      <c r="J6169">
        <v>0</v>
      </c>
      <c r="K6169">
        <v>0</v>
      </c>
      <c r="L6169" s="2">
        <v>0</v>
      </c>
      <c r="M6169">
        <v>61.99</v>
      </c>
      <c r="N6169" t="s">
        <v>10236</v>
      </c>
    </row>
    <row r="6170" spans="1:14">
      <c r="A6170" t="s">
        <v>29</v>
      </c>
      <c r="B6170" t="s">
        <v>6272</v>
      </c>
      <c r="C6170">
        <f>"CH11818"</f>
        <v>0</v>
      </c>
      <c r="D6170">
        <v>0</v>
      </c>
      <c r="E6170">
        <v>2</v>
      </c>
      <c r="F6170" s="2">
        <v>3</v>
      </c>
      <c r="H6170">
        <v>0</v>
      </c>
      <c r="I6170">
        <v>0.1741125760648204</v>
      </c>
      <c r="J6170">
        <v>0</v>
      </c>
      <c r="K6170">
        <v>0</v>
      </c>
      <c r="L6170" s="2">
        <v>0</v>
      </c>
      <c r="M6170">
        <v>62</v>
      </c>
      <c r="N6170" t="s">
        <v>10236</v>
      </c>
    </row>
    <row r="6171" spans="1:14">
      <c r="A6171" t="s">
        <v>29</v>
      </c>
      <c r="B6171" t="s">
        <v>6273</v>
      </c>
      <c r="C6171">
        <f>"CH1817"</f>
        <v>0</v>
      </c>
      <c r="D6171">
        <v>0</v>
      </c>
      <c r="E6171">
        <v>0</v>
      </c>
      <c r="F6171" s="2">
        <v>0</v>
      </c>
      <c r="H6171">
        <v>0</v>
      </c>
      <c r="I6171">
        <v>0.1741125760648204</v>
      </c>
      <c r="J6171">
        <v>0</v>
      </c>
      <c r="K6171">
        <v>0</v>
      </c>
      <c r="L6171" s="2">
        <v>0</v>
      </c>
      <c r="M6171">
        <v>62.01</v>
      </c>
      <c r="N6171" t="s">
        <v>10236</v>
      </c>
    </row>
    <row r="6172" spans="1:14">
      <c r="A6172" t="s">
        <v>29</v>
      </c>
      <c r="B6172" t="s">
        <v>6274</v>
      </c>
      <c r="C6172">
        <f>"CH55502A"</f>
        <v>0</v>
      </c>
      <c r="D6172">
        <v>0</v>
      </c>
      <c r="E6172">
        <v>3</v>
      </c>
      <c r="F6172" s="2">
        <v>4</v>
      </c>
      <c r="H6172">
        <v>0</v>
      </c>
      <c r="I6172">
        <v>0.1741125760648204</v>
      </c>
      <c r="J6172">
        <v>0</v>
      </c>
      <c r="K6172">
        <v>0</v>
      </c>
      <c r="L6172" s="2">
        <v>0</v>
      </c>
      <c r="M6172">
        <v>62.02</v>
      </c>
      <c r="N6172" t="s">
        <v>10236</v>
      </c>
    </row>
    <row r="6173" spans="1:14">
      <c r="A6173" t="s">
        <v>29</v>
      </c>
      <c r="B6173" t="s">
        <v>6275</v>
      </c>
      <c r="C6173">
        <f>"CH4602S"</f>
        <v>0</v>
      </c>
      <c r="D6173">
        <v>0</v>
      </c>
      <c r="E6173">
        <v>0</v>
      </c>
      <c r="F6173" s="2">
        <v>0</v>
      </c>
      <c r="H6173">
        <v>0</v>
      </c>
      <c r="I6173">
        <v>0.1741125760648204</v>
      </c>
      <c r="J6173">
        <v>0</v>
      </c>
      <c r="K6173">
        <v>0</v>
      </c>
      <c r="L6173" s="2">
        <v>0</v>
      </c>
      <c r="M6173">
        <v>62.03</v>
      </c>
      <c r="N6173" t="s">
        <v>10236</v>
      </c>
    </row>
    <row r="6174" spans="1:14">
      <c r="A6174" t="s">
        <v>29</v>
      </c>
      <c r="B6174" t="s">
        <v>6276</v>
      </c>
      <c r="C6174">
        <f>"DR0817S"</f>
        <v>0</v>
      </c>
      <c r="D6174">
        <v>0</v>
      </c>
      <c r="E6174">
        <v>2</v>
      </c>
      <c r="F6174" s="2">
        <v>22</v>
      </c>
      <c r="H6174">
        <v>0</v>
      </c>
      <c r="I6174">
        <v>0.1741125760648204</v>
      </c>
      <c r="J6174">
        <v>0</v>
      </c>
      <c r="K6174">
        <v>0</v>
      </c>
      <c r="L6174" s="2">
        <v>0</v>
      </c>
      <c r="M6174">
        <v>62.04</v>
      </c>
      <c r="N6174" t="s">
        <v>10236</v>
      </c>
    </row>
    <row r="6175" spans="1:14">
      <c r="A6175" t="s">
        <v>38</v>
      </c>
      <c r="B6175" t="s">
        <v>6277</v>
      </c>
      <c r="C6175">
        <f>"1003640"</f>
        <v>0</v>
      </c>
      <c r="D6175">
        <v>0</v>
      </c>
      <c r="E6175">
        <v>8</v>
      </c>
      <c r="F6175" s="2">
        <v>2</v>
      </c>
      <c r="H6175">
        <v>0</v>
      </c>
      <c r="I6175">
        <v>0.1741125760648204</v>
      </c>
      <c r="J6175">
        <v>0</v>
      </c>
      <c r="K6175">
        <v>0</v>
      </c>
      <c r="L6175" s="2">
        <v>0</v>
      </c>
      <c r="M6175">
        <v>62.05</v>
      </c>
      <c r="N6175" t="s">
        <v>10236</v>
      </c>
    </row>
    <row r="6176" spans="1:14">
      <c r="A6176" t="s">
        <v>32</v>
      </c>
      <c r="B6176" t="s">
        <v>6278</v>
      </c>
      <c r="C6176">
        <f>"PCE18"</f>
        <v>0</v>
      </c>
      <c r="D6176">
        <v>0</v>
      </c>
      <c r="E6176">
        <v>0</v>
      </c>
      <c r="F6176" s="2">
        <v>0</v>
      </c>
      <c r="H6176">
        <v>0</v>
      </c>
      <c r="I6176">
        <v>0.1741125760648204</v>
      </c>
      <c r="J6176">
        <v>0</v>
      </c>
      <c r="K6176">
        <v>0</v>
      </c>
      <c r="L6176" s="2">
        <v>0</v>
      </c>
      <c r="M6176">
        <v>62.06</v>
      </c>
      <c r="N6176" t="s">
        <v>10236</v>
      </c>
    </row>
    <row r="6177" spans="1:14">
      <c r="A6177" t="s">
        <v>35</v>
      </c>
      <c r="B6177" t="s">
        <v>6279</v>
      </c>
      <c r="C6177">
        <f>"ANS14"</f>
        <v>0</v>
      </c>
      <c r="D6177">
        <v>0</v>
      </c>
      <c r="E6177">
        <v>0</v>
      </c>
      <c r="F6177" s="2">
        <v>0</v>
      </c>
      <c r="H6177">
        <v>0</v>
      </c>
      <c r="I6177">
        <v>0.1741125760648204</v>
      </c>
      <c r="J6177">
        <v>0</v>
      </c>
      <c r="K6177">
        <v>0</v>
      </c>
      <c r="L6177" s="2">
        <v>0</v>
      </c>
      <c r="M6177">
        <v>62.07</v>
      </c>
      <c r="N6177" t="s">
        <v>10236</v>
      </c>
    </row>
    <row r="6178" spans="1:14">
      <c r="A6178" t="s">
        <v>35</v>
      </c>
      <c r="B6178" t="s">
        <v>6280</v>
      </c>
      <c r="C6178">
        <f>"ANS13"</f>
        <v>0</v>
      </c>
      <c r="D6178">
        <v>0</v>
      </c>
      <c r="E6178">
        <v>0</v>
      </c>
      <c r="F6178" s="2">
        <v>0</v>
      </c>
      <c r="H6178">
        <v>0</v>
      </c>
      <c r="I6178">
        <v>0.1741125760648204</v>
      </c>
      <c r="J6178">
        <v>0</v>
      </c>
      <c r="K6178">
        <v>0</v>
      </c>
      <c r="L6178" s="2">
        <v>0</v>
      </c>
      <c r="M6178">
        <v>62.08</v>
      </c>
      <c r="N6178" t="s">
        <v>10236</v>
      </c>
    </row>
    <row r="6179" spans="1:14">
      <c r="A6179" t="s">
        <v>35</v>
      </c>
      <c r="B6179" t="s">
        <v>6281</v>
      </c>
      <c r="C6179">
        <f>"ANS12"</f>
        <v>0</v>
      </c>
      <c r="D6179">
        <v>0</v>
      </c>
      <c r="E6179">
        <v>0</v>
      </c>
      <c r="F6179" s="2">
        <v>0</v>
      </c>
      <c r="H6179">
        <v>0</v>
      </c>
      <c r="I6179">
        <v>0.1741125760648204</v>
      </c>
      <c r="J6179">
        <v>0</v>
      </c>
      <c r="K6179">
        <v>0</v>
      </c>
      <c r="L6179" s="2">
        <v>0</v>
      </c>
      <c r="M6179">
        <v>62.08</v>
      </c>
      <c r="N6179" t="s">
        <v>10236</v>
      </c>
    </row>
    <row r="6180" spans="1:14">
      <c r="A6180" t="s">
        <v>32</v>
      </c>
      <c r="B6180" t="s">
        <v>6282</v>
      </c>
      <c r="C6180">
        <f>"PCE19"</f>
        <v>0</v>
      </c>
      <c r="D6180">
        <v>0</v>
      </c>
      <c r="E6180">
        <v>0</v>
      </c>
      <c r="F6180" s="2">
        <v>0</v>
      </c>
      <c r="H6180">
        <v>0</v>
      </c>
      <c r="I6180">
        <v>0.1741125760648204</v>
      </c>
      <c r="J6180">
        <v>0</v>
      </c>
      <c r="K6180">
        <v>0</v>
      </c>
      <c r="L6180" s="2">
        <v>0</v>
      </c>
      <c r="M6180">
        <v>62.09</v>
      </c>
      <c r="N6180" t="s">
        <v>10236</v>
      </c>
    </row>
    <row r="6181" spans="1:14">
      <c r="A6181" t="s">
        <v>32</v>
      </c>
      <c r="B6181" t="s">
        <v>6283</v>
      </c>
      <c r="C6181">
        <f>"PCE22"</f>
        <v>0</v>
      </c>
      <c r="D6181">
        <v>0</v>
      </c>
      <c r="E6181">
        <v>0</v>
      </c>
      <c r="F6181" s="2">
        <v>0</v>
      </c>
      <c r="H6181">
        <v>0</v>
      </c>
      <c r="I6181">
        <v>0.1741125760648204</v>
      </c>
      <c r="J6181">
        <v>0</v>
      </c>
      <c r="K6181">
        <v>0</v>
      </c>
      <c r="L6181" s="2">
        <v>0</v>
      </c>
      <c r="M6181">
        <v>62.1</v>
      </c>
      <c r="N6181" t="s">
        <v>10236</v>
      </c>
    </row>
    <row r="6182" spans="1:14">
      <c r="A6182" t="s">
        <v>195</v>
      </c>
      <c r="B6182" t="s">
        <v>6284</v>
      </c>
      <c r="C6182">
        <f>"25702366"</f>
        <v>0</v>
      </c>
      <c r="D6182">
        <v>0</v>
      </c>
      <c r="E6182">
        <v>0</v>
      </c>
      <c r="F6182" s="2">
        <v>0</v>
      </c>
      <c r="H6182">
        <v>0</v>
      </c>
      <c r="I6182">
        <v>0.1741125760648204</v>
      </c>
      <c r="J6182">
        <v>0</v>
      </c>
      <c r="K6182">
        <v>0</v>
      </c>
      <c r="L6182" s="2">
        <v>0</v>
      </c>
      <c r="M6182">
        <v>62.11</v>
      </c>
      <c r="N6182" t="s">
        <v>10236</v>
      </c>
    </row>
    <row r="6183" spans="1:14">
      <c r="A6183" t="s">
        <v>195</v>
      </c>
      <c r="B6183" t="s">
        <v>6285</v>
      </c>
      <c r="C6183">
        <f>"25702367"</f>
        <v>0</v>
      </c>
      <c r="D6183">
        <v>0</v>
      </c>
      <c r="E6183">
        <v>0</v>
      </c>
      <c r="F6183" s="2">
        <v>0</v>
      </c>
      <c r="H6183">
        <v>0</v>
      </c>
      <c r="I6183">
        <v>0.1741125760648204</v>
      </c>
      <c r="J6183">
        <v>0</v>
      </c>
      <c r="K6183">
        <v>0</v>
      </c>
      <c r="L6183" s="2">
        <v>0</v>
      </c>
      <c r="M6183">
        <v>62.12</v>
      </c>
      <c r="N6183" t="s">
        <v>10236</v>
      </c>
    </row>
    <row r="6184" spans="1:14">
      <c r="A6184" t="s">
        <v>218</v>
      </c>
      <c r="B6184" t="s">
        <v>6286</v>
      </c>
      <c r="C6184">
        <f>"1019754"</f>
        <v>0</v>
      </c>
      <c r="D6184">
        <v>0</v>
      </c>
      <c r="E6184">
        <v>0</v>
      </c>
      <c r="F6184" s="2">
        <v>0</v>
      </c>
      <c r="H6184">
        <v>0</v>
      </c>
      <c r="I6184">
        <v>0.1741125760648204</v>
      </c>
      <c r="J6184">
        <v>0</v>
      </c>
      <c r="K6184">
        <v>0</v>
      </c>
      <c r="L6184" s="2">
        <v>0</v>
      </c>
      <c r="M6184">
        <v>62.13</v>
      </c>
      <c r="N6184" t="s">
        <v>10236</v>
      </c>
    </row>
    <row r="6185" spans="1:14">
      <c r="A6185" t="s">
        <v>218</v>
      </c>
      <c r="B6185" t="s">
        <v>6287</v>
      </c>
      <c r="C6185">
        <f>"5002237"</f>
        <v>0</v>
      </c>
      <c r="D6185">
        <v>0</v>
      </c>
      <c r="E6185">
        <v>0</v>
      </c>
      <c r="F6185" s="2">
        <v>0</v>
      </c>
      <c r="H6185">
        <v>0</v>
      </c>
      <c r="I6185">
        <v>0.1741125760648204</v>
      </c>
      <c r="J6185">
        <v>0</v>
      </c>
      <c r="K6185">
        <v>0</v>
      </c>
      <c r="L6185" s="2">
        <v>0</v>
      </c>
      <c r="M6185">
        <v>62.14</v>
      </c>
      <c r="N6185" t="s">
        <v>10236</v>
      </c>
    </row>
    <row r="6186" spans="1:14">
      <c r="A6186" t="s">
        <v>218</v>
      </c>
      <c r="B6186" t="s">
        <v>6288</v>
      </c>
      <c r="C6186">
        <f>"5002238"</f>
        <v>0</v>
      </c>
      <c r="D6186">
        <v>0</v>
      </c>
      <c r="E6186">
        <v>0</v>
      </c>
      <c r="F6186" s="2">
        <v>0</v>
      </c>
      <c r="H6186">
        <v>0</v>
      </c>
      <c r="I6186">
        <v>0.1741125760648204</v>
      </c>
      <c r="J6186">
        <v>0</v>
      </c>
      <c r="K6186">
        <v>0</v>
      </c>
      <c r="L6186" s="2">
        <v>0</v>
      </c>
      <c r="M6186">
        <v>62.15</v>
      </c>
      <c r="N6186" t="s">
        <v>10236</v>
      </c>
    </row>
    <row r="6187" spans="1:14">
      <c r="A6187" t="s">
        <v>223</v>
      </c>
      <c r="B6187" t="s">
        <v>6289</v>
      </c>
      <c r="C6187">
        <f>"10145241"</f>
        <v>0</v>
      </c>
      <c r="D6187">
        <v>0</v>
      </c>
      <c r="E6187">
        <v>0</v>
      </c>
      <c r="F6187" s="2">
        <v>0</v>
      </c>
      <c r="H6187">
        <v>0</v>
      </c>
      <c r="I6187">
        <v>0.1741125760648204</v>
      </c>
      <c r="J6187">
        <v>0</v>
      </c>
      <c r="K6187">
        <v>0</v>
      </c>
      <c r="L6187" s="2">
        <v>0</v>
      </c>
      <c r="M6187">
        <v>62.16</v>
      </c>
      <c r="N6187" t="s">
        <v>10236</v>
      </c>
    </row>
    <row r="6188" spans="1:14">
      <c r="A6188" t="s">
        <v>223</v>
      </c>
      <c r="B6188" t="s">
        <v>6290</v>
      </c>
      <c r="C6188">
        <f>"5630015"</f>
        <v>0</v>
      </c>
      <c r="D6188">
        <v>0</v>
      </c>
      <c r="E6188">
        <v>0</v>
      </c>
      <c r="F6188" s="2">
        <v>0</v>
      </c>
      <c r="H6188">
        <v>0</v>
      </c>
      <c r="I6188">
        <v>0.1741125760648204</v>
      </c>
      <c r="J6188">
        <v>0</v>
      </c>
      <c r="K6188">
        <v>0</v>
      </c>
      <c r="L6188" s="2">
        <v>0</v>
      </c>
      <c r="M6188">
        <v>62.17</v>
      </c>
      <c r="N6188" t="s">
        <v>10236</v>
      </c>
    </row>
    <row r="6189" spans="1:14">
      <c r="A6189" t="s">
        <v>35</v>
      </c>
      <c r="B6189" t="s">
        <v>6291</v>
      </c>
      <c r="C6189">
        <f>"FP1107"</f>
        <v>0</v>
      </c>
      <c r="D6189">
        <v>0</v>
      </c>
      <c r="E6189">
        <v>0</v>
      </c>
      <c r="F6189" s="2">
        <v>0</v>
      </c>
      <c r="H6189">
        <v>0</v>
      </c>
      <c r="I6189">
        <v>0.1741125760648204</v>
      </c>
      <c r="J6189">
        <v>0</v>
      </c>
      <c r="K6189">
        <v>0</v>
      </c>
      <c r="L6189" s="2">
        <v>0</v>
      </c>
      <c r="M6189">
        <v>62.18</v>
      </c>
      <c r="N6189" t="s">
        <v>10236</v>
      </c>
    </row>
    <row r="6190" spans="1:14">
      <c r="A6190" t="s">
        <v>30</v>
      </c>
      <c r="B6190" t="s">
        <v>6292</v>
      </c>
      <c r="C6190">
        <f>"101094"</f>
        <v>0</v>
      </c>
      <c r="D6190">
        <v>0</v>
      </c>
      <c r="E6190">
        <v>0</v>
      </c>
      <c r="F6190" s="2">
        <v>0</v>
      </c>
      <c r="H6190">
        <v>0</v>
      </c>
      <c r="I6190">
        <v>0.1741125760648204</v>
      </c>
      <c r="J6190">
        <v>0</v>
      </c>
      <c r="K6190">
        <v>0</v>
      </c>
      <c r="L6190" s="2">
        <v>0</v>
      </c>
      <c r="M6190">
        <v>62.19</v>
      </c>
      <c r="N6190" t="s">
        <v>10236</v>
      </c>
    </row>
    <row r="6191" spans="1:14">
      <c r="A6191" t="s">
        <v>25</v>
      </c>
      <c r="B6191" t="s">
        <v>6293</v>
      </c>
      <c r="C6191">
        <f>"LN898JIBIA"</f>
        <v>0</v>
      </c>
      <c r="D6191">
        <v>0</v>
      </c>
      <c r="E6191">
        <v>2</v>
      </c>
      <c r="F6191" s="2">
        <v>2</v>
      </c>
      <c r="H6191">
        <v>0</v>
      </c>
      <c r="I6191">
        <v>0.1741125760648204</v>
      </c>
      <c r="J6191">
        <v>0</v>
      </c>
      <c r="K6191">
        <v>0</v>
      </c>
      <c r="L6191" s="2">
        <v>0</v>
      </c>
      <c r="M6191">
        <v>62.19</v>
      </c>
      <c r="N6191" t="s">
        <v>10236</v>
      </c>
    </row>
    <row r="6192" spans="1:14">
      <c r="A6192" t="s">
        <v>25</v>
      </c>
      <c r="B6192" t="s">
        <v>6294</v>
      </c>
      <c r="C6192">
        <f>"LN4131JIBIA"</f>
        <v>0</v>
      </c>
      <c r="D6192">
        <v>0</v>
      </c>
      <c r="E6192">
        <v>0</v>
      </c>
      <c r="F6192" s="2">
        <v>0</v>
      </c>
      <c r="H6192">
        <v>0</v>
      </c>
      <c r="I6192">
        <v>0.1741125760648204</v>
      </c>
      <c r="J6192">
        <v>0</v>
      </c>
      <c r="K6192">
        <v>0</v>
      </c>
      <c r="L6192" s="2">
        <v>0</v>
      </c>
      <c r="M6192">
        <v>62.2</v>
      </c>
      <c r="N6192" t="s">
        <v>10236</v>
      </c>
    </row>
    <row r="6193" spans="1:14">
      <c r="A6193" t="s">
        <v>25</v>
      </c>
      <c r="B6193" t="s">
        <v>6295</v>
      </c>
      <c r="C6193">
        <f>"LN933"</f>
        <v>0</v>
      </c>
      <c r="D6193">
        <v>0</v>
      </c>
      <c r="E6193">
        <v>0</v>
      </c>
      <c r="F6193" s="2">
        <v>0</v>
      </c>
      <c r="H6193">
        <v>0</v>
      </c>
      <c r="I6193">
        <v>0.1741125760648204</v>
      </c>
      <c r="J6193">
        <v>0</v>
      </c>
      <c r="K6193">
        <v>0</v>
      </c>
      <c r="L6193" s="2">
        <v>0</v>
      </c>
      <c r="M6193">
        <v>62.21</v>
      </c>
      <c r="N6193" t="s">
        <v>10236</v>
      </c>
    </row>
    <row r="6194" spans="1:14">
      <c r="A6194" t="s">
        <v>35</v>
      </c>
      <c r="B6194" t="s">
        <v>6296</v>
      </c>
      <c r="C6194">
        <f>"AJ20"</f>
        <v>0</v>
      </c>
      <c r="D6194">
        <v>0</v>
      </c>
      <c r="E6194">
        <v>0</v>
      </c>
      <c r="F6194" s="2">
        <v>0</v>
      </c>
      <c r="H6194">
        <v>0</v>
      </c>
      <c r="I6194">
        <v>0.1741125760648204</v>
      </c>
      <c r="J6194">
        <v>0</v>
      </c>
      <c r="K6194">
        <v>0</v>
      </c>
      <c r="L6194" s="2">
        <v>0</v>
      </c>
      <c r="M6194">
        <v>62.22</v>
      </c>
      <c r="N6194" t="s">
        <v>10236</v>
      </c>
    </row>
    <row r="6195" spans="1:14">
      <c r="A6195" t="s">
        <v>29</v>
      </c>
      <c r="B6195" t="s">
        <v>6297</v>
      </c>
      <c r="C6195">
        <f>"U708B"</f>
        <v>0</v>
      </c>
      <c r="D6195">
        <v>0</v>
      </c>
      <c r="E6195">
        <v>12</v>
      </c>
      <c r="F6195" s="2">
        <v>7</v>
      </c>
      <c r="H6195">
        <v>0</v>
      </c>
      <c r="I6195">
        <v>0.1741125760648204</v>
      </c>
      <c r="J6195">
        <v>0</v>
      </c>
      <c r="K6195">
        <v>0</v>
      </c>
      <c r="L6195" s="2">
        <v>0</v>
      </c>
      <c r="M6195">
        <v>62.23</v>
      </c>
      <c r="N6195" t="s">
        <v>10236</v>
      </c>
    </row>
    <row r="6196" spans="1:14">
      <c r="A6196" t="s">
        <v>32</v>
      </c>
      <c r="B6196" t="s">
        <v>6298</v>
      </c>
      <c r="C6196">
        <f>"1010270"</f>
        <v>0</v>
      </c>
      <c r="D6196">
        <v>0</v>
      </c>
      <c r="E6196">
        <v>0</v>
      </c>
      <c r="F6196" s="2">
        <v>0</v>
      </c>
      <c r="H6196">
        <v>0</v>
      </c>
      <c r="I6196">
        <v>0.1741125760648204</v>
      </c>
      <c r="J6196">
        <v>0</v>
      </c>
      <c r="K6196">
        <v>0</v>
      </c>
      <c r="L6196" s="2">
        <v>0</v>
      </c>
      <c r="M6196">
        <v>62.24</v>
      </c>
      <c r="N6196" t="s">
        <v>10236</v>
      </c>
    </row>
    <row r="6197" spans="1:14">
      <c r="A6197" t="s">
        <v>219</v>
      </c>
      <c r="B6197" t="s">
        <v>6299</v>
      </c>
      <c r="C6197">
        <f>"PRWSPV"</f>
        <v>0</v>
      </c>
      <c r="D6197">
        <v>0</v>
      </c>
      <c r="E6197">
        <v>0</v>
      </c>
      <c r="F6197" s="2">
        <v>0</v>
      </c>
      <c r="H6197">
        <v>0</v>
      </c>
      <c r="I6197">
        <v>0.1741125760648204</v>
      </c>
      <c r="J6197">
        <v>0</v>
      </c>
      <c r="K6197">
        <v>0</v>
      </c>
      <c r="L6197" s="2">
        <v>0</v>
      </c>
      <c r="M6197">
        <v>62.25</v>
      </c>
      <c r="N6197" t="s">
        <v>10236</v>
      </c>
    </row>
    <row r="6198" spans="1:14">
      <c r="A6198" t="s">
        <v>219</v>
      </c>
      <c r="B6198" t="s">
        <v>6300</v>
      </c>
      <c r="C6198">
        <f>"PRWSPP"</f>
        <v>0</v>
      </c>
      <c r="D6198">
        <v>0</v>
      </c>
      <c r="E6198">
        <v>0</v>
      </c>
      <c r="F6198" s="2">
        <v>0</v>
      </c>
      <c r="H6198">
        <v>0</v>
      </c>
      <c r="I6198">
        <v>0.1741125760648204</v>
      </c>
      <c r="J6198">
        <v>0</v>
      </c>
      <c r="K6198">
        <v>0</v>
      </c>
      <c r="L6198" s="2">
        <v>0</v>
      </c>
      <c r="M6198">
        <v>62.26</v>
      </c>
      <c r="N6198" t="s">
        <v>10236</v>
      </c>
    </row>
    <row r="6199" spans="1:14">
      <c r="A6199" t="s">
        <v>219</v>
      </c>
      <c r="B6199" t="s">
        <v>6301</v>
      </c>
      <c r="C6199">
        <f>"PRWSPC"</f>
        <v>0</v>
      </c>
      <c r="D6199">
        <v>0</v>
      </c>
      <c r="E6199">
        <v>0</v>
      </c>
      <c r="F6199" s="2">
        <v>0</v>
      </c>
      <c r="H6199">
        <v>0</v>
      </c>
      <c r="I6199">
        <v>0.1741125760648204</v>
      </c>
      <c r="J6199">
        <v>0</v>
      </c>
      <c r="K6199">
        <v>0</v>
      </c>
      <c r="L6199" s="2">
        <v>0</v>
      </c>
      <c r="M6199">
        <v>62.27</v>
      </c>
      <c r="N6199" t="s">
        <v>10236</v>
      </c>
    </row>
    <row r="6200" spans="1:14">
      <c r="A6200" t="s">
        <v>218</v>
      </c>
      <c r="B6200" t="s">
        <v>6302</v>
      </c>
      <c r="C6200">
        <f>"inscls0030"</f>
        <v>0</v>
      </c>
      <c r="D6200">
        <v>0</v>
      </c>
      <c r="E6200">
        <v>0</v>
      </c>
      <c r="F6200" s="2">
        <v>0</v>
      </c>
      <c r="H6200">
        <v>0</v>
      </c>
      <c r="I6200">
        <v>0.1741125760648204</v>
      </c>
      <c r="J6200">
        <v>0</v>
      </c>
      <c r="K6200">
        <v>0</v>
      </c>
      <c r="L6200" s="2">
        <v>0</v>
      </c>
      <c r="M6200">
        <v>62.28</v>
      </c>
      <c r="N6200" t="s">
        <v>10236</v>
      </c>
    </row>
    <row r="6201" spans="1:14">
      <c r="A6201" t="s">
        <v>30</v>
      </c>
      <c r="B6201" t="s">
        <v>6303</v>
      </c>
      <c r="C6201">
        <f>"101098"</f>
        <v>0</v>
      </c>
      <c r="D6201">
        <v>0</v>
      </c>
      <c r="E6201">
        <v>3</v>
      </c>
      <c r="F6201" s="2">
        <v>14</v>
      </c>
      <c r="H6201">
        <v>0</v>
      </c>
      <c r="I6201">
        <v>0.1741125760648204</v>
      </c>
      <c r="J6201">
        <v>0</v>
      </c>
      <c r="K6201">
        <v>0</v>
      </c>
      <c r="L6201" s="2">
        <v>0</v>
      </c>
      <c r="M6201">
        <v>62.29</v>
      </c>
      <c r="N6201" t="s">
        <v>10236</v>
      </c>
    </row>
    <row r="6202" spans="1:14">
      <c r="A6202" t="s">
        <v>30</v>
      </c>
      <c r="B6202" t="s">
        <v>6304</v>
      </c>
      <c r="C6202">
        <f>"101097"</f>
        <v>0</v>
      </c>
      <c r="D6202">
        <v>0</v>
      </c>
      <c r="E6202">
        <v>4</v>
      </c>
      <c r="F6202" s="2">
        <v>14</v>
      </c>
      <c r="H6202">
        <v>0</v>
      </c>
      <c r="I6202">
        <v>0.1741125760648204</v>
      </c>
      <c r="J6202">
        <v>0</v>
      </c>
      <c r="K6202">
        <v>0</v>
      </c>
      <c r="L6202" s="2">
        <v>0</v>
      </c>
      <c r="M6202">
        <v>62.3</v>
      </c>
      <c r="N6202" t="s">
        <v>10236</v>
      </c>
    </row>
    <row r="6203" spans="1:14">
      <c r="A6203" t="s">
        <v>30</v>
      </c>
      <c r="B6203" t="s">
        <v>6305</v>
      </c>
      <c r="C6203">
        <f>"101299"</f>
        <v>0</v>
      </c>
      <c r="D6203">
        <v>0</v>
      </c>
      <c r="E6203">
        <v>0</v>
      </c>
      <c r="F6203" s="2">
        <v>0</v>
      </c>
      <c r="H6203">
        <v>0</v>
      </c>
      <c r="I6203">
        <v>0.1741125760648204</v>
      </c>
      <c r="J6203">
        <v>0</v>
      </c>
      <c r="K6203">
        <v>0</v>
      </c>
      <c r="L6203" s="2">
        <v>0</v>
      </c>
      <c r="M6203">
        <v>62.31</v>
      </c>
      <c r="N6203" t="s">
        <v>10236</v>
      </c>
    </row>
    <row r="6204" spans="1:14">
      <c r="A6204" t="s">
        <v>30</v>
      </c>
      <c r="B6204" t="s">
        <v>6306</v>
      </c>
      <c r="C6204">
        <f>"101154"</f>
        <v>0</v>
      </c>
      <c r="D6204">
        <v>0</v>
      </c>
      <c r="E6204">
        <v>2</v>
      </c>
      <c r="F6204" s="2">
        <v>14</v>
      </c>
      <c r="H6204">
        <v>0</v>
      </c>
      <c r="I6204">
        <v>0.1741125760648204</v>
      </c>
      <c r="J6204">
        <v>0</v>
      </c>
      <c r="K6204">
        <v>0</v>
      </c>
      <c r="L6204" s="2">
        <v>0</v>
      </c>
      <c r="M6204">
        <v>62.31</v>
      </c>
      <c r="N6204" t="s">
        <v>10236</v>
      </c>
    </row>
    <row r="6205" spans="1:14">
      <c r="A6205" t="s">
        <v>30</v>
      </c>
      <c r="B6205" t="s">
        <v>6307</v>
      </c>
      <c r="C6205">
        <f>"101153"</f>
        <v>0</v>
      </c>
      <c r="D6205">
        <v>0</v>
      </c>
      <c r="E6205">
        <v>3</v>
      </c>
      <c r="F6205" s="2">
        <v>14</v>
      </c>
      <c r="H6205">
        <v>0</v>
      </c>
      <c r="I6205">
        <v>0.1741125760648204</v>
      </c>
      <c r="J6205">
        <v>0</v>
      </c>
      <c r="K6205">
        <v>0</v>
      </c>
      <c r="L6205" s="2">
        <v>0</v>
      </c>
      <c r="M6205">
        <v>62.32</v>
      </c>
      <c r="N6205" t="s">
        <v>10236</v>
      </c>
    </row>
    <row r="6206" spans="1:14">
      <c r="A6206" t="s">
        <v>35</v>
      </c>
      <c r="B6206" t="s">
        <v>6308</v>
      </c>
      <c r="C6206">
        <f>"LN460"</f>
        <v>0</v>
      </c>
      <c r="D6206">
        <v>0</v>
      </c>
      <c r="E6206">
        <v>0</v>
      </c>
      <c r="F6206" s="2">
        <v>0</v>
      </c>
      <c r="H6206">
        <v>0</v>
      </c>
      <c r="I6206">
        <v>0.1741125760648204</v>
      </c>
      <c r="J6206">
        <v>0</v>
      </c>
      <c r="K6206">
        <v>0</v>
      </c>
      <c r="L6206" s="2">
        <v>0</v>
      </c>
      <c r="M6206">
        <v>62.33</v>
      </c>
      <c r="N6206" t="s">
        <v>10236</v>
      </c>
    </row>
    <row r="6207" spans="1:14">
      <c r="A6207" t="s">
        <v>29</v>
      </c>
      <c r="B6207" t="s">
        <v>6309</v>
      </c>
      <c r="C6207">
        <f>"CH44611"</f>
        <v>0</v>
      </c>
      <c r="D6207">
        <v>0</v>
      </c>
      <c r="E6207">
        <v>9</v>
      </c>
      <c r="F6207" s="2">
        <v>7</v>
      </c>
      <c r="H6207">
        <v>0</v>
      </c>
      <c r="I6207">
        <v>0.1741125760648204</v>
      </c>
      <c r="J6207">
        <v>0</v>
      </c>
      <c r="K6207">
        <v>0</v>
      </c>
      <c r="L6207" s="2">
        <v>0</v>
      </c>
      <c r="M6207">
        <v>62.34</v>
      </c>
      <c r="N6207" t="s">
        <v>10236</v>
      </c>
    </row>
    <row r="6208" spans="1:14">
      <c r="A6208" t="s">
        <v>29</v>
      </c>
      <c r="B6208" t="s">
        <v>6310</v>
      </c>
      <c r="C6208">
        <f>"CH6255"</f>
        <v>0</v>
      </c>
      <c r="D6208">
        <v>0</v>
      </c>
      <c r="E6208">
        <v>0</v>
      </c>
      <c r="F6208" s="2">
        <v>0</v>
      </c>
      <c r="H6208">
        <v>0</v>
      </c>
      <c r="I6208">
        <v>0.1741125760648204</v>
      </c>
      <c r="J6208">
        <v>0</v>
      </c>
      <c r="K6208">
        <v>0</v>
      </c>
      <c r="L6208" s="2">
        <v>0</v>
      </c>
      <c r="M6208">
        <v>62.35</v>
      </c>
      <c r="N6208" t="s">
        <v>10236</v>
      </c>
    </row>
    <row r="6209" spans="1:14">
      <c r="A6209" t="s">
        <v>29</v>
      </c>
      <c r="B6209" t="s">
        <v>6311</v>
      </c>
      <c r="C6209">
        <f>"CH1864"</f>
        <v>0</v>
      </c>
      <c r="D6209">
        <v>0</v>
      </c>
      <c r="E6209">
        <v>0</v>
      </c>
      <c r="F6209" s="2">
        <v>0</v>
      </c>
      <c r="H6209">
        <v>0</v>
      </c>
      <c r="I6209">
        <v>0.1741125760648204</v>
      </c>
      <c r="J6209">
        <v>0</v>
      </c>
      <c r="K6209">
        <v>0</v>
      </c>
      <c r="L6209" s="2">
        <v>0</v>
      </c>
      <c r="M6209">
        <v>62.36</v>
      </c>
      <c r="N6209" t="s">
        <v>10236</v>
      </c>
    </row>
    <row r="6210" spans="1:14">
      <c r="A6210" t="s">
        <v>29</v>
      </c>
      <c r="B6210" t="s">
        <v>6312</v>
      </c>
      <c r="C6210">
        <f>"CH1007"</f>
        <v>0</v>
      </c>
      <c r="D6210">
        <v>0</v>
      </c>
      <c r="E6210">
        <v>0</v>
      </c>
      <c r="F6210" s="2">
        <v>0</v>
      </c>
      <c r="H6210">
        <v>0</v>
      </c>
      <c r="I6210">
        <v>0.1741125760648204</v>
      </c>
      <c r="J6210">
        <v>0</v>
      </c>
      <c r="K6210">
        <v>0</v>
      </c>
      <c r="L6210" s="2">
        <v>0</v>
      </c>
      <c r="M6210">
        <v>62.37</v>
      </c>
      <c r="N6210" t="s">
        <v>10236</v>
      </c>
    </row>
    <row r="6211" spans="1:14">
      <c r="A6211" t="s">
        <v>29</v>
      </c>
      <c r="B6211" t="s">
        <v>6313</v>
      </c>
      <c r="C6211">
        <f>"U58"</f>
        <v>0</v>
      </c>
      <c r="D6211">
        <v>0</v>
      </c>
      <c r="E6211">
        <v>1</v>
      </c>
      <c r="F6211" s="2">
        <v>4</v>
      </c>
      <c r="H6211">
        <v>0</v>
      </c>
      <c r="I6211">
        <v>0.1741125760648204</v>
      </c>
      <c r="J6211">
        <v>0</v>
      </c>
      <c r="K6211">
        <v>0</v>
      </c>
      <c r="L6211" s="2">
        <v>0</v>
      </c>
      <c r="M6211">
        <v>62.38</v>
      </c>
      <c r="N6211" t="s">
        <v>10236</v>
      </c>
    </row>
    <row r="6212" spans="1:14">
      <c r="A6212" t="s">
        <v>29</v>
      </c>
      <c r="B6212" t="s">
        <v>6314</v>
      </c>
      <c r="C6212">
        <f>"CH44177"</f>
        <v>0</v>
      </c>
      <c r="D6212">
        <v>0</v>
      </c>
      <c r="E6212">
        <v>2</v>
      </c>
      <c r="F6212" s="2">
        <v>5</v>
      </c>
      <c r="H6212">
        <v>0</v>
      </c>
      <c r="I6212">
        <v>0.1741125760648204</v>
      </c>
      <c r="J6212">
        <v>0</v>
      </c>
      <c r="K6212">
        <v>0</v>
      </c>
      <c r="L6212" s="2">
        <v>0</v>
      </c>
      <c r="M6212">
        <v>62.39</v>
      </c>
      <c r="N6212" t="s">
        <v>10236</v>
      </c>
    </row>
    <row r="6213" spans="1:14">
      <c r="A6213" t="s">
        <v>29</v>
      </c>
      <c r="B6213" t="s">
        <v>6315</v>
      </c>
      <c r="C6213">
        <f>"CH40016"</f>
        <v>0</v>
      </c>
      <c r="D6213">
        <v>0</v>
      </c>
      <c r="E6213">
        <v>8</v>
      </c>
      <c r="F6213" s="2">
        <v>4</v>
      </c>
      <c r="H6213">
        <v>0</v>
      </c>
      <c r="I6213">
        <v>0.1741125760648204</v>
      </c>
      <c r="J6213">
        <v>0</v>
      </c>
      <c r="K6213">
        <v>0</v>
      </c>
      <c r="L6213" s="2">
        <v>0</v>
      </c>
      <c r="M6213">
        <v>62.4</v>
      </c>
      <c r="N6213" t="s">
        <v>10236</v>
      </c>
    </row>
    <row r="6214" spans="1:14">
      <c r="A6214" t="s">
        <v>29</v>
      </c>
      <c r="B6214" t="s">
        <v>6316</v>
      </c>
      <c r="C6214">
        <f>"CH2273B"</f>
        <v>0</v>
      </c>
      <c r="D6214">
        <v>0</v>
      </c>
      <c r="E6214">
        <v>0</v>
      </c>
      <c r="F6214" s="2">
        <v>0</v>
      </c>
      <c r="H6214">
        <v>0</v>
      </c>
      <c r="I6214">
        <v>0.1741125760648204</v>
      </c>
      <c r="J6214">
        <v>0</v>
      </c>
      <c r="K6214">
        <v>0</v>
      </c>
      <c r="L6214" s="2">
        <v>0</v>
      </c>
      <c r="M6214">
        <v>62.41</v>
      </c>
      <c r="N6214" t="s">
        <v>10236</v>
      </c>
    </row>
    <row r="6215" spans="1:14">
      <c r="A6215" t="s">
        <v>25</v>
      </c>
      <c r="B6215" t="s">
        <v>6317</v>
      </c>
      <c r="C6215">
        <f>"ZVP5161"</f>
        <v>0</v>
      </c>
      <c r="D6215">
        <v>0</v>
      </c>
      <c r="E6215">
        <v>0</v>
      </c>
      <c r="F6215" s="2">
        <v>0</v>
      </c>
      <c r="H6215">
        <v>0</v>
      </c>
      <c r="I6215">
        <v>0.1741125760648204</v>
      </c>
      <c r="J6215">
        <v>0</v>
      </c>
      <c r="K6215">
        <v>0</v>
      </c>
      <c r="L6215" s="2">
        <v>0</v>
      </c>
      <c r="M6215">
        <v>62.42</v>
      </c>
      <c r="N6215" t="s">
        <v>10236</v>
      </c>
    </row>
    <row r="6216" spans="1:14">
      <c r="A6216" t="s">
        <v>35</v>
      </c>
      <c r="B6216" t="s">
        <v>6318</v>
      </c>
      <c r="C6216">
        <f>"25395729"</f>
        <v>0</v>
      </c>
      <c r="D6216">
        <v>0</v>
      </c>
      <c r="E6216">
        <v>0</v>
      </c>
      <c r="F6216" s="2">
        <v>0</v>
      </c>
      <c r="H6216">
        <v>0</v>
      </c>
      <c r="I6216">
        <v>0.1741125760648204</v>
      </c>
      <c r="J6216">
        <v>0</v>
      </c>
      <c r="K6216">
        <v>0</v>
      </c>
      <c r="L6216" s="2">
        <v>0</v>
      </c>
      <c r="M6216">
        <v>62.43</v>
      </c>
      <c r="N6216" t="s">
        <v>10236</v>
      </c>
    </row>
    <row r="6217" spans="1:14">
      <c r="A6217" t="s">
        <v>35</v>
      </c>
      <c r="B6217" t="s">
        <v>6319</v>
      </c>
      <c r="C6217">
        <f>"25395709"</f>
        <v>0</v>
      </c>
      <c r="D6217">
        <v>0</v>
      </c>
      <c r="E6217">
        <v>0</v>
      </c>
      <c r="F6217" s="2">
        <v>0</v>
      </c>
      <c r="H6217">
        <v>0</v>
      </c>
      <c r="I6217">
        <v>0.1741125760648204</v>
      </c>
      <c r="J6217">
        <v>0</v>
      </c>
      <c r="K6217">
        <v>0</v>
      </c>
      <c r="L6217" s="2">
        <v>0</v>
      </c>
      <c r="M6217">
        <v>62.43</v>
      </c>
      <c r="N6217" t="s">
        <v>10236</v>
      </c>
    </row>
    <row r="6218" spans="1:14">
      <c r="A6218" t="s">
        <v>35</v>
      </c>
      <c r="B6218" t="s">
        <v>6320</v>
      </c>
      <c r="C6218">
        <f>"25395710"</f>
        <v>0</v>
      </c>
      <c r="D6218">
        <v>0</v>
      </c>
      <c r="E6218">
        <v>0</v>
      </c>
      <c r="F6218" s="2">
        <v>0</v>
      </c>
      <c r="H6218">
        <v>0</v>
      </c>
      <c r="I6218">
        <v>0.1741125760648204</v>
      </c>
      <c r="J6218">
        <v>0</v>
      </c>
      <c r="K6218">
        <v>0</v>
      </c>
      <c r="L6218" s="2">
        <v>0</v>
      </c>
      <c r="M6218">
        <v>62.44</v>
      </c>
      <c r="N6218" t="s">
        <v>10236</v>
      </c>
    </row>
    <row r="6219" spans="1:14">
      <c r="A6219" t="s">
        <v>35</v>
      </c>
      <c r="B6219" t="s">
        <v>6321</v>
      </c>
      <c r="C6219">
        <f>"25395707"</f>
        <v>0</v>
      </c>
      <c r="D6219">
        <v>0</v>
      </c>
      <c r="E6219">
        <v>0</v>
      </c>
      <c r="F6219" s="2">
        <v>0</v>
      </c>
      <c r="H6219">
        <v>0</v>
      </c>
      <c r="I6219">
        <v>0.1741125760648204</v>
      </c>
      <c r="J6219">
        <v>0</v>
      </c>
      <c r="K6219">
        <v>0</v>
      </c>
      <c r="L6219" s="2">
        <v>0</v>
      </c>
      <c r="M6219">
        <v>62.45</v>
      </c>
      <c r="N6219" t="s">
        <v>10236</v>
      </c>
    </row>
    <row r="6220" spans="1:14">
      <c r="A6220" t="s">
        <v>35</v>
      </c>
      <c r="B6220" t="s">
        <v>6322</v>
      </c>
      <c r="C6220">
        <f>"25395806"</f>
        <v>0</v>
      </c>
      <c r="D6220">
        <v>0</v>
      </c>
      <c r="E6220">
        <v>0</v>
      </c>
      <c r="F6220" s="2">
        <v>0</v>
      </c>
      <c r="H6220">
        <v>0</v>
      </c>
      <c r="I6220">
        <v>0.1741125760648204</v>
      </c>
      <c r="J6220">
        <v>0</v>
      </c>
      <c r="K6220">
        <v>0</v>
      </c>
      <c r="L6220" s="2">
        <v>0</v>
      </c>
      <c r="M6220">
        <v>62.46</v>
      </c>
      <c r="N6220" t="s">
        <v>10236</v>
      </c>
    </row>
    <row r="6221" spans="1:14">
      <c r="A6221" t="s">
        <v>29</v>
      </c>
      <c r="B6221" t="s">
        <v>6323</v>
      </c>
      <c r="C6221">
        <f>"CH4602L"</f>
        <v>0</v>
      </c>
      <c r="D6221">
        <v>0</v>
      </c>
      <c r="E6221">
        <v>4</v>
      </c>
      <c r="F6221" s="2">
        <v>6</v>
      </c>
      <c r="H6221">
        <v>0</v>
      </c>
      <c r="I6221">
        <v>0.1741125760648204</v>
      </c>
      <c r="J6221">
        <v>0</v>
      </c>
      <c r="K6221">
        <v>0</v>
      </c>
      <c r="L6221" s="2">
        <v>0</v>
      </c>
      <c r="M6221">
        <v>62.47</v>
      </c>
      <c r="N6221" t="s">
        <v>10236</v>
      </c>
    </row>
    <row r="6222" spans="1:14">
      <c r="A6222" t="s">
        <v>35</v>
      </c>
      <c r="B6222" t="s">
        <v>6324</v>
      </c>
      <c r="C6222">
        <f>"25395781"</f>
        <v>0</v>
      </c>
      <c r="D6222">
        <v>0</v>
      </c>
      <c r="E6222">
        <v>0</v>
      </c>
      <c r="F6222" s="2">
        <v>0</v>
      </c>
      <c r="H6222">
        <v>0</v>
      </c>
      <c r="I6222">
        <v>0.1741125760648204</v>
      </c>
      <c r="J6222">
        <v>0</v>
      </c>
      <c r="K6222">
        <v>0</v>
      </c>
      <c r="L6222" s="2">
        <v>0</v>
      </c>
      <c r="M6222">
        <v>62.48</v>
      </c>
      <c r="N6222" t="s">
        <v>10236</v>
      </c>
    </row>
    <row r="6223" spans="1:14">
      <c r="A6223" t="s">
        <v>35</v>
      </c>
      <c r="B6223" t="s">
        <v>6325</v>
      </c>
      <c r="C6223">
        <f>"25395782"</f>
        <v>0</v>
      </c>
      <c r="D6223">
        <v>0</v>
      </c>
      <c r="E6223">
        <v>0</v>
      </c>
      <c r="F6223" s="2">
        <v>0</v>
      </c>
      <c r="H6223">
        <v>0</v>
      </c>
      <c r="I6223">
        <v>0.1741125760648204</v>
      </c>
      <c r="J6223">
        <v>0</v>
      </c>
      <c r="K6223">
        <v>0</v>
      </c>
      <c r="L6223" s="2">
        <v>0</v>
      </c>
      <c r="M6223">
        <v>62.49</v>
      </c>
      <c r="N6223" t="s">
        <v>10236</v>
      </c>
    </row>
    <row r="6224" spans="1:14">
      <c r="A6224" t="s">
        <v>35</v>
      </c>
      <c r="B6224" t="s">
        <v>6326</v>
      </c>
      <c r="C6224">
        <f>"25395779"</f>
        <v>0</v>
      </c>
      <c r="D6224">
        <v>0</v>
      </c>
      <c r="E6224">
        <v>0</v>
      </c>
      <c r="F6224" s="2">
        <v>0</v>
      </c>
      <c r="H6224">
        <v>0</v>
      </c>
      <c r="I6224">
        <v>0.1741125760648204</v>
      </c>
      <c r="J6224">
        <v>0</v>
      </c>
      <c r="K6224">
        <v>0</v>
      </c>
      <c r="L6224" s="2">
        <v>0</v>
      </c>
      <c r="M6224">
        <v>62.5</v>
      </c>
      <c r="N6224" t="s">
        <v>10236</v>
      </c>
    </row>
    <row r="6225" spans="1:14">
      <c r="A6225" t="s">
        <v>35</v>
      </c>
      <c r="B6225" t="s">
        <v>6327</v>
      </c>
      <c r="C6225">
        <f>"DR123B"</f>
        <v>0</v>
      </c>
      <c r="D6225">
        <v>0</v>
      </c>
      <c r="E6225">
        <v>0</v>
      </c>
      <c r="F6225" s="2">
        <v>0</v>
      </c>
      <c r="H6225">
        <v>0</v>
      </c>
      <c r="I6225">
        <v>0.1741125760648204</v>
      </c>
      <c r="J6225">
        <v>0</v>
      </c>
      <c r="K6225">
        <v>0</v>
      </c>
      <c r="L6225" s="2">
        <v>0</v>
      </c>
      <c r="M6225">
        <v>62.51</v>
      </c>
      <c r="N6225" t="s">
        <v>10236</v>
      </c>
    </row>
    <row r="6226" spans="1:14">
      <c r="A6226" t="s">
        <v>35</v>
      </c>
      <c r="B6226" t="s">
        <v>6328</v>
      </c>
      <c r="C6226">
        <f>"DR122B"</f>
        <v>0</v>
      </c>
      <c r="D6226">
        <v>0</v>
      </c>
      <c r="E6226">
        <v>0</v>
      </c>
      <c r="F6226" s="2">
        <v>0</v>
      </c>
      <c r="H6226">
        <v>0</v>
      </c>
      <c r="I6226">
        <v>0.1741125760648204</v>
      </c>
      <c r="J6226">
        <v>0</v>
      </c>
      <c r="K6226">
        <v>0</v>
      </c>
      <c r="L6226" s="2">
        <v>0</v>
      </c>
      <c r="M6226">
        <v>62.52</v>
      </c>
      <c r="N6226" t="s">
        <v>10236</v>
      </c>
    </row>
    <row r="6227" spans="1:14">
      <c r="A6227" t="s">
        <v>35</v>
      </c>
      <c r="B6227" t="s">
        <v>6329</v>
      </c>
      <c r="C6227">
        <f>"25002026"</f>
        <v>0</v>
      </c>
      <c r="D6227">
        <v>0</v>
      </c>
      <c r="E6227">
        <v>0</v>
      </c>
      <c r="F6227" s="2">
        <v>0</v>
      </c>
      <c r="H6227">
        <v>0</v>
      </c>
      <c r="I6227">
        <v>0.1741125760648204</v>
      </c>
      <c r="J6227">
        <v>0</v>
      </c>
      <c r="K6227">
        <v>0</v>
      </c>
      <c r="L6227" s="2">
        <v>0</v>
      </c>
      <c r="M6227">
        <v>62.53</v>
      </c>
      <c r="N6227" t="s">
        <v>10236</v>
      </c>
    </row>
    <row r="6228" spans="1:14">
      <c r="A6228" t="s">
        <v>195</v>
      </c>
      <c r="B6228" t="s">
        <v>6330</v>
      </c>
      <c r="C6228">
        <f>"25002476"</f>
        <v>0</v>
      </c>
      <c r="D6228">
        <v>0</v>
      </c>
      <c r="E6228">
        <v>0</v>
      </c>
      <c r="F6228" s="2">
        <v>0</v>
      </c>
      <c r="H6228">
        <v>0</v>
      </c>
      <c r="I6228">
        <v>0.1741125760648204</v>
      </c>
      <c r="J6228">
        <v>0</v>
      </c>
      <c r="K6228">
        <v>0</v>
      </c>
      <c r="L6228" s="2">
        <v>0</v>
      </c>
      <c r="M6228">
        <v>62.54</v>
      </c>
      <c r="N6228" t="s">
        <v>10236</v>
      </c>
    </row>
    <row r="6229" spans="1:14">
      <c r="A6229" t="s">
        <v>195</v>
      </c>
      <c r="B6229" t="s">
        <v>6331</v>
      </c>
      <c r="C6229">
        <f>"25395964"</f>
        <v>0</v>
      </c>
      <c r="D6229">
        <v>0</v>
      </c>
      <c r="E6229">
        <v>0</v>
      </c>
      <c r="F6229" s="2">
        <v>0</v>
      </c>
      <c r="H6229">
        <v>0</v>
      </c>
      <c r="I6229">
        <v>0.1741125760648204</v>
      </c>
      <c r="J6229">
        <v>0</v>
      </c>
      <c r="K6229">
        <v>0</v>
      </c>
      <c r="L6229" s="2">
        <v>0</v>
      </c>
      <c r="M6229">
        <v>62.55</v>
      </c>
      <c r="N6229" t="s">
        <v>10236</v>
      </c>
    </row>
    <row r="6230" spans="1:14">
      <c r="A6230" t="s">
        <v>195</v>
      </c>
      <c r="B6230" t="s">
        <v>6332</v>
      </c>
      <c r="C6230">
        <f>"25395970"</f>
        <v>0</v>
      </c>
      <c r="D6230">
        <v>0</v>
      </c>
      <c r="E6230">
        <v>0</v>
      </c>
      <c r="F6230" s="2">
        <v>0</v>
      </c>
      <c r="H6230">
        <v>0</v>
      </c>
      <c r="I6230">
        <v>0.1741125760648204</v>
      </c>
      <c r="J6230">
        <v>0</v>
      </c>
      <c r="K6230">
        <v>0</v>
      </c>
      <c r="L6230" s="2">
        <v>0</v>
      </c>
      <c r="M6230">
        <v>62.55</v>
      </c>
      <c r="N6230" t="s">
        <v>10236</v>
      </c>
    </row>
    <row r="6231" spans="1:14">
      <c r="A6231" t="s">
        <v>35</v>
      </c>
      <c r="B6231" t="s">
        <v>6333</v>
      </c>
      <c r="C6231">
        <f>"07622"</f>
        <v>0</v>
      </c>
      <c r="D6231">
        <v>0</v>
      </c>
      <c r="E6231">
        <v>0</v>
      </c>
      <c r="F6231" s="2">
        <v>0</v>
      </c>
      <c r="H6231">
        <v>0</v>
      </c>
      <c r="I6231">
        <v>0.1741125760648204</v>
      </c>
      <c r="J6231">
        <v>0</v>
      </c>
      <c r="K6231">
        <v>0</v>
      </c>
      <c r="L6231" s="2">
        <v>0</v>
      </c>
      <c r="M6231">
        <v>62.56</v>
      </c>
      <c r="N6231" t="s">
        <v>10236</v>
      </c>
    </row>
    <row r="6232" spans="1:14">
      <c r="A6232" t="s">
        <v>25</v>
      </c>
      <c r="B6232" t="s">
        <v>6334</v>
      </c>
      <c r="C6232">
        <f>"ZVP2108"</f>
        <v>0</v>
      </c>
      <c r="D6232">
        <v>0</v>
      </c>
      <c r="E6232">
        <v>0</v>
      </c>
      <c r="F6232" s="2">
        <v>0</v>
      </c>
      <c r="H6232">
        <v>0</v>
      </c>
      <c r="I6232">
        <v>0.1741125760648204</v>
      </c>
      <c r="J6232">
        <v>0</v>
      </c>
      <c r="K6232">
        <v>0</v>
      </c>
      <c r="L6232" s="2">
        <v>0</v>
      </c>
      <c r="M6232">
        <v>62.57</v>
      </c>
      <c r="N6232" t="s">
        <v>10236</v>
      </c>
    </row>
    <row r="6233" spans="1:14">
      <c r="A6233" t="s">
        <v>25</v>
      </c>
      <c r="B6233" t="s">
        <v>6335</v>
      </c>
      <c r="C6233">
        <f>"ZVP1152"</f>
        <v>0</v>
      </c>
      <c r="D6233">
        <v>0</v>
      </c>
      <c r="E6233">
        <v>0</v>
      </c>
      <c r="F6233" s="2">
        <v>0</v>
      </c>
      <c r="H6233">
        <v>0</v>
      </c>
      <c r="I6233">
        <v>0.1741125760648204</v>
      </c>
      <c r="J6233">
        <v>0</v>
      </c>
      <c r="K6233">
        <v>0</v>
      </c>
      <c r="L6233" s="2">
        <v>0</v>
      </c>
      <c r="M6233">
        <v>62.58</v>
      </c>
      <c r="N6233" t="s">
        <v>10236</v>
      </c>
    </row>
    <row r="6234" spans="1:14">
      <c r="A6234" t="s">
        <v>25</v>
      </c>
      <c r="B6234" t="s">
        <v>6336</v>
      </c>
      <c r="C6234">
        <f>"ZVP5151"</f>
        <v>0</v>
      </c>
      <c r="D6234">
        <v>0</v>
      </c>
      <c r="E6234">
        <v>0</v>
      </c>
      <c r="F6234" s="2">
        <v>0</v>
      </c>
      <c r="H6234">
        <v>0</v>
      </c>
      <c r="I6234">
        <v>0.1741125760648204</v>
      </c>
      <c r="J6234">
        <v>0</v>
      </c>
      <c r="K6234">
        <v>0</v>
      </c>
      <c r="L6234" s="2">
        <v>0</v>
      </c>
      <c r="M6234">
        <v>62.59</v>
      </c>
      <c r="N6234" t="s">
        <v>10236</v>
      </c>
    </row>
    <row r="6235" spans="1:14">
      <c r="A6235" t="s">
        <v>25</v>
      </c>
      <c r="B6235" t="s">
        <v>6337</v>
      </c>
      <c r="C6235">
        <f>"ZVP5111"</f>
        <v>0</v>
      </c>
      <c r="D6235">
        <v>0</v>
      </c>
      <c r="E6235">
        <v>0</v>
      </c>
      <c r="F6235" s="2">
        <v>0</v>
      </c>
      <c r="H6235">
        <v>0</v>
      </c>
      <c r="I6235">
        <v>0.1741125760648204</v>
      </c>
      <c r="J6235">
        <v>0</v>
      </c>
      <c r="K6235">
        <v>0</v>
      </c>
      <c r="L6235" s="2">
        <v>0</v>
      </c>
      <c r="M6235">
        <v>62.6</v>
      </c>
      <c r="N6235" t="s">
        <v>10236</v>
      </c>
    </row>
    <row r="6236" spans="1:14">
      <c r="A6236" t="s">
        <v>25</v>
      </c>
      <c r="B6236" t="s">
        <v>6338</v>
      </c>
      <c r="C6236">
        <f>"ZVP5121"</f>
        <v>0</v>
      </c>
      <c r="D6236">
        <v>0</v>
      </c>
      <c r="E6236">
        <v>0</v>
      </c>
      <c r="F6236" s="2">
        <v>0</v>
      </c>
      <c r="H6236">
        <v>0</v>
      </c>
      <c r="I6236">
        <v>0.1741125760648204</v>
      </c>
      <c r="J6236">
        <v>0</v>
      </c>
      <c r="K6236">
        <v>0</v>
      </c>
      <c r="L6236" s="2">
        <v>0</v>
      </c>
      <c r="M6236">
        <v>62.61</v>
      </c>
      <c r="N6236" t="s">
        <v>10236</v>
      </c>
    </row>
    <row r="6237" spans="1:14">
      <c r="A6237" t="s">
        <v>35</v>
      </c>
      <c r="B6237" t="s">
        <v>6339</v>
      </c>
      <c r="C6237">
        <f>"25395780"</f>
        <v>0</v>
      </c>
      <c r="D6237">
        <v>0</v>
      </c>
      <c r="E6237">
        <v>0</v>
      </c>
      <c r="F6237" s="2">
        <v>0</v>
      </c>
      <c r="H6237">
        <v>0</v>
      </c>
      <c r="I6237">
        <v>0.1741125760648204</v>
      </c>
      <c r="J6237">
        <v>0</v>
      </c>
      <c r="K6237">
        <v>0</v>
      </c>
      <c r="L6237" s="2">
        <v>0</v>
      </c>
      <c r="M6237">
        <v>62.62</v>
      </c>
      <c r="N6237" t="s">
        <v>10236</v>
      </c>
    </row>
    <row r="6238" spans="1:14">
      <c r="A6238" t="s">
        <v>195</v>
      </c>
      <c r="B6238" t="s">
        <v>6340</v>
      </c>
      <c r="C6238">
        <f>"JONIC11"</f>
        <v>0</v>
      </c>
      <c r="D6238">
        <v>0</v>
      </c>
      <c r="E6238">
        <v>0</v>
      </c>
      <c r="F6238" s="2">
        <v>0</v>
      </c>
      <c r="H6238">
        <v>0</v>
      </c>
      <c r="I6238">
        <v>0.1741125760648204</v>
      </c>
      <c r="J6238">
        <v>0</v>
      </c>
      <c r="K6238">
        <v>0</v>
      </c>
      <c r="L6238" s="2">
        <v>0</v>
      </c>
      <c r="M6238">
        <v>62.63</v>
      </c>
      <c r="N6238" t="s">
        <v>10236</v>
      </c>
    </row>
    <row r="6239" spans="1:14">
      <c r="A6239" t="s">
        <v>35</v>
      </c>
      <c r="B6239" t="s">
        <v>6341</v>
      </c>
      <c r="C6239">
        <f>"SGP"</f>
        <v>0</v>
      </c>
      <c r="D6239">
        <v>0</v>
      </c>
      <c r="E6239">
        <v>0</v>
      </c>
      <c r="F6239" s="2">
        <v>0</v>
      </c>
      <c r="H6239">
        <v>0</v>
      </c>
      <c r="I6239">
        <v>0.1741125760648204</v>
      </c>
      <c r="J6239">
        <v>0</v>
      </c>
      <c r="K6239">
        <v>0</v>
      </c>
      <c r="L6239" s="2">
        <v>0</v>
      </c>
      <c r="M6239">
        <v>62.64</v>
      </c>
      <c r="N6239" t="s">
        <v>10236</v>
      </c>
    </row>
    <row r="6240" spans="1:14">
      <c r="A6240" t="s">
        <v>219</v>
      </c>
      <c r="B6240" t="s">
        <v>6342</v>
      </c>
      <c r="C6240">
        <f>"PRWPPA"</f>
        <v>0</v>
      </c>
      <c r="D6240">
        <v>0</v>
      </c>
      <c r="E6240">
        <v>0</v>
      </c>
      <c r="F6240" s="2">
        <v>0</v>
      </c>
      <c r="H6240">
        <v>0</v>
      </c>
      <c r="I6240">
        <v>0.1741125760648204</v>
      </c>
      <c r="J6240">
        <v>0</v>
      </c>
      <c r="K6240">
        <v>0</v>
      </c>
      <c r="L6240" s="2">
        <v>0</v>
      </c>
      <c r="M6240">
        <v>62.65</v>
      </c>
      <c r="N6240" t="s">
        <v>10236</v>
      </c>
    </row>
    <row r="6241" spans="1:14">
      <c r="A6241" t="s">
        <v>219</v>
      </c>
      <c r="B6241" t="s">
        <v>6343</v>
      </c>
      <c r="C6241">
        <f>"PRWPPP"</f>
        <v>0</v>
      </c>
      <c r="D6241">
        <v>0</v>
      </c>
      <c r="E6241">
        <v>0</v>
      </c>
      <c r="F6241" s="2">
        <v>0</v>
      </c>
      <c r="H6241">
        <v>0</v>
      </c>
      <c r="I6241">
        <v>0.1741125760648204</v>
      </c>
      <c r="J6241">
        <v>0</v>
      </c>
      <c r="K6241">
        <v>0</v>
      </c>
      <c r="L6241" s="2">
        <v>0</v>
      </c>
      <c r="M6241">
        <v>62.66</v>
      </c>
      <c r="N6241" t="s">
        <v>10236</v>
      </c>
    </row>
    <row r="6242" spans="1:14">
      <c r="A6242" t="s">
        <v>35</v>
      </c>
      <c r="B6242" t="s">
        <v>6344</v>
      </c>
      <c r="C6242">
        <f>"25395730"</f>
        <v>0</v>
      </c>
      <c r="D6242">
        <v>0</v>
      </c>
      <c r="E6242">
        <v>0</v>
      </c>
      <c r="F6242" s="2">
        <v>0</v>
      </c>
      <c r="H6242">
        <v>0</v>
      </c>
      <c r="I6242">
        <v>0.1741125760648204</v>
      </c>
      <c r="J6242">
        <v>0</v>
      </c>
      <c r="K6242">
        <v>0</v>
      </c>
      <c r="L6242" s="2">
        <v>0</v>
      </c>
      <c r="M6242">
        <v>62.66</v>
      </c>
      <c r="N6242" t="s">
        <v>10236</v>
      </c>
    </row>
    <row r="6243" spans="1:14">
      <c r="A6243" t="s">
        <v>196</v>
      </c>
      <c r="B6243" t="s">
        <v>6345</v>
      </c>
      <c r="C6243">
        <f>"2334"</f>
        <v>0</v>
      </c>
      <c r="D6243">
        <v>0</v>
      </c>
      <c r="E6243">
        <v>11</v>
      </c>
      <c r="F6243" s="2">
        <v>0</v>
      </c>
      <c r="H6243">
        <v>0</v>
      </c>
      <c r="I6243">
        <v>0.1741125760648204</v>
      </c>
      <c r="J6243">
        <v>0</v>
      </c>
      <c r="K6243">
        <v>0</v>
      </c>
      <c r="L6243" s="2">
        <v>0</v>
      </c>
      <c r="M6243">
        <v>62.67</v>
      </c>
      <c r="N6243" t="s">
        <v>10236</v>
      </c>
    </row>
    <row r="6244" spans="1:14">
      <c r="A6244" t="s">
        <v>196</v>
      </c>
      <c r="B6244" t="s">
        <v>6346</v>
      </c>
      <c r="C6244">
        <f>"2331"</f>
        <v>0</v>
      </c>
      <c r="D6244">
        <v>0</v>
      </c>
      <c r="E6244">
        <v>3</v>
      </c>
      <c r="F6244" s="2">
        <v>296</v>
      </c>
      <c r="H6244">
        <v>0</v>
      </c>
      <c r="I6244">
        <v>0.1741125760648204</v>
      </c>
      <c r="J6244">
        <v>0</v>
      </c>
      <c r="K6244">
        <v>0</v>
      </c>
      <c r="L6244" s="2">
        <v>0</v>
      </c>
      <c r="M6244">
        <v>62.68</v>
      </c>
      <c r="N6244" t="s">
        <v>10236</v>
      </c>
    </row>
    <row r="6245" spans="1:14">
      <c r="A6245" t="s">
        <v>35</v>
      </c>
      <c r="B6245" t="s">
        <v>6347</v>
      </c>
      <c r="C6245">
        <f>"HC0106"</f>
        <v>0</v>
      </c>
      <c r="D6245">
        <v>0</v>
      </c>
      <c r="E6245">
        <v>0</v>
      </c>
      <c r="F6245" s="2">
        <v>0</v>
      </c>
      <c r="H6245">
        <v>0</v>
      </c>
      <c r="I6245">
        <v>0.1741125760648204</v>
      </c>
      <c r="J6245">
        <v>0</v>
      </c>
      <c r="K6245">
        <v>0</v>
      </c>
      <c r="L6245" s="2">
        <v>0</v>
      </c>
      <c r="M6245">
        <v>62.69</v>
      </c>
      <c r="N6245" t="s">
        <v>10236</v>
      </c>
    </row>
    <row r="6246" spans="1:14">
      <c r="A6246" t="s">
        <v>35</v>
      </c>
      <c r="B6246" t="s">
        <v>6348</v>
      </c>
      <c r="C6246">
        <f>"HC1024"</f>
        <v>0</v>
      </c>
      <c r="D6246">
        <v>0</v>
      </c>
      <c r="E6246">
        <v>0</v>
      </c>
      <c r="F6246" s="2">
        <v>0</v>
      </c>
      <c r="H6246">
        <v>0</v>
      </c>
      <c r="I6246">
        <v>0.1741125760648204</v>
      </c>
      <c r="J6246">
        <v>0</v>
      </c>
      <c r="K6246">
        <v>0</v>
      </c>
      <c r="L6246" s="2">
        <v>0</v>
      </c>
      <c r="M6246">
        <v>62.7</v>
      </c>
      <c r="N6246" t="s">
        <v>10236</v>
      </c>
    </row>
    <row r="6247" spans="1:14">
      <c r="A6247" t="s">
        <v>35</v>
      </c>
      <c r="B6247" t="s">
        <v>6349</v>
      </c>
      <c r="C6247">
        <f>"HC1025"</f>
        <v>0</v>
      </c>
      <c r="D6247">
        <v>0</v>
      </c>
      <c r="E6247">
        <v>0</v>
      </c>
      <c r="F6247" s="2">
        <v>0</v>
      </c>
      <c r="H6247">
        <v>0</v>
      </c>
      <c r="I6247">
        <v>0.1741125760648204</v>
      </c>
      <c r="J6247">
        <v>0</v>
      </c>
      <c r="K6247">
        <v>0</v>
      </c>
      <c r="L6247" s="2">
        <v>0</v>
      </c>
      <c r="M6247">
        <v>62.71</v>
      </c>
      <c r="N6247" t="s">
        <v>10236</v>
      </c>
    </row>
    <row r="6248" spans="1:14">
      <c r="A6248" t="s">
        <v>196</v>
      </c>
      <c r="B6248" t="s">
        <v>6350</v>
      </c>
      <c r="C6248">
        <f>"2327"</f>
        <v>0</v>
      </c>
      <c r="D6248">
        <v>0</v>
      </c>
      <c r="E6248">
        <v>0</v>
      </c>
      <c r="F6248" s="2">
        <v>0</v>
      </c>
      <c r="H6248">
        <v>0</v>
      </c>
      <c r="I6248">
        <v>0.1741125760648204</v>
      </c>
      <c r="J6248">
        <v>0</v>
      </c>
      <c r="K6248">
        <v>0</v>
      </c>
      <c r="L6248" s="2">
        <v>0</v>
      </c>
      <c r="M6248">
        <v>62.72</v>
      </c>
      <c r="N6248" t="s">
        <v>10236</v>
      </c>
    </row>
    <row r="6249" spans="1:14">
      <c r="A6249" t="s">
        <v>196</v>
      </c>
      <c r="B6249" t="s">
        <v>6351</v>
      </c>
      <c r="C6249">
        <f>"2328"</f>
        <v>0</v>
      </c>
      <c r="D6249">
        <v>0</v>
      </c>
      <c r="E6249">
        <v>0</v>
      </c>
      <c r="F6249" s="2">
        <v>0</v>
      </c>
      <c r="H6249">
        <v>0</v>
      </c>
      <c r="I6249">
        <v>0.1741125760648204</v>
      </c>
      <c r="J6249">
        <v>0</v>
      </c>
      <c r="K6249">
        <v>0</v>
      </c>
      <c r="L6249" s="2">
        <v>0</v>
      </c>
      <c r="M6249">
        <v>62.73</v>
      </c>
      <c r="N6249" t="s">
        <v>10236</v>
      </c>
    </row>
    <row r="6250" spans="1:14">
      <c r="A6250" t="s">
        <v>196</v>
      </c>
      <c r="B6250" t="s">
        <v>6352</v>
      </c>
      <c r="C6250">
        <f>"2325"</f>
        <v>0</v>
      </c>
      <c r="D6250">
        <v>0</v>
      </c>
      <c r="E6250">
        <v>0</v>
      </c>
      <c r="F6250" s="2">
        <v>0</v>
      </c>
      <c r="H6250">
        <v>0</v>
      </c>
      <c r="I6250">
        <v>0.1741125760648204</v>
      </c>
      <c r="J6250">
        <v>0</v>
      </c>
      <c r="K6250">
        <v>0</v>
      </c>
      <c r="L6250" s="2">
        <v>0</v>
      </c>
      <c r="M6250">
        <v>62.74</v>
      </c>
      <c r="N6250" t="s">
        <v>10236</v>
      </c>
    </row>
    <row r="6251" spans="1:14">
      <c r="A6251" t="s">
        <v>35</v>
      </c>
      <c r="B6251" t="s">
        <v>6353</v>
      </c>
      <c r="C6251">
        <f>"WO228"</f>
        <v>0</v>
      </c>
      <c r="D6251">
        <v>0</v>
      </c>
      <c r="E6251">
        <v>0</v>
      </c>
      <c r="F6251" s="2">
        <v>0</v>
      </c>
      <c r="H6251">
        <v>0</v>
      </c>
      <c r="I6251">
        <v>0.1741125760648204</v>
      </c>
      <c r="J6251">
        <v>0</v>
      </c>
      <c r="K6251">
        <v>0</v>
      </c>
      <c r="L6251" s="2">
        <v>0</v>
      </c>
      <c r="M6251">
        <v>62.75</v>
      </c>
      <c r="N6251" t="s">
        <v>10236</v>
      </c>
    </row>
    <row r="6252" spans="1:14">
      <c r="A6252" t="s">
        <v>25</v>
      </c>
      <c r="B6252" t="s">
        <v>6354</v>
      </c>
      <c r="C6252">
        <f>"NS40"</f>
        <v>0</v>
      </c>
      <c r="D6252">
        <v>0</v>
      </c>
      <c r="E6252">
        <v>0</v>
      </c>
      <c r="F6252" s="2">
        <v>0</v>
      </c>
      <c r="H6252">
        <v>0</v>
      </c>
      <c r="I6252">
        <v>0.1741125760648204</v>
      </c>
      <c r="J6252">
        <v>0</v>
      </c>
      <c r="K6252">
        <v>0</v>
      </c>
      <c r="L6252" s="2">
        <v>0</v>
      </c>
      <c r="M6252">
        <v>62.76</v>
      </c>
      <c r="N6252" t="s">
        <v>10236</v>
      </c>
    </row>
    <row r="6253" spans="1:14">
      <c r="A6253" t="s">
        <v>35</v>
      </c>
      <c r="B6253" t="s">
        <v>6355</v>
      </c>
      <c r="C6253">
        <f>"DGF01"</f>
        <v>0</v>
      </c>
      <c r="D6253">
        <v>0</v>
      </c>
      <c r="E6253">
        <v>20</v>
      </c>
      <c r="F6253" s="2">
        <v>16</v>
      </c>
      <c r="H6253">
        <v>0</v>
      </c>
      <c r="I6253">
        <v>0.1741125760648204</v>
      </c>
      <c r="J6253">
        <v>0</v>
      </c>
      <c r="K6253">
        <v>0</v>
      </c>
      <c r="L6253" s="2">
        <v>0</v>
      </c>
      <c r="M6253">
        <v>62.77</v>
      </c>
      <c r="N6253" t="s">
        <v>10236</v>
      </c>
    </row>
    <row r="6254" spans="1:14">
      <c r="A6254" t="s">
        <v>35</v>
      </c>
      <c r="B6254" t="s">
        <v>6356</v>
      </c>
      <c r="C6254">
        <f>"07639"</f>
        <v>0</v>
      </c>
      <c r="D6254">
        <v>0</v>
      </c>
      <c r="E6254">
        <v>1</v>
      </c>
      <c r="F6254" s="2">
        <v>3</v>
      </c>
      <c r="H6254">
        <v>0</v>
      </c>
      <c r="I6254">
        <v>0.1741125760648204</v>
      </c>
      <c r="J6254">
        <v>0</v>
      </c>
      <c r="K6254">
        <v>0</v>
      </c>
      <c r="L6254" s="2">
        <v>0</v>
      </c>
      <c r="M6254">
        <v>62.78</v>
      </c>
      <c r="N6254" t="s">
        <v>10236</v>
      </c>
    </row>
    <row r="6255" spans="1:14">
      <c r="A6255" t="s">
        <v>35</v>
      </c>
      <c r="B6255" t="s">
        <v>6357</v>
      </c>
      <c r="C6255">
        <f>"HC1023"</f>
        <v>0</v>
      </c>
      <c r="D6255">
        <v>0</v>
      </c>
      <c r="E6255">
        <v>0</v>
      </c>
      <c r="F6255" s="2">
        <v>0</v>
      </c>
      <c r="H6255">
        <v>0</v>
      </c>
      <c r="I6255">
        <v>0.1741125760648204</v>
      </c>
      <c r="J6255">
        <v>0</v>
      </c>
      <c r="K6255">
        <v>0</v>
      </c>
      <c r="L6255" s="2">
        <v>0</v>
      </c>
      <c r="M6255">
        <v>62.78</v>
      </c>
      <c r="N6255" t="s">
        <v>10236</v>
      </c>
    </row>
    <row r="6256" spans="1:14">
      <c r="A6256" t="s">
        <v>25</v>
      </c>
      <c r="B6256" t="s">
        <v>6358</v>
      </c>
      <c r="C6256">
        <f>"MS005"</f>
        <v>0</v>
      </c>
      <c r="D6256">
        <v>0</v>
      </c>
      <c r="E6256">
        <v>1</v>
      </c>
      <c r="F6256" s="2">
        <v>2</v>
      </c>
      <c r="H6256">
        <v>0</v>
      </c>
      <c r="I6256">
        <v>0.1741125760648204</v>
      </c>
      <c r="J6256">
        <v>0</v>
      </c>
      <c r="K6256">
        <v>0</v>
      </c>
      <c r="L6256" s="2">
        <v>0</v>
      </c>
      <c r="M6256">
        <v>62.79</v>
      </c>
      <c r="N6256" t="s">
        <v>10236</v>
      </c>
    </row>
    <row r="6257" spans="1:14">
      <c r="A6257" t="s">
        <v>35</v>
      </c>
      <c r="B6257" t="s">
        <v>6359</v>
      </c>
      <c r="C6257">
        <f>"CM02"</f>
        <v>0</v>
      </c>
      <c r="D6257">
        <v>0</v>
      </c>
      <c r="E6257">
        <v>0</v>
      </c>
      <c r="F6257" s="2">
        <v>0</v>
      </c>
      <c r="H6257">
        <v>0</v>
      </c>
      <c r="I6257">
        <v>0.1741125760648204</v>
      </c>
      <c r="J6257">
        <v>0</v>
      </c>
      <c r="K6257">
        <v>0</v>
      </c>
      <c r="L6257" s="2">
        <v>0</v>
      </c>
      <c r="M6257">
        <v>62.8</v>
      </c>
      <c r="N6257" t="s">
        <v>10236</v>
      </c>
    </row>
    <row r="6258" spans="1:14">
      <c r="A6258" t="s">
        <v>35</v>
      </c>
      <c r="B6258" t="s">
        <v>6360</v>
      </c>
      <c r="C6258">
        <f>"SG260"</f>
        <v>0</v>
      </c>
      <c r="D6258">
        <v>0</v>
      </c>
      <c r="E6258">
        <v>0</v>
      </c>
      <c r="F6258" s="2">
        <v>0</v>
      </c>
      <c r="H6258">
        <v>0</v>
      </c>
      <c r="I6258">
        <v>0.1741125760648204</v>
      </c>
      <c r="J6258">
        <v>0</v>
      </c>
      <c r="K6258">
        <v>0</v>
      </c>
      <c r="L6258" s="2">
        <v>0</v>
      </c>
      <c r="M6258">
        <v>62.81</v>
      </c>
      <c r="N6258" t="s">
        <v>10236</v>
      </c>
    </row>
    <row r="6259" spans="1:14">
      <c r="A6259" t="s">
        <v>35</v>
      </c>
      <c r="B6259" t="s">
        <v>6361</v>
      </c>
      <c r="C6259">
        <f>"PAS220LR"</f>
        <v>0</v>
      </c>
      <c r="D6259">
        <v>0</v>
      </c>
      <c r="E6259">
        <v>0</v>
      </c>
      <c r="F6259" s="2">
        <v>0</v>
      </c>
      <c r="H6259">
        <v>0</v>
      </c>
      <c r="I6259">
        <v>0.1741125760648204</v>
      </c>
      <c r="J6259">
        <v>0</v>
      </c>
      <c r="K6259">
        <v>0</v>
      </c>
      <c r="L6259" s="2">
        <v>0</v>
      </c>
      <c r="M6259">
        <v>62.82</v>
      </c>
      <c r="N6259" t="s">
        <v>10236</v>
      </c>
    </row>
    <row r="6260" spans="1:14">
      <c r="A6260" t="s">
        <v>35</v>
      </c>
      <c r="B6260" t="s">
        <v>6362</v>
      </c>
      <c r="C6260">
        <f>"PAS220LAZ"</f>
        <v>0</v>
      </c>
      <c r="D6260">
        <v>0</v>
      </c>
      <c r="E6260">
        <v>0</v>
      </c>
      <c r="F6260" s="2">
        <v>0</v>
      </c>
      <c r="H6260">
        <v>0</v>
      </c>
      <c r="I6260">
        <v>0.1741125760648204</v>
      </c>
      <c r="J6260">
        <v>0</v>
      </c>
      <c r="K6260">
        <v>0</v>
      </c>
      <c r="L6260" s="2">
        <v>0</v>
      </c>
      <c r="M6260">
        <v>62.83</v>
      </c>
      <c r="N6260" t="s">
        <v>10236</v>
      </c>
    </row>
    <row r="6261" spans="1:14">
      <c r="A6261" t="s">
        <v>35</v>
      </c>
      <c r="B6261" t="s">
        <v>6363</v>
      </c>
      <c r="C6261">
        <f>"PAS220-SN"</f>
        <v>0</v>
      </c>
      <c r="D6261">
        <v>0</v>
      </c>
      <c r="E6261">
        <v>0</v>
      </c>
      <c r="F6261" s="2">
        <v>0</v>
      </c>
      <c r="H6261">
        <v>0</v>
      </c>
      <c r="I6261">
        <v>0.1741125760648204</v>
      </c>
      <c r="J6261">
        <v>0</v>
      </c>
      <c r="K6261">
        <v>0</v>
      </c>
      <c r="L6261" s="2">
        <v>0</v>
      </c>
      <c r="M6261">
        <v>62.84</v>
      </c>
      <c r="N6261" t="s">
        <v>10236</v>
      </c>
    </row>
    <row r="6262" spans="1:14">
      <c r="A6262" t="s">
        <v>35</v>
      </c>
      <c r="B6262" t="s">
        <v>6363</v>
      </c>
      <c r="C6262">
        <f>"PAS220MAZ"</f>
        <v>0</v>
      </c>
      <c r="D6262">
        <v>0</v>
      </c>
      <c r="E6262">
        <v>0</v>
      </c>
      <c r="F6262" s="2">
        <v>0</v>
      </c>
      <c r="H6262">
        <v>0</v>
      </c>
      <c r="I6262">
        <v>0.1741125760648204</v>
      </c>
      <c r="J6262">
        <v>0</v>
      </c>
      <c r="K6262">
        <v>0</v>
      </c>
      <c r="L6262" s="2">
        <v>0</v>
      </c>
      <c r="M6262">
        <v>62.85</v>
      </c>
      <c r="N6262" t="s">
        <v>10236</v>
      </c>
    </row>
    <row r="6263" spans="1:14">
      <c r="A6263" t="s">
        <v>29</v>
      </c>
      <c r="B6263" t="s">
        <v>6364</v>
      </c>
      <c r="C6263">
        <f>"CH6258"</f>
        <v>0</v>
      </c>
      <c r="D6263">
        <v>0</v>
      </c>
      <c r="E6263">
        <v>0</v>
      </c>
      <c r="F6263" s="2">
        <v>0</v>
      </c>
      <c r="H6263">
        <v>0</v>
      </c>
      <c r="I6263">
        <v>0.1741125760648204</v>
      </c>
      <c r="J6263">
        <v>0</v>
      </c>
      <c r="K6263">
        <v>0</v>
      </c>
      <c r="L6263" s="2">
        <v>0</v>
      </c>
      <c r="M6263">
        <v>62.86</v>
      </c>
      <c r="N6263" t="s">
        <v>10236</v>
      </c>
    </row>
    <row r="6264" spans="1:14">
      <c r="A6264" t="s">
        <v>29</v>
      </c>
      <c r="B6264" t="s">
        <v>6365</v>
      </c>
      <c r="C6264">
        <f>"CH5170"</f>
        <v>0</v>
      </c>
      <c r="D6264">
        <v>0</v>
      </c>
      <c r="E6264">
        <v>0</v>
      </c>
      <c r="F6264" s="2">
        <v>0</v>
      </c>
      <c r="H6264">
        <v>0</v>
      </c>
      <c r="I6264">
        <v>0.1741125760648204</v>
      </c>
      <c r="J6264">
        <v>0</v>
      </c>
      <c r="K6264">
        <v>0</v>
      </c>
      <c r="L6264" s="2">
        <v>0</v>
      </c>
      <c r="M6264">
        <v>62.87</v>
      </c>
      <c r="N6264" t="s">
        <v>10236</v>
      </c>
    </row>
    <row r="6265" spans="1:14">
      <c r="A6265" t="s">
        <v>29</v>
      </c>
      <c r="B6265" t="s">
        <v>6366</v>
      </c>
      <c r="C6265">
        <f>"CH1836"</f>
        <v>0</v>
      </c>
      <c r="D6265">
        <v>0</v>
      </c>
      <c r="E6265">
        <v>0</v>
      </c>
      <c r="F6265" s="2">
        <v>0</v>
      </c>
      <c r="H6265">
        <v>0</v>
      </c>
      <c r="I6265">
        <v>0.1741125760648204</v>
      </c>
      <c r="J6265">
        <v>0</v>
      </c>
      <c r="K6265">
        <v>0</v>
      </c>
      <c r="L6265" s="2">
        <v>0</v>
      </c>
      <c r="M6265">
        <v>62.88</v>
      </c>
      <c r="N6265" t="s">
        <v>10236</v>
      </c>
    </row>
    <row r="6266" spans="1:14">
      <c r="A6266" t="s">
        <v>29</v>
      </c>
      <c r="B6266" t="s">
        <v>6367</v>
      </c>
      <c r="C6266">
        <f>"U780S"</f>
        <v>0</v>
      </c>
      <c r="D6266">
        <v>0</v>
      </c>
      <c r="E6266">
        <v>0</v>
      </c>
      <c r="F6266" s="2">
        <v>0</v>
      </c>
      <c r="H6266">
        <v>0</v>
      </c>
      <c r="I6266">
        <v>0.1741125760648204</v>
      </c>
      <c r="J6266">
        <v>0</v>
      </c>
      <c r="K6266">
        <v>0</v>
      </c>
      <c r="L6266" s="2">
        <v>0</v>
      </c>
      <c r="M6266">
        <v>62.89</v>
      </c>
      <c r="N6266" t="s">
        <v>10236</v>
      </c>
    </row>
    <row r="6267" spans="1:14">
      <c r="A6267" t="s">
        <v>29</v>
      </c>
      <c r="B6267" t="s">
        <v>6368</v>
      </c>
      <c r="C6267">
        <f>"U817"</f>
        <v>0</v>
      </c>
      <c r="D6267">
        <v>0</v>
      </c>
      <c r="E6267">
        <v>0</v>
      </c>
      <c r="F6267" s="2">
        <v>0</v>
      </c>
      <c r="H6267">
        <v>0</v>
      </c>
      <c r="I6267">
        <v>0.1741125760648204</v>
      </c>
      <c r="J6267">
        <v>0</v>
      </c>
      <c r="K6267">
        <v>0</v>
      </c>
      <c r="L6267" s="2">
        <v>0</v>
      </c>
      <c r="M6267">
        <v>62.9</v>
      </c>
      <c r="N6267" t="s">
        <v>10236</v>
      </c>
    </row>
    <row r="6268" spans="1:14">
      <c r="A6268" t="s">
        <v>35</v>
      </c>
      <c r="B6268" t="s">
        <v>6369</v>
      </c>
      <c r="C6268">
        <f>"DGF02"</f>
        <v>0</v>
      </c>
      <c r="D6268">
        <v>0</v>
      </c>
      <c r="E6268">
        <v>24</v>
      </c>
      <c r="F6268" s="2">
        <v>13</v>
      </c>
      <c r="H6268">
        <v>0</v>
      </c>
      <c r="I6268">
        <v>0.1741125760648204</v>
      </c>
      <c r="J6268">
        <v>0</v>
      </c>
      <c r="K6268">
        <v>0</v>
      </c>
      <c r="L6268" s="2">
        <v>0</v>
      </c>
      <c r="M6268">
        <v>62.9</v>
      </c>
      <c r="N6268" t="s">
        <v>10236</v>
      </c>
    </row>
    <row r="6269" spans="1:14">
      <c r="A6269" t="s">
        <v>35</v>
      </c>
      <c r="B6269" t="s">
        <v>6370</v>
      </c>
      <c r="C6269">
        <f>"SK3024"</f>
        <v>0</v>
      </c>
      <c r="D6269">
        <v>0</v>
      </c>
      <c r="E6269">
        <v>0</v>
      </c>
      <c r="F6269" s="2">
        <v>0</v>
      </c>
      <c r="H6269">
        <v>0</v>
      </c>
      <c r="I6269">
        <v>0.1741125760648204</v>
      </c>
      <c r="J6269">
        <v>0</v>
      </c>
      <c r="K6269">
        <v>0</v>
      </c>
      <c r="L6269" s="2">
        <v>0</v>
      </c>
      <c r="M6269">
        <v>62.91</v>
      </c>
      <c r="N6269" t="s">
        <v>10236</v>
      </c>
    </row>
    <row r="6270" spans="1:14">
      <c r="A6270" t="s">
        <v>35</v>
      </c>
      <c r="B6270" t="s">
        <v>6371</v>
      </c>
      <c r="C6270">
        <f>"SK3026"</f>
        <v>0</v>
      </c>
      <c r="D6270">
        <v>0</v>
      </c>
      <c r="E6270">
        <v>0</v>
      </c>
      <c r="F6270" s="2">
        <v>0</v>
      </c>
      <c r="H6270">
        <v>0</v>
      </c>
      <c r="I6270">
        <v>0.1741125760648204</v>
      </c>
      <c r="J6270">
        <v>0</v>
      </c>
      <c r="K6270">
        <v>0</v>
      </c>
      <c r="L6270" s="2">
        <v>0</v>
      </c>
      <c r="M6270">
        <v>62.92</v>
      </c>
      <c r="N6270" t="s">
        <v>10236</v>
      </c>
    </row>
    <row r="6271" spans="1:14">
      <c r="A6271" t="s">
        <v>24</v>
      </c>
      <c r="B6271" t="s">
        <v>6372</v>
      </c>
      <c r="C6271">
        <f>"1158401"</f>
        <v>0</v>
      </c>
      <c r="D6271">
        <v>0</v>
      </c>
      <c r="E6271">
        <v>2</v>
      </c>
      <c r="F6271" s="2">
        <v>6</v>
      </c>
      <c r="H6271">
        <v>0</v>
      </c>
      <c r="I6271">
        <v>0.1741125760648204</v>
      </c>
      <c r="J6271">
        <v>0</v>
      </c>
      <c r="K6271">
        <v>0</v>
      </c>
      <c r="L6271" s="2">
        <v>0</v>
      </c>
      <c r="M6271">
        <v>62.93</v>
      </c>
      <c r="N6271" t="s">
        <v>10236</v>
      </c>
    </row>
    <row r="6272" spans="1:14">
      <c r="A6272" t="s">
        <v>24</v>
      </c>
      <c r="B6272" t="s">
        <v>6373</v>
      </c>
      <c r="C6272">
        <f>"1571001"</f>
        <v>0</v>
      </c>
      <c r="D6272">
        <v>0</v>
      </c>
      <c r="E6272">
        <v>1</v>
      </c>
      <c r="F6272" s="2">
        <v>4</v>
      </c>
      <c r="H6272">
        <v>0</v>
      </c>
      <c r="I6272">
        <v>0.1741125760648204</v>
      </c>
      <c r="J6272">
        <v>0</v>
      </c>
      <c r="K6272">
        <v>0</v>
      </c>
      <c r="L6272" s="2">
        <v>0</v>
      </c>
      <c r="M6272">
        <v>62.94</v>
      </c>
      <c r="N6272" t="s">
        <v>10236</v>
      </c>
    </row>
    <row r="6273" spans="1:14">
      <c r="A6273" t="s">
        <v>35</v>
      </c>
      <c r="B6273" t="s">
        <v>6374</v>
      </c>
      <c r="C6273">
        <f>"870400"</f>
        <v>0</v>
      </c>
      <c r="D6273">
        <v>0</v>
      </c>
      <c r="E6273">
        <v>1</v>
      </c>
      <c r="F6273" s="2">
        <v>8</v>
      </c>
      <c r="H6273">
        <v>0</v>
      </c>
      <c r="I6273">
        <v>0.1741125760648204</v>
      </c>
      <c r="J6273">
        <v>0</v>
      </c>
      <c r="K6273">
        <v>0</v>
      </c>
      <c r="L6273" s="2">
        <v>0</v>
      </c>
      <c r="M6273">
        <v>62.95</v>
      </c>
      <c r="N6273" t="s">
        <v>10236</v>
      </c>
    </row>
    <row r="6274" spans="1:14">
      <c r="A6274" t="s">
        <v>25</v>
      </c>
      <c r="B6274" t="s">
        <v>6375</v>
      </c>
      <c r="C6274">
        <f>"RJ723"</f>
        <v>0</v>
      </c>
      <c r="D6274">
        <v>0</v>
      </c>
      <c r="E6274">
        <v>0</v>
      </c>
      <c r="F6274" s="2">
        <v>0</v>
      </c>
      <c r="H6274">
        <v>0</v>
      </c>
      <c r="I6274">
        <v>0.1741125760648204</v>
      </c>
      <c r="J6274">
        <v>0</v>
      </c>
      <c r="K6274">
        <v>0</v>
      </c>
      <c r="L6274" s="2">
        <v>0</v>
      </c>
      <c r="M6274">
        <v>62.96</v>
      </c>
      <c r="N6274" t="s">
        <v>10236</v>
      </c>
    </row>
    <row r="6275" spans="1:14">
      <c r="A6275" t="s">
        <v>192</v>
      </c>
      <c r="B6275" t="s">
        <v>6376</v>
      </c>
      <c r="C6275">
        <f>"HD9073"</f>
        <v>0</v>
      </c>
      <c r="D6275">
        <v>0</v>
      </c>
      <c r="E6275">
        <v>0</v>
      </c>
      <c r="F6275" s="2">
        <v>0</v>
      </c>
      <c r="H6275">
        <v>0</v>
      </c>
      <c r="I6275">
        <v>0.1741125760648204</v>
      </c>
      <c r="J6275">
        <v>0</v>
      </c>
      <c r="K6275">
        <v>0</v>
      </c>
      <c r="L6275" s="2">
        <v>0</v>
      </c>
      <c r="M6275">
        <v>62.97</v>
      </c>
      <c r="N6275" t="s">
        <v>10236</v>
      </c>
    </row>
    <row r="6276" spans="1:14">
      <c r="A6276" t="s">
        <v>192</v>
      </c>
      <c r="B6276" t="s">
        <v>6377</v>
      </c>
      <c r="C6276">
        <f>"B307B"</f>
        <v>0</v>
      </c>
      <c r="D6276">
        <v>0</v>
      </c>
      <c r="E6276">
        <v>0</v>
      </c>
      <c r="F6276" s="2">
        <v>0</v>
      </c>
      <c r="H6276">
        <v>0</v>
      </c>
      <c r="I6276">
        <v>0.1741125760648204</v>
      </c>
      <c r="J6276">
        <v>0</v>
      </c>
      <c r="K6276">
        <v>0</v>
      </c>
      <c r="L6276" s="2">
        <v>0</v>
      </c>
      <c r="M6276">
        <v>62.98</v>
      </c>
      <c r="N6276" t="s">
        <v>10236</v>
      </c>
    </row>
    <row r="6277" spans="1:14">
      <c r="A6277" t="s">
        <v>192</v>
      </c>
      <c r="B6277" t="s">
        <v>245</v>
      </c>
      <c r="C6277">
        <f>"HD9060"</f>
        <v>0</v>
      </c>
      <c r="D6277">
        <v>0</v>
      </c>
      <c r="E6277">
        <v>0</v>
      </c>
      <c r="F6277" s="2">
        <v>0</v>
      </c>
      <c r="H6277">
        <v>0</v>
      </c>
      <c r="I6277">
        <v>0.1741125760648204</v>
      </c>
      <c r="J6277">
        <v>0</v>
      </c>
      <c r="K6277">
        <v>0</v>
      </c>
      <c r="L6277" s="2">
        <v>0</v>
      </c>
      <c r="M6277">
        <v>62.99</v>
      </c>
      <c r="N6277" t="s">
        <v>10236</v>
      </c>
    </row>
    <row r="6278" spans="1:14">
      <c r="A6278" t="s">
        <v>25</v>
      </c>
      <c r="B6278" t="s">
        <v>6378</v>
      </c>
      <c r="C6278">
        <f>"LS110"</f>
        <v>0</v>
      </c>
      <c r="D6278">
        <v>0</v>
      </c>
      <c r="E6278">
        <v>0</v>
      </c>
      <c r="F6278" s="2">
        <v>0</v>
      </c>
      <c r="H6278">
        <v>0</v>
      </c>
      <c r="I6278">
        <v>0.1741125760648204</v>
      </c>
      <c r="J6278">
        <v>0</v>
      </c>
      <c r="K6278">
        <v>0</v>
      </c>
      <c r="L6278" s="2">
        <v>0</v>
      </c>
      <c r="M6278">
        <v>63</v>
      </c>
      <c r="N6278" t="s">
        <v>10236</v>
      </c>
    </row>
    <row r="6279" spans="1:14">
      <c r="A6279" t="s">
        <v>25</v>
      </c>
      <c r="B6279" t="s">
        <v>6379</v>
      </c>
      <c r="C6279">
        <f>"LS1030"</f>
        <v>0</v>
      </c>
      <c r="D6279">
        <v>0</v>
      </c>
      <c r="E6279">
        <v>2</v>
      </c>
      <c r="F6279" s="2">
        <v>1</v>
      </c>
      <c r="H6279">
        <v>0</v>
      </c>
      <c r="I6279">
        <v>0.1741125760648204</v>
      </c>
      <c r="J6279">
        <v>0</v>
      </c>
      <c r="K6279">
        <v>0</v>
      </c>
      <c r="L6279" s="2">
        <v>0</v>
      </c>
      <c r="M6279">
        <v>63.01</v>
      </c>
      <c r="N6279" t="s">
        <v>10236</v>
      </c>
    </row>
    <row r="6280" spans="1:14">
      <c r="A6280" t="s">
        <v>192</v>
      </c>
      <c r="B6280" t="s">
        <v>6380</v>
      </c>
      <c r="C6280">
        <f>"F15"</f>
        <v>0</v>
      </c>
      <c r="D6280">
        <v>0</v>
      </c>
      <c r="E6280">
        <v>0</v>
      </c>
      <c r="F6280" s="2">
        <v>0</v>
      </c>
      <c r="H6280">
        <v>0</v>
      </c>
      <c r="I6280">
        <v>0.1741125760648204</v>
      </c>
      <c r="J6280">
        <v>0</v>
      </c>
      <c r="K6280">
        <v>0</v>
      </c>
      <c r="L6280" s="2">
        <v>0</v>
      </c>
      <c r="M6280">
        <v>63.02</v>
      </c>
      <c r="N6280" t="s">
        <v>10236</v>
      </c>
    </row>
    <row r="6281" spans="1:14">
      <c r="A6281" t="s">
        <v>203</v>
      </c>
      <c r="B6281" t="s">
        <v>6381</v>
      </c>
      <c r="C6281">
        <f>"553005"</f>
        <v>0</v>
      </c>
      <c r="D6281">
        <v>0</v>
      </c>
      <c r="E6281">
        <v>0</v>
      </c>
      <c r="F6281" s="2">
        <v>0</v>
      </c>
      <c r="H6281">
        <v>0</v>
      </c>
      <c r="I6281">
        <v>0.1741125760648204</v>
      </c>
      <c r="J6281">
        <v>0</v>
      </c>
      <c r="K6281">
        <v>0</v>
      </c>
      <c r="L6281" s="2">
        <v>0</v>
      </c>
      <c r="M6281">
        <v>63.02</v>
      </c>
      <c r="N6281" t="s">
        <v>10236</v>
      </c>
    </row>
    <row r="6282" spans="1:14">
      <c r="A6282" t="s">
        <v>203</v>
      </c>
      <c r="B6282" t="s">
        <v>6382</v>
      </c>
      <c r="C6282">
        <f>"512145"</f>
        <v>0</v>
      </c>
      <c r="D6282">
        <v>0</v>
      </c>
      <c r="E6282">
        <v>0</v>
      </c>
      <c r="F6282" s="2">
        <v>0</v>
      </c>
      <c r="H6282">
        <v>0</v>
      </c>
      <c r="I6282">
        <v>0.1741125760648204</v>
      </c>
      <c r="J6282">
        <v>0</v>
      </c>
      <c r="K6282">
        <v>0</v>
      </c>
      <c r="L6282" s="2">
        <v>0</v>
      </c>
      <c r="M6282">
        <v>63.03</v>
      </c>
      <c r="N6282" t="s">
        <v>10236</v>
      </c>
    </row>
    <row r="6283" spans="1:14">
      <c r="A6283" t="s">
        <v>35</v>
      </c>
      <c r="B6283" t="s">
        <v>6383</v>
      </c>
      <c r="C6283">
        <f>"SK3027"</f>
        <v>0</v>
      </c>
      <c r="D6283">
        <v>0</v>
      </c>
      <c r="E6283">
        <v>0</v>
      </c>
      <c r="F6283" s="2">
        <v>0</v>
      </c>
      <c r="H6283">
        <v>0</v>
      </c>
      <c r="I6283">
        <v>0.1741125760648204</v>
      </c>
      <c r="J6283">
        <v>0</v>
      </c>
      <c r="K6283">
        <v>0</v>
      </c>
      <c r="L6283" s="2">
        <v>0</v>
      </c>
      <c r="M6283">
        <v>63.04</v>
      </c>
      <c r="N6283" t="s">
        <v>10236</v>
      </c>
    </row>
    <row r="6284" spans="1:14">
      <c r="A6284" t="s">
        <v>203</v>
      </c>
      <c r="B6284" t="s">
        <v>6384</v>
      </c>
      <c r="C6284">
        <f>"513145"</f>
        <v>0</v>
      </c>
      <c r="D6284">
        <v>0</v>
      </c>
      <c r="E6284">
        <v>0</v>
      </c>
      <c r="F6284" s="2">
        <v>0</v>
      </c>
      <c r="H6284">
        <v>0</v>
      </c>
      <c r="I6284">
        <v>0.1741125760648204</v>
      </c>
      <c r="J6284">
        <v>0</v>
      </c>
      <c r="K6284">
        <v>0</v>
      </c>
      <c r="L6284" s="2">
        <v>0</v>
      </c>
      <c r="M6284">
        <v>63.05</v>
      </c>
      <c r="N6284" t="s">
        <v>10236</v>
      </c>
    </row>
    <row r="6285" spans="1:14">
      <c r="A6285" t="s">
        <v>203</v>
      </c>
      <c r="B6285" t="s">
        <v>6385</v>
      </c>
      <c r="C6285">
        <f>"513135"</f>
        <v>0</v>
      </c>
      <c r="D6285">
        <v>0</v>
      </c>
      <c r="E6285">
        <v>0</v>
      </c>
      <c r="F6285" s="2">
        <v>0</v>
      </c>
      <c r="H6285">
        <v>0</v>
      </c>
      <c r="I6285">
        <v>0.1741125760648204</v>
      </c>
      <c r="J6285">
        <v>0</v>
      </c>
      <c r="K6285">
        <v>0</v>
      </c>
      <c r="L6285" s="2">
        <v>0</v>
      </c>
      <c r="M6285">
        <v>63.06</v>
      </c>
      <c r="N6285" t="s">
        <v>10236</v>
      </c>
    </row>
    <row r="6286" spans="1:14">
      <c r="A6286" t="s">
        <v>203</v>
      </c>
      <c r="B6286" t="s">
        <v>6386</v>
      </c>
      <c r="C6286">
        <f>"513125"</f>
        <v>0</v>
      </c>
      <c r="D6286">
        <v>0</v>
      </c>
      <c r="E6286">
        <v>0</v>
      </c>
      <c r="F6286" s="2">
        <v>0</v>
      </c>
      <c r="H6286">
        <v>0</v>
      </c>
      <c r="I6286">
        <v>0.1741125760648204</v>
      </c>
      <c r="J6286">
        <v>0</v>
      </c>
      <c r="K6286">
        <v>0</v>
      </c>
      <c r="L6286" s="2">
        <v>0</v>
      </c>
      <c r="M6286">
        <v>63.07</v>
      </c>
      <c r="N6286" t="s">
        <v>10236</v>
      </c>
    </row>
    <row r="6287" spans="1:14">
      <c r="A6287" t="s">
        <v>203</v>
      </c>
      <c r="B6287" t="s">
        <v>6387</v>
      </c>
      <c r="C6287">
        <f>"512125"</f>
        <v>0</v>
      </c>
      <c r="D6287">
        <v>0</v>
      </c>
      <c r="E6287">
        <v>1</v>
      </c>
      <c r="F6287" s="2">
        <v>3</v>
      </c>
      <c r="H6287">
        <v>0</v>
      </c>
      <c r="I6287">
        <v>0.1741125760648204</v>
      </c>
      <c r="J6287">
        <v>0</v>
      </c>
      <c r="K6287">
        <v>0</v>
      </c>
      <c r="L6287" s="2">
        <v>0</v>
      </c>
      <c r="M6287">
        <v>63.08</v>
      </c>
      <c r="N6287" t="s">
        <v>10236</v>
      </c>
    </row>
    <row r="6288" spans="1:14">
      <c r="A6288" t="s">
        <v>32</v>
      </c>
      <c r="B6288" t="s">
        <v>292</v>
      </c>
      <c r="C6288">
        <f>"1022552"</f>
        <v>0</v>
      </c>
      <c r="D6288">
        <v>0</v>
      </c>
      <c r="E6288">
        <v>9</v>
      </c>
      <c r="F6288" s="2">
        <v>11</v>
      </c>
      <c r="H6288">
        <v>0</v>
      </c>
      <c r="I6288">
        <v>0.1741125760648204</v>
      </c>
      <c r="J6288">
        <v>0</v>
      </c>
      <c r="K6288">
        <v>0</v>
      </c>
      <c r="L6288" s="2">
        <v>0</v>
      </c>
      <c r="M6288">
        <v>63.09</v>
      </c>
      <c r="N6288" t="s">
        <v>10236</v>
      </c>
    </row>
    <row r="6289" spans="1:14">
      <c r="A6289" t="s">
        <v>24</v>
      </c>
      <c r="B6289" t="s">
        <v>6388</v>
      </c>
      <c r="C6289">
        <f>"1113453"</f>
        <v>0</v>
      </c>
      <c r="D6289">
        <v>0</v>
      </c>
      <c r="E6289">
        <v>0</v>
      </c>
      <c r="F6289" s="2">
        <v>0</v>
      </c>
      <c r="H6289">
        <v>0</v>
      </c>
      <c r="I6289">
        <v>0.1741125760648204</v>
      </c>
      <c r="J6289">
        <v>0</v>
      </c>
      <c r="K6289">
        <v>0</v>
      </c>
      <c r="L6289" s="2">
        <v>0</v>
      </c>
      <c r="M6289">
        <v>63.1</v>
      </c>
      <c r="N6289" t="s">
        <v>10236</v>
      </c>
    </row>
    <row r="6290" spans="1:14">
      <c r="A6290" t="s">
        <v>24</v>
      </c>
      <c r="B6290" t="s">
        <v>6389</v>
      </c>
      <c r="C6290">
        <f>"1018501"</f>
        <v>0</v>
      </c>
      <c r="D6290">
        <v>0</v>
      </c>
      <c r="E6290">
        <v>0</v>
      </c>
      <c r="F6290" s="2">
        <v>0</v>
      </c>
      <c r="H6290">
        <v>0</v>
      </c>
      <c r="I6290">
        <v>0.1741125760648204</v>
      </c>
      <c r="J6290">
        <v>0</v>
      </c>
      <c r="K6290">
        <v>0</v>
      </c>
      <c r="L6290" s="2">
        <v>0</v>
      </c>
      <c r="M6290">
        <v>63.11</v>
      </c>
      <c r="N6290" t="s">
        <v>10236</v>
      </c>
    </row>
    <row r="6291" spans="1:14">
      <c r="A6291" t="s">
        <v>223</v>
      </c>
      <c r="B6291" t="s">
        <v>6390</v>
      </c>
      <c r="C6291">
        <f>"BC33H12"</f>
        <v>0</v>
      </c>
      <c r="D6291">
        <v>0</v>
      </c>
      <c r="E6291">
        <v>0</v>
      </c>
      <c r="F6291" s="2">
        <v>0</v>
      </c>
      <c r="H6291">
        <v>0</v>
      </c>
      <c r="I6291">
        <v>0.1741125760648204</v>
      </c>
      <c r="J6291">
        <v>0</v>
      </c>
      <c r="K6291">
        <v>0</v>
      </c>
      <c r="L6291" s="2">
        <v>0</v>
      </c>
      <c r="M6291">
        <v>63.12</v>
      </c>
      <c r="N6291" t="s">
        <v>10236</v>
      </c>
    </row>
    <row r="6292" spans="1:14">
      <c r="A6292" t="s">
        <v>223</v>
      </c>
      <c r="B6292" t="s">
        <v>6391</v>
      </c>
      <c r="C6292">
        <f>"BC33J13"</f>
        <v>0</v>
      </c>
      <c r="D6292">
        <v>0</v>
      </c>
      <c r="E6292">
        <v>0</v>
      </c>
      <c r="F6292" s="2">
        <v>0</v>
      </c>
      <c r="H6292">
        <v>0</v>
      </c>
      <c r="I6292">
        <v>0.1741125760648204</v>
      </c>
      <c r="J6292">
        <v>0</v>
      </c>
      <c r="K6292">
        <v>0</v>
      </c>
      <c r="L6292" s="2">
        <v>0</v>
      </c>
      <c r="M6292">
        <v>63.13</v>
      </c>
      <c r="N6292" t="s">
        <v>10236</v>
      </c>
    </row>
    <row r="6293" spans="1:14">
      <c r="A6293" t="s">
        <v>29</v>
      </c>
      <c r="B6293" t="s">
        <v>6392</v>
      </c>
      <c r="C6293">
        <f>"CHD001"</f>
        <v>0</v>
      </c>
      <c r="D6293">
        <v>0</v>
      </c>
      <c r="E6293">
        <v>1</v>
      </c>
      <c r="F6293" s="2">
        <v>2</v>
      </c>
      <c r="H6293">
        <v>0</v>
      </c>
      <c r="I6293">
        <v>0.1741125760648204</v>
      </c>
      <c r="J6293">
        <v>0</v>
      </c>
      <c r="K6293">
        <v>0</v>
      </c>
      <c r="L6293" s="2">
        <v>0</v>
      </c>
      <c r="M6293">
        <v>63.13</v>
      </c>
      <c r="N6293" t="s">
        <v>10236</v>
      </c>
    </row>
    <row r="6294" spans="1:14">
      <c r="A6294" t="s">
        <v>29</v>
      </c>
      <c r="B6294" t="s">
        <v>6393</v>
      </c>
      <c r="C6294">
        <f>"CHD002"</f>
        <v>0</v>
      </c>
      <c r="D6294">
        <v>0</v>
      </c>
      <c r="E6294">
        <v>0</v>
      </c>
      <c r="F6294" s="2">
        <v>0</v>
      </c>
      <c r="H6294">
        <v>0</v>
      </c>
      <c r="I6294">
        <v>0.1741125760648204</v>
      </c>
      <c r="J6294">
        <v>0</v>
      </c>
      <c r="K6294">
        <v>0</v>
      </c>
      <c r="L6294" s="2">
        <v>0</v>
      </c>
      <c r="M6294">
        <v>63.14</v>
      </c>
      <c r="N6294" t="s">
        <v>10236</v>
      </c>
    </row>
    <row r="6295" spans="1:14">
      <c r="A6295" t="s">
        <v>29</v>
      </c>
      <c r="B6295" t="s">
        <v>6394</v>
      </c>
      <c r="C6295">
        <f>"CHD003"</f>
        <v>0</v>
      </c>
      <c r="D6295">
        <v>0</v>
      </c>
      <c r="E6295">
        <v>1</v>
      </c>
      <c r="F6295" s="2">
        <v>4</v>
      </c>
      <c r="H6295">
        <v>0</v>
      </c>
      <c r="I6295">
        <v>0.1741125760648204</v>
      </c>
      <c r="J6295">
        <v>0</v>
      </c>
      <c r="K6295">
        <v>0</v>
      </c>
      <c r="L6295" s="2">
        <v>0</v>
      </c>
      <c r="M6295">
        <v>63.15</v>
      </c>
      <c r="N6295" t="s">
        <v>10236</v>
      </c>
    </row>
    <row r="6296" spans="1:14">
      <c r="A6296" t="s">
        <v>29</v>
      </c>
      <c r="B6296" t="s">
        <v>6395</v>
      </c>
      <c r="C6296">
        <f>"CH22273CS"</f>
        <v>0</v>
      </c>
      <c r="D6296">
        <v>0</v>
      </c>
      <c r="E6296">
        <v>0</v>
      </c>
      <c r="F6296" s="2">
        <v>0</v>
      </c>
      <c r="H6296">
        <v>0</v>
      </c>
      <c r="I6296">
        <v>0.1741125760648204</v>
      </c>
      <c r="J6296">
        <v>0</v>
      </c>
      <c r="K6296">
        <v>0</v>
      </c>
      <c r="L6296" s="2">
        <v>0</v>
      </c>
      <c r="M6296">
        <v>63.16</v>
      </c>
      <c r="N6296" t="s">
        <v>10236</v>
      </c>
    </row>
    <row r="6297" spans="1:14">
      <c r="A6297" t="s">
        <v>29</v>
      </c>
      <c r="B6297" t="s">
        <v>6396</v>
      </c>
      <c r="C6297">
        <f>"CH6768"</f>
        <v>0</v>
      </c>
      <c r="D6297">
        <v>0</v>
      </c>
      <c r="E6297">
        <v>4</v>
      </c>
      <c r="F6297" s="2">
        <v>2</v>
      </c>
      <c r="H6297">
        <v>0</v>
      </c>
      <c r="I6297">
        <v>0.1741125760648204</v>
      </c>
      <c r="J6297">
        <v>0</v>
      </c>
      <c r="K6297">
        <v>0</v>
      </c>
      <c r="L6297" s="2">
        <v>0</v>
      </c>
      <c r="M6297">
        <v>63.17</v>
      </c>
      <c r="N6297" t="s">
        <v>10236</v>
      </c>
    </row>
    <row r="6298" spans="1:14">
      <c r="A6298" t="s">
        <v>29</v>
      </c>
      <c r="B6298" t="s">
        <v>6397</v>
      </c>
      <c r="C6298">
        <f>"CH3843"</f>
        <v>0</v>
      </c>
      <c r="D6298">
        <v>0</v>
      </c>
      <c r="E6298">
        <v>0</v>
      </c>
      <c r="F6298" s="2">
        <v>0</v>
      </c>
      <c r="H6298">
        <v>0</v>
      </c>
      <c r="I6298">
        <v>0.1741125760648204</v>
      </c>
      <c r="J6298">
        <v>0</v>
      </c>
      <c r="K6298">
        <v>0</v>
      </c>
      <c r="L6298" s="2">
        <v>0</v>
      </c>
      <c r="M6298">
        <v>63.18</v>
      </c>
      <c r="N6298" t="s">
        <v>10236</v>
      </c>
    </row>
    <row r="6299" spans="1:14">
      <c r="A6299" t="s">
        <v>203</v>
      </c>
      <c r="B6299" t="s">
        <v>6398</v>
      </c>
      <c r="C6299">
        <f>"513255"</f>
        <v>0</v>
      </c>
      <c r="D6299">
        <v>0</v>
      </c>
      <c r="E6299">
        <v>0</v>
      </c>
      <c r="F6299" s="2">
        <v>0</v>
      </c>
      <c r="H6299">
        <v>0</v>
      </c>
      <c r="I6299">
        <v>0.1741125760648204</v>
      </c>
      <c r="J6299">
        <v>0</v>
      </c>
      <c r="K6299">
        <v>0</v>
      </c>
      <c r="L6299" s="2">
        <v>0</v>
      </c>
      <c r="M6299">
        <v>63.19</v>
      </c>
      <c r="N6299" t="s">
        <v>10236</v>
      </c>
    </row>
    <row r="6300" spans="1:14">
      <c r="A6300" t="s">
        <v>35</v>
      </c>
      <c r="B6300" t="s">
        <v>6399</v>
      </c>
      <c r="C6300">
        <f>"SK3053"</f>
        <v>0</v>
      </c>
      <c r="D6300">
        <v>0</v>
      </c>
      <c r="E6300">
        <v>0</v>
      </c>
      <c r="F6300" s="2">
        <v>0</v>
      </c>
      <c r="H6300">
        <v>0</v>
      </c>
      <c r="I6300">
        <v>0.1741125760648204</v>
      </c>
      <c r="J6300">
        <v>0</v>
      </c>
      <c r="K6300">
        <v>0</v>
      </c>
      <c r="L6300" s="2">
        <v>0</v>
      </c>
      <c r="M6300">
        <v>63.2</v>
      </c>
      <c r="N6300" t="s">
        <v>10236</v>
      </c>
    </row>
    <row r="6301" spans="1:14">
      <c r="A6301" t="s">
        <v>35</v>
      </c>
      <c r="B6301" t="s">
        <v>6400</v>
      </c>
      <c r="C6301">
        <f>"SK3017"</f>
        <v>0</v>
      </c>
      <c r="D6301">
        <v>0</v>
      </c>
      <c r="E6301">
        <v>3</v>
      </c>
      <c r="F6301" s="2">
        <v>3</v>
      </c>
      <c r="H6301">
        <v>0</v>
      </c>
      <c r="I6301">
        <v>0.1741125760648204</v>
      </c>
      <c r="J6301">
        <v>0</v>
      </c>
      <c r="K6301">
        <v>0</v>
      </c>
      <c r="L6301" s="2">
        <v>0</v>
      </c>
      <c r="M6301">
        <v>63.21</v>
      </c>
      <c r="N6301" t="s">
        <v>10236</v>
      </c>
    </row>
    <row r="6302" spans="1:14">
      <c r="A6302" t="s">
        <v>25</v>
      </c>
      <c r="B6302" t="s">
        <v>6401</v>
      </c>
      <c r="C6302">
        <f>"ZVP3236"</f>
        <v>0</v>
      </c>
      <c r="D6302">
        <v>0</v>
      </c>
      <c r="E6302">
        <v>0</v>
      </c>
      <c r="F6302" s="2">
        <v>0</v>
      </c>
      <c r="H6302">
        <v>0</v>
      </c>
      <c r="I6302">
        <v>0.1741125760648204</v>
      </c>
      <c r="J6302">
        <v>0</v>
      </c>
      <c r="K6302">
        <v>0</v>
      </c>
      <c r="L6302" s="2">
        <v>0</v>
      </c>
      <c r="M6302">
        <v>63.22</v>
      </c>
      <c r="N6302" t="s">
        <v>10236</v>
      </c>
    </row>
    <row r="6303" spans="1:14">
      <c r="A6303" t="s">
        <v>192</v>
      </c>
      <c r="B6303" t="s">
        <v>6402</v>
      </c>
      <c r="C6303">
        <f>"ZVP2440"</f>
        <v>0</v>
      </c>
      <c r="D6303">
        <v>0</v>
      </c>
      <c r="E6303">
        <v>0</v>
      </c>
      <c r="F6303" s="2">
        <v>0</v>
      </c>
      <c r="H6303">
        <v>0</v>
      </c>
      <c r="I6303">
        <v>0.1741125760648204</v>
      </c>
      <c r="J6303">
        <v>0</v>
      </c>
      <c r="K6303">
        <v>0</v>
      </c>
      <c r="L6303" s="2">
        <v>0</v>
      </c>
      <c r="M6303">
        <v>63.23</v>
      </c>
      <c r="N6303" t="s">
        <v>10236</v>
      </c>
    </row>
    <row r="6304" spans="1:14">
      <c r="A6304" t="s">
        <v>35</v>
      </c>
      <c r="B6304" t="s">
        <v>6403</v>
      </c>
      <c r="C6304">
        <f>"25002058"</f>
        <v>0</v>
      </c>
      <c r="D6304">
        <v>0</v>
      </c>
      <c r="E6304">
        <v>0</v>
      </c>
      <c r="F6304" s="2">
        <v>0</v>
      </c>
      <c r="H6304">
        <v>0</v>
      </c>
      <c r="I6304">
        <v>0.1741125760648204</v>
      </c>
      <c r="J6304">
        <v>0</v>
      </c>
      <c r="K6304">
        <v>0</v>
      </c>
      <c r="L6304" s="2">
        <v>0</v>
      </c>
      <c r="M6304">
        <v>63.24</v>
      </c>
      <c r="N6304" t="s">
        <v>10236</v>
      </c>
    </row>
    <row r="6305" spans="1:14">
      <c r="A6305" t="s">
        <v>35</v>
      </c>
      <c r="B6305" t="s">
        <v>6404</v>
      </c>
      <c r="C6305">
        <f>"25002059"</f>
        <v>0</v>
      </c>
      <c r="D6305">
        <v>0</v>
      </c>
      <c r="E6305">
        <v>0</v>
      </c>
      <c r="F6305" s="2">
        <v>0</v>
      </c>
      <c r="H6305">
        <v>0</v>
      </c>
      <c r="I6305">
        <v>0.1741125760648204</v>
      </c>
      <c r="J6305">
        <v>0</v>
      </c>
      <c r="K6305">
        <v>0</v>
      </c>
      <c r="L6305" s="2">
        <v>0</v>
      </c>
      <c r="M6305">
        <v>63.25</v>
      </c>
      <c r="N6305" t="s">
        <v>10236</v>
      </c>
    </row>
    <row r="6306" spans="1:14">
      <c r="A6306" t="s">
        <v>35</v>
      </c>
      <c r="B6306" t="s">
        <v>6405</v>
      </c>
      <c r="C6306">
        <f>"25002498"</f>
        <v>0</v>
      </c>
      <c r="D6306">
        <v>0</v>
      </c>
      <c r="E6306">
        <v>0</v>
      </c>
      <c r="F6306" s="2">
        <v>0</v>
      </c>
      <c r="H6306">
        <v>0</v>
      </c>
      <c r="I6306">
        <v>0.1741125760648204</v>
      </c>
      <c r="J6306">
        <v>0</v>
      </c>
      <c r="K6306">
        <v>0</v>
      </c>
      <c r="L6306" s="2">
        <v>0</v>
      </c>
      <c r="M6306">
        <v>63.25</v>
      </c>
      <c r="N6306" t="s">
        <v>10236</v>
      </c>
    </row>
    <row r="6307" spans="1:14">
      <c r="A6307" t="s">
        <v>35</v>
      </c>
      <c r="B6307" t="s">
        <v>6406</v>
      </c>
      <c r="C6307">
        <f>"25023075"</f>
        <v>0</v>
      </c>
      <c r="D6307">
        <v>0</v>
      </c>
      <c r="E6307">
        <v>0</v>
      </c>
      <c r="F6307" s="2">
        <v>0</v>
      </c>
      <c r="H6307">
        <v>0</v>
      </c>
      <c r="I6307">
        <v>0.1741125760648204</v>
      </c>
      <c r="J6307">
        <v>0</v>
      </c>
      <c r="K6307">
        <v>0</v>
      </c>
      <c r="L6307" s="2">
        <v>0</v>
      </c>
      <c r="M6307">
        <v>63.26</v>
      </c>
      <c r="N6307" t="s">
        <v>10236</v>
      </c>
    </row>
    <row r="6308" spans="1:14">
      <c r="A6308" t="s">
        <v>35</v>
      </c>
      <c r="B6308" t="s">
        <v>6407</v>
      </c>
      <c r="C6308">
        <f>"25023082"</f>
        <v>0</v>
      </c>
      <c r="D6308">
        <v>0</v>
      </c>
      <c r="E6308">
        <v>0</v>
      </c>
      <c r="F6308" s="2">
        <v>0</v>
      </c>
      <c r="H6308">
        <v>0</v>
      </c>
      <c r="I6308">
        <v>0.1741125760648204</v>
      </c>
      <c r="J6308">
        <v>0</v>
      </c>
      <c r="K6308">
        <v>0</v>
      </c>
      <c r="L6308" s="2">
        <v>0</v>
      </c>
      <c r="M6308">
        <v>63.27</v>
      </c>
      <c r="N6308" t="s">
        <v>10236</v>
      </c>
    </row>
    <row r="6309" spans="1:14">
      <c r="A6309" t="s">
        <v>35</v>
      </c>
      <c r="B6309" t="s">
        <v>6408</v>
      </c>
      <c r="C6309">
        <f>"25023099"</f>
        <v>0</v>
      </c>
      <c r="D6309">
        <v>0</v>
      </c>
      <c r="E6309">
        <v>0</v>
      </c>
      <c r="F6309" s="2">
        <v>0</v>
      </c>
      <c r="H6309">
        <v>0</v>
      </c>
      <c r="I6309">
        <v>0.1741125760648204</v>
      </c>
      <c r="J6309">
        <v>0</v>
      </c>
      <c r="K6309">
        <v>0</v>
      </c>
      <c r="L6309" s="2">
        <v>0</v>
      </c>
      <c r="M6309">
        <v>63.28</v>
      </c>
      <c r="N6309" t="s">
        <v>10236</v>
      </c>
    </row>
    <row r="6310" spans="1:14">
      <c r="A6310" t="s">
        <v>195</v>
      </c>
      <c r="B6310" t="s">
        <v>6409</v>
      </c>
      <c r="C6310">
        <f>"25023068"</f>
        <v>0</v>
      </c>
      <c r="D6310">
        <v>0</v>
      </c>
      <c r="E6310">
        <v>0</v>
      </c>
      <c r="F6310" s="2">
        <v>0</v>
      </c>
      <c r="H6310">
        <v>0</v>
      </c>
      <c r="I6310">
        <v>0.1741125760648204</v>
      </c>
      <c r="J6310">
        <v>0</v>
      </c>
      <c r="K6310">
        <v>0</v>
      </c>
      <c r="L6310" s="2">
        <v>0</v>
      </c>
      <c r="M6310">
        <v>63.29</v>
      </c>
      <c r="N6310" t="s">
        <v>10236</v>
      </c>
    </row>
    <row r="6311" spans="1:14">
      <c r="A6311" t="s">
        <v>35</v>
      </c>
      <c r="B6311" t="s">
        <v>6410</v>
      </c>
      <c r="C6311">
        <f>"25002279"</f>
        <v>0</v>
      </c>
      <c r="D6311">
        <v>0</v>
      </c>
      <c r="E6311">
        <v>0</v>
      </c>
      <c r="F6311" s="2">
        <v>0</v>
      </c>
      <c r="H6311">
        <v>0</v>
      </c>
      <c r="I6311">
        <v>0.1741125760648204</v>
      </c>
      <c r="J6311">
        <v>0</v>
      </c>
      <c r="K6311">
        <v>0</v>
      </c>
      <c r="L6311" s="2">
        <v>0</v>
      </c>
      <c r="M6311">
        <v>63.3</v>
      </c>
      <c r="N6311" t="s">
        <v>10236</v>
      </c>
    </row>
    <row r="6312" spans="1:14">
      <c r="A6312" t="s">
        <v>35</v>
      </c>
      <c r="B6312" t="s">
        <v>6411</v>
      </c>
      <c r="C6312">
        <f>"25002024"</f>
        <v>0</v>
      </c>
      <c r="D6312">
        <v>0</v>
      </c>
      <c r="E6312">
        <v>0</v>
      </c>
      <c r="F6312" s="2">
        <v>0</v>
      </c>
      <c r="H6312">
        <v>0</v>
      </c>
      <c r="I6312">
        <v>0.1741125760648204</v>
      </c>
      <c r="J6312">
        <v>0</v>
      </c>
      <c r="K6312">
        <v>0</v>
      </c>
      <c r="L6312" s="2">
        <v>0</v>
      </c>
      <c r="M6312">
        <v>63.31</v>
      </c>
      <c r="N6312" t="s">
        <v>10236</v>
      </c>
    </row>
    <row r="6313" spans="1:14">
      <c r="A6313" t="s">
        <v>35</v>
      </c>
      <c r="B6313" t="s">
        <v>6412</v>
      </c>
      <c r="C6313">
        <f>"25002025"</f>
        <v>0</v>
      </c>
      <c r="D6313">
        <v>0</v>
      </c>
      <c r="E6313">
        <v>0</v>
      </c>
      <c r="F6313" s="2">
        <v>0</v>
      </c>
      <c r="H6313">
        <v>0</v>
      </c>
      <c r="I6313">
        <v>0.1741125760648204</v>
      </c>
      <c r="J6313">
        <v>0</v>
      </c>
      <c r="K6313">
        <v>0</v>
      </c>
      <c r="L6313" s="2">
        <v>0</v>
      </c>
      <c r="M6313">
        <v>63.32</v>
      </c>
      <c r="N6313" t="s">
        <v>10236</v>
      </c>
    </row>
    <row r="6314" spans="1:14">
      <c r="A6314" t="s">
        <v>35</v>
      </c>
      <c r="B6314" t="s">
        <v>6413</v>
      </c>
      <c r="C6314">
        <f>"SK3020"</f>
        <v>0</v>
      </c>
      <c r="D6314">
        <v>0</v>
      </c>
      <c r="E6314">
        <v>17</v>
      </c>
      <c r="F6314" s="2">
        <v>4</v>
      </c>
      <c r="H6314">
        <v>0</v>
      </c>
      <c r="I6314">
        <v>0.1741125760648204</v>
      </c>
      <c r="J6314">
        <v>0</v>
      </c>
      <c r="K6314">
        <v>0</v>
      </c>
      <c r="L6314" s="2">
        <v>0</v>
      </c>
      <c r="M6314">
        <v>63.33</v>
      </c>
      <c r="N6314" t="s">
        <v>10236</v>
      </c>
    </row>
    <row r="6315" spans="1:14">
      <c r="A6315" t="s">
        <v>24</v>
      </c>
      <c r="B6315" t="s">
        <v>6414</v>
      </c>
      <c r="C6315">
        <f>"1565001"</f>
        <v>0</v>
      </c>
      <c r="D6315">
        <v>0</v>
      </c>
      <c r="E6315">
        <v>9</v>
      </c>
      <c r="F6315" s="2">
        <v>3</v>
      </c>
      <c r="H6315">
        <v>0</v>
      </c>
      <c r="I6315">
        <v>0.1741125760648204</v>
      </c>
      <c r="J6315">
        <v>0</v>
      </c>
      <c r="K6315">
        <v>0</v>
      </c>
      <c r="L6315" s="2">
        <v>0</v>
      </c>
      <c r="M6315">
        <v>63.34</v>
      </c>
      <c r="N6315" t="s">
        <v>10236</v>
      </c>
    </row>
    <row r="6316" spans="1:14">
      <c r="A6316" t="s">
        <v>35</v>
      </c>
      <c r="B6316" t="s">
        <v>6415</v>
      </c>
      <c r="C6316">
        <f>"25395959"</f>
        <v>0</v>
      </c>
      <c r="D6316">
        <v>0</v>
      </c>
      <c r="E6316">
        <v>0</v>
      </c>
      <c r="F6316" s="2">
        <v>0</v>
      </c>
      <c r="H6316">
        <v>0</v>
      </c>
      <c r="I6316">
        <v>0.1741125760648204</v>
      </c>
      <c r="J6316">
        <v>0</v>
      </c>
      <c r="K6316">
        <v>0</v>
      </c>
      <c r="L6316" s="2">
        <v>0</v>
      </c>
      <c r="M6316">
        <v>63.35</v>
      </c>
      <c r="N6316" t="s">
        <v>10236</v>
      </c>
    </row>
    <row r="6317" spans="1:14">
      <c r="A6317" t="s">
        <v>35</v>
      </c>
      <c r="B6317" t="s">
        <v>6416</v>
      </c>
      <c r="C6317">
        <f>"25395960"</f>
        <v>0</v>
      </c>
      <c r="D6317">
        <v>0</v>
      </c>
      <c r="E6317">
        <v>0</v>
      </c>
      <c r="F6317" s="2">
        <v>0</v>
      </c>
      <c r="H6317">
        <v>0</v>
      </c>
      <c r="I6317">
        <v>0.1741125760648204</v>
      </c>
      <c r="J6317">
        <v>0</v>
      </c>
      <c r="K6317">
        <v>0</v>
      </c>
      <c r="L6317" s="2">
        <v>0</v>
      </c>
      <c r="M6317">
        <v>63.36</v>
      </c>
      <c r="N6317" t="s">
        <v>10236</v>
      </c>
    </row>
    <row r="6318" spans="1:14">
      <c r="A6318" t="s">
        <v>35</v>
      </c>
      <c r="B6318" t="s">
        <v>6417</v>
      </c>
      <c r="C6318">
        <f>"25395961"</f>
        <v>0</v>
      </c>
      <c r="D6318">
        <v>0</v>
      </c>
      <c r="E6318">
        <v>0</v>
      </c>
      <c r="F6318" s="2">
        <v>0</v>
      </c>
      <c r="H6318">
        <v>0</v>
      </c>
      <c r="I6318">
        <v>0.1741125760648204</v>
      </c>
      <c r="J6318">
        <v>0</v>
      </c>
      <c r="K6318">
        <v>0</v>
      </c>
      <c r="L6318" s="2">
        <v>0</v>
      </c>
      <c r="M6318">
        <v>63.37</v>
      </c>
      <c r="N6318" t="s">
        <v>10236</v>
      </c>
    </row>
    <row r="6319" spans="1:14">
      <c r="A6319" t="s">
        <v>195</v>
      </c>
      <c r="B6319" t="s">
        <v>6418</v>
      </c>
      <c r="C6319">
        <f>"25395958"</f>
        <v>0</v>
      </c>
      <c r="D6319">
        <v>0</v>
      </c>
      <c r="E6319">
        <v>0</v>
      </c>
      <c r="F6319" s="2">
        <v>0</v>
      </c>
      <c r="H6319">
        <v>0</v>
      </c>
      <c r="I6319">
        <v>0.1741125760648204</v>
      </c>
      <c r="J6319">
        <v>0</v>
      </c>
      <c r="K6319">
        <v>0</v>
      </c>
      <c r="L6319" s="2">
        <v>0</v>
      </c>
      <c r="M6319">
        <v>63.37</v>
      </c>
      <c r="N6319" t="s">
        <v>10236</v>
      </c>
    </row>
    <row r="6320" spans="1:14">
      <c r="A6320" t="s">
        <v>195</v>
      </c>
      <c r="B6320" t="s">
        <v>6419</v>
      </c>
      <c r="C6320">
        <f>"25395969"</f>
        <v>0</v>
      </c>
      <c r="D6320">
        <v>0</v>
      </c>
      <c r="E6320">
        <v>0</v>
      </c>
      <c r="F6320" s="2">
        <v>0</v>
      </c>
      <c r="H6320">
        <v>0</v>
      </c>
      <c r="I6320">
        <v>0.1741125760648204</v>
      </c>
      <c r="J6320">
        <v>0</v>
      </c>
      <c r="K6320">
        <v>0</v>
      </c>
      <c r="L6320" s="2">
        <v>0</v>
      </c>
      <c r="M6320">
        <v>63.38</v>
      </c>
      <c r="N6320" t="s">
        <v>10236</v>
      </c>
    </row>
    <row r="6321" spans="1:14">
      <c r="A6321" t="s">
        <v>35</v>
      </c>
      <c r="B6321" t="s">
        <v>6420</v>
      </c>
      <c r="C6321">
        <f>"SK3023"</f>
        <v>0</v>
      </c>
      <c r="D6321">
        <v>0</v>
      </c>
      <c r="E6321">
        <v>0</v>
      </c>
      <c r="F6321" s="2">
        <v>0</v>
      </c>
      <c r="H6321">
        <v>0</v>
      </c>
      <c r="I6321">
        <v>0.1741125760648204</v>
      </c>
      <c r="J6321">
        <v>0</v>
      </c>
      <c r="K6321">
        <v>0</v>
      </c>
      <c r="L6321" s="2">
        <v>0</v>
      </c>
      <c r="M6321">
        <v>63.39</v>
      </c>
      <c r="N6321" t="s">
        <v>10236</v>
      </c>
    </row>
    <row r="6322" spans="1:14">
      <c r="A6322" t="s">
        <v>35</v>
      </c>
      <c r="B6322" t="s">
        <v>6421</v>
      </c>
      <c r="C6322">
        <f>"SK3008"</f>
        <v>0</v>
      </c>
      <c r="D6322">
        <v>0</v>
      </c>
      <c r="E6322">
        <v>10</v>
      </c>
      <c r="F6322" s="2">
        <v>4</v>
      </c>
      <c r="H6322">
        <v>0</v>
      </c>
      <c r="I6322">
        <v>0.1741125760648204</v>
      </c>
      <c r="J6322">
        <v>0</v>
      </c>
      <c r="K6322">
        <v>0</v>
      </c>
      <c r="L6322" s="2">
        <v>0</v>
      </c>
      <c r="M6322">
        <v>63.4</v>
      </c>
      <c r="N6322" t="s">
        <v>10236</v>
      </c>
    </row>
    <row r="6323" spans="1:14">
      <c r="A6323" t="s">
        <v>35</v>
      </c>
      <c r="B6323" t="s">
        <v>6422</v>
      </c>
      <c r="C6323">
        <f>"SK3009"</f>
        <v>0</v>
      </c>
      <c r="D6323">
        <v>0</v>
      </c>
      <c r="E6323">
        <v>14</v>
      </c>
      <c r="F6323" s="2">
        <v>4</v>
      </c>
      <c r="H6323">
        <v>0</v>
      </c>
      <c r="I6323">
        <v>0.1741125760648204</v>
      </c>
      <c r="J6323">
        <v>0</v>
      </c>
      <c r="K6323">
        <v>0</v>
      </c>
      <c r="L6323" s="2">
        <v>0</v>
      </c>
      <c r="M6323">
        <v>63.41</v>
      </c>
      <c r="N6323" t="s">
        <v>10236</v>
      </c>
    </row>
    <row r="6324" spans="1:14">
      <c r="A6324" t="s">
        <v>35</v>
      </c>
      <c r="B6324" t="s">
        <v>6423</v>
      </c>
      <c r="C6324">
        <f>"SK3010"</f>
        <v>0</v>
      </c>
      <c r="D6324">
        <v>0</v>
      </c>
      <c r="E6324">
        <v>16</v>
      </c>
      <c r="F6324" s="2">
        <v>4</v>
      </c>
      <c r="H6324">
        <v>0</v>
      </c>
      <c r="I6324">
        <v>0.1741125760648204</v>
      </c>
      <c r="J6324">
        <v>0</v>
      </c>
      <c r="K6324">
        <v>0</v>
      </c>
      <c r="L6324" s="2">
        <v>0</v>
      </c>
      <c r="M6324">
        <v>63.42</v>
      </c>
      <c r="N6324" t="s">
        <v>10236</v>
      </c>
    </row>
    <row r="6325" spans="1:14">
      <c r="A6325" t="s">
        <v>35</v>
      </c>
      <c r="B6325" t="s">
        <v>6424</v>
      </c>
      <c r="C6325">
        <f>"SK3011"</f>
        <v>0</v>
      </c>
      <c r="D6325">
        <v>0</v>
      </c>
      <c r="E6325">
        <v>8</v>
      </c>
      <c r="F6325" s="2">
        <v>4</v>
      </c>
      <c r="H6325">
        <v>0</v>
      </c>
      <c r="I6325">
        <v>0.1741125760648204</v>
      </c>
      <c r="J6325">
        <v>0</v>
      </c>
      <c r="K6325">
        <v>0</v>
      </c>
      <c r="L6325" s="2">
        <v>0</v>
      </c>
      <c r="M6325">
        <v>63.43</v>
      </c>
      <c r="N6325" t="s">
        <v>10236</v>
      </c>
    </row>
    <row r="6326" spans="1:14">
      <c r="A6326" t="s">
        <v>35</v>
      </c>
      <c r="B6326" t="s">
        <v>6425</v>
      </c>
      <c r="C6326">
        <f>"SK3062"</f>
        <v>0</v>
      </c>
      <c r="D6326">
        <v>0</v>
      </c>
      <c r="E6326">
        <v>15</v>
      </c>
      <c r="F6326" s="2">
        <v>5</v>
      </c>
      <c r="H6326">
        <v>0</v>
      </c>
      <c r="I6326">
        <v>0.1741125760648204</v>
      </c>
      <c r="J6326">
        <v>0</v>
      </c>
      <c r="K6326">
        <v>0</v>
      </c>
      <c r="L6326" s="2">
        <v>0</v>
      </c>
      <c r="M6326">
        <v>63.44</v>
      </c>
      <c r="N6326" t="s">
        <v>10236</v>
      </c>
    </row>
    <row r="6327" spans="1:14">
      <c r="A6327" t="s">
        <v>35</v>
      </c>
      <c r="B6327" t="s">
        <v>6426</v>
      </c>
      <c r="C6327">
        <f>"SK3063"</f>
        <v>0</v>
      </c>
      <c r="D6327">
        <v>0</v>
      </c>
      <c r="E6327">
        <v>18</v>
      </c>
      <c r="F6327" s="2">
        <v>5</v>
      </c>
      <c r="H6327">
        <v>0</v>
      </c>
      <c r="I6327">
        <v>0.1741125760648204</v>
      </c>
      <c r="J6327">
        <v>0</v>
      </c>
      <c r="K6327">
        <v>0</v>
      </c>
      <c r="L6327" s="2">
        <v>0</v>
      </c>
      <c r="M6327">
        <v>63.45</v>
      </c>
      <c r="N6327" t="s">
        <v>10236</v>
      </c>
    </row>
    <row r="6328" spans="1:14">
      <c r="A6328" t="s">
        <v>35</v>
      </c>
      <c r="B6328" t="s">
        <v>6427</v>
      </c>
      <c r="C6328">
        <f>"SK3000"</f>
        <v>0</v>
      </c>
      <c r="D6328">
        <v>0</v>
      </c>
      <c r="E6328">
        <v>6</v>
      </c>
      <c r="F6328" s="2">
        <v>9</v>
      </c>
      <c r="H6328">
        <v>0</v>
      </c>
      <c r="I6328">
        <v>0.1741125760648204</v>
      </c>
      <c r="J6328">
        <v>0</v>
      </c>
      <c r="K6328">
        <v>0</v>
      </c>
      <c r="L6328" s="2">
        <v>0</v>
      </c>
      <c r="M6328">
        <v>63.46</v>
      </c>
      <c r="N6328" t="s">
        <v>10236</v>
      </c>
    </row>
    <row r="6329" spans="1:14">
      <c r="A6329" t="s">
        <v>35</v>
      </c>
      <c r="B6329" t="s">
        <v>6428</v>
      </c>
      <c r="C6329">
        <f>"SK3001"</f>
        <v>0</v>
      </c>
      <c r="D6329">
        <v>0</v>
      </c>
      <c r="E6329">
        <v>6</v>
      </c>
      <c r="F6329" s="2">
        <v>9</v>
      </c>
      <c r="H6329">
        <v>0</v>
      </c>
      <c r="I6329">
        <v>0.1741125760648204</v>
      </c>
      <c r="J6329">
        <v>0</v>
      </c>
      <c r="K6329">
        <v>0</v>
      </c>
      <c r="L6329" s="2">
        <v>0</v>
      </c>
      <c r="M6329">
        <v>63.47</v>
      </c>
      <c r="N6329" t="s">
        <v>10236</v>
      </c>
    </row>
    <row r="6330" spans="1:14">
      <c r="A6330" t="s">
        <v>24</v>
      </c>
      <c r="B6330" t="s">
        <v>6429</v>
      </c>
      <c r="C6330">
        <f>"1570501"</f>
        <v>0</v>
      </c>
      <c r="D6330">
        <v>0</v>
      </c>
      <c r="E6330">
        <v>3</v>
      </c>
      <c r="F6330" s="2">
        <v>5</v>
      </c>
      <c r="H6330">
        <v>0</v>
      </c>
      <c r="I6330">
        <v>0.1741125760648204</v>
      </c>
      <c r="J6330">
        <v>0</v>
      </c>
      <c r="K6330">
        <v>0</v>
      </c>
      <c r="L6330" s="2">
        <v>0</v>
      </c>
      <c r="M6330">
        <v>63.48</v>
      </c>
      <c r="N6330" t="s">
        <v>10236</v>
      </c>
    </row>
    <row r="6331" spans="1:14">
      <c r="A6331" t="s">
        <v>35</v>
      </c>
      <c r="B6331" t="s">
        <v>6430</v>
      </c>
      <c r="C6331">
        <f>"DN10"</f>
        <v>0</v>
      </c>
      <c r="D6331">
        <v>0</v>
      </c>
      <c r="E6331">
        <v>0</v>
      </c>
      <c r="F6331" s="2">
        <v>0</v>
      </c>
      <c r="H6331">
        <v>0</v>
      </c>
      <c r="I6331">
        <v>0.1741125760648204</v>
      </c>
      <c r="J6331">
        <v>0</v>
      </c>
      <c r="K6331">
        <v>0</v>
      </c>
      <c r="L6331" s="2">
        <v>0</v>
      </c>
      <c r="M6331">
        <v>63.49</v>
      </c>
      <c r="N6331" t="s">
        <v>10236</v>
      </c>
    </row>
    <row r="6332" spans="1:14">
      <c r="A6332" t="s">
        <v>35</v>
      </c>
      <c r="B6332" t="s">
        <v>6431</v>
      </c>
      <c r="C6332">
        <f>"DN11"</f>
        <v>0</v>
      </c>
      <c r="D6332">
        <v>0</v>
      </c>
      <c r="E6332">
        <v>7</v>
      </c>
      <c r="F6332" s="2">
        <v>1</v>
      </c>
      <c r="H6332">
        <v>0</v>
      </c>
      <c r="I6332">
        <v>0.1741125760648204</v>
      </c>
      <c r="J6332">
        <v>0</v>
      </c>
      <c r="K6332">
        <v>0</v>
      </c>
      <c r="L6332" s="2">
        <v>0</v>
      </c>
      <c r="M6332">
        <v>63.49</v>
      </c>
      <c r="N6332" t="s">
        <v>10236</v>
      </c>
    </row>
    <row r="6333" spans="1:14">
      <c r="A6333" t="s">
        <v>35</v>
      </c>
      <c r="B6333" t="s">
        <v>6432</v>
      </c>
      <c r="C6333">
        <f>"DN38"</f>
        <v>0</v>
      </c>
      <c r="D6333">
        <v>0</v>
      </c>
      <c r="E6333">
        <v>0</v>
      </c>
      <c r="F6333" s="2">
        <v>0</v>
      </c>
      <c r="H6333">
        <v>0</v>
      </c>
      <c r="I6333">
        <v>0.1741125760648204</v>
      </c>
      <c r="J6333">
        <v>0</v>
      </c>
      <c r="K6333">
        <v>0</v>
      </c>
      <c r="L6333" s="2">
        <v>0</v>
      </c>
      <c r="M6333">
        <v>63.5</v>
      </c>
      <c r="N6333" t="s">
        <v>10236</v>
      </c>
    </row>
    <row r="6334" spans="1:14">
      <c r="A6334" t="s">
        <v>35</v>
      </c>
      <c r="B6334" t="s">
        <v>6433</v>
      </c>
      <c r="C6334">
        <f>"DN35"</f>
        <v>0</v>
      </c>
      <c r="D6334">
        <v>0</v>
      </c>
      <c r="E6334">
        <v>0</v>
      </c>
      <c r="F6334" s="2">
        <v>0</v>
      </c>
      <c r="H6334">
        <v>0</v>
      </c>
      <c r="I6334">
        <v>0.1741125760648204</v>
      </c>
      <c r="J6334">
        <v>0</v>
      </c>
      <c r="K6334">
        <v>0</v>
      </c>
      <c r="L6334" s="2">
        <v>0</v>
      </c>
      <c r="M6334">
        <v>63.51</v>
      </c>
      <c r="N6334" t="s">
        <v>10236</v>
      </c>
    </row>
    <row r="6335" spans="1:14">
      <c r="A6335" t="s">
        <v>35</v>
      </c>
      <c r="B6335" t="s">
        <v>6434</v>
      </c>
      <c r="C6335">
        <f>"DN43"</f>
        <v>0</v>
      </c>
      <c r="D6335">
        <v>0</v>
      </c>
      <c r="E6335">
        <v>2</v>
      </c>
      <c r="F6335" s="2">
        <v>1</v>
      </c>
      <c r="H6335">
        <v>0</v>
      </c>
      <c r="I6335">
        <v>0.1741125760648204</v>
      </c>
      <c r="J6335">
        <v>0</v>
      </c>
      <c r="K6335">
        <v>0</v>
      </c>
      <c r="L6335" s="2">
        <v>0</v>
      </c>
      <c r="M6335">
        <v>63.52</v>
      </c>
      <c r="N6335" t="s">
        <v>10236</v>
      </c>
    </row>
    <row r="6336" spans="1:14">
      <c r="A6336" t="s">
        <v>35</v>
      </c>
      <c r="B6336" t="s">
        <v>6435</v>
      </c>
      <c r="C6336">
        <f>"KLO20M"</f>
        <v>0</v>
      </c>
      <c r="D6336">
        <v>0</v>
      </c>
      <c r="E6336">
        <v>1</v>
      </c>
      <c r="F6336" s="2">
        <v>2</v>
      </c>
      <c r="H6336">
        <v>0</v>
      </c>
      <c r="I6336">
        <v>0.1741125760648204</v>
      </c>
      <c r="J6336">
        <v>0</v>
      </c>
      <c r="K6336">
        <v>0</v>
      </c>
      <c r="L6336" s="2">
        <v>0</v>
      </c>
      <c r="M6336">
        <v>63.53</v>
      </c>
      <c r="N6336" t="s">
        <v>10236</v>
      </c>
    </row>
    <row r="6337" spans="1:14">
      <c r="A6337" t="s">
        <v>35</v>
      </c>
      <c r="B6337" t="s">
        <v>6436</v>
      </c>
      <c r="C6337">
        <f>"KLO25L"</f>
        <v>0</v>
      </c>
      <c r="D6337">
        <v>0</v>
      </c>
      <c r="E6337">
        <v>3</v>
      </c>
      <c r="F6337" s="2">
        <v>0</v>
      </c>
      <c r="H6337">
        <v>0</v>
      </c>
      <c r="I6337">
        <v>0.1741125760648204</v>
      </c>
      <c r="J6337">
        <v>0</v>
      </c>
      <c r="K6337">
        <v>0</v>
      </c>
      <c r="L6337" s="2">
        <v>0</v>
      </c>
      <c r="M6337">
        <v>63.54</v>
      </c>
      <c r="N6337" t="s">
        <v>10236</v>
      </c>
    </row>
    <row r="6338" spans="1:14">
      <c r="A6338" t="s">
        <v>35</v>
      </c>
      <c r="B6338" t="s">
        <v>6437</v>
      </c>
      <c r="C6338">
        <f>"1840CM"</f>
        <v>0</v>
      </c>
      <c r="D6338">
        <v>0</v>
      </c>
      <c r="E6338">
        <v>0</v>
      </c>
      <c r="F6338" s="2">
        <v>0</v>
      </c>
      <c r="H6338">
        <v>0</v>
      </c>
      <c r="I6338">
        <v>0.1741125760648204</v>
      </c>
      <c r="J6338">
        <v>0</v>
      </c>
      <c r="K6338">
        <v>0</v>
      </c>
      <c r="L6338" s="2">
        <v>0</v>
      </c>
      <c r="M6338">
        <v>63.55</v>
      </c>
      <c r="N6338" t="s">
        <v>10236</v>
      </c>
    </row>
    <row r="6339" spans="1:14">
      <c r="A6339" t="s">
        <v>35</v>
      </c>
      <c r="B6339" t="s">
        <v>6438</v>
      </c>
      <c r="C6339">
        <f>"CC309MRNC"</f>
        <v>0</v>
      </c>
      <c r="D6339">
        <v>0</v>
      </c>
      <c r="E6339">
        <v>0</v>
      </c>
      <c r="F6339" s="2">
        <v>0</v>
      </c>
      <c r="H6339">
        <v>0</v>
      </c>
      <c r="I6339">
        <v>0.1741125760648204</v>
      </c>
      <c r="J6339">
        <v>0</v>
      </c>
      <c r="K6339">
        <v>0</v>
      </c>
      <c r="L6339" s="2">
        <v>0</v>
      </c>
      <c r="M6339">
        <v>63.56</v>
      </c>
      <c r="N6339" t="s">
        <v>10236</v>
      </c>
    </row>
    <row r="6340" spans="1:14">
      <c r="A6340" t="s">
        <v>35</v>
      </c>
      <c r="B6340" t="s">
        <v>6439</v>
      </c>
      <c r="C6340">
        <f>"CC309MRC"</f>
        <v>0</v>
      </c>
      <c r="D6340">
        <v>0</v>
      </c>
      <c r="E6340">
        <v>0</v>
      </c>
      <c r="F6340" s="2">
        <v>0</v>
      </c>
      <c r="H6340">
        <v>0</v>
      </c>
      <c r="I6340">
        <v>0.1741125760648204</v>
      </c>
      <c r="J6340">
        <v>0</v>
      </c>
      <c r="K6340">
        <v>0</v>
      </c>
      <c r="L6340" s="2">
        <v>0</v>
      </c>
      <c r="M6340">
        <v>63.57</v>
      </c>
      <c r="N6340" t="s">
        <v>10236</v>
      </c>
    </row>
    <row r="6341" spans="1:14">
      <c r="A6341" t="s">
        <v>35</v>
      </c>
      <c r="B6341" t="s">
        <v>6440</v>
      </c>
      <c r="C6341">
        <f>"CC309MRNN"</f>
        <v>0</v>
      </c>
      <c r="D6341">
        <v>0</v>
      </c>
      <c r="E6341">
        <v>0</v>
      </c>
      <c r="F6341" s="2">
        <v>0</v>
      </c>
      <c r="H6341">
        <v>0</v>
      </c>
      <c r="I6341">
        <v>0.1741125760648204</v>
      </c>
      <c r="J6341">
        <v>0</v>
      </c>
      <c r="K6341">
        <v>0</v>
      </c>
      <c r="L6341" s="2">
        <v>0</v>
      </c>
      <c r="M6341">
        <v>63.58</v>
      </c>
      <c r="N6341" t="s">
        <v>10236</v>
      </c>
    </row>
    <row r="6342" spans="1:14">
      <c r="A6342" t="s">
        <v>35</v>
      </c>
      <c r="B6342" t="s">
        <v>6441</v>
      </c>
      <c r="C6342">
        <f>"JWZ1051M"</f>
        <v>0</v>
      </c>
      <c r="D6342">
        <v>0</v>
      </c>
      <c r="E6342">
        <v>14</v>
      </c>
      <c r="F6342" s="2">
        <v>1</v>
      </c>
      <c r="H6342">
        <v>0</v>
      </c>
      <c r="I6342">
        <v>0.1741125760648204</v>
      </c>
      <c r="J6342">
        <v>0</v>
      </c>
      <c r="K6342">
        <v>0</v>
      </c>
      <c r="L6342" s="2">
        <v>0</v>
      </c>
      <c r="M6342">
        <v>63.59</v>
      </c>
      <c r="N6342" t="s">
        <v>10236</v>
      </c>
    </row>
    <row r="6343" spans="1:14">
      <c r="A6343" t="s">
        <v>35</v>
      </c>
      <c r="B6343" t="s">
        <v>6442</v>
      </c>
      <c r="C6343">
        <f>"JWZ1042M"</f>
        <v>0</v>
      </c>
      <c r="D6343">
        <v>0</v>
      </c>
      <c r="E6343">
        <v>11</v>
      </c>
      <c r="F6343" s="2">
        <v>1</v>
      </c>
      <c r="H6343">
        <v>0</v>
      </c>
      <c r="I6343">
        <v>0.1741125760648204</v>
      </c>
      <c r="J6343">
        <v>0</v>
      </c>
      <c r="K6343">
        <v>0</v>
      </c>
      <c r="L6343" s="2">
        <v>0</v>
      </c>
      <c r="M6343">
        <v>63.6</v>
      </c>
      <c r="N6343" t="s">
        <v>10236</v>
      </c>
    </row>
    <row r="6344" spans="1:14">
      <c r="A6344" t="s">
        <v>35</v>
      </c>
      <c r="B6344" t="s">
        <v>6443</v>
      </c>
      <c r="C6344">
        <f>"JWZ1036M"</f>
        <v>0</v>
      </c>
      <c r="D6344">
        <v>0</v>
      </c>
      <c r="E6344">
        <v>0</v>
      </c>
      <c r="F6344" s="2">
        <v>0</v>
      </c>
      <c r="H6344">
        <v>0</v>
      </c>
      <c r="I6344">
        <v>0.1741125760648204</v>
      </c>
      <c r="J6344">
        <v>0</v>
      </c>
      <c r="K6344">
        <v>0</v>
      </c>
      <c r="L6344" s="2">
        <v>0</v>
      </c>
      <c r="M6344">
        <v>63.61</v>
      </c>
      <c r="N6344" t="s">
        <v>10236</v>
      </c>
    </row>
    <row r="6345" spans="1:14">
      <c r="A6345" t="s">
        <v>203</v>
      </c>
      <c r="B6345" t="s">
        <v>6444</v>
      </c>
      <c r="C6345">
        <f>"756615"</f>
        <v>0</v>
      </c>
      <c r="D6345">
        <v>0</v>
      </c>
      <c r="E6345">
        <v>0</v>
      </c>
      <c r="F6345" s="2">
        <v>0</v>
      </c>
      <c r="H6345">
        <v>0</v>
      </c>
      <c r="I6345">
        <v>0.1741125760648204</v>
      </c>
      <c r="J6345">
        <v>0</v>
      </c>
      <c r="K6345">
        <v>0</v>
      </c>
      <c r="L6345" s="2">
        <v>0</v>
      </c>
      <c r="M6345">
        <v>63.61</v>
      </c>
      <c r="N6345" t="s">
        <v>10236</v>
      </c>
    </row>
    <row r="6346" spans="1:14">
      <c r="A6346" t="s">
        <v>35</v>
      </c>
      <c r="B6346" t="s">
        <v>6445</v>
      </c>
      <c r="C6346">
        <f>"CC309MCNN"</f>
        <v>0</v>
      </c>
      <c r="D6346">
        <v>0</v>
      </c>
      <c r="E6346">
        <v>0</v>
      </c>
      <c r="F6346" s="2">
        <v>0</v>
      </c>
      <c r="H6346">
        <v>0</v>
      </c>
      <c r="I6346">
        <v>0.1741125760648204</v>
      </c>
      <c r="J6346">
        <v>0</v>
      </c>
      <c r="K6346">
        <v>0</v>
      </c>
      <c r="L6346" s="2">
        <v>0</v>
      </c>
      <c r="M6346">
        <v>63.62</v>
      </c>
      <c r="N6346" t="s">
        <v>10236</v>
      </c>
    </row>
    <row r="6347" spans="1:14">
      <c r="A6347" t="s">
        <v>35</v>
      </c>
      <c r="B6347" t="s">
        <v>6446</v>
      </c>
      <c r="C6347">
        <f>"CC309MAC"</f>
        <v>0</v>
      </c>
      <c r="D6347">
        <v>0</v>
      </c>
      <c r="E6347">
        <v>0</v>
      </c>
      <c r="F6347" s="2">
        <v>0</v>
      </c>
      <c r="H6347">
        <v>0</v>
      </c>
      <c r="I6347">
        <v>0.1741125760648204</v>
      </c>
      <c r="J6347">
        <v>0</v>
      </c>
      <c r="K6347">
        <v>0</v>
      </c>
      <c r="L6347" s="2">
        <v>0</v>
      </c>
      <c r="M6347">
        <v>63.63</v>
      </c>
      <c r="N6347" t="s">
        <v>10236</v>
      </c>
    </row>
    <row r="6348" spans="1:14">
      <c r="A6348" t="s">
        <v>35</v>
      </c>
      <c r="B6348" t="s">
        <v>6447</v>
      </c>
      <c r="C6348">
        <f>"CC309MANN"</f>
        <v>0</v>
      </c>
      <c r="D6348">
        <v>0</v>
      </c>
      <c r="E6348">
        <v>0</v>
      </c>
      <c r="F6348" s="2">
        <v>0</v>
      </c>
      <c r="H6348">
        <v>0</v>
      </c>
      <c r="I6348">
        <v>0.1741125760648204</v>
      </c>
      <c r="J6348">
        <v>0</v>
      </c>
      <c r="K6348">
        <v>0</v>
      </c>
      <c r="L6348" s="2">
        <v>0</v>
      </c>
      <c r="M6348">
        <v>63.64</v>
      </c>
      <c r="N6348" t="s">
        <v>10236</v>
      </c>
    </row>
    <row r="6349" spans="1:14">
      <c r="A6349" t="s">
        <v>35</v>
      </c>
      <c r="B6349" t="s">
        <v>6448</v>
      </c>
      <c r="C6349">
        <f>"CC309MACN"</f>
        <v>0</v>
      </c>
      <c r="D6349">
        <v>0</v>
      </c>
      <c r="E6349">
        <v>2</v>
      </c>
      <c r="F6349" s="2">
        <v>4</v>
      </c>
      <c r="H6349">
        <v>0</v>
      </c>
      <c r="I6349">
        <v>0.1741125760648204</v>
      </c>
      <c r="J6349">
        <v>0</v>
      </c>
      <c r="K6349">
        <v>0</v>
      </c>
      <c r="L6349" s="2">
        <v>0</v>
      </c>
      <c r="M6349">
        <v>63.65</v>
      </c>
      <c r="N6349" t="s">
        <v>10236</v>
      </c>
    </row>
    <row r="6350" spans="1:14">
      <c r="A6350" t="s">
        <v>35</v>
      </c>
      <c r="B6350" t="s">
        <v>6449</v>
      </c>
      <c r="C6350">
        <f>"JWZ1036L"</f>
        <v>0</v>
      </c>
      <c r="D6350">
        <v>0</v>
      </c>
      <c r="E6350">
        <v>0</v>
      </c>
      <c r="F6350" s="2">
        <v>0</v>
      </c>
      <c r="H6350">
        <v>0</v>
      </c>
      <c r="I6350">
        <v>0.1741125760648204</v>
      </c>
      <c r="J6350">
        <v>0</v>
      </c>
      <c r="K6350">
        <v>0</v>
      </c>
      <c r="L6350" s="2">
        <v>0</v>
      </c>
      <c r="M6350">
        <v>63.66</v>
      </c>
      <c r="N6350" t="s">
        <v>10236</v>
      </c>
    </row>
    <row r="6351" spans="1:14">
      <c r="A6351" t="s">
        <v>35</v>
      </c>
      <c r="B6351" t="s">
        <v>6450</v>
      </c>
      <c r="C6351">
        <f>"JWZ1011M"</f>
        <v>0</v>
      </c>
      <c r="D6351">
        <v>0</v>
      </c>
      <c r="E6351">
        <v>7</v>
      </c>
      <c r="F6351" s="2">
        <v>1</v>
      </c>
      <c r="H6351">
        <v>0</v>
      </c>
      <c r="I6351">
        <v>0.1741125760648204</v>
      </c>
      <c r="J6351">
        <v>0</v>
      </c>
      <c r="K6351">
        <v>0</v>
      </c>
      <c r="L6351" s="2">
        <v>0</v>
      </c>
      <c r="M6351">
        <v>63.67</v>
      </c>
      <c r="N6351" t="s">
        <v>10236</v>
      </c>
    </row>
    <row r="6352" spans="1:14">
      <c r="A6352" t="s">
        <v>35</v>
      </c>
      <c r="B6352" t="s">
        <v>6451</v>
      </c>
      <c r="C6352">
        <f>"JWZ1003M"</f>
        <v>0</v>
      </c>
      <c r="D6352">
        <v>0</v>
      </c>
      <c r="E6352">
        <v>0</v>
      </c>
      <c r="F6352" s="2">
        <v>0</v>
      </c>
      <c r="H6352">
        <v>0</v>
      </c>
      <c r="I6352">
        <v>0.1741125760648204</v>
      </c>
      <c r="J6352">
        <v>0</v>
      </c>
      <c r="K6352">
        <v>0</v>
      </c>
      <c r="L6352" s="2">
        <v>0</v>
      </c>
      <c r="M6352">
        <v>63.68</v>
      </c>
      <c r="N6352" t="s">
        <v>10236</v>
      </c>
    </row>
    <row r="6353" spans="1:14">
      <c r="A6353" t="s">
        <v>35</v>
      </c>
      <c r="B6353" t="s">
        <v>6452</v>
      </c>
      <c r="C6353">
        <f>"JWZ1018M"</f>
        <v>0</v>
      </c>
      <c r="D6353">
        <v>0</v>
      </c>
      <c r="E6353">
        <v>0</v>
      </c>
      <c r="F6353" s="2">
        <v>0</v>
      </c>
      <c r="H6353">
        <v>0</v>
      </c>
      <c r="I6353">
        <v>0.1741125760648204</v>
      </c>
      <c r="J6353">
        <v>0</v>
      </c>
      <c r="K6353">
        <v>0</v>
      </c>
      <c r="L6353" s="2">
        <v>0</v>
      </c>
      <c r="M6353">
        <v>63.69</v>
      </c>
      <c r="N6353" t="s">
        <v>10236</v>
      </c>
    </row>
    <row r="6354" spans="1:14">
      <c r="A6354" t="s">
        <v>35</v>
      </c>
      <c r="B6354" t="s">
        <v>6453</v>
      </c>
      <c r="C6354">
        <f>"JWZ1017M"</f>
        <v>0</v>
      </c>
      <c r="D6354">
        <v>0</v>
      </c>
      <c r="E6354">
        <v>0</v>
      </c>
      <c r="F6354" s="2">
        <v>0</v>
      </c>
      <c r="H6354">
        <v>0</v>
      </c>
      <c r="I6354">
        <v>0.1741125760648204</v>
      </c>
      <c r="J6354">
        <v>0</v>
      </c>
      <c r="K6354">
        <v>0</v>
      </c>
      <c r="L6354" s="2">
        <v>0</v>
      </c>
      <c r="M6354">
        <v>63.7</v>
      </c>
      <c r="N6354" t="s">
        <v>10236</v>
      </c>
    </row>
    <row r="6355" spans="1:14">
      <c r="A6355" t="s">
        <v>35</v>
      </c>
      <c r="B6355" t="s">
        <v>6454</v>
      </c>
      <c r="C6355">
        <f>"JWZ1016M"</f>
        <v>0</v>
      </c>
      <c r="D6355">
        <v>0</v>
      </c>
      <c r="E6355">
        <v>0</v>
      </c>
      <c r="F6355" s="2">
        <v>0</v>
      </c>
      <c r="H6355">
        <v>0</v>
      </c>
      <c r="I6355">
        <v>0.1741125760648204</v>
      </c>
      <c r="J6355">
        <v>0</v>
      </c>
      <c r="K6355">
        <v>0</v>
      </c>
      <c r="L6355" s="2">
        <v>0</v>
      </c>
      <c r="M6355">
        <v>63.71</v>
      </c>
      <c r="N6355" t="s">
        <v>10236</v>
      </c>
    </row>
    <row r="6356" spans="1:14">
      <c r="A6356" t="s">
        <v>35</v>
      </c>
      <c r="B6356" t="s">
        <v>6455</v>
      </c>
      <c r="C6356">
        <f>"JWZ1022M"</f>
        <v>0</v>
      </c>
      <c r="D6356">
        <v>0</v>
      </c>
      <c r="E6356">
        <v>1</v>
      </c>
      <c r="F6356" s="2">
        <v>810</v>
      </c>
      <c r="H6356">
        <v>0</v>
      </c>
      <c r="I6356">
        <v>0.1741125760648204</v>
      </c>
      <c r="J6356">
        <v>0</v>
      </c>
      <c r="K6356">
        <v>0</v>
      </c>
      <c r="L6356" s="2">
        <v>0</v>
      </c>
      <c r="M6356">
        <v>63.72</v>
      </c>
      <c r="N6356" t="s">
        <v>10236</v>
      </c>
    </row>
    <row r="6357" spans="1:14">
      <c r="A6357" t="s">
        <v>35</v>
      </c>
      <c r="B6357" t="s">
        <v>6456</v>
      </c>
      <c r="C6357">
        <f>"1840CS"</f>
        <v>0</v>
      </c>
      <c r="D6357">
        <v>0</v>
      </c>
      <c r="E6357">
        <v>1</v>
      </c>
      <c r="F6357" s="2">
        <v>2</v>
      </c>
      <c r="H6357">
        <v>0</v>
      </c>
      <c r="I6357">
        <v>0.1741125760648204</v>
      </c>
      <c r="J6357">
        <v>0</v>
      </c>
      <c r="K6357">
        <v>0</v>
      </c>
      <c r="L6357" s="2">
        <v>0</v>
      </c>
      <c r="M6357">
        <v>63.72</v>
      </c>
      <c r="N6357" t="s">
        <v>10236</v>
      </c>
    </row>
    <row r="6358" spans="1:14">
      <c r="A6358" t="s">
        <v>35</v>
      </c>
      <c r="B6358" t="s">
        <v>6457</v>
      </c>
      <c r="C6358">
        <f>"1840CL"</f>
        <v>0</v>
      </c>
      <c r="D6358">
        <v>0</v>
      </c>
      <c r="E6358">
        <v>0</v>
      </c>
      <c r="F6358" s="2">
        <v>0</v>
      </c>
      <c r="H6358">
        <v>0</v>
      </c>
      <c r="I6358">
        <v>0.1741125760648204</v>
      </c>
      <c r="J6358">
        <v>0</v>
      </c>
      <c r="K6358">
        <v>0</v>
      </c>
      <c r="L6358" s="2">
        <v>0</v>
      </c>
      <c r="M6358">
        <v>63.73</v>
      </c>
      <c r="N6358" t="s">
        <v>10236</v>
      </c>
    </row>
    <row r="6359" spans="1:14">
      <c r="A6359" t="s">
        <v>35</v>
      </c>
      <c r="B6359" t="s">
        <v>6458</v>
      </c>
      <c r="C6359">
        <f>"DMWTXL"</f>
        <v>0</v>
      </c>
      <c r="D6359">
        <v>0</v>
      </c>
      <c r="E6359">
        <v>4</v>
      </c>
      <c r="F6359" s="2">
        <v>1</v>
      </c>
      <c r="H6359">
        <v>0</v>
      </c>
      <c r="I6359">
        <v>0.1741125760648204</v>
      </c>
      <c r="J6359">
        <v>0</v>
      </c>
      <c r="K6359">
        <v>0</v>
      </c>
      <c r="L6359" s="2">
        <v>0</v>
      </c>
      <c r="M6359">
        <v>63.74</v>
      </c>
      <c r="N6359" t="s">
        <v>10236</v>
      </c>
    </row>
    <row r="6360" spans="1:14">
      <c r="A6360" t="s">
        <v>35</v>
      </c>
      <c r="B6360" t="s">
        <v>6459</v>
      </c>
      <c r="C6360">
        <f>"CC309MCRN"</f>
        <v>0</v>
      </c>
      <c r="D6360">
        <v>0</v>
      </c>
      <c r="E6360">
        <v>0</v>
      </c>
      <c r="F6360" s="2">
        <v>0</v>
      </c>
      <c r="H6360">
        <v>0</v>
      </c>
      <c r="I6360">
        <v>0.1741125760648204</v>
      </c>
      <c r="J6360">
        <v>0</v>
      </c>
      <c r="K6360">
        <v>0</v>
      </c>
      <c r="L6360" s="2">
        <v>0</v>
      </c>
      <c r="M6360">
        <v>63.75</v>
      </c>
      <c r="N6360" t="s">
        <v>10236</v>
      </c>
    </row>
    <row r="6361" spans="1:14">
      <c r="A6361" t="s">
        <v>35</v>
      </c>
      <c r="B6361" t="s">
        <v>6460</v>
      </c>
      <c r="C6361">
        <f>"HH088XSN"</f>
        <v>0</v>
      </c>
      <c r="D6361">
        <v>0</v>
      </c>
      <c r="E6361">
        <v>1</v>
      </c>
      <c r="F6361" s="2">
        <v>0</v>
      </c>
      <c r="H6361">
        <v>0</v>
      </c>
      <c r="I6361">
        <v>0.1741125760648204</v>
      </c>
      <c r="J6361">
        <v>0</v>
      </c>
      <c r="K6361">
        <v>0</v>
      </c>
      <c r="L6361" s="2">
        <v>0</v>
      </c>
      <c r="M6361">
        <v>63.76</v>
      </c>
      <c r="N6361" t="s">
        <v>10236</v>
      </c>
    </row>
    <row r="6362" spans="1:14">
      <c r="A6362" t="s">
        <v>35</v>
      </c>
      <c r="B6362" t="s">
        <v>6461</v>
      </c>
      <c r="C6362">
        <f>"HH088XLN"</f>
        <v>0</v>
      </c>
      <c r="D6362">
        <v>0</v>
      </c>
      <c r="E6362">
        <v>0</v>
      </c>
      <c r="F6362" s="2">
        <v>0</v>
      </c>
      <c r="H6362">
        <v>0</v>
      </c>
      <c r="I6362">
        <v>0.1741125760648204</v>
      </c>
      <c r="J6362">
        <v>0</v>
      </c>
      <c r="K6362">
        <v>0</v>
      </c>
      <c r="L6362" s="2">
        <v>0</v>
      </c>
      <c r="M6362">
        <v>63.77</v>
      </c>
      <c r="N6362" t="s">
        <v>10236</v>
      </c>
    </row>
    <row r="6363" spans="1:14">
      <c r="A6363" t="s">
        <v>35</v>
      </c>
      <c r="B6363" t="s">
        <v>6462</v>
      </c>
      <c r="C6363">
        <f>"HH088SN"</f>
        <v>0</v>
      </c>
      <c r="D6363">
        <v>0</v>
      </c>
      <c r="E6363">
        <v>1</v>
      </c>
      <c r="F6363" s="2">
        <v>0</v>
      </c>
      <c r="H6363">
        <v>0</v>
      </c>
      <c r="I6363">
        <v>0.1741125760648204</v>
      </c>
      <c r="J6363">
        <v>0</v>
      </c>
      <c r="K6363">
        <v>0</v>
      </c>
      <c r="L6363" s="2">
        <v>0</v>
      </c>
      <c r="M6363">
        <v>63.78</v>
      </c>
      <c r="N6363" t="s">
        <v>10236</v>
      </c>
    </row>
    <row r="6364" spans="1:14">
      <c r="A6364" t="s">
        <v>35</v>
      </c>
      <c r="B6364" t="s">
        <v>6463</v>
      </c>
      <c r="C6364">
        <f>"HH088MN"</f>
        <v>0</v>
      </c>
      <c r="D6364">
        <v>0</v>
      </c>
      <c r="E6364">
        <v>0</v>
      </c>
      <c r="F6364" s="2">
        <v>0</v>
      </c>
      <c r="H6364">
        <v>0</v>
      </c>
      <c r="I6364">
        <v>0.1741125760648204</v>
      </c>
      <c r="J6364">
        <v>0</v>
      </c>
      <c r="K6364">
        <v>0</v>
      </c>
      <c r="L6364" s="2">
        <v>0</v>
      </c>
      <c r="M6364">
        <v>63.79</v>
      </c>
      <c r="N6364" t="s">
        <v>10236</v>
      </c>
    </row>
    <row r="6365" spans="1:14">
      <c r="A6365" t="s">
        <v>35</v>
      </c>
      <c r="B6365" t="s">
        <v>6464</v>
      </c>
      <c r="C6365">
        <f>"HH088LN"</f>
        <v>0</v>
      </c>
      <c r="D6365">
        <v>0</v>
      </c>
      <c r="E6365">
        <v>0</v>
      </c>
      <c r="F6365" s="2">
        <v>0</v>
      </c>
      <c r="H6365">
        <v>0</v>
      </c>
      <c r="I6365">
        <v>0.1741125760648204</v>
      </c>
      <c r="J6365">
        <v>0</v>
      </c>
      <c r="K6365">
        <v>0</v>
      </c>
      <c r="L6365" s="2">
        <v>0</v>
      </c>
      <c r="M6365">
        <v>63.8</v>
      </c>
      <c r="N6365" t="s">
        <v>10236</v>
      </c>
    </row>
    <row r="6366" spans="1:14">
      <c r="A6366" t="s">
        <v>35</v>
      </c>
      <c r="B6366" t="s">
        <v>6465</v>
      </c>
      <c r="C6366">
        <f>"HH088XXLV"</f>
        <v>0</v>
      </c>
      <c r="D6366">
        <v>0</v>
      </c>
      <c r="E6366">
        <v>21</v>
      </c>
      <c r="F6366" s="2">
        <v>12</v>
      </c>
      <c r="H6366">
        <v>0</v>
      </c>
      <c r="I6366">
        <v>0.1741125760648204</v>
      </c>
      <c r="J6366">
        <v>0</v>
      </c>
      <c r="K6366">
        <v>0</v>
      </c>
      <c r="L6366" s="2">
        <v>0</v>
      </c>
      <c r="M6366">
        <v>63.81</v>
      </c>
      <c r="N6366" t="s">
        <v>10236</v>
      </c>
    </row>
    <row r="6367" spans="1:14">
      <c r="A6367" t="s">
        <v>35</v>
      </c>
      <c r="B6367" t="s">
        <v>6466</v>
      </c>
      <c r="C6367">
        <f>"HH088LCA"</f>
        <v>0</v>
      </c>
      <c r="D6367">
        <v>0</v>
      </c>
      <c r="E6367">
        <v>0</v>
      </c>
      <c r="F6367" s="2">
        <v>0</v>
      </c>
      <c r="H6367">
        <v>0</v>
      </c>
      <c r="I6367">
        <v>0.1741125760648204</v>
      </c>
      <c r="J6367">
        <v>0</v>
      </c>
      <c r="K6367">
        <v>0</v>
      </c>
      <c r="L6367" s="2">
        <v>0</v>
      </c>
      <c r="M6367">
        <v>63.82</v>
      </c>
      <c r="N6367" t="s">
        <v>10236</v>
      </c>
    </row>
    <row r="6368" spans="1:14">
      <c r="A6368" t="s">
        <v>35</v>
      </c>
      <c r="B6368" t="s">
        <v>6467</v>
      </c>
      <c r="C6368">
        <f>"HH088XXLG"</f>
        <v>0</v>
      </c>
      <c r="D6368">
        <v>0</v>
      </c>
      <c r="E6368">
        <v>5</v>
      </c>
      <c r="F6368" s="2">
        <v>12</v>
      </c>
      <c r="H6368">
        <v>0</v>
      </c>
      <c r="I6368">
        <v>0.1741125760648204</v>
      </c>
      <c r="J6368">
        <v>0</v>
      </c>
      <c r="K6368">
        <v>0</v>
      </c>
      <c r="L6368" s="2">
        <v>0</v>
      </c>
      <c r="M6368">
        <v>63.83</v>
      </c>
      <c r="N6368" t="s">
        <v>10236</v>
      </c>
    </row>
    <row r="6369" spans="1:14">
      <c r="A6369" t="s">
        <v>35</v>
      </c>
      <c r="B6369" t="s">
        <v>6468</v>
      </c>
      <c r="C6369">
        <f>"HH088XSG"</f>
        <v>0</v>
      </c>
      <c r="D6369">
        <v>0</v>
      </c>
      <c r="E6369">
        <v>6</v>
      </c>
      <c r="F6369" s="2">
        <v>7</v>
      </c>
      <c r="H6369">
        <v>0</v>
      </c>
      <c r="I6369">
        <v>0.1741125760648204</v>
      </c>
      <c r="J6369">
        <v>0</v>
      </c>
      <c r="K6369">
        <v>0</v>
      </c>
      <c r="L6369" s="2">
        <v>0</v>
      </c>
      <c r="M6369">
        <v>63.84</v>
      </c>
      <c r="N6369" t="s">
        <v>10236</v>
      </c>
    </row>
    <row r="6370" spans="1:14">
      <c r="A6370" t="s">
        <v>35</v>
      </c>
      <c r="B6370" t="s">
        <v>6469</v>
      </c>
      <c r="C6370">
        <f>"HH088XLG"</f>
        <v>0</v>
      </c>
      <c r="D6370">
        <v>0</v>
      </c>
      <c r="E6370">
        <v>4</v>
      </c>
      <c r="F6370" s="2">
        <v>11</v>
      </c>
      <c r="H6370">
        <v>0</v>
      </c>
      <c r="I6370">
        <v>0.1741125760648204</v>
      </c>
      <c r="J6370">
        <v>0</v>
      </c>
      <c r="K6370">
        <v>0</v>
      </c>
      <c r="L6370" s="2">
        <v>0</v>
      </c>
      <c r="M6370">
        <v>63.84</v>
      </c>
      <c r="N6370" t="s">
        <v>10236</v>
      </c>
    </row>
    <row r="6371" spans="1:14">
      <c r="A6371" t="s">
        <v>35</v>
      </c>
      <c r="B6371" t="s">
        <v>6470</v>
      </c>
      <c r="C6371">
        <f>"JWZ1001S"</f>
        <v>0</v>
      </c>
      <c r="D6371">
        <v>0</v>
      </c>
      <c r="E6371">
        <v>37</v>
      </c>
      <c r="F6371" s="2">
        <v>1</v>
      </c>
      <c r="H6371">
        <v>0</v>
      </c>
      <c r="I6371">
        <v>0.1741125760648204</v>
      </c>
      <c r="J6371">
        <v>0</v>
      </c>
      <c r="K6371">
        <v>0</v>
      </c>
      <c r="L6371" s="2">
        <v>0</v>
      </c>
      <c r="M6371">
        <v>63.85</v>
      </c>
      <c r="N6371" t="s">
        <v>10236</v>
      </c>
    </row>
    <row r="6372" spans="1:14">
      <c r="A6372" t="s">
        <v>35</v>
      </c>
      <c r="B6372" t="s">
        <v>6471</v>
      </c>
      <c r="C6372">
        <f>"BF9S"</f>
        <v>0</v>
      </c>
      <c r="D6372">
        <v>0</v>
      </c>
      <c r="E6372">
        <v>0</v>
      </c>
      <c r="F6372" s="2">
        <v>0</v>
      </c>
      <c r="H6372">
        <v>0</v>
      </c>
      <c r="I6372">
        <v>0.1741125760648204</v>
      </c>
      <c r="J6372">
        <v>0</v>
      </c>
      <c r="K6372">
        <v>0</v>
      </c>
      <c r="L6372" s="2">
        <v>0</v>
      </c>
      <c r="M6372">
        <v>63.86</v>
      </c>
      <c r="N6372" t="s">
        <v>10236</v>
      </c>
    </row>
    <row r="6373" spans="1:14">
      <c r="A6373" t="s">
        <v>35</v>
      </c>
      <c r="B6373" t="s">
        <v>6472</v>
      </c>
      <c r="C6373">
        <f>"CC309MVNG"</f>
        <v>0</v>
      </c>
      <c r="D6373">
        <v>0</v>
      </c>
      <c r="E6373">
        <v>0</v>
      </c>
      <c r="F6373" s="2">
        <v>0</v>
      </c>
      <c r="H6373">
        <v>0</v>
      </c>
      <c r="I6373">
        <v>0.1741125760648204</v>
      </c>
      <c r="J6373">
        <v>0</v>
      </c>
      <c r="K6373">
        <v>0</v>
      </c>
      <c r="L6373" s="2">
        <v>0</v>
      </c>
      <c r="M6373">
        <v>63.87</v>
      </c>
      <c r="N6373" t="s">
        <v>10236</v>
      </c>
    </row>
    <row r="6374" spans="1:14">
      <c r="A6374" t="s">
        <v>35</v>
      </c>
      <c r="B6374" t="s">
        <v>6473</v>
      </c>
      <c r="C6374">
        <f>"BF9L"</f>
        <v>0</v>
      </c>
      <c r="D6374">
        <v>0</v>
      </c>
      <c r="E6374">
        <v>0</v>
      </c>
      <c r="F6374" s="2">
        <v>0</v>
      </c>
      <c r="H6374">
        <v>0</v>
      </c>
      <c r="I6374">
        <v>0.1741125760648204</v>
      </c>
      <c r="J6374">
        <v>0</v>
      </c>
      <c r="K6374">
        <v>0</v>
      </c>
      <c r="L6374" s="2">
        <v>0</v>
      </c>
      <c r="M6374">
        <v>63.88</v>
      </c>
      <c r="N6374" t="s">
        <v>10236</v>
      </c>
    </row>
    <row r="6375" spans="1:14">
      <c r="A6375" t="s">
        <v>35</v>
      </c>
      <c r="B6375" t="s">
        <v>6474</v>
      </c>
      <c r="C6375">
        <f>"FPY1012"</f>
        <v>0</v>
      </c>
      <c r="D6375">
        <v>0</v>
      </c>
      <c r="E6375">
        <v>0</v>
      </c>
      <c r="F6375" s="2">
        <v>0</v>
      </c>
      <c r="H6375">
        <v>0</v>
      </c>
      <c r="I6375">
        <v>0.1741125760648204</v>
      </c>
      <c r="J6375">
        <v>0</v>
      </c>
      <c r="K6375">
        <v>0</v>
      </c>
      <c r="L6375" s="2">
        <v>0</v>
      </c>
      <c r="M6375">
        <v>63.89</v>
      </c>
      <c r="N6375" t="s">
        <v>10236</v>
      </c>
    </row>
    <row r="6376" spans="1:14">
      <c r="A6376" t="s">
        <v>35</v>
      </c>
      <c r="B6376" t="s">
        <v>6475</v>
      </c>
      <c r="C6376">
        <f>"XYZ01S"</f>
        <v>0</v>
      </c>
      <c r="D6376">
        <v>0</v>
      </c>
      <c r="E6376">
        <v>0</v>
      </c>
      <c r="F6376" s="2">
        <v>0</v>
      </c>
      <c r="H6376">
        <v>0</v>
      </c>
      <c r="I6376">
        <v>0.1741125760648204</v>
      </c>
      <c r="J6376">
        <v>0</v>
      </c>
      <c r="K6376">
        <v>0</v>
      </c>
      <c r="L6376" s="2">
        <v>0</v>
      </c>
      <c r="M6376">
        <v>63.9</v>
      </c>
      <c r="N6376" t="s">
        <v>10236</v>
      </c>
    </row>
    <row r="6377" spans="1:14">
      <c r="A6377" t="s">
        <v>35</v>
      </c>
      <c r="B6377" t="s">
        <v>6476</v>
      </c>
      <c r="C6377">
        <f>"XYZ01M"</f>
        <v>0</v>
      </c>
      <c r="D6377">
        <v>0</v>
      </c>
      <c r="E6377">
        <v>0</v>
      </c>
      <c r="F6377" s="2">
        <v>0</v>
      </c>
      <c r="H6377">
        <v>0</v>
      </c>
      <c r="I6377">
        <v>0.1741125760648204</v>
      </c>
      <c r="J6377">
        <v>0</v>
      </c>
      <c r="K6377">
        <v>0</v>
      </c>
      <c r="L6377" s="2">
        <v>0</v>
      </c>
      <c r="M6377">
        <v>63.91</v>
      </c>
      <c r="N6377" t="s">
        <v>10236</v>
      </c>
    </row>
    <row r="6378" spans="1:14">
      <c r="A6378" t="s">
        <v>35</v>
      </c>
      <c r="B6378" t="s">
        <v>6477</v>
      </c>
      <c r="C6378">
        <f>"XYZ01L"</f>
        <v>0</v>
      </c>
      <c r="D6378">
        <v>0</v>
      </c>
      <c r="E6378">
        <v>0</v>
      </c>
      <c r="F6378" s="2">
        <v>0</v>
      </c>
      <c r="H6378">
        <v>0</v>
      </c>
      <c r="I6378">
        <v>0.1741125760648204</v>
      </c>
      <c r="J6378">
        <v>0</v>
      </c>
      <c r="K6378">
        <v>0</v>
      </c>
      <c r="L6378" s="2">
        <v>0</v>
      </c>
      <c r="M6378">
        <v>63.92</v>
      </c>
      <c r="N6378" t="s">
        <v>10236</v>
      </c>
    </row>
    <row r="6379" spans="1:14">
      <c r="A6379" t="s">
        <v>35</v>
      </c>
      <c r="B6379" t="s">
        <v>6478</v>
      </c>
      <c r="C6379">
        <f>"191101XS"</f>
        <v>0</v>
      </c>
      <c r="D6379">
        <v>0</v>
      </c>
      <c r="E6379">
        <v>0</v>
      </c>
      <c r="F6379" s="2">
        <v>0</v>
      </c>
      <c r="H6379">
        <v>0</v>
      </c>
      <c r="I6379">
        <v>0.1741125760648204</v>
      </c>
      <c r="J6379">
        <v>0</v>
      </c>
      <c r="K6379">
        <v>0</v>
      </c>
      <c r="L6379" s="2">
        <v>0</v>
      </c>
      <c r="M6379">
        <v>63.93</v>
      </c>
      <c r="N6379" t="s">
        <v>10236</v>
      </c>
    </row>
    <row r="6380" spans="1:14">
      <c r="A6380" t="s">
        <v>35</v>
      </c>
      <c r="B6380" t="s">
        <v>6479</v>
      </c>
      <c r="C6380">
        <f>"191101XL"</f>
        <v>0</v>
      </c>
      <c r="D6380">
        <v>0</v>
      </c>
      <c r="E6380">
        <v>1</v>
      </c>
      <c r="F6380" s="2">
        <v>4</v>
      </c>
      <c r="H6380">
        <v>0</v>
      </c>
      <c r="I6380">
        <v>0.1741125760648204</v>
      </c>
      <c r="J6380">
        <v>0</v>
      </c>
      <c r="K6380">
        <v>0</v>
      </c>
      <c r="L6380" s="2">
        <v>0</v>
      </c>
      <c r="M6380">
        <v>63.94</v>
      </c>
      <c r="N6380" t="s">
        <v>10236</v>
      </c>
    </row>
    <row r="6381" spans="1:14">
      <c r="A6381" t="s">
        <v>35</v>
      </c>
      <c r="B6381" t="s">
        <v>6480</v>
      </c>
      <c r="C6381">
        <f>"191101L"</f>
        <v>0</v>
      </c>
      <c r="D6381">
        <v>0</v>
      </c>
      <c r="E6381">
        <v>1</v>
      </c>
      <c r="F6381" s="2">
        <v>4</v>
      </c>
      <c r="H6381">
        <v>0</v>
      </c>
      <c r="I6381">
        <v>0.1741125760648204</v>
      </c>
      <c r="J6381">
        <v>0</v>
      </c>
      <c r="K6381">
        <v>0</v>
      </c>
      <c r="L6381" s="2">
        <v>0</v>
      </c>
      <c r="M6381">
        <v>63.95</v>
      </c>
      <c r="N6381" t="s">
        <v>10236</v>
      </c>
    </row>
    <row r="6382" spans="1:14">
      <c r="A6382" t="s">
        <v>35</v>
      </c>
      <c r="B6382" t="s">
        <v>6481</v>
      </c>
      <c r="C6382">
        <f>"CQ01S"</f>
        <v>0</v>
      </c>
      <c r="D6382">
        <v>0</v>
      </c>
      <c r="E6382">
        <v>0</v>
      </c>
      <c r="F6382" s="2">
        <v>0</v>
      </c>
      <c r="H6382">
        <v>0</v>
      </c>
      <c r="I6382">
        <v>0.1741125760648204</v>
      </c>
      <c r="J6382">
        <v>0</v>
      </c>
      <c r="K6382">
        <v>0</v>
      </c>
      <c r="L6382" s="2">
        <v>0</v>
      </c>
      <c r="M6382">
        <v>63.96</v>
      </c>
      <c r="N6382" t="s">
        <v>10236</v>
      </c>
    </row>
    <row r="6383" spans="1:14">
      <c r="A6383" t="s">
        <v>35</v>
      </c>
      <c r="B6383" t="s">
        <v>6482</v>
      </c>
      <c r="C6383">
        <f>"CQ01M"</f>
        <v>0</v>
      </c>
      <c r="D6383">
        <v>0</v>
      </c>
      <c r="E6383">
        <v>0</v>
      </c>
      <c r="F6383" s="2">
        <v>0</v>
      </c>
      <c r="H6383">
        <v>0</v>
      </c>
      <c r="I6383">
        <v>0.1741125760648204</v>
      </c>
      <c r="J6383">
        <v>0</v>
      </c>
      <c r="K6383">
        <v>0</v>
      </c>
      <c r="L6383" s="2">
        <v>0</v>
      </c>
      <c r="M6383">
        <v>63.96</v>
      </c>
      <c r="N6383" t="s">
        <v>10236</v>
      </c>
    </row>
    <row r="6384" spans="1:14">
      <c r="A6384" t="s">
        <v>35</v>
      </c>
      <c r="B6384" t="s">
        <v>6483</v>
      </c>
      <c r="C6384">
        <f>"CQ01L"</f>
        <v>0</v>
      </c>
      <c r="D6384">
        <v>0</v>
      </c>
      <c r="E6384">
        <v>5</v>
      </c>
      <c r="F6384" s="2">
        <v>3</v>
      </c>
      <c r="H6384">
        <v>0</v>
      </c>
      <c r="I6384">
        <v>0.1741125760648204</v>
      </c>
      <c r="J6384">
        <v>0</v>
      </c>
      <c r="K6384">
        <v>0</v>
      </c>
      <c r="L6384" s="2">
        <v>0</v>
      </c>
      <c r="M6384">
        <v>63.97</v>
      </c>
      <c r="N6384" t="s">
        <v>10236</v>
      </c>
    </row>
    <row r="6385" spans="1:14">
      <c r="A6385" t="s">
        <v>35</v>
      </c>
      <c r="B6385" t="s">
        <v>6484</v>
      </c>
      <c r="C6385">
        <f>"JW5022XXL"</f>
        <v>0</v>
      </c>
      <c r="D6385">
        <v>0</v>
      </c>
      <c r="E6385">
        <v>0</v>
      </c>
      <c r="F6385" s="2">
        <v>0</v>
      </c>
      <c r="H6385">
        <v>0</v>
      </c>
      <c r="I6385">
        <v>0.1741125760648204</v>
      </c>
      <c r="J6385">
        <v>0</v>
      </c>
      <c r="K6385">
        <v>0</v>
      </c>
      <c r="L6385" s="2">
        <v>0</v>
      </c>
      <c r="M6385">
        <v>63.98</v>
      </c>
      <c r="N6385" t="s">
        <v>10236</v>
      </c>
    </row>
    <row r="6386" spans="1:14">
      <c r="A6386" t="s">
        <v>35</v>
      </c>
      <c r="B6386" t="s">
        <v>6485</v>
      </c>
      <c r="C6386">
        <f>"JW5022XL"</f>
        <v>0</v>
      </c>
      <c r="D6386">
        <v>0</v>
      </c>
      <c r="E6386">
        <v>0</v>
      </c>
      <c r="F6386" s="2">
        <v>0</v>
      </c>
      <c r="H6386">
        <v>0</v>
      </c>
      <c r="I6386">
        <v>0.1741125760648204</v>
      </c>
      <c r="J6386">
        <v>0</v>
      </c>
      <c r="K6386">
        <v>0</v>
      </c>
      <c r="L6386" s="2">
        <v>0</v>
      </c>
      <c r="M6386">
        <v>63.99</v>
      </c>
      <c r="N6386" t="s">
        <v>10236</v>
      </c>
    </row>
    <row r="6387" spans="1:14">
      <c r="A6387" t="s">
        <v>35</v>
      </c>
      <c r="B6387" t="s">
        <v>6486</v>
      </c>
      <c r="C6387">
        <f>"JW5022M"</f>
        <v>0</v>
      </c>
      <c r="D6387">
        <v>0</v>
      </c>
      <c r="E6387">
        <v>0</v>
      </c>
      <c r="F6387" s="2">
        <v>0</v>
      </c>
      <c r="H6387">
        <v>0</v>
      </c>
      <c r="I6387">
        <v>0.1741125760648204</v>
      </c>
      <c r="J6387">
        <v>0</v>
      </c>
      <c r="K6387">
        <v>0</v>
      </c>
      <c r="L6387" s="2">
        <v>0</v>
      </c>
      <c r="M6387">
        <v>64</v>
      </c>
      <c r="N6387" t="s">
        <v>10236</v>
      </c>
    </row>
    <row r="6388" spans="1:14">
      <c r="A6388" t="s">
        <v>35</v>
      </c>
      <c r="B6388" t="s">
        <v>6487</v>
      </c>
      <c r="C6388">
        <f>"JW5022L"</f>
        <v>0</v>
      </c>
      <c r="D6388">
        <v>0</v>
      </c>
      <c r="E6388">
        <v>0</v>
      </c>
      <c r="F6388" s="2">
        <v>0</v>
      </c>
      <c r="H6388">
        <v>0</v>
      </c>
      <c r="I6388">
        <v>0.1741125760648204</v>
      </c>
      <c r="J6388">
        <v>0</v>
      </c>
      <c r="K6388">
        <v>0</v>
      </c>
      <c r="L6388" s="2">
        <v>0</v>
      </c>
      <c r="M6388">
        <v>64.01000000000001</v>
      </c>
      <c r="N6388" t="s">
        <v>10236</v>
      </c>
    </row>
    <row r="6389" spans="1:14">
      <c r="A6389" t="s">
        <v>196</v>
      </c>
      <c r="B6389" t="s">
        <v>6488</v>
      </c>
      <c r="C6389">
        <f>"2042"</f>
        <v>0</v>
      </c>
      <c r="D6389">
        <v>0</v>
      </c>
      <c r="E6389">
        <v>0</v>
      </c>
      <c r="F6389" s="2">
        <v>0</v>
      </c>
      <c r="H6389">
        <v>0</v>
      </c>
      <c r="I6389">
        <v>0.1741125760648204</v>
      </c>
      <c r="J6389">
        <v>0</v>
      </c>
      <c r="K6389">
        <v>0</v>
      </c>
      <c r="L6389" s="2">
        <v>0</v>
      </c>
      <c r="M6389">
        <v>64.02</v>
      </c>
      <c r="N6389" t="s">
        <v>10236</v>
      </c>
    </row>
    <row r="6390" spans="1:14">
      <c r="A6390" t="s">
        <v>35</v>
      </c>
      <c r="B6390" t="s">
        <v>6489</v>
      </c>
      <c r="C6390">
        <f>"DH08225"</f>
        <v>0</v>
      </c>
      <c r="D6390">
        <v>0</v>
      </c>
      <c r="E6390">
        <v>0</v>
      </c>
      <c r="F6390" s="2">
        <v>0</v>
      </c>
      <c r="H6390">
        <v>0</v>
      </c>
      <c r="I6390">
        <v>0.1741125760648204</v>
      </c>
      <c r="J6390">
        <v>0</v>
      </c>
      <c r="K6390">
        <v>0</v>
      </c>
      <c r="L6390" s="2">
        <v>0</v>
      </c>
      <c r="M6390">
        <v>64.03</v>
      </c>
      <c r="N6390" t="s">
        <v>10236</v>
      </c>
    </row>
    <row r="6391" spans="1:14">
      <c r="A6391" t="s">
        <v>35</v>
      </c>
      <c r="B6391" t="s">
        <v>6490</v>
      </c>
      <c r="C6391">
        <f>"XYZ01XS"</f>
        <v>0</v>
      </c>
      <c r="D6391">
        <v>0</v>
      </c>
      <c r="E6391">
        <v>0</v>
      </c>
      <c r="F6391" s="2">
        <v>0</v>
      </c>
      <c r="H6391">
        <v>0</v>
      </c>
      <c r="I6391">
        <v>0.1741125760648204</v>
      </c>
      <c r="J6391">
        <v>0</v>
      </c>
      <c r="K6391">
        <v>0</v>
      </c>
      <c r="L6391" s="2">
        <v>0</v>
      </c>
      <c r="M6391">
        <v>64.04000000000001</v>
      </c>
      <c r="N6391" t="s">
        <v>10236</v>
      </c>
    </row>
    <row r="6392" spans="1:14">
      <c r="A6392" t="s">
        <v>35</v>
      </c>
      <c r="B6392" t="s">
        <v>6491</v>
      </c>
      <c r="C6392">
        <f>"JWZ1018L"</f>
        <v>0</v>
      </c>
      <c r="D6392">
        <v>0</v>
      </c>
      <c r="E6392">
        <v>13</v>
      </c>
      <c r="F6392" s="2">
        <v>1</v>
      </c>
      <c r="H6392">
        <v>0</v>
      </c>
      <c r="I6392">
        <v>0.1741125760648204</v>
      </c>
      <c r="J6392">
        <v>0</v>
      </c>
      <c r="K6392">
        <v>0</v>
      </c>
      <c r="L6392" s="2">
        <v>0</v>
      </c>
      <c r="M6392">
        <v>64.05</v>
      </c>
      <c r="N6392" t="s">
        <v>10236</v>
      </c>
    </row>
    <row r="6393" spans="1:14">
      <c r="A6393" t="s">
        <v>35</v>
      </c>
      <c r="B6393" t="s">
        <v>6492</v>
      </c>
      <c r="C6393">
        <f>"JWZ1027L"</f>
        <v>0</v>
      </c>
      <c r="D6393">
        <v>0</v>
      </c>
      <c r="E6393">
        <v>24</v>
      </c>
      <c r="F6393" s="2">
        <v>1</v>
      </c>
      <c r="H6393">
        <v>0</v>
      </c>
      <c r="I6393">
        <v>0.1741125760648204</v>
      </c>
      <c r="J6393">
        <v>0</v>
      </c>
      <c r="K6393">
        <v>0</v>
      </c>
      <c r="L6393" s="2">
        <v>0</v>
      </c>
      <c r="M6393">
        <v>64.06</v>
      </c>
      <c r="N6393" t="s">
        <v>10236</v>
      </c>
    </row>
    <row r="6394" spans="1:14">
      <c r="A6394" t="s">
        <v>35</v>
      </c>
      <c r="B6394" t="s">
        <v>6493</v>
      </c>
      <c r="C6394">
        <f>"JWZ1022L"</f>
        <v>0</v>
      </c>
      <c r="D6394">
        <v>0</v>
      </c>
      <c r="E6394">
        <v>0</v>
      </c>
      <c r="F6394" s="2">
        <v>0</v>
      </c>
      <c r="H6394">
        <v>0</v>
      </c>
      <c r="I6394">
        <v>0.1741125760648204</v>
      </c>
      <c r="J6394">
        <v>0</v>
      </c>
      <c r="K6394">
        <v>0</v>
      </c>
      <c r="L6394" s="2">
        <v>0</v>
      </c>
      <c r="M6394">
        <v>64.06999999999999</v>
      </c>
      <c r="N6394" t="s">
        <v>10236</v>
      </c>
    </row>
    <row r="6395" spans="1:14">
      <c r="A6395" t="s">
        <v>35</v>
      </c>
      <c r="B6395" t="s">
        <v>6494</v>
      </c>
      <c r="C6395">
        <f>"DX021S"</f>
        <v>0</v>
      </c>
      <c r="D6395">
        <v>0</v>
      </c>
      <c r="E6395">
        <v>0</v>
      </c>
      <c r="F6395" s="2">
        <v>0</v>
      </c>
      <c r="H6395">
        <v>0</v>
      </c>
      <c r="I6395">
        <v>0.1741125760648204</v>
      </c>
      <c r="J6395">
        <v>0</v>
      </c>
      <c r="K6395">
        <v>0</v>
      </c>
      <c r="L6395" s="2">
        <v>0</v>
      </c>
      <c r="M6395">
        <v>64.08</v>
      </c>
      <c r="N6395" t="s">
        <v>10236</v>
      </c>
    </row>
    <row r="6396" spans="1:14">
      <c r="A6396" t="s">
        <v>35</v>
      </c>
      <c r="B6396" t="s">
        <v>6495</v>
      </c>
      <c r="C6396">
        <f>"ZSQ08"</f>
        <v>0</v>
      </c>
      <c r="D6396">
        <v>0</v>
      </c>
      <c r="E6396">
        <v>0</v>
      </c>
      <c r="F6396" s="2">
        <v>0</v>
      </c>
      <c r="H6396">
        <v>0</v>
      </c>
      <c r="I6396">
        <v>0.1741125760648204</v>
      </c>
      <c r="J6396">
        <v>0</v>
      </c>
      <c r="K6396">
        <v>0</v>
      </c>
      <c r="L6396" s="2">
        <v>0</v>
      </c>
      <c r="M6396">
        <v>64.08</v>
      </c>
      <c r="N6396" t="s">
        <v>10236</v>
      </c>
    </row>
    <row r="6397" spans="1:14">
      <c r="A6397" t="s">
        <v>35</v>
      </c>
      <c r="B6397" t="s">
        <v>6496</v>
      </c>
      <c r="C6397">
        <f>"ZSQ07"</f>
        <v>0</v>
      </c>
      <c r="D6397">
        <v>0</v>
      </c>
      <c r="E6397">
        <v>0</v>
      </c>
      <c r="F6397" s="2">
        <v>0</v>
      </c>
      <c r="H6397">
        <v>0</v>
      </c>
      <c r="I6397">
        <v>0.1741125760648204</v>
      </c>
      <c r="J6397">
        <v>0</v>
      </c>
      <c r="K6397">
        <v>0</v>
      </c>
      <c r="L6397" s="2">
        <v>0</v>
      </c>
      <c r="M6397">
        <v>64.09</v>
      </c>
      <c r="N6397" t="s">
        <v>10236</v>
      </c>
    </row>
    <row r="6398" spans="1:14">
      <c r="A6398" t="s">
        <v>35</v>
      </c>
      <c r="B6398" t="s">
        <v>6497</v>
      </c>
      <c r="C6398">
        <f>"ZSQ03"</f>
        <v>0</v>
      </c>
      <c r="D6398">
        <v>0</v>
      </c>
      <c r="E6398">
        <v>0</v>
      </c>
      <c r="F6398" s="2">
        <v>0</v>
      </c>
      <c r="H6398">
        <v>0</v>
      </c>
      <c r="I6398">
        <v>0.1741125760648204</v>
      </c>
      <c r="J6398">
        <v>0</v>
      </c>
      <c r="K6398">
        <v>0</v>
      </c>
      <c r="L6398" s="2">
        <v>0</v>
      </c>
      <c r="M6398">
        <v>64.09999999999999</v>
      </c>
      <c r="N6398" t="s">
        <v>10236</v>
      </c>
    </row>
    <row r="6399" spans="1:14">
      <c r="A6399" t="s">
        <v>35</v>
      </c>
      <c r="B6399" t="s">
        <v>6498</v>
      </c>
      <c r="C6399">
        <f>"ZSQ06"</f>
        <v>0</v>
      </c>
      <c r="D6399">
        <v>0</v>
      </c>
      <c r="E6399">
        <v>1</v>
      </c>
      <c r="F6399" s="2">
        <v>1</v>
      </c>
      <c r="H6399">
        <v>0</v>
      </c>
      <c r="I6399">
        <v>0.1741125760648204</v>
      </c>
      <c r="J6399">
        <v>0</v>
      </c>
      <c r="K6399">
        <v>0</v>
      </c>
      <c r="L6399" s="2">
        <v>0</v>
      </c>
      <c r="M6399">
        <v>64.11</v>
      </c>
      <c r="N6399" t="s">
        <v>10236</v>
      </c>
    </row>
    <row r="6400" spans="1:14">
      <c r="A6400" t="s">
        <v>35</v>
      </c>
      <c r="B6400" t="s">
        <v>6499</v>
      </c>
      <c r="C6400">
        <f>"ZSQ05"</f>
        <v>0</v>
      </c>
      <c r="D6400">
        <v>0</v>
      </c>
      <c r="E6400">
        <v>2</v>
      </c>
      <c r="F6400" s="2">
        <v>1</v>
      </c>
      <c r="H6400">
        <v>0</v>
      </c>
      <c r="I6400">
        <v>0.1741125760648204</v>
      </c>
      <c r="J6400">
        <v>0</v>
      </c>
      <c r="K6400">
        <v>0</v>
      </c>
      <c r="L6400" s="2">
        <v>0</v>
      </c>
      <c r="M6400">
        <v>64.12</v>
      </c>
      <c r="N6400" t="s">
        <v>10236</v>
      </c>
    </row>
    <row r="6401" spans="1:14">
      <c r="A6401" t="s">
        <v>35</v>
      </c>
      <c r="B6401" t="s">
        <v>6500</v>
      </c>
      <c r="C6401">
        <f>"S6"</f>
        <v>0</v>
      </c>
      <c r="D6401">
        <v>0</v>
      </c>
      <c r="E6401">
        <v>5</v>
      </c>
      <c r="F6401" s="2">
        <v>5</v>
      </c>
      <c r="H6401">
        <v>0</v>
      </c>
      <c r="I6401">
        <v>0.1741125760648204</v>
      </c>
      <c r="J6401">
        <v>0</v>
      </c>
      <c r="K6401">
        <v>0</v>
      </c>
      <c r="L6401" s="2">
        <v>0</v>
      </c>
      <c r="M6401">
        <v>64.13</v>
      </c>
      <c r="N6401" t="s">
        <v>10236</v>
      </c>
    </row>
    <row r="6402" spans="1:14">
      <c r="A6402" t="s">
        <v>35</v>
      </c>
      <c r="B6402" t="s">
        <v>6501</v>
      </c>
      <c r="C6402">
        <f>"S1"</f>
        <v>0</v>
      </c>
      <c r="D6402">
        <v>0</v>
      </c>
      <c r="E6402">
        <v>5</v>
      </c>
      <c r="F6402" s="2">
        <v>4</v>
      </c>
      <c r="H6402">
        <v>0</v>
      </c>
      <c r="I6402">
        <v>0.1741125760648204</v>
      </c>
      <c r="J6402">
        <v>0</v>
      </c>
      <c r="K6402">
        <v>0</v>
      </c>
      <c r="L6402" s="2">
        <v>0</v>
      </c>
      <c r="M6402">
        <v>64.14</v>
      </c>
      <c r="N6402" t="s">
        <v>10236</v>
      </c>
    </row>
    <row r="6403" spans="1:14">
      <c r="A6403" t="s">
        <v>35</v>
      </c>
      <c r="B6403" t="s">
        <v>6502</v>
      </c>
      <c r="C6403">
        <f>"KX1076ROJ"</f>
        <v>0</v>
      </c>
      <c r="D6403">
        <v>0</v>
      </c>
      <c r="E6403">
        <v>0</v>
      </c>
      <c r="F6403" s="2">
        <v>0</v>
      </c>
      <c r="H6403">
        <v>0</v>
      </c>
      <c r="I6403">
        <v>0.1741125760648204</v>
      </c>
      <c r="J6403">
        <v>0</v>
      </c>
      <c r="K6403">
        <v>0</v>
      </c>
      <c r="L6403" s="2">
        <v>0</v>
      </c>
      <c r="M6403">
        <v>64.15000000000001</v>
      </c>
      <c r="N6403" t="s">
        <v>10236</v>
      </c>
    </row>
    <row r="6404" spans="1:14">
      <c r="A6404" t="s">
        <v>35</v>
      </c>
      <c r="B6404" t="s">
        <v>6503</v>
      </c>
      <c r="C6404">
        <f>"S3"</f>
        <v>0</v>
      </c>
      <c r="D6404">
        <v>0</v>
      </c>
      <c r="E6404">
        <v>0</v>
      </c>
      <c r="F6404" s="2">
        <v>0</v>
      </c>
      <c r="H6404">
        <v>0</v>
      </c>
      <c r="I6404">
        <v>0.1741125760648204</v>
      </c>
      <c r="J6404">
        <v>0</v>
      </c>
      <c r="K6404">
        <v>0</v>
      </c>
      <c r="L6404" s="2">
        <v>0</v>
      </c>
      <c r="M6404">
        <v>64.16</v>
      </c>
      <c r="N6404" t="s">
        <v>10236</v>
      </c>
    </row>
    <row r="6405" spans="1:14">
      <c r="A6405" t="s">
        <v>35</v>
      </c>
      <c r="B6405" t="s">
        <v>6504</v>
      </c>
      <c r="C6405">
        <f>"S4"</f>
        <v>0</v>
      </c>
      <c r="D6405">
        <v>0</v>
      </c>
      <c r="E6405">
        <v>0</v>
      </c>
      <c r="F6405" s="2">
        <v>0</v>
      </c>
      <c r="H6405">
        <v>0</v>
      </c>
      <c r="I6405">
        <v>0.1741125760648204</v>
      </c>
      <c r="J6405">
        <v>0</v>
      </c>
      <c r="K6405">
        <v>0</v>
      </c>
      <c r="L6405" s="2">
        <v>0</v>
      </c>
      <c r="M6405">
        <v>64.17</v>
      </c>
      <c r="N6405" t="s">
        <v>10236</v>
      </c>
    </row>
    <row r="6406" spans="1:14">
      <c r="A6406" t="s">
        <v>35</v>
      </c>
      <c r="B6406" t="s">
        <v>6505</v>
      </c>
      <c r="C6406">
        <f>"DMWTS"</f>
        <v>0</v>
      </c>
      <c r="D6406">
        <v>0</v>
      </c>
      <c r="E6406">
        <v>0</v>
      </c>
      <c r="F6406" s="2">
        <v>0</v>
      </c>
      <c r="H6406">
        <v>0</v>
      </c>
      <c r="I6406">
        <v>0.1741125760648204</v>
      </c>
      <c r="J6406">
        <v>0</v>
      </c>
      <c r="K6406">
        <v>0</v>
      </c>
      <c r="L6406" s="2">
        <v>0</v>
      </c>
      <c r="M6406">
        <v>64.18000000000001</v>
      </c>
      <c r="N6406" t="s">
        <v>10236</v>
      </c>
    </row>
    <row r="6407" spans="1:14">
      <c r="A6407" t="s">
        <v>35</v>
      </c>
      <c r="B6407" t="s">
        <v>6506</v>
      </c>
      <c r="C6407">
        <f>"19486"</f>
        <v>0</v>
      </c>
      <c r="D6407">
        <v>0</v>
      </c>
      <c r="E6407">
        <v>0</v>
      </c>
      <c r="F6407" s="2">
        <v>0</v>
      </c>
      <c r="H6407">
        <v>0</v>
      </c>
      <c r="I6407">
        <v>0.1741125760648204</v>
      </c>
      <c r="J6407">
        <v>0</v>
      </c>
      <c r="K6407">
        <v>0</v>
      </c>
      <c r="L6407" s="2">
        <v>0</v>
      </c>
      <c r="M6407">
        <v>64.19</v>
      </c>
      <c r="N6407" t="s">
        <v>10236</v>
      </c>
    </row>
    <row r="6408" spans="1:14">
      <c r="A6408" t="s">
        <v>35</v>
      </c>
      <c r="B6408" t="s">
        <v>6507</v>
      </c>
      <c r="C6408">
        <f>"19485"</f>
        <v>0</v>
      </c>
      <c r="D6408">
        <v>0</v>
      </c>
      <c r="E6408">
        <v>0</v>
      </c>
      <c r="F6408" s="2">
        <v>0</v>
      </c>
      <c r="H6408">
        <v>0</v>
      </c>
      <c r="I6408">
        <v>0.1741125760648204</v>
      </c>
      <c r="J6408">
        <v>0</v>
      </c>
      <c r="K6408">
        <v>0</v>
      </c>
      <c r="L6408" s="2">
        <v>0</v>
      </c>
      <c r="M6408">
        <v>64.19</v>
      </c>
      <c r="N6408" t="s">
        <v>10236</v>
      </c>
    </row>
    <row r="6409" spans="1:14">
      <c r="A6409" t="s">
        <v>35</v>
      </c>
      <c r="B6409" t="s">
        <v>6508</v>
      </c>
      <c r="C6409">
        <f>"19484"</f>
        <v>0</v>
      </c>
      <c r="D6409">
        <v>0</v>
      </c>
      <c r="E6409">
        <v>1</v>
      </c>
      <c r="F6409" s="2">
        <v>1</v>
      </c>
      <c r="H6409">
        <v>0</v>
      </c>
      <c r="I6409">
        <v>0.1741125760648204</v>
      </c>
      <c r="J6409">
        <v>0</v>
      </c>
      <c r="K6409">
        <v>0</v>
      </c>
      <c r="L6409" s="2">
        <v>0</v>
      </c>
      <c r="M6409">
        <v>64.2</v>
      </c>
      <c r="N6409" t="s">
        <v>10236</v>
      </c>
    </row>
    <row r="6410" spans="1:14">
      <c r="A6410" t="s">
        <v>35</v>
      </c>
      <c r="B6410" t="s">
        <v>6509</v>
      </c>
      <c r="C6410">
        <f>"19483"</f>
        <v>0</v>
      </c>
      <c r="D6410">
        <v>0</v>
      </c>
      <c r="E6410">
        <v>7</v>
      </c>
      <c r="F6410" s="2">
        <v>1</v>
      </c>
      <c r="H6410">
        <v>0</v>
      </c>
      <c r="I6410">
        <v>0.1741125760648204</v>
      </c>
      <c r="J6410">
        <v>0</v>
      </c>
      <c r="K6410">
        <v>0</v>
      </c>
      <c r="L6410" s="2">
        <v>0</v>
      </c>
      <c r="M6410">
        <v>64.20999999999999</v>
      </c>
      <c r="N6410" t="s">
        <v>10236</v>
      </c>
    </row>
    <row r="6411" spans="1:14">
      <c r="A6411" t="s">
        <v>35</v>
      </c>
      <c r="B6411" t="s">
        <v>6510</v>
      </c>
      <c r="C6411">
        <f>"KW6021MCG"</f>
        <v>0</v>
      </c>
      <c r="D6411">
        <v>0</v>
      </c>
      <c r="E6411">
        <v>0</v>
      </c>
      <c r="F6411" s="2">
        <v>0</v>
      </c>
      <c r="H6411">
        <v>0</v>
      </c>
      <c r="I6411">
        <v>0.1741125760648204</v>
      </c>
      <c r="J6411">
        <v>0</v>
      </c>
      <c r="K6411">
        <v>0</v>
      </c>
      <c r="L6411" s="2">
        <v>0</v>
      </c>
      <c r="M6411">
        <v>64.22</v>
      </c>
      <c r="N6411" t="s">
        <v>10236</v>
      </c>
    </row>
    <row r="6412" spans="1:14">
      <c r="A6412" t="s">
        <v>32</v>
      </c>
      <c r="B6412" t="s">
        <v>6511</v>
      </c>
      <c r="C6412">
        <f>"PCE01"</f>
        <v>0</v>
      </c>
      <c r="D6412">
        <v>0</v>
      </c>
      <c r="E6412">
        <v>1</v>
      </c>
      <c r="F6412" s="2">
        <v>15</v>
      </c>
      <c r="H6412">
        <v>0</v>
      </c>
      <c r="I6412">
        <v>0.1741125760648204</v>
      </c>
      <c r="J6412">
        <v>0</v>
      </c>
      <c r="K6412">
        <v>0</v>
      </c>
      <c r="L6412" s="2">
        <v>0</v>
      </c>
      <c r="M6412">
        <v>64.23</v>
      </c>
      <c r="N6412" t="s">
        <v>10236</v>
      </c>
    </row>
    <row r="6413" spans="1:14">
      <c r="A6413" t="s">
        <v>29</v>
      </c>
      <c r="B6413" t="s">
        <v>6512</v>
      </c>
      <c r="C6413">
        <f>"D150"</f>
        <v>0</v>
      </c>
      <c r="D6413">
        <v>0</v>
      </c>
      <c r="E6413">
        <v>0</v>
      </c>
      <c r="F6413" s="2">
        <v>0</v>
      </c>
      <c r="H6413">
        <v>0</v>
      </c>
      <c r="I6413">
        <v>0.1741125760648204</v>
      </c>
      <c r="J6413">
        <v>0</v>
      </c>
      <c r="K6413">
        <v>0</v>
      </c>
      <c r="L6413" s="2">
        <v>0</v>
      </c>
      <c r="M6413">
        <v>64.23999999999999</v>
      </c>
      <c r="N6413" t="s">
        <v>10236</v>
      </c>
    </row>
    <row r="6414" spans="1:14">
      <c r="A6414" t="s">
        <v>29</v>
      </c>
      <c r="B6414" t="s">
        <v>6513</v>
      </c>
      <c r="C6414">
        <f>"RS75W"</f>
        <v>0</v>
      </c>
      <c r="D6414">
        <v>0</v>
      </c>
      <c r="E6414">
        <v>0</v>
      </c>
      <c r="F6414" s="2">
        <v>0</v>
      </c>
      <c r="H6414">
        <v>0</v>
      </c>
      <c r="I6414">
        <v>0.1741125760648204</v>
      </c>
      <c r="J6414">
        <v>0</v>
      </c>
      <c r="K6414">
        <v>0</v>
      </c>
      <c r="L6414" s="2">
        <v>0</v>
      </c>
      <c r="M6414">
        <v>64.25</v>
      </c>
      <c r="N6414" t="s">
        <v>10236</v>
      </c>
    </row>
    <row r="6415" spans="1:14">
      <c r="A6415" t="s">
        <v>35</v>
      </c>
      <c r="B6415" t="s">
        <v>6514</v>
      </c>
      <c r="C6415">
        <f>"XQ22XSRO"</f>
        <v>0</v>
      </c>
      <c r="D6415">
        <v>0</v>
      </c>
      <c r="E6415">
        <v>1</v>
      </c>
      <c r="F6415" s="2">
        <v>3</v>
      </c>
      <c r="H6415">
        <v>0</v>
      </c>
      <c r="I6415">
        <v>0.1741125760648204</v>
      </c>
      <c r="J6415">
        <v>0</v>
      </c>
      <c r="K6415">
        <v>0</v>
      </c>
      <c r="L6415" s="2">
        <v>0</v>
      </c>
      <c r="M6415">
        <v>64.26000000000001</v>
      </c>
      <c r="N6415" t="s">
        <v>10236</v>
      </c>
    </row>
    <row r="6416" spans="1:14">
      <c r="A6416" t="s">
        <v>35</v>
      </c>
      <c r="B6416" t="s">
        <v>6515</v>
      </c>
      <c r="C6416">
        <f>"XQ22XSMO"</f>
        <v>0</v>
      </c>
      <c r="D6416">
        <v>0</v>
      </c>
      <c r="E6416">
        <v>2</v>
      </c>
      <c r="F6416" s="2">
        <v>3</v>
      </c>
      <c r="H6416">
        <v>0</v>
      </c>
      <c r="I6416">
        <v>0.1741125760648204</v>
      </c>
      <c r="J6416">
        <v>0</v>
      </c>
      <c r="K6416">
        <v>0</v>
      </c>
      <c r="L6416" s="2">
        <v>0</v>
      </c>
      <c r="M6416">
        <v>64.27</v>
      </c>
      <c r="N6416" t="s">
        <v>10236</v>
      </c>
    </row>
    <row r="6417" spans="1:14">
      <c r="A6417" t="s">
        <v>35</v>
      </c>
      <c r="B6417" t="s">
        <v>6516</v>
      </c>
      <c r="C6417">
        <f>"XQ22XS"</f>
        <v>0</v>
      </c>
      <c r="D6417">
        <v>0</v>
      </c>
      <c r="E6417">
        <v>5</v>
      </c>
      <c r="F6417" s="2">
        <v>3</v>
      </c>
      <c r="H6417">
        <v>0</v>
      </c>
      <c r="I6417">
        <v>0.1741125760648204</v>
      </c>
      <c r="J6417">
        <v>0</v>
      </c>
      <c r="K6417">
        <v>0</v>
      </c>
      <c r="L6417" s="2">
        <v>0</v>
      </c>
      <c r="M6417">
        <v>64.28</v>
      </c>
      <c r="N6417" t="s">
        <v>10236</v>
      </c>
    </row>
    <row r="6418" spans="1:14">
      <c r="A6418" t="s">
        <v>35</v>
      </c>
      <c r="B6418" t="s">
        <v>6517</v>
      </c>
      <c r="C6418">
        <f>"XQ22XLROS"</f>
        <v>0</v>
      </c>
      <c r="D6418">
        <v>0</v>
      </c>
      <c r="E6418">
        <v>2</v>
      </c>
      <c r="F6418" s="2">
        <v>4</v>
      </c>
      <c r="H6418">
        <v>0</v>
      </c>
      <c r="I6418">
        <v>0.1741125760648204</v>
      </c>
      <c r="J6418">
        <v>0</v>
      </c>
      <c r="K6418">
        <v>0</v>
      </c>
      <c r="L6418" s="2">
        <v>0</v>
      </c>
      <c r="M6418">
        <v>64.29000000000001</v>
      </c>
      <c r="N6418" t="s">
        <v>10236</v>
      </c>
    </row>
    <row r="6419" spans="1:14">
      <c r="A6419" t="s">
        <v>35</v>
      </c>
      <c r="B6419" t="s">
        <v>6518</v>
      </c>
      <c r="C6419">
        <f>"XQ22XLMO"</f>
        <v>0</v>
      </c>
      <c r="D6419">
        <v>0</v>
      </c>
      <c r="E6419">
        <v>1</v>
      </c>
      <c r="F6419" s="2">
        <v>4</v>
      </c>
      <c r="H6419">
        <v>0</v>
      </c>
      <c r="I6419">
        <v>0.1741125760648204</v>
      </c>
      <c r="J6419">
        <v>0</v>
      </c>
      <c r="K6419">
        <v>0</v>
      </c>
      <c r="L6419" s="2">
        <v>0</v>
      </c>
      <c r="M6419">
        <v>64.3</v>
      </c>
      <c r="N6419" t="s">
        <v>10236</v>
      </c>
    </row>
    <row r="6420" spans="1:14">
      <c r="A6420" t="s">
        <v>35</v>
      </c>
      <c r="B6420" t="s">
        <v>6519</v>
      </c>
      <c r="C6420">
        <f>"XQ22XL"</f>
        <v>0</v>
      </c>
      <c r="D6420">
        <v>0</v>
      </c>
      <c r="E6420">
        <v>1</v>
      </c>
      <c r="F6420" s="2">
        <v>4</v>
      </c>
      <c r="H6420">
        <v>0</v>
      </c>
      <c r="I6420">
        <v>0.1741125760648204</v>
      </c>
      <c r="J6420">
        <v>0</v>
      </c>
      <c r="K6420">
        <v>0</v>
      </c>
      <c r="L6420" s="2">
        <v>0</v>
      </c>
      <c r="M6420">
        <v>64.31</v>
      </c>
      <c r="N6420" t="s">
        <v>10236</v>
      </c>
    </row>
    <row r="6421" spans="1:14">
      <c r="A6421" t="s">
        <v>35</v>
      </c>
      <c r="B6421" t="s">
        <v>6520</v>
      </c>
      <c r="C6421">
        <f>"XQ22SRO"</f>
        <v>0</v>
      </c>
      <c r="D6421">
        <v>0</v>
      </c>
      <c r="E6421">
        <v>1</v>
      </c>
      <c r="F6421" s="2">
        <v>3</v>
      </c>
      <c r="H6421">
        <v>0</v>
      </c>
      <c r="I6421">
        <v>0.1741125760648204</v>
      </c>
      <c r="J6421">
        <v>0</v>
      </c>
      <c r="K6421">
        <v>0</v>
      </c>
      <c r="L6421" s="2">
        <v>0</v>
      </c>
      <c r="M6421">
        <v>64.31</v>
      </c>
      <c r="N6421" t="s">
        <v>10236</v>
      </c>
    </row>
    <row r="6422" spans="1:14">
      <c r="A6422" t="s">
        <v>35</v>
      </c>
      <c r="B6422" t="s">
        <v>6521</v>
      </c>
      <c r="C6422">
        <f>"19488"</f>
        <v>0</v>
      </c>
      <c r="D6422">
        <v>0</v>
      </c>
      <c r="E6422">
        <v>8</v>
      </c>
      <c r="F6422" s="2">
        <v>6</v>
      </c>
      <c r="H6422">
        <v>0</v>
      </c>
      <c r="I6422">
        <v>0.1741125760648204</v>
      </c>
      <c r="J6422">
        <v>0</v>
      </c>
      <c r="K6422">
        <v>0</v>
      </c>
      <c r="L6422" s="2">
        <v>0</v>
      </c>
      <c r="M6422">
        <v>64.31999999999999</v>
      </c>
      <c r="N6422" t="s">
        <v>10236</v>
      </c>
    </row>
    <row r="6423" spans="1:14">
      <c r="A6423" t="s">
        <v>35</v>
      </c>
      <c r="B6423" t="s">
        <v>6522</v>
      </c>
      <c r="C6423">
        <f>"DMWTM"</f>
        <v>0</v>
      </c>
      <c r="D6423">
        <v>0</v>
      </c>
      <c r="E6423">
        <v>0</v>
      </c>
      <c r="F6423" s="2">
        <v>0</v>
      </c>
      <c r="H6423">
        <v>0</v>
      </c>
      <c r="I6423">
        <v>0.1741125760648204</v>
      </c>
      <c r="J6423">
        <v>0</v>
      </c>
      <c r="K6423">
        <v>0</v>
      </c>
      <c r="L6423" s="2">
        <v>0</v>
      </c>
      <c r="M6423">
        <v>64.33</v>
      </c>
      <c r="N6423" t="s">
        <v>10236</v>
      </c>
    </row>
    <row r="6424" spans="1:14">
      <c r="A6424" t="s">
        <v>35</v>
      </c>
      <c r="B6424" t="s">
        <v>6523</v>
      </c>
      <c r="C6424">
        <f>"DMWTL"</f>
        <v>0</v>
      </c>
      <c r="D6424">
        <v>0</v>
      </c>
      <c r="E6424">
        <v>0</v>
      </c>
      <c r="F6424" s="2">
        <v>0</v>
      </c>
      <c r="H6424">
        <v>0</v>
      </c>
      <c r="I6424">
        <v>0.1741125760648204</v>
      </c>
      <c r="J6424">
        <v>0</v>
      </c>
      <c r="K6424">
        <v>0</v>
      </c>
      <c r="L6424" s="2">
        <v>0</v>
      </c>
      <c r="M6424">
        <v>64.34</v>
      </c>
      <c r="N6424" t="s">
        <v>10236</v>
      </c>
    </row>
    <row r="6425" spans="1:14">
      <c r="A6425" t="s">
        <v>35</v>
      </c>
      <c r="B6425" t="s">
        <v>6524</v>
      </c>
      <c r="C6425">
        <f>"CC309LVNG"</f>
        <v>0</v>
      </c>
      <c r="D6425">
        <v>0</v>
      </c>
      <c r="E6425">
        <v>0</v>
      </c>
      <c r="F6425" s="2">
        <v>0</v>
      </c>
      <c r="H6425">
        <v>0</v>
      </c>
      <c r="I6425">
        <v>0.1741125760648204</v>
      </c>
      <c r="J6425">
        <v>0</v>
      </c>
      <c r="K6425">
        <v>0</v>
      </c>
      <c r="L6425" s="2">
        <v>0</v>
      </c>
      <c r="M6425">
        <v>64.34999999999999</v>
      </c>
      <c r="N6425" t="s">
        <v>10236</v>
      </c>
    </row>
    <row r="6426" spans="1:14">
      <c r="A6426" t="s">
        <v>35</v>
      </c>
      <c r="B6426" t="s">
        <v>6525</v>
      </c>
      <c r="C6426">
        <f>"CC309LRNC"</f>
        <v>0</v>
      </c>
      <c r="D6426">
        <v>0</v>
      </c>
      <c r="E6426">
        <v>0</v>
      </c>
      <c r="F6426" s="2">
        <v>0</v>
      </c>
      <c r="H6426">
        <v>0</v>
      </c>
      <c r="I6426">
        <v>0.1741125760648204</v>
      </c>
      <c r="J6426">
        <v>0</v>
      </c>
      <c r="K6426">
        <v>0</v>
      </c>
      <c r="L6426" s="2">
        <v>0</v>
      </c>
      <c r="M6426">
        <v>64.36</v>
      </c>
      <c r="N6426" t="s">
        <v>10236</v>
      </c>
    </row>
    <row r="6427" spans="1:14">
      <c r="A6427" t="s">
        <v>35</v>
      </c>
      <c r="B6427" t="s">
        <v>6526</v>
      </c>
      <c r="C6427">
        <f>"CC309LRC"</f>
        <v>0</v>
      </c>
      <c r="D6427">
        <v>0</v>
      </c>
      <c r="E6427">
        <v>0</v>
      </c>
      <c r="F6427" s="2">
        <v>0</v>
      </c>
      <c r="H6427">
        <v>0</v>
      </c>
      <c r="I6427">
        <v>0.1741125760648204</v>
      </c>
      <c r="J6427">
        <v>0</v>
      </c>
      <c r="K6427">
        <v>0</v>
      </c>
      <c r="L6427" s="2">
        <v>0</v>
      </c>
      <c r="M6427">
        <v>64.37</v>
      </c>
      <c r="N6427" t="s">
        <v>10236</v>
      </c>
    </row>
    <row r="6428" spans="1:14">
      <c r="A6428" t="s">
        <v>35</v>
      </c>
      <c r="B6428" t="s">
        <v>6527</v>
      </c>
      <c r="C6428">
        <f>"CC309LRNN"</f>
        <v>0</v>
      </c>
      <c r="D6428">
        <v>0</v>
      </c>
      <c r="E6428">
        <v>0</v>
      </c>
      <c r="F6428" s="2">
        <v>0</v>
      </c>
      <c r="H6428">
        <v>0</v>
      </c>
      <c r="I6428">
        <v>0.1741125760648204</v>
      </c>
      <c r="J6428">
        <v>0</v>
      </c>
      <c r="K6428">
        <v>0</v>
      </c>
      <c r="L6428" s="2">
        <v>0</v>
      </c>
      <c r="M6428">
        <v>64.38</v>
      </c>
      <c r="N6428" t="s">
        <v>10236</v>
      </c>
    </row>
    <row r="6429" spans="1:14">
      <c r="A6429" t="s">
        <v>35</v>
      </c>
      <c r="B6429" t="s">
        <v>6528</v>
      </c>
      <c r="C6429">
        <f>"JWZ1051L"</f>
        <v>0</v>
      </c>
      <c r="D6429">
        <v>0</v>
      </c>
      <c r="E6429">
        <v>15</v>
      </c>
      <c r="F6429" s="2">
        <v>1</v>
      </c>
      <c r="H6429">
        <v>0</v>
      </c>
      <c r="I6429">
        <v>0.1741125760648204</v>
      </c>
      <c r="J6429">
        <v>0</v>
      </c>
      <c r="K6429">
        <v>0</v>
      </c>
      <c r="L6429" s="2">
        <v>0</v>
      </c>
      <c r="M6429">
        <v>64.39</v>
      </c>
      <c r="N6429" t="s">
        <v>10236</v>
      </c>
    </row>
    <row r="6430" spans="1:14">
      <c r="A6430" t="s">
        <v>35</v>
      </c>
      <c r="B6430" t="s">
        <v>6529</v>
      </c>
      <c r="C6430">
        <f>"JWZ1060L"</f>
        <v>0</v>
      </c>
      <c r="D6430">
        <v>0</v>
      </c>
      <c r="E6430">
        <v>24</v>
      </c>
      <c r="F6430" s="2">
        <v>1</v>
      </c>
      <c r="H6430">
        <v>0</v>
      </c>
      <c r="I6430">
        <v>0.1741125760648204</v>
      </c>
      <c r="J6430">
        <v>0</v>
      </c>
      <c r="K6430">
        <v>0</v>
      </c>
      <c r="L6430" s="2">
        <v>0</v>
      </c>
      <c r="M6430">
        <v>64.40000000000001</v>
      </c>
      <c r="N6430" t="s">
        <v>10236</v>
      </c>
    </row>
    <row r="6431" spans="1:14">
      <c r="A6431" t="s">
        <v>35</v>
      </c>
      <c r="B6431" t="s">
        <v>6530</v>
      </c>
      <c r="C6431">
        <f>"HP152LR"</f>
        <v>0</v>
      </c>
      <c r="D6431">
        <v>0</v>
      </c>
      <c r="E6431">
        <v>0</v>
      </c>
      <c r="F6431" s="2">
        <v>0</v>
      </c>
      <c r="H6431">
        <v>0</v>
      </c>
      <c r="I6431">
        <v>0.1741125760648204</v>
      </c>
      <c r="J6431">
        <v>0</v>
      </c>
      <c r="K6431">
        <v>0</v>
      </c>
      <c r="L6431" s="2">
        <v>0</v>
      </c>
      <c r="M6431">
        <v>64.41</v>
      </c>
      <c r="N6431" t="s">
        <v>10236</v>
      </c>
    </row>
    <row r="6432" spans="1:14">
      <c r="A6432" t="s">
        <v>35</v>
      </c>
      <c r="B6432" t="s">
        <v>6530</v>
      </c>
      <c r="C6432">
        <f>"HP152LN"</f>
        <v>0</v>
      </c>
      <c r="D6432">
        <v>0</v>
      </c>
      <c r="E6432">
        <v>0</v>
      </c>
      <c r="F6432" s="2">
        <v>0</v>
      </c>
      <c r="H6432">
        <v>0</v>
      </c>
      <c r="I6432">
        <v>0.1741125760648204</v>
      </c>
      <c r="J6432">
        <v>0</v>
      </c>
      <c r="K6432">
        <v>0</v>
      </c>
      <c r="L6432" s="2">
        <v>0</v>
      </c>
      <c r="M6432">
        <v>64.42</v>
      </c>
      <c r="N6432" t="s">
        <v>10236</v>
      </c>
    </row>
    <row r="6433" spans="1:14">
      <c r="A6433" t="s">
        <v>35</v>
      </c>
      <c r="B6433" t="s">
        <v>6530</v>
      </c>
      <c r="C6433">
        <f>"HP152LG"</f>
        <v>0</v>
      </c>
      <c r="D6433">
        <v>0</v>
      </c>
      <c r="E6433">
        <v>0</v>
      </c>
      <c r="F6433" s="2">
        <v>0</v>
      </c>
      <c r="H6433">
        <v>0</v>
      </c>
      <c r="I6433">
        <v>0.1741125760648204</v>
      </c>
      <c r="J6433">
        <v>0</v>
      </c>
      <c r="K6433">
        <v>0</v>
      </c>
      <c r="L6433" s="2">
        <v>0</v>
      </c>
      <c r="M6433">
        <v>64.43000000000001</v>
      </c>
      <c r="N6433" t="s">
        <v>10236</v>
      </c>
    </row>
    <row r="6434" spans="1:14">
      <c r="A6434" t="s">
        <v>35</v>
      </c>
      <c r="B6434" t="s">
        <v>6531</v>
      </c>
      <c r="C6434">
        <f>"HH088XXLBN"</f>
        <v>0</v>
      </c>
      <c r="D6434">
        <v>0</v>
      </c>
      <c r="E6434">
        <v>13</v>
      </c>
      <c r="F6434" s="2">
        <v>12</v>
      </c>
      <c r="H6434">
        <v>0</v>
      </c>
      <c r="I6434">
        <v>0.1741125760648204</v>
      </c>
      <c r="J6434">
        <v>0</v>
      </c>
      <c r="K6434">
        <v>0</v>
      </c>
      <c r="L6434" s="2">
        <v>0</v>
      </c>
      <c r="M6434">
        <v>64.43000000000001</v>
      </c>
      <c r="N6434" t="s">
        <v>10236</v>
      </c>
    </row>
    <row r="6435" spans="1:14">
      <c r="A6435" t="s">
        <v>35</v>
      </c>
      <c r="B6435" t="s">
        <v>6531</v>
      </c>
      <c r="C6435">
        <f>"HH088XLBN"</f>
        <v>0</v>
      </c>
      <c r="D6435">
        <v>0</v>
      </c>
      <c r="E6435">
        <v>4</v>
      </c>
      <c r="F6435" s="2">
        <v>11</v>
      </c>
      <c r="H6435">
        <v>0</v>
      </c>
      <c r="I6435">
        <v>0.1741125760648204</v>
      </c>
      <c r="J6435">
        <v>0</v>
      </c>
      <c r="K6435">
        <v>0</v>
      </c>
      <c r="L6435" s="2">
        <v>0</v>
      </c>
      <c r="M6435">
        <v>64.44</v>
      </c>
      <c r="N6435" t="s">
        <v>10236</v>
      </c>
    </row>
    <row r="6436" spans="1:14">
      <c r="A6436" t="s">
        <v>35</v>
      </c>
      <c r="B6436" t="s">
        <v>6531</v>
      </c>
      <c r="C6436">
        <f>"HH088LBN"</f>
        <v>0</v>
      </c>
      <c r="D6436">
        <v>0</v>
      </c>
      <c r="E6436">
        <v>1</v>
      </c>
      <c r="F6436" s="2">
        <v>10</v>
      </c>
      <c r="H6436">
        <v>0</v>
      </c>
      <c r="I6436">
        <v>0.1741125760648204</v>
      </c>
      <c r="J6436">
        <v>0</v>
      </c>
      <c r="K6436">
        <v>0</v>
      </c>
      <c r="L6436" s="2">
        <v>0</v>
      </c>
      <c r="M6436">
        <v>64.45</v>
      </c>
      <c r="N6436" t="s">
        <v>10236</v>
      </c>
    </row>
    <row r="6437" spans="1:14">
      <c r="A6437" t="s">
        <v>35</v>
      </c>
      <c r="B6437" t="s">
        <v>6532</v>
      </c>
      <c r="C6437">
        <f>"JWZ1003L"</f>
        <v>0</v>
      </c>
      <c r="D6437">
        <v>0</v>
      </c>
      <c r="E6437">
        <v>6</v>
      </c>
      <c r="F6437" s="2">
        <v>1</v>
      </c>
      <c r="H6437">
        <v>0</v>
      </c>
      <c r="I6437">
        <v>0.1741125760648204</v>
      </c>
      <c r="J6437">
        <v>0</v>
      </c>
      <c r="K6437">
        <v>0</v>
      </c>
      <c r="L6437" s="2">
        <v>0</v>
      </c>
      <c r="M6437">
        <v>64.45999999999999</v>
      </c>
      <c r="N6437" t="s">
        <v>10236</v>
      </c>
    </row>
    <row r="6438" spans="1:14">
      <c r="A6438" t="s">
        <v>35</v>
      </c>
      <c r="B6438" t="s">
        <v>6531</v>
      </c>
      <c r="C6438">
        <f>"HH088SBN"</f>
        <v>0</v>
      </c>
      <c r="D6438">
        <v>0</v>
      </c>
      <c r="E6438">
        <v>6</v>
      </c>
      <c r="F6438" s="2">
        <v>8</v>
      </c>
      <c r="H6438">
        <v>0</v>
      </c>
      <c r="I6438">
        <v>0.1741125760648204</v>
      </c>
      <c r="J6438">
        <v>0</v>
      </c>
      <c r="K6438">
        <v>0</v>
      </c>
      <c r="L6438" s="2">
        <v>0</v>
      </c>
      <c r="M6438">
        <v>64.47</v>
      </c>
      <c r="N6438" t="s">
        <v>10236</v>
      </c>
    </row>
    <row r="6439" spans="1:14">
      <c r="A6439" t="s">
        <v>35</v>
      </c>
      <c r="B6439" t="s">
        <v>6533</v>
      </c>
      <c r="C6439">
        <f>"HH088LBL"</f>
        <v>0</v>
      </c>
      <c r="D6439">
        <v>0</v>
      </c>
      <c r="E6439">
        <v>1</v>
      </c>
      <c r="F6439" s="2">
        <v>11</v>
      </c>
      <c r="H6439">
        <v>0</v>
      </c>
      <c r="I6439">
        <v>0.1741125760648204</v>
      </c>
      <c r="J6439">
        <v>0</v>
      </c>
      <c r="K6439">
        <v>0</v>
      </c>
      <c r="L6439" s="2">
        <v>0</v>
      </c>
      <c r="M6439">
        <v>64.48</v>
      </c>
      <c r="N6439" t="s">
        <v>10236</v>
      </c>
    </row>
    <row r="6440" spans="1:14">
      <c r="A6440" t="s">
        <v>35</v>
      </c>
      <c r="B6440" t="s">
        <v>6534</v>
      </c>
      <c r="C6440">
        <f>"HH088XXLA"</f>
        <v>0</v>
      </c>
      <c r="D6440">
        <v>0</v>
      </c>
      <c r="E6440">
        <v>8</v>
      </c>
      <c r="F6440" s="2">
        <v>12</v>
      </c>
      <c r="H6440">
        <v>0</v>
      </c>
      <c r="I6440">
        <v>0.1741125760648204</v>
      </c>
      <c r="J6440">
        <v>0</v>
      </c>
      <c r="K6440">
        <v>0</v>
      </c>
      <c r="L6440" s="2">
        <v>0</v>
      </c>
      <c r="M6440">
        <v>64.48999999999999</v>
      </c>
      <c r="N6440" t="s">
        <v>10236</v>
      </c>
    </row>
    <row r="6441" spans="1:14">
      <c r="A6441" t="s">
        <v>35</v>
      </c>
      <c r="B6441" t="s">
        <v>6535</v>
      </c>
      <c r="C6441">
        <f>"HH088XSA"</f>
        <v>0</v>
      </c>
      <c r="D6441">
        <v>0</v>
      </c>
      <c r="E6441">
        <v>6</v>
      </c>
      <c r="F6441" s="2">
        <v>6</v>
      </c>
      <c r="H6441">
        <v>0</v>
      </c>
      <c r="I6441">
        <v>0.1741125760648204</v>
      </c>
      <c r="J6441">
        <v>0</v>
      </c>
      <c r="K6441">
        <v>0</v>
      </c>
      <c r="L6441" s="2">
        <v>0</v>
      </c>
      <c r="M6441">
        <v>64.5</v>
      </c>
      <c r="N6441" t="s">
        <v>10236</v>
      </c>
    </row>
    <row r="6442" spans="1:14">
      <c r="A6442" t="s">
        <v>35</v>
      </c>
      <c r="B6442" t="s">
        <v>6536</v>
      </c>
      <c r="C6442">
        <f>"HH088XLA"</f>
        <v>0</v>
      </c>
      <c r="D6442">
        <v>0</v>
      </c>
      <c r="E6442">
        <v>1</v>
      </c>
      <c r="F6442" s="2">
        <v>11</v>
      </c>
      <c r="H6442">
        <v>0</v>
      </c>
      <c r="I6442">
        <v>0.1741125760648204</v>
      </c>
      <c r="J6442">
        <v>0</v>
      </c>
      <c r="K6442">
        <v>0</v>
      </c>
      <c r="L6442" s="2">
        <v>0</v>
      </c>
      <c r="M6442">
        <v>64.51000000000001</v>
      </c>
      <c r="N6442" t="s">
        <v>10236</v>
      </c>
    </row>
    <row r="6443" spans="1:14">
      <c r="A6443" t="s">
        <v>35</v>
      </c>
      <c r="B6443" t="s">
        <v>6537</v>
      </c>
      <c r="C6443">
        <f>"FB511MN"</f>
        <v>0</v>
      </c>
      <c r="D6443">
        <v>0</v>
      </c>
      <c r="E6443">
        <v>0</v>
      </c>
      <c r="F6443" s="2">
        <v>0</v>
      </c>
      <c r="H6443">
        <v>0</v>
      </c>
      <c r="I6443">
        <v>0.1741125760648204</v>
      </c>
      <c r="J6443">
        <v>0</v>
      </c>
      <c r="K6443">
        <v>0</v>
      </c>
      <c r="L6443" s="2">
        <v>0</v>
      </c>
      <c r="M6443">
        <v>64.52</v>
      </c>
      <c r="N6443" t="s">
        <v>10236</v>
      </c>
    </row>
    <row r="6444" spans="1:14">
      <c r="A6444" t="s">
        <v>35</v>
      </c>
      <c r="B6444" t="s">
        <v>6538</v>
      </c>
      <c r="C6444">
        <f>"FB511MG"</f>
        <v>0</v>
      </c>
      <c r="D6444">
        <v>0</v>
      </c>
      <c r="E6444">
        <v>0</v>
      </c>
      <c r="F6444" s="2">
        <v>0</v>
      </c>
      <c r="H6444">
        <v>0</v>
      </c>
      <c r="I6444">
        <v>0.1741125760648204</v>
      </c>
      <c r="J6444">
        <v>0</v>
      </c>
      <c r="K6444">
        <v>0</v>
      </c>
      <c r="L6444" s="2">
        <v>0</v>
      </c>
      <c r="M6444">
        <v>64.53</v>
      </c>
      <c r="N6444" t="s">
        <v>10236</v>
      </c>
    </row>
    <row r="6445" spans="1:14">
      <c r="A6445" t="s">
        <v>35</v>
      </c>
      <c r="B6445" t="s">
        <v>6539</v>
      </c>
      <c r="C6445">
        <f>"FB511LV"</f>
        <v>0</v>
      </c>
      <c r="D6445">
        <v>0</v>
      </c>
      <c r="E6445">
        <v>0</v>
      </c>
      <c r="F6445" s="2">
        <v>0</v>
      </c>
      <c r="H6445">
        <v>0</v>
      </c>
      <c r="I6445">
        <v>0.1741125760648204</v>
      </c>
      <c r="J6445">
        <v>0</v>
      </c>
      <c r="K6445">
        <v>0</v>
      </c>
      <c r="L6445" s="2">
        <v>0</v>
      </c>
      <c r="M6445">
        <v>64.54000000000001</v>
      </c>
      <c r="N6445" t="s">
        <v>10236</v>
      </c>
    </row>
    <row r="6446" spans="1:14">
      <c r="A6446" t="s">
        <v>35</v>
      </c>
      <c r="B6446" t="s">
        <v>6540</v>
      </c>
      <c r="C6446">
        <f>"FB511LN"</f>
        <v>0</v>
      </c>
      <c r="D6446">
        <v>0</v>
      </c>
      <c r="E6446">
        <v>1</v>
      </c>
      <c r="F6446" s="2">
        <v>8</v>
      </c>
      <c r="H6446">
        <v>0</v>
      </c>
      <c r="I6446">
        <v>0.1741125760648204</v>
      </c>
      <c r="J6446">
        <v>0</v>
      </c>
      <c r="K6446">
        <v>0</v>
      </c>
      <c r="L6446" s="2">
        <v>0</v>
      </c>
      <c r="M6446">
        <v>64.55</v>
      </c>
      <c r="N6446" t="s">
        <v>10236</v>
      </c>
    </row>
    <row r="6447" spans="1:14">
      <c r="A6447" t="s">
        <v>35</v>
      </c>
      <c r="B6447" t="s">
        <v>6541</v>
      </c>
      <c r="C6447">
        <f>"CC309LCRN"</f>
        <v>0</v>
      </c>
      <c r="D6447">
        <v>0</v>
      </c>
      <c r="E6447">
        <v>0</v>
      </c>
      <c r="F6447" s="2">
        <v>0</v>
      </c>
      <c r="H6447">
        <v>0</v>
      </c>
      <c r="I6447">
        <v>0.1741125760648204</v>
      </c>
      <c r="J6447">
        <v>0</v>
      </c>
      <c r="K6447">
        <v>0</v>
      </c>
      <c r="L6447" s="2">
        <v>0</v>
      </c>
      <c r="M6447">
        <v>64.55</v>
      </c>
      <c r="N6447" t="s">
        <v>10236</v>
      </c>
    </row>
    <row r="6448" spans="1:14">
      <c r="A6448" t="s">
        <v>35</v>
      </c>
      <c r="B6448" t="s">
        <v>6542</v>
      </c>
      <c r="C6448">
        <f>"CC309LCNN"</f>
        <v>0</v>
      </c>
      <c r="D6448">
        <v>0</v>
      </c>
      <c r="E6448">
        <v>0</v>
      </c>
      <c r="F6448" s="2">
        <v>0</v>
      </c>
      <c r="H6448">
        <v>0</v>
      </c>
      <c r="I6448">
        <v>0.1741125760648204</v>
      </c>
      <c r="J6448">
        <v>0</v>
      </c>
      <c r="K6448">
        <v>0</v>
      </c>
      <c r="L6448" s="2">
        <v>0</v>
      </c>
      <c r="M6448">
        <v>64.56</v>
      </c>
      <c r="N6448" t="s">
        <v>10236</v>
      </c>
    </row>
    <row r="6449" spans="1:14">
      <c r="A6449" t="s">
        <v>35</v>
      </c>
      <c r="B6449" t="s">
        <v>6543</v>
      </c>
      <c r="C6449">
        <f>"CC309LAC"</f>
        <v>0</v>
      </c>
      <c r="D6449">
        <v>0</v>
      </c>
      <c r="E6449">
        <v>1</v>
      </c>
      <c r="F6449" s="2">
        <v>6</v>
      </c>
      <c r="H6449">
        <v>0</v>
      </c>
      <c r="I6449">
        <v>0.1741125760648204</v>
      </c>
      <c r="J6449">
        <v>0</v>
      </c>
      <c r="K6449">
        <v>0</v>
      </c>
      <c r="L6449" s="2">
        <v>0</v>
      </c>
      <c r="M6449">
        <v>64.56999999999999</v>
      </c>
      <c r="N6449" t="s">
        <v>10236</v>
      </c>
    </row>
    <row r="6450" spans="1:14">
      <c r="A6450" t="s">
        <v>35</v>
      </c>
      <c r="B6450" t="s">
        <v>6544</v>
      </c>
      <c r="C6450">
        <f>"CC309LANN"</f>
        <v>0</v>
      </c>
      <c r="D6450">
        <v>0</v>
      </c>
      <c r="E6450">
        <v>1</v>
      </c>
      <c r="F6450" s="2">
        <v>6</v>
      </c>
      <c r="H6450">
        <v>0</v>
      </c>
      <c r="I6450">
        <v>0.1741125760648204</v>
      </c>
      <c r="J6450">
        <v>0</v>
      </c>
      <c r="K6450">
        <v>0</v>
      </c>
      <c r="L6450" s="2">
        <v>0</v>
      </c>
      <c r="M6450">
        <v>64.58</v>
      </c>
      <c r="N6450" t="s">
        <v>10236</v>
      </c>
    </row>
    <row r="6451" spans="1:14">
      <c r="A6451" t="s">
        <v>35</v>
      </c>
      <c r="B6451" t="s">
        <v>6545</v>
      </c>
      <c r="C6451">
        <f>"CC309LACN"</f>
        <v>0</v>
      </c>
      <c r="D6451">
        <v>0</v>
      </c>
      <c r="E6451">
        <v>0</v>
      </c>
      <c r="F6451" s="2">
        <v>0</v>
      </c>
      <c r="H6451">
        <v>0</v>
      </c>
      <c r="I6451">
        <v>0.1741125760648204</v>
      </c>
      <c r="J6451">
        <v>0</v>
      </c>
      <c r="K6451">
        <v>0</v>
      </c>
      <c r="L6451" s="2">
        <v>0</v>
      </c>
      <c r="M6451">
        <v>64.59</v>
      </c>
      <c r="N6451" t="s">
        <v>10236</v>
      </c>
    </row>
    <row r="6452" spans="1:14">
      <c r="A6452" t="s">
        <v>35</v>
      </c>
      <c r="B6452" t="s">
        <v>6546</v>
      </c>
      <c r="C6452">
        <f>"JWZ1011L"</f>
        <v>0</v>
      </c>
      <c r="D6452">
        <v>0</v>
      </c>
      <c r="E6452">
        <v>5</v>
      </c>
      <c r="F6452" s="2">
        <v>1</v>
      </c>
      <c r="H6452">
        <v>0</v>
      </c>
      <c r="I6452">
        <v>0.1741125760648204</v>
      </c>
      <c r="J6452">
        <v>0</v>
      </c>
      <c r="K6452">
        <v>0</v>
      </c>
      <c r="L6452" s="2">
        <v>0</v>
      </c>
      <c r="M6452">
        <v>64.59999999999999</v>
      </c>
      <c r="N6452" t="s">
        <v>10236</v>
      </c>
    </row>
    <row r="6453" spans="1:14">
      <c r="A6453" t="s">
        <v>35</v>
      </c>
      <c r="B6453" t="s">
        <v>6531</v>
      </c>
      <c r="C6453">
        <f>"HH088MBN"</f>
        <v>0</v>
      </c>
      <c r="D6453">
        <v>0</v>
      </c>
      <c r="E6453">
        <v>0</v>
      </c>
      <c r="F6453" s="2">
        <v>0</v>
      </c>
      <c r="H6453">
        <v>0</v>
      </c>
      <c r="I6453">
        <v>0.1741125760648204</v>
      </c>
      <c r="J6453">
        <v>0</v>
      </c>
      <c r="K6453">
        <v>0</v>
      </c>
      <c r="L6453" s="2">
        <v>0</v>
      </c>
      <c r="M6453">
        <v>64.61</v>
      </c>
      <c r="N6453" t="s">
        <v>10236</v>
      </c>
    </row>
    <row r="6454" spans="1:14">
      <c r="A6454" t="s">
        <v>29</v>
      </c>
      <c r="B6454" t="s">
        <v>6547</v>
      </c>
      <c r="C6454">
        <f>"D300"</f>
        <v>0</v>
      </c>
      <c r="D6454">
        <v>0</v>
      </c>
      <c r="E6454">
        <v>6</v>
      </c>
      <c r="F6454" s="2">
        <v>5</v>
      </c>
      <c r="H6454">
        <v>0</v>
      </c>
      <c r="I6454">
        <v>0.1741125760648204</v>
      </c>
      <c r="J6454">
        <v>0</v>
      </c>
      <c r="K6454">
        <v>0</v>
      </c>
      <c r="L6454" s="2">
        <v>0</v>
      </c>
      <c r="M6454">
        <v>64.62</v>
      </c>
      <c r="N6454" t="s">
        <v>10236</v>
      </c>
    </row>
    <row r="6455" spans="1:14">
      <c r="A6455" t="s">
        <v>213</v>
      </c>
      <c r="B6455" t="s">
        <v>6548</v>
      </c>
      <c r="C6455">
        <f>"401767"</f>
        <v>0</v>
      </c>
      <c r="D6455">
        <v>0</v>
      </c>
      <c r="E6455">
        <v>0</v>
      </c>
      <c r="F6455" s="2">
        <v>0</v>
      </c>
      <c r="H6455">
        <v>0</v>
      </c>
      <c r="I6455">
        <v>0.1741125760648204</v>
      </c>
      <c r="J6455">
        <v>0</v>
      </c>
      <c r="K6455">
        <v>0</v>
      </c>
      <c r="L6455" s="2">
        <v>0</v>
      </c>
      <c r="M6455">
        <v>64.63</v>
      </c>
      <c r="N6455" t="s">
        <v>10236</v>
      </c>
    </row>
    <row r="6456" spans="1:14">
      <c r="A6456" t="s">
        <v>196</v>
      </c>
      <c r="B6456" t="s">
        <v>6549</v>
      </c>
      <c r="C6456">
        <f>"2409"</f>
        <v>0</v>
      </c>
      <c r="D6456">
        <v>0</v>
      </c>
      <c r="E6456">
        <v>1</v>
      </c>
      <c r="F6456" s="2">
        <v>2</v>
      </c>
      <c r="H6456">
        <v>0</v>
      </c>
      <c r="I6456">
        <v>0.1741125760648204</v>
      </c>
      <c r="J6456">
        <v>0</v>
      </c>
      <c r="K6456">
        <v>0</v>
      </c>
      <c r="L6456" s="2">
        <v>0</v>
      </c>
      <c r="M6456">
        <v>64.64</v>
      </c>
      <c r="N6456" t="s">
        <v>10236</v>
      </c>
    </row>
    <row r="6457" spans="1:14">
      <c r="A6457" t="s">
        <v>213</v>
      </c>
      <c r="B6457" t="s">
        <v>6550</v>
      </c>
      <c r="C6457">
        <f>"VQM217"</f>
        <v>0</v>
      </c>
      <c r="D6457">
        <v>0</v>
      </c>
      <c r="E6457">
        <v>0</v>
      </c>
      <c r="F6457" s="2">
        <v>0</v>
      </c>
      <c r="H6457">
        <v>0</v>
      </c>
      <c r="I6457">
        <v>0.1741125760648204</v>
      </c>
      <c r="J6457">
        <v>0</v>
      </c>
      <c r="K6457">
        <v>0</v>
      </c>
      <c r="L6457" s="2">
        <v>0</v>
      </c>
      <c r="M6457">
        <v>64.65000000000001</v>
      </c>
      <c r="N6457" t="s">
        <v>10236</v>
      </c>
    </row>
    <row r="6458" spans="1:14">
      <c r="A6458" t="s">
        <v>213</v>
      </c>
      <c r="B6458" t="s">
        <v>6551</v>
      </c>
      <c r="C6458">
        <f>"VQM027"</f>
        <v>0</v>
      </c>
      <c r="D6458">
        <v>0</v>
      </c>
      <c r="E6458">
        <v>0</v>
      </c>
      <c r="F6458" s="2">
        <v>0</v>
      </c>
      <c r="H6458">
        <v>0</v>
      </c>
      <c r="I6458">
        <v>0.1741125760648204</v>
      </c>
      <c r="J6458">
        <v>0</v>
      </c>
      <c r="K6458">
        <v>0</v>
      </c>
      <c r="L6458" s="2">
        <v>0</v>
      </c>
      <c r="M6458">
        <v>64.66</v>
      </c>
      <c r="N6458" t="s">
        <v>10236</v>
      </c>
    </row>
    <row r="6459" spans="1:14">
      <c r="A6459" t="s">
        <v>213</v>
      </c>
      <c r="B6459" t="s">
        <v>6552</v>
      </c>
      <c r="C6459">
        <f>"402039"</f>
        <v>0</v>
      </c>
      <c r="D6459">
        <v>0</v>
      </c>
      <c r="E6459">
        <v>0</v>
      </c>
      <c r="F6459" s="2">
        <v>0</v>
      </c>
      <c r="H6459">
        <v>0</v>
      </c>
      <c r="I6459">
        <v>0.1741125760648204</v>
      </c>
      <c r="J6459">
        <v>0</v>
      </c>
      <c r="K6459">
        <v>0</v>
      </c>
      <c r="L6459" s="2">
        <v>0</v>
      </c>
      <c r="M6459">
        <v>64.67</v>
      </c>
      <c r="N6459" t="s">
        <v>10236</v>
      </c>
    </row>
    <row r="6460" spans="1:14">
      <c r="A6460" t="s">
        <v>35</v>
      </c>
      <c r="B6460" t="s">
        <v>6553</v>
      </c>
      <c r="C6460">
        <f>"LH100SR"</f>
        <v>0</v>
      </c>
      <c r="D6460">
        <v>0</v>
      </c>
      <c r="E6460">
        <v>6</v>
      </c>
      <c r="F6460" s="2">
        <v>4</v>
      </c>
      <c r="H6460">
        <v>0</v>
      </c>
      <c r="I6460">
        <v>0.1741125760648204</v>
      </c>
      <c r="J6460">
        <v>0</v>
      </c>
      <c r="K6460">
        <v>0</v>
      </c>
      <c r="L6460" s="2">
        <v>0</v>
      </c>
      <c r="M6460">
        <v>64.67</v>
      </c>
      <c r="N6460" t="s">
        <v>10236</v>
      </c>
    </row>
    <row r="6461" spans="1:14">
      <c r="A6461" t="s">
        <v>35</v>
      </c>
      <c r="B6461" t="s">
        <v>6554</v>
      </c>
      <c r="C6461">
        <f>"LH100SM"</f>
        <v>0</v>
      </c>
      <c r="D6461">
        <v>0</v>
      </c>
      <c r="E6461">
        <v>7</v>
      </c>
      <c r="F6461" s="2">
        <v>4</v>
      </c>
      <c r="H6461">
        <v>0</v>
      </c>
      <c r="I6461">
        <v>0.1741125760648204</v>
      </c>
      <c r="J6461">
        <v>0</v>
      </c>
      <c r="K6461">
        <v>0</v>
      </c>
      <c r="L6461" s="2">
        <v>0</v>
      </c>
      <c r="M6461">
        <v>64.68000000000001</v>
      </c>
      <c r="N6461" t="s">
        <v>10236</v>
      </c>
    </row>
    <row r="6462" spans="1:14">
      <c r="A6462" t="s">
        <v>35</v>
      </c>
      <c r="B6462" t="s">
        <v>6555</v>
      </c>
      <c r="C6462">
        <f>"LH100SA"</f>
        <v>0</v>
      </c>
      <c r="D6462">
        <v>0</v>
      </c>
      <c r="E6462">
        <v>6</v>
      </c>
      <c r="F6462" s="2">
        <v>4</v>
      </c>
      <c r="H6462">
        <v>0</v>
      </c>
      <c r="I6462">
        <v>0.1741125760648204</v>
      </c>
      <c r="J6462">
        <v>0</v>
      </c>
      <c r="K6462">
        <v>0</v>
      </c>
      <c r="L6462" s="2">
        <v>0</v>
      </c>
      <c r="M6462">
        <v>64.69</v>
      </c>
      <c r="N6462" t="s">
        <v>10236</v>
      </c>
    </row>
    <row r="6463" spans="1:14">
      <c r="A6463" t="s">
        <v>35</v>
      </c>
      <c r="B6463" t="s">
        <v>6556</v>
      </c>
      <c r="C6463">
        <f>"PT015XLCCEL"</f>
        <v>0</v>
      </c>
      <c r="D6463">
        <v>0</v>
      </c>
      <c r="E6463">
        <v>0</v>
      </c>
      <c r="F6463" s="2">
        <v>0</v>
      </c>
      <c r="H6463">
        <v>0</v>
      </c>
      <c r="I6463">
        <v>0.1741125760648204</v>
      </c>
      <c r="J6463">
        <v>0</v>
      </c>
      <c r="K6463">
        <v>0</v>
      </c>
      <c r="L6463" s="2">
        <v>0</v>
      </c>
      <c r="M6463">
        <v>64.7</v>
      </c>
      <c r="N6463" t="s">
        <v>10236</v>
      </c>
    </row>
    <row r="6464" spans="1:14">
      <c r="A6464" t="s">
        <v>35</v>
      </c>
      <c r="B6464" t="s">
        <v>6557</v>
      </c>
      <c r="C6464">
        <f>"PT015XLA"</f>
        <v>0</v>
      </c>
      <c r="D6464">
        <v>0</v>
      </c>
      <c r="E6464">
        <v>0</v>
      </c>
      <c r="F6464" s="2">
        <v>0</v>
      </c>
      <c r="H6464">
        <v>0</v>
      </c>
      <c r="I6464">
        <v>0.1741125760648204</v>
      </c>
      <c r="J6464">
        <v>0</v>
      </c>
      <c r="K6464">
        <v>0</v>
      </c>
      <c r="L6464" s="2">
        <v>0</v>
      </c>
      <c r="M6464">
        <v>64.70999999999999</v>
      </c>
      <c r="N6464" t="s">
        <v>10236</v>
      </c>
    </row>
    <row r="6465" spans="1:14">
      <c r="A6465" t="s">
        <v>35</v>
      </c>
      <c r="B6465" t="s">
        <v>6558</v>
      </c>
      <c r="C6465">
        <f>"PT015SROJ"</f>
        <v>0</v>
      </c>
      <c r="D6465">
        <v>0</v>
      </c>
      <c r="E6465">
        <v>3</v>
      </c>
      <c r="F6465" s="2">
        <v>3</v>
      </c>
      <c r="H6465">
        <v>0</v>
      </c>
      <c r="I6465">
        <v>0.1741125760648204</v>
      </c>
      <c r="J6465">
        <v>0</v>
      </c>
      <c r="K6465">
        <v>0</v>
      </c>
      <c r="L6465" s="2">
        <v>0</v>
      </c>
      <c r="M6465">
        <v>64.72</v>
      </c>
      <c r="N6465" t="s">
        <v>10236</v>
      </c>
    </row>
    <row r="6466" spans="1:14">
      <c r="A6466" t="s">
        <v>24</v>
      </c>
      <c r="B6466" t="s">
        <v>6559</v>
      </c>
      <c r="C6466">
        <f>"1520101"</f>
        <v>0</v>
      </c>
      <c r="D6466">
        <v>0</v>
      </c>
      <c r="E6466">
        <v>2</v>
      </c>
      <c r="F6466" s="2">
        <v>1</v>
      </c>
      <c r="H6466">
        <v>0</v>
      </c>
      <c r="I6466">
        <v>0.1741125760648204</v>
      </c>
      <c r="J6466">
        <v>0</v>
      </c>
      <c r="K6466">
        <v>0</v>
      </c>
      <c r="L6466" s="2">
        <v>0</v>
      </c>
      <c r="M6466">
        <v>64.73</v>
      </c>
      <c r="N6466" t="s">
        <v>10236</v>
      </c>
    </row>
    <row r="6467" spans="1:14">
      <c r="A6467" t="s">
        <v>35</v>
      </c>
      <c r="B6467" t="s">
        <v>6560</v>
      </c>
      <c r="C6467">
        <f>"JWZ2540"</f>
        <v>0</v>
      </c>
      <c r="D6467">
        <v>0</v>
      </c>
      <c r="E6467">
        <v>39</v>
      </c>
      <c r="F6467" s="2">
        <v>1</v>
      </c>
      <c r="H6467">
        <v>0</v>
      </c>
      <c r="I6467">
        <v>0.1741125760648204</v>
      </c>
      <c r="J6467">
        <v>0</v>
      </c>
      <c r="K6467">
        <v>0</v>
      </c>
      <c r="L6467" s="2">
        <v>0</v>
      </c>
      <c r="M6467">
        <v>64.73999999999999</v>
      </c>
      <c r="N6467" t="s">
        <v>10236</v>
      </c>
    </row>
    <row r="6468" spans="1:14">
      <c r="A6468" t="s">
        <v>35</v>
      </c>
      <c r="B6468" t="s">
        <v>6561</v>
      </c>
      <c r="C6468">
        <f>"HH088XXLN"</f>
        <v>0</v>
      </c>
      <c r="D6468">
        <v>0</v>
      </c>
      <c r="E6468">
        <v>1</v>
      </c>
      <c r="F6468" s="2">
        <v>0</v>
      </c>
      <c r="H6468">
        <v>0</v>
      </c>
      <c r="I6468">
        <v>0.1741125760648204</v>
      </c>
      <c r="J6468">
        <v>0</v>
      </c>
      <c r="K6468">
        <v>0</v>
      </c>
      <c r="L6468" s="2">
        <v>0</v>
      </c>
      <c r="M6468">
        <v>64.75</v>
      </c>
      <c r="N6468" t="s">
        <v>10236</v>
      </c>
    </row>
    <row r="6469" spans="1:14">
      <c r="A6469" t="s">
        <v>35</v>
      </c>
      <c r="B6469" t="s">
        <v>6562</v>
      </c>
      <c r="C6469">
        <f>"JWZ1630"</f>
        <v>0</v>
      </c>
      <c r="D6469">
        <v>0</v>
      </c>
      <c r="E6469">
        <v>1</v>
      </c>
      <c r="F6469" s="2">
        <v>810</v>
      </c>
      <c r="H6469">
        <v>0</v>
      </c>
      <c r="I6469">
        <v>0.1741125760648204</v>
      </c>
      <c r="J6469">
        <v>0</v>
      </c>
      <c r="K6469">
        <v>0</v>
      </c>
      <c r="L6469" s="2">
        <v>0</v>
      </c>
      <c r="M6469">
        <v>64.76000000000001</v>
      </c>
      <c r="N6469" t="s">
        <v>10236</v>
      </c>
    </row>
    <row r="6470" spans="1:14">
      <c r="A6470" t="s">
        <v>35</v>
      </c>
      <c r="B6470" t="s">
        <v>6563</v>
      </c>
      <c r="C6470">
        <f>"JWZ1020"</f>
        <v>0</v>
      </c>
      <c r="D6470">
        <v>0</v>
      </c>
      <c r="E6470">
        <v>0</v>
      </c>
      <c r="F6470" s="2">
        <v>0</v>
      </c>
      <c r="H6470">
        <v>0</v>
      </c>
      <c r="I6470">
        <v>0.1741125760648204</v>
      </c>
      <c r="J6470">
        <v>0</v>
      </c>
      <c r="K6470">
        <v>0</v>
      </c>
      <c r="L6470" s="2">
        <v>0</v>
      </c>
      <c r="M6470">
        <v>64.77</v>
      </c>
      <c r="N6470" t="s">
        <v>10236</v>
      </c>
    </row>
    <row r="6471" spans="1:14">
      <c r="A6471" t="s">
        <v>35</v>
      </c>
      <c r="B6471" t="s">
        <v>6564</v>
      </c>
      <c r="C6471">
        <f>"CC309XSVNG"</f>
        <v>0</v>
      </c>
      <c r="D6471">
        <v>0</v>
      </c>
      <c r="E6471">
        <v>0</v>
      </c>
      <c r="F6471" s="2">
        <v>0</v>
      </c>
      <c r="H6471">
        <v>0</v>
      </c>
      <c r="I6471">
        <v>0.1741125760648204</v>
      </c>
      <c r="J6471">
        <v>0</v>
      </c>
      <c r="K6471">
        <v>0</v>
      </c>
      <c r="L6471" s="2">
        <v>0</v>
      </c>
      <c r="M6471">
        <v>64.78</v>
      </c>
      <c r="N6471" t="s">
        <v>10236</v>
      </c>
    </row>
    <row r="6472" spans="1:14">
      <c r="A6472" t="s">
        <v>35</v>
      </c>
      <c r="B6472" t="s">
        <v>6565</v>
      </c>
      <c r="C6472">
        <f>"CC309XSRNC"</f>
        <v>0</v>
      </c>
      <c r="D6472">
        <v>0</v>
      </c>
      <c r="E6472">
        <v>0</v>
      </c>
      <c r="F6472" s="2">
        <v>0</v>
      </c>
      <c r="H6472">
        <v>0</v>
      </c>
      <c r="I6472">
        <v>0.1741125760648204</v>
      </c>
      <c r="J6472">
        <v>0</v>
      </c>
      <c r="K6472">
        <v>0</v>
      </c>
      <c r="L6472" s="2">
        <v>0</v>
      </c>
      <c r="M6472">
        <v>64.78</v>
      </c>
      <c r="N6472" t="s">
        <v>10236</v>
      </c>
    </row>
    <row r="6473" spans="1:14">
      <c r="A6473" t="s">
        <v>35</v>
      </c>
      <c r="B6473" t="s">
        <v>6566</v>
      </c>
      <c r="C6473">
        <f>"CC309XSRC"</f>
        <v>0</v>
      </c>
      <c r="D6473">
        <v>0</v>
      </c>
      <c r="E6473">
        <v>0</v>
      </c>
      <c r="F6473" s="2">
        <v>0</v>
      </c>
      <c r="H6473">
        <v>0</v>
      </c>
      <c r="I6473">
        <v>0.1741125760648204</v>
      </c>
      <c r="J6473">
        <v>0</v>
      </c>
      <c r="K6473">
        <v>0</v>
      </c>
      <c r="L6473" s="2">
        <v>0</v>
      </c>
      <c r="M6473">
        <v>64.79000000000001</v>
      </c>
      <c r="N6473" t="s">
        <v>10236</v>
      </c>
    </row>
    <row r="6474" spans="1:14">
      <c r="A6474" t="s">
        <v>35</v>
      </c>
      <c r="B6474" t="s">
        <v>6567</v>
      </c>
      <c r="C6474">
        <f>"CC309XSRNN"</f>
        <v>0</v>
      </c>
      <c r="D6474">
        <v>0</v>
      </c>
      <c r="E6474">
        <v>0</v>
      </c>
      <c r="F6474" s="2">
        <v>0</v>
      </c>
      <c r="H6474">
        <v>0</v>
      </c>
      <c r="I6474">
        <v>0.1741125760648204</v>
      </c>
      <c r="J6474">
        <v>0</v>
      </c>
      <c r="K6474">
        <v>0</v>
      </c>
      <c r="L6474" s="2">
        <v>0</v>
      </c>
      <c r="M6474">
        <v>64.8</v>
      </c>
      <c r="N6474" t="s">
        <v>10236</v>
      </c>
    </row>
    <row r="6475" spans="1:14">
      <c r="A6475" t="s">
        <v>35</v>
      </c>
      <c r="B6475" t="s">
        <v>6568</v>
      </c>
      <c r="C6475">
        <f>"CC309XSCRN"</f>
        <v>0</v>
      </c>
      <c r="D6475">
        <v>0</v>
      </c>
      <c r="E6475">
        <v>0</v>
      </c>
      <c r="F6475" s="2">
        <v>0</v>
      </c>
      <c r="H6475">
        <v>0</v>
      </c>
      <c r="I6475">
        <v>0.1741125760648204</v>
      </c>
      <c r="J6475">
        <v>0</v>
      </c>
      <c r="K6475">
        <v>0</v>
      </c>
      <c r="L6475" s="2">
        <v>0</v>
      </c>
      <c r="M6475">
        <v>64.81</v>
      </c>
      <c r="N6475" t="s">
        <v>10236</v>
      </c>
    </row>
    <row r="6476" spans="1:14">
      <c r="A6476" t="s">
        <v>35</v>
      </c>
      <c r="B6476" t="s">
        <v>6569</v>
      </c>
      <c r="C6476">
        <f>"CC309XSCNN"</f>
        <v>0</v>
      </c>
      <c r="D6476">
        <v>0</v>
      </c>
      <c r="E6476">
        <v>1</v>
      </c>
      <c r="F6476" s="2">
        <v>3</v>
      </c>
      <c r="H6476">
        <v>0</v>
      </c>
      <c r="I6476">
        <v>0.1741125760648204</v>
      </c>
      <c r="J6476">
        <v>0</v>
      </c>
      <c r="K6476">
        <v>0</v>
      </c>
      <c r="L6476" s="2">
        <v>0</v>
      </c>
      <c r="M6476">
        <v>64.81999999999999</v>
      </c>
      <c r="N6476" t="s">
        <v>10236</v>
      </c>
    </row>
    <row r="6477" spans="1:14">
      <c r="A6477" t="s">
        <v>35</v>
      </c>
      <c r="B6477" t="s">
        <v>6570</v>
      </c>
      <c r="C6477">
        <f>"CC309XSAC"</f>
        <v>0</v>
      </c>
      <c r="D6477">
        <v>0</v>
      </c>
      <c r="E6477">
        <v>1</v>
      </c>
      <c r="F6477" s="2">
        <v>3</v>
      </c>
      <c r="H6477">
        <v>0</v>
      </c>
      <c r="I6477">
        <v>0.1741125760648204</v>
      </c>
      <c r="J6477">
        <v>0</v>
      </c>
      <c r="K6477">
        <v>0</v>
      </c>
      <c r="L6477" s="2">
        <v>0</v>
      </c>
      <c r="M6477">
        <v>64.83</v>
      </c>
      <c r="N6477" t="s">
        <v>10236</v>
      </c>
    </row>
    <row r="6478" spans="1:14">
      <c r="A6478" t="s">
        <v>35</v>
      </c>
      <c r="B6478" t="s">
        <v>6571</v>
      </c>
      <c r="C6478">
        <f>"CC309XSANN"</f>
        <v>0</v>
      </c>
      <c r="D6478">
        <v>0</v>
      </c>
      <c r="E6478">
        <v>0</v>
      </c>
      <c r="F6478" s="2">
        <v>0</v>
      </c>
      <c r="H6478">
        <v>0</v>
      </c>
      <c r="I6478">
        <v>0.1741125760648204</v>
      </c>
      <c r="J6478">
        <v>0</v>
      </c>
      <c r="K6478">
        <v>0</v>
      </c>
      <c r="L6478" s="2">
        <v>0</v>
      </c>
      <c r="M6478">
        <v>64.84</v>
      </c>
      <c r="N6478" t="s">
        <v>10236</v>
      </c>
    </row>
    <row r="6479" spans="1:14">
      <c r="A6479" t="s">
        <v>35</v>
      </c>
      <c r="B6479" t="s">
        <v>6572</v>
      </c>
      <c r="C6479">
        <f>"PQ013"</f>
        <v>0</v>
      </c>
      <c r="D6479">
        <v>0</v>
      </c>
      <c r="E6479">
        <v>1</v>
      </c>
      <c r="F6479" s="2">
        <v>675</v>
      </c>
      <c r="H6479">
        <v>0</v>
      </c>
      <c r="I6479">
        <v>0.1741125760648204</v>
      </c>
      <c r="J6479">
        <v>0</v>
      </c>
      <c r="K6479">
        <v>0</v>
      </c>
      <c r="L6479" s="2">
        <v>0</v>
      </c>
      <c r="M6479">
        <v>64.84999999999999</v>
      </c>
      <c r="N6479" t="s">
        <v>10236</v>
      </c>
    </row>
    <row r="6480" spans="1:14">
      <c r="A6480" t="s">
        <v>35</v>
      </c>
      <c r="B6480" t="s">
        <v>6573</v>
      </c>
      <c r="C6480">
        <f>"JWZ1051XL"</f>
        <v>0</v>
      </c>
      <c r="D6480">
        <v>0</v>
      </c>
      <c r="E6480">
        <v>12</v>
      </c>
      <c r="F6480" s="2">
        <v>1</v>
      </c>
      <c r="H6480">
        <v>0</v>
      </c>
      <c r="I6480">
        <v>0.1741125760648204</v>
      </c>
      <c r="J6480">
        <v>0</v>
      </c>
      <c r="K6480">
        <v>0</v>
      </c>
      <c r="L6480" s="2">
        <v>0</v>
      </c>
      <c r="M6480">
        <v>64.86</v>
      </c>
      <c r="N6480" t="s">
        <v>10236</v>
      </c>
    </row>
    <row r="6481" spans="1:14">
      <c r="A6481" t="s">
        <v>35</v>
      </c>
      <c r="B6481" t="s">
        <v>6574</v>
      </c>
      <c r="C6481">
        <f>"JWZ1060XL"</f>
        <v>0</v>
      </c>
      <c r="D6481">
        <v>0</v>
      </c>
      <c r="E6481">
        <v>26</v>
      </c>
      <c r="F6481" s="2">
        <v>1</v>
      </c>
      <c r="H6481">
        <v>0</v>
      </c>
      <c r="I6481">
        <v>0.1741125760648204</v>
      </c>
      <c r="J6481">
        <v>0</v>
      </c>
      <c r="K6481">
        <v>0</v>
      </c>
      <c r="L6481" s="2">
        <v>0</v>
      </c>
      <c r="M6481">
        <v>64.87</v>
      </c>
      <c r="N6481" t="s">
        <v>10236</v>
      </c>
    </row>
    <row r="6482" spans="1:14">
      <c r="A6482" t="s">
        <v>35</v>
      </c>
      <c r="B6482" t="s">
        <v>6575</v>
      </c>
      <c r="C6482">
        <f>"JWZ1042XL"</f>
        <v>0</v>
      </c>
      <c r="D6482">
        <v>0</v>
      </c>
      <c r="E6482">
        <v>15</v>
      </c>
      <c r="F6482" s="2">
        <v>1</v>
      </c>
      <c r="H6482">
        <v>0</v>
      </c>
      <c r="I6482">
        <v>0.1741125760648204</v>
      </c>
      <c r="J6482">
        <v>0</v>
      </c>
      <c r="K6482">
        <v>0</v>
      </c>
      <c r="L6482" s="2">
        <v>0</v>
      </c>
      <c r="M6482">
        <v>64.88</v>
      </c>
      <c r="N6482" t="s">
        <v>10236</v>
      </c>
    </row>
    <row r="6483" spans="1:14">
      <c r="A6483" t="s">
        <v>35</v>
      </c>
      <c r="B6483" t="s">
        <v>6576</v>
      </c>
      <c r="C6483">
        <f>"JWZ1935"</f>
        <v>0</v>
      </c>
      <c r="D6483">
        <v>0</v>
      </c>
      <c r="E6483">
        <v>1</v>
      </c>
      <c r="F6483" s="2">
        <v>1</v>
      </c>
      <c r="H6483">
        <v>0</v>
      </c>
      <c r="I6483">
        <v>0.1741125760648204</v>
      </c>
      <c r="J6483">
        <v>0</v>
      </c>
      <c r="K6483">
        <v>0</v>
      </c>
      <c r="L6483" s="2">
        <v>0</v>
      </c>
      <c r="M6483">
        <v>64.89</v>
      </c>
      <c r="N6483" t="s">
        <v>10236</v>
      </c>
    </row>
    <row r="6484" spans="1:14">
      <c r="A6484" t="s">
        <v>35</v>
      </c>
      <c r="B6484" t="s">
        <v>6577</v>
      </c>
      <c r="C6484">
        <f>"HH088MG"</f>
        <v>0</v>
      </c>
      <c r="D6484">
        <v>0</v>
      </c>
      <c r="E6484">
        <v>2</v>
      </c>
      <c r="F6484" s="2">
        <v>9</v>
      </c>
      <c r="H6484">
        <v>0</v>
      </c>
      <c r="I6484">
        <v>0.1741125760648204</v>
      </c>
      <c r="J6484">
        <v>0</v>
      </c>
      <c r="K6484">
        <v>0</v>
      </c>
      <c r="L6484" s="2">
        <v>0</v>
      </c>
      <c r="M6484">
        <v>64.90000000000001</v>
      </c>
      <c r="N6484" t="s">
        <v>10236</v>
      </c>
    </row>
    <row r="6485" spans="1:14">
      <c r="A6485" t="s">
        <v>35</v>
      </c>
      <c r="B6485" t="s">
        <v>6578</v>
      </c>
      <c r="C6485">
        <f>"HH088LG"</f>
        <v>0</v>
      </c>
      <c r="D6485">
        <v>0</v>
      </c>
      <c r="E6485">
        <v>1</v>
      </c>
      <c r="F6485" s="2">
        <v>10</v>
      </c>
      <c r="H6485">
        <v>0</v>
      </c>
      <c r="I6485">
        <v>0.1741125760648204</v>
      </c>
      <c r="J6485">
        <v>0</v>
      </c>
      <c r="K6485">
        <v>0</v>
      </c>
      <c r="L6485" s="2">
        <v>0</v>
      </c>
      <c r="M6485">
        <v>64.90000000000001</v>
      </c>
      <c r="N6485" t="s">
        <v>10236</v>
      </c>
    </row>
    <row r="6486" spans="1:14">
      <c r="A6486" t="s">
        <v>35</v>
      </c>
      <c r="B6486" t="s">
        <v>6579</v>
      </c>
      <c r="C6486">
        <f>"HH088XLC"</f>
        <v>0</v>
      </c>
      <c r="D6486">
        <v>0</v>
      </c>
      <c r="E6486">
        <v>3</v>
      </c>
      <c r="F6486" s="2">
        <v>11</v>
      </c>
      <c r="H6486">
        <v>0</v>
      </c>
      <c r="I6486">
        <v>0.1741125760648204</v>
      </c>
      <c r="J6486">
        <v>0</v>
      </c>
      <c r="K6486">
        <v>0</v>
      </c>
      <c r="L6486" s="2">
        <v>0</v>
      </c>
      <c r="M6486">
        <v>64.91</v>
      </c>
      <c r="N6486" t="s">
        <v>10236</v>
      </c>
    </row>
    <row r="6487" spans="1:14">
      <c r="A6487" t="s">
        <v>35</v>
      </c>
      <c r="B6487" t="s">
        <v>6580</v>
      </c>
      <c r="C6487">
        <f>"HH088SC"</f>
        <v>0</v>
      </c>
      <c r="D6487">
        <v>0</v>
      </c>
      <c r="E6487">
        <v>6</v>
      </c>
      <c r="F6487" s="2">
        <v>8</v>
      </c>
      <c r="H6487">
        <v>0</v>
      </c>
      <c r="I6487">
        <v>0.1741125760648204</v>
      </c>
      <c r="J6487">
        <v>0</v>
      </c>
      <c r="K6487">
        <v>0</v>
      </c>
      <c r="L6487" s="2">
        <v>0</v>
      </c>
      <c r="M6487">
        <v>64.92</v>
      </c>
      <c r="N6487" t="s">
        <v>10236</v>
      </c>
    </row>
    <row r="6488" spans="1:14">
      <c r="A6488" t="s">
        <v>35</v>
      </c>
      <c r="B6488" t="s">
        <v>6581</v>
      </c>
      <c r="C6488">
        <f>"HH088MC"</f>
        <v>0</v>
      </c>
      <c r="D6488">
        <v>0</v>
      </c>
      <c r="E6488">
        <v>1</v>
      </c>
      <c r="F6488" s="2">
        <v>9</v>
      </c>
      <c r="H6488">
        <v>0</v>
      </c>
      <c r="I6488">
        <v>0.1741125760648204</v>
      </c>
      <c r="J6488">
        <v>0</v>
      </c>
      <c r="K6488">
        <v>0</v>
      </c>
      <c r="L6488" s="2">
        <v>0</v>
      </c>
      <c r="M6488">
        <v>64.93000000000001</v>
      </c>
      <c r="N6488" t="s">
        <v>10236</v>
      </c>
    </row>
    <row r="6489" spans="1:14">
      <c r="A6489" t="s">
        <v>35</v>
      </c>
      <c r="B6489" t="s">
        <v>6582</v>
      </c>
      <c r="C6489">
        <f>"HH088LC"</f>
        <v>0</v>
      </c>
      <c r="D6489">
        <v>0</v>
      </c>
      <c r="E6489">
        <v>0</v>
      </c>
      <c r="F6489" s="2">
        <v>0</v>
      </c>
      <c r="H6489">
        <v>0</v>
      </c>
      <c r="I6489">
        <v>0.1741125760648204</v>
      </c>
      <c r="J6489">
        <v>0</v>
      </c>
      <c r="K6489">
        <v>0</v>
      </c>
      <c r="L6489" s="2">
        <v>0</v>
      </c>
      <c r="M6489">
        <v>64.94</v>
      </c>
      <c r="N6489" t="s">
        <v>10236</v>
      </c>
    </row>
    <row r="6490" spans="1:14">
      <c r="A6490" t="s">
        <v>35</v>
      </c>
      <c r="B6490" t="s">
        <v>6583</v>
      </c>
      <c r="C6490">
        <f>"HH088XXLAM"</f>
        <v>0</v>
      </c>
      <c r="D6490">
        <v>0</v>
      </c>
      <c r="E6490">
        <v>3</v>
      </c>
      <c r="F6490" s="2">
        <v>12</v>
      </c>
      <c r="H6490">
        <v>0</v>
      </c>
      <c r="I6490">
        <v>0.1741125760648204</v>
      </c>
      <c r="J6490">
        <v>0</v>
      </c>
      <c r="K6490">
        <v>0</v>
      </c>
      <c r="L6490" s="2">
        <v>0</v>
      </c>
      <c r="M6490">
        <v>64.95</v>
      </c>
      <c r="N6490" t="s">
        <v>10236</v>
      </c>
    </row>
    <row r="6491" spans="1:14">
      <c r="A6491" t="s">
        <v>35</v>
      </c>
      <c r="B6491" t="s">
        <v>6584</v>
      </c>
      <c r="C6491">
        <f>"HH088XLAM"</f>
        <v>0</v>
      </c>
      <c r="D6491">
        <v>0</v>
      </c>
      <c r="E6491">
        <v>2</v>
      </c>
      <c r="F6491" s="2">
        <v>11</v>
      </c>
      <c r="H6491">
        <v>0</v>
      </c>
      <c r="I6491">
        <v>0.1741125760648204</v>
      </c>
      <c r="J6491">
        <v>0</v>
      </c>
      <c r="K6491">
        <v>0</v>
      </c>
      <c r="L6491" s="2">
        <v>0</v>
      </c>
      <c r="M6491">
        <v>64.95999999999999</v>
      </c>
      <c r="N6491" t="s">
        <v>10236</v>
      </c>
    </row>
    <row r="6492" spans="1:14">
      <c r="A6492" t="s">
        <v>35</v>
      </c>
      <c r="B6492" t="s">
        <v>6585</v>
      </c>
      <c r="C6492">
        <f>"HH088SAM"</f>
        <v>0</v>
      </c>
      <c r="D6492">
        <v>0</v>
      </c>
      <c r="E6492">
        <v>5</v>
      </c>
      <c r="F6492" s="2">
        <v>8</v>
      </c>
      <c r="H6492">
        <v>0</v>
      </c>
      <c r="I6492">
        <v>0.1741125760648204</v>
      </c>
      <c r="J6492">
        <v>0</v>
      </c>
      <c r="K6492">
        <v>0</v>
      </c>
      <c r="L6492" s="2">
        <v>0</v>
      </c>
      <c r="M6492">
        <v>64.97</v>
      </c>
      <c r="N6492" t="s">
        <v>10236</v>
      </c>
    </row>
    <row r="6493" spans="1:14">
      <c r="A6493" t="s">
        <v>35</v>
      </c>
      <c r="B6493" t="s">
        <v>6586</v>
      </c>
      <c r="C6493">
        <f>"HH088MAM"</f>
        <v>0</v>
      </c>
      <c r="D6493">
        <v>0</v>
      </c>
      <c r="E6493">
        <v>0</v>
      </c>
      <c r="F6493" s="2">
        <v>0</v>
      </c>
      <c r="H6493">
        <v>0</v>
      </c>
      <c r="I6493">
        <v>0.1741125760648204</v>
      </c>
      <c r="J6493">
        <v>0</v>
      </c>
      <c r="K6493">
        <v>0</v>
      </c>
      <c r="L6493" s="2">
        <v>0</v>
      </c>
      <c r="M6493">
        <v>64.98</v>
      </c>
      <c r="N6493" t="s">
        <v>10236</v>
      </c>
    </row>
    <row r="6494" spans="1:14">
      <c r="A6494" t="s">
        <v>35</v>
      </c>
      <c r="B6494" t="s">
        <v>6587</v>
      </c>
      <c r="C6494">
        <f>"HH088LAM"</f>
        <v>0</v>
      </c>
      <c r="D6494">
        <v>0</v>
      </c>
      <c r="E6494">
        <v>2</v>
      </c>
      <c r="F6494" s="2">
        <v>10</v>
      </c>
      <c r="H6494">
        <v>0</v>
      </c>
      <c r="I6494">
        <v>0.1741125760648204</v>
      </c>
      <c r="J6494">
        <v>0</v>
      </c>
      <c r="K6494">
        <v>0</v>
      </c>
      <c r="L6494" s="2">
        <v>0</v>
      </c>
      <c r="M6494">
        <v>64.98999999999999</v>
      </c>
      <c r="N6494" t="s">
        <v>10236</v>
      </c>
    </row>
    <row r="6495" spans="1:14">
      <c r="A6495" t="s">
        <v>35</v>
      </c>
      <c r="B6495" t="s">
        <v>6588</v>
      </c>
      <c r="C6495">
        <f>"HH088SA"</f>
        <v>0</v>
      </c>
      <c r="D6495">
        <v>0</v>
      </c>
      <c r="E6495">
        <v>2</v>
      </c>
      <c r="F6495" s="2">
        <v>9</v>
      </c>
      <c r="H6495">
        <v>0</v>
      </c>
      <c r="I6495">
        <v>0.1741125760648204</v>
      </c>
      <c r="J6495">
        <v>0</v>
      </c>
      <c r="K6495">
        <v>0</v>
      </c>
      <c r="L6495" s="2">
        <v>0</v>
      </c>
      <c r="M6495">
        <v>65</v>
      </c>
      <c r="N6495" t="s">
        <v>10236</v>
      </c>
    </row>
    <row r="6496" spans="1:14">
      <c r="A6496" t="s">
        <v>35</v>
      </c>
      <c r="B6496" t="s">
        <v>6589</v>
      </c>
      <c r="C6496">
        <f>"HH088MA"</f>
        <v>0</v>
      </c>
      <c r="D6496">
        <v>0</v>
      </c>
      <c r="E6496">
        <v>2</v>
      </c>
      <c r="F6496" s="2">
        <v>12</v>
      </c>
      <c r="H6496">
        <v>0</v>
      </c>
      <c r="I6496">
        <v>0.1741125760648204</v>
      </c>
      <c r="J6496">
        <v>0</v>
      </c>
      <c r="K6496">
        <v>0</v>
      </c>
      <c r="L6496" s="2">
        <v>0</v>
      </c>
      <c r="M6496">
        <v>65.01000000000001</v>
      </c>
      <c r="N6496" t="s">
        <v>10236</v>
      </c>
    </row>
    <row r="6497" spans="1:14">
      <c r="A6497" t="s">
        <v>35</v>
      </c>
      <c r="B6497" t="s">
        <v>6590</v>
      </c>
      <c r="C6497">
        <f>"HH088LA"</f>
        <v>0</v>
      </c>
      <c r="D6497">
        <v>0</v>
      </c>
      <c r="E6497">
        <v>1</v>
      </c>
      <c r="F6497" s="2">
        <v>10</v>
      </c>
      <c r="H6497">
        <v>0</v>
      </c>
      <c r="I6497">
        <v>0.1741125760648204</v>
      </c>
      <c r="J6497">
        <v>0</v>
      </c>
      <c r="K6497">
        <v>0</v>
      </c>
      <c r="L6497" s="2">
        <v>0</v>
      </c>
      <c r="M6497">
        <v>65.02</v>
      </c>
      <c r="N6497" t="s">
        <v>10236</v>
      </c>
    </row>
    <row r="6498" spans="1:14">
      <c r="A6498" t="s">
        <v>29</v>
      </c>
      <c r="B6498" t="s">
        <v>6591</v>
      </c>
      <c r="C6498">
        <f>"MCA10"</f>
        <v>0</v>
      </c>
      <c r="D6498">
        <v>0</v>
      </c>
      <c r="E6498">
        <v>0</v>
      </c>
      <c r="F6498" s="2">
        <v>0</v>
      </c>
      <c r="H6498">
        <v>0</v>
      </c>
      <c r="I6498">
        <v>0.1741125760648204</v>
      </c>
      <c r="J6498">
        <v>0</v>
      </c>
      <c r="K6498">
        <v>0</v>
      </c>
      <c r="L6498" s="2">
        <v>0</v>
      </c>
      <c r="M6498">
        <v>65.02</v>
      </c>
      <c r="N6498" t="s">
        <v>10236</v>
      </c>
    </row>
    <row r="6499" spans="1:14">
      <c r="A6499" t="s">
        <v>25</v>
      </c>
      <c r="B6499" t="s">
        <v>6592</v>
      </c>
      <c r="C6499">
        <f>"LN506"</f>
        <v>0</v>
      </c>
      <c r="D6499">
        <v>0</v>
      </c>
      <c r="E6499">
        <v>1</v>
      </c>
      <c r="F6499" s="2">
        <v>1</v>
      </c>
      <c r="H6499">
        <v>0</v>
      </c>
      <c r="I6499">
        <v>0.1741125760648204</v>
      </c>
      <c r="J6499">
        <v>0</v>
      </c>
      <c r="K6499">
        <v>0</v>
      </c>
      <c r="L6499" s="2">
        <v>0</v>
      </c>
      <c r="M6499">
        <v>65.03</v>
      </c>
      <c r="N6499" t="s">
        <v>10236</v>
      </c>
    </row>
    <row r="6500" spans="1:14">
      <c r="A6500" t="s">
        <v>192</v>
      </c>
      <c r="B6500" t="s">
        <v>6593</v>
      </c>
      <c r="C6500">
        <f>"LN032"</f>
        <v>0</v>
      </c>
      <c r="D6500">
        <v>0</v>
      </c>
      <c r="E6500">
        <v>0</v>
      </c>
      <c r="F6500" s="2">
        <v>0</v>
      </c>
      <c r="H6500">
        <v>0</v>
      </c>
      <c r="I6500">
        <v>0.1741125760648204</v>
      </c>
      <c r="J6500">
        <v>0</v>
      </c>
      <c r="K6500">
        <v>0</v>
      </c>
      <c r="L6500" s="2">
        <v>0</v>
      </c>
      <c r="M6500">
        <v>65.04000000000001</v>
      </c>
      <c r="N6500" t="s">
        <v>10236</v>
      </c>
    </row>
    <row r="6501" spans="1:14">
      <c r="A6501" t="s">
        <v>25</v>
      </c>
      <c r="B6501" t="s">
        <v>6594</v>
      </c>
      <c r="C6501">
        <f>"RJ153"</f>
        <v>0</v>
      </c>
      <c r="D6501">
        <v>0</v>
      </c>
      <c r="E6501">
        <v>0</v>
      </c>
      <c r="F6501" s="2">
        <v>0</v>
      </c>
      <c r="H6501">
        <v>0</v>
      </c>
      <c r="I6501">
        <v>0.1741125760648204</v>
      </c>
      <c r="J6501">
        <v>0</v>
      </c>
      <c r="K6501">
        <v>0</v>
      </c>
      <c r="L6501" s="2">
        <v>0</v>
      </c>
      <c r="M6501">
        <v>65.05</v>
      </c>
      <c r="N6501" t="s">
        <v>10236</v>
      </c>
    </row>
    <row r="6502" spans="1:14">
      <c r="A6502" t="s">
        <v>35</v>
      </c>
      <c r="B6502" t="s">
        <v>6595</v>
      </c>
      <c r="C6502">
        <f>"CC309XSACN"</f>
        <v>0</v>
      </c>
      <c r="D6502">
        <v>0</v>
      </c>
      <c r="E6502">
        <v>1</v>
      </c>
      <c r="F6502" s="2">
        <v>3</v>
      </c>
      <c r="H6502">
        <v>0</v>
      </c>
      <c r="I6502">
        <v>0.1741125760648204</v>
      </c>
      <c r="J6502">
        <v>0</v>
      </c>
      <c r="K6502">
        <v>0</v>
      </c>
      <c r="L6502" s="2">
        <v>0</v>
      </c>
      <c r="M6502">
        <v>65.06</v>
      </c>
      <c r="N6502" t="s">
        <v>10236</v>
      </c>
    </row>
    <row r="6503" spans="1:14">
      <c r="A6503" t="s">
        <v>192</v>
      </c>
      <c r="B6503" t="s">
        <v>6596</v>
      </c>
      <c r="C6503">
        <f>"LN785"</f>
        <v>0</v>
      </c>
      <c r="D6503">
        <v>0</v>
      </c>
      <c r="E6503">
        <v>0</v>
      </c>
      <c r="F6503" s="2">
        <v>0</v>
      </c>
      <c r="H6503">
        <v>0</v>
      </c>
      <c r="I6503">
        <v>0.1741125760648204</v>
      </c>
      <c r="J6503">
        <v>0</v>
      </c>
      <c r="K6503">
        <v>0</v>
      </c>
      <c r="L6503" s="2">
        <v>0</v>
      </c>
      <c r="M6503">
        <v>65.06999999999999</v>
      </c>
      <c r="N6503" t="s">
        <v>10236</v>
      </c>
    </row>
    <row r="6504" spans="1:14">
      <c r="A6504" t="s">
        <v>192</v>
      </c>
      <c r="B6504" t="s">
        <v>6597</v>
      </c>
      <c r="C6504">
        <f>"LN009"</f>
        <v>0</v>
      </c>
      <c r="D6504">
        <v>0</v>
      </c>
      <c r="E6504">
        <v>0</v>
      </c>
      <c r="F6504" s="2">
        <v>0</v>
      </c>
      <c r="H6504">
        <v>0</v>
      </c>
      <c r="I6504">
        <v>0.1741125760648204</v>
      </c>
      <c r="J6504">
        <v>0</v>
      </c>
      <c r="K6504">
        <v>0</v>
      </c>
      <c r="L6504" s="2">
        <v>0</v>
      </c>
      <c r="M6504">
        <v>65.08</v>
      </c>
      <c r="N6504" t="s">
        <v>10236</v>
      </c>
    </row>
    <row r="6505" spans="1:14">
      <c r="A6505" t="s">
        <v>192</v>
      </c>
      <c r="B6505" t="s">
        <v>6598</v>
      </c>
      <c r="C6505">
        <f>"AB135"</f>
        <v>0</v>
      </c>
      <c r="D6505">
        <v>0</v>
      </c>
      <c r="E6505">
        <v>0</v>
      </c>
      <c r="F6505" s="2">
        <v>0</v>
      </c>
      <c r="H6505">
        <v>0</v>
      </c>
      <c r="I6505">
        <v>0.1741125760648204</v>
      </c>
      <c r="J6505">
        <v>0</v>
      </c>
      <c r="K6505">
        <v>0</v>
      </c>
      <c r="L6505" s="2">
        <v>0</v>
      </c>
      <c r="M6505">
        <v>65.09</v>
      </c>
      <c r="N6505" t="s">
        <v>10236</v>
      </c>
    </row>
    <row r="6506" spans="1:14">
      <c r="A6506" t="s">
        <v>192</v>
      </c>
      <c r="B6506" t="s">
        <v>6599</v>
      </c>
      <c r="C6506">
        <f>"LN052"</f>
        <v>0</v>
      </c>
      <c r="D6506">
        <v>0</v>
      </c>
      <c r="E6506">
        <v>0</v>
      </c>
      <c r="F6506" s="2">
        <v>0</v>
      </c>
      <c r="H6506">
        <v>0</v>
      </c>
      <c r="I6506">
        <v>0.1741125760648204</v>
      </c>
      <c r="J6506">
        <v>0</v>
      </c>
      <c r="K6506">
        <v>0</v>
      </c>
      <c r="L6506" s="2">
        <v>0</v>
      </c>
      <c r="M6506">
        <v>65.09999999999999</v>
      </c>
      <c r="N6506" t="s">
        <v>10236</v>
      </c>
    </row>
    <row r="6507" spans="1:14">
      <c r="A6507" t="s">
        <v>192</v>
      </c>
      <c r="B6507" t="s">
        <v>6600</v>
      </c>
      <c r="C6507">
        <f>"LN427"</f>
        <v>0</v>
      </c>
      <c r="D6507">
        <v>0</v>
      </c>
      <c r="E6507">
        <v>3</v>
      </c>
      <c r="F6507" s="2">
        <v>3</v>
      </c>
      <c r="H6507">
        <v>0</v>
      </c>
      <c r="I6507">
        <v>0.1741125760648204</v>
      </c>
      <c r="J6507">
        <v>0</v>
      </c>
      <c r="K6507">
        <v>0</v>
      </c>
      <c r="L6507" s="2">
        <v>0</v>
      </c>
      <c r="M6507">
        <v>65.11</v>
      </c>
      <c r="N6507" t="s">
        <v>10236</v>
      </c>
    </row>
    <row r="6508" spans="1:14">
      <c r="A6508" t="s">
        <v>214</v>
      </c>
      <c r="B6508" t="s">
        <v>6601</v>
      </c>
      <c r="C6508">
        <f>"40655"</f>
        <v>0</v>
      </c>
      <c r="D6508">
        <v>0</v>
      </c>
      <c r="E6508">
        <v>0</v>
      </c>
      <c r="F6508" s="2">
        <v>0</v>
      </c>
      <c r="H6508">
        <v>0</v>
      </c>
      <c r="I6508">
        <v>0.1741125760648204</v>
      </c>
      <c r="J6508">
        <v>0</v>
      </c>
      <c r="K6508">
        <v>0</v>
      </c>
      <c r="L6508" s="2">
        <v>0</v>
      </c>
      <c r="M6508">
        <v>65.12</v>
      </c>
      <c r="N6508" t="s">
        <v>10236</v>
      </c>
    </row>
    <row r="6509" spans="1:14">
      <c r="A6509" t="s">
        <v>32</v>
      </c>
      <c r="B6509" t="s">
        <v>6602</v>
      </c>
      <c r="C6509">
        <f>"5009529"</f>
        <v>0</v>
      </c>
      <c r="D6509">
        <v>0</v>
      </c>
      <c r="E6509">
        <v>7</v>
      </c>
      <c r="F6509" s="2">
        <v>1</v>
      </c>
      <c r="H6509">
        <v>0</v>
      </c>
      <c r="I6509">
        <v>0.1741125760648204</v>
      </c>
      <c r="J6509">
        <v>0</v>
      </c>
      <c r="K6509">
        <v>0</v>
      </c>
      <c r="L6509" s="2">
        <v>0</v>
      </c>
      <c r="M6509">
        <v>65.13</v>
      </c>
      <c r="N6509" t="s">
        <v>10236</v>
      </c>
    </row>
    <row r="6510" spans="1:14">
      <c r="A6510" t="s">
        <v>35</v>
      </c>
      <c r="B6510" t="s">
        <v>6603</v>
      </c>
      <c r="C6510">
        <f>"JWZ1027XL"</f>
        <v>0</v>
      </c>
      <c r="D6510">
        <v>0</v>
      </c>
      <c r="E6510">
        <v>24</v>
      </c>
      <c r="F6510" s="2">
        <v>1</v>
      </c>
      <c r="H6510">
        <v>0</v>
      </c>
      <c r="I6510">
        <v>0.1741125760648204</v>
      </c>
      <c r="J6510">
        <v>0</v>
      </c>
      <c r="K6510">
        <v>0</v>
      </c>
      <c r="L6510" s="2">
        <v>0</v>
      </c>
      <c r="M6510">
        <v>65.14</v>
      </c>
      <c r="N6510" t="s">
        <v>10236</v>
      </c>
    </row>
    <row r="6511" spans="1:14">
      <c r="A6511" t="s">
        <v>29</v>
      </c>
      <c r="B6511" t="s">
        <v>6604</v>
      </c>
      <c r="C6511">
        <f>"MCA25"</f>
        <v>0</v>
      </c>
      <c r="D6511">
        <v>0</v>
      </c>
      <c r="E6511">
        <v>5</v>
      </c>
      <c r="F6511" s="2">
        <v>0</v>
      </c>
      <c r="H6511">
        <v>0</v>
      </c>
      <c r="I6511">
        <v>0.1741125760648204</v>
      </c>
      <c r="J6511">
        <v>0</v>
      </c>
      <c r="K6511">
        <v>0</v>
      </c>
      <c r="L6511" s="2">
        <v>0</v>
      </c>
      <c r="M6511">
        <v>65.14</v>
      </c>
      <c r="N6511" t="s">
        <v>10236</v>
      </c>
    </row>
    <row r="6512" spans="1:14">
      <c r="A6512" t="s">
        <v>29</v>
      </c>
      <c r="B6512" t="s">
        <v>6605</v>
      </c>
      <c r="C6512">
        <f>"MCA20"</f>
        <v>0</v>
      </c>
      <c r="D6512">
        <v>0</v>
      </c>
      <c r="E6512">
        <v>0</v>
      </c>
      <c r="F6512" s="2">
        <v>0</v>
      </c>
      <c r="H6512">
        <v>0</v>
      </c>
      <c r="I6512">
        <v>0.1741125760648204</v>
      </c>
      <c r="J6512">
        <v>0</v>
      </c>
      <c r="K6512">
        <v>0</v>
      </c>
      <c r="L6512" s="2">
        <v>0</v>
      </c>
      <c r="M6512">
        <v>65.15000000000001</v>
      </c>
      <c r="N6512" t="s">
        <v>10236</v>
      </c>
    </row>
    <row r="6513" spans="1:14">
      <c r="A6513" t="s">
        <v>29</v>
      </c>
      <c r="B6513" t="s">
        <v>6606</v>
      </c>
      <c r="C6513">
        <f>"MCA15"</f>
        <v>0</v>
      </c>
      <c r="D6513">
        <v>0</v>
      </c>
      <c r="E6513">
        <v>0</v>
      </c>
      <c r="F6513" s="2">
        <v>0</v>
      </c>
      <c r="H6513">
        <v>0</v>
      </c>
      <c r="I6513">
        <v>0.1741125760648204</v>
      </c>
      <c r="J6513">
        <v>0</v>
      </c>
      <c r="K6513">
        <v>0</v>
      </c>
      <c r="L6513" s="2">
        <v>0</v>
      </c>
      <c r="M6513">
        <v>65.16</v>
      </c>
      <c r="N6513" t="s">
        <v>10236</v>
      </c>
    </row>
    <row r="6514" spans="1:14">
      <c r="A6514" t="s">
        <v>35</v>
      </c>
      <c r="B6514" t="s">
        <v>6607</v>
      </c>
      <c r="C6514">
        <f>"HH088XXLR"</f>
        <v>0</v>
      </c>
      <c r="D6514">
        <v>0</v>
      </c>
      <c r="E6514">
        <v>4</v>
      </c>
      <c r="F6514" s="2">
        <v>12</v>
      </c>
      <c r="H6514">
        <v>0</v>
      </c>
      <c r="I6514">
        <v>0.1741125760648204</v>
      </c>
      <c r="J6514">
        <v>0</v>
      </c>
      <c r="K6514">
        <v>0</v>
      </c>
      <c r="L6514" s="2">
        <v>0</v>
      </c>
      <c r="M6514">
        <v>65.17</v>
      </c>
      <c r="N6514" t="s">
        <v>10236</v>
      </c>
    </row>
    <row r="6515" spans="1:14">
      <c r="A6515" t="s">
        <v>35</v>
      </c>
      <c r="B6515" t="s">
        <v>6608</v>
      </c>
      <c r="C6515">
        <f>"JY1530"</f>
        <v>0</v>
      </c>
      <c r="D6515">
        <v>0</v>
      </c>
      <c r="E6515">
        <v>0</v>
      </c>
      <c r="F6515" s="2">
        <v>0</v>
      </c>
      <c r="H6515">
        <v>0</v>
      </c>
      <c r="I6515">
        <v>0.1741125760648204</v>
      </c>
      <c r="J6515">
        <v>0</v>
      </c>
      <c r="K6515">
        <v>0</v>
      </c>
      <c r="L6515" s="2">
        <v>0</v>
      </c>
      <c r="M6515">
        <v>65.18000000000001</v>
      </c>
      <c r="N6515" t="s">
        <v>10236</v>
      </c>
    </row>
    <row r="6516" spans="1:14">
      <c r="A6516" t="s">
        <v>35</v>
      </c>
      <c r="B6516" t="s">
        <v>6609</v>
      </c>
      <c r="C6516">
        <f>"JY3060"</f>
        <v>0</v>
      </c>
      <c r="D6516">
        <v>0</v>
      </c>
      <c r="E6516">
        <v>0</v>
      </c>
      <c r="F6516" s="2">
        <v>0</v>
      </c>
      <c r="H6516">
        <v>0</v>
      </c>
      <c r="I6516">
        <v>0.1741125760648204</v>
      </c>
      <c r="J6516">
        <v>0</v>
      </c>
      <c r="K6516">
        <v>0</v>
      </c>
      <c r="L6516" s="2">
        <v>0</v>
      </c>
      <c r="M6516">
        <v>65.19</v>
      </c>
      <c r="N6516" t="s">
        <v>10236</v>
      </c>
    </row>
    <row r="6517" spans="1:14">
      <c r="A6517" t="s">
        <v>35</v>
      </c>
      <c r="B6517" t="s">
        <v>6610</v>
      </c>
      <c r="C6517">
        <f>"JY1537"</f>
        <v>0</v>
      </c>
      <c r="D6517">
        <v>0</v>
      </c>
      <c r="E6517">
        <v>0</v>
      </c>
      <c r="F6517" s="2">
        <v>0</v>
      </c>
      <c r="H6517">
        <v>0</v>
      </c>
      <c r="I6517">
        <v>0.1741125760648204</v>
      </c>
      <c r="J6517">
        <v>0</v>
      </c>
      <c r="K6517">
        <v>0</v>
      </c>
      <c r="L6517" s="2">
        <v>0</v>
      </c>
      <c r="M6517">
        <v>65.2</v>
      </c>
      <c r="N6517" t="s">
        <v>10236</v>
      </c>
    </row>
    <row r="6518" spans="1:14">
      <c r="A6518" t="s">
        <v>35</v>
      </c>
      <c r="B6518" t="s">
        <v>6611</v>
      </c>
      <c r="C6518">
        <f>"JY2042"</f>
        <v>0</v>
      </c>
      <c r="D6518">
        <v>0</v>
      </c>
      <c r="E6518">
        <v>0</v>
      </c>
      <c r="F6518" s="2">
        <v>0</v>
      </c>
      <c r="H6518">
        <v>0</v>
      </c>
      <c r="I6518">
        <v>0.1741125760648204</v>
      </c>
      <c r="J6518">
        <v>0</v>
      </c>
      <c r="K6518">
        <v>0</v>
      </c>
      <c r="L6518" s="2">
        <v>0</v>
      </c>
      <c r="M6518">
        <v>65.20999999999999</v>
      </c>
      <c r="N6518" t="s">
        <v>10236</v>
      </c>
    </row>
    <row r="6519" spans="1:14">
      <c r="A6519" t="s">
        <v>35</v>
      </c>
      <c r="B6519" t="s">
        <v>6612</v>
      </c>
      <c r="C6519">
        <f>"VM009"</f>
        <v>0</v>
      </c>
      <c r="D6519">
        <v>0</v>
      </c>
      <c r="E6519">
        <v>0</v>
      </c>
      <c r="F6519" s="2">
        <v>0</v>
      </c>
      <c r="H6519">
        <v>0</v>
      </c>
      <c r="I6519">
        <v>0.1741125760648204</v>
      </c>
      <c r="J6519">
        <v>0</v>
      </c>
      <c r="K6519">
        <v>0</v>
      </c>
      <c r="L6519" s="2">
        <v>0</v>
      </c>
      <c r="M6519">
        <v>65.22</v>
      </c>
      <c r="N6519" t="s">
        <v>10236</v>
      </c>
    </row>
    <row r="6520" spans="1:14">
      <c r="A6520" t="s">
        <v>35</v>
      </c>
      <c r="B6520" t="s">
        <v>6613</v>
      </c>
      <c r="C6520">
        <f>"AZUL"</f>
        <v>0</v>
      </c>
      <c r="D6520">
        <v>0</v>
      </c>
      <c r="E6520">
        <v>4</v>
      </c>
      <c r="F6520" s="2">
        <v>1</v>
      </c>
      <c r="H6520">
        <v>0</v>
      </c>
      <c r="I6520">
        <v>0.1741125760648204</v>
      </c>
      <c r="J6520">
        <v>0</v>
      </c>
      <c r="K6520">
        <v>0</v>
      </c>
      <c r="L6520" s="2">
        <v>0</v>
      </c>
      <c r="M6520">
        <v>65.23</v>
      </c>
      <c r="N6520" t="s">
        <v>10236</v>
      </c>
    </row>
    <row r="6521" spans="1:14">
      <c r="A6521" t="s">
        <v>35</v>
      </c>
      <c r="B6521" t="s">
        <v>6614</v>
      </c>
      <c r="C6521">
        <f>"CC309SRNC"</f>
        <v>0</v>
      </c>
      <c r="D6521">
        <v>0</v>
      </c>
      <c r="E6521">
        <v>0</v>
      </c>
      <c r="F6521" s="2">
        <v>0</v>
      </c>
      <c r="H6521">
        <v>0</v>
      </c>
      <c r="I6521">
        <v>0.1741125760648204</v>
      </c>
      <c r="J6521">
        <v>0</v>
      </c>
      <c r="K6521">
        <v>0</v>
      </c>
      <c r="L6521" s="2">
        <v>0</v>
      </c>
      <c r="M6521">
        <v>65.23999999999999</v>
      </c>
      <c r="N6521" t="s">
        <v>10236</v>
      </c>
    </row>
    <row r="6522" spans="1:14">
      <c r="A6522" t="s">
        <v>35</v>
      </c>
      <c r="B6522" t="s">
        <v>6615</v>
      </c>
      <c r="C6522">
        <f>"CC309SRC"</f>
        <v>0</v>
      </c>
      <c r="D6522">
        <v>0</v>
      </c>
      <c r="E6522">
        <v>1</v>
      </c>
      <c r="F6522" s="2">
        <v>3</v>
      </c>
      <c r="H6522">
        <v>0</v>
      </c>
      <c r="I6522">
        <v>0.1741125760648204</v>
      </c>
      <c r="J6522">
        <v>0</v>
      </c>
      <c r="K6522">
        <v>0</v>
      </c>
      <c r="L6522" s="2">
        <v>0</v>
      </c>
      <c r="M6522">
        <v>65.25</v>
      </c>
      <c r="N6522" t="s">
        <v>10236</v>
      </c>
    </row>
    <row r="6523" spans="1:14">
      <c r="A6523" t="s">
        <v>35</v>
      </c>
      <c r="B6523" t="s">
        <v>6616</v>
      </c>
      <c r="C6523">
        <f>"CC309SRNN"</f>
        <v>0</v>
      </c>
      <c r="D6523">
        <v>0</v>
      </c>
      <c r="E6523">
        <v>0</v>
      </c>
      <c r="F6523" s="2">
        <v>0</v>
      </c>
      <c r="H6523">
        <v>0</v>
      </c>
      <c r="I6523">
        <v>0.1741125760648204</v>
      </c>
      <c r="J6523">
        <v>0</v>
      </c>
      <c r="K6523">
        <v>0</v>
      </c>
      <c r="L6523" s="2">
        <v>0</v>
      </c>
      <c r="M6523">
        <v>65.25</v>
      </c>
      <c r="N6523" t="s">
        <v>10236</v>
      </c>
    </row>
    <row r="6524" spans="1:14">
      <c r="A6524" t="s">
        <v>35</v>
      </c>
      <c r="B6524" t="s">
        <v>6617</v>
      </c>
      <c r="C6524">
        <f>"JWZ1051S"</f>
        <v>0</v>
      </c>
      <c r="D6524">
        <v>0</v>
      </c>
      <c r="E6524">
        <v>7</v>
      </c>
      <c r="F6524" s="2">
        <v>1</v>
      </c>
      <c r="H6524">
        <v>0</v>
      </c>
      <c r="I6524">
        <v>0.1741125760648204</v>
      </c>
      <c r="J6524">
        <v>0</v>
      </c>
      <c r="K6524">
        <v>0</v>
      </c>
      <c r="L6524" s="2">
        <v>0</v>
      </c>
      <c r="M6524">
        <v>65.26000000000001</v>
      </c>
      <c r="N6524" t="s">
        <v>10236</v>
      </c>
    </row>
    <row r="6525" spans="1:14">
      <c r="A6525" t="s">
        <v>35</v>
      </c>
      <c r="B6525" t="s">
        <v>6618</v>
      </c>
      <c r="C6525">
        <f>"jwz1058s"</f>
        <v>0</v>
      </c>
      <c r="D6525">
        <v>0</v>
      </c>
      <c r="E6525">
        <v>0</v>
      </c>
      <c r="F6525" s="2">
        <v>0</v>
      </c>
      <c r="H6525">
        <v>0</v>
      </c>
      <c r="I6525">
        <v>0.1741125760648204</v>
      </c>
      <c r="J6525">
        <v>0</v>
      </c>
      <c r="K6525">
        <v>0</v>
      </c>
      <c r="L6525" s="2">
        <v>0</v>
      </c>
      <c r="M6525">
        <v>65.27</v>
      </c>
      <c r="N6525" t="s">
        <v>10236</v>
      </c>
    </row>
    <row r="6526" spans="1:14">
      <c r="A6526" t="s">
        <v>35</v>
      </c>
      <c r="B6526" t="s">
        <v>6619</v>
      </c>
      <c r="C6526">
        <f>"JWZ1047S"</f>
        <v>0</v>
      </c>
      <c r="D6526">
        <v>0</v>
      </c>
      <c r="E6526">
        <v>8</v>
      </c>
      <c r="F6526" s="2">
        <v>1</v>
      </c>
      <c r="H6526">
        <v>0</v>
      </c>
      <c r="I6526">
        <v>0.1741125760648204</v>
      </c>
      <c r="J6526">
        <v>0</v>
      </c>
      <c r="K6526">
        <v>0</v>
      </c>
      <c r="L6526" s="2">
        <v>0</v>
      </c>
      <c r="M6526">
        <v>65.28</v>
      </c>
      <c r="N6526" t="s">
        <v>10236</v>
      </c>
    </row>
    <row r="6527" spans="1:14">
      <c r="A6527" t="s">
        <v>35</v>
      </c>
      <c r="B6527" t="s">
        <v>6620</v>
      </c>
      <c r="C6527">
        <f>"JWZ1036S"</f>
        <v>0</v>
      </c>
      <c r="D6527">
        <v>0</v>
      </c>
      <c r="E6527">
        <v>0</v>
      </c>
      <c r="F6527" s="2">
        <v>0</v>
      </c>
      <c r="H6527">
        <v>0</v>
      </c>
      <c r="I6527">
        <v>0.1741125760648204</v>
      </c>
      <c r="J6527">
        <v>0</v>
      </c>
      <c r="K6527">
        <v>0</v>
      </c>
      <c r="L6527" s="2">
        <v>0</v>
      </c>
      <c r="M6527">
        <v>65.29000000000001</v>
      </c>
      <c r="N6527" t="s">
        <v>10236</v>
      </c>
    </row>
    <row r="6528" spans="1:14">
      <c r="A6528" t="s">
        <v>35</v>
      </c>
      <c r="B6528" t="s">
        <v>6621</v>
      </c>
      <c r="C6528">
        <f>"CC309SCRN"</f>
        <v>0</v>
      </c>
      <c r="D6528">
        <v>0</v>
      </c>
      <c r="E6528">
        <v>0</v>
      </c>
      <c r="F6528" s="2">
        <v>0</v>
      </c>
      <c r="H6528">
        <v>0</v>
      </c>
      <c r="I6528">
        <v>0.1741125760648204</v>
      </c>
      <c r="J6528">
        <v>0</v>
      </c>
      <c r="K6528">
        <v>0</v>
      </c>
      <c r="L6528" s="2">
        <v>0</v>
      </c>
      <c r="M6528">
        <v>65.3</v>
      </c>
      <c r="N6528" t="s">
        <v>10236</v>
      </c>
    </row>
    <row r="6529" spans="1:14">
      <c r="A6529" t="s">
        <v>35</v>
      </c>
      <c r="B6529" t="s">
        <v>6622</v>
      </c>
      <c r="C6529">
        <f>"JWZ1036XL"</f>
        <v>0</v>
      </c>
      <c r="D6529">
        <v>0</v>
      </c>
      <c r="E6529">
        <v>0</v>
      </c>
      <c r="F6529" s="2">
        <v>0</v>
      </c>
      <c r="H6529">
        <v>0</v>
      </c>
      <c r="I6529">
        <v>0.1741125760648204</v>
      </c>
      <c r="J6529">
        <v>0</v>
      </c>
      <c r="K6529">
        <v>0</v>
      </c>
      <c r="L6529" s="2">
        <v>0</v>
      </c>
      <c r="M6529">
        <v>65.31</v>
      </c>
      <c r="N6529" t="s">
        <v>10236</v>
      </c>
    </row>
    <row r="6530" spans="1:14">
      <c r="A6530" t="s">
        <v>35</v>
      </c>
      <c r="B6530" t="s">
        <v>6623</v>
      </c>
      <c r="C6530">
        <f>"CC309SAC"</f>
        <v>0</v>
      </c>
      <c r="D6530">
        <v>0</v>
      </c>
      <c r="E6530">
        <v>0</v>
      </c>
      <c r="F6530" s="2">
        <v>0</v>
      </c>
      <c r="H6530">
        <v>0</v>
      </c>
      <c r="I6530">
        <v>0.1741125760648204</v>
      </c>
      <c r="J6530">
        <v>0</v>
      </c>
      <c r="K6530">
        <v>0</v>
      </c>
      <c r="L6530" s="2">
        <v>0</v>
      </c>
      <c r="M6530">
        <v>65.31999999999999</v>
      </c>
      <c r="N6530" t="s">
        <v>10236</v>
      </c>
    </row>
    <row r="6531" spans="1:14">
      <c r="A6531" t="s">
        <v>35</v>
      </c>
      <c r="B6531" t="s">
        <v>6624</v>
      </c>
      <c r="C6531">
        <f>"CC309SANN"</f>
        <v>0</v>
      </c>
      <c r="D6531">
        <v>0</v>
      </c>
      <c r="E6531">
        <v>1</v>
      </c>
      <c r="F6531" s="2">
        <v>3</v>
      </c>
      <c r="H6531">
        <v>0</v>
      </c>
      <c r="I6531">
        <v>0.1741125760648204</v>
      </c>
      <c r="J6531">
        <v>0</v>
      </c>
      <c r="K6531">
        <v>0</v>
      </c>
      <c r="L6531" s="2">
        <v>0</v>
      </c>
      <c r="M6531">
        <v>65.33</v>
      </c>
      <c r="N6531" t="s">
        <v>10236</v>
      </c>
    </row>
    <row r="6532" spans="1:14">
      <c r="A6532" t="s">
        <v>35</v>
      </c>
      <c r="B6532" t="s">
        <v>6625</v>
      </c>
      <c r="C6532">
        <f>"CC309SACN"</f>
        <v>0</v>
      </c>
      <c r="D6532">
        <v>0</v>
      </c>
      <c r="E6532">
        <v>0</v>
      </c>
      <c r="F6532" s="2">
        <v>0</v>
      </c>
      <c r="H6532">
        <v>0</v>
      </c>
      <c r="I6532">
        <v>0.1741125760648204</v>
      </c>
      <c r="J6532">
        <v>0</v>
      </c>
      <c r="K6532">
        <v>0</v>
      </c>
      <c r="L6532" s="2">
        <v>0</v>
      </c>
      <c r="M6532">
        <v>65.34</v>
      </c>
      <c r="N6532" t="s">
        <v>10236</v>
      </c>
    </row>
    <row r="6533" spans="1:14">
      <c r="A6533" t="s">
        <v>35</v>
      </c>
      <c r="B6533" t="s">
        <v>6626</v>
      </c>
      <c r="C6533">
        <f>"JW5022S"</f>
        <v>0</v>
      </c>
      <c r="D6533">
        <v>0</v>
      </c>
      <c r="E6533">
        <v>0</v>
      </c>
      <c r="F6533" s="2">
        <v>0</v>
      </c>
      <c r="H6533">
        <v>0</v>
      </c>
      <c r="I6533">
        <v>0.1741125760648204</v>
      </c>
      <c r="J6533">
        <v>0</v>
      </c>
      <c r="K6533">
        <v>0</v>
      </c>
      <c r="L6533" s="2">
        <v>0</v>
      </c>
      <c r="M6533">
        <v>65.34999999999999</v>
      </c>
      <c r="N6533" t="s">
        <v>10236</v>
      </c>
    </row>
    <row r="6534" spans="1:14">
      <c r="A6534" t="s">
        <v>35</v>
      </c>
      <c r="B6534" t="s">
        <v>6627</v>
      </c>
      <c r="C6534">
        <f>"JWZ1003S"</f>
        <v>0</v>
      </c>
      <c r="D6534">
        <v>0</v>
      </c>
      <c r="E6534">
        <v>0</v>
      </c>
      <c r="F6534" s="2">
        <v>0</v>
      </c>
      <c r="H6534">
        <v>0</v>
      </c>
      <c r="I6534">
        <v>0.1741125760648204</v>
      </c>
      <c r="J6534">
        <v>0</v>
      </c>
      <c r="K6534">
        <v>0</v>
      </c>
      <c r="L6534" s="2">
        <v>0</v>
      </c>
      <c r="M6534">
        <v>65.36</v>
      </c>
      <c r="N6534" t="s">
        <v>10236</v>
      </c>
    </row>
    <row r="6535" spans="1:14">
      <c r="A6535" t="s">
        <v>35</v>
      </c>
      <c r="B6535" t="s">
        <v>6628</v>
      </c>
      <c r="C6535">
        <f>"JWZ1017S"</f>
        <v>0</v>
      </c>
      <c r="D6535">
        <v>0</v>
      </c>
      <c r="E6535">
        <v>0</v>
      </c>
      <c r="F6535" s="2">
        <v>0</v>
      </c>
      <c r="H6535">
        <v>0</v>
      </c>
      <c r="I6535">
        <v>0.1741125760648204</v>
      </c>
      <c r="J6535">
        <v>0</v>
      </c>
      <c r="K6535">
        <v>0</v>
      </c>
      <c r="L6535" s="2">
        <v>0</v>
      </c>
      <c r="M6535">
        <v>65.37</v>
      </c>
      <c r="N6535" t="s">
        <v>10236</v>
      </c>
    </row>
    <row r="6536" spans="1:14">
      <c r="A6536" t="s">
        <v>35</v>
      </c>
      <c r="B6536" t="s">
        <v>6629</v>
      </c>
      <c r="C6536">
        <f>"JWZ1016S"</f>
        <v>0</v>
      </c>
      <c r="D6536">
        <v>0</v>
      </c>
      <c r="E6536">
        <v>0</v>
      </c>
      <c r="F6536" s="2">
        <v>0</v>
      </c>
      <c r="H6536">
        <v>0</v>
      </c>
      <c r="I6536">
        <v>0.1741125760648204</v>
      </c>
      <c r="J6536">
        <v>0</v>
      </c>
      <c r="K6536">
        <v>0</v>
      </c>
      <c r="L6536" s="2">
        <v>0</v>
      </c>
      <c r="M6536">
        <v>65.37</v>
      </c>
      <c r="N6536" t="s">
        <v>10236</v>
      </c>
    </row>
    <row r="6537" spans="1:14">
      <c r="A6537" t="s">
        <v>35</v>
      </c>
      <c r="B6537" t="s">
        <v>6630</v>
      </c>
      <c r="C6537">
        <f>"JWZ1027S"</f>
        <v>0</v>
      </c>
      <c r="D6537">
        <v>0</v>
      </c>
      <c r="E6537">
        <v>13</v>
      </c>
      <c r="F6537" s="2">
        <v>1</v>
      </c>
      <c r="H6537">
        <v>0</v>
      </c>
      <c r="I6537">
        <v>0.1741125760648204</v>
      </c>
      <c r="J6537">
        <v>0</v>
      </c>
      <c r="K6537">
        <v>0</v>
      </c>
      <c r="L6537" s="2">
        <v>0</v>
      </c>
      <c r="M6537">
        <v>65.38</v>
      </c>
      <c r="N6537" t="s">
        <v>10236</v>
      </c>
    </row>
    <row r="6538" spans="1:14">
      <c r="A6538" t="s">
        <v>35</v>
      </c>
      <c r="B6538" t="s">
        <v>6631</v>
      </c>
      <c r="C6538">
        <f>"JWZ1022S"</f>
        <v>0</v>
      </c>
      <c r="D6538">
        <v>0</v>
      </c>
      <c r="E6538">
        <v>26</v>
      </c>
      <c r="F6538" s="2">
        <v>1</v>
      </c>
      <c r="H6538">
        <v>0</v>
      </c>
      <c r="I6538">
        <v>0.1741125760648204</v>
      </c>
      <c r="J6538">
        <v>0</v>
      </c>
      <c r="K6538">
        <v>0</v>
      </c>
      <c r="L6538" s="2">
        <v>0</v>
      </c>
      <c r="M6538">
        <v>65.39</v>
      </c>
      <c r="N6538" t="s">
        <v>10236</v>
      </c>
    </row>
    <row r="6539" spans="1:14">
      <c r="A6539" t="s">
        <v>35</v>
      </c>
      <c r="B6539" t="s">
        <v>6632</v>
      </c>
      <c r="C6539">
        <f>"JWZ1024S"</f>
        <v>0</v>
      </c>
      <c r="D6539">
        <v>0</v>
      </c>
      <c r="E6539">
        <v>0</v>
      </c>
      <c r="F6539" s="2">
        <v>0</v>
      </c>
      <c r="H6539">
        <v>0</v>
      </c>
      <c r="I6539">
        <v>0.1741125760648204</v>
      </c>
      <c r="J6539">
        <v>0</v>
      </c>
      <c r="K6539">
        <v>0</v>
      </c>
      <c r="L6539" s="2">
        <v>0</v>
      </c>
      <c r="M6539">
        <v>65.40000000000001</v>
      </c>
      <c r="N6539" t="s">
        <v>10236</v>
      </c>
    </row>
    <row r="6540" spans="1:14">
      <c r="A6540" t="s">
        <v>35</v>
      </c>
      <c r="B6540" t="s">
        <v>6633</v>
      </c>
      <c r="C6540">
        <f>"FB511LG"</f>
        <v>0</v>
      </c>
      <c r="D6540">
        <v>0</v>
      </c>
      <c r="E6540">
        <v>0</v>
      </c>
      <c r="F6540" s="2">
        <v>0</v>
      </c>
      <c r="H6540">
        <v>0</v>
      </c>
      <c r="I6540">
        <v>0.1741125760648204</v>
      </c>
      <c r="J6540">
        <v>0</v>
      </c>
      <c r="K6540">
        <v>0</v>
      </c>
      <c r="L6540" s="2">
        <v>0</v>
      </c>
      <c r="M6540">
        <v>65.41</v>
      </c>
      <c r="N6540" t="s">
        <v>10236</v>
      </c>
    </row>
    <row r="6541" spans="1:14">
      <c r="A6541" t="s">
        <v>25</v>
      </c>
      <c r="B6541" t="s">
        <v>6634</v>
      </c>
      <c r="C6541">
        <f>"AYCS199"</f>
        <v>0</v>
      </c>
      <c r="D6541">
        <v>0</v>
      </c>
      <c r="E6541">
        <v>0</v>
      </c>
      <c r="F6541" s="2">
        <v>0</v>
      </c>
      <c r="H6541">
        <v>0</v>
      </c>
      <c r="I6541">
        <v>0.1741125760648204</v>
      </c>
      <c r="J6541">
        <v>0</v>
      </c>
      <c r="K6541">
        <v>0</v>
      </c>
      <c r="L6541" s="2">
        <v>0</v>
      </c>
      <c r="M6541">
        <v>65.42</v>
      </c>
      <c r="N6541" t="s">
        <v>10236</v>
      </c>
    </row>
    <row r="6542" spans="1:14">
      <c r="A6542" t="s">
        <v>35</v>
      </c>
      <c r="B6542" t="s">
        <v>6635</v>
      </c>
      <c r="C6542">
        <f>"HH032XS"</f>
        <v>0</v>
      </c>
      <c r="D6542">
        <v>0</v>
      </c>
      <c r="E6542">
        <v>10</v>
      </c>
      <c r="F6542" s="2">
        <v>7</v>
      </c>
      <c r="H6542">
        <v>0</v>
      </c>
      <c r="I6542">
        <v>0.1741125760648204</v>
      </c>
      <c r="J6542">
        <v>0</v>
      </c>
      <c r="K6542">
        <v>0</v>
      </c>
      <c r="L6542" s="2">
        <v>0</v>
      </c>
      <c r="M6542">
        <v>65.43000000000001</v>
      </c>
      <c r="N6542" t="s">
        <v>10236</v>
      </c>
    </row>
    <row r="6543" spans="1:14">
      <c r="A6543" t="s">
        <v>35</v>
      </c>
      <c r="B6543" t="s">
        <v>6636</v>
      </c>
      <c r="C6543">
        <f>"HH088MR"</f>
        <v>0</v>
      </c>
      <c r="D6543">
        <v>0</v>
      </c>
      <c r="E6543">
        <v>0</v>
      </c>
      <c r="F6543" s="2">
        <v>0</v>
      </c>
      <c r="H6543">
        <v>0</v>
      </c>
      <c r="I6543">
        <v>0.1741125760648204</v>
      </c>
      <c r="J6543">
        <v>0</v>
      </c>
      <c r="K6543">
        <v>0</v>
      </c>
      <c r="L6543" s="2">
        <v>0</v>
      </c>
      <c r="M6543">
        <v>65.44</v>
      </c>
      <c r="N6543" t="s">
        <v>10236</v>
      </c>
    </row>
    <row r="6544" spans="1:14">
      <c r="A6544" t="s">
        <v>35</v>
      </c>
      <c r="B6544" t="s">
        <v>6637</v>
      </c>
      <c r="C6544">
        <f>"HH088LR"</f>
        <v>0</v>
      </c>
      <c r="D6544">
        <v>0</v>
      </c>
      <c r="E6544">
        <v>1</v>
      </c>
      <c r="F6544" s="2">
        <v>11</v>
      </c>
      <c r="H6544">
        <v>0</v>
      </c>
      <c r="I6544">
        <v>0.1741125760648204</v>
      </c>
      <c r="J6544">
        <v>0</v>
      </c>
      <c r="K6544">
        <v>0</v>
      </c>
      <c r="L6544" s="2">
        <v>0</v>
      </c>
      <c r="M6544">
        <v>65.45</v>
      </c>
      <c r="N6544" t="s">
        <v>10236</v>
      </c>
    </row>
    <row r="6545" spans="1:14">
      <c r="A6545" t="s">
        <v>35</v>
      </c>
      <c r="B6545" t="s">
        <v>6638</v>
      </c>
      <c r="C6545">
        <f>"CC309SCNN"</f>
        <v>0</v>
      </c>
      <c r="D6545">
        <v>0</v>
      </c>
      <c r="E6545">
        <v>0</v>
      </c>
      <c r="F6545" s="2">
        <v>0</v>
      </c>
      <c r="H6545">
        <v>0</v>
      </c>
      <c r="I6545">
        <v>0.1741125760648204</v>
      </c>
      <c r="J6545">
        <v>0</v>
      </c>
      <c r="K6545">
        <v>0</v>
      </c>
      <c r="L6545" s="2">
        <v>0</v>
      </c>
      <c r="M6545">
        <v>65.45999999999999</v>
      </c>
      <c r="N6545" t="s">
        <v>10236</v>
      </c>
    </row>
    <row r="6546" spans="1:14">
      <c r="A6546" t="s">
        <v>35</v>
      </c>
      <c r="B6546" t="s">
        <v>6639</v>
      </c>
      <c r="C6546">
        <f>"JWZ1012XL"</f>
        <v>0</v>
      </c>
      <c r="D6546">
        <v>0</v>
      </c>
      <c r="E6546">
        <v>55</v>
      </c>
      <c r="F6546" s="2">
        <v>1</v>
      </c>
      <c r="H6546">
        <v>0</v>
      </c>
      <c r="I6546">
        <v>0.1741125760648204</v>
      </c>
      <c r="J6546">
        <v>0</v>
      </c>
      <c r="K6546">
        <v>0</v>
      </c>
      <c r="L6546" s="2">
        <v>0</v>
      </c>
      <c r="M6546">
        <v>65.47</v>
      </c>
      <c r="N6546" t="s">
        <v>10236</v>
      </c>
    </row>
    <row r="6547" spans="1:14">
      <c r="A6547" t="s">
        <v>35</v>
      </c>
      <c r="B6547" t="s">
        <v>6640</v>
      </c>
      <c r="C6547">
        <f>"JWZ1011XL"</f>
        <v>0</v>
      </c>
      <c r="D6547">
        <v>0</v>
      </c>
      <c r="E6547">
        <v>27</v>
      </c>
      <c r="F6547" s="2">
        <v>1</v>
      </c>
      <c r="H6547">
        <v>0</v>
      </c>
      <c r="I6547">
        <v>0.1741125760648204</v>
      </c>
      <c r="J6547">
        <v>0</v>
      </c>
      <c r="K6547">
        <v>0</v>
      </c>
      <c r="L6547" s="2">
        <v>0</v>
      </c>
      <c r="M6547">
        <v>65.48</v>
      </c>
      <c r="N6547" t="s">
        <v>10236</v>
      </c>
    </row>
    <row r="6548" spans="1:14">
      <c r="A6548" t="s">
        <v>35</v>
      </c>
      <c r="B6548" t="s">
        <v>6641</v>
      </c>
      <c r="C6548">
        <f>"JWZ1016XL"</f>
        <v>0</v>
      </c>
      <c r="D6548">
        <v>0</v>
      </c>
      <c r="E6548">
        <v>56</v>
      </c>
      <c r="F6548" s="2">
        <v>1</v>
      </c>
      <c r="H6548">
        <v>0</v>
      </c>
      <c r="I6548">
        <v>0.1741125760648204</v>
      </c>
      <c r="J6548">
        <v>0</v>
      </c>
      <c r="K6548">
        <v>0</v>
      </c>
      <c r="L6548" s="2">
        <v>0</v>
      </c>
      <c r="M6548">
        <v>65.48999999999999</v>
      </c>
      <c r="N6548" t="s">
        <v>10236</v>
      </c>
    </row>
    <row r="6549" spans="1:14">
      <c r="A6549" t="s">
        <v>35</v>
      </c>
      <c r="B6549" t="s">
        <v>6642</v>
      </c>
      <c r="C6549">
        <f>"JWZ1007XL"</f>
        <v>0</v>
      </c>
      <c r="D6549">
        <v>0</v>
      </c>
      <c r="E6549">
        <v>49</v>
      </c>
      <c r="F6549" s="2">
        <v>1</v>
      </c>
      <c r="H6549">
        <v>0</v>
      </c>
      <c r="I6549">
        <v>0.1741125760648204</v>
      </c>
      <c r="J6549">
        <v>0</v>
      </c>
      <c r="K6549">
        <v>0</v>
      </c>
      <c r="L6549" s="2">
        <v>0</v>
      </c>
      <c r="M6549">
        <v>65.48999999999999</v>
      </c>
      <c r="N6549" t="s">
        <v>10236</v>
      </c>
    </row>
    <row r="6550" spans="1:14">
      <c r="A6550" t="s">
        <v>35</v>
      </c>
      <c r="B6550" t="s">
        <v>6643</v>
      </c>
      <c r="C6550">
        <f>"BBT01MV"</f>
        <v>0</v>
      </c>
      <c r="D6550">
        <v>0</v>
      </c>
      <c r="E6550">
        <v>0</v>
      </c>
      <c r="F6550" s="2">
        <v>0</v>
      </c>
      <c r="H6550">
        <v>0</v>
      </c>
      <c r="I6550">
        <v>0.1741125760648204</v>
      </c>
      <c r="J6550">
        <v>0</v>
      </c>
      <c r="K6550">
        <v>0</v>
      </c>
      <c r="L6550" s="2">
        <v>0</v>
      </c>
      <c r="M6550">
        <v>65.5</v>
      </c>
      <c r="N6550" t="s">
        <v>10236</v>
      </c>
    </row>
    <row r="6551" spans="1:14">
      <c r="A6551" t="s">
        <v>35</v>
      </c>
      <c r="B6551" t="s">
        <v>6644</v>
      </c>
      <c r="C6551">
        <f>"JWZ1024XL"</f>
        <v>0</v>
      </c>
      <c r="D6551">
        <v>0</v>
      </c>
      <c r="E6551">
        <v>23</v>
      </c>
      <c r="F6551" s="2">
        <v>1</v>
      </c>
      <c r="H6551">
        <v>0</v>
      </c>
      <c r="I6551">
        <v>0.1741125760648204</v>
      </c>
      <c r="J6551">
        <v>0</v>
      </c>
      <c r="K6551">
        <v>0</v>
      </c>
      <c r="L6551" s="2">
        <v>0</v>
      </c>
      <c r="M6551">
        <v>65.51000000000001</v>
      </c>
      <c r="N6551" t="s">
        <v>10236</v>
      </c>
    </row>
    <row r="6552" spans="1:14">
      <c r="A6552" t="s">
        <v>35</v>
      </c>
      <c r="B6552" t="s">
        <v>6645</v>
      </c>
      <c r="C6552">
        <f>"JWZ1001XL"</f>
        <v>0</v>
      </c>
      <c r="D6552">
        <v>0</v>
      </c>
      <c r="E6552">
        <v>24</v>
      </c>
      <c r="F6552" s="2">
        <v>1</v>
      </c>
      <c r="H6552">
        <v>0</v>
      </c>
      <c r="I6552">
        <v>0.1741125760648204</v>
      </c>
      <c r="J6552">
        <v>0</v>
      </c>
      <c r="K6552">
        <v>0</v>
      </c>
      <c r="L6552" s="2">
        <v>0</v>
      </c>
      <c r="M6552">
        <v>65.52</v>
      </c>
      <c r="N6552" t="s">
        <v>10236</v>
      </c>
    </row>
    <row r="6553" spans="1:14">
      <c r="A6553" t="s">
        <v>35</v>
      </c>
      <c r="B6553" t="s">
        <v>6646</v>
      </c>
      <c r="C6553">
        <f>"PQ013ROS"</f>
        <v>0</v>
      </c>
      <c r="D6553">
        <v>0</v>
      </c>
      <c r="E6553">
        <v>0</v>
      </c>
      <c r="F6553" s="2">
        <v>0</v>
      </c>
      <c r="H6553">
        <v>0</v>
      </c>
      <c r="I6553">
        <v>0.1741125760648204</v>
      </c>
      <c r="J6553">
        <v>0</v>
      </c>
      <c r="K6553">
        <v>0</v>
      </c>
      <c r="L6553" s="2">
        <v>0</v>
      </c>
      <c r="M6553">
        <v>65.53</v>
      </c>
      <c r="N6553" t="s">
        <v>10236</v>
      </c>
    </row>
    <row r="6554" spans="1:14">
      <c r="A6554" t="s">
        <v>35</v>
      </c>
      <c r="B6554" t="s">
        <v>6647</v>
      </c>
      <c r="C6554">
        <f>"PQ013ROJ"</f>
        <v>0</v>
      </c>
      <c r="D6554">
        <v>0</v>
      </c>
      <c r="E6554">
        <v>0</v>
      </c>
      <c r="F6554" s="2">
        <v>0</v>
      </c>
      <c r="H6554">
        <v>0</v>
      </c>
      <c r="I6554">
        <v>0.1741125760648204</v>
      </c>
      <c r="J6554">
        <v>0</v>
      </c>
      <c r="K6554">
        <v>0</v>
      </c>
      <c r="L6554" s="2">
        <v>0</v>
      </c>
      <c r="M6554">
        <v>65.54000000000001</v>
      </c>
      <c r="N6554" t="s">
        <v>10236</v>
      </c>
    </row>
    <row r="6555" spans="1:14">
      <c r="A6555" t="s">
        <v>35</v>
      </c>
      <c r="B6555" t="s">
        <v>6648</v>
      </c>
      <c r="C6555">
        <f>"PQ013MO"</f>
        <v>0</v>
      </c>
      <c r="D6555">
        <v>0</v>
      </c>
      <c r="E6555">
        <v>0</v>
      </c>
      <c r="F6555" s="2">
        <v>0</v>
      </c>
      <c r="H6555">
        <v>0</v>
      </c>
      <c r="I6555">
        <v>0.1741125760648204</v>
      </c>
      <c r="J6555">
        <v>0</v>
      </c>
      <c r="K6555">
        <v>0</v>
      </c>
      <c r="L6555" s="2">
        <v>0</v>
      </c>
      <c r="M6555">
        <v>65.55</v>
      </c>
      <c r="N6555" t="s">
        <v>10236</v>
      </c>
    </row>
    <row r="6556" spans="1:14">
      <c r="A6556" t="s">
        <v>35</v>
      </c>
      <c r="B6556" t="s">
        <v>6649</v>
      </c>
      <c r="C6556">
        <f>"PQ013CE"</f>
        <v>0</v>
      </c>
      <c r="D6556">
        <v>0</v>
      </c>
      <c r="E6556">
        <v>0</v>
      </c>
      <c r="F6556" s="2">
        <v>0</v>
      </c>
      <c r="H6556">
        <v>0</v>
      </c>
      <c r="I6556">
        <v>0.1741125760648204</v>
      </c>
      <c r="J6556">
        <v>0</v>
      </c>
      <c r="K6556">
        <v>0</v>
      </c>
      <c r="L6556" s="2">
        <v>0</v>
      </c>
      <c r="M6556">
        <v>65.56</v>
      </c>
      <c r="N6556" t="s">
        <v>10236</v>
      </c>
    </row>
    <row r="6557" spans="1:14">
      <c r="A6557" t="s">
        <v>35</v>
      </c>
      <c r="B6557" t="s">
        <v>6650</v>
      </c>
      <c r="C6557">
        <f>"PQ019"</f>
        <v>0</v>
      </c>
      <c r="D6557">
        <v>0</v>
      </c>
      <c r="E6557">
        <v>0</v>
      </c>
      <c r="F6557" s="2">
        <v>0</v>
      </c>
      <c r="H6557">
        <v>0</v>
      </c>
      <c r="I6557">
        <v>0.1741125760648204</v>
      </c>
      <c r="J6557">
        <v>0</v>
      </c>
      <c r="K6557">
        <v>0</v>
      </c>
      <c r="L6557" s="2">
        <v>0</v>
      </c>
      <c r="M6557">
        <v>65.56999999999999</v>
      </c>
      <c r="N6557" t="s">
        <v>10236</v>
      </c>
    </row>
    <row r="6558" spans="1:14">
      <c r="A6558" t="s">
        <v>35</v>
      </c>
      <c r="B6558" t="s">
        <v>6651</v>
      </c>
      <c r="C6558">
        <f>"PQ021"</f>
        <v>0</v>
      </c>
      <c r="D6558">
        <v>0</v>
      </c>
      <c r="E6558">
        <v>0</v>
      </c>
      <c r="F6558" s="2">
        <v>0</v>
      </c>
      <c r="H6558">
        <v>0</v>
      </c>
      <c r="I6558">
        <v>0.1741125760648204</v>
      </c>
      <c r="J6558">
        <v>0</v>
      </c>
      <c r="K6558">
        <v>0</v>
      </c>
      <c r="L6558" s="2">
        <v>0</v>
      </c>
      <c r="M6558">
        <v>65.58</v>
      </c>
      <c r="N6558" t="s">
        <v>10236</v>
      </c>
    </row>
    <row r="6559" spans="1:14">
      <c r="A6559" t="s">
        <v>35</v>
      </c>
      <c r="B6559" t="s">
        <v>6652</v>
      </c>
      <c r="C6559">
        <f>"PQ010"</f>
        <v>0</v>
      </c>
      <c r="D6559">
        <v>0</v>
      </c>
      <c r="E6559">
        <v>0</v>
      </c>
      <c r="F6559" s="2">
        <v>0</v>
      </c>
      <c r="H6559">
        <v>0</v>
      </c>
      <c r="I6559">
        <v>0.1741125760648204</v>
      </c>
      <c r="J6559">
        <v>0</v>
      </c>
      <c r="K6559">
        <v>0</v>
      </c>
      <c r="L6559" s="2">
        <v>0</v>
      </c>
      <c r="M6559">
        <v>65.59</v>
      </c>
      <c r="N6559" t="s">
        <v>10236</v>
      </c>
    </row>
    <row r="6560" spans="1:14">
      <c r="A6560" t="s">
        <v>35</v>
      </c>
      <c r="B6560" t="s">
        <v>6653</v>
      </c>
      <c r="C6560">
        <f>"JY1030"</f>
        <v>0</v>
      </c>
      <c r="D6560">
        <v>0</v>
      </c>
      <c r="E6560">
        <v>0</v>
      </c>
      <c r="F6560" s="2">
        <v>0</v>
      </c>
      <c r="H6560">
        <v>0</v>
      </c>
      <c r="I6560">
        <v>0.1741125760648204</v>
      </c>
      <c r="J6560">
        <v>0</v>
      </c>
      <c r="K6560">
        <v>0</v>
      </c>
      <c r="L6560" s="2">
        <v>0</v>
      </c>
      <c r="M6560">
        <v>65.59999999999999</v>
      </c>
      <c r="N6560" t="s">
        <v>10236</v>
      </c>
    </row>
    <row r="6561" spans="1:14">
      <c r="A6561" t="s">
        <v>35</v>
      </c>
      <c r="B6561" t="s">
        <v>6654</v>
      </c>
      <c r="C6561">
        <f>"CC309SVNG"</f>
        <v>0</v>
      </c>
      <c r="D6561">
        <v>0</v>
      </c>
      <c r="E6561">
        <v>1</v>
      </c>
      <c r="F6561" s="2">
        <v>3</v>
      </c>
      <c r="H6561">
        <v>0</v>
      </c>
      <c r="I6561">
        <v>0.1741125760648204</v>
      </c>
      <c r="J6561">
        <v>0</v>
      </c>
      <c r="K6561">
        <v>0</v>
      </c>
      <c r="L6561" s="2">
        <v>0</v>
      </c>
      <c r="M6561">
        <v>65.61</v>
      </c>
      <c r="N6561" t="s">
        <v>10236</v>
      </c>
    </row>
    <row r="6562" spans="1:14">
      <c r="A6562" t="s">
        <v>35</v>
      </c>
      <c r="B6562" t="s">
        <v>6655</v>
      </c>
      <c r="C6562">
        <f>"PQ015"</f>
        <v>0</v>
      </c>
      <c r="D6562">
        <v>0</v>
      </c>
      <c r="E6562">
        <v>16</v>
      </c>
      <c r="F6562" s="2">
        <v>2</v>
      </c>
      <c r="H6562">
        <v>0</v>
      </c>
      <c r="I6562">
        <v>0.1741125760648204</v>
      </c>
      <c r="J6562">
        <v>0</v>
      </c>
      <c r="K6562">
        <v>0</v>
      </c>
      <c r="L6562" s="2">
        <v>0</v>
      </c>
      <c r="M6562">
        <v>65.61</v>
      </c>
      <c r="N6562" t="s">
        <v>10236</v>
      </c>
    </row>
    <row r="6563" spans="1:14">
      <c r="A6563" t="s">
        <v>35</v>
      </c>
      <c r="B6563" t="s">
        <v>6656</v>
      </c>
      <c r="C6563">
        <f>"PQ012"</f>
        <v>0</v>
      </c>
      <c r="D6563">
        <v>0</v>
      </c>
      <c r="E6563">
        <v>0</v>
      </c>
      <c r="F6563" s="2">
        <v>0</v>
      </c>
      <c r="H6563">
        <v>0</v>
      </c>
      <c r="I6563">
        <v>0.1741125760648204</v>
      </c>
      <c r="J6563">
        <v>0</v>
      </c>
      <c r="K6563">
        <v>0</v>
      </c>
      <c r="L6563" s="2">
        <v>0</v>
      </c>
      <c r="M6563">
        <v>65.62</v>
      </c>
      <c r="N6563" t="s">
        <v>10236</v>
      </c>
    </row>
    <row r="6564" spans="1:14">
      <c r="A6564" t="s">
        <v>35</v>
      </c>
      <c r="B6564" t="s">
        <v>6657</v>
      </c>
      <c r="C6564">
        <f>"PQ014"</f>
        <v>0</v>
      </c>
      <c r="D6564">
        <v>0</v>
      </c>
      <c r="E6564">
        <v>0</v>
      </c>
      <c r="F6564" s="2">
        <v>0</v>
      </c>
      <c r="H6564">
        <v>0</v>
      </c>
      <c r="I6564">
        <v>0.1741125760648204</v>
      </c>
      <c r="J6564">
        <v>0</v>
      </c>
      <c r="K6564">
        <v>0</v>
      </c>
      <c r="L6564" s="2">
        <v>0</v>
      </c>
      <c r="M6564">
        <v>65.63</v>
      </c>
      <c r="N6564" t="s">
        <v>10236</v>
      </c>
    </row>
    <row r="6565" spans="1:14">
      <c r="A6565" t="s">
        <v>35</v>
      </c>
      <c r="B6565" t="s">
        <v>6658</v>
      </c>
      <c r="C6565">
        <f>"PQ018"</f>
        <v>0</v>
      </c>
      <c r="D6565">
        <v>0</v>
      </c>
      <c r="E6565">
        <v>0</v>
      </c>
      <c r="F6565" s="2">
        <v>0</v>
      </c>
      <c r="H6565">
        <v>0</v>
      </c>
      <c r="I6565">
        <v>0.1741125760648204</v>
      </c>
      <c r="J6565">
        <v>0</v>
      </c>
      <c r="K6565">
        <v>0</v>
      </c>
      <c r="L6565" s="2">
        <v>0</v>
      </c>
      <c r="M6565">
        <v>65.64</v>
      </c>
      <c r="N6565" t="s">
        <v>10236</v>
      </c>
    </row>
    <row r="6566" spans="1:14">
      <c r="A6566" t="s">
        <v>35</v>
      </c>
      <c r="B6566" t="s">
        <v>6659</v>
      </c>
      <c r="C6566">
        <f>"KLM10"</f>
        <v>0</v>
      </c>
      <c r="D6566">
        <v>0</v>
      </c>
      <c r="E6566">
        <v>0</v>
      </c>
      <c r="F6566" s="2">
        <v>0</v>
      </c>
      <c r="H6566">
        <v>0</v>
      </c>
      <c r="I6566">
        <v>0.1741125760648204</v>
      </c>
      <c r="J6566">
        <v>0</v>
      </c>
      <c r="K6566">
        <v>0</v>
      </c>
      <c r="L6566" s="2">
        <v>0</v>
      </c>
      <c r="M6566">
        <v>65.65000000000001</v>
      </c>
      <c r="N6566" t="s">
        <v>10236</v>
      </c>
    </row>
    <row r="6567" spans="1:14">
      <c r="A6567" t="s">
        <v>35</v>
      </c>
      <c r="B6567" t="s">
        <v>6660</v>
      </c>
      <c r="C6567">
        <f>"19L"</f>
        <v>0</v>
      </c>
      <c r="D6567">
        <v>0</v>
      </c>
      <c r="E6567">
        <v>0</v>
      </c>
      <c r="F6567" s="2">
        <v>0</v>
      </c>
      <c r="H6567">
        <v>0</v>
      </c>
      <c r="I6567">
        <v>0.1741125760648204</v>
      </c>
      <c r="J6567">
        <v>0</v>
      </c>
      <c r="K6567">
        <v>0</v>
      </c>
      <c r="L6567" s="2">
        <v>0</v>
      </c>
      <c r="M6567">
        <v>65.66</v>
      </c>
      <c r="N6567" t="s">
        <v>10236</v>
      </c>
    </row>
    <row r="6568" spans="1:14">
      <c r="A6568" t="s">
        <v>35</v>
      </c>
      <c r="B6568" t="s">
        <v>6661</v>
      </c>
      <c r="C6568">
        <f>"HXC69"</f>
        <v>0</v>
      </c>
      <c r="D6568">
        <v>0</v>
      </c>
      <c r="E6568">
        <v>7</v>
      </c>
      <c r="F6568" s="2">
        <v>1</v>
      </c>
      <c r="H6568">
        <v>0</v>
      </c>
      <c r="I6568">
        <v>0.1741125760648204</v>
      </c>
      <c r="J6568">
        <v>0</v>
      </c>
      <c r="K6568">
        <v>0</v>
      </c>
      <c r="L6568" s="2">
        <v>0</v>
      </c>
      <c r="M6568">
        <v>65.67</v>
      </c>
      <c r="N6568" t="s">
        <v>10236</v>
      </c>
    </row>
    <row r="6569" spans="1:14">
      <c r="A6569" t="s">
        <v>35</v>
      </c>
      <c r="B6569" t="s">
        <v>6662</v>
      </c>
      <c r="C6569">
        <f>"BBT01XLV"</f>
        <v>0</v>
      </c>
      <c r="D6569">
        <v>0</v>
      </c>
      <c r="E6569">
        <v>2</v>
      </c>
      <c r="F6569" s="2">
        <v>4</v>
      </c>
      <c r="H6569">
        <v>0</v>
      </c>
      <c r="I6569">
        <v>0.1741125760648204</v>
      </c>
      <c r="J6569">
        <v>0</v>
      </c>
      <c r="K6569">
        <v>0</v>
      </c>
      <c r="L6569" s="2">
        <v>0</v>
      </c>
      <c r="M6569">
        <v>65.68000000000001</v>
      </c>
      <c r="N6569" t="s">
        <v>10236</v>
      </c>
    </row>
    <row r="6570" spans="1:14">
      <c r="A6570" t="s">
        <v>35</v>
      </c>
      <c r="B6570" t="s">
        <v>6663</v>
      </c>
      <c r="C6570">
        <f>"BBT01XLM"</f>
        <v>0</v>
      </c>
      <c r="D6570">
        <v>0</v>
      </c>
      <c r="E6570">
        <v>0</v>
      </c>
      <c r="F6570" s="2">
        <v>0</v>
      </c>
      <c r="H6570">
        <v>0</v>
      </c>
      <c r="I6570">
        <v>0.1741125760648204</v>
      </c>
      <c r="J6570">
        <v>0</v>
      </c>
      <c r="K6570">
        <v>0</v>
      </c>
      <c r="L6570" s="2">
        <v>0</v>
      </c>
      <c r="M6570">
        <v>65.69</v>
      </c>
      <c r="N6570" t="s">
        <v>10236</v>
      </c>
    </row>
    <row r="6571" spans="1:14">
      <c r="A6571" t="s">
        <v>35</v>
      </c>
      <c r="B6571" t="s">
        <v>6664</v>
      </c>
      <c r="C6571">
        <f>"BBT01XLC"</f>
        <v>0</v>
      </c>
      <c r="D6571">
        <v>0</v>
      </c>
      <c r="E6571">
        <v>0</v>
      </c>
      <c r="F6571" s="2">
        <v>0</v>
      </c>
      <c r="H6571">
        <v>0</v>
      </c>
      <c r="I6571">
        <v>0.1741125760648204</v>
      </c>
      <c r="J6571">
        <v>0</v>
      </c>
      <c r="K6571">
        <v>0</v>
      </c>
      <c r="L6571" s="2">
        <v>0</v>
      </c>
      <c r="M6571">
        <v>65.7</v>
      </c>
      <c r="N6571" t="s">
        <v>10236</v>
      </c>
    </row>
    <row r="6572" spans="1:14">
      <c r="A6572" t="s">
        <v>35</v>
      </c>
      <c r="B6572" t="s">
        <v>6665</v>
      </c>
      <c r="C6572">
        <f>"BBT01MN"</f>
        <v>0</v>
      </c>
      <c r="D6572">
        <v>0</v>
      </c>
      <c r="E6572">
        <v>10</v>
      </c>
      <c r="F6572" s="2">
        <v>4</v>
      </c>
      <c r="H6572">
        <v>0</v>
      </c>
      <c r="I6572">
        <v>0.1741125760648204</v>
      </c>
      <c r="J6572">
        <v>0</v>
      </c>
      <c r="K6572">
        <v>0</v>
      </c>
      <c r="L6572" s="2">
        <v>0</v>
      </c>
      <c r="M6572">
        <v>65.70999999999999</v>
      </c>
      <c r="N6572" t="s">
        <v>10236</v>
      </c>
    </row>
    <row r="6573" spans="1:14">
      <c r="A6573" t="s">
        <v>35</v>
      </c>
      <c r="B6573" t="s">
        <v>6666</v>
      </c>
      <c r="C6573">
        <f>"BBT01MM"</f>
        <v>0</v>
      </c>
      <c r="D6573">
        <v>0</v>
      </c>
      <c r="E6573">
        <v>8</v>
      </c>
      <c r="F6573" s="2">
        <v>4</v>
      </c>
      <c r="H6573">
        <v>0</v>
      </c>
      <c r="I6573">
        <v>0.1741125760648204</v>
      </c>
      <c r="J6573">
        <v>0</v>
      </c>
      <c r="K6573">
        <v>0</v>
      </c>
      <c r="L6573" s="2">
        <v>0</v>
      </c>
      <c r="M6573">
        <v>65.72</v>
      </c>
      <c r="N6573" t="s">
        <v>10236</v>
      </c>
    </row>
    <row r="6574" spans="1:14">
      <c r="A6574" t="s">
        <v>35</v>
      </c>
      <c r="B6574" t="s">
        <v>6667</v>
      </c>
      <c r="C6574">
        <f>"BBT01LV"</f>
        <v>0</v>
      </c>
      <c r="D6574">
        <v>0</v>
      </c>
      <c r="E6574">
        <v>0</v>
      </c>
      <c r="F6574" s="2">
        <v>0</v>
      </c>
      <c r="H6574">
        <v>0</v>
      </c>
      <c r="I6574">
        <v>0.1741125760648204</v>
      </c>
      <c r="J6574">
        <v>0</v>
      </c>
      <c r="K6574">
        <v>0</v>
      </c>
      <c r="L6574" s="2">
        <v>0</v>
      </c>
      <c r="M6574">
        <v>65.72</v>
      </c>
      <c r="N6574" t="s">
        <v>10236</v>
      </c>
    </row>
    <row r="6575" spans="1:14">
      <c r="A6575" t="s">
        <v>35</v>
      </c>
      <c r="B6575" t="s">
        <v>6668</v>
      </c>
      <c r="C6575">
        <f>"BBT01LM"</f>
        <v>0</v>
      </c>
      <c r="D6575">
        <v>0</v>
      </c>
      <c r="E6575">
        <v>0</v>
      </c>
      <c r="F6575" s="2">
        <v>0</v>
      </c>
      <c r="H6575">
        <v>0</v>
      </c>
      <c r="I6575">
        <v>0.1741125760648204</v>
      </c>
      <c r="J6575">
        <v>0</v>
      </c>
      <c r="K6575">
        <v>0</v>
      </c>
      <c r="L6575" s="2">
        <v>0</v>
      </c>
      <c r="M6575">
        <v>65.73</v>
      </c>
      <c r="N6575" t="s">
        <v>10236</v>
      </c>
    </row>
    <row r="6576" spans="1:14">
      <c r="A6576" t="s">
        <v>35</v>
      </c>
      <c r="B6576" t="s">
        <v>6669</v>
      </c>
      <c r="C6576">
        <f>"PQ020"</f>
        <v>0</v>
      </c>
      <c r="D6576">
        <v>0</v>
      </c>
      <c r="E6576">
        <v>0</v>
      </c>
      <c r="F6576" s="2">
        <v>0</v>
      </c>
      <c r="H6576">
        <v>0</v>
      </c>
      <c r="I6576">
        <v>0.1741125760648204</v>
      </c>
      <c r="J6576">
        <v>0</v>
      </c>
      <c r="K6576">
        <v>0</v>
      </c>
      <c r="L6576" s="2">
        <v>0</v>
      </c>
      <c r="M6576">
        <v>65.73999999999999</v>
      </c>
      <c r="N6576" t="s">
        <v>10236</v>
      </c>
    </row>
    <row r="6577" spans="1:14">
      <c r="A6577" t="s">
        <v>35</v>
      </c>
      <c r="B6577" t="s">
        <v>6670</v>
      </c>
      <c r="C6577">
        <f>"4000753"</f>
        <v>0</v>
      </c>
      <c r="D6577">
        <v>0</v>
      </c>
      <c r="E6577">
        <v>0</v>
      </c>
      <c r="F6577" s="2">
        <v>0</v>
      </c>
      <c r="H6577">
        <v>0</v>
      </c>
      <c r="I6577">
        <v>0.1741125760648204</v>
      </c>
      <c r="J6577">
        <v>0</v>
      </c>
      <c r="K6577">
        <v>0</v>
      </c>
      <c r="L6577" s="2">
        <v>0</v>
      </c>
      <c r="M6577">
        <v>65.75</v>
      </c>
      <c r="N6577" t="s">
        <v>10236</v>
      </c>
    </row>
    <row r="6578" spans="1:14">
      <c r="A6578" t="s">
        <v>35</v>
      </c>
      <c r="B6578" t="s">
        <v>6671</v>
      </c>
      <c r="C6578">
        <f>"4000999"</f>
        <v>0</v>
      </c>
      <c r="D6578">
        <v>0</v>
      </c>
      <c r="E6578">
        <v>1</v>
      </c>
      <c r="F6578" s="2">
        <v>0</v>
      </c>
      <c r="H6578">
        <v>0</v>
      </c>
      <c r="I6578">
        <v>0.1741125760648204</v>
      </c>
      <c r="J6578">
        <v>0</v>
      </c>
      <c r="K6578">
        <v>0</v>
      </c>
      <c r="L6578" s="2">
        <v>0</v>
      </c>
      <c r="M6578">
        <v>65.76000000000001</v>
      </c>
      <c r="N6578" t="s">
        <v>10236</v>
      </c>
    </row>
    <row r="6579" spans="1:14">
      <c r="A6579" t="s">
        <v>35</v>
      </c>
      <c r="B6579" t="s">
        <v>6672</v>
      </c>
      <c r="C6579">
        <f>"4000586"</f>
        <v>0</v>
      </c>
      <c r="D6579">
        <v>0</v>
      </c>
      <c r="E6579">
        <v>2</v>
      </c>
      <c r="F6579" s="2">
        <v>2</v>
      </c>
      <c r="H6579">
        <v>0</v>
      </c>
      <c r="I6579">
        <v>0.1741125760648204</v>
      </c>
      <c r="J6579">
        <v>0</v>
      </c>
      <c r="K6579">
        <v>0</v>
      </c>
      <c r="L6579" s="2">
        <v>0</v>
      </c>
      <c r="M6579">
        <v>65.77</v>
      </c>
      <c r="N6579" t="s">
        <v>10236</v>
      </c>
    </row>
    <row r="6580" spans="1:14">
      <c r="A6580" t="s">
        <v>35</v>
      </c>
      <c r="B6580" t="s">
        <v>6673</v>
      </c>
      <c r="C6580">
        <f>"4000579"</f>
        <v>0</v>
      </c>
      <c r="D6580">
        <v>0</v>
      </c>
      <c r="E6580">
        <v>1</v>
      </c>
      <c r="F6580" s="2">
        <v>0</v>
      </c>
      <c r="H6580">
        <v>0</v>
      </c>
      <c r="I6580">
        <v>0.1741125760648204</v>
      </c>
      <c r="J6580">
        <v>0</v>
      </c>
      <c r="K6580">
        <v>0</v>
      </c>
      <c r="L6580" s="2">
        <v>0</v>
      </c>
      <c r="M6580">
        <v>65.78</v>
      </c>
      <c r="N6580" t="s">
        <v>10236</v>
      </c>
    </row>
    <row r="6581" spans="1:14">
      <c r="A6581" t="s">
        <v>35</v>
      </c>
      <c r="B6581" t="s">
        <v>6674</v>
      </c>
      <c r="C6581">
        <f>"CLL1"</f>
        <v>0</v>
      </c>
      <c r="D6581">
        <v>0</v>
      </c>
      <c r="E6581">
        <v>19</v>
      </c>
      <c r="F6581" s="2">
        <v>1</v>
      </c>
      <c r="H6581">
        <v>0</v>
      </c>
      <c r="I6581">
        <v>0.1741125760648204</v>
      </c>
      <c r="J6581">
        <v>0</v>
      </c>
      <c r="K6581">
        <v>0</v>
      </c>
      <c r="L6581" s="2">
        <v>0</v>
      </c>
      <c r="M6581">
        <v>65.79000000000001</v>
      </c>
      <c r="N6581" t="s">
        <v>10236</v>
      </c>
    </row>
    <row r="6582" spans="1:14">
      <c r="A6582" t="s">
        <v>35</v>
      </c>
      <c r="B6582" t="s">
        <v>6675</v>
      </c>
      <c r="C6582">
        <f>"4000715"</f>
        <v>0</v>
      </c>
      <c r="D6582">
        <v>0</v>
      </c>
      <c r="E6582">
        <v>1</v>
      </c>
      <c r="F6582" s="2">
        <v>0</v>
      </c>
      <c r="H6582">
        <v>0</v>
      </c>
      <c r="I6582">
        <v>0.1741125760648204</v>
      </c>
      <c r="J6582">
        <v>0</v>
      </c>
      <c r="K6582">
        <v>0</v>
      </c>
      <c r="L6582" s="2">
        <v>0</v>
      </c>
      <c r="M6582">
        <v>65.8</v>
      </c>
      <c r="N6582" t="s">
        <v>10236</v>
      </c>
    </row>
    <row r="6583" spans="1:14">
      <c r="A6583" t="s">
        <v>35</v>
      </c>
      <c r="B6583" t="s">
        <v>6676</v>
      </c>
      <c r="C6583">
        <f>"4000463"</f>
        <v>0</v>
      </c>
      <c r="D6583">
        <v>0</v>
      </c>
      <c r="E6583">
        <v>0</v>
      </c>
      <c r="F6583" s="2">
        <v>0</v>
      </c>
      <c r="H6583">
        <v>0</v>
      </c>
      <c r="I6583">
        <v>0.1741125760648204</v>
      </c>
      <c r="J6583">
        <v>0</v>
      </c>
      <c r="K6583">
        <v>0</v>
      </c>
      <c r="L6583" s="2">
        <v>0</v>
      </c>
      <c r="M6583">
        <v>65.81</v>
      </c>
      <c r="N6583" t="s">
        <v>10236</v>
      </c>
    </row>
    <row r="6584" spans="1:14">
      <c r="A6584" t="s">
        <v>35</v>
      </c>
      <c r="B6584" t="s">
        <v>6677</v>
      </c>
      <c r="C6584">
        <f>"4000456"</f>
        <v>0</v>
      </c>
      <c r="D6584">
        <v>0</v>
      </c>
      <c r="E6584">
        <v>0</v>
      </c>
      <c r="F6584" s="2">
        <v>0</v>
      </c>
      <c r="H6584">
        <v>0</v>
      </c>
      <c r="I6584">
        <v>0.1741125760648204</v>
      </c>
      <c r="J6584">
        <v>0</v>
      </c>
      <c r="K6584">
        <v>0</v>
      </c>
      <c r="L6584" s="2">
        <v>0</v>
      </c>
      <c r="M6584">
        <v>65.81999999999999</v>
      </c>
      <c r="N6584" t="s">
        <v>10236</v>
      </c>
    </row>
    <row r="6585" spans="1:14">
      <c r="A6585" t="s">
        <v>35</v>
      </c>
      <c r="B6585" t="s">
        <v>6678</v>
      </c>
      <c r="C6585">
        <f>"4000449"</f>
        <v>0</v>
      </c>
      <c r="D6585">
        <v>0</v>
      </c>
      <c r="E6585">
        <v>0</v>
      </c>
      <c r="F6585" s="2">
        <v>0</v>
      </c>
      <c r="H6585">
        <v>0</v>
      </c>
      <c r="I6585">
        <v>0.1741125760648204</v>
      </c>
      <c r="J6585">
        <v>0</v>
      </c>
      <c r="K6585">
        <v>0</v>
      </c>
      <c r="L6585" s="2">
        <v>0</v>
      </c>
      <c r="M6585">
        <v>65.83</v>
      </c>
      <c r="N6585" t="s">
        <v>10236</v>
      </c>
    </row>
    <row r="6586" spans="1:14">
      <c r="A6586" t="s">
        <v>35</v>
      </c>
      <c r="B6586" t="s">
        <v>6679</v>
      </c>
      <c r="C6586">
        <f>"8000084"</f>
        <v>0</v>
      </c>
      <c r="D6586">
        <v>0</v>
      </c>
      <c r="E6586">
        <v>0</v>
      </c>
      <c r="F6586" s="2">
        <v>0</v>
      </c>
      <c r="H6586">
        <v>0</v>
      </c>
      <c r="I6586">
        <v>0.1741125760648204</v>
      </c>
      <c r="J6586">
        <v>0</v>
      </c>
      <c r="K6586">
        <v>0</v>
      </c>
      <c r="L6586" s="2">
        <v>0</v>
      </c>
      <c r="M6586">
        <v>65.84</v>
      </c>
      <c r="N6586" t="s">
        <v>10236</v>
      </c>
    </row>
    <row r="6587" spans="1:14">
      <c r="A6587" t="s">
        <v>35</v>
      </c>
      <c r="B6587" t="s">
        <v>6680</v>
      </c>
      <c r="C6587">
        <f>"4000432"</f>
        <v>0</v>
      </c>
      <c r="D6587">
        <v>0</v>
      </c>
      <c r="E6587">
        <v>0</v>
      </c>
      <c r="F6587" s="2">
        <v>0</v>
      </c>
      <c r="H6587">
        <v>0</v>
      </c>
      <c r="I6587">
        <v>0.1741125760648204</v>
      </c>
      <c r="J6587">
        <v>0</v>
      </c>
      <c r="K6587">
        <v>0</v>
      </c>
      <c r="L6587" s="2">
        <v>0</v>
      </c>
      <c r="M6587">
        <v>65.84</v>
      </c>
      <c r="N6587" t="s">
        <v>10236</v>
      </c>
    </row>
    <row r="6588" spans="1:14">
      <c r="A6588" t="s">
        <v>35</v>
      </c>
      <c r="B6588" t="s">
        <v>6681</v>
      </c>
      <c r="C6588">
        <f>"JW5041SN"</f>
        <v>0</v>
      </c>
      <c r="D6588">
        <v>0</v>
      </c>
      <c r="E6588">
        <v>2</v>
      </c>
      <c r="F6588" s="2">
        <v>0</v>
      </c>
      <c r="H6588">
        <v>0</v>
      </c>
      <c r="I6588">
        <v>0.1741125760648204</v>
      </c>
      <c r="J6588">
        <v>0</v>
      </c>
      <c r="K6588">
        <v>0</v>
      </c>
      <c r="L6588" s="2">
        <v>0</v>
      </c>
      <c r="M6588">
        <v>65.84999999999999</v>
      </c>
      <c r="N6588" t="s">
        <v>10236</v>
      </c>
    </row>
    <row r="6589" spans="1:14">
      <c r="A6589" t="s">
        <v>35</v>
      </c>
      <c r="B6589" t="s">
        <v>6682</v>
      </c>
      <c r="C6589">
        <f>"4000425"</f>
        <v>0</v>
      </c>
      <c r="D6589">
        <v>0</v>
      </c>
      <c r="E6589">
        <v>0</v>
      </c>
      <c r="F6589" s="2">
        <v>0</v>
      </c>
      <c r="H6589">
        <v>0</v>
      </c>
      <c r="I6589">
        <v>0.1741125760648204</v>
      </c>
      <c r="J6589">
        <v>0</v>
      </c>
      <c r="K6589">
        <v>0</v>
      </c>
      <c r="L6589" s="2">
        <v>0</v>
      </c>
      <c r="M6589">
        <v>65.86</v>
      </c>
      <c r="N6589" t="s">
        <v>10236</v>
      </c>
    </row>
    <row r="6590" spans="1:14">
      <c r="A6590" t="s">
        <v>35</v>
      </c>
      <c r="B6590" t="s">
        <v>6683</v>
      </c>
      <c r="C6590">
        <f>"4000418"</f>
        <v>0</v>
      </c>
      <c r="D6590">
        <v>0</v>
      </c>
      <c r="E6590">
        <v>1</v>
      </c>
      <c r="F6590" s="2">
        <v>2</v>
      </c>
      <c r="H6590">
        <v>0</v>
      </c>
      <c r="I6590">
        <v>0.1741125760648204</v>
      </c>
      <c r="J6590">
        <v>0</v>
      </c>
      <c r="K6590">
        <v>0</v>
      </c>
      <c r="L6590" s="2">
        <v>0</v>
      </c>
      <c r="M6590">
        <v>65.87</v>
      </c>
      <c r="N6590" t="s">
        <v>10236</v>
      </c>
    </row>
    <row r="6591" spans="1:14">
      <c r="A6591" t="s">
        <v>35</v>
      </c>
      <c r="B6591" t="s">
        <v>6684</v>
      </c>
      <c r="C6591">
        <f>"XQ22SMO"</f>
        <v>0</v>
      </c>
      <c r="D6591">
        <v>0</v>
      </c>
      <c r="E6591">
        <v>1</v>
      </c>
      <c r="F6591" s="2">
        <v>3</v>
      </c>
      <c r="H6591">
        <v>0</v>
      </c>
      <c r="I6591">
        <v>0.1741125760648204</v>
      </c>
      <c r="J6591">
        <v>0</v>
      </c>
      <c r="K6591">
        <v>0</v>
      </c>
      <c r="L6591" s="2">
        <v>0</v>
      </c>
      <c r="M6591">
        <v>65.88</v>
      </c>
      <c r="N6591" t="s">
        <v>10236</v>
      </c>
    </row>
    <row r="6592" spans="1:14">
      <c r="A6592" t="s">
        <v>35</v>
      </c>
      <c r="B6592" t="s">
        <v>6685</v>
      </c>
      <c r="C6592">
        <f>"4000470"</f>
        <v>0</v>
      </c>
      <c r="D6592">
        <v>0</v>
      </c>
      <c r="E6592">
        <v>1</v>
      </c>
      <c r="F6592" s="2">
        <v>0</v>
      </c>
      <c r="H6592">
        <v>0</v>
      </c>
      <c r="I6592">
        <v>0.1741125760648204</v>
      </c>
      <c r="J6592">
        <v>0</v>
      </c>
      <c r="K6592">
        <v>0</v>
      </c>
      <c r="L6592" s="2">
        <v>0</v>
      </c>
      <c r="M6592">
        <v>65.89</v>
      </c>
      <c r="N6592" t="s">
        <v>10236</v>
      </c>
    </row>
    <row r="6593" spans="1:14">
      <c r="A6593" t="s">
        <v>35</v>
      </c>
      <c r="B6593" t="s">
        <v>6686</v>
      </c>
      <c r="C6593">
        <f>"4000562"</f>
        <v>0</v>
      </c>
      <c r="D6593">
        <v>0</v>
      </c>
      <c r="E6593">
        <v>1</v>
      </c>
      <c r="F6593" s="2">
        <v>6</v>
      </c>
      <c r="H6593">
        <v>0</v>
      </c>
      <c r="I6593">
        <v>0.1741125760648204</v>
      </c>
      <c r="J6593">
        <v>0</v>
      </c>
      <c r="K6593">
        <v>0</v>
      </c>
      <c r="L6593" s="2">
        <v>0</v>
      </c>
      <c r="M6593">
        <v>65.90000000000001</v>
      </c>
      <c r="N6593" t="s">
        <v>10236</v>
      </c>
    </row>
    <row r="6594" spans="1:14">
      <c r="A6594" t="s">
        <v>35</v>
      </c>
      <c r="B6594" t="s">
        <v>6687</v>
      </c>
      <c r="C6594">
        <f>"CL359XS"</f>
        <v>0</v>
      </c>
      <c r="D6594">
        <v>0</v>
      </c>
      <c r="E6594">
        <v>6</v>
      </c>
      <c r="F6594" s="2">
        <v>3</v>
      </c>
      <c r="H6594">
        <v>0</v>
      </c>
      <c r="I6594">
        <v>0.1741125760648204</v>
      </c>
      <c r="J6594">
        <v>0</v>
      </c>
      <c r="K6594">
        <v>0</v>
      </c>
      <c r="L6594" s="2">
        <v>0</v>
      </c>
      <c r="M6594">
        <v>65.91</v>
      </c>
      <c r="N6594" t="s">
        <v>10236</v>
      </c>
    </row>
    <row r="6595" spans="1:14">
      <c r="A6595" t="s">
        <v>35</v>
      </c>
      <c r="B6595" t="s">
        <v>6688</v>
      </c>
      <c r="C6595">
        <f>"CL359S"</f>
        <v>0</v>
      </c>
      <c r="D6595">
        <v>0</v>
      </c>
      <c r="E6595">
        <v>11</v>
      </c>
      <c r="F6595" s="2">
        <v>3</v>
      </c>
      <c r="H6595">
        <v>0</v>
      </c>
      <c r="I6595">
        <v>0.1741125760648204</v>
      </c>
      <c r="J6595">
        <v>0</v>
      </c>
      <c r="K6595">
        <v>0</v>
      </c>
      <c r="L6595" s="2">
        <v>0</v>
      </c>
      <c r="M6595">
        <v>65.92</v>
      </c>
      <c r="N6595" t="s">
        <v>10236</v>
      </c>
    </row>
    <row r="6596" spans="1:14">
      <c r="A6596" t="s">
        <v>35</v>
      </c>
      <c r="B6596" t="s">
        <v>6689</v>
      </c>
      <c r="C6596">
        <f>"CL359M"</f>
        <v>0</v>
      </c>
      <c r="D6596">
        <v>0</v>
      </c>
      <c r="E6596">
        <v>11</v>
      </c>
      <c r="F6596" s="2">
        <v>4</v>
      </c>
      <c r="H6596">
        <v>0</v>
      </c>
      <c r="I6596">
        <v>0.1741125760648204</v>
      </c>
      <c r="J6596">
        <v>0</v>
      </c>
      <c r="K6596">
        <v>0</v>
      </c>
      <c r="L6596" s="2">
        <v>0</v>
      </c>
      <c r="M6596">
        <v>65.93000000000001</v>
      </c>
      <c r="N6596" t="s">
        <v>10236</v>
      </c>
    </row>
    <row r="6597" spans="1:14">
      <c r="A6597" t="s">
        <v>35</v>
      </c>
      <c r="B6597" t="s">
        <v>6690</v>
      </c>
      <c r="C6597">
        <f>"CL359L"</f>
        <v>0</v>
      </c>
      <c r="D6597">
        <v>0</v>
      </c>
      <c r="E6597">
        <v>8</v>
      </c>
      <c r="F6597" s="2">
        <v>5</v>
      </c>
      <c r="H6597">
        <v>0</v>
      </c>
      <c r="I6597">
        <v>0.1741125760648204</v>
      </c>
      <c r="J6597">
        <v>0</v>
      </c>
      <c r="K6597">
        <v>0</v>
      </c>
      <c r="L6597" s="2">
        <v>0</v>
      </c>
      <c r="M6597">
        <v>65.94</v>
      </c>
      <c r="N6597" t="s">
        <v>10236</v>
      </c>
    </row>
    <row r="6598" spans="1:14">
      <c r="A6598" t="s">
        <v>35</v>
      </c>
      <c r="B6598" t="s">
        <v>6691</v>
      </c>
      <c r="C6598">
        <f>"142214"</f>
        <v>0</v>
      </c>
      <c r="D6598">
        <v>0</v>
      </c>
      <c r="E6598">
        <v>0</v>
      </c>
      <c r="F6598" s="2">
        <v>0</v>
      </c>
      <c r="H6598">
        <v>0</v>
      </c>
      <c r="I6598">
        <v>0.1741125760648204</v>
      </c>
      <c r="J6598">
        <v>0</v>
      </c>
      <c r="K6598">
        <v>0</v>
      </c>
      <c r="L6598" s="2">
        <v>0</v>
      </c>
      <c r="M6598">
        <v>65.95</v>
      </c>
      <c r="N6598" t="s">
        <v>10236</v>
      </c>
    </row>
    <row r="6599" spans="1:14">
      <c r="A6599" t="s">
        <v>35</v>
      </c>
      <c r="B6599" t="s">
        <v>6692</v>
      </c>
      <c r="C6599">
        <f>"142213"</f>
        <v>0</v>
      </c>
      <c r="D6599">
        <v>0</v>
      </c>
      <c r="E6599">
        <v>0</v>
      </c>
      <c r="F6599" s="2">
        <v>0</v>
      </c>
      <c r="H6599">
        <v>0</v>
      </c>
      <c r="I6599">
        <v>0.1741125760648204</v>
      </c>
      <c r="J6599">
        <v>0</v>
      </c>
      <c r="K6599">
        <v>0</v>
      </c>
      <c r="L6599" s="2">
        <v>0</v>
      </c>
      <c r="M6599">
        <v>65.95999999999999</v>
      </c>
      <c r="N6599" t="s">
        <v>10236</v>
      </c>
    </row>
    <row r="6600" spans="1:14">
      <c r="A6600" t="s">
        <v>35</v>
      </c>
      <c r="B6600" t="s">
        <v>6693</v>
      </c>
      <c r="C6600">
        <f>"142212"</f>
        <v>0</v>
      </c>
      <c r="D6600">
        <v>0</v>
      </c>
      <c r="E6600">
        <v>0</v>
      </c>
      <c r="F6600" s="2">
        <v>0</v>
      </c>
      <c r="H6600">
        <v>0</v>
      </c>
      <c r="I6600">
        <v>0.1741125760648204</v>
      </c>
      <c r="J6600">
        <v>0</v>
      </c>
      <c r="K6600">
        <v>0</v>
      </c>
      <c r="L6600" s="2">
        <v>0</v>
      </c>
      <c r="M6600">
        <v>65.95999999999999</v>
      </c>
      <c r="N6600" t="s">
        <v>10236</v>
      </c>
    </row>
    <row r="6601" spans="1:14">
      <c r="A6601" t="s">
        <v>35</v>
      </c>
      <c r="B6601" t="s">
        <v>6694</v>
      </c>
      <c r="C6601">
        <f>"DX031SR"</f>
        <v>0</v>
      </c>
      <c r="D6601">
        <v>0</v>
      </c>
      <c r="E6601">
        <v>0</v>
      </c>
      <c r="F6601" s="2">
        <v>0</v>
      </c>
      <c r="H6601">
        <v>0</v>
      </c>
      <c r="I6601">
        <v>0.1741125760648204</v>
      </c>
      <c r="J6601">
        <v>0</v>
      </c>
      <c r="K6601">
        <v>0</v>
      </c>
      <c r="L6601" s="2">
        <v>0</v>
      </c>
      <c r="M6601">
        <v>65.97</v>
      </c>
      <c r="N6601" t="s">
        <v>10236</v>
      </c>
    </row>
    <row r="6602" spans="1:14">
      <c r="A6602" t="s">
        <v>35</v>
      </c>
      <c r="B6602" t="s">
        <v>6695</v>
      </c>
      <c r="C6602">
        <f>"DX031SRJ"</f>
        <v>0</v>
      </c>
      <c r="D6602">
        <v>0</v>
      </c>
      <c r="E6602">
        <v>0</v>
      </c>
      <c r="F6602" s="2">
        <v>0</v>
      </c>
      <c r="H6602">
        <v>0</v>
      </c>
      <c r="I6602">
        <v>0.1741125760648204</v>
      </c>
      <c r="J6602">
        <v>0</v>
      </c>
      <c r="K6602">
        <v>0</v>
      </c>
      <c r="L6602" s="2">
        <v>0</v>
      </c>
      <c r="M6602">
        <v>65.98</v>
      </c>
      <c r="N6602" t="s">
        <v>10236</v>
      </c>
    </row>
    <row r="6603" spans="1:14">
      <c r="A6603" t="s">
        <v>35</v>
      </c>
      <c r="B6603" t="s">
        <v>6696</v>
      </c>
      <c r="C6603">
        <f>"LX1530"</f>
        <v>0</v>
      </c>
      <c r="D6603">
        <v>0</v>
      </c>
      <c r="E6603">
        <v>0</v>
      </c>
      <c r="F6603" s="2">
        <v>0</v>
      </c>
      <c r="H6603">
        <v>0</v>
      </c>
      <c r="I6603">
        <v>0.1741125760648204</v>
      </c>
      <c r="J6603">
        <v>0</v>
      </c>
      <c r="K6603">
        <v>0</v>
      </c>
      <c r="L6603" s="2">
        <v>0</v>
      </c>
      <c r="M6603">
        <v>65.98999999999999</v>
      </c>
      <c r="N6603" t="s">
        <v>10236</v>
      </c>
    </row>
    <row r="6604" spans="1:14">
      <c r="A6604" t="s">
        <v>35</v>
      </c>
      <c r="B6604" t="s">
        <v>6697</v>
      </c>
      <c r="C6604">
        <f>"1761CXLROJ"</f>
        <v>0</v>
      </c>
      <c r="D6604">
        <v>0</v>
      </c>
      <c r="E6604">
        <v>1</v>
      </c>
      <c r="F6604" s="2">
        <v>3</v>
      </c>
      <c r="H6604">
        <v>0</v>
      </c>
      <c r="I6604">
        <v>0.1741125760648204</v>
      </c>
      <c r="J6604">
        <v>0</v>
      </c>
      <c r="K6604">
        <v>0</v>
      </c>
      <c r="L6604" s="2">
        <v>0</v>
      </c>
      <c r="M6604">
        <v>66</v>
      </c>
      <c r="N6604" t="s">
        <v>10236</v>
      </c>
    </row>
    <row r="6605" spans="1:14">
      <c r="A6605" t="s">
        <v>35</v>
      </c>
      <c r="B6605" t="s">
        <v>6698</v>
      </c>
      <c r="C6605">
        <f>"1761CCELESTEXL"</f>
        <v>0</v>
      </c>
      <c r="D6605">
        <v>0</v>
      </c>
      <c r="E6605">
        <v>2</v>
      </c>
      <c r="F6605" s="2">
        <v>3</v>
      </c>
      <c r="H6605">
        <v>0</v>
      </c>
      <c r="I6605">
        <v>0.1741125760648204</v>
      </c>
      <c r="J6605">
        <v>0</v>
      </c>
      <c r="K6605">
        <v>0</v>
      </c>
      <c r="L6605" s="2">
        <v>0</v>
      </c>
      <c r="M6605">
        <v>66.01000000000001</v>
      </c>
      <c r="N6605" t="s">
        <v>10236</v>
      </c>
    </row>
    <row r="6606" spans="1:14">
      <c r="A6606" t="s">
        <v>35</v>
      </c>
      <c r="B6606" t="s">
        <v>6699</v>
      </c>
      <c r="C6606">
        <f>"200000067"</f>
        <v>0</v>
      </c>
      <c r="D6606">
        <v>0</v>
      </c>
      <c r="E6606">
        <v>1</v>
      </c>
      <c r="F6606" s="2">
        <v>0</v>
      </c>
      <c r="H6606">
        <v>0</v>
      </c>
      <c r="I6606">
        <v>0.1741125760648204</v>
      </c>
      <c r="J6606">
        <v>0</v>
      </c>
      <c r="K6606">
        <v>0</v>
      </c>
      <c r="L6606" s="2">
        <v>0</v>
      </c>
      <c r="M6606">
        <v>66.02</v>
      </c>
      <c r="N6606" t="s">
        <v>10236</v>
      </c>
    </row>
    <row r="6607" spans="1:14">
      <c r="A6607" t="s">
        <v>35</v>
      </c>
      <c r="B6607" t="s">
        <v>6700</v>
      </c>
      <c r="C6607">
        <f>"KX4129"</f>
        <v>0</v>
      </c>
      <c r="D6607">
        <v>0</v>
      </c>
      <c r="E6607">
        <v>0</v>
      </c>
      <c r="F6607" s="2">
        <v>0</v>
      </c>
      <c r="H6607">
        <v>0</v>
      </c>
      <c r="I6607">
        <v>0.1741125760648204</v>
      </c>
      <c r="J6607">
        <v>0</v>
      </c>
      <c r="K6607">
        <v>0</v>
      </c>
      <c r="L6607" s="2">
        <v>0</v>
      </c>
      <c r="M6607">
        <v>66.03</v>
      </c>
      <c r="N6607" t="s">
        <v>10236</v>
      </c>
    </row>
    <row r="6608" spans="1:14">
      <c r="A6608" t="s">
        <v>35</v>
      </c>
      <c r="B6608" t="s">
        <v>6701</v>
      </c>
      <c r="C6608">
        <f>"KX4128"</f>
        <v>0</v>
      </c>
      <c r="D6608">
        <v>0</v>
      </c>
      <c r="E6608">
        <v>0</v>
      </c>
      <c r="F6608" s="2">
        <v>0</v>
      </c>
      <c r="H6608">
        <v>0</v>
      </c>
      <c r="I6608">
        <v>0.1741125760648204</v>
      </c>
      <c r="J6608">
        <v>0</v>
      </c>
      <c r="K6608">
        <v>0</v>
      </c>
      <c r="L6608" s="2">
        <v>0</v>
      </c>
      <c r="M6608">
        <v>66.04000000000001</v>
      </c>
      <c r="N6608" t="s">
        <v>10236</v>
      </c>
    </row>
    <row r="6609" spans="1:14">
      <c r="A6609" t="s">
        <v>35</v>
      </c>
      <c r="B6609" t="s">
        <v>6702</v>
      </c>
      <c r="C6609">
        <f>"win24"</f>
        <v>0</v>
      </c>
      <c r="D6609">
        <v>0</v>
      </c>
      <c r="E6609">
        <v>0</v>
      </c>
      <c r="F6609" s="2">
        <v>0</v>
      </c>
      <c r="H6609">
        <v>0</v>
      </c>
      <c r="I6609">
        <v>0.1741125760648204</v>
      </c>
      <c r="J6609">
        <v>0</v>
      </c>
      <c r="K6609">
        <v>0</v>
      </c>
      <c r="L6609" s="2">
        <v>0</v>
      </c>
      <c r="M6609">
        <v>66.05</v>
      </c>
      <c r="N6609" t="s">
        <v>10236</v>
      </c>
    </row>
    <row r="6610" spans="1:14">
      <c r="A6610" t="s">
        <v>35</v>
      </c>
      <c r="B6610" t="s">
        <v>6703</v>
      </c>
      <c r="C6610">
        <f>"win23"</f>
        <v>0</v>
      </c>
      <c r="D6610">
        <v>0</v>
      </c>
      <c r="E6610">
        <v>0</v>
      </c>
      <c r="F6610" s="2">
        <v>0</v>
      </c>
      <c r="H6610">
        <v>0</v>
      </c>
      <c r="I6610">
        <v>0.1741125760648204</v>
      </c>
      <c r="J6610">
        <v>0</v>
      </c>
      <c r="K6610">
        <v>0</v>
      </c>
      <c r="L6610" s="2">
        <v>0</v>
      </c>
      <c r="M6610">
        <v>66.06</v>
      </c>
      <c r="N6610" t="s">
        <v>10236</v>
      </c>
    </row>
    <row r="6611" spans="1:14">
      <c r="A6611" t="s">
        <v>35</v>
      </c>
      <c r="B6611" t="s">
        <v>6704</v>
      </c>
      <c r="C6611">
        <f>"WIN23VE"</f>
        <v>0</v>
      </c>
      <c r="D6611">
        <v>0</v>
      </c>
      <c r="E6611">
        <v>0</v>
      </c>
      <c r="F6611" s="2">
        <v>0</v>
      </c>
      <c r="H6611">
        <v>0</v>
      </c>
      <c r="I6611">
        <v>0.1741125760648204</v>
      </c>
      <c r="J6611">
        <v>0</v>
      </c>
      <c r="K6611">
        <v>0</v>
      </c>
      <c r="L6611" s="2">
        <v>0</v>
      </c>
      <c r="M6611">
        <v>66.06999999999999</v>
      </c>
      <c r="N6611" t="s">
        <v>10236</v>
      </c>
    </row>
    <row r="6612" spans="1:14">
      <c r="A6612" t="s">
        <v>35</v>
      </c>
      <c r="B6612" t="s">
        <v>6705</v>
      </c>
      <c r="C6612">
        <f>"WIN23ROS"</f>
        <v>0</v>
      </c>
      <c r="D6612">
        <v>0</v>
      </c>
      <c r="E6612">
        <v>0</v>
      </c>
      <c r="F6612" s="2">
        <v>0</v>
      </c>
      <c r="H6612">
        <v>0</v>
      </c>
      <c r="I6612">
        <v>0.1741125760648204</v>
      </c>
      <c r="J6612">
        <v>0</v>
      </c>
      <c r="K6612">
        <v>0</v>
      </c>
      <c r="L6612" s="2">
        <v>0</v>
      </c>
      <c r="M6612">
        <v>66.08</v>
      </c>
      <c r="N6612" t="s">
        <v>10236</v>
      </c>
    </row>
    <row r="6613" spans="1:14">
      <c r="A6613" t="s">
        <v>35</v>
      </c>
      <c r="B6613" t="s">
        <v>6706</v>
      </c>
      <c r="C6613">
        <f>"WIN23ROJ"</f>
        <v>0</v>
      </c>
      <c r="D6613">
        <v>0</v>
      </c>
      <c r="E6613">
        <v>0</v>
      </c>
      <c r="F6613" s="2">
        <v>0</v>
      </c>
      <c r="H6613">
        <v>0</v>
      </c>
      <c r="I6613">
        <v>0.1741125760648204</v>
      </c>
      <c r="J6613">
        <v>0</v>
      </c>
      <c r="K6613">
        <v>0</v>
      </c>
      <c r="L6613" s="2">
        <v>0</v>
      </c>
      <c r="M6613">
        <v>66.08</v>
      </c>
      <c r="N6613" t="s">
        <v>10236</v>
      </c>
    </row>
    <row r="6614" spans="1:14">
      <c r="A6614" t="s">
        <v>35</v>
      </c>
      <c r="B6614" t="s">
        <v>6707</v>
      </c>
      <c r="C6614">
        <f>"WIN23CE"</f>
        <v>0</v>
      </c>
      <c r="D6614">
        <v>0</v>
      </c>
      <c r="E6614">
        <v>0</v>
      </c>
      <c r="F6614" s="2">
        <v>0</v>
      </c>
      <c r="H6614">
        <v>0</v>
      </c>
      <c r="I6614">
        <v>0.1741125760648204</v>
      </c>
      <c r="J6614">
        <v>0</v>
      </c>
      <c r="K6614">
        <v>0</v>
      </c>
      <c r="L6614" s="2">
        <v>0</v>
      </c>
      <c r="M6614">
        <v>66.09</v>
      </c>
      <c r="N6614" t="s">
        <v>10236</v>
      </c>
    </row>
    <row r="6615" spans="1:14">
      <c r="A6615" t="s">
        <v>35</v>
      </c>
      <c r="B6615" t="s">
        <v>6708</v>
      </c>
      <c r="C6615">
        <f>"VSB1"</f>
        <v>0</v>
      </c>
      <c r="D6615">
        <v>0</v>
      </c>
      <c r="E6615">
        <v>0</v>
      </c>
      <c r="F6615" s="2">
        <v>0</v>
      </c>
      <c r="H6615">
        <v>0</v>
      </c>
      <c r="I6615">
        <v>0.1741125760648204</v>
      </c>
      <c r="J6615">
        <v>0</v>
      </c>
      <c r="K6615">
        <v>0</v>
      </c>
      <c r="L6615" s="2">
        <v>0</v>
      </c>
      <c r="M6615">
        <v>66.09999999999999</v>
      </c>
      <c r="N6615" t="s">
        <v>10236</v>
      </c>
    </row>
    <row r="6616" spans="1:14">
      <c r="A6616" t="s">
        <v>35</v>
      </c>
      <c r="B6616" t="s">
        <v>6709</v>
      </c>
      <c r="C6616">
        <f>"DN14"</f>
        <v>0</v>
      </c>
      <c r="D6616">
        <v>0</v>
      </c>
      <c r="E6616">
        <v>3</v>
      </c>
      <c r="F6616" s="2">
        <v>1</v>
      </c>
      <c r="H6616">
        <v>0</v>
      </c>
      <c r="I6616">
        <v>0.1741125760648204</v>
      </c>
      <c r="J6616">
        <v>0</v>
      </c>
      <c r="K6616">
        <v>0</v>
      </c>
      <c r="L6616" s="2">
        <v>0</v>
      </c>
      <c r="M6616">
        <v>66.11</v>
      </c>
      <c r="N6616" t="s">
        <v>10236</v>
      </c>
    </row>
    <row r="6617" spans="1:14">
      <c r="A6617" t="s">
        <v>35</v>
      </c>
      <c r="B6617" t="s">
        <v>6710</v>
      </c>
      <c r="C6617">
        <f>"8000039"</f>
        <v>0</v>
      </c>
      <c r="D6617">
        <v>0</v>
      </c>
      <c r="E6617">
        <v>0</v>
      </c>
      <c r="F6617" s="2">
        <v>0</v>
      </c>
      <c r="H6617">
        <v>0</v>
      </c>
      <c r="I6617">
        <v>0.1741125760648204</v>
      </c>
      <c r="J6617">
        <v>0</v>
      </c>
      <c r="K6617">
        <v>0</v>
      </c>
      <c r="L6617" s="2">
        <v>0</v>
      </c>
      <c r="M6617">
        <v>66.12</v>
      </c>
      <c r="N6617" t="s">
        <v>10236</v>
      </c>
    </row>
    <row r="6618" spans="1:14">
      <c r="A6618" t="s">
        <v>35</v>
      </c>
      <c r="B6618" t="s">
        <v>6711</v>
      </c>
      <c r="C6618">
        <f>"CP353XS"</f>
        <v>0</v>
      </c>
      <c r="D6618">
        <v>0</v>
      </c>
      <c r="E6618">
        <v>16</v>
      </c>
      <c r="F6618" s="2">
        <v>2</v>
      </c>
      <c r="H6618">
        <v>0</v>
      </c>
      <c r="I6618">
        <v>0.1741125760648204</v>
      </c>
      <c r="J6618">
        <v>0</v>
      </c>
      <c r="K6618">
        <v>0</v>
      </c>
      <c r="L6618" s="2">
        <v>0</v>
      </c>
      <c r="M6618">
        <v>66.13</v>
      </c>
      <c r="N6618" t="s">
        <v>10236</v>
      </c>
    </row>
    <row r="6619" spans="1:14">
      <c r="A6619" t="s">
        <v>35</v>
      </c>
      <c r="B6619" t="s">
        <v>6712</v>
      </c>
      <c r="C6619">
        <f>"CP353S"</f>
        <v>0</v>
      </c>
      <c r="D6619">
        <v>0</v>
      </c>
      <c r="E6619">
        <v>17</v>
      </c>
      <c r="F6619" s="2">
        <v>2</v>
      </c>
      <c r="H6619">
        <v>0</v>
      </c>
      <c r="I6619">
        <v>0.1741125760648204</v>
      </c>
      <c r="J6619">
        <v>0</v>
      </c>
      <c r="K6619">
        <v>0</v>
      </c>
      <c r="L6619" s="2">
        <v>0</v>
      </c>
      <c r="M6619">
        <v>66.14</v>
      </c>
      <c r="N6619" t="s">
        <v>10236</v>
      </c>
    </row>
    <row r="6620" spans="1:14">
      <c r="A6620" t="s">
        <v>35</v>
      </c>
      <c r="B6620" t="s">
        <v>6713</v>
      </c>
      <c r="C6620">
        <f>"CP353M"</f>
        <v>0</v>
      </c>
      <c r="D6620">
        <v>0</v>
      </c>
      <c r="E6620">
        <v>14</v>
      </c>
      <c r="F6620" s="2">
        <v>2</v>
      </c>
      <c r="H6620">
        <v>0</v>
      </c>
      <c r="I6620">
        <v>0.1741125760648204</v>
      </c>
      <c r="J6620">
        <v>0</v>
      </c>
      <c r="K6620">
        <v>0</v>
      </c>
      <c r="L6620" s="2">
        <v>0</v>
      </c>
      <c r="M6620">
        <v>66.15000000000001</v>
      </c>
      <c r="N6620" t="s">
        <v>10236</v>
      </c>
    </row>
    <row r="6621" spans="1:14">
      <c r="A6621" t="s">
        <v>35</v>
      </c>
      <c r="B6621" t="s">
        <v>6714</v>
      </c>
      <c r="C6621">
        <f>"4000821"</f>
        <v>0</v>
      </c>
      <c r="D6621">
        <v>0</v>
      </c>
      <c r="E6621">
        <v>0</v>
      </c>
      <c r="F6621" s="2">
        <v>0</v>
      </c>
      <c r="H6621">
        <v>0</v>
      </c>
      <c r="I6621">
        <v>0.1741125760648204</v>
      </c>
      <c r="J6621">
        <v>0</v>
      </c>
      <c r="K6621">
        <v>0</v>
      </c>
      <c r="L6621" s="2">
        <v>0</v>
      </c>
      <c r="M6621">
        <v>66.16</v>
      </c>
      <c r="N6621" t="s">
        <v>10236</v>
      </c>
    </row>
    <row r="6622" spans="1:14">
      <c r="A6622" t="s">
        <v>35</v>
      </c>
      <c r="B6622" t="s">
        <v>6715</v>
      </c>
      <c r="C6622">
        <f>"SL208A40"</f>
        <v>0</v>
      </c>
      <c r="D6622">
        <v>0</v>
      </c>
      <c r="E6622">
        <v>0</v>
      </c>
      <c r="F6622" s="2">
        <v>0</v>
      </c>
      <c r="H6622">
        <v>0</v>
      </c>
      <c r="I6622">
        <v>0.1741125760648204</v>
      </c>
      <c r="J6622">
        <v>0</v>
      </c>
      <c r="K6622">
        <v>0</v>
      </c>
      <c r="L6622" s="2">
        <v>0</v>
      </c>
      <c r="M6622">
        <v>66.17</v>
      </c>
      <c r="N6622" t="s">
        <v>10236</v>
      </c>
    </row>
    <row r="6623" spans="1:14">
      <c r="A6623" t="s">
        <v>35</v>
      </c>
      <c r="B6623" t="s">
        <v>6716</v>
      </c>
      <c r="C6623">
        <f>"SL208A35"</f>
        <v>0</v>
      </c>
      <c r="D6623">
        <v>0</v>
      </c>
      <c r="E6623">
        <v>0</v>
      </c>
      <c r="F6623" s="2">
        <v>0</v>
      </c>
      <c r="H6623">
        <v>0</v>
      </c>
      <c r="I6623">
        <v>0.1741125760648204</v>
      </c>
      <c r="J6623">
        <v>0</v>
      </c>
      <c r="K6623">
        <v>0</v>
      </c>
      <c r="L6623" s="2">
        <v>0</v>
      </c>
      <c r="M6623">
        <v>66.18000000000001</v>
      </c>
      <c r="N6623" t="s">
        <v>10236</v>
      </c>
    </row>
    <row r="6624" spans="1:14">
      <c r="A6624" t="s">
        <v>35</v>
      </c>
      <c r="B6624" t="s">
        <v>6717</v>
      </c>
      <c r="C6624">
        <f>"SL208A30"</f>
        <v>0</v>
      </c>
      <c r="D6624">
        <v>0</v>
      </c>
      <c r="E6624">
        <v>0</v>
      </c>
      <c r="F6624" s="2">
        <v>0</v>
      </c>
      <c r="H6624">
        <v>0</v>
      </c>
      <c r="I6624">
        <v>0.1741125760648204</v>
      </c>
      <c r="J6624">
        <v>0</v>
      </c>
      <c r="K6624">
        <v>0</v>
      </c>
      <c r="L6624" s="2">
        <v>0</v>
      </c>
      <c r="M6624">
        <v>66.19</v>
      </c>
      <c r="N6624" t="s">
        <v>10236</v>
      </c>
    </row>
    <row r="6625" spans="1:14">
      <c r="A6625" t="s">
        <v>35</v>
      </c>
      <c r="B6625" t="s">
        <v>6718</v>
      </c>
      <c r="C6625">
        <f>"CL357KXS"</f>
        <v>0</v>
      </c>
      <c r="D6625">
        <v>0</v>
      </c>
      <c r="E6625">
        <v>16</v>
      </c>
      <c r="F6625" s="2">
        <v>2</v>
      </c>
      <c r="H6625">
        <v>0</v>
      </c>
      <c r="I6625">
        <v>0.1741125760648204</v>
      </c>
      <c r="J6625">
        <v>0</v>
      </c>
      <c r="K6625">
        <v>0</v>
      </c>
      <c r="L6625" s="2">
        <v>0</v>
      </c>
      <c r="M6625">
        <v>66.2</v>
      </c>
      <c r="N6625" t="s">
        <v>10236</v>
      </c>
    </row>
    <row r="6626" spans="1:14">
      <c r="A6626" t="s">
        <v>35</v>
      </c>
      <c r="B6626" t="s">
        <v>6719</v>
      </c>
      <c r="C6626">
        <f>"CL357KS"</f>
        <v>0</v>
      </c>
      <c r="D6626">
        <v>0</v>
      </c>
      <c r="E6626">
        <v>16</v>
      </c>
      <c r="F6626" s="2">
        <v>3</v>
      </c>
      <c r="H6626">
        <v>0</v>
      </c>
      <c r="I6626">
        <v>0.1741125760648204</v>
      </c>
      <c r="J6626">
        <v>0</v>
      </c>
      <c r="K6626">
        <v>0</v>
      </c>
      <c r="L6626" s="2">
        <v>0</v>
      </c>
      <c r="M6626">
        <v>66.2</v>
      </c>
      <c r="N6626" t="s">
        <v>10236</v>
      </c>
    </row>
    <row r="6627" spans="1:14">
      <c r="A6627" t="s">
        <v>35</v>
      </c>
      <c r="B6627" t="s">
        <v>6720</v>
      </c>
      <c r="C6627">
        <f>"CL357KM"</f>
        <v>0</v>
      </c>
      <c r="D6627">
        <v>0</v>
      </c>
      <c r="E6627">
        <v>13</v>
      </c>
      <c r="F6627" s="2">
        <v>3</v>
      </c>
      <c r="H6627">
        <v>0</v>
      </c>
      <c r="I6627">
        <v>0.1741125760648204</v>
      </c>
      <c r="J6627">
        <v>0</v>
      </c>
      <c r="K6627">
        <v>0</v>
      </c>
      <c r="L6627" s="2">
        <v>0</v>
      </c>
      <c r="M6627">
        <v>66.20999999999999</v>
      </c>
      <c r="N6627" t="s">
        <v>10236</v>
      </c>
    </row>
    <row r="6628" spans="1:14">
      <c r="A6628" t="s">
        <v>35</v>
      </c>
      <c r="B6628" t="s">
        <v>6721</v>
      </c>
      <c r="C6628">
        <f>"CL357KL"</f>
        <v>0</v>
      </c>
      <c r="D6628">
        <v>0</v>
      </c>
      <c r="E6628">
        <v>15</v>
      </c>
      <c r="F6628" s="2">
        <v>5</v>
      </c>
      <c r="H6628">
        <v>0</v>
      </c>
      <c r="I6628">
        <v>0.1741125760648204</v>
      </c>
      <c r="J6628">
        <v>0</v>
      </c>
      <c r="K6628">
        <v>0</v>
      </c>
      <c r="L6628" s="2">
        <v>0</v>
      </c>
      <c r="M6628">
        <v>66.22</v>
      </c>
      <c r="N6628" t="s">
        <v>10236</v>
      </c>
    </row>
    <row r="6629" spans="1:14">
      <c r="A6629" t="s">
        <v>35</v>
      </c>
      <c r="B6629" t="s">
        <v>6722</v>
      </c>
      <c r="C6629">
        <f>"4000807"</f>
        <v>0</v>
      </c>
      <c r="D6629">
        <v>0</v>
      </c>
      <c r="E6629">
        <v>0</v>
      </c>
      <c r="F6629" s="2">
        <v>0</v>
      </c>
      <c r="H6629">
        <v>0</v>
      </c>
      <c r="I6629">
        <v>0.1741125760648204</v>
      </c>
      <c r="J6629">
        <v>0</v>
      </c>
      <c r="K6629">
        <v>0</v>
      </c>
      <c r="L6629" s="2">
        <v>0</v>
      </c>
      <c r="M6629">
        <v>66.23</v>
      </c>
      <c r="N6629" t="s">
        <v>10236</v>
      </c>
    </row>
    <row r="6630" spans="1:14">
      <c r="A6630" t="s">
        <v>35</v>
      </c>
      <c r="B6630" t="s">
        <v>6723</v>
      </c>
      <c r="C6630">
        <f>"4000791"</f>
        <v>0</v>
      </c>
      <c r="D6630">
        <v>0</v>
      </c>
      <c r="E6630">
        <v>0</v>
      </c>
      <c r="F6630" s="2">
        <v>0</v>
      </c>
      <c r="H6630">
        <v>0</v>
      </c>
      <c r="I6630">
        <v>0.1741125760648204</v>
      </c>
      <c r="J6630">
        <v>0</v>
      </c>
      <c r="K6630">
        <v>0</v>
      </c>
      <c r="L6630" s="2">
        <v>0</v>
      </c>
      <c r="M6630">
        <v>66.23999999999999</v>
      </c>
      <c r="N6630" t="s">
        <v>10236</v>
      </c>
    </row>
    <row r="6631" spans="1:14">
      <c r="A6631" t="s">
        <v>35</v>
      </c>
      <c r="B6631" t="s">
        <v>6724</v>
      </c>
      <c r="C6631">
        <f>"8000077"</f>
        <v>0</v>
      </c>
      <c r="D6631">
        <v>0</v>
      </c>
      <c r="E6631">
        <v>0</v>
      </c>
      <c r="F6631" s="2">
        <v>0</v>
      </c>
      <c r="H6631">
        <v>0</v>
      </c>
      <c r="I6631">
        <v>0.1741125760648204</v>
      </c>
      <c r="J6631">
        <v>0</v>
      </c>
      <c r="K6631">
        <v>0</v>
      </c>
      <c r="L6631" s="2">
        <v>0</v>
      </c>
      <c r="M6631">
        <v>66.25</v>
      </c>
      <c r="N6631" t="s">
        <v>10236</v>
      </c>
    </row>
    <row r="6632" spans="1:14">
      <c r="A6632" t="s">
        <v>35</v>
      </c>
      <c r="B6632" t="s">
        <v>6725</v>
      </c>
      <c r="C6632">
        <f>"4000784"</f>
        <v>0</v>
      </c>
      <c r="D6632">
        <v>0</v>
      </c>
      <c r="E6632">
        <v>0</v>
      </c>
      <c r="F6632" s="2">
        <v>0</v>
      </c>
      <c r="H6632">
        <v>0</v>
      </c>
      <c r="I6632">
        <v>0.1741125760648204</v>
      </c>
      <c r="J6632">
        <v>0</v>
      </c>
      <c r="K6632">
        <v>0</v>
      </c>
      <c r="L6632" s="2">
        <v>0</v>
      </c>
      <c r="M6632">
        <v>66.26000000000001</v>
      </c>
      <c r="N6632" t="s">
        <v>10236</v>
      </c>
    </row>
    <row r="6633" spans="1:14">
      <c r="A6633" t="s">
        <v>35</v>
      </c>
      <c r="B6633" t="s">
        <v>6726</v>
      </c>
      <c r="C6633">
        <f>"DX031SA"</f>
        <v>0</v>
      </c>
      <c r="D6633">
        <v>0</v>
      </c>
      <c r="E6633">
        <v>0</v>
      </c>
      <c r="F6633" s="2">
        <v>0</v>
      </c>
      <c r="H6633">
        <v>0</v>
      </c>
      <c r="I6633">
        <v>0.1741125760648204</v>
      </c>
      <c r="J6633">
        <v>0</v>
      </c>
      <c r="K6633">
        <v>0</v>
      </c>
      <c r="L6633" s="2">
        <v>0</v>
      </c>
      <c r="M6633">
        <v>66.27</v>
      </c>
      <c r="N6633" t="s">
        <v>10236</v>
      </c>
    </row>
    <row r="6634" spans="1:14">
      <c r="A6634" t="s">
        <v>35</v>
      </c>
      <c r="B6634" t="s">
        <v>6727</v>
      </c>
      <c r="C6634">
        <f>"4000777"</f>
        <v>0</v>
      </c>
      <c r="D6634">
        <v>0</v>
      </c>
      <c r="E6634">
        <v>1</v>
      </c>
      <c r="F6634" s="2">
        <v>0</v>
      </c>
      <c r="H6634">
        <v>0</v>
      </c>
      <c r="I6634">
        <v>0.1741125760648204</v>
      </c>
      <c r="J6634">
        <v>0</v>
      </c>
      <c r="K6634">
        <v>0</v>
      </c>
      <c r="L6634" s="2">
        <v>0</v>
      </c>
      <c r="M6634">
        <v>66.28</v>
      </c>
      <c r="N6634" t="s">
        <v>10236</v>
      </c>
    </row>
    <row r="6635" spans="1:14">
      <c r="A6635" t="s">
        <v>35</v>
      </c>
      <c r="B6635" t="s">
        <v>6728</v>
      </c>
      <c r="C6635">
        <f>"4000760"</f>
        <v>0</v>
      </c>
      <c r="D6635">
        <v>0</v>
      </c>
      <c r="E6635">
        <v>0</v>
      </c>
      <c r="F6635" s="2">
        <v>0</v>
      </c>
      <c r="H6635">
        <v>0</v>
      </c>
      <c r="I6635">
        <v>0.1741125760648204</v>
      </c>
      <c r="J6635">
        <v>0</v>
      </c>
      <c r="K6635">
        <v>0</v>
      </c>
      <c r="L6635" s="2">
        <v>0</v>
      </c>
      <c r="M6635">
        <v>66.29000000000001</v>
      </c>
      <c r="N6635" t="s">
        <v>10236</v>
      </c>
    </row>
    <row r="6636" spans="1:14">
      <c r="A6636" t="s">
        <v>35</v>
      </c>
      <c r="B6636" t="s">
        <v>6729</v>
      </c>
      <c r="C6636">
        <f>"200000050"</f>
        <v>0</v>
      </c>
      <c r="D6636">
        <v>0</v>
      </c>
      <c r="E6636">
        <v>0</v>
      </c>
      <c r="F6636" s="2">
        <v>0</v>
      </c>
      <c r="H6636">
        <v>0</v>
      </c>
      <c r="I6636">
        <v>0.1741125760648204</v>
      </c>
      <c r="J6636">
        <v>0</v>
      </c>
      <c r="K6636">
        <v>0</v>
      </c>
      <c r="L6636" s="2">
        <v>0</v>
      </c>
      <c r="M6636">
        <v>66.3</v>
      </c>
      <c r="N6636" t="s">
        <v>10236</v>
      </c>
    </row>
    <row r="6637" spans="1:14">
      <c r="A6637" t="s">
        <v>35</v>
      </c>
      <c r="B6637" t="s">
        <v>6730</v>
      </c>
      <c r="C6637">
        <f>"CP353L"</f>
        <v>0</v>
      </c>
      <c r="D6637">
        <v>0</v>
      </c>
      <c r="E6637">
        <v>15</v>
      </c>
      <c r="F6637" s="2">
        <v>3</v>
      </c>
      <c r="H6637">
        <v>0</v>
      </c>
      <c r="I6637">
        <v>0.1741125760648204</v>
      </c>
      <c r="J6637">
        <v>0</v>
      </c>
      <c r="K6637">
        <v>0</v>
      </c>
      <c r="L6637" s="2">
        <v>0</v>
      </c>
      <c r="M6637">
        <v>66.31</v>
      </c>
      <c r="N6637" t="s">
        <v>10236</v>
      </c>
    </row>
    <row r="6638" spans="1:14">
      <c r="A6638" t="s">
        <v>213</v>
      </c>
      <c r="B6638" t="s">
        <v>6731</v>
      </c>
      <c r="C6638">
        <f>"500887"</f>
        <v>0</v>
      </c>
      <c r="D6638">
        <v>0</v>
      </c>
      <c r="E6638">
        <v>1</v>
      </c>
      <c r="F6638" s="2">
        <v>9</v>
      </c>
      <c r="H6638">
        <v>0</v>
      </c>
      <c r="I6638">
        <v>0.1741125760648204</v>
      </c>
      <c r="J6638">
        <v>0</v>
      </c>
      <c r="K6638">
        <v>0</v>
      </c>
      <c r="L6638" s="2">
        <v>0</v>
      </c>
      <c r="M6638">
        <v>66.31</v>
      </c>
      <c r="N6638" t="s">
        <v>10236</v>
      </c>
    </row>
    <row r="6639" spans="1:14">
      <c r="A6639" t="s">
        <v>213</v>
      </c>
      <c r="B6639" t="s">
        <v>6732</v>
      </c>
      <c r="C6639">
        <f>"500883"</f>
        <v>0</v>
      </c>
      <c r="D6639">
        <v>0</v>
      </c>
      <c r="E6639">
        <v>1</v>
      </c>
      <c r="F6639" s="2">
        <v>10</v>
      </c>
      <c r="H6639">
        <v>0</v>
      </c>
      <c r="I6639">
        <v>0.1741125760648204</v>
      </c>
      <c r="J6639">
        <v>0</v>
      </c>
      <c r="K6639">
        <v>0</v>
      </c>
      <c r="L6639" s="2">
        <v>0</v>
      </c>
      <c r="M6639">
        <v>66.31999999999999</v>
      </c>
      <c r="N6639" t="s">
        <v>10236</v>
      </c>
    </row>
    <row r="6640" spans="1:14">
      <c r="A6640" t="s">
        <v>213</v>
      </c>
      <c r="B6640" t="s">
        <v>6733</v>
      </c>
      <c r="C6640">
        <f>"500615"</f>
        <v>0</v>
      </c>
      <c r="D6640">
        <v>0</v>
      </c>
      <c r="E6640">
        <v>1</v>
      </c>
      <c r="F6640" s="2">
        <v>10</v>
      </c>
      <c r="H6640">
        <v>0</v>
      </c>
      <c r="I6640">
        <v>0.1741125760648204</v>
      </c>
      <c r="J6640">
        <v>0</v>
      </c>
      <c r="K6640">
        <v>0</v>
      </c>
      <c r="L6640" s="2">
        <v>0</v>
      </c>
      <c r="M6640">
        <v>66.33</v>
      </c>
      <c r="N6640" t="s">
        <v>10236</v>
      </c>
    </row>
    <row r="6641" spans="1:14">
      <c r="A6641" t="s">
        <v>213</v>
      </c>
      <c r="B6641" t="s">
        <v>6734</v>
      </c>
      <c r="C6641">
        <f>"500622"</f>
        <v>0</v>
      </c>
      <c r="D6641">
        <v>0</v>
      </c>
      <c r="E6641">
        <v>1</v>
      </c>
      <c r="F6641" s="2">
        <v>10</v>
      </c>
      <c r="H6641">
        <v>0</v>
      </c>
      <c r="I6641">
        <v>0.1741125760648204</v>
      </c>
      <c r="J6641">
        <v>0</v>
      </c>
      <c r="K6641">
        <v>0</v>
      </c>
      <c r="L6641" s="2">
        <v>0</v>
      </c>
      <c r="M6641">
        <v>66.34</v>
      </c>
      <c r="N6641" t="s">
        <v>10236</v>
      </c>
    </row>
    <row r="6642" spans="1:14">
      <c r="A6642" t="s">
        <v>213</v>
      </c>
      <c r="B6642" t="s">
        <v>6735</v>
      </c>
      <c r="C6642">
        <f>"500884"</f>
        <v>0</v>
      </c>
      <c r="D6642">
        <v>0</v>
      </c>
      <c r="E6642">
        <v>1</v>
      </c>
      <c r="F6642" s="2">
        <v>11</v>
      </c>
      <c r="H6642">
        <v>0</v>
      </c>
      <c r="I6642">
        <v>0.1741125760648204</v>
      </c>
      <c r="J6642">
        <v>0</v>
      </c>
      <c r="K6642">
        <v>0</v>
      </c>
      <c r="L6642" s="2">
        <v>0</v>
      </c>
      <c r="M6642">
        <v>66.34999999999999</v>
      </c>
      <c r="N6642" t="s">
        <v>10236</v>
      </c>
    </row>
    <row r="6643" spans="1:14">
      <c r="A6643" t="s">
        <v>213</v>
      </c>
      <c r="B6643" t="s">
        <v>6736</v>
      </c>
      <c r="C6643">
        <f>"500639"</f>
        <v>0</v>
      </c>
      <c r="D6643">
        <v>0</v>
      </c>
      <c r="E6643">
        <v>1</v>
      </c>
      <c r="F6643" s="2">
        <v>10</v>
      </c>
      <c r="H6643">
        <v>0</v>
      </c>
      <c r="I6643">
        <v>0.1741125760648204</v>
      </c>
      <c r="J6643">
        <v>0</v>
      </c>
      <c r="K6643">
        <v>0</v>
      </c>
      <c r="L6643" s="2">
        <v>0</v>
      </c>
      <c r="M6643">
        <v>66.36</v>
      </c>
      <c r="N6643" t="s">
        <v>10236</v>
      </c>
    </row>
    <row r="6644" spans="1:14">
      <c r="A6644" t="s">
        <v>213</v>
      </c>
      <c r="B6644" t="s">
        <v>6737</v>
      </c>
      <c r="C6644">
        <f>"500655"</f>
        <v>0</v>
      </c>
      <c r="D6644">
        <v>0</v>
      </c>
      <c r="E6644">
        <v>1</v>
      </c>
      <c r="F6644" s="2">
        <v>10</v>
      </c>
      <c r="H6644">
        <v>0</v>
      </c>
      <c r="I6644">
        <v>0.1741125760648204</v>
      </c>
      <c r="J6644">
        <v>0</v>
      </c>
      <c r="K6644">
        <v>0</v>
      </c>
      <c r="L6644" s="2">
        <v>0</v>
      </c>
      <c r="M6644">
        <v>66.37</v>
      </c>
      <c r="N6644" t="s">
        <v>10236</v>
      </c>
    </row>
    <row r="6645" spans="1:14">
      <c r="A6645" t="s">
        <v>213</v>
      </c>
      <c r="B6645" t="s">
        <v>6738</v>
      </c>
      <c r="C6645">
        <f>"500881"</f>
        <v>0</v>
      </c>
      <c r="D6645">
        <v>0</v>
      </c>
      <c r="E6645">
        <v>1</v>
      </c>
      <c r="F6645" s="2">
        <v>12</v>
      </c>
      <c r="H6645">
        <v>0</v>
      </c>
      <c r="I6645">
        <v>0.1741125760648204</v>
      </c>
      <c r="J6645">
        <v>0</v>
      </c>
      <c r="K6645">
        <v>0</v>
      </c>
      <c r="L6645" s="2">
        <v>0</v>
      </c>
      <c r="M6645">
        <v>66.38</v>
      </c>
      <c r="N6645" t="s">
        <v>10236</v>
      </c>
    </row>
    <row r="6646" spans="1:14">
      <c r="A6646" t="s">
        <v>35</v>
      </c>
      <c r="B6646" t="s">
        <v>6739</v>
      </c>
      <c r="C6646">
        <f>"CS0152"</f>
        <v>0</v>
      </c>
      <c r="D6646">
        <v>0</v>
      </c>
      <c r="E6646">
        <v>0</v>
      </c>
      <c r="F6646" s="2">
        <v>0</v>
      </c>
      <c r="H6646">
        <v>0</v>
      </c>
      <c r="I6646">
        <v>0.1741125760648204</v>
      </c>
      <c r="J6646">
        <v>0</v>
      </c>
      <c r="K6646">
        <v>0</v>
      </c>
      <c r="L6646" s="2">
        <v>0</v>
      </c>
      <c r="M6646">
        <v>66.39</v>
      </c>
      <c r="N6646" t="s">
        <v>10236</v>
      </c>
    </row>
    <row r="6647" spans="1:14">
      <c r="A6647" t="s">
        <v>35</v>
      </c>
      <c r="B6647" t="s">
        <v>6740</v>
      </c>
      <c r="C6647">
        <f>"ACH25"</f>
        <v>0</v>
      </c>
      <c r="D6647">
        <v>0</v>
      </c>
      <c r="E6647">
        <v>0</v>
      </c>
      <c r="F6647" s="2">
        <v>0</v>
      </c>
      <c r="H6647">
        <v>0</v>
      </c>
      <c r="I6647">
        <v>0.1741125760648204</v>
      </c>
      <c r="J6647">
        <v>0</v>
      </c>
      <c r="K6647">
        <v>0</v>
      </c>
      <c r="L6647" s="2">
        <v>0</v>
      </c>
      <c r="M6647">
        <v>66.40000000000001</v>
      </c>
      <c r="N6647" t="s">
        <v>10236</v>
      </c>
    </row>
    <row r="6648" spans="1:14">
      <c r="A6648" t="s">
        <v>36</v>
      </c>
      <c r="B6648" t="s">
        <v>6741</v>
      </c>
      <c r="C6648">
        <f>"1020912"</f>
        <v>0</v>
      </c>
      <c r="D6648">
        <v>0</v>
      </c>
      <c r="E6648">
        <v>0</v>
      </c>
      <c r="F6648" s="2">
        <v>0</v>
      </c>
      <c r="H6648">
        <v>0</v>
      </c>
      <c r="I6648">
        <v>0.1741125760648204</v>
      </c>
      <c r="J6648">
        <v>0</v>
      </c>
      <c r="K6648">
        <v>0</v>
      </c>
      <c r="L6648" s="2">
        <v>0</v>
      </c>
      <c r="M6648">
        <v>66.41</v>
      </c>
      <c r="N6648" t="s">
        <v>10236</v>
      </c>
    </row>
    <row r="6649" spans="1:14">
      <c r="A6649" t="s">
        <v>35</v>
      </c>
      <c r="B6649" t="s">
        <v>6742</v>
      </c>
      <c r="C6649">
        <f>"CPCWBM215M"</f>
        <v>0</v>
      </c>
      <c r="D6649">
        <v>0</v>
      </c>
      <c r="E6649">
        <v>0</v>
      </c>
      <c r="F6649" s="2">
        <v>0</v>
      </c>
      <c r="H6649">
        <v>0</v>
      </c>
      <c r="I6649">
        <v>0.1741125760648204</v>
      </c>
      <c r="J6649">
        <v>0</v>
      </c>
      <c r="K6649">
        <v>0</v>
      </c>
      <c r="L6649" s="2">
        <v>0</v>
      </c>
      <c r="M6649">
        <v>66.42</v>
      </c>
      <c r="N6649" t="s">
        <v>10236</v>
      </c>
    </row>
    <row r="6650" spans="1:14">
      <c r="A6650" t="s">
        <v>35</v>
      </c>
      <c r="B6650" t="s">
        <v>6743</v>
      </c>
      <c r="C6650">
        <f>"CPCWBM001L"</f>
        <v>0</v>
      </c>
      <c r="D6650">
        <v>0</v>
      </c>
      <c r="E6650">
        <v>2</v>
      </c>
      <c r="F6650" s="2">
        <v>0</v>
      </c>
      <c r="H6650">
        <v>0</v>
      </c>
      <c r="I6650">
        <v>0.1741125760648204</v>
      </c>
      <c r="J6650">
        <v>0</v>
      </c>
      <c r="K6650">
        <v>0</v>
      </c>
      <c r="L6650" s="2">
        <v>0</v>
      </c>
      <c r="M6650">
        <v>66.43000000000001</v>
      </c>
      <c r="N6650" t="s">
        <v>10236</v>
      </c>
    </row>
    <row r="6651" spans="1:14">
      <c r="A6651" t="s">
        <v>35</v>
      </c>
      <c r="B6651" t="s">
        <v>6744</v>
      </c>
      <c r="C6651">
        <f>"FPC07"</f>
        <v>0</v>
      </c>
      <c r="D6651">
        <v>0</v>
      </c>
      <c r="E6651">
        <v>14</v>
      </c>
      <c r="F6651" s="2">
        <v>1</v>
      </c>
      <c r="H6651">
        <v>0</v>
      </c>
      <c r="I6651">
        <v>0.1741125760648204</v>
      </c>
      <c r="J6651">
        <v>0</v>
      </c>
      <c r="K6651">
        <v>0</v>
      </c>
      <c r="L6651" s="2">
        <v>0</v>
      </c>
      <c r="M6651">
        <v>66.43000000000001</v>
      </c>
      <c r="N6651" t="s">
        <v>10236</v>
      </c>
    </row>
    <row r="6652" spans="1:14">
      <c r="A6652" t="s">
        <v>35</v>
      </c>
      <c r="B6652" t="s">
        <v>6745</v>
      </c>
      <c r="C6652">
        <f>"1761CALIXL"</f>
        <v>0</v>
      </c>
      <c r="D6652">
        <v>0</v>
      </c>
      <c r="E6652">
        <v>5</v>
      </c>
      <c r="F6652" s="2">
        <v>3</v>
      </c>
      <c r="H6652">
        <v>0</v>
      </c>
      <c r="I6652">
        <v>0.1741125760648204</v>
      </c>
      <c r="J6652">
        <v>0</v>
      </c>
      <c r="K6652">
        <v>0</v>
      </c>
      <c r="L6652" s="2">
        <v>0</v>
      </c>
      <c r="M6652">
        <v>66.44</v>
      </c>
      <c r="N6652" t="s">
        <v>10236</v>
      </c>
    </row>
    <row r="6653" spans="1:14">
      <c r="A6653" t="s">
        <v>35</v>
      </c>
      <c r="B6653" t="s">
        <v>6746</v>
      </c>
      <c r="C6653">
        <f>"GZT1XL"</f>
        <v>0</v>
      </c>
      <c r="D6653">
        <v>0</v>
      </c>
      <c r="E6653">
        <v>0</v>
      </c>
      <c r="F6653" s="2">
        <v>0</v>
      </c>
      <c r="H6653">
        <v>0</v>
      </c>
      <c r="I6653">
        <v>0.1741125760648204</v>
      </c>
      <c r="J6653">
        <v>0</v>
      </c>
      <c r="K6653">
        <v>0</v>
      </c>
      <c r="L6653" s="2">
        <v>0</v>
      </c>
      <c r="M6653">
        <v>66.45</v>
      </c>
      <c r="N6653" t="s">
        <v>10236</v>
      </c>
    </row>
    <row r="6654" spans="1:14">
      <c r="A6654" t="s">
        <v>35</v>
      </c>
      <c r="B6654" t="s">
        <v>6747</v>
      </c>
      <c r="C6654">
        <f>"GZT1S"</f>
        <v>0</v>
      </c>
      <c r="D6654">
        <v>0</v>
      </c>
      <c r="E6654">
        <v>4</v>
      </c>
      <c r="F6654" s="2">
        <v>1</v>
      </c>
      <c r="H6654">
        <v>0</v>
      </c>
      <c r="I6654">
        <v>0.1741125760648204</v>
      </c>
      <c r="J6654">
        <v>0</v>
      </c>
      <c r="K6654">
        <v>0</v>
      </c>
      <c r="L6654" s="2">
        <v>0</v>
      </c>
      <c r="M6654">
        <v>66.45999999999999</v>
      </c>
      <c r="N6654" t="s">
        <v>10236</v>
      </c>
    </row>
    <row r="6655" spans="1:14">
      <c r="A6655" t="s">
        <v>35</v>
      </c>
      <c r="B6655" t="s">
        <v>6748</v>
      </c>
      <c r="C6655">
        <f>"GZT1M"</f>
        <v>0</v>
      </c>
      <c r="D6655">
        <v>0</v>
      </c>
      <c r="E6655">
        <v>0</v>
      </c>
      <c r="F6655" s="2">
        <v>0</v>
      </c>
      <c r="H6655">
        <v>0</v>
      </c>
      <c r="I6655">
        <v>0.1741125760648204</v>
      </c>
      <c r="J6655">
        <v>0</v>
      </c>
      <c r="K6655">
        <v>0</v>
      </c>
      <c r="L6655" s="2">
        <v>0</v>
      </c>
      <c r="M6655">
        <v>66.47</v>
      </c>
      <c r="N6655" t="s">
        <v>10236</v>
      </c>
    </row>
    <row r="6656" spans="1:14">
      <c r="A6656" t="s">
        <v>35</v>
      </c>
      <c r="B6656" t="s">
        <v>6749</v>
      </c>
      <c r="C6656">
        <f>"GZT1L"</f>
        <v>0</v>
      </c>
      <c r="D6656">
        <v>0</v>
      </c>
      <c r="E6656">
        <v>0</v>
      </c>
      <c r="F6656" s="2">
        <v>0</v>
      </c>
      <c r="H6656">
        <v>0</v>
      </c>
      <c r="I6656">
        <v>0.1741125760648204</v>
      </c>
      <c r="J6656">
        <v>0</v>
      </c>
      <c r="K6656">
        <v>0</v>
      </c>
      <c r="L6656" s="2">
        <v>0</v>
      </c>
      <c r="M6656">
        <v>66.48</v>
      </c>
      <c r="N6656" t="s">
        <v>10236</v>
      </c>
    </row>
    <row r="6657" spans="1:14">
      <c r="A6657" t="s">
        <v>196</v>
      </c>
      <c r="B6657" t="s">
        <v>6750</v>
      </c>
      <c r="C6657">
        <f>"2448"</f>
        <v>0</v>
      </c>
      <c r="D6657">
        <v>0</v>
      </c>
      <c r="E6657">
        <v>0</v>
      </c>
      <c r="F6657" s="2">
        <v>0</v>
      </c>
      <c r="H6657">
        <v>0</v>
      </c>
      <c r="I6657">
        <v>0.1741125760648204</v>
      </c>
      <c r="J6657">
        <v>0</v>
      </c>
      <c r="K6657">
        <v>0</v>
      </c>
      <c r="L6657" s="2">
        <v>0</v>
      </c>
      <c r="M6657">
        <v>66.48999999999999</v>
      </c>
      <c r="N6657" t="s">
        <v>10236</v>
      </c>
    </row>
    <row r="6658" spans="1:14">
      <c r="A6658" t="s">
        <v>196</v>
      </c>
      <c r="B6658" t="s">
        <v>6751</v>
      </c>
      <c r="C6658">
        <f>"2445"</f>
        <v>0</v>
      </c>
      <c r="D6658">
        <v>0</v>
      </c>
      <c r="E6658">
        <v>0</v>
      </c>
      <c r="F6658" s="2">
        <v>0</v>
      </c>
      <c r="H6658">
        <v>0</v>
      </c>
      <c r="I6658">
        <v>0.1741125760648204</v>
      </c>
      <c r="J6658">
        <v>0</v>
      </c>
      <c r="K6658">
        <v>0</v>
      </c>
      <c r="L6658" s="2">
        <v>0</v>
      </c>
      <c r="M6658">
        <v>66.5</v>
      </c>
      <c r="N6658" t="s">
        <v>10236</v>
      </c>
    </row>
    <row r="6659" spans="1:14">
      <c r="A6659" t="s">
        <v>35</v>
      </c>
      <c r="B6659" t="s">
        <v>6752</v>
      </c>
      <c r="C6659">
        <f>"JW2609ROS"</f>
        <v>0</v>
      </c>
      <c r="D6659">
        <v>0</v>
      </c>
      <c r="E6659">
        <v>2</v>
      </c>
      <c r="F6659" s="2">
        <v>1</v>
      </c>
      <c r="H6659">
        <v>0</v>
      </c>
      <c r="I6659">
        <v>0.1741125760648204</v>
      </c>
      <c r="J6659">
        <v>0</v>
      </c>
      <c r="K6659">
        <v>0</v>
      </c>
      <c r="L6659" s="2">
        <v>0</v>
      </c>
      <c r="M6659">
        <v>66.51000000000001</v>
      </c>
      <c r="N6659" t="s">
        <v>10236</v>
      </c>
    </row>
    <row r="6660" spans="1:14">
      <c r="A6660" t="s">
        <v>35</v>
      </c>
      <c r="B6660" t="s">
        <v>6753</v>
      </c>
      <c r="C6660">
        <f>"XYLED01"</f>
        <v>0</v>
      </c>
      <c r="D6660">
        <v>0</v>
      </c>
      <c r="E6660">
        <v>1</v>
      </c>
      <c r="F6660" s="2">
        <v>11</v>
      </c>
      <c r="H6660">
        <v>0</v>
      </c>
      <c r="I6660">
        <v>0.1741125760648204</v>
      </c>
      <c r="J6660">
        <v>0</v>
      </c>
      <c r="K6660">
        <v>0</v>
      </c>
      <c r="L6660" s="2">
        <v>0</v>
      </c>
      <c r="M6660">
        <v>66.52</v>
      </c>
      <c r="N6660" t="s">
        <v>10236</v>
      </c>
    </row>
    <row r="6661" spans="1:14">
      <c r="A6661" t="s">
        <v>35</v>
      </c>
      <c r="B6661" t="s">
        <v>6754</v>
      </c>
      <c r="C6661">
        <f>"JWZ2012H"</f>
        <v>0</v>
      </c>
      <c r="D6661">
        <v>0</v>
      </c>
      <c r="E6661">
        <v>2</v>
      </c>
      <c r="F6661" s="2">
        <v>1</v>
      </c>
      <c r="H6661">
        <v>0</v>
      </c>
      <c r="I6661">
        <v>0.1741125760648204</v>
      </c>
      <c r="J6661">
        <v>0</v>
      </c>
      <c r="K6661">
        <v>0</v>
      </c>
      <c r="L6661" s="2">
        <v>0</v>
      </c>
      <c r="M6661">
        <v>66.53</v>
      </c>
      <c r="N6661" t="s">
        <v>10236</v>
      </c>
    </row>
    <row r="6662" spans="1:14">
      <c r="A6662" t="s">
        <v>35</v>
      </c>
      <c r="B6662" t="s">
        <v>6755</v>
      </c>
      <c r="C6662">
        <f>"JWZ2001D"</f>
        <v>0</v>
      </c>
      <c r="D6662">
        <v>0</v>
      </c>
      <c r="E6662">
        <v>2</v>
      </c>
      <c r="F6662" s="2">
        <v>0</v>
      </c>
      <c r="H6662">
        <v>0</v>
      </c>
      <c r="I6662">
        <v>0.1741125760648204</v>
      </c>
      <c r="J6662">
        <v>0</v>
      </c>
      <c r="K6662">
        <v>0</v>
      </c>
      <c r="L6662" s="2">
        <v>0</v>
      </c>
      <c r="M6662">
        <v>66.54000000000001</v>
      </c>
      <c r="N6662" t="s">
        <v>10236</v>
      </c>
    </row>
    <row r="6663" spans="1:14">
      <c r="A6663" t="s">
        <v>35</v>
      </c>
      <c r="B6663" t="s">
        <v>6756</v>
      </c>
      <c r="C6663">
        <f>"JWZ2013V"</f>
        <v>0</v>
      </c>
      <c r="D6663">
        <v>0</v>
      </c>
      <c r="E6663">
        <v>0</v>
      </c>
      <c r="F6663" s="2">
        <v>0</v>
      </c>
      <c r="H6663">
        <v>0</v>
      </c>
      <c r="I6663">
        <v>0.1741125760648204</v>
      </c>
      <c r="J6663">
        <v>0</v>
      </c>
      <c r="K6663">
        <v>0</v>
      </c>
      <c r="L6663" s="2">
        <v>0</v>
      </c>
      <c r="M6663">
        <v>66.55</v>
      </c>
      <c r="N6663" t="s">
        <v>10236</v>
      </c>
    </row>
    <row r="6664" spans="1:14">
      <c r="A6664" t="s">
        <v>35</v>
      </c>
      <c r="B6664" t="s">
        <v>6757</v>
      </c>
      <c r="C6664">
        <f>"JWZ2012M"</f>
        <v>0</v>
      </c>
      <c r="D6664">
        <v>0</v>
      </c>
      <c r="E6664">
        <v>0</v>
      </c>
      <c r="F6664" s="2">
        <v>0</v>
      </c>
      <c r="H6664">
        <v>0</v>
      </c>
      <c r="I6664">
        <v>0.1741125760648204</v>
      </c>
      <c r="J6664">
        <v>0</v>
      </c>
      <c r="K6664">
        <v>0</v>
      </c>
      <c r="L6664" s="2">
        <v>0</v>
      </c>
      <c r="M6664">
        <v>66.55</v>
      </c>
      <c r="N6664" t="s">
        <v>10236</v>
      </c>
    </row>
    <row r="6665" spans="1:14">
      <c r="A6665" t="s">
        <v>35</v>
      </c>
      <c r="B6665" t="s">
        <v>6758</v>
      </c>
      <c r="C6665">
        <f>"JWZ2009SURF"</f>
        <v>0</v>
      </c>
      <c r="D6665">
        <v>0</v>
      </c>
      <c r="E6665">
        <v>0</v>
      </c>
      <c r="F6665" s="2">
        <v>0</v>
      </c>
      <c r="H6665">
        <v>0</v>
      </c>
      <c r="I6665">
        <v>0.1741125760648204</v>
      </c>
      <c r="J6665">
        <v>0</v>
      </c>
      <c r="K6665">
        <v>0</v>
      </c>
      <c r="L6665" s="2">
        <v>0</v>
      </c>
      <c r="M6665">
        <v>66.56</v>
      </c>
      <c r="N6665" t="s">
        <v>10236</v>
      </c>
    </row>
    <row r="6666" spans="1:14">
      <c r="A6666" t="s">
        <v>35</v>
      </c>
      <c r="B6666" t="s">
        <v>6759</v>
      </c>
      <c r="C6666">
        <f>"JWZ2006M"</f>
        <v>0</v>
      </c>
      <c r="D6666">
        <v>0</v>
      </c>
      <c r="E6666">
        <v>0</v>
      </c>
      <c r="F6666" s="2">
        <v>0</v>
      </c>
      <c r="H6666">
        <v>0</v>
      </c>
      <c r="I6666">
        <v>0.1741125760648204</v>
      </c>
      <c r="J6666">
        <v>0</v>
      </c>
      <c r="K6666">
        <v>0</v>
      </c>
      <c r="L6666" s="2">
        <v>0</v>
      </c>
      <c r="M6666">
        <v>66.56999999999999</v>
      </c>
      <c r="N6666" t="s">
        <v>10236</v>
      </c>
    </row>
    <row r="6667" spans="1:14">
      <c r="A6667" t="s">
        <v>35</v>
      </c>
      <c r="B6667" t="s">
        <v>6760</v>
      </c>
      <c r="C6667">
        <f>"JWZ20101"</f>
        <v>0</v>
      </c>
      <c r="D6667">
        <v>0</v>
      </c>
      <c r="E6667">
        <v>0</v>
      </c>
      <c r="F6667" s="2">
        <v>0</v>
      </c>
      <c r="H6667">
        <v>0</v>
      </c>
      <c r="I6667">
        <v>0.1741125760648204</v>
      </c>
      <c r="J6667">
        <v>0</v>
      </c>
      <c r="K6667">
        <v>0</v>
      </c>
      <c r="L6667" s="2">
        <v>0</v>
      </c>
      <c r="M6667">
        <v>66.58</v>
      </c>
      <c r="N6667" t="s">
        <v>10236</v>
      </c>
    </row>
    <row r="6668" spans="1:14">
      <c r="A6668" t="s">
        <v>35</v>
      </c>
      <c r="B6668" t="s">
        <v>6761</v>
      </c>
      <c r="C6668">
        <f>"FPC05"</f>
        <v>0</v>
      </c>
      <c r="D6668">
        <v>0</v>
      </c>
      <c r="E6668">
        <v>0</v>
      </c>
      <c r="F6668" s="2">
        <v>0</v>
      </c>
      <c r="H6668">
        <v>0</v>
      </c>
      <c r="I6668">
        <v>0.1741125760648204</v>
      </c>
      <c r="J6668">
        <v>0</v>
      </c>
      <c r="K6668">
        <v>0</v>
      </c>
      <c r="L6668" s="2">
        <v>0</v>
      </c>
      <c r="M6668">
        <v>66.59</v>
      </c>
      <c r="N6668" t="s">
        <v>10236</v>
      </c>
    </row>
    <row r="6669" spans="1:14">
      <c r="A6669" t="s">
        <v>35</v>
      </c>
      <c r="B6669" t="s">
        <v>6762</v>
      </c>
      <c r="C6669">
        <f>"1761CSROJ"</f>
        <v>0</v>
      </c>
      <c r="D6669">
        <v>0</v>
      </c>
      <c r="E6669">
        <v>5</v>
      </c>
      <c r="F6669" s="2">
        <v>0</v>
      </c>
      <c r="H6669">
        <v>0</v>
      </c>
      <c r="I6669">
        <v>0.1741125760648204</v>
      </c>
      <c r="J6669">
        <v>0</v>
      </c>
      <c r="K6669">
        <v>0</v>
      </c>
      <c r="L6669" s="2">
        <v>0</v>
      </c>
      <c r="M6669">
        <v>66.59999999999999</v>
      </c>
      <c r="N6669" t="s">
        <v>10236</v>
      </c>
    </row>
    <row r="6670" spans="1:14">
      <c r="A6670" t="s">
        <v>35</v>
      </c>
      <c r="B6670" t="s">
        <v>6763</v>
      </c>
      <c r="C6670">
        <f>"1761CCELESTES"</f>
        <v>0</v>
      </c>
      <c r="D6670">
        <v>0</v>
      </c>
      <c r="E6670">
        <v>2</v>
      </c>
      <c r="F6670" s="2">
        <v>0</v>
      </c>
      <c r="H6670">
        <v>0</v>
      </c>
      <c r="I6670">
        <v>0.1741125760648204</v>
      </c>
      <c r="J6670">
        <v>0</v>
      </c>
      <c r="K6670">
        <v>0</v>
      </c>
      <c r="L6670" s="2">
        <v>0</v>
      </c>
      <c r="M6670">
        <v>66.61</v>
      </c>
      <c r="N6670" t="s">
        <v>10236</v>
      </c>
    </row>
    <row r="6671" spans="1:14">
      <c r="A6671" t="s">
        <v>35</v>
      </c>
      <c r="B6671" t="s">
        <v>6764</v>
      </c>
      <c r="C6671">
        <f>"1761CALIS"</f>
        <v>0</v>
      </c>
      <c r="D6671">
        <v>0</v>
      </c>
      <c r="E6671">
        <v>2</v>
      </c>
      <c r="F6671" s="2">
        <v>3</v>
      </c>
      <c r="H6671">
        <v>0</v>
      </c>
      <c r="I6671">
        <v>0.1741125760648204</v>
      </c>
      <c r="J6671">
        <v>0</v>
      </c>
      <c r="K6671">
        <v>0</v>
      </c>
      <c r="L6671" s="2">
        <v>0</v>
      </c>
      <c r="M6671">
        <v>66.62</v>
      </c>
      <c r="N6671" t="s">
        <v>10236</v>
      </c>
    </row>
    <row r="6672" spans="1:14">
      <c r="A6672" t="s">
        <v>35</v>
      </c>
      <c r="B6672" t="s">
        <v>6765</v>
      </c>
      <c r="C6672">
        <f>"1761CMROJ"</f>
        <v>0</v>
      </c>
      <c r="D6672">
        <v>0</v>
      </c>
      <c r="E6672">
        <v>2</v>
      </c>
      <c r="F6672" s="2">
        <v>0</v>
      </c>
      <c r="H6672">
        <v>0</v>
      </c>
      <c r="I6672">
        <v>0.1741125760648204</v>
      </c>
      <c r="J6672">
        <v>0</v>
      </c>
      <c r="K6672">
        <v>0</v>
      </c>
      <c r="L6672" s="2">
        <v>0</v>
      </c>
      <c r="M6672">
        <v>66.63</v>
      </c>
      <c r="N6672" t="s">
        <v>10236</v>
      </c>
    </row>
    <row r="6673" spans="1:14">
      <c r="A6673" t="s">
        <v>35</v>
      </c>
      <c r="B6673" t="s">
        <v>6766</v>
      </c>
      <c r="C6673">
        <f>"1761CMCEL"</f>
        <v>0</v>
      </c>
      <c r="D6673">
        <v>0</v>
      </c>
      <c r="E6673">
        <v>1</v>
      </c>
      <c r="F6673" s="2">
        <v>0</v>
      </c>
      <c r="H6673">
        <v>0</v>
      </c>
      <c r="I6673">
        <v>0.1741125760648204</v>
      </c>
      <c r="J6673">
        <v>0</v>
      </c>
      <c r="K6673">
        <v>0</v>
      </c>
      <c r="L6673" s="2">
        <v>0</v>
      </c>
      <c r="M6673">
        <v>66.64</v>
      </c>
      <c r="N6673" t="s">
        <v>10236</v>
      </c>
    </row>
    <row r="6674" spans="1:14">
      <c r="A6674" t="s">
        <v>35</v>
      </c>
      <c r="B6674" t="s">
        <v>6767</v>
      </c>
      <c r="C6674">
        <f>"1761CALIM"</f>
        <v>0</v>
      </c>
      <c r="D6674">
        <v>0</v>
      </c>
      <c r="E6674">
        <v>0</v>
      </c>
      <c r="F6674" s="2">
        <v>0</v>
      </c>
      <c r="H6674">
        <v>0</v>
      </c>
      <c r="I6674">
        <v>0.1741125760648204</v>
      </c>
      <c r="J6674">
        <v>0</v>
      </c>
      <c r="K6674">
        <v>0</v>
      </c>
      <c r="L6674" s="2">
        <v>0</v>
      </c>
      <c r="M6674">
        <v>66.65000000000001</v>
      </c>
      <c r="N6674" t="s">
        <v>10236</v>
      </c>
    </row>
    <row r="6675" spans="1:14">
      <c r="A6675" t="s">
        <v>35</v>
      </c>
      <c r="B6675" t="s">
        <v>6768</v>
      </c>
      <c r="C6675">
        <f>"1761CLROJ"</f>
        <v>0</v>
      </c>
      <c r="D6675">
        <v>0</v>
      </c>
      <c r="E6675">
        <v>2</v>
      </c>
      <c r="F6675" s="2">
        <v>0</v>
      </c>
      <c r="H6675">
        <v>0</v>
      </c>
      <c r="I6675">
        <v>0.1741125760648204</v>
      </c>
      <c r="J6675">
        <v>0</v>
      </c>
      <c r="K6675">
        <v>0</v>
      </c>
      <c r="L6675" s="2">
        <v>0</v>
      </c>
      <c r="M6675">
        <v>66.66</v>
      </c>
      <c r="N6675" t="s">
        <v>10236</v>
      </c>
    </row>
    <row r="6676" spans="1:14">
      <c r="A6676" t="s">
        <v>35</v>
      </c>
      <c r="B6676" t="s">
        <v>6769</v>
      </c>
      <c r="C6676">
        <f>"1761CCELESTEL"</f>
        <v>0</v>
      </c>
      <c r="D6676">
        <v>0</v>
      </c>
      <c r="E6676">
        <v>2</v>
      </c>
      <c r="F6676" s="2">
        <v>4</v>
      </c>
      <c r="H6676">
        <v>0</v>
      </c>
      <c r="I6676">
        <v>0.1741125760648204</v>
      </c>
      <c r="J6676">
        <v>0</v>
      </c>
      <c r="K6676">
        <v>0</v>
      </c>
      <c r="L6676" s="2">
        <v>0</v>
      </c>
      <c r="M6676">
        <v>66.67</v>
      </c>
      <c r="N6676" t="s">
        <v>10236</v>
      </c>
    </row>
    <row r="6677" spans="1:14">
      <c r="A6677" t="s">
        <v>35</v>
      </c>
      <c r="B6677" t="s">
        <v>6770</v>
      </c>
      <c r="C6677">
        <f>"1761CALIL"</f>
        <v>0</v>
      </c>
      <c r="D6677">
        <v>0</v>
      </c>
      <c r="E6677">
        <v>2</v>
      </c>
      <c r="F6677" s="2">
        <v>0</v>
      </c>
      <c r="H6677">
        <v>0</v>
      </c>
      <c r="I6677">
        <v>0.1741125760648204</v>
      </c>
      <c r="J6677">
        <v>0</v>
      </c>
      <c r="K6677">
        <v>0</v>
      </c>
      <c r="L6677" s="2">
        <v>0</v>
      </c>
      <c r="M6677">
        <v>66.67</v>
      </c>
      <c r="N6677" t="s">
        <v>10236</v>
      </c>
    </row>
    <row r="6678" spans="1:14">
      <c r="A6678" t="s">
        <v>35</v>
      </c>
      <c r="B6678" t="s">
        <v>6771</v>
      </c>
      <c r="C6678">
        <f>"JW5041SA"</f>
        <v>0</v>
      </c>
      <c r="D6678">
        <v>0</v>
      </c>
      <c r="E6678">
        <v>1</v>
      </c>
      <c r="F6678" s="2">
        <v>0</v>
      </c>
      <c r="H6678">
        <v>0</v>
      </c>
      <c r="I6678">
        <v>0.1741125760648204</v>
      </c>
      <c r="J6678">
        <v>0</v>
      </c>
      <c r="K6678">
        <v>0</v>
      </c>
      <c r="L6678" s="2">
        <v>0</v>
      </c>
      <c r="M6678">
        <v>66.68000000000001</v>
      </c>
      <c r="N6678" t="s">
        <v>10236</v>
      </c>
    </row>
    <row r="6679" spans="1:14">
      <c r="A6679" t="s">
        <v>35</v>
      </c>
      <c r="B6679" t="s">
        <v>6772</v>
      </c>
      <c r="C6679">
        <f>"JW5041SR"</f>
        <v>0</v>
      </c>
      <c r="D6679">
        <v>0</v>
      </c>
      <c r="E6679">
        <v>0</v>
      </c>
      <c r="F6679" s="2">
        <v>0</v>
      </c>
      <c r="H6679">
        <v>0</v>
      </c>
      <c r="I6679">
        <v>0.1741125760648204</v>
      </c>
      <c r="J6679">
        <v>0</v>
      </c>
      <c r="K6679">
        <v>0</v>
      </c>
      <c r="L6679" s="2">
        <v>0</v>
      </c>
      <c r="M6679">
        <v>66.69</v>
      </c>
      <c r="N6679" t="s">
        <v>10236</v>
      </c>
    </row>
    <row r="6680" spans="1:14">
      <c r="A6680" t="s">
        <v>35</v>
      </c>
      <c r="B6680" t="s">
        <v>6773</v>
      </c>
      <c r="C6680">
        <f>"JW5041SRJ"</f>
        <v>0</v>
      </c>
      <c r="D6680">
        <v>0</v>
      </c>
      <c r="E6680">
        <v>0</v>
      </c>
      <c r="F6680" s="2">
        <v>0</v>
      </c>
      <c r="H6680">
        <v>0</v>
      </c>
      <c r="I6680">
        <v>0.1741125760648204</v>
      </c>
      <c r="J6680">
        <v>0</v>
      </c>
      <c r="K6680">
        <v>0</v>
      </c>
      <c r="L6680" s="2">
        <v>0</v>
      </c>
      <c r="M6680">
        <v>66.7</v>
      </c>
      <c r="N6680" t="s">
        <v>10236</v>
      </c>
    </row>
    <row r="6681" spans="1:14">
      <c r="A6681" t="s">
        <v>35</v>
      </c>
      <c r="B6681" t="s">
        <v>6774</v>
      </c>
      <c r="C6681">
        <f>"JW5041MR"</f>
        <v>0</v>
      </c>
      <c r="D6681">
        <v>0</v>
      </c>
      <c r="E6681">
        <v>0</v>
      </c>
      <c r="F6681" s="2">
        <v>0</v>
      </c>
      <c r="H6681">
        <v>0</v>
      </c>
      <c r="I6681">
        <v>0.1741125760648204</v>
      </c>
      <c r="J6681">
        <v>0</v>
      </c>
      <c r="K6681">
        <v>0</v>
      </c>
      <c r="L6681" s="2">
        <v>0</v>
      </c>
      <c r="M6681">
        <v>66.70999999999999</v>
      </c>
      <c r="N6681" t="s">
        <v>10236</v>
      </c>
    </row>
    <row r="6682" spans="1:14">
      <c r="A6682" t="s">
        <v>35</v>
      </c>
      <c r="B6682" t="s">
        <v>6775</v>
      </c>
      <c r="C6682">
        <f>"JW5041MRJ"</f>
        <v>0</v>
      </c>
      <c r="D6682">
        <v>0</v>
      </c>
      <c r="E6682">
        <v>0</v>
      </c>
      <c r="F6682" s="2">
        <v>0</v>
      </c>
      <c r="H6682">
        <v>0</v>
      </c>
      <c r="I6682">
        <v>0.1741125760648204</v>
      </c>
      <c r="J6682">
        <v>0</v>
      </c>
      <c r="K6682">
        <v>0</v>
      </c>
      <c r="L6682" s="2">
        <v>0</v>
      </c>
      <c r="M6682">
        <v>66.72</v>
      </c>
      <c r="N6682" t="s">
        <v>10236</v>
      </c>
    </row>
    <row r="6683" spans="1:14">
      <c r="A6683" t="s">
        <v>213</v>
      </c>
      <c r="B6683" t="s">
        <v>6776</v>
      </c>
      <c r="C6683">
        <f>"500623"</f>
        <v>0</v>
      </c>
      <c r="D6683">
        <v>0</v>
      </c>
      <c r="E6683">
        <v>1</v>
      </c>
      <c r="F6683" s="2">
        <v>9</v>
      </c>
      <c r="H6683">
        <v>0</v>
      </c>
      <c r="I6683">
        <v>0.1741125760648204</v>
      </c>
      <c r="J6683">
        <v>0</v>
      </c>
      <c r="K6683">
        <v>0</v>
      </c>
      <c r="L6683" s="2">
        <v>0</v>
      </c>
      <c r="M6683">
        <v>66.73</v>
      </c>
      <c r="N6683" t="s">
        <v>10236</v>
      </c>
    </row>
    <row r="6684" spans="1:14">
      <c r="A6684" t="s">
        <v>35</v>
      </c>
      <c r="B6684" t="s">
        <v>6777</v>
      </c>
      <c r="C6684">
        <f>"JW5041MA"</f>
        <v>0</v>
      </c>
      <c r="D6684">
        <v>0</v>
      </c>
      <c r="E6684">
        <v>0</v>
      </c>
      <c r="F6684" s="2">
        <v>0</v>
      </c>
      <c r="H6684">
        <v>0</v>
      </c>
      <c r="I6684">
        <v>0.1741125760648204</v>
      </c>
      <c r="J6684">
        <v>0</v>
      </c>
      <c r="K6684">
        <v>0</v>
      </c>
      <c r="L6684" s="2">
        <v>0</v>
      </c>
      <c r="M6684">
        <v>66.73999999999999</v>
      </c>
      <c r="N6684" t="s">
        <v>10236</v>
      </c>
    </row>
    <row r="6685" spans="1:14">
      <c r="A6685" t="s">
        <v>35</v>
      </c>
      <c r="B6685" t="s">
        <v>6778</v>
      </c>
      <c r="C6685">
        <f>"JW5041LR"</f>
        <v>0</v>
      </c>
      <c r="D6685">
        <v>0</v>
      </c>
      <c r="E6685">
        <v>0</v>
      </c>
      <c r="F6685" s="2">
        <v>0</v>
      </c>
      <c r="H6685">
        <v>0</v>
      </c>
      <c r="I6685">
        <v>0.1741125760648204</v>
      </c>
      <c r="J6685">
        <v>0</v>
      </c>
      <c r="K6685">
        <v>0</v>
      </c>
      <c r="L6685" s="2">
        <v>0</v>
      </c>
      <c r="M6685">
        <v>66.75</v>
      </c>
      <c r="N6685" t="s">
        <v>10236</v>
      </c>
    </row>
    <row r="6686" spans="1:14">
      <c r="A6686" t="s">
        <v>35</v>
      </c>
      <c r="B6686" t="s">
        <v>6779</v>
      </c>
      <c r="C6686">
        <f>"JW5041LRJ"</f>
        <v>0</v>
      </c>
      <c r="D6686">
        <v>0</v>
      </c>
      <c r="E6686">
        <v>0</v>
      </c>
      <c r="F6686" s="2">
        <v>0</v>
      </c>
      <c r="H6686">
        <v>0</v>
      </c>
      <c r="I6686">
        <v>0.1741125760648204</v>
      </c>
      <c r="J6686">
        <v>0</v>
      </c>
      <c r="K6686">
        <v>0</v>
      </c>
      <c r="L6686" s="2">
        <v>0</v>
      </c>
      <c r="M6686">
        <v>66.76000000000001</v>
      </c>
      <c r="N6686" t="s">
        <v>10236</v>
      </c>
    </row>
    <row r="6687" spans="1:14">
      <c r="A6687" t="s">
        <v>35</v>
      </c>
      <c r="B6687" t="s">
        <v>6780</v>
      </c>
      <c r="C6687">
        <f>"JW5041LN"</f>
        <v>0</v>
      </c>
      <c r="D6687">
        <v>0</v>
      </c>
      <c r="E6687">
        <v>0</v>
      </c>
      <c r="F6687" s="2">
        <v>0</v>
      </c>
      <c r="H6687">
        <v>0</v>
      </c>
      <c r="I6687">
        <v>0.1741125760648204</v>
      </c>
      <c r="J6687">
        <v>0</v>
      </c>
      <c r="K6687">
        <v>0</v>
      </c>
      <c r="L6687" s="2">
        <v>0</v>
      </c>
      <c r="M6687">
        <v>66.77</v>
      </c>
      <c r="N6687" t="s">
        <v>10236</v>
      </c>
    </row>
    <row r="6688" spans="1:14">
      <c r="A6688" t="s">
        <v>35</v>
      </c>
      <c r="B6688" t="s">
        <v>6781</v>
      </c>
      <c r="C6688">
        <f>"JW5041M"</f>
        <v>0</v>
      </c>
      <c r="D6688">
        <v>0</v>
      </c>
      <c r="E6688">
        <v>1</v>
      </c>
      <c r="F6688" s="2">
        <v>801</v>
      </c>
      <c r="H6688">
        <v>0</v>
      </c>
      <c r="I6688">
        <v>0.1741125760648204</v>
      </c>
      <c r="J6688">
        <v>0</v>
      </c>
      <c r="K6688">
        <v>0</v>
      </c>
      <c r="L6688" s="2">
        <v>0</v>
      </c>
      <c r="M6688">
        <v>66.78</v>
      </c>
      <c r="N6688" t="s">
        <v>10236</v>
      </c>
    </row>
    <row r="6689" spans="1:14">
      <c r="A6689" t="s">
        <v>35</v>
      </c>
      <c r="B6689" t="s">
        <v>6782</v>
      </c>
      <c r="C6689">
        <f>"JW5041L"</f>
        <v>0</v>
      </c>
      <c r="D6689">
        <v>0</v>
      </c>
      <c r="E6689">
        <v>0</v>
      </c>
      <c r="F6689" s="2">
        <v>0</v>
      </c>
      <c r="H6689">
        <v>0</v>
      </c>
      <c r="I6689">
        <v>0.1741125760648204</v>
      </c>
      <c r="J6689">
        <v>0</v>
      </c>
      <c r="K6689">
        <v>0</v>
      </c>
      <c r="L6689" s="2">
        <v>0</v>
      </c>
      <c r="M6689">
        <v>66.78</v>
      </c>
      <c r="N6689" t="s">
        <v>10236</v>
      </c>
    </row>
    <row r="6690" spans="1:14">
      <c r="A6690" t="s">
        <v>35</v>
      </c>
      <c r="B6690" t="s">
        <v>6783</v>
      </c>
      <c r="C6690">
        <f>"KSJS"</f>
        <v>0</v>
      </c>
      <c r="D6690">
        <v>0</v>
      </c>
      <c r="E6690">
        <v>7</v>
      </c>
      <c r="F6690" s="2">
        <v>1</v>
      </c>
      <c r="H6690">
        <v>0</v>
      </c>
      <c r="I6690">
        <v>0.1741125760648204</v>
      </c>
      <c r="J6690">
        <v>0</v>
      </c>
      <c r="K6690">
        <v>0</v>
      </c>
      <c r="L6690" s="2">
        <v>0</v>
      </c>
      <c r="M6690">
        <v>66.79000000000001</v>
      </c>
      <c r="N6690" t="s">
        <v>10236</v>
      </c>
    </row>
    <row r="6691" spans="1:14">
      <c r="A6691" t="s">
        <v>35</v>
      </c>
      <c r="B6691" t="s">
        <v>6784</v>
      </c>
      <c r="C6691">
        <f>"KSJM"</f>
        <v>0</v>
      </c>
      <c r="D6691">
        <v>0</v>
      </c>
      <c r="E6691">
        <v>6</v>
      </c>
      <c r="F6691" s="2">
        <v>1</v>
      </c>
      <c r="H6691">
        <v>0</v>
      </c>
      <c r="I6691">
        <v>0.1741125760648204</v>
      </c>
      <c r="J6691">
        <v>0</v>
      </c>
      <c r="K6691">
        <v>0</v>
      </c>
      <c r="L6691" s="2">
        <v>0</v>
      </c>
      <c r="M6691">
        <v>66.8</v>
      </c>
      <c r="N6691" t="s">
        <v>10236</v>
      </c>
    </row>
    <row r="6692" spans="1:14">
      <c r="A6692" t="s">
        <v>35</v>
      </c>
      <c r="B6692" t="s">
        <v>6785</v>
      </c>
      <c r="C6692">
        <f>"KSJL"</f>
        <v>0</v>
      </c>
      <c r="D6692">
        <v>0</v>
      </c>
      <c r="E6692">
        <v>8</v>
      </c>
      <c r="F6692" s="2">
        <v>2</v>
      </c>
      <c r="H6692">
        <v>0</v>
      </c>
      <c r="I6692">
        <v>0.1741125760648204</v>
      </c>
      <c r="J6692">
        <v>0</v>
      </c>
      <c r="K6692">
        <v>0</v>
      </c>
      <c r="L6692" s="2">
        <v>0</v>
      </c>
      <c r="M6692">
        <v>66.81</v>
      </c>
      <c r="N6692" t="s">
        <v>10236</v>
      </c>
    </row>
    <row r="6693" spans="1:14">
      <c r="A6693" t="s">
        <v>35</v>
      </c>
      <c r="B6693" t="s">
        <v>6786</v>
      </c>
      <c r="C6693">
        <f>"lx3070"</f>
        <v>0</v>
      </c>
      <c r="D6693">
        <v>0</v>
      </c>
      <c r="E6693">
        <v>0</v>
      </c>
      <c r="F6693" s="2">
        <v>0</v>
      </c>
      <c r="H6693">
        <v>0</v>
      </c>
      <c r="I6693">
        <v>0.1741125760648204</v>
      </c>
      <c r="J6693">
        <v>0</v>
      </c>
      <c r="K6693">
        <v>0</v>
      </c>
      <c r="L6693" s="2">
        <v>0</v>
      </c>
      <c r="M6693">
        <v>66.81999999999999</v>
      </c>
      <c r="N6693" t="s">
        <v>10236</v>
      </c>
    </row>
    <row r="6694" spans="1:14">
      <c r="A6694" t="s">
        <v>196</v>
      </c>
      <c r="B6694" t="s">
        <v>6787</v>
      </c>
      <c r="C6694">
        <f>"2446"</f>
        <v>0</v>
      </c>
      <c r="D6694">
        <v>0</v>
      </c>
      <c r="E6694">
        <v>2</v>
      </c>
      <c r="F6694" s="2">
        <v>3</v>
      </c>
      <c r="H6694">
        <v>0</v>
      </c>
      <c r="I6694">
        <v>0.1741125760648204</v>
      </c>
      <c r="J6694">
        <v>0</v>
      </c>
      <c r="K6694">
        <v>0</v>
      </c>
      <c r="L6694" s="2">
        <v>0</v>
      </c>
      <c r="M6694">
        <v>66.83</v>
      </c>
      <c r="N6694" t="s">
        <v>10236</v>
      </c>
    </row>
    <row r="6695" spans="1:14">
      <c r="A6695" t="s">
        <v>35</v>
      </c>
      <c r="B6695" t="s">
        <v>6788</v>
      </c>
      <c r="C6695">
        <f>"LS3070"</f>
        <v>0</v>
      </c>
      <c r="D6695">
        <v>0</v>
      </c>
      <c r="E6695">
        <v>0</v>
      </c>
      <c r="F6695" s="2">
        <v>0</v>
      </c>
      <c r="H6695">
        <v>0</v>
      </c>
      <c r="I6695">
        <v>0.1741125760648204</v>
      </c>
      <c r="J6695">
        <v>0</v>
      </c>
      <c r="K6695">
        <v>0</v>
      </c>
      <c r="L6695" s="2">
        <v>0</v>
      </c>
      <c r="M6695">
        <v>66.84</v>
      </c>
      <c r="N6695" t="s">
        <v>10236</v>
      </c>
    </row>
    <row r="6696" spans="1:14">
      <c r="A6696" t="s">
        <v>35</v>
      </c>
      <c r="B6696" t="s">
        <v>6789</v>
      </c>
      <c r="C6696">
        <f>"LX2040"</f>
        <v>0</v>
      </c>
      <c r="D6696">
        <v>0</v>
      </c>
      <c r="E6696">
        <v>0</v>
      </c>
      <c r="F6696" s="2">
        <v>0</v>
      </c>
      <c r="H6696">
        <v>0</v>
      </c>
      <c r="I6696">
        <v>0.1741125760648204</v>
      </c>
      <c r="J6696">
        <v>0</v>
      </c>
      <c r="K6696">
        <v>0</v>
      </c>
      <c r="L6696" s="2">
        <v>0</v>
      </c>
      <c r="M6696">
        <v>66.84999999999999</v>
      </c>
      <c r="N6696" t="s">
        <v>10236</v>
      </c>
    </row>
    <row r="6697" spans="1:14">
      <c r="A6697" t="s">
        <v>35</v>
      </c>
      <c r="B6697" t="s">
        <v>6790</v>
      </c>
      <c r="C6697">
        <f>"LX2550"</f>
        <v>0</v>
      </c>
      <c r="D6697">
        <v>0</v>
      </c>
      <c r="E6697">
        <v>0</v>
      </c>
      <c r="F6697" s="2">
        <v>0</v>
      </c>
      <c r="H6697">
        <v>0</v>
      </c>
      <c r="I6697">
        <v>0.1741125760648204</v>
      </c>
      <c r="J6697">
        <v>0</v>
      </c>
      <c r="K6697">
        <v>0</v>
      </c>
      <c r="L6697" s="2">
        <v>0</v>
      </c>
      <c r="M6697">
        <v>66.86</v>
      </c>
      <c r="N6697" t="s">
        <v>10236</v>
      </c>
    </row>
    <row r="6698" spans="1:14">
      <c r="A6698" t="s">
        <v>35</v>
      </c>
      <c r="B6698" t="s">
        <v>6791</v>
      </c>
      <c r="C6698">
        <f>"LX3060"</f>
        <v>0</v>
      </c>
      <c r="D6698">
        <v>0</v>
      </c>
      <c r="E6698">
        <v>0</v>
      </c>
      <c r="F6698" s="2">
        <v>0</v>
      </c>
      <c r="H6698">
        <v>0</v>
      </c>
      <c r="I6698">
        <v>0.1741125760648204</v>
      </c>
      <c r="J6698">
        <v>0</v>
      </c>
      <c r="K6698">
        <v>0</v>
      </c>
      <c r="L6698" s="2">
        <v>0</v>
      </c>
      <c r="M6698">
        <v>66.87</v>
      </c>
      <c r="N6698" t="s">
        <v>10236</v>
      </c>
    </row>
    <row r="6699" spans="1:14">
      <c r="A6699" t="s">
        <v>35</v>
      </c>
      <c r="B6699" t="s">
        <v>6792</v>
      </c>
      <c r="C6699">
        <f>"JW5041MN"</f>
        <v>0</v>
      </c>
      <c r="D6699">
        <v>0</v>
      </c>
      <c r="E6699">
        <v>0</v>
      </c>
      <c r="F6699" s="2">
        <v>0</v>
      </c>
      <c r="H6699">
        <v>0</v>
      </c>
      <c r="I6699">
        <v>0.1741125760648204</v>
      </c>
      <c r="J6699">
        <v>0</v>
      </c>
      <c r="K6699">
        <v>0</v>
      </c>
      <c r="L6699" s="2">
        <v>0</v>
      </c>
      <c r="M6699">
        <v>66.88</v>
      </c>
      <c r="N6699" t="s">
        <v>10236</v>
      </c>
    </row>
    <row r="6700" spans="1:14">
      <c r="A6700" t="s">
        <v>35</v>
      </c>
      <c r="B6700" t="s">
        <v>6793</v>
      </c>
      <c r="C6700">
        <f>"HP152SG"</f>
        <v>0</v>
      </c>
      <c r="D6700">
        <v>0</v>
      </c>
      <c r="E6700">
        <v>0</v>
      </c>
      <c r="F6700" s="2">
        <v>0</v>
      </c>
      <c r="H6700">
        <v>0</v>
      </c>
      <c r="I6700">
        <v>0.1741125760648204</v>
      </c>
      <c r="J6700">
        <v>0</v>
      </c>
      <c r="K6700">
        <v>0</v>
      </c>
      <c r="L6700" s="2">
        <v>0</v>
      </c>
      <c r="M6700">
        <v>66.89</v>
      </c>
      <c r="N6700" t="s">
        <v>10236</v>
      </c>
    </row>
    <row r="6701" spans="1:14">
      <c r="A6701" t="s">
        <v>35</v>
      </c>
      <c r="B6701" t="s">
        <v>6794</v>
      </c>
      <c r="C6701">
        <f>"HH032XL"</f>
        <v>0</v>
      </c>
      <c r="D6701">
        <v>0</v>
      </c>
      <c r="E6701">
        <v>1</v>
      </c>
      <c r="F6701" s="2">
        <v>11</v>
      </c>
      <c r="H6701">
        <v>0</v>
      </c>
      <c r="I6701">
        <v>0.1741125760648204</v>
      </c>
      <c r="J6701">
        <v>0</v>
      </c>
      <c r="K6701">
        <v>0</v>
      </c>
      <c r="L6701" s="2">
        <v>0</v>
      </c>
      <c r="M6701">
        <v>66.90000000000001</v>
      </c>
      <c r="N6701" t="s">
        <v>10236</v>
      </c>
    </row>
    <row r="6702" spans="1:14">
      <c r="A6702" t="s">
        <v>35</v>
      </c>
      <c r="B6702" t="s">
        <v>6795</v>
      </c>
      <c r="C6702">
        <f>"HH032S"</f>
        <v>0</v>
      </c>
      <c r="D6702">
        <v>0</v>
      </c>
      <c r="E6702">
        <v>5</v>
      </c>
      <c r="F6702" s="2">
        <v>8</v>
      </c>
      <c r="H6702">
        <v>0</v>
      </c>
      <c r="I6702">
        <v>0.1741125760648204</v>
      </c>
      <c r="J6702">
        <v>0</v>
      </c>
      <c r="K6702">
        <v>0</v>
      </c>
      <c r="L6702" s="2">
        <v>0</v>
      </c>
      <c r="M6702">
        <v>66.90000000000001</v>
      </c>
      <c r="N6702" t="s">
        <v>10236</v>
      </c>
    </row>
    <row r="6703" spans="1:14">
      <c r="A6703" t="s">
        <v>35</v>
      </c>
      <c r="B6703" t="s">
        <v>6796</v>
      </c>
      <c r="C6703">
        <f>"HH032M"</f>
        <v>0</v>
      </c>
      <c r="D6703">
        <v>0</v>
      </c>
      <c r="E6703">
        <v>6</v>
      </c>
      <c r="F6703" s="2">
        <v>9</v>
      </c>
      <c r="H6703">
        <v>0</v>
      </c>
      <c r="I6703">
        <v>0.1741125760648204</v>
      </c>
      <c r="J6703">
        <v>0</v>
      </c>
      <c r="K6703">
        <v>0</v>
      </c>
      <c r="L6703" s="2">
        <v>0</v>
      </c>
      <c r="M6703">
        <v>66.91</v>
      </c>
      <c r="N6703" t="s">
        <v>10236</v>
      </c>
    </row>
    <row r="6704" spans="1:14">
      <c r="A6704" t="s">
        <v>35</v>
      </c>
      <c r="B6704" t="s">
        <v>6797</v>
      </c>
      <c r="C6704">
        <f>"HH032L"</f>
        <v>0</v>
      </c>
      <c r="D6704">
        <v>0</v>
      </c>
      <c r="E6704">
        <v>3</v>
      </c>
      <c r="F6704" s="2">
        <v>10</v>
      </c>
      <c r="H6704">
        <v>0</v>
      </c>
      <c r="I6704">
        <v>0.1741125760648204</v>
      </c>
      <c r="J6704">
        <v>0</v>
      </c>
      <c r="K6704">
        <v>0</v>
      </c>
      <c r="L6704" s="2">
        <v>0</v>
      </c>
      <c r="M6704">
        <v>66.92</v>
      </c>
      <c r="N6704" t="s">
        <v>10236</v>
      </c>
    </row>
    <row r="6705" spans="1:14">
      <c r="A6705" t="s">
        <v>35</v>
      </c>
      <c r="B6705" t="s">
        <v>6798</v>
      </c>
      <c r="C6705">
        <f>"HH088XXLCA"</f>
        <v>0</v>
      </c>
      <c r="D6705">
        <v>0</v>
      </c>
      <c r="E6705">
        <v>2</v>
      </c>
      <c r="F6705" s="2">
        <v>12</v>
      </c>
      <c r="H6705">
        <v>0</v>
      </c>
      <c r="I6705">
        <v>0.1741125760648204</v>
      </c>
      <c r="J6705">
        <v>0</v>
      </c>
      <c r="K6705">
        <v>0</v>
      </c>
      <c r="L6705" s="2">
        <v>0</v>
      </c>
      <c r="M6705">
        <v>66.93000000000001</v>
      </c>
      <c r="N6705" t="s">
        <v>10236</v>
      </c>
    </row>
    <row r="6706" spans="1:14">
      <c r="A6706" t="s">
        <v>35</v>
      </c>
      <c r="B6706" t="s">
        <v>6799</v>
      </c>
      <c r="C6706">
        <f>"HH088XSCA"</f>
        <v>0</v>
      </c>
      <c r="D6706">
        <v>0</v>
      </c>
      <c r="E6706">
        <v>5</v>
      </c>
      <c r="F6706" s="2">
        <v>7</v>
      </c>
      <c r="H6706">
        <v>0</v>
      </c>
      <c r="I6706">
        <v>0.1741125760648204</v>
      </c>
      <c r="J6706">
        <v>0</v>
      </c>
      <c r="K6706">
        <v>0</v>
      </c>
      <c r="L6706" s="2">
        <v>0</v>
      </c>
      <c r="M6706">
        <v>66.94</v>
      </c>
      <c r="N6706" t="s">
        <v>10236</v>
      </c>
    </row>
    <row r="6707" spans="1:14">
      <c r="A6707" t="s">
        <v>35</v>
      </c>
      <c r="B6707" t="s">
        <v>6800</v>
      </c>
      <c r="C6707">
        <f>"HH088XLCA"</f>
        <v>0</v>
      </c>
      <c r="D6707">
        <v>0</v>
      </c>
      <c r="E6707">
        <v>0</v>
      </c>
      <c r="F6707" s="2">
        <v>0</v>
      </c>
      <c r="H6707">
        <v>0</v>
      </c>
      <c r="I6707">
        <v>0.1741125760648204</v>
      </c>
      <c r="J6707">
        <v>0</v>
      </c>
      <c r="K6707">
        <v>0</v>
      </c>
      <c r="L6707" s="2">
        <v>0</v>
      </c>
      <c r="M6707">
        <v>66.95</v>
      </c>
      <c r="N6707" t="s">
        <v>10236</v>
      </c>
    </row>
    <row r="6708" spans="1:14">
      <c r="A6708" t="s">
        <v>35</v>
      </c>
      <c r="B6708" t="s">
        <v>6801</v>
      </c>
      <c r="C6708">
        <f>"HH088SCA"</f>
        <v>0</v>
      </c>
      <c r="D6708">
        <v>0</v>
      </c>
      <c r="E6708">
        <v>1</v>
      </c>
      <c r="F6708" s="2">
        <v>10</v>
      </c>
      <c r="H6708">
        <v>0</v>
      </c>
      <c r="I6708">
        <v>0.1741125760648204</v>
      </c>
      <c r="J6708">
        <v>0</v>
      </c>
      <c r="K6708">
        <v>0</v>
      </c>
      <c r="L6708" s="2">
        <v>0</v>
      </c>
      <c r="M6708">
        <v>66.95999999999999</v>
      </c>
      <c r="N6708" t="s">
        <v>10236</v>
      </c>
    </row>
    <row r="6709" spans="1:14">
      <c r="A6709" t="s">
        <v>35</v>
      </c>
      <c r="B6709" t="s">
        <v>6802</v>
      </c>
      <c r="C6709">
        <f>"HH088MCA"</f>
        <v>0</v>
      </c>
      <c r="D6709">
        <v>0</v>
      </c>
      <c r="E6709">
        <v>0</v>
      </c>
      <c r="F6709" s="2">
        <v>0</v>
      </c>
      <c r="H6709">
        <v>0</v>
      </c>
      <c r="I6709">
        <v>0.1741125760648204</v>
      </c>
      <c r="J6709">
        <v>0</v>
      </c>
      <c r="K6709">
        <v>0</v>
      </c>
      <c r="L6709" s="2">
        <v>0</v>
      </c>
      <c r="M6709">
        <v>66.97</v>
      </c>
      <c r="N6709" t="s">
        <v>10236</v>
      </c>
    </row>
    <row r="6710" spans="1:14">
      <c r="A6710" t="s">
        <v>35</v>
      </c>
      <c r="B6710" t="s">
        <v>2303</v>
      </c>
      <c r="C6710">
        <f>"HP152CC"</f>
        <v>0</v>
      </c>
      <c r="D6710">
        <v>0</v>
      </c>
      <c r="E6710">
        <v>0</v>
      </c>
      <c r="F6710" s="2">
        <v>0</v>
      </c>
      <c r="H6710">
        <v>0</v>
      </c>
      <c r="I6710">
        <v>0.1741125760648204</v>
      </c>
      <c r="J6710">
        <v>0</v>
      </c>
      <c r="K6710">
        <v>0</v>
      </c>
      <c r="L6710" s="2">
        <v>0</v>
      </c>
      <c r="M6710">
        <v>66.98</v>
      </c>
      <c r="N6710" t="s">
        <v>10236</v>
      </c>
    </row>
    <row r="6711" spans="1:14">
      <c r="A6711" t="s">
        <v>35</v>
      </c>
      <c r="B6711" t="s">
        <v>2303</v>
      </c>
      <c r="C6711">
        <f>"HP152MCA"</f>
        <v>0</v>
      </c>
      <c r="D6711">
        <v>0</v>
      </c>
      <c r="E6711">
        <v>0</v>
      </c>
      <c r="F6711" s="2">
        <v>0</v>
      </c>
      <c r="H6711">
        <v>0</v>
      </c>
      <c r="I6711">
        <v>0.1741125760648204</v>
      </c>
      <c r="J6711">
        <v>0</v>
      </c>
      <c r="K6711">
        <v>0</v>
      </c>
      <c r="L6711" s="2">
        <v>0</v>
      </c>
      <c r="M6711">
        <v>66.98999999999999</v>
      </c>
      <c r="N6711" t="s">
        <v>10236</v>
      </c>
    </row>
    <row r="6712" spans="1:14">
      <c r="A6712" t="s">
        <v>35</v>
      </c>
      <c r="B6712" t="s">
        <v>2303</v>
      </c>
      <c r="C6712">
        <f>"HP152MC"</f>
        <v>0</v>
      </c>
      <c r="D6712">
        <v>0</v>
      </c>
      <c r="E6712">
        <v>2</v>
      </c>
      <c r="F6712" s="2">
        <v>5</v>
      </c>
      <c r="H6712">
        <v>0</v>
      </c>
      <c r="I6712">
        <v>0.1741125760648204</v>
      </c>
      <c r="J6712">
        <v>0</v>
      </c>
      <c r="K6712">
        <v>0</v>
      </c>
      <c r="L6712" s="2">
        <v>0</v>
      </c>
      <c r="M6712">
        <v>67</v>
      </c>
      <c r="N6712" t="s">
        <v>10236</v>
      </c>
    </row>
    <row r="6713" spans="1:14">
      <c r="A6713" t="s">
        <v>35</v>
      </c>
      <c r="B6713" t="s">
        <v>6803</v>
      </c>
      <c r="C6713">
        <f>"4000548"</f>
        <v>0</v>
      </c>
      <c r="D6713">
        <v>0</v>
      </c>
      <c r="E6713">
        <v>0</v>
      </c>
      <c r="F6713" s="2">
        <v>0</v>
      </c>
      <c r="H6713">
        <v>0</v>
      </c>
      <c r="I6713">
        <v>0.1741125760648204</v>
      </c>
      <c r="J6713">
        <v>0</v>
      </c>
      <c r="K6713">
        <v>0</v>
      </c>
      <c r="L6713" s="2">
        <v>0</v>
      </c>
      <c r="M6713">
        <v>67.01000000000001</v>
      </c>
      <c r="N6713" t="s">
        <v>10236</v>
      </c>
    </row>
    <row r="6714" spans="1:14">
      <c r="A6714" t="s">
        <v>35</v>
      </c>
      <c r="B6714" t="s">
        <v>6804</v>
      </c>
      <c r="C6714">
        <f>"KX4130"</f>
        <v>0</v>
      </c>
      <c r="D6714">
        <v>0</v>
      </c>
      <c r="E6714">
        <v>0</v>
      </c>
      <c r="F6714" s="2">
        <v>0</v>
      </c>
      <c r="H6714">
        <v>0</v>
      </c>
      <c r="I6714">
        <v>0.1741125760648204</v>
      </c>
      <c r="J6714">
        <v>0</v>
      </c>
      <c r="K6714">
        <v>0</v>
      </c>
      <c r="L6714" s="2">
        <v>0</v>
      </c>
      <c r="M6714">
        <v>67.02</v>
      </c>
      <c r="N6714" t="s">
        <v>10236</v>
      </c>
    </row>
    <row r="6715" spans="1:14">
      <c r="A6715" t="s">
        <v>35</v>
      </c>
      <c r="B6715" t="s">
        <v>257</v>
      </c>
      <c r="C6715">
        <f>"KX1091ROJ"</f>
        <v>0</v>
      </c>
      <c r="D6715">
        <v>0</v>
      </c>
      <c r="E6715">
        <v>0</v>
      </c>
      <c r="F6715" s="2">
        <v>0</v>
      </c>
      <c r="H6715">
        <v>0</v>
      </c>
      <c r="I6715">
        <v>0.1741125760648204</v>
      </c>
      <c r="J6715">
        <v>0</v>
      </c>
      <c r="K6715">
        <v>0</v>
      </c>
      <c r="L6715" s="2">
        <v>0</v>
      </c>
      <c r="M6715">
        <v>67.02</v>
      </c>
      <c r="N6715" t="s">
        <v>10236</v>
      </c>
    </row>
    <row r="6716" spans="1:14">
      <c r="A6716" t="s">
        <v>35</v>
      </c>
      <c r="B6716" t="s">
        <v>6805</v>
      </c>
      <c r="C6716">
        <f>"EPTK5"</f>
        <v>0</v>
      </c>
      <c r="D6716">
        <v>0</v>
      </c>
      <c r="E6716">
        <v>24</v>
      </c>
      <c r="F6716" s="2">
        <v>1</v>
      </c>
      <c r="H6716">
        <v>0</v>
      </c>
      <c r="I6716">
        <v>0.1741125760648204</v>
      </c>
      <c r="J6716">
        <v>0</v>
      </c>
      <c r="K6716">
        <v>0</v>
      </c>
      <c r="L6716" s="2">
        <v>0</v>
      </c>
      <c r="M6716">
        <v>67.03</v>
      </c>
      <c r="N6716" t="s">
        <v>10236</v>
      </c>
    </row>
    <row r="6717" spans="1:14">
      <c r="A6717" t="s">
        <v>35</v>
      </c>
      <c r="B6717" t="s">
        <v>257</v>
      </c>
      <c r="C6717">
        <f>"KX1091CEL"</f>
        <v>0</v>
      </c>
      <c r="D6717">
        <v>0</v>
      </c>
      <c r="E6717">
        <v>0</v>
      </c>
      <c r="F6717" s="2">
        <v>0</v>
      </c>
      <c r="H6717">
        <v>0</v>
      </c>
      <c r="I6717">
        <v>0.1741125760648204</v>
      </c>
      <c r="J6717">
        <v>0</v>
      </c>
      <c r="K6717">
        <v>0</v>
      </c>
      <c r="L6717" s="2">
        <v>0</v>
      </c>
      <c r="M6717">
        <v>67.04000000000001</v>
      </c>
      <c r="N6717" t="s">
        <v>10236</v>
      </c>
    </row>
    <row r="6718" spans="1:14">
      <c r="A6718" t="s">
        <v>35</v>
      </c>
      <c r="B6718" t="s">
        <v>6806</v>
      </c>
      <c r="C6718">
        <f>"CA10CK"</f>
        <v>0</v>
      </c>
      <c r="D6718">
        <v>0</v>
      </c>
      <c r="E6718">
        <v>0</v>
      </c>
      <c r="F6718" s="2">
        <v>0</v>
      </c>
      <c r="H6718">
        <v>0</v>
      </c>
      <c r="I6718">
        <v>0.1741125760648204</v>
      </c>
      <c r="J6718">
        <v>0</v>
      </c>
      <c r="K6718">
        <v>0</v>
      </c>
      <c r="L6718" s="2">
        <v>0</v>
      </c>
      <c r="M6718">
        <v>67.05</v>
      </c>
      <c r="N6718" t="s">
        <v>10236</v>
      </c>
    </row>
    <row r="6719" spans="1:14">
      <c r="A6719" t="s">
        <v>35</v>
      </c>
      <c r="B6719" t="s">
        <v>6807</v>
      </c>
      <c r="C6719">
        <f>"KLM13"</f>
        <v>0</v>
      </c>
      <c r="D6719">
        <v>0</v>
      </c>
      <c r="E6719">
        <v>0</v>
      </c>
      <c r="F6719" s="2">
        <v>0</v>
      </c>
      <c r="H6719">
        <v>0</v>
      </c>
      <c r="I6719">
        <v>0.1741125760648204</v>
      </c>
      <c r="J6719">
        <v>0</v>
      </c>
      <c r="K6719">
        <v>0</v>
      </c>
      <c r="L6719" s="2">
        <v>0</v>
      </c>
      <c r="M6719">
        <v>67.06</v>
      </c>
      <c r="N6719" t="s">
        <v>10236</v>
      </c>
    </row>
    <row r="6720" spans="1:14">
      <c r="A6720" t="s">
        <v>35</v>
      </c>
      <c r="B6720" t="s">
        <v>6808</v>
      </c>
      <c r="C6720">
        <f>"CA1022CA1006"</f>
        <v>0</v>
      </c>
      <c r="D6720">
        <v>0</v>
      </c>
      <c r="E6720">
        <v>0</v>
      </c>
      <c r="F6720" s="2">
        <v>0</v>
      </c>
      <c r="H6720">
        <v>0</v>
      </c>
      <c r="I6720">
        <v>0.1741125760648204</v>
      </c>
      <c r="J6720">
        <v>0</v>
      </c>
      <c r="K6720">
        <v>0</v>
      </c>
      <c r="L6720" s="2">
        <v>0</v>
      </c>
      <c r="M6720">
        <v>67.06999999999999</v>
      </c>
      <c r="N6720" t="s">
        <v>10236</v>
      </c>
    </row>
    <row r="6721" spans="1:14">
      <c r="A6721" t="s">
        <v>35</v>
      </c>
      <c r="B6721" t="s">
        <v>6809</v>
      </c>
      <c r="C6721">
        <f>"CA1014"</f>
        <v>0</v>
      </c>
      <c r="D6721">
        <v>0</v>
      </c>
      <c r="E6721">
        <v>0</v>
      </c>
      <c r="F6721" s="2">
        <v>0</v>
      </c>
      <c r="H6721">
        <v>0</v>
      </c>
      <c r="I6721">
        <v>0.1741125760648204</v>
      </c>
      <c r="J6721">
        <v>0</v>
      </c>
      <c r="K6721">
        <v>0</v>
      </c>
      <c r="L6721" s="2">
        <v>0</v>
      </c>
      <c r="M6721">
        <v>67.08</v>
      </c>
      <c r="N6721" t="s">
        <v>10236</v>
      </c>
    </row>
    <row r="6722" spans="1:14">
      <c r="A6722" t="s">
        <v>35</v>
      </c>
      <c r="B6722" t="s">
        <v>6810</v>
      </c>
      <c r="C6722">
        <f>"CP233S"</f>
        <v>0</v>
      </c>
      <c r="D6722">
        <v>0</v>
      </c>
      <c r="E6722">
        <v>0</v>
      </c>
      <c r="F6722" s="2">
        <v>0</v>
      </c>
      <c r="H6722">
        <v>0</v>
      </c>
      <c r="I6722">
        <v>0.1741125760648204</v>
      </c>
      <c r="J6722">
        <v>0</v>
      </c>
      <c r="K6722">
        <v>0</v>
      </c>
      <c r="L6722" s="2">
        <v>0</v>
      </c>
      <c r="M6722">
        <v>67.09</v>
      </c>
      <c r="N6722" t="s">
        <v>10236</v>
      </c>
    </row>
    <row r="6723" spans="1:14">
      <c r="A6723" t="s">
        <v>35</v>
      </c>
      <c r="B6723" t="s">
        <v>6811</v>
      </c>
      <c r="C6723">
        <f>"PQ02"</f>
        <v>0</v>
      </c>
      <c r="D6723">
        <v>0</v>
      </c>
      <c r="E6723">
        <v>0</v>
      </c>
      <c r="F6723" s="2">
        <v>0</v>
      </c>
      <c r="H6723">
        <v>0</v>
      </c>
      <c r="I6723">
        <v>0.1741125760648204</v>
      </c>
      <c r="J6723">
        <v>0</v>
      </c>
      <c r="K6723">
        <v>0</v>
      </c>
      <c r="L6723" s="2">
        <v>0</v>
      </c>
      <c r="M6723">
        <v>67.09999999999999</v>
      </c>
      <c r="N6723" t="s">
        <v>10236</v>
      </c>
    </row>
    <row r="6724" spans="1:14">
      <c r="A6724" t="s">
        <v>35</v>
      </c>
      <c r="B6724" t="s">
        <v>6812</v>
      </c>
      <c r="C6724">
        <f>"PQ04"</f>
        <v>0</v>
      </c>
      <c r="D6724">
        <v>0</v>
      </c>
      <c r="E6724">
        <v>0</v>
      </c>
      <c r="F6724" s="2">
        <v>0</v>
      </c>
      <c r="H6724">
        <v>0</v>
      </c>
      <c r="I6724">
        <v>0.1741125760648204</v>
      </c>
      <c r="J6724">
        <v>0</v>
      </c>
      <c r="K6724">
        <v>0</v>
      </c>
      <c r="L6724" s="2">
        <v>0</v>
      </c>
      <c r="M6724">
        <v>67.11</v>
      </c>
      <c r="N6724" t="s">
        <v>10236</v>
      </c>
    </row>
    <row r="6725" spans="1:14">
      <c r="A6725" t="s">
        <v>35</v>
      </c>
      <c r="B6725" t="s">
        <v>6813</v>
      </c>
      <c r="C6725">
        <f>"CA1002"</f>
        <v>0</v>
      </c>
      <c r="D6725">
        <v>0</v>
      </c>
      <c r="E6725">
        <v>0</v>
      </c>
      <c r="F6725" s="2">
        <v>0</v>
      </c>
      <c r="H6725">
        <v>0</v>
      </c>
      <c r="I6725">
        <v>0.1741125760648204</v>
      </c>
      <c r="J6725">
        <v>0</v>
      </c>
      <c r="K6725">
        <v>0</v>
      </c>
      <c r="L6725" s="2">
        <v>0</v>
      </c>
      <c r="M6725">
        <v>67.12</v>
      </c>
      <c r="N6725" t="s">
        <v>10236</v>
      </c>
    </row>
    <row r="6726" spans="1:14">
      <c r="A6726" t="s">
        <v>35</v>
      </c>
      <c r="B6726" t="s">
        <v>6814</v>
      </c>
      <c r="C6726">
        <f>"CC103V"</f>
        <v>0</v>
      </c>
      <c r="D6726">
        <v>0</v>
      </c>
      <c r="E6726">
        <v>0</v>
      </c>
      <c r="F6726" s="2">
        <v>0</v>
      </c>
      <c r="H6726">
        <v>0</v>
      </c>
      <c r="I6726">
        <v>0.1741125760648204</v>
      </c>
      <c r="J6726">
        <v>0</v>
      </c>
      <c r="K6726">
        <v>0</v>
      </c>
      <c r="L6726" s="2">
        <v>0</v>
      </c>
      <c r="M6726">
        <v>67.13</v>
      </c>
      <c r="N6726" t="s">
        <v>10236</v>
      </c>
    </row>
    <row r="6727" spans="1:14">
      <c r="A6727" t="s">
        <v>35</v>
      </c>
      <c r="B6727" t="s">
        <v>6815</v>
      </c>
      <c r="C6727">
        <f>"WD032"</f>
        <v>0</v>
      </c>
      <c r="D6727">
        <v>0</v>
      </c>
      <c r="E6727">
        <v>0</v>
      </c>
      <c r="F6727" s="2">
        <v>0</v>
      </c>
      <c r="H6727">
        <v>0</v>
      </c>
      <c r="I6727">
        <v>0.1741125760648204</v>
      </c>
      <c r="J6727">
        <v>0</v>
      </c>
      <c r="K6727">
        <v>0</v>
      </c>
      <c r="L6727" s="2">
        <v>0</v>
      </c>
      <c r="M6727">
        <v>67.14</v>
      </c>
      <c r="N6727" t="s">
        <v>10236</v>
      </c>
    </row>
    <row r="6728" spans="1:14">
      <c r="A6728" t="s">
        <v>35</v>
      </c>
      <c r="B6728" t="s">
        <v>6816</v>
      </c>
      <c r="C6728">
        <f>"CC103AN"</f>
        <v>0</v>
      </c>
      <c r="D6728">
        <v>0</v>
      </c>
      <c r="E6728">
        <v>0</v>
      </c>
      <c r="F6728" s="2">
        <v>0</v>
      </c>
      <c r="H6728">
        <v>0</v>
      </c>
      <c r="I6728">
        <v>0.1741125760648204</v>
      </c>
      <c r="J6728">
        <v>0</v>
      </c>
      <c r="K6728">
        <v>0</v>
      </c>
      <c r="L6728" s="2">
        <v>0</v>
      </c>
      <c r="M6728">
        <v>67.14</v>
      </c>
      <c r="N6728" t="s">
        <v>10236</v>
      </c>
    </row>
    <row r="6729" spans="1:14">
      <c r="A6729" t="s">
        <v>35</v>
      </c>
      <c r="B6729" t="s">
        <v>257</v>
      </c>
      <c r="C6729">
        <f>"KX1091ROS"</f>
        <v>0</v>
      </c>
      <c r="D6729">
        <v>0</v>
      </c>
      <c r="E6729">
        <v>0</v>
      </c>
      <c r="F6729" s="2">
        <v>0</v>
      </c>
      <c r="H6729">
        <v>0</v>
      </c>
      <c r="I6729">
        <v>0.1741125760648204</v>
      </c>
      <c r="J6729">
        <v>0</v>
      </c>
      <c r="K6729">
        <v>0</v>
      </c>
      <c r="L6729" s="2">
        <v>0</v>
      </c>
      <c r="M6729">
        <v>67.15000000000001</v>
      </c>
      <c r="N6729" t="s">
        <v>10236</v>
      </c>
    </row>
    <row r="6730" spans="1:14">
      <c r="A6730" t="s">
        <v>35</v>
      </c>
      <c r="B6730" t="s">
        <v>6817</v>
      </c>
      <c r="C6730">
        <f>"XQ22S"</f>
        <v>0</v>
      </c>
      <c r="D6730">
        <v>0</v>
      </c>
      <c r="E6730">
        <v>0</v>
      </c>
      <c r="F6730" s="2">
        <v>0</v>
      </c>
      <c r="H6730">
        <v>0</v>
      </c>
      <c r="I6730">
        <v>0.1741125760648204</v>
      </c>
      <c r="J6730">
        <v>0</v>
      </c>
      <c r="K6730">
        <v>0</v>
      </c>
      <c r="L6730" s="2">
        <v>0</v>
      </c>
      <c r="M6730">
        <v>67.16</v>
      </c>
      <c r="N6730" t="s">
        <v>10236</v>
      </c>
    </row>
    <row r="6731" spans="1:14">
      <c r="A6731" t="s">
        <v>35</v>
      </c>
      <c r="B6731" t="s">
        <v>6818</v>
      </c>
      <c r="C6731">
        <f>"XQ22MRO"</f>
        <v>0</v>
      </c>
      <c r="D6731">
        <v>0</v>
      </c>
      <c r="E6731">
        <v>1</v>
      </c>
      <c r="F6731" s="2">
        <v>3</v>
      </c>
      <c r="H6731">
        <v>0</v>
      </c>
      <c r="I6731">
        <v>0.1741125760648204</v>
      </c>
      <c r="J6731">
        <v>0</v>
      </c>
      <c r="K6731">
        <v>0</v>
      </c>
      <c r="L6731" s="2">
        <v>0</v>
      </c>
      <c r="M6731">
        <v>67.17</v>
      </c>
      <c r="N6731" t="s">
        <v>10236</v>
      </c>
    </row>
    <row r="6732" spans="1:14">
      <c r="A6732" t="s">
        <v>35</v>
      </c>
      <c r="B6732" t="s">
        <v>6819</v>
      </c>
      <c r="C6732">
        <f>"1812CM"</f>
        <v>0</v>
      </c>
      <c r="D6732">
        <v>0</v>
      </c>
      <c r="E6732">
        <v>11</v>
      </c>
      <c r="F6732" s="2">
        <v>3</v>
      </c>
      <c r="H6732">
        <v>0</v>
      </c>
      <c r="I6732">
        <v>0.1741125760648204</v>
      </c>
      <c r="J6732">
        <v>0</v>
      </c>
      <c r="K6732">
        <v>0</v>
      </c>
      <c r="L6732" s="2">
        <v>0</v>
      </c>
      <c r="M6732">
        <v>67.18000000000001</v>
      </c>
      <c r="N6732" t="s">
        <v>10236</v>
      </c>
    </row>
    <row r="6733" spans="1:14">
      <c r="A6733" t="s">
        <v>35</v>
      </c>
      <c r="B6733" t="s">
        <v>6820</v>
      </c>
      <c r="C6733">
        <f>"1812CL"</f>
        <v>0</v>
      </c>
      <c r="D6733">
        <v>0</v>
      </c>
      <c r="E6733">
        <v>6</v>
      </c>
      <c r="F6733" s="2">
        <v>3</v>
      </c>
      <c r="H6733">
        <v>0</v>
      </c>
      <c r="I6733">
        <v>0.1741125760648204</v>
      </c>
      <c r="J6733">
        <v>0</v>
      </c>
      <c r="K6733">
        <v>0</v>
      </c>
      <c r="L6733" s="2">
        <v>0</v>
      </c>
      <c r="M6733">
        <v>67.19</v>
      </c>
      <c r="N6733" t="s">
        <v>10236</v>
      </c>
    </row>
    <row r="6734" spans="1:14">
      <c r="A6734" t="s">
        <v>35</v>
      </c>
      <c r="B6734" t="s">
        <v>6821</v>
      </c>
      <c r="C6734">
        <f>"WP00825"</f>
        <v>0</v>
      </c>
      <c r="D6734">
        <v>0</v>
      </c>
      <c r="E6734">
        <v>12</v>
      </c>
      <c r="F6734" s="2">
        <v>0</v>
      </c>
      <c r="H6734">
        <v>0</v>
      </c>
      <c r="I6734">
        <v>0.1741125760648204</v>
      </c>
      <c r="J6734">
        <v>0</v>
      </c>
      <c r="K6734">
        <v>0</v>
      </c>
      <c r="L6734" s="2">
        <v>0</v>
      </c>
      <c r="M6734">
        <v>67.2</v>
      </c>
      <c r="N6734" t="s">
        <v>10236</v>
      </c>
    </row>
    <row r="6735" spans="1:14">
      <c r="A6735" t="s">
        <v>35</v>
      </c>
      <c r="B6735" t="s">
        <v>257</v>
      </c>
      <c r="C6735">
        <f>"KX1091MOR"</f>
        <v>0</v>
      </c>
      <c r="D6735">
        <v>0</v>
      </c>
      <c r="E6735">
        <v>0</v>
      </c>
      <c r="F6735" s="2">
        <v>0</v>
      </c>
      <c r="H6735">
        <v>0</v>
      </c>
      <c r="I6735">
        <v>0.1741125760648204</v>
      </c>
      <c r="J6735">
        <v>0</v>
      </c>
      <c r="K6735">
        <v>0</v>
      </c>
      <c r="L6735" s="2">
        <v>0</v>
      </c>
      <c r="M6735">
        <v>67.20999999999999</v>
      </c>
      <c r="N6735" t="s">
        <v>10236</v>
      </c>
    </row>
    <row r="6736" spans="1:14">
      <c r="A6736" t="s">
        <v>35</v>
      </c>
      <c r="B6736" t="s">
        <v>6822</v>
      </c>
      <c r="C6736">
        <f>"DX021M"</f>
        <v>0</v>
      </c>
      <c r="D6736">
        <v>0</v>
      </c>
      <c r="E6736">
        <v>0</v>
      </c>
      <c r="F6736" s="2">
        <v>0</v>
      </c>
      <c r="H6736">
        <v>0</v>
      </c>
      <c r="I6736">
        <v>0.1741125760648204</v>
      </c>
      <c r="J6736">
        <v>0</v>
      </c>
      <c r="K6736">
        <v>0</v>
      </c>
      <c r="L6736" s="2">
        <v>0</v>
      </c>
      <c r="M6736">
        <v>67.22</v>
      </c>
      <c r="N6736" t="s">
        <v>10236</v>
      </c>
    </row>
    <row r="6737" spans="1:14">
      <c r="A6737" t="s">
        <v>35</v>
      </c>
      <c r="B6737" t="s">
        <v>6823</v>
      </c>
      <c r="C6737">
        <f>"DX021L"</f>
        <v>0</v>
      </c>
      <c r="D6737">
        <v>0</v>
      </c>
      <c r="E6737">
        <v>0</v>
      </c>
      <c r="F6737" s="2">
        <v>0</v>
      </c>
      <c r="H6737">
        <v>0</v>
      </c>
      <c r="I6737">
        <v>0.1741125760648204</v>
      </c>
      <c r="J6737">
        <v>0</v>
      </c>
      <c r="K6737">
        <v>0</v>
      </c>
      <c r="L6737" s="2">
        <v>0</v>
      </c>
      <c r="M6737">
        <v>67.23</v>
      </c>
      <c r="N6737" t="s">
        <v>10236</v>
      </c>
    </row>
    <row r="6738" spans="1:14">
      <c r="A6738" t="s">
        <v>35</v>
      </c>
      <c r="B6738" t="s">
        <v>6824</v>
      </c>
      <c r="C6738">
        <f>"FPY1025"</f>
        <v>0</v>
      </c>
      <c r="D6738">
        <v>0</v>
      </c>
      <c r="E6738">
        <v>0</v>
      </c>
      <c r="F6738" s="2">
        <v>0</v>
      </c>
      <c r="H6738">
        <v>0</v>
      </c>
      <c r="I6738">
        <v>0.1741125760648204</v>
      </c>
      <c r="J6738">
        <v>0</v>
      </c>
      <c r="K6738">
        <v>0</v>
      </c>
      <c r="L6738" s="2">
        <v>0</v>
      </c>
      <c r="M6738">
        <v>67.23999999999999</v>
      </c>
      <c r="N6738" t="s">
        <v>10236</v>
      </c>
    </row>
    <row r="6739" spans="1:14">
      <c r="A6739" t="s">
        <v>35</v>
      </c>
      <c r="B6739" t="s">
        <v>314</v>
      </c>
      <c r="C6739">
        <f>"KX1087ROS"</f>
        <v>0</v>
      </c>
      <c r="D6739">
        <v>0</v>
      </c>
      <c r="E6739">
        <v>0</v>
      </c>
      <c r="F6739" s="2">
        <v>0</v>
      </c>
      <c r="H6739">
        <v>0</v>
      </c>
      <c r="I6739">
        <v>0.1741125760648204</v>
      </c>
      <c r="J6739">
        <v>0</v>
      </c>
      <c r="K6739">
        <v>0</v>
      </c>
      <c r="L6739" s="2">
        <v>0</v>
      </c>
      <c r="M6739">
        <v>67.25</v>
      </c>
      <c r="N6739" t="s">
        <v>10236</v>
      </c>
    </row>
    <row r="6740" spans="1:14">
      <c r="A6740" t="s">
        <v>35</v>
      </c>
      <c r="B6740" t="s">
        <v>314</v>
      </c>
      <c r="C6740">
        <f>"KX1087ROJ"</f>
        <v>0</v>
      </c>
      <c r="D6740">
        <v>0</v>
      </c>
      <c r="E6740">
        <v>0</v>
      </c>
      <c r="F6740" s="2">
        <v>0</v>
      </c>
      <c r="H6740">
        <v>0</v>
      </c>
      <c r="I6740">
        <v>0.1741125760648204</v>
      </c>
      <c r="J6740">
        <v>0</v>
      </c>
      <c r="K6740">
        <v>0</v>
      </c>
      <c r="L6740" s="2">
        <v>0</v>
      </c>
      <c r="M6740">
        <v>67.26000000000001</v>
      </c>
      <c r="N6740" t="s">
        <v>10236</v>
      </c>
    </row>
    <row r="6741" spans="1:14">
      <c r="A6741" t="s">
        <v>35</v>
      </c>
      <c r="B6741" t="s">
        <v>314</v>
      </c>
      <c r="C6741">
        <f>"KX1087CEL"</f>
        <v>0</v>
      </c>
      <c r="D6741">
        <v>0</v>
      </c>
      <c r="E6741">
        <v>0</v>
      </c>
      <c r="F6741" s="2">
        <v>0</v>
      </c>
      <c r="H6741">
        <v>0</v>
      </c>
      <c r="I6741">
        <v>0.1741125760648204</v>
      </c>
      <c r="J6741">
        <v>0</v>
      </c>
      <c r="K6741">
        <v>0</v>
      </c>
      <c r="L6741" s="2">
        <v>0</v>
      </c>
      <c r="M6741">
        <v>67.26000000000001</v>
      </c>
      <c r="N6741" t="s">
        <v>10236</v>
      </c>
    </row>
    <row r="6742" spans="1:14">
      <c r="A6742" t="s">
        <v>35</v>
      </c>
      <c r="B6742" t="s">
        <v>314</v>
      </c>
      <c r="C6742">
        <f>"KX1087AZ"</f>
        <v>0</v>
      </c>
      <c r="D6742">
        <v>0</v>
      </c>
      <c r="E6742">
        <v>0</v>
      </c>
      <c r="F6742" s="2">
        <v>0</v>
      </c>
      <c r="H6742">
        <v>0</v>
      </c>
      <c r="I6742">
        <v>0.1741125760648204</v>
      </c>
      <c r="J6742">
        <v>0</v>
      </c>
      <c r="K6742">
        <v>0</v>
      </c>
      <c r="L6742" s="2">
        <v>0</v>
      </c>
      <c r="M6742">
        <v>67.27</v>
      </c>
      <c r="N6742" t="s">
        <v>10236</v>
      </c>
    </row>
    <row r="6743" spans="1:14">
      <c r="A6743" t="s">
        <v>35</v>
      </c>
      <c r="B6743" t="s">
        <v>1464</v>
      </c>
      <c r="C6743">
        <f>"KX1090ROS"</f>
        <v>0</v>
      </c>
      <c r="D6743">
        <v>0</v>
      </c>
      <c r="E6743">
        <v>0</v>
      </c>
      <c r="F6743" s="2">
        <v>0</v>
      </c>
      <c r="H6743">
        <v>0</v>
      </c>
      <c r="I6743">
        <v>0.1741125760648204</v>
      </c>
      <c r="J6743">
        <v>0</v>
      </c>
      <c r="K6743">
        <v>0</v>
      </c>
      <c r="L6743" s="2">
        <v>0</v>
      </c>
      <c r="M6743">
        <v>67.28</v>
      </c>
      <c r="N6743" t="s">
        <v>10236</v>
      </c>
    </row>
    <row r="6744" spans="1:14">
      <c r="A6744" t="s">
        <v>35</v>
      </c>
      <c r="B6744" t="s">
        <v>6793</v>
      </c>
      <c r="C6744">
        <f>"HP152SN"</f>
        <v>0</v>
      </c>
      <c r="D6744">
        <v>0</v>
      </c>
      <c r="E6744">
        <v>8</v>
      </c>
      <c r="F6744" s="2">
        <v>4</v>
      </c>
      <c r="H6744">
        <v>0</v>
      </c>
      <c r="I6744">
        <v>0.1741125760648204</v>
      </c>
      <c r="J6744">
        <v>0</v>
      </c>
      <c r="K6744">
        <v>0</v>
      </c>
      <c r="L6744" s="2">
        <v>0</v>
      </c>
      <c r="M6744">
        <v>67.29000000000001</v>
      </c>
      <c r="N6744" t="s">
        <v>10236</v>
      </c>
    </row>
    <row r="6745" spans="1:14">
      <c r="A6745" t="s">
        <v>35</v>
      </c>
      <c r="B6745" t="s">
        <v>1464</v>
      </c>
      <c r="C6745">
        <f>"KX1090MOR"</f>
        <v>0</v>
      </c>
      <c r="D6745">
        <v>0</v>
      </c>
      <c r="E6745">
        <v>0</v>
      </c>
      <c r="F6745" s="2">
        <v>0</v>
      </c>
      <c r="H6745">
        <v>0</v>
      </c>
      <c r="I6745">
        <v>0.1741125760648204</v>
      </c>
      <c r="J6745">
        <v>0</v>
      </c>
      <c r="K6745">
        <v>0</v>
      </c>
      <c r="L6745" s="2">
        <v>0</v>
      </c>
      <c r="M6745">
        <v>67.3</v>
      </c>
      <c r="N6745" t="s">
        <v>10236</v>
      </c>
    </row>
    <row r="6746" spans="1:14">
      <c r="A6746" t="s">
        <v>35</v>
      </c>
      <c r="B6746" t="s">
        <v>1464</v>
      </c>
      <c r="C6746">
        <f>"KX1090AZ"</f>
        <v>0</v>
      </c>
      <c r="D6746">
        <v>0</v>
      </c>
      <c r="E6746">
        <v>0</v>
      </c>
      <c r="F6746" s="2">
        <v>0</v>
      </c>
      <c r="H6746">
        <v>0</v>
      </c>
      <c r="I6746">
        <v>0.1741125760648204</v>
      </c>
      <c r="J6746">
        <v>0</v>
      </c>
      <c r="K6746">
        <v>0</v>
      </c>
      <c r="L6746" s="2">
        <v>0</v>
      </c>
      <c r="M6746">
        <v>67.31</v>
      </c>
      <c r="N6746" t="s">
        <v>10236</v>
      </c>
    </row>
    <row r="6747" spans="1:14">
      <c r="A6747" t="s">
        <v>35</v>
      </c>
      <c r="B6747" t="s">
        <v>6502</v>
      </c>
      <c r="C6747">
        <f>"KX1076ROS"</f>
        <v>0</v>
      </c>
      <c r="D6747">
        <v>0</v>
      </c>
      <c r="E6747">
        <v>0</v>
      </c>
      <c r="F6747" s="2">
        <v>0</v>
      </c>
      <c r="H6747">
        <v>0</v>
      </c>
      <c r="I6747">
        <v>0.1741125760648204</v>
      </c>
      <c r="J6747">
        <v>0</v>
      </c>
      <c r="K6747">
        <v>0</v>
      </c>
      <c r="L6747" s="2">
        <v>0</v>
      </c>
      <c r="M6747">
        <v>67.31999999999999</v>
      </c>
      <c r="N6747" t="s">
        <v>10236</v>
      </c>
    </row>
    <row r="6748" spans="1:14">
      <c r="A6748" t="s">
        <v>35</v>
      </c>
      <c r="B6748" t="s">
        <v>6825</v>
      </c>
      <c r="C6748">
        <f>"CC103AV"</f>
        <v>0</v>
      </c>
      <c r="D6748">
        <v>0</v>
      </c>
      <c r="E6748">
        <v>0</v>
      </c>
      <c r="F6748" s="2">
        <v>0</v>
      </c>
      <c r="H6748">
        <v>0</v>
      </c>
      <c r="I6748">
        <v>0.1741125760648204</v>
      </c>
      <c r="J6748">
        <v>0</v>
      </c>
      <c r="K6748">
        <v>0</v>
      </c>
      <c r="L6748" s="2">
        <v>0</v>
      </c>
      <c r="M6748">
        <v>67.33</v>
      </c>
      <c r="N6748" t="s">
        <v>10236</v>
      </c>
    </row>
    <row r="6749" spans="1:14">
      <c r="A6749" t="s">
        <v>35</v>
      </c>
      <c r="B6749" t="s">
        <v>6502</v>
      </c>
      <c r="C6749">
        <f>"KX1076MOR"</f>
        <v>0</v>
      </c>
      <c r="D6749">
        <v>0</v>
      </c>
      <c r="E6749">
        <v>0</v>
      </c>
      <c r="F6749" s="2">
        <v>0</v>
      </c>
      <c r="H6749">
        <v>0</v>
      </c>
      <c r="I6749">
        <v>0.1741125760648204</v>
      </c>
      <c r="J6749">
        <v>0</v>
      </c>
      <c r="K6749">
        <v>0</v>
      </c>
      <c r="L6749" s="2">
        <v>0</v>
      </c>
      <c r="M6749">
        <v>67.34</v>
      </c>
      <c r="N6749" t="s">
        <v>10236</v>
      </c>
    </row>
    <row r="6750" spans="1:14">
      <c r="A6750" t="s">
        <v>35</v>
      </c>
      <c r="B6750" t="s">
        <v>6502</v>
      </c>
      <c r="C6750">
        <f>"KX1076AZ"</f>
        <v>0</v>
      </c>
      <c r="D6750">
        <v>0</v>
      </c>
      <c r="E6750">
        <v>0</v>
      </c>
      <c r="F6750" s="2">
        <v>0</v>
      </c>
      <c r="H6750">
        <v>0</v>
      </c>
      <c r="I6750">
        <v>0.1741125760648204</v>
      </c>
      <c r="J6750">
        <v>0</v>
      </c>
      <c r="K6750">
        <v>0</v>
      </c>
      <c r="L6750" s="2">
        <v>0</v>
      </c>
      <c r="M6750">
        <v>67.34999999999999</v>
      </c>
      <c r="N6750" t="s">
        <v>10236</v>
      </c>
    </row>
    <row r="6751" spans="1:14">
      <c r="A6751" t="s">
        <v>35</v>
      </c>
      <c r="B6751" t="s">
        <v>6826</v>
      </c>
      <c r="C6751">
        <f>"KX1021ROS"</f>
        <v>0</v>
      </c>
      <c r="D6751">
        <v>0</v>
      </c>
      <c r="E6751">
        <v>0</v>
      </c>
      <c r="F6751" s="2">
        <v>0</v>
      </c>
      <c r="H6751">
        <v>0</v>
      </c>
      <c r="I6751">
        <v>0.1741125760648204</v>
      </c>
      <c r="J6751">
        <v>0</v>
      </c>
      <c r="K6751">
        <v>0</v>
      </c>
      <c r="L6751" s="2">
        <v>0</v>
      </c>
      <c r="M6751">
        <v>67.36</v>
      </c>
      <c r="N6751" t="s">
        <v>10236</v>
      </c>
    </row>
    <row r="6752" spans="1:14">
      <c r="A6752" t="s">
        <v>35</v>
      </c>
      <c r="B6752" t="s">
        <v>6826</v>
      </c>
      <c r="C6752">
        <f>"KX1021ROJ"</f>
        <v>0</v>
      </c>
      <c r="D6752">
        <v>0</v>
      </c>
      <c r="E6752">
        <v>0</v>
      </c>
      <c r="F6752" s="2">
        <v>0</v>
      </c>
      <c r="H6752">
        <v>0</v>
      </c>
      <c r="I6752">
        <v>0.1741125760648204</v>
      </c>
      <c r="J6752">
        <v>0</v>
      </c>
      <c r="K6752">
        <v>0</v>
      </c>
      <c r="L6752" s="2">
        <v>0</v>
      </c>
      <c r="M6752">
        <v>67.37</v>
      </c>
      <c r="N6752" t="s">
        <v>10236</v>
      </c>
    </row>
    <row r="6753" spans="1:14">
      <c r="A6753" t="s">
        <v>35</v>
      </c>
      <c r="B6753" t="s">
        <v>6826</v>
      </c>
      <c r="C6753">
        <f>"KX1021MOR"</f>
        <v>0</v>
      </c>
      <c r="D6753">
        <v>0</v>
      </c>
      <c r="E6753">
        <v>0</v>
      </c>
      <c r="F6753" s="2">
        <v>0</v>
      </c>
      <c r="H6753">
        <v>0</v>
      </c>
      <c r="I6753">
        <v>0.1741125760648204</v>
      </c>
      <c r="J6753">
        <v>0</v>
      </c>
      <c r="K6753">
        <v>0</v>
      </c>
      <c r="L6753" s="2">
        <v>0</v>
      </c>
      <c r="M6753">
        <v>67.37</v>
      </c>
      <c r="N6753" t="s">
        <v>10236</v>
      </c>
    </row>
    <row r="6754" spans="1:14">
      <c r="A6754" t="s">
        <v>35</v>
      </c>
      <c r="B6754" t="s">
        <v>6826</v>
      </c>
      <c r="C6754">
        <f>"KX1021CEL"</f>
        <v>0</v>
      </c>
      <c r="D6754">
        <v>0</v>
      </c>
      <c r="E6754">
        <v>0</v>
      </c>
      <c r="F6754" s="2">
        <v>0</v>
      </c>
      <c r="H6754">
        <v>0</v>
      </c>
      <c r="I6754">
        <v>0.1741125760648204</v>
      </c>
      <c r="J6754">
        <v>0</v>
      </c>
      <c r="K6754">
        <v>0</v>
      </c>
      <c r="L6754" s="2">
        <v>0</v>
      </c>
      <c r="M6754">
        <v>67.38</v>
      </c>
      <c r="N6754" t="s">
        <v>10236</v>
      </c>
    </row>
    <row r="6755" spans="1:14">
      <c r="A6755" t="s">
        <v>35</v>
      </c>
      <c r="B6755" t="s">
        <v>6827</v>
      </c>
      <c r="C6755">
        <f>"KX1039VE"</f>
        <v>0</v>
      </c>
      <c r="D6755">
        <v>0</v>
      </c>
      <c r="E6755">
        <v>0</v>
      </c>
      <c r="F6755" s="2">
        <v>0</v>
      </c>
      <c r="H6755">
        <v>0</v>
      </c>
      <c r="I6755">
        <v>0.1741125760648204</v>
      </c>
      <c r="J6755">
        <v>0</v>
      </c>
      <c r="K6755">
        <v>0</v>
      </c>
      <c r="L6755" s="2">
        <v>0</v>
      </c>
      <c r="M6755">
        <v>67.39</v>
      </c>
      <c r="N6755" t="s">
        <v>10236</v>
      </c>
    </row>
    <row r="6756" spans="1:14">
      <c r="A6756" t="s">
        <v>35</v>
      </c>
      <c r="B6756" t="s">
        <v>6827</v>
      </c>
      <c r="C6756">
        <f>"KX1039ROS"</f>
        <v>0</v>
      </c>
      <c r="D6756">
        <v>0</v>
      </c>
      <c r="E6756">
        <v>0</v>
      </c>
      <c r="F6756" s="2">
        <v>0</v>
      </c>
      <c r="H6756">
        <v>0</v>
      </c>
      <c r="I6756">
        <v>0.1741125760648204</v>
      </c>
      <c r="J6756">
        <v>0</v>
      </c>
      <c r="K6756">
        <v>0</v>
      </c>
      <c r="L6756" s="2">
        <v>0</v>
      </c>
      <c r="M6756">
        <v>67.40000000000001</v>
      </c>
      <c r="N6756" t="s">
        <v>10236</v>
      </c>
    </row>
    <row r="6757" spans="1:14">
      <c r="A6757" t="s">
        <v>35</v>
      </c>
      <c r="B6757" t="s">
        <v>6827</v>
      </c>
      <c r="C6757">
        <f>"KX1039ROJ"</f>
        <v>0</v>
      </c>
      <c r="D6757">
        <v>0</v>
      </c>
      <c r="E6757">
        <v>0</v>
      </c>
      <c r="F6757" s="2">
        <v>0</v>
      </c>
      <c r="H6757">
        <v>0</v>
      </c>
      <c r="I6757">
        <v>0.1741125760648204</v>
      </c>
      <c r="J6757">
        <v>0</v>
      </c>
      <c r="K6757">
        <v>0</v>
      </c>
      <c r="L6757" s="2">
        <v>0</v>
      </c>
      <c r="M6757">
        <v>67.41</v>
      </c>
      <c r="N6757" t="s">
        <v>10236</v>
      </c>
    </row>
    <row r="6758" spans="1:14">
      <c r="A6758" t="s">
        <v>35</v>
      </c>
      <c r="B6758" t="s">
        <v>6827</v>
      </c>
      <c r="C6758">
        <f>"KX1039AZ"</f>
        <v>0</v>
      </c>
      <c r="D6758">
        <v>0</v>
      </c>
      <c r="E6758">
        <v>0</v>
      </c>
      <c r="F6758" s="2">
        <v>0</v>
      </c>
      <c r="H6758">
        <v>0</v>
      </c>
      <c r="I6758">
        <v>0.1741125760648204</v>
      </c>
      <c r="J6758">
        <v>0</v>
      </c>
      <c r="K6758">
        <v>0</v>
      </c>
      <c r="L6758" s="2">
        <v>0</v>
      </c>
      <c r="M6758">
        <v>67.42</v>
      </c>
      <c r="N6758" t="s">
        <v>10236</v>
      </c>
    </row>
    <row r="6759" spans="1:14">
      <c r="A6759" t="s">
        <v>35</v>
      </c>
      <c r="B6759" t="s">
        <v>6793</v>
      </c>
      <c r="C6759">
        <f>"HP152SR"</f>
        <v>0</v>
      </c>
      <c r="D6759">
        <v>0</v>
      </c>
      <c r="E6759">
        <v>5</v>
      </c>
      <c r="F6759" s="2">
        <v>4</v>
      </c>
      <c r="H6759">
        <v>0</v>
      </c>
      <c r="I6759">
        <v>0.1741125760648204</v>
      </c>
      <c r="J6759">
        <v>0</v>
      </c>
      <c r="K6759">
        <v>0</v>
      </c>
      <c r="L6759" s="2">
        <v>0</v>
      </c>
      <c r="M6759">
        <v>67.43000000000001</v>
      </c>
      <c r="N6759" t="s">
        <v>10236</v>
      </c>
    </row>
    <row r="6760" spans="1:14">
      <c r="A6760" t="s">
        <v>35</v>
      </c>
      <c r="B6760" t="s">
        <v>1464</v>
      </c>
      <c r="C6760">
        <f>"KX1090ROJ"</f>
        <v>0</v>
      </c>
      <c r="D6760">
        <v>0</v>
      </c>
      <c r="E6760">
        <v>0</v>
      </c>
      <c r="F6760" s="2">
        <v>0</v>
      </c>
      <c r="H6760">
        <v>0</v>
      </c>
      <c r="I6760">
        <v>0.1741125760648204</v>
      </c>
      <c r="J6760">
        <v>0</v>
      </c>
      <c r="K6760">
        <v>0</v>
      </c>
      <c r="L6760" s="2">
        <v>0</v>
      </c>
      <c r="M6760">
        <v>67.44</v>
      </c>
      <c r="N6760" t="s">
        <v>10236</v>
      </c>
    </row>
    <row r="6761" spans="1:14">
      <c r="A6761" t="s">
        <v>35</v>
      </c>
      <c r="B6761" t="s">
        <v>6828</v>
      </c>
      <c r="C6761">
        <f>"kx4220"</f>
        <v>0</v>
      </c>
      <c r="D6761">
        <v>0</v>
      </c>
      <c r="E6761">
        <v>0</v>
      </c>
      <c r="F6761" s="2">
        <v>0</v>
      </c>
      <c r="H6761">
        <v>0</v>
      </c>
      <c r="I6761">
        <v>0.1741125760648204</v>
      </c>
      <c r="J6761">
        <v>0</v>
      </c>
      <c r="K6761">
        <v>0</v>
      </c>
      <c r="L6761" s="2">
        <v>0</v>
      </c>
      <c r="M6761">
        <v>67.45</v>
      </c>
      <c r="N6761" t="s">
        <v>10236</v>
      </c>
    </row>
    <row r="6762" spans="1:14">
      <c r="A6762" t="s">
        <v>35</v>
      </c>
      <c r="B6762" t="s">
        <v>6829</v>
      </c>
      <c r="C6762">
        <f>"C005XL"</f>
        <v>0</v>
      </c>
      <c r="D6762">
        <v>0</v>
      </c>
      <c r="E6762">
        <v>1</v>
      </c>
      <c r="F6762" s="2">
        <v>2</v>
      </c>
      <c r="H6762">
        <v>0</v>
      </c>
      <c r="I6762">
        <v>0.1741125760648204</v>
      </c>
      <c r="J6762">
        <v>0</v>
      </c>
      <c r="K6762">
        <v>0</v>
      </c>
      <c r="L6762" s="2">
        <v>0</v>
      </c>
      <c r="M6762">
        <v>67.45999999999999</v>
      </c>
      <c r="N6762" t="s">
        <v>10236</v>
      </c>
    </row>
    <row r="6763" spans="1:14">
      <c r="A6763" t="s">
        <v>35</v>
      </c>
      <c r="B6763" t="s">
        <v>6830</v>
      </c>
      <c r="C6763">
        <f>"C005M"</f>
        <v>0</v>
      </c>
      <c r="D6763">
        <v>0</v>
      </c>
      <c r="E6763">
        <v>8</v>
      </c>
      <c r="F6763" s="2">
        <v>2</v>
      </c>
      <c r="H6763">
        <v>0</v>
      </c>
      <c r="I6763">
        <v>0.1741125760648204</v>
      </c>
      <c r="J6763">
        <v>0</v>
      </c>
      <c r="K6763">
        <v>0</v>
      </c>
      <c r="L6763" s="2">
        <v>0</v>
      </c>
      <c r="M6763">
        <v>67.47</v>
      </c>
      <c r="N6763" t="s">
        <v>10236</v>
      </c>
    </row>
    <row r="6764" spans="1:14">
      <c r="A6764" t="s">
        <v>35</v>
      </c>
      <c r="B6764" t="s">
        <v>6831</v>
      </c>
      <c r="C6764">
        <f>"C005L"</f>
        <v>0</v>
      </c>
      <c r="D6764">
        <v>0</v>
      </c>
      <c r="E6764">
        <v>1</v>
      </c>
      <c r="F6764" s="2">
        <v>2</v>
      </c>
      <c r="H6764">
        <v>0</v>
      </c>
      <c r="I6764">
        <v>0.1741125760648204</v>
      </c>
      <c r="J6764">
        <v>0</v>
      </c>
      <c r="K6764">
        <v>0</v>
      </c>
      <c r="L6764" s="2">
        <v>0</v>
      </c>
      <c r="M6764">
        <v>67.48</v>
      </c>
      <c r="N6764" t="s">
        <v>10236</v>
      </c>
    </row>
    <row r="6765" spans="1:14">
      <c r="A6765" t="s">
        <v>35</v>
      </c>
      <c r="B6765" t="s">
        <v>6832</v>
      </c>
      <c r="C6765">
        <f>"HXC04"</f>
        <v>0</v>
      </c>
      <c r="D6765">
        <v>0</v>
      </c>
      <c r="E6765">
        <v>11</v>
      </c>
      <c r="F6765" s="2">
        <v>3</v>
      </c>
      <c r="H6765">
        <v>0</v>
      </c>
      <c r="I6765">
        <v>0.1741125760648204</v>
      </c>
      <c r="J6765">
        <v>0</v>
      </c>
      <c r="K6765">
        <v>0</v>
      </c>
      <c r="L6765" s="2">
        <v>0</v>
      </c>
      <c r="M6765">
        <v>67.48999999999999</v>
      </c>
      <c r="N6765" t="s">
        <v>10236</v>
      </c>
    </row>
    <row r="6766" spans="1:14">
      <c r="A6766" t="s">
        <v>35</v>
      </c>
      <c r="B6766" t="s">
        <v>6833</v>
      </c>
      <c r="C6766">
        <f>"HXC03"</f>
        <v>0</v>
      </c>
      <c r="D6766">
        <v>0</v>
      </c>
      <c r="E6766">
        <v>11</v>
      </c>
      <c r="F6766" s="2">
        <v>2</v>
      </c>
      <c r="H6766">
        <v>0</v>
      </c>
      <c r="I6766">
        <v>0.1741125760648204</v>
      </c>
      <c r="J6766">
        <v>0</v>
      </c>
      <c r="K6766">
        <v>0</v>
      </c>
      <c r="L6766" s="2">
        <v>0</v>
      </c>
      <c r="M6766">
        <v>67.48999999999999</v>
      </c>
      <c r="N6766" t="s">
        <v>10236</v>
      </c>
    </row>
    <row r="6767" spans="1:14">
      <c r="A6767" t="s">
        <v>35</v>
      </c>
      <c r="B6767" t="s">
        <v>6834</v>
      </c>
      <c r="C6767">
        <f>"HXC02"</f>
        <v>0</v>
      </c>
      <c r="D6767">
        <v>0</v>
      </c>
      <c r="E6767">
        <v>9</v>
      </c>
      <c r="F6767" s="2">
        <v>2</v>
      </c>
      <c r="H6767">
        <v>0</v>
      </c>
      <c r="I6767">
        <v>0.1741125760648204</v>
      </c>
      <c r="J6767">
        <v>0</v>
      </c>
      <c r="K6767">
        <v>0</v>
      </c>
      <c r="L6767" s="2">
        <v>0</v>
      </c>
      <c r="M6767">
        <v>67.5</v>
      </c>
      <c r="N6767" t="s">
        <v>10236</v>
      </c>
    </row>
    <row r="6768" spans="1:14">
      <c r="A6768" t="s">
        <v>35</v>
      </c>
      <c r="B6768" t="s">
        <v>6835</v>
      </c>
      <c r="C6768">
        <f>"HXC01"</f>
        <v>0</v>
      </c>
      <c r="D6768">
        <v>0</v>
      </c>
      <c r="E6768">
        <v>16</v>
      </c>
      <c r="F6768" s="2">
        <v>2</v>
      </c>
      <c r="H6768">
        <v>0</v>
      </c>
      <c r="I6768">
        <v>0.1741125760648204</v>
      </c>
      <c r="J6768">
        <v>0</v>
      </c>
      <c r="K6768">
        <v>0</v>
      </c>
      <c r="L6768" s="2">
        <v>0</v>
      </c>
      <c r="M6768">
        <v>67.51000000000001</v>
      </c>
      <c r="N6768" t="s">
        <v>10236</v>
      </c>
    </row>
    <row r="6769" spans="1:14">
      <c r="A6769" t="s">
        <v>35</v>
      </c>
      <c r="B6769" t="s">
        <v>6836</v>
      </c>
      <c r="C6769">
        <f>"HXC07"</f>
        <v>0</v>
      </c>
      <c r="D6769">
        <v>0</v>
      </c>
      <c r="E6769">
        <v>6</v>
      </c>
      <c r="F6769" s="2">
        <v>2</v>
      </c>
      <c r="H6769">
        <v>0</v>
      </c>
      <c r="I6769">
        <v>0.1741125760648204</v>
      </c>
      <c r="J6769">
        <v>0</v>
      </c>
      <c r="K6769">
        <v>0</v>
      </c>
      <c r="L6769" s="2">
        <v>0</v>
      </c>
      <c r="M6769">
        <v>67.52</v>
      </c>
      <c r="N6769" t="s">
        <v>10236</v>
      </c>
    </row>
    <row r="6770" spans="1:14">
      <c r="A6770" t="s">
        <v>35</v>
      </c>
      <c r="B6770" t="s">
        <v>6837</v>
      </c>
      <c r="C6770">
        <f>"HXC06"</f>
        <v>0</v>
      </c>
      <c r="D6770">
        <v>0</v>
      </c>
      <c r="E6770">
        <v>9</v>
      </c>
      <c r="F6770" s="2">
        <v>2</v>
      </c>
      <c r="H6770">
        <v>0</v>
      </c>
      <c r="I6770">
        <v>0.1741125760648204</v>
      </c>
      <c r="J6770">
        <v>0</v>
      </c>
      <c r="K6770">
        <v>0</v>
      </c>
      <c r="L6770" s="2">
        <v>0</v>
      </c>
      <c r="M6770">
        <v>67.53</v>
      </c>
      <c r="N6770" t="s">
        <v>10236</v>
      </c>
    </row>
    <row r="6771" spans="1:14">
      <c r="A6771" t="s">
        <v>35</v>
      </c>
      <c r="B6771" t="s">
        <v>6838</v>
      </c>
      <c r="C6771">
        <f>"DN12"</f>
        <v>0</v>
      </c>
      <c r="D6771">
        <v>0</v>
      </c>
      <c r="E6771">
        <v>0</v>
      </c>
      <c r="F6771" s="2">
        <v>0</v>
      </c>
      <c r="H6771">
        <v>0</v>
      </c>
      <c r="I6771">
        <v>0.1741125760648204</v>
      </c>
      <c r="J6771">
        <v>0</v>
      </c>
      <c r="K6771">
        <v>0</v>
      </c>
      <c r="L6771" s="2">
        <v>0</v>
      </c>
      <c r="M6771">
        <v>67.54000000000001</v>
      </c>
      <c r="N6771" t="s">
        <v>10236</v>
      </c>
    </row>
    <row r="6772" spans="1:14">
      <c r="A6772" t="s">
        <v>35</v>
      </c>
      <c r="B6772" t="s">
        <v>6839</v>
      </c>
      <c r="C6772">
        <f>"KX44"</f>
        <v>0</v>
      </c>
      <c r="D6772">
        <v>0</v>
      </c>
      <c r="E6772">
        <v>0</v>
      </c>
      <c r="F6772" s="2">
        <v>0</v>
      </c>
      <c r="H6772">
        <v>0</v>
      </c>
      <c r="I6772">
        <v>0.1741125760648204</v>
      </c>
      <c r="J6772">
        <v>0</v>
      </c>
      <c r="K6772">
        <v>0</v>
      </c>
      <c r="L6772" s="2">
        <v>0</v>
      </c>
      <c r="M6772">
        <v>67.55</v>
      </c>
      <c r="N6772" t="s">
        <v>10236</v>
      </c>
    </row>
    <row r="6773" spans="1:14">
      <c r="A6773" t="s">
        <v>35</v>
      </c>
      <c r="B6773" t="s">
        <v>6840</v>
      </c>
      <c r="C6773">
        <f>"KX4143"</f>
        <v>0</v>
      </c>
      <c r="D6773">
        <v>0</v>
      </c>
      <c r="E6773">
        <v>16</v>
      </c>
      <c r="F6773" s="2">
        <v>1</v>
      </c>
      <c r="H6773">
        <v>0</v>
      </c>
      <c r="I6773">
        <v>0.1741125760648204</v>
      </c>
      <c r="J6773">
        <v>0</v>
      </c>
      <c r="K6773">
        <v>0</v>
      </c>
      <c r="L6773" s="2">
        <v>0</v>
      </c>
      <c r="M6773">
        <v>67.56</v>
      </c>
      <c r="N6773" t="s">
        <v>10236</v>
      </c>
    </row>
    <row r="6774" spans="1:14">
      <c r="A6774" t="s">
        <v>35</v>
      </c>
      <c r="B6774" t="s">
        <v>6841</v>
      </c>
      <c r="C6774">
        <f>"KX4145"</f>
        <v>0</v>
      </c>
      <c r="D6774">
        <v>0</v>
      </c>
      <c r="E6774">
        <v>13</v>
      </c>
      <c r="F6774" s="2">
        <v>1</v>
      </c>
      <c r="H6774">
        <v>0</v>
      </c>
      <c r="I6774">
        <v>0.1741125760648204</v>
      </c>
      <c r="J6774">
        <v>0</v>
      </c>
      <c r="K6774">
        <v>0</v>
      </c>
      <c r="L6774" s="2">
        <v>0</v>
      </c>
      <c r="M6774">
        <v>67.56999999999999</v>
      </c>
      <c r="N6774" t="s">
        <v>10236</v>
      </c>
    </row>
    <row r="6775" spans="1:14">
      <c r="A6775" t="s">
        <v>35</v>
      </c>
      <c r="B6775" t="s">
        <v>6842</v>
      </c>
      <c r="C6775">
        <f>"CC103A"</f>
        <v>0</v>
      </c>
      <c r="D6775">
        <v>0</v>
      </c>
      <c r="E6775">
        <v>33</v>
      </c>
      <c r="F6775" s="2">
        <v>2</v>
      </c>
      <c r="H6775">
        <v>0</v>
      </c>
      <c r="I6775">
        <v>0.1741125760648204</v>
      </c>
      <c r="J6775">
        <v>0</v>
      </c>
      <c r="K6775">
        <v>0</v>
      </c>
      <c r="L6775" s="2">
        <v>0</v>
      </c>
      <c r="M6775">
        <v>67.58</v>
      </c>
      <c r="N6775" t="s">
        <v>10236</v>
      </c>
    </row>
    <row r="6776" spans="1:14">
      <c r="A6776" t="s">
        <v>35</v>
      </c>
      <c r="B6776" t="s">
        <v>6843</v>
      </c>
      <c r="C6776">
        <f>"HXC23"</f>
        <v>0</v>
      </c>
      <c r="D6776">
        <v>0</v>
      </c>
      <c r="E6776">
        <v>10</v>
      </c>
      <c r="F6776" s="2">
        <v>2</v>
      </c>
      <c r="H6776">
        <v>0</v>
      </c>
      <c r="I6776">
        <v>0.1741125760648204</v>
      </c>
      <c r="J6776">
        <v>0</v>
      </c>
      <c r="K6776">
        <v>0</v>
      </c>
      <c r="L6776" s="2">
        <v>0</v>
      </c>
      <c r="M6776">
        <v>67.59</v>
      </c>
      <c r="N6776" t="s">
        <v>10236</v>
      </c>
    </row>
    <row r="6777" spans="1:14">
      <c r="A6777" t="s">
        <v>35</v>
      </c>
      <c r="B6777" t="s">
        <v>6844</v>
      </c>
      <c r="C6777">
        <f>"HXC22"</f>
        <v>0</v>
      </c>
      <c r="D6777">
        <v>0</v>
      </c>
      <c r="E6777">
        <v>11</v>
      </c>
      <c r="F6777" s="2">
        <v>2</v>
      </c>
      <c r="H6777">
        <v>0</v>
      </c>
      <c r="I6777">
        <v>0.1741125760648204</v>
      </c>
      <c r="J6777">
        <v>0</v>
      </c>
      <c r="K6777">
        <v>0</v>
      </c>
      <c r="L6777" s="2">
        <v>0</v>
      </c>
      <c r="M6777">
        <v>67.59999999999999</v>
      </c>
      <c r="N6777" t="s">
        <v>10236</v>
      </c>
    </row>
    <row r="6778" spans="1:14">
      <c r="A6778" t="s">
        <v>35</v>
      </c>
      <c r="B6778" t="s">
        <v>6844</v>
      </c>
      <c r="C6778">
        <f>"HXC21"</f>
        <v>0</v>
      </c>
      <c r="D6778">
        <v>0</v>
      </c>
      <c r="E6778">
        <v>15</v>
      </c>
      <c r="F6778" s="2">
        <v>2</v>
      </c>
      <c r="H6778">
        <v>0</v>
      </c>
      <c r="I6778">
        <v>0.1741125760648204</v>
      </c>
      <c r="J6778">
        <v>0</v>
      </c>
      <c r="K6778">
        <v>0</v>
      </c>
      <c r="L6778" s="2">
        <v>0</v>
      </c>
      <c r="M6778">
        <v>67.61</v>
      </c>
      <c r="N6778" t="s">
        <v>10236</v>
      </c>
    </row>
    <row r="6779" spans="1:14">
      <c r="A6779" t="s">
        <v>35</v>
      </c>
      <c r="B6779" t="s">
        <v>6845</v>
      </c>
      <c r="C6779">
        <f>"HXC44"</f>
        <v>0</v>
      </c>
      <c r="D6779">
        <v>0</v>
      </c>
      <c r="E6779">
        <v>9</v>
      </c>
      <c r="F6779" s="2">
        <v>3</v>
      </c>
      <c r="H6779">
        <v>0</v>
      </c>
      <c r="I6779">
        <v>0.1741125760648204</v>
      </c>
      <c r="J6779">
        <v>0</v>
      </c>
      <c r="K6779">
        <v>0</v>
      </c>
      <c r="L6779" s="2">
        <v>0</v>
      </c>
      <c r="M6779">
        <v>67.61</v>
      </c>
      <c r="N6779" t="s">
        <v>10236</v>
      </c>
    </row>
    <row r="6780" spans="1:14">
      <c r="A6780" t="s">
        <v>35</v>
      </c>
      <c r="B6780" t="s">
        <v>6846</v>
      </c>
      <c r="C6780">
        <f>"HXC43"</f>
        <v>0</v>
      </c>
      <c r="D6780">
        <v>0</v>
      </c>
      <c r="E6780">
        <v>10</v>
      </c>
      <c r="F6780" s="2">
        <v>2</v>
      </c>
      <c r="H6780">
        <v>0</v>
      </c>
      <c r="I6780">
        <v>0.1741125760648204</v>
      </c>
      <c r="J6780">
        <v>0</v>
      </c>
      <c r="K6780">
        <v>0</v>
      </c>
      <c r="L6780" s="2">
        <v>0</v>
      </c>
      <c r="M6780">
        <v>67.62</v>
      </c>
      <c r="N6780" t="s">
        <v>10236</v>
      </c>
    </row>
    <row r="6781" spans="1:14">
      <c r="A6781" t="s">
        <v>35</v>
      </c>
      <c r="B6781" t="s">
        <v>6847</v>
      </c>
      <c r="C6781">
        <f>"HXC42"</f>
        <v>0</v>
      </c>
      <c r="D6781">
        <v>0</v>
      </c>
      <c r="E6781">
        <v>12</v>
      </c>
      <c r="F6781" s="2">
        <v>2</v>
      </c>
      <c r="H6781">
        <v>0</v>
      </c>
      <c r="I6781">
        <v>0.1741125760648204</v>
      </c>
      <c r="J6781">
        <v>0</v>
      </c>
      <c r="K6781">
        <v>0</v>
      </c>
      <c r="L6781" s="2">
        <v>0</v>
      </c>
      <c r="M6781">
        <v>67.63</v>
      </c>
      <c r="N6781" t="s">
        <v>10236</v>
      </c>
    </row>
    <row r="6782" spans="1:14">
      <c r="A6782" t="s">
        <v>35</v>
      </c>
      <c r="B6782" t="s">
        <v>6848</v>
      </c>
      <c r="C6782">
        <f>"HXC41"</f>
        <v>0</v>
      </c>
      <c r="D6782">
        <v>0</v>
      </c>
      <c r="E6782">
        <v>12</v>
      </c>
      <c r="F6782" s="2">
        <v>2</v>
      </c>
      <c r="H6782">
        <v>0</v>
      </c>
      <c r="I6782">
        <v>0.1741125760648204</v>
      </c>
      <c r="J6782">
        <v>0</v>
      </c>
      <c r="K6782">
        <v>0</v>
      </c>
      <c r="L6782" s="2">
        <v>0</v>
      </c>
      <c r="M6782">
        <v>67.64</v>
      </c>
      <c r="N6782" t="s">
        <v>10236</v>
      </c>
    </row>
    <row r="6783" spans="1:14">
      <c r="A6783" t="s">
        <v>35</v>
      </c>
      <c r="B6783" t="s">
        <v>6849</v>
      </c>
      <c r="C6783">
        <f>"KX4231"</f>
        <v>0</v>
      </c>
      <c r="D6783">
        <v>0</v>
      </c>
      <c r="E6783">
        <v>22</v>
      </c>
      <c r="F6783" s="2">
        <v>1</v>
      </c>
      <c r="H6783">
        <v>0</v>
      </c>
      <c r="I6783">
        <v>0.1741125760648204</v>
      </c>
      <c r="J6783">
        <v>0</v>
      </c>
      <c r="K6783">
        <v>0</v>
      </c>
      <c r="L6783" s="2">
        <v>0</v>
      </c>
      <c r="M6783">
        <v>67.65000000000001</v>
      </c>
      <c r="N6783" t="s">
        <v>10236</v>
      </c>
    </row>
    <row r="6784" spans="1:14">
      <c r="A6784" t="s">
        <v>35</v>
      </c>
      <c r="B6784" t="s">
        <v>6850</v>
      </c>
      <c r="C6784">
        <f>"KX4230"</f>
        <v>0</v>
      </c>
      <c r="D6784">
        <v>0</v>
      </c>
      <c r="E6784">
        <v>11</v>
      </c>
      <c r="F6784" s="2">
        <v>1</v>
      </c>
      <c r="H6784">
        <v>0</v>
      </c>
      <c r="I6784">
        <v>0.1741125760648204</v>
      </c>
      <c r="J6784">
        <v>0</v>
      </c>
      <c r="K6784">
        <v>0</v>
      </c>
      <c r="L6784" s="2">
        <v>0</v>
      </c>
      <c r="M6784">
        <v>67.66</v>
      </c>
      <c r="N6784" t="s">
        <v>10236</v>
      </c>
    </row>
    <row r="6785" spans="1:14">
      <c r="A6785" t="s">
        <v>35</v>
      </c>
      <c r="B6785" t="s">
        <v>6851</v>
      </c>
      <c r="C6785">
        <f>"KX4229"</f>
        <v>0</v>
      </c>
      <c r="D6785">
        <v>0</v>
      </c>
      <c r="E6785">
        <v>18</v>
      </c>
      <c r="F6785" s="2">
        <v>1</v>
      </c>
      <c r="H6785">
        <v>0</v>
      </c>
      <c r="I6785">
        <v>0.1741125760648204</v>
      </c>
      <c r="J6785">
        <v>0</v>
      </c>
      <c r="K6785">
        <v>0</v>
      </c>
      <c r="L6785" s="2">
        <v>0</v>
      </c>
      <c r="M6785">
        <v>67.67</v>
      </c>
      <c r="N6785" t="s">
        <v>10236</v>
      </c>
    </row>
    <row r="6786" spans="1:14">
      <c r="A6786" t="s">
        <v>35</v>
      </c>
      <c r="B6786" t="s">
        <v>6852</v>
      </c>
      <c r="C6786">
        <f>"CL333GXS"</f>
        <v>0</v>
      </c>
      <c r="D6786">
        <v>0</v>
      </c>
      <c r="E6786">
        <v>17</v>
      </c>
      <c r="F6786" s="2">
        <v>2</v>
      </c>
      <c r="H6786">
        <v>0</v>
      </c>
      <c r="I6786">
        <v>0.1741125760648204</v>
      </c>
      <c r="J6786">
        <v>0</v>
      </c>
      <c r="K6786">
        <v>0</v>
      </c>
      <c r="L6786" s="2">
        <v>0</v>
      </c>
      <c r="M6786">
        <v>67.68000000000001</v>
      </c>
      <c r="N6786" t="s">
        <v>10236</v>
      </c>
    </row>
    <row r="6787" spans="1:14">
      <c r="A6787" t="s">
        <v>35</v>
      </c>
      <c r="B6787" t="s">
        <v>6853</v>
      </c>
      <c r="C6787">
        <f>"8000015"</f>
        <v>0</v>
      </c>
      <c r="D6787">
        <v>0</v>
      </c>
      <c r="E6787">
        <v>0</v>
      </c>
      <c r="F6787" s="2">
        <v>0</v>
      </c>
      <c r="H6787">
        <v>0</v>
      </c>
      <c r="I6787">
        <v>0.1741125760648204</v>
      </c>
      <c r="J6787">
        <v>0</v>
      </c>
      <c r="K6787">
        <v>0</v>
      </c>
      <c r="L6787" s="2">
        <v>0</v>
      </c>
      <c r="M6787">
        <v>67.69</v>
      </c>
      <c r="N6787" t="s">
        <v>10236</v>
      </c>
    </row>
    <row r="6788" spans="1:14">
      <c r="A6788" t="s">
        <v>35</v>
      </c>
      <c r="B6788" t="s">
        <v>6854</v>
      </c>
      <c r="C6788">
        <f>"CL333GS"</f>
        <v>0</v>
      </c>
      <c r="D6788">
        <v>0</v>
      </c>
      <c r="E6788">
        <v>10</v>
      </c>
      <c r="F6788" s="2">
        <v>2</v>
      </c>
      <c r="H6788">
        <v>0</v>
      </c>
      <c r="I6788">
        <v>0.1741125760648204</v>
      </c>
      <c r="J6788">
        <v>0</v>
      </c>
      <c r="K6788">
        <v>0</v>
      </c>
      <c r="L6788" s="2">
        <v>0</v>
      </c>
      <c r="M6788">
        <v>67.7</v>
      </c>
      <c r="N6788" t="s">
        <v>10236</v>
      </c>
    </row>
    <row r="6789" spans="1:14">
      <c r="A6789" t="s">
        <v>35</v>
      </c>
      <c r="B6789" t="s">
        <v>6855</v>
      </c>
      <c r="C6789">
        <f>"CL333GM"</f>
        <v>0</v>
      </c>
      <c r="D6789">
        <v>0</v>
      </c>
      <c r="E6789">
        <v>11</v>
      </c>
      <c r="F6789" s="2">
        <v>2</v>
      </c>
      <c r="H6789">
        <v>0</v>
      </c>
      <c r="I6789">
        <v>0.1741125760648204</v>
      </c>
      <c r="J6789">
        <v>0</v>
      </c>
      <c r="K6789">
        <v>0</v>
      </c>
      <c r="L6789" s="2">
        <v>0</v>
      </c>
      <c r="M6789">
        <v>67.70999999999999</v>
      </c>
      <c r="N6789" t="s">
        <v>10236</v>
      </c>
    </row>
    <row r="6790" spans="1:14">
      <c r="A6790" t="s">
        <v>35</v>
      </c>
      <c r="B6790" t="s">
        <v>6856</v>
      </c>
      <c r="C6790">
        <f>"CL333GL"</f>
        <v>0</v>
      </c>
      <c r="D6790">
        <v>0</v>
      </c>
      <c r="E6790">
        <v>14</v>
      </c>
      <c r="F6790" s="2">
        <v>3</v>
      </c>
      <c r="H6790">
        <v>0</v>
      </c>
      <c r="I6790">
        <v>0.1741125760648204</v>
      </c>
      <c r="J6790">
        <v>0</v>
      </c>
      <c r="K6790">
        <v>0</v>
      </c>
      <c r="L6790" s="2">
        <v>0</v>
      </c>
      <c r="M6790">
        <v>67.72</v>
      </c>
      <c r="N6790" t="s">
        <v>10236</v>
      </c>
    </row>
    <row r="6791" spans="1:14">
      <c r="A6791" t="s">
        <v>35</v>
      </c>
      <c r="B6791" t="s">
        <v>6857</v>
      </c>
      <c r="C6791">
        <f>"HXC24"</f>
        <v>0</v>
      </c>
      <c r="D6791">
        <v>0</v>
      </c>
      <c r="E6791">
        <v>8</v>
      </c>
      <c r="F6791" s="2">
        <v>3</v>
      </c>
      <c r="H6791">
        <v>0</v>
      </c>
      <c r="I6791">
        <v>0.1741125760648204</v>
      </c>
      <c r="J6791">
        <v>0</v>
      </c>
      <c r="K6791">
        <v>0</v>
      </c>
      <c r="L6791" s="2">
        <v>0</v>
      </c>
      <c r="M6791">
        <v>67.73</v>
      </c>
      <c r="N6791" t="s">
        <v>10236</v>
      </c>
    </row>
    <row r="6792" spans="1:14">
      <c r="A6792" t="s">
        <v>35</v>
      </c>
      <c r="B6792" t="s">
        <v>6858</v>
      </c>
      <c r="C6792">
        <f>"DX026S"</f>
        <v>0</v>
      </c>
      <c r="D6792">
        <v>0</v>
      </c>
      <c r="E6792">
        <v>0</v>
      </c>
      <c r="F6792" s="2">
        <v>0</v>
      </c>
      <c r="H6792">
        <v>0</v>
      </c>
      <c r="I6792">
        <v>0.1741125760648204</v>
      </c>
      <c r="J6792">
        <v>0</v>
      </c>
      <c r="K6792">
        <v>0</v>
      </c>
      <c r="L6792" s="2">
        <v>0</v>
      </c>
      <c r="M6792">
        <v>67.73</v>
      </c>
      <c r="N6792" t="s">
        <v>10236</v>
      </c>
    </row>
    <row r="6793" spans="1:14">
      <c r="A6793" t="s">
        <v>35</v>
      </c>
      <c r="B6793" t="s">
        <v>6859</v>
      </c>
      <c r="C6793">
        <f>"DX025S"</f>
        <v>0</v>
      </c>
      <c r="D6793">
        <v>0</v>
      </c>
      <c r="E6793">
        <v>0</v>
      </c>
      <c r="F6793" s="2">
        <v>0</v>
      </c>
      <c r="H6793">
        <v>0</v>
      </c>
      <c r="I6793">
        <v>0.1741125760648204</v>
      </c>
      <c r="J6793">
        <v>0</v>
      </c>
      <c r="K6793">
        <v>0</v>
      </c>
      <c r="L6793" s="2">
        <v>0</v>
      </c>
      <c r="M6793">
        <v>67.73999999999999</v>
      </c>
      <c r="N6793" t="s">
        <v>10236</v>
      </c>
    </row>
    <row r="6794" spans="1:14">
      <c r="A6794" t="s">
        <v>35</v>
      </c>
      <c r="B6794" t="s">
        <v>6860</v>
      </c>
      <c r="C6794">
        <f>"KX1101ROS"</f>
        <v>0</v>
      </c>
      <c r="D6794">
        <v>0</v>
      </c>
      <c r="E6794">
        <v>0</v>
      </c>
      <c r="F6794" s="2">
        <v>0</v>
      </c>
      <c r="H6794">
        <v>0</v>
      </c>
      <c r="I6794">
        <v>0.1741125760648204</v>
      </c>
      <c r="J6794">
        <v>0</v>
      </c>
      <c r="K6794">
        <v>0</v>
      </c>
      <c r="L6794" s="2">
        <v>0</v>
      </c>
      <c r="M6794">
        <v>67.75</v>
      </c>
      <c r="N6794" t="s">
        <v>10236</v>
      </c>
    </row>
    <row r="6795" spans="1:14">
      <c r="A6795" t="s">
        <v>35</v>
      </c>
      <c r="B6795" t="s">
        <v>6860</v>
      </c>
      <c r="C6795">
        <f>"KX1101NE"</f>
        <v>0</v>
      </c>
      <c r="D6795">
        <v>0</v>
      </c>
      <c r="E6795">
        <v>0</v>
      </c>
      <c r="F6795" s="2">
        <v>0</v>
      </c>
      <c r="H6795">
        <v>0</v>
      </c>
      <c r="I6795">
        <v>0.1741125760648204</v>
      </c>
      <c r="J6795">
        <v>0</v>
      </c>
      <c r="K6795">
        <v>0</v>
      </c>
      <c r="L6795" s="2">
        <v>0</v>
      </c>
      <c r="M6795">
        <v>67.76000000000001</v>
      </c>
      <c r="N6795" t="s">
        <v>10236</v>
      </c>
    </row>
    <row r="6796" spans="1:14">
      <c r="A6796" t="s">
        <v>35</v>
      </c>
      <c r="B6796" t="s">
        <v>6860</v>
      </c>
      <c r="C6796">
        <f>"KX1101CA"</f>
        <v>0</v>
      </c>
      <c r="D6796">
        <v>0</v>
      </c>
      <c r="E6796">
        <v>0</v>
      </c>
      <c r="F6796" s="2">
        <v>0</v>
      </c>
      <c r="H6796">
        <v>0</v>
      </c>
      <c r="I6796">
        <v>0.1741125760648204</v>
      </c>
      <c r="J6796">
        <v>0</v>
      </c>
      <c r="K6796">
        <v>0</v>
      </c>
      <c r="L6796" s="2">
        <v>0</v>
      </c>
      <c r="M6796">
        <v>67.77</v>
      </c>
      <c r="N6796" t="s">
        <v>10236</v>
      </c>
    </row>
    <row r="6797" spans="1:14">
      <c r="A6797" t="s">
        <v>35</v>
      </c>
      <c r="B6797" t="s">
        <v>6860</v>
      </c>
      <c r="C6797">
        <f>"KX1101AZ"</f>
        <v>0</v>
      </c>
      <c r="D6797">
        <v>0</v>
      </c>
      <c r="E6797">
        <v>0</v>
      </c>
      <c r="F6797" s="2">
        <v>0</v>
      </c>
      <c r="H6797">
        <v>0</v>
      </c>
      <c r="I6797">
        <v>0.1741125760648204</v>
      </c>
      <c r="J6797">
        <v>0</v>
      </c>
      <c r="K6797">
        <v>0</v>
      </c>
      <c r="L6797" s="2">
        <v>0</v>
      </c>
      <c r="M6797">
        <v>67.78</v>
      </c>
      <c r="N6797" t="s">
        <v>10236</v>
      </c>
    </row>
    <row r="6798" spans="1:14">
      <c r="A6798" t="s">
        <v>35</v>
      </c>
      <c r="B6798" t="s">
        <v>6861</v>
      </c>
      <c r="C6798">
        <f>"KX1003VE"</f>
        <v>0</v>
      </c>
      <c r="D6798">
        <v>0</v>
      </c>
      <c r="E6798">
        <v>0</v>
      </c>
      <c r="F6798" s="2">
        <v>0</v>
      </c>
      <c r="H6798">
        <v>0</v>
      </c>
      <c r="I6798">
        <v>0.1741125760648204</v>
      </c>
      <c r="J6798">
        <v>0</v>
      </c>
      <c r="K6798">
        <v>0</v>
      </c>
      <c r="L6798" s="2">
        <v>0</v>
      </c>
      <c r="M6798">
        <v>67.79000000000001</v>
      </c>
      <c r="N6798" t="s">
        <v>10236</v>
      </c>
    </row>
    <row r="6799" spans="1:14">
      <c r="A6799" t="s">
        <v>35</v>
      </c>
      <c r="B6799" t="s">
        <v>6861</v>
      </c>
      <c r="C6799">
        <f>"KX1003ROS"</f>
        <v>0</v>
      </c>
      <c r="D6799">
        <v>0</v>
      </c>
      <c r="E6799">
        <v>0</v>
      </c>
      <c r="F6799" s="2">
        <v>0</v>
      </c>
      <c r="H6799">
        <v>0</v>
      </c>
      <c r="I6799">
        <v>0.1741125760648204</v>
      </c>
      <c r="J6799">
        <v>0</v>
      </c>
      <c r="K6799">
        <v>0</v>
      </c>
      <c r="L6799" s="2">
        <v>0</v>
      </c>
      <c r="M6799">
        <v>67.8</v>
      </c>
      <c r="N6799" t="s">
        <v>10236</v>
      </c>
    </row>
    <row r="6800" spans="1:14">
      <c r="A6800" t="s">
        <v>35</v>
      </c>
      <c r="B6800" t="s">
        <v>6861</v>
      </c>
      <c r="C6800">
        <f>"KX1003ROJ"</f>
        <v>0</v>
      </c>
      <c r="D6800">
        <v>0</v>
      </c>
      <c r="E6800">
        <v>0</v>
      </c>
      <c r="F6800" s="2">
        <v>0</v>
      </c>
      <c r="H6800">
        <v>0</v>
      </c>
      <c r="I6800">
        <v>0.1741125760648204</v>
      </c>
      <c r="J6800">
        <v>0</v>
      </c>
      <c r="K6800">
        <v>0</v>
      </c>
      <c r="L6800" s="2">
        <v>0</v>
      </c>
      <c r="M6800">
        <v>67.81</v>
      </c>
      <c r="N6800" t="s">
        <v>10236</v>
      </c>
    </row>
    <row r="6801" spans="1:14">
      <c r="A6801" t="s">
        <v>35</v>
      </c>
      <c r="B6801" t="s">
        <v>6861</v>
      </c>
      <c r="C6801">
        <f>"KX1003AZ"</f>
        <v>0</v>
      </c>
      <c r="D6801">
        <v>0</v>
      </c>
      <c r="E6801">
        <v>0</v>
      </c>
      <c r="F6801" s="2">
        <v>0</v>
      </c>
      <c r="H6801">
        <v>0</v>
      </c>
      <c r="I6801">
        <v>0.1741125760648204</v>
      </c>
      <c r="J6801">
        <v>0</v>
      </c>
      <c r="K6801">
        <v>0</v>
      </c>
      <c r="L6801" s="2">
        <v>0</v>
      </c>
      <c r="M6801">
        <v>67.81999999999999</v>
      </c>
      <c r="N6801" t="s">
        <v>10236</v>
      </c>
    </row>
    <row r="6802" spans="1:14">
      <c r="A6802" t="s">
        <v>35</v>
      </c>
      <c r="B6802" t="s">
        <v>6862</v>
      </c>
      <c r="C6802">
        <f>"KX1101"</f>
        <v>0</v>
      </c>
      <c r="D6802">
        <v>0</v>
      </c>
      <c r="E6802">
        <v>0</v>
      </c>
      <c r="F6802" s="2">
        <v>0</v>
      </c>
      <c r="H6802">
        <v>0</v>
      </c>
      <c r="I6802">
        <v>0.1741125760648204</v>
      </c>
      <c r="J6802">
        <v>0</v>
      </c>
      <c r="K6802">
        <v>0</v>
      </c>
      <c r="L6802" s="2">
        <v>0</v>
      </c>
      <c r="M6802">
        <v>67.83</v>
      </c>
      <c r="N6802" t="s">
        <v>10236</v>
      </c>
    </row>
    <row r="6803" spans="1:14">
      <c r="A6803" t="s">
        <v>35</v>
      </c>
      <c r="B6803" t="s">
        <v>6863</v>
      </c>
      <c r="C6803">
        <f>"VSB3"</f>
        <v>0</v>
      </c>
      <c r="D6803">
        <v>0</v>
      </c>
      <c r="E6803">
        <v>0</v>
      </c>
      <c r="F6803" s="2">
        <v>0</v>
      </c>
      <c r="H6803">
        <v>0</v>
      </c>
      <c r="I6803">
        <v>0.1741125760648204</v>
      </c>
      <c r="J6803">
        <v>0</v>
      </c>
      <c r="K6803">
        <v>0</v>
      </c>
      <c r="L6803" s="2">
        <v>0</v>
      </c>
      <c r="M6803">
        <v>67.84</v>
      </c>
      <c r="N6803" t="s">
        <v>10236</v>
      </c>
    </row>
    <row r="6804" spans="1:14">
      <c r="A6804" t="s">
        <v>35</v>
      </c>
      <c r="B6804" t="s">
        <v>6839</v>
      </c>
      <c r="C6804">
        <f>"KX4144"</f>
        <v>0</v>
      </c>
      <c r="D6804">
        <v>0</v>
      </c>
      <c r="E6804">
        <v>9</v>
      </c>
      <c r="F6804" s="2">
        <v>1</v>
      </c>
      <c r="H6804">
        <v>0</v>
      </c>
      <c r="I6804">
        <v>0.1741125760648204</v>
      </c>
      <c r="J6804">
        <v>0</v>
      </c>
      <c r="K6804">
        <v>0</v>
      </c>
      <c r="L6804" s="2">
        <v>0</v>
      </c>
      <c r="M6804">
        <v>67.84</v>
      </c>
      <c r="N6804" t="s">
        <v>10236</v>
      </c>
    </row>
    <row r="6805" spans="1:14">
      <c r="A6805" t="s">
        <v>35</v>
      </c>
      <c r="B6805" t="s">
        <v>6864</v>
      </c>
      <c r="C6805">
        <f>"EPTK4"</f>
        <v>0</v>
      </c>
      <c r="D6805">
        <v>0</v>
      </c>
      <c r="E6805">
        <v>0</v>
      </c>
      <c r="F6805" s="2">
        <v>0</v>
      </c>
      <c r="H6805">
        <v>0</v>
      </c>
      <c r="I6805">
        <v>0.1741125760648204</v>
      </c>
      <c r="J6805">
        <v>0</v>
      </c>
      <c r="K6805">
        <v>0</v>
      </c>
      <c r="L6805" s="2">
        <v>0</v>
      </c>
      <c r="M6805">
        <v>67.84999999999999</v>
      </c>
      <c r="N6805" t="s">
        <v>10236</v>
      </c>
    </row>
    <row r="6806" spans="1:14">
      <c r="A6806" t="s">
        <v>35</v>
      </c>
      <c r="B6806" t="s">
        <v>6865</v>
      </c>
      <c r="C6806">
        <f>"KX4221"</f>
        <v>0</v>
      </c>
      <c r="D6806">
        <v>0</v>
      </c>
      <c r="E6806">
        <v>0</v>
      </c>
      <c r="F6806" s="2">
        <v>0</v>
      </c>
      <c r="H6806">
        <v>0</v>
      </c>
      <c r="I6806">
        <v>0.1741125760648204</v>
      </c>
      <c r="J6806">
        <v>0</v>
      </c>
      <c r="K6806">
        <v>0</v>
      </c>
      <c r="L6806" s="2">
        <v>0</v>
      </c>
      <c r="M6806">
        <v>67.86</v>
      </c>
      <c r="N6806" t="s">
        <v>10236</v>
      </c>
    </row>
    <row r="6807" spans="1:14">
      <c r="A6807" t="s">
        <v>35</v>
      </c>
      <c r="B6807" t="s">
        <v>6866</v>
      </c>
      <c r="C6807">
        <f>"jw0122R"</f>
        <v>0</v>
      </c>
      <c r="D6807">
        <v>0</v>
      </c>
      <c r="E6807">
        <v>1</v>
      </c>
      <c r="F6807" s="2">
        <v>945</v>
      </c>
      <c r="H6807">
        <v>0</v>
      </c>
      <c r="I6807">
        <v>0.1741125760648204</v>
      </c>
      <c r="J6807">
        <v>0</v>
      </c>
      <c r="K6807">
        <v>0</v>
      </c>
      <c r="L6807" s="2">
        <v>0</v>
      </c>
      <c r="M6807">
        <v>67.87</v>
      </c>
      <c r="N6807" t="s">
        <v>10236</v>
      </c>
    </row>
    <row r="6808" spans="1:14">
      <c r="A6808" t="s">
        <v>35</v>
      </c>
      <c r="B6808" t="s">
        <v>6867</v>
      </c>
      <c r="C6808">
        <f>"JW0122N"</f>
        <v>0</v>
      </c>
      <c r="D6808">
        <v>0</v>
      </c>
      <c r="E6808">
        <v>0</v>
      </c>
      <c r="F6808" s="2">
        <v>0</v>
      </c>
      <c r="H6808">
        <v>0</v>
      </c>
      <c r="I6808">
        <v>0.1741125760648204</v>
      </c>
      <c r="J6808">
        <v>0</v>
      </c>
      <c r="K6808">
        <v>0</v>
      </c>
      <c r="L6808" s="2">
        <v>0</v>
      </c>
      <c r="M6808">
        <v>67.88</v>
      </c>
      <c r="N6808" t="s">
        <v>10236</v>
      </c>
    </row>
    <row r="6809" spans="1:14">
      <c r="A6809" t="s">
        <v>35</v>
      </c>
      <c r="B6809" t="s">
        <v>6868</v>
      </c>
      <c r="C6809">
        <f>"jw0121V"</f>
        <v>0</v>
      </c>
      <c r="D6809">
        <v>0</v>
      </c>
      <c r="E6809">
        <v>8</v>
      </c>
      <c r="F6809" s="2">
        <v>1</v>
      </c>
      <c r="H6809">
        <v>0</v>
      </c>
      <c r="I6809">
        <v>0.1741125760648204</v>
      </c>
      <c r="J6809">
        <v>0</v>
      </c>
      <c r="K6809">
        <v>0</v>
      </c>
      <c r="L6809" s="2">
        <v>0</v>
      </c>
      <c r="M6809">
        <v>67.89</v>
      </c>
      <c r="N6809" t="s">
        <v>10236</v>
      </c>
    </row>
    <row r="6810" spans="1:14">
      <c r="A6810" t="s">
        <v>35</v>
      </c>
      <c r="B6810" t="s">
        <v>6869</v>
      </c>
      <c r="C6810">
        <f>"jw0121R"</f>
        <v>0</v>
      </c>
      <c r="D6810">
        <v>0</v>
      </c>
      <c r="E6810">
        <v>0</v>
      </c>
      <c r="F6810" s="2">
        <v>0</v>
      </c>
      <c r="H6810">
        <v>0</v>
      </c>
      <c r="I6810">
        <v>0.1741125760648204</v>
      </c>
      <c r="J6810">
        <v>0</v>
      </c>
      <c r="K6810">
        <v>0</v>
      </c>
      <c r="L6810" s="2">
        <v>0</v>
      </c>
      <c r="M6810">
        <v>67.90000000000001</v>
      </c>
      <c r="N6810" t="s">
        <v>10236</v>
      </c>
    </row>
    <row r="6811" spans="1:14">
      <c r="A6811" t="s">
        <v>35</v>
      </c>
      <c r="B6811" t="s">
        <v>6870</v>
      </c>
      <c r="C6811">
        <f>"jw0121N"</f>
        <v>0</v>
      </c>
      <c r="D6811">
        <v>0</v>
      </c>
      <c r="E6811">
        <v>0</v>
      </c>
      <c r="F6811" s="2">
        <v>0</v>
      </c>
      <c r="H6811">
        <v>0</v>
      </c>
      <c r="I6811">
        <v>0.1741125760648204</v>
      </c>
      <c r="J6811">
        <v>0</v>
      </c>
      <c r="K6811">
        <v>0</v>
      </c>
      <c r="L6811" s="2">
        <v>0</v>
      </c>
      <c r="M6811">
        <v>67.91</v>
      </c>
      <c r="N6811" t="s">
        <v>10236</v>
      </c>
    </row>
    <row r="6812" spans="1:14">
      <c r="A6812" t="s">
        <v>35</v>
      </c>
      <c r="B6812" t="s">
        <v>6871</v>
      </c>
      <c r="C6812">
        <f>"jw0121A"</f>
        <v>0</v>
      </c>
      <c r="D6812">
        <v>0</v>
      </c>
      <c r="E6812">
        <v>2</v>
      </c>
      <c r="F6812" s="2">
        <v>1</v>
      </c>
      <c r="H6812">
        <v>0</v>
      </c>
      <c r="I6812">
        <v>0.1741125760648204</v>
      </c>
      <c r="J6812">
        <v>0</v>
      </c>
      <c r="K6812">
        <v>0</v>
      </c>
      <c r="L6812" s="2">
        <v>0</v>
      </c>
      <c r="M6812">
        <v>67.92</v>
      </c>
      <c r="N6812" t="s">
        <v>10236</v>
      </c>
    </row>
    <row r="6813" spans="1:14">
      <c r="A6813" t="s">
        <v>35</v>
      </c>
      <c r="B6813" t="s">
        <v>6872</v>
      </c>
      <c r="C6813">
        <f>"jw0120v"</f>
        <v>0</v>
      </c>
      <c r="D6813">
        <v>0</v>
      </c>
      <c r="E6813">
        <v>1</v>
      </c>
      <c r="F6813" s="2">
        <v>621</v>
      </c>
      <c r="H6813">
        <v>0</v>
      </c>
      <c r="I6813">
        <v>0.1741125760648204</v>
      </c>
      <c r="J6813">
        <v>0</v>
      </c>
      <c r="K6813">
        <v>0</v>
      </c>
      <c r="L6813" s="2">
        <v>0</v>
      </c>
      <c r="M6813">
        <v>67.93000000000001</v>
      </c>
      <c r="N6813" t="s">
        <v>10236</v>
      </c>
    </row>
    <row r="6814" spans="1:14">
      <c r="A6814" t="s">
        <v>35</v>
      </c>
      <c r="B6814" t="s">
        <v>6873</v>
      </c>
      <c r="C6814">
        <f>"jw0120r"</f>
        <v>0</v>
      </c>
      <c r="D6814">
        <v>0</v>
      </c>
      <c r="E6814">
        <v>0</v>
      </c>
      <c r="F6814" s="2">
        <v>0</v>
      </c>
      <c r="H6814">
        <v>0</v>
      </c>
      <c r="I6814">
        <v>0.1741125760648204</v>
      </c>
      <c r="J6814">
        <v>0</v>
      </c>
      <c r="K6814">
        <v>0</v>
      </c>
      <c r="L6814" s="2">
        <v>0</v>
      </c>
      <c r="M6814">
        <v>67.94</v>
      </c>
      <c r="N6814" t="s">
        <v>10236</v>
      </c>
    </row>
    <row r="6815" spans="1:14">
      <c r="A6815" t="s">
        <v>35</v>
      </c>
      <c r="B6815" t="s">
        <v>6874</v>
      </c>
      <c r="C6815">
        <f>"jw0120n"</f>
        <v>0</v>
      </c>
      <c r="D6815">
        <v>0</v>
      </c>
      <c r="E6815">
        <v>0</v>
      </c>
      <c r="F6815" s="2">
        <v>0</v>
      </c>
      <c r="H6815">
        <v>0</v>
      </c>
      <c r="I6815">
        <v>0.1741125760648204</v>
      </c>
      <c r="J6815">
        <v>0</v>
      </c>
      <c r="K6815">
        <v>0</v>
      </c>
      <c r="L6815" s="2">
        <v>0</v>
      </c>
      <c r="M6815">
        <v>67.95</v>
      </c>
      <c r="N6815" t="s">
        <v>10236</v>
      </c>
    </row>
    <row r="6816" spans="1:14">
      <c r="A6816" t="s">
        <v>35</v>
      </c>
      <c r="B6816" t="s">
        <v>6875</v>
      </c>
      <c r="C6816">
        <f>"jw0120a"</f>
        <v>0</v>
      </c>
      <c r="D6816">
        <v>0</v>
      </c>
      <c r="E6816">
        <v>0</v>
      </c>
      <c r="F6816" s="2">
        <v>0</v>
      </c>
      <c r="H6816">
        <v>0</v>
      </c>
      <c r="I6816">
        <v>0.1741125760648204</v>
      </c>
      <c r="J6816">
        <v>0</v>
      </c>
      <c r="K6816">
        <v>0</v>
      </c>
      <c r="L6816" s="2">
        <v>0</v>
      </c>
      <c r="M6816">
        <v>67.95999999999999</v>
      </c>
      <c r="N6816" t="s">
        <v>10236</v>
      </c>
    </row>
    <row r="6817" spans="1:14">
      <c r="A6817" t="s">
        <v>35</v>
      </c>
      <c r="B6817" t="s">
        <v>6876</v>
      </c>
      <c r="C6817">
        <f>"jw0119"</f>
        <v>0</v>
      </c>
      <c r="D6817">
        <v>0</v>
      </c>
      <c r="E6817">
        <v>0</v>
      </c>
      <c r="F6817" s="2">
        <v>0</v>
      </c>
      <c r="H6817">
        <v>0</v>
      </c>
      <c r="I6817">
        <v>0.1741125760648204</v>
      </c>
      <c r="J6817">
        <v>0</v>
      </c>
      <c r="K6817">
        <v>0</v>
      </c>
      <c r="L6817" s="2">
        <v>0</v>
      </c>
      <c r="M6817">
        <v>67.95999999999999</v>
      </c>
      <c r="N6817" t="s">
        <v>10236</v>
      </c>
    </row>
    <row r="6818" spans="1:14">
      <c r="A6818" t="s">
        <v>35</v>
      </c>
      <c r="B6818" t="s">
        <v>6877</v>
      </c>
      <c r="C6818">
        <f>"WD033"</f>
        <v>0</v>
      </c>
      <c r="D6818">
        <v>0</v>
      </c>
      <c r="E6818">
        <v>0</v>
      </c>
      <c r="F6818" s="2">
        <v>0</v>
      </c>
      <c r="H6818">
        <v>0</v>
      </c>
      <c r="I6818">
        <v>0.1741125760648204</v>
      </c>
      <c r="J6818">
        <v>0</v>
      </c>
      <c r="K6818">
        <v>0</v>
      </c>
      <c r="L6818" s="2">
        <v>0</v>
      </c>
      <c r="M6818">
        <v>67.97</v>
      </c>
      <c r="N6818" t="s">
        <v>10236</v>
      </c>
    </row>
    <row r="6819" spans="1:14">
      <c r="A6819" t="s">
        <v>35</v>
      </c>
      <c r="B6819" t="s">
        <v>6878</v>
      </c>
      <c r="C6819">
        <f>"CL333GXL"</f>
        <v>0</v>
      </c>
      <c r="D6819">
        <v>0</v>
      </c>
      <c r="E6819">
        <v>21</v>
      </c>
      <c r="F6819" s="2">
        <v>3</v>
      </c>
      <c r="H6819">
        <v>0</v>
      </c>
      <c r="I6819">
        <v>0.1741125760648204</v>
      </c>
      <c r="J6819">
        <v>0</v>
      </c>
      <c r="K6819">
        <v>0</v>
      </c>
      <c r="L6819" s="2">
        <v>0</v>
      </c>
      <c r="M6819">
        <v>67.98</v>
      </c>
      <c r="N6819" t="s">
        <v>10236</v>
      </c>
    </row>
    <row r="6820" spans="1:14">
      <c r="A6820" t="s">
        <v>35</v>
      </c>
      <c r="B6820" t="s">
        <v>6879</v>
      </c>
      <c r="C6820">
        <f>"WD031"</f>
        <v>0</v>
      </c>
      <c r="D6820">
        <v>0</v>
      </c>
      <c r="E6820">
        <v>0</v>
      </c>
      <c r="F6820" s="2">
        <v>0</v>
      </c>
      <c r="H6820">
        <v>0</v>
      </c>
      <c r="I6820">
        <v>0.1741125760648204</v>
      </c>
      <c r="J6820">
        <v>0</v>
      </c>
      <c r="K6820">
        <v>0</v>
      </c>
      <c r="L6820" s="2">
        <v>0</v>
      </c>
      <c r="M6820">
        <v>67.98999999999999</v>
      </c>
      <c r="N6820" t="s">
        <v>10236</v>
      </c>
    </row>
    <row r="6821" spans="1:14">
      <c r="A6821" t="s">
        <v>35</v>
      </c>
      <c r="B6821" t="s">
        <v>6880</v>
      </c>
      <c r="C6821">
        <f>"KX4222"</f>
        <v>0</v>
      </c>
      <c r="D6821">
        <v>0</v>
      </c>
      <c r="E6821">
        <v>10</v>
      </c>
      <c r="F6821" s="2">
        <v>1</v>
      </c>
      <c r="H6821">
        <v>0</v>
      </c>
      <c r="I6821">
        <v>0.1741125760648204</v>
      </c>
      <c r="J6821">
        <v>0</v>
      </c>
      <c r="K6821">
        <v>0</v>
      </c>
      <c r="L6821" s="2">
        <v>0</v>
      </c>
      <c r="M6821">
        <v>68</v>
      </c>
      <c r="N6821" t="s">
        <v>10236</v>
      </c>
    </row>
    <row r="6822" spans="1:14">
      <c r="A6822" t="s">
        <v>35</v>
      </c>
      <c r="B6822" t="s">
        <v>6881</v>
      </c>
      <c r="C6822">
        <f>"JW0122V"</f>
        <v>0</v>
      </c>
      <c r="D6822">
        <v>0</v>
      </c>
      <c r="E6822">
        <v>3</v>
      </c>
      <c r="F6822" s="2">
        <v>1</v>
      </c>
      <c r="H6822">
        <v>0</v>
      </c>
      <c r="I6822">
        <v>0.1741125760648204</v>
      </c>
      <c r="J6822">
        <v>0</v>
      </c>
      <c r="K6822">
        <v>0</v>
      </c>
      <c r="L6822" s="2">
        <v>0</v>
      </c>
      <c r="M6822">
        <v>68.01000000000001</v>
      </c>
      <c r="N6822" t="s">
        <v>10236</v>
      </c>
    </row>
    <row r="6823" spans="1:14">
      <c r="A6823" t="s">
        <v>228</v>
      </c>
      <c r="B6823" t="s">
        <v>6882</v>
      </c>
      <c r="C6823">
        <f>"DNP15"</f>
        <v>0</v>
      </c>
      <c r="D6823">
        <v>0</v>
      </c>
      <c r="E6823">
        <v>0</v>
      </c>
      <c r="F6823" s="2">
        <v>0</v>
      </c>
      <c r="H6823">
        <v>0</v>
      </c>
      <c r="I6823">
        <v>0.1741125760648204</v>
      </c>
      <c r="J6823">
        <v>0</v>
      </c>
      <c r="K6823">
        <v>0</v>
      </c>
      <c r="L6823" s="2">
        <v>0</v>
      </c>
      <c r="M6823">
        <v>68.02</v>
      </c>
      <c r="N6823" t="s">
        <v>10236</v>
      </c>
    </row>
    <row r="6824" spans="1:14">
      <c r="A6824" t="s">
        <v>228</v>
      </c>
      <c r="B6824" t="s">
        <v>6883</v>
      </c>
      <c r="C6824">
        <f>"DNS7"</f>
        <v>0</v>
      </c>
      <c r="D6824">
        <v>0</v>
      </c>
      <c r="E6824">
        <v>0</v>
      </c>
      <c r="F6824" s="2">
        <v>0</v>
      </c>
      <c r="H6824">
        <v>0</v>
      </c>
      <c r="I6824">
        <v>0.1741125760648204</v>
      </c>
      <c r="J6824">
        <v>0</v>
      </c>
      <c r="K6824">
        <v>0</v>
      </c>
      <c r="L6824" s="2">
        <v>0</v>
      </c>
      <c r="M6824">
        <v>68.03</v>
      </c>
      <c r="N6824" t="s">
        <v>10236</v>
      </c>
    </row>
    <row r="6825" spans="1:14">
      <c r="A6825" t="s">
        <v>228</v>
      </c>
      <c r="B6825" t="s">
        <v>6884</v>
      </c>
      <c r="C6825">
        <f>"DNS2"</f>
        <v>0</v>
      </c>
      <c r="D6825">
        <v>0</v>
      </c>
      <c r="E6825">
        <v>0</v>
      </c>
      <c r="F6825" s="2">
        <v>0</v>
      </c>
      <c r="H6825">
        <v>0</v>
      </c>
      <c r="I6825">
        <v>0.1741125760648204</v>
      </c>
      <c r="J6825">
        <v>0</v>
      </c>
      <c r="K6825">
        <v>0</v>
      </c>
      <c r="L6825" s="2">
        <v>0</v>
      </c>
      <c r="M6825">
        <v>68.04000000000001</v>
      </c>
      <c r="N6825" t="s">
        <v>10236</v>
      </c>
    </row>
    <row r="6826" spans="1:14">
      <c r="A6826" t="s">
        <v>228</v>
      </c>
      <c r="B6826" t="s">
        <v>6885</v>
      </c>
      <c r="C6826">
        <f>"DNS15"</f>
        <v>0</v>
      </c>
      <c r="D6826">
        <v>0</v>
      </c>
      <c r="E6826">
        <v>0</v>
      </c>
      <c r="F6826" s="2">
        <v>0</v>
      </c>
      <c r="H6826">
        <v>0</v>
      </c>
      <c r="I6826">
        <v>0.1741125760648204</v>
      </c>
      <c r="J6826">
        <v>0</v>
      </c>
      <c r="K6826">
        <v>0</v>
      </c>
      <c r="L6826" s="2">
        <v>0</v>
      </c>
      <c r="M6826">
        <v>68.05</v>
      </c>
      <c r="N6826" t="s">
        <v>10236</v>
      </c>
    </row>
    <row r="6827" spans="1:14">
      <c r="A6827" t="s">
        <v>223</v>
      </c>
      <c r="B6827" t="s">
        <v>6886</v>
      </c>
      <c r="C6827">
        <f>"20400605"</f>
        <v>0</v>
      </c>
      <c r="D6827">
        <v>0</v>
      </c>
      <c r="E6827">
        <v>0</v>
      </c>
      <c r="F6827" s="2">
        <v>0</v>
      </c>
      <c r="H6827">
        <v>0</v>
      </c>
      <c r="I6827">
        <v>0.1741125760648204</v>
      </c>
      <c r="J6827">
        <v>0</v>
      </c>
      <c r="K6827">
        <v>0</v>
      </c>
      <c r="L6827" s="2">
        <v>0</v>
      </c>
      <c r="M6827">
        <v>68.06</v>
      </c>
      <c r="N6827" t="s">
        <v>10236</v>
      </c>
    </row>
    <row r="6828" spans="1:14">
      <c r="A6828" t="s">
        <v>223</v>
      </c>
      <c r="B6828" t="s">
        <v>6887</v>
      </c>
      <c r="C6828">
        <f>"2006100"</f>
        <v>0</v>
      </c>
      <c r="D6828">
        <v>0</v>
      </c>
      <c r="E6828">
        <v>0</v>
      </c>
      <c r="F6828" s="2">
        <v>0</v>
      </c>
      <c r="H6828">
        <v>0</v>
      </c>
      <c r="I6828">
        <v>0.1741125760648204</v>
      </c>
      <c r="J6828">
        <v>0</v>
      </c>
      <c r="K6828">
        <v>0</v>
      </c>
      <c r="L6828" s="2">
        <v>0</v>
      </c>
      <c r="M6828">
        <v>68.06999999999999</v>
      </c>
      <c r="N6828" t="s">
        <v>10236</v>
      </c>
    </row>
    <row r="6829" spans="1:14">
      <c r="A6829" t="s">
        <v>218</v>
      </c>
      <c r="B6829" t="s">
        <v>6888</v>
      </c>
      <c r="C6829">
        <f>"1016459"</f>
        <v>0</v>
      </c>
      <c r="D6829">
        <v>0</v>
      </c>
      <c r="E6829">
        <v>0</v>
      </c>
      <c r="F6829" s="2">
        <v>0</v>
      </c>
      <c r="H6829">
        <v>0</v>
      </c>
      <c r="I6829">
        <v>0.1741125760648204</v>
      </c>
      <c r="J6829">
        <v>0</v>
      </c>
      <c r="K6829">
        <v>0</v>
      </c>
      <c r="L6829" s="2">
        <v>0</v>
      </c>
      <c r="M6829">
        <v>68.08</v>
      </c>
      <c r="N6829" t="s">
        <v>10236</v>
      </c>
    </row>
    <row r="6830" spans="1:14">
      <c r="A6830" t="s">
        <v>218</v>
      </c>
      <c r="B6830" t="s">
        <v>6889</v>
      </c>
      <c r="C6830">
        <f>"CEN007"</f>
        <v>0</v>
      </c>
      <c r="D6830">
        <v>0</v>
      </c>
      <c r="E6830">
        <v>0</v>
      </c>
      <c r="F6830" s="2">
        <v>0</v>
      </c>
      <c r="H6830">
        <v>0</v>
      </c>
      <c r="I6830">
        <v>0.1741125760648204</v>
      </c>
      <c r="J6830">
        <v>0</v>
      </c>
      <c r="K6830">
        <v>0</v>
      </c>
      <c r="L6830" s="2">
        <v>0</v>
      </c>
      <c r="M6830">
        <v>68.08</v>
      </c>
      <c r="N6830" t="s">
        <v>10236</v>
      </c>
    </row>
    <row r="6831" spans="1:14">
      <c r="A6831" t="s">
        <v>25</v>
      </c>
      <c r="B6831" t="s">
        <v>6890</v>
      </c>
      <c r="C6831">
        <f>"ZVP1105"</f>
        <v>0</v>
      </c>
      <c r="D6831">
        <v>0</v>
      </c>
      <c r="E6831">
        <v>0</v>
      </c>
      <c r="F6831" s="2">
        <v>0</v>
      </c>
      <c r="H6831">
        <v>0</v>
      </c>
      <c r="I6831">
        <v>0.1741125760648204</v>
      </c>
      <c r="J6831">
        <v>0</v>
      </c>
      <c r="K6831">
        <v>0</v>
      </c>
      <c r="L6831" s="2">
        <v>0</v>
      </c>
      <c r="M6831">
        <v>68.09</v>
      </c>
      <c r="N6831" t="s">
        <v>10236</v>
      </c>
    </row>
    <row r="6832" spans="1:14">
      <c r="A6832" t="s">
        <v>196</v>
      </c>
      <c r="B6832" t="s">
        <v>6891</v>
      </c>
      <c r="C6832">
        <f>"2012"</f>
        <v>0</v>
      </c>
      <c r="D6832">
        <v>0</v>
      </c>
      <c r="E6832">
        <v>7</v>
      </c>
      <c r="F6832" s="2">
        <v>2</v>
      </c>
      <c r="H6832">
        <v>0</v>
      </c>
      <c r="I6832">
        <v>0.1741125760648204</v>
      </c>
      <c r="J6832">
        <v>0</v>
      </c>
      <c r="K6832">
        <v>0</v>
      </c>
      <c r="L6832" s="2">
        <v>0</v>
      </c>
      <c r="M6832">
        <v>68.09999999999999</v>
      </c>
      <c r="N6832" t="s">
        <v>10236</v>
      </c>
    </row>
    <row r="6833" spans="1:14">
      <c r="A6833" t="s">
        <v>196</v>
      </c>
      <c r="B6833" t="s">
        <v>6892</v>
      </c>
      <c r="C6833">
        <f>"2013"</f>
        <v>0</v>
      </c>
      <c r="D6833">
        <v>0</v>
      </c>
      <c r="E6833">
        <v>8</v>
      </c>
      <c r="F6833" s="2">
        <v>1</v>
      </c>
      <c r="H6833">
        <v>0</v>
      </c>
      <c r="I6833">
        <v>0.1741125760648204</v>
      </c>
      <c r="J6833">
        <v>0</v>
      </c>
      <c r="K6833">
        <v>0</v>
      </c>
      <c r="L6833" s="2">
        <v>0</v>
      </c>
      <c r="M6833">
        <v>68.11</v>
      </c>
      <c r="N6833" t="s">
        <v>10236</v>
      </c>
    </row>
    <row r="6834" spans="1:14">
      <c r="A6834" t="s">
        <v>196</v>
      </c>
      <c r="B6834" t="s">
        <v>6893</v>
      </c>
      <c r="C6834">
        <f>"2046"</f>
        <v>0</v>
      </c>
      <c r="D6834">
        <v>0</v>
      </c>
      <c r="E6834">
        <v>0</v>
      </c>
      <c r="F6834" s="2">
        <v>0</v>
      </c>
      <c r="H6834">
        <v>0</v>
      </c>
      <c r="I6834">
        <v>0.1741125760648204</v>
      </c>
      <c r="J6834">
        <v>0</v>
      </c>
      <c r="K6834">
        <v>0</v>
      </c>
      <c r="L6834" s="2">
        <v>0</v>
      </c>
      <c r="M6834">
        <v>68.12</v>
      </c>
      <c r="N6834" t="s">
        <v>10236</v>
      </c>
    </row>
    <row r="6835" spans="1:14">
      <c r="A6835" t="s">
        <v>32</v>
      </c>
      <c r="B6835" t="s">
        <v>6894</v>
      </c>
      <c r="C6835">
        <f>"5002996"</f>
        <v>0</v>
      </c>
      <c r="D6835">
        <v>0</v>
      </c>
      <c r="E6835">
        <v>0</v>
      </c>
      <c r="F6835" s="2">
        <v>0</v>
      </c>
      <c r="H6835">
        <v>0</v>
      </c>
      <c r="I6835">
        <v>0.1741125760648204</v>
      </c>
      <c r="J6835">
        <v>0</v>
      </c>
      <c r="K6835">
        <v>0</v>
      </c>
      <c r="L6835" s="2">
        <v>0</v>
      </c>
      <c r="M6835">
        <v>68.13</v>
      </c>
      <c r="N6835" t="s">
        <v>10236</v>
      </c>
    </row>
    <row r="6836" spans="1:14">
      <c r="A6836" t="s">
        <v>32</v>
      </c>
      <c r="B6836" t="s">
        <v>6895</v>
      </c>
      <c r="C6836">
        <f>"PCE03"</f>
        <v>0</v>
      </c>
      <c r="D6836">
        <v>0</v>
      </c>
      <c r="E6836">
        <v>0</v>
      </c>
      <c r="F6836" s="2">
        <v>0</v>
      </c>
      <c r="H6836">
        <v>0</v>
      </c>
      <c r="I6836">
        <v>0.1741125760648204</v>
      </c>
      <c r="J6836">
        <v>0</v>
      </c>
      <c r="K6836">
        <v>0</v>
      </c>
      <c r="L6836" s="2">
        <v>0</v>
      </c>
      <c r="M6836">
        <v>68.14</v>
      </c>
      <c r="N6836" t="s">
        <v>10236</v>
      </c>
    </row>
    <row r="6837" spans="1:14">
      <c r="A6837" t="s">
        <v>35</v>
      </c>
      <c r="B6837" t="s">
        <v>6896</v>
      </c>
      <c r="C6837">
        <f>"HH088SG"</f>
        <v>0</v>
      </c>
      <c r="D6837">
        <v>0</v>
      </c>
      <c r="E6837">
        <v>4</v>
      </c>
      <c r="F6837" s="2">
        <v>8</v>
      </c>
      <c r="H6837">
        <v>0</v>
      </c>
      <c r="I6837">
        <v>0.1741125760648204</v>
      </c>
      <c r="J6837">
        <v>0</v>
      </c>
      <c r="K6837">
        <v>0</v>
      </c>
      <c r="L6837" s="2">
        <v>0</v>
      </c>
      <c r="M6837">
        <v>68.15000000000001</v>
      </c>
      <c r="N6837" t="s">
        <v>10236</v>
      </c>
    </row>
    <row r="6838" spans="1:14">
      <c r="A6838" t="s">
        <v>24</v>
      </c>
      <c r="B6838" t="s">
        <v>6897</v>
      </c>
      <c r="C6838">
        <f>"1609941389664"</f>
        <v>0</v>
      </c>
      <c r="D6838">
        <v>0</v>
      </c>
      <c r="E6838">
        <v>0</v>
      </c>
      <c r="F6838" s="2">
        <v>0</v>
      </c>
      <c r="H6838">
        <v>0</v>
      </c>
      <c r="I6838">
        <v>0.1741125760648204</v>
      </c>
      <c r="J6838">
        <v>0</v>
      </c>
      <c r="K6838">
        <v>0</v>
      </c>
      <c r="L6838" s="2">
        <v>0</v>
      </c>
      <c r="M6838">
        <v>68.16</v>
      </c>
      <c r="N6838" t="s">
        <v>10236</v>
      </c>
    </row>
    <row r="6839" spans="1:14">
      <c r="A6839" t="s">
        <v>196</v>
      </c>
      <c r="B6839" t="s">
        <v>6898</v>
      </c>
      <c r="C6839">
        <f>"2141"</f>
        <v>0</v>
      </c>
      <c r="D6839">
        <v>0</v>
      </c>
      <c r="E6839">
        <v>0</v>
      </c>
      <c r="F6839" s="2">
        <v>0</v>
      </c>
      <c r="H6839">
        <v>0</v>
      </c>
      <c r="I6839">
        <v>0.1741125760648204</v>
      </c>
      <c r="J6839">
        <v>0</v>
      </c>
      <c r="K6839">
        <v>0</v>
      </c>
      <c r="L6839" s="2">
        <v>0</v>
      </c>
      <c r="M6839">
        <v>68.17</v>
      </c>
      <c r="N6839" t="s">
        <v>10236</v>
      </c>
    </row>
    <row r="6840" spans="1:14">
      <c r="A6840" t="s">
        <v>213</v>
      </c>
      <c r="B6840" t="s">
        <v>6899</v>
      </c>
      <c r="C6840">
        <f>"402161"</f>
        <v>0</v>
      </c>
      <c r="D6840">
        <v>0</v>
      </c>
      <c r="E6840">
        <v>0</v>
      </c>
      <c r="F6840" s="2">
        <v>0</v>
      </c>
      <c r="H6840">
        <v>0</v>
      </c>
      <c r="I6840">
        <v>0.1741125760648204</v>
      </c>
      <c r="J6840">
        <v>0</v>
      </c>
      <c r="K6840">
        <v>0</v>
      </c>
      <c r="L6840" s="2">
        <v>0</v>
      </c>
      <c r="M6840">
        <v>68.18000000000001</v>
      </c>
      <c r="N6840" t="s">
        <v>10236</v>
      </c>
    </row>
    <row r="6841" spans="1:14">
      <c r="A6841" t="s">
        <v>213</v>
      </c>
      <c r="B6841" t="s">
        <v>6900</v>
      </c>
      <c r="C6841">
        <f>"402162"</f>
        <v>0</v>
      </c>
      <c r="D6841">
        <v>0</v>
      </c>
      <c r="E6841">
        <v>0</v>
      </c>
      <c r="F6841" s="2">
        <v>0</v>
      </c>
      <c r="H6841">
        <v>0</v>
      </c>
      <c r="I6841">
        <v>0.1741125760648204</v>
      </c>
      <c r="J6841">
        <v>0</v>
      </c>
      <c r="K6841">
        <v>0</v>
      </c>
      <c r="L6841" s="2">
        <v>0</v>
      </c>
      <c r="M6841">
        <v>68.19</v>
      </c>
      <c r="N6841" t="s">
        <v>10236</v>
      </c>
    </row>
    <row r="6842" spans="1:14">
      <c r="A6842" t="s">
        <v>35</v>
      </c>
      <c r="B6842" t="s">
        <v>6901</v>
      </c>
      <c r="C6842">
        <f>"HC1021"</f>
        <v>0</v>
      </c>
      <c r="D6842">
        <v>0</v>
      </c>
      <c r="E6842">
        <v>0</v>
      </c>
      <c r="F6842" s="2">
        <v>0</v>
      </c>
      <c r="H6842">
        <v>0</v>
      </c>
      <c r="I6842">
        <v>0.1741125760648204</v>
      </c>
      <c r="J6842">
        <v>0</v>
      </c>
      <c r="K6842">
        <v>0</v>
      </c>
      <c r="L6842" s="2">
        <v>0</v>
      </c>
      <c r="M6842">
        <v>68.2</v>
      </c>
      <c r="N6842" t="s">
        <v>10236</v>
      </c>
    </row>
    <row r="6843" spans="1:14">
      <c r="A6843" t="s">
        <v>29</v>
      </c>
      <c r="B6843" t="s">
        <v>6902</v>
      </c>
      <c r="C6843">
        <f>"D200"</f>
        <v>0</v>
      </c>
      <c r="D6843">
        <v>0</v>
      </c>
      <c r="E6843">
        <v>10</v>
      </c>
      <c r="F6843" s="2">
        <v>5</v>
      </c>
      <c r="H6843">
        <v>0</v>
      </c>
      <c r="I6843">
        <v>0.1741125760648204</v>
      </c>
      <c r="J6843">
        <v>0</v>
      </c>
      <c r="K6843">
        <v>0</v>
      </c>
      <c r="L6843" s="2">
        <v>0</v>
      </c>
      <c r="M6843">
        <v>68.2</v>
      </c>
      <c r="N6843" t="s">
        <v>10236</v>
      </c>
    </row>
    <row r="6844" spans="1:14">
      <c r="A6844" t="s">
        <v>29</v>
      </c>
      <c r="B6844" t="s">
        <v>6903</v>
      </c>
      <c r="C6844">
        <f>"CNI25"</f>
        <v>0</v>
      </c>
      <c r="D6844">
        <v>0</v>
      </c>
      <c r="E6844">
        <v>0</v>
      </c>
      <c r="F6844" s="2">
        <v>0</v>
      </c>
      <c r="H6844">
        <v>0</v>
      </c>
      <c r="I6844">
        <v>0.1741125760648204</v>
      </c>
      <c r="J6844">
        <v>0</v>
      </c>
      <c r="K6844">
        <v>0</v>
      </c>
      <c r="L6844" s="2">
        <v>0</v>
      </c>
      <c r="M6844">
        <v>68.20999999999999</v>
      </c>
      <c r="N6844" t="s">
        <v>10236</v>
      </c>
    </row>
    <row r="6845" spans="1:14">
      <c r="A6845" t="s">
        <v>29</v>
      </c>
      <c r="B6845" t="s">
        <v>6904</v>
      </c>
      <c r="C6845">
        <f>"CNI75"</f>
        <v>0</v>
      </c>
      <c r="D6845">
        <v>0</v>
      </c>
      <c r="E6845">
        <v>0</v>
      </c>
      <c r="F6845" s="2">
        <v>0</v>
      </c>
      <c r="H6845">
        <v>0</v>
      </c>
      <c r="I6845">
        <v>0.1741125760648204</v>
      </c>
      <c r="J6845">
        <v>0</v>
      </c>
      <c r="K6845">
        <v>0</v>
      </c>
      <c r="L6845" s="2">
        <v>0</v>
      </c>
      <c r="M6845">
        <v>68.22</v>
      </c>
      <c r="N6845" t="s">
        <v>10236</v>
      </c>
    </row>
    <row r="6846" spans="1:14">
      <c r="A6846" t="s">
        <v>29</v>
      </c>
      <c r="B6846" t="s">
        <v>6905</v>
      </c>
      <c r="C6846">
        <f>"CNI50"</f>
        <v>0</v>
      </c>
      <c r="D6846">
        <v>0</v>
      </c>
      <c r="E6846">
        <v>0</v>
      </c>
      <c r="F6846" s="2">
        <v>0</v>
      </c>
      <c r="H6846">
        <v>0</v>
      </c>
      <c r="I6846">
        <v>0.1741125760648204</v>
      </c>
      <c r="J6846">
        <v>0</v>
      </c>
      <c r="K6846">
        <v>0</v>
      </c>
      <c r="L6846" s="2">
        <v>0</v>
      </c>
      <c r="M6846">
        <v>68.23</v>
      </c>
      <c r="N6846" t="s">
        <v>10236</v>
      </c>
    </row>
    <row r="6847" spans="1:14">
      <c r="A6847" t="s">
        <v>35</v>
      </c>
      <c r="B6847" t="s">
        <v>6906</v>
      </c>
      <c r="C6847">
        <f>"HCJ011SVE"</f>
        <v>0</v>
      </c>
      <c r="D6847">
        <v>0</v>
      </c>
      <c r="E6847">
        <v>0</v>
      </c>
      <c r="F6847" s="2">
        <v>0</v>
      </c>
      <c r="H6847">
        <v>0</v>
      </c>
      <c r="I6847">
        <v>0.1741125760648204</v>
      </c>
      <c r="J6847">
        <v>0</v>
      </c>
      <c r="K6847">
        <v>0</v>
      </c>
      <c r="L6847" s="2">
        <v>0</v>
      </c>
      <c r="M6847">
        <v>68.23999999999999</v>
      </c>
      <c r="N6847" t="s">
        <v>10236</v>
      </c>
    </row>
    <row r="6848" spans="1:14">
      <c r="A6848" t="s">
        <v>35</v>
      </c>
      <c r="B6848" t="s">
        <v>6907</v>
      </c>
      <c r="C6848">
        <f>"HCJ011SROS"</f>
        <v>0</v>
      </c>
      <c r="D6848">
        <v>0</v>
      </c>
      <c r="E6848">
        <v>1</v>
      </c>
      <c r="F6848" s="2">
        <v>0</v>
      </c>
      <c r="H6848">
        <v>0</v>
      </c>
      <c r="I6848">
        <v>0.1741125760648204</v>
      </c>
      <c r="J6848">
        <v>0</v>
      </c>
      <c r="K6848">
        <v>0</v>
      </c>
      <c r="L6848" s="2">
        <v>0</v>
      </c>
      <c r="M6848">
        <v>68.25</v>
      </c>
      <c r="N6848" t="s">
        <v>10236</v>
      </c>
    </row>
    <row r="6849" spans="1:14">
      <c r="A6849" t="s">
        <v>35</v>
      </c>
      <c r="B6849" t="s">
        <v>6908</v>
      </c>
      <c r="C6849">
        <f>"HCJ011SNA"</f>
        <v>0</v>
      </c>
      <c r="D6849">
        <v>0</v>
      </c>
      <c r="E6849">
        <v>2</v>
      </c>
      <c r="F6849" s="2">
        <v>0</v>
      </c>
      <c r="H6849">
        <v>0</v>
      </c>
      <c r="I6849">
        <v>0.1741125760648204</v>
      </c>
      <c r="J6849">
        <v>0</v>
      </c>
      <c r="K6849">
        <v>0</v>
      </c>
      <c r="L6849" s="2">
        <v>0</v>
      </c>
      <c r="M6849">
        <v>68.26000000000001</v>
      </c>
      <c r="N6849" t="s">
        <v>10236</v>
      </c>
    </row>
    <row r="6850" spans="1:14">
      <c r="A6850" t="s">
        <v>35</v>
      </c>
      <c r="B6850" t="s">
        <v>6909</v>
      </c>
      <c r="C6850">
        <f>"HCJ011SGRIS"</f>
        <v>0</v>
      </c>
      <c r="D6850">
        <v>0</v>
      </c>
      <c r="E6850">
        <v>11</v>
      </c>
      <c r="F6850" s="2">
        <v>0</v>
      </c>
      <c r="H6850">
        <v>0</v>
      </c>
      <c r="I6850">
        <v>0.1741125760648204</v>
      </c>
      <c r="J6850">
        <v>0</v>
      </c>
      <c r="K6850">
        <v>0</v>
      </c>
      <c r="L6850" s="2">
        <v>0</v>
      </c>
      <c r="M6850">
        <v>68.27</v>
      </c>
      <c r="N6850" t="s">
        <v>10236</v>
      </c>
    </row>
    <row r="6851" spans="1:14">
      <c r="A6851" t="s">
        <v>35</v>
      </c>
      <c r="B6851" t="s">
        <v>6910</v>
      </c>
      <c r="C6851">
        <f>"HCJ011SAZ"</f>
        <v>0</v>
      </c>
      <c r="D6851">
        <v>0</v>
      </c>
      <c r="E6851">
        <v>6</v>
      </c>
      <c r="F6851" s="2">
        <v>0</v>
      </c>
      <c r="H6851">
        <v>0</v>
      </c>
      <c r="I6851">
        <v>0.1741125760648204</v>
      </c>
      <c r="J6851">
        <v>0</v>
      </c>
      <c r="K6851">
        <v>0</v>
      </c>
      <c r="L6851" s="2">
        <v>0</v>
      </c>
      <c r="M6851">
        <v>68.28</v>
      </c>
      <c r="N6851" t="s">
        <v>10236</v>
      </c>
    </row>
    <row r="6852" spans="1:14">
      <c r="A6852" t="s">
        <v>32</v>
      </c>
      <c r="B6852" t="s">
        <v>6911</v>
      </c>
      <c r="C6852">
        <f>"PCE02"</f>
        <v>0</v>
      </c>
      <c r="D6852">
        <v>0</v>
      </c>
      <c r="E6852">
        <v>0</v>
      </c>
      <c r="F6852" s="2">
        <v>0</v>
      </c>
      <c r="H6852">
        <v>0</v>
      </c>
      <c r="I6852">
        <v>0.1741125760648204</v>
      </c>
      <c r="J6852">
        <v>0</v>
      </c>
      <c r="K6852">
        <v>0</v>
      </c>
      <c r="L6852" s="2">
        <v>0</v>
      </c>
      <c r="M6852">
        <v>68.29000000000001</v>
      </c>
      <c r="N6852" t="s">
        <v>10236</v>
      </c>
    </row>
    <row r="6853" spans="1:14">
      <c r="A6853" t="s">
        <v>35</v>
      </c>
      <c r="B6853" t="s">
        <v>6912</v>
      </c>
      <c r="C6853">
        <f>"ZJ231VC"</f>
        <v>0</v>
      </c>
      <c r="D6853">
        <v>0</v>
      </c>
      <c r="E6853">
        <v>2</v>
      </c>
      <c r="F6853" s="2">
        <v>3</v>
      </c>
      <c r="H6853">
        <v>0</v>
      </c>
      <c r="I6853">
        <v>0.1741125760648204</v>
      </c>
      <c r="J6853">
        <v>0</v>
      </c>
      <c r="K6853">
        <v>0</v>
      </c>
      <c r="L6853" s="2">
        <v>0</v>
      </c>
      <c r="M6853">
        <v>68.3</v>
      </c>
      <c r="N6853" t="s">
        <v>10236</v>
      </c>
    </row>
    <row r="6854" spans="1:14">
      <c r="A6854" t="s">
        <v>35</v>
      </c>
      <c r="B6854" t="s">
        <v>6913</v>
      </c>
      <c r="C6854">
        <f>"ZJ231ROSC"</f>
        <v>0</v>
      </c>
      <c r="D6854">
        <v>0</v>
      </c>
      <c r="E6854">
        <v>0</v>
      </c>
      <c r="F6854" s="2">
        <v>0</v>
      </c>
      <c r="H6854">
        <v>0</v>
      </c>
      <c r="I6854">
        <v>0.1741125760648204</v>
      </c>
      <c r="J6854">
        <v>0</v>
      </c>
      <c r="K6854">
        <v>0</v>
      </c>
      <c r="L6854" s="2">
        <v>0</v>
      </c>
      <c r="M6854">
        <v>68.31</v>
      </c>
      <c r="N6854" t="s">
        <v>10236</v>
      </c>
    </row>
    <row r="6855" spans="1:14">
      <c r="A6855" t="s">
        <v>35</v>
      </c>
      <c r="B6855" t="s">
        <v>6914</v>
      </c>
      <c r="C6855">
        <f>"ZJ231AC"</f>
        <v>0</v>
      </c>
      <c r="D6855">
        <v>0</v>
      </c>
      <c r="E6855">
        <v>0</v>
      </c>
      <c r="F6855" s="2">
        <v>0</v>
      </c>
      <c r="H6855">
        <v>0</v>
      </c>
      <c r="I6855">
        <v>0.1741125760648204</v>
      </c>
      <c r="J6855">
        <v>0</v>
      </c>
      <c r="K6855">
        <v>0</v>
      </c>
      <c r="L6855" s="2">
        <v>0</v>
      </c>
      <c r="M6855">
        <v>68.31999999999999</v>
      </c>
      <c r="N6855" t="s">
        <v>10236</v>
      </c>
    </row>
    <row r="6856" spans="1:14">
      <c r="A6856" t="s">
        <v>25</v>
      </c>
      <c r="B6856" t="s">
        <v>6915</v>
      </c>
      <c r="C6856">
        <f>"NV0106"</f>
        <v>0</v>
      </c>
      <c r="D6856">
        <v>0</v>
      </c>
      <c r="E6856">
        <v>0</v>
      </c>
      <c r="F6856" s="2">
        <v>0</v>
      </c>
      <c r="H6856">
        <v>0</v>
      </c>
      <c r="I6856">
        <v>0.1741125760648204</v>
      </c>
      <c r="J6856">
        <v>0</v>
      </c>
      <c r="K6856">
        <v>0</v>
      </c>
      <c r="L6856" s="2">
        <v>0</v>
      </c>
      <c r="M6856">
        <v>68.31999999999999</v>
      </c>
      <c r="N6856" t="s">
        <v>10236</v>
      </c>
    </row>
    <row r="6857" spans="1:14">
      <c r="A6857" t="s">
        <v>29</v>
      </c>
      <c r="B6857" t="s">
        <v>6916</v>
      </c>
      <c r="C6857">
        <f>"AS20"</f>
        <v>0</v>
      </c>
      <c r="D6857">
        <v>0</v>
      </c>
      <c r="E6857">
        <v>0</v>
      </c>
      <c r="F6857" s="2">
        <v>0</v>
      </c>
      <c r="H6857">
        <v>0</v>
      </c>
      <c r="I6857">
        <v>0.1741125760648204</v>
      </c>
      <c r="J6857">
        <v>0</v>
      </c>
      <c r="K6857">
        <v>0</v>
      </c>
      <c r="L6857" s="2">
        <v>0</v>
      </c>
      <c r="M6857">
        <v>68.33</v>
      </c>
      <c r="N6857" t="s">
        <v>10236</v>
      </c>
    </row>
    <row r="6858" spans="1:14">
      <c r="A6858" t="s">
        <v>29</v>
      </c>
      <c r="B6858" t="s">
        <v>6917</v>
      </c>
      <c r="C6858">
        <f>"AS18"</f>
        <v>0</v>
      </c>
      <c r="D6858">
        <v>0</v>
      </c>
      <c r="E6858">
        <v>0</v>
      </c>
      <c r="F6858" s="2">
        <v>0</v>
      </c>
      <c r="H6858">
        <v>0</v>
      </c>
      <c r="I6858">
        <v>0.1741125760648204</v>
      </c>
      <c r="J6858">
        <v>0</v>
      </c>
      <c r="K6858">
        <v>0</v>
      </c>
      <c r="L6858" s="2">
        <v>0</v>
      </c>
      <c r="M6858">
        <v>68.34</v>
      </c>
      <c r="N6858" t="s">
        <v>10236</v>
      </c>
    </row>
    <row r="6859" spans="1:14">
      <c r="A6859" t="s">
        <v>29</v>
      </c>
      <c r="B6859" t="s">
        <v>6918</v>
      </c>
      <c r="C6859">
        <f>"AS16"</f>
        <v>0</v>
      </c>
      <c r="D6859">
        <v>0</v>
      </c>
      <c r="E6859">
        <v>0</v>
      </c>
      <c r="F6859" s="2">
        <v>0</v>
      </c>
      <c r="H6859">
        <v>0</v>
      </c>
      <c r="I6859">
        <v>0.1741125760648204</v>
      </c>
      <c r="J6859">
        <v>0</v>
      </c>
      <c r="K6859">
        <v>0</v>
      </c>
      <c r="L6859" s="2">
        <v>0</v>
      </c>
      <c r="M6859">
        <v>68.34999999999999</v>
      </c>
      <c r="N6859" t="s">
        <v>10236</v>
      </c>
    </row>
    <row r="6860" spans="1:14">
      <c r="A6860" t="s">
        <v>29</v>
      </c>
      <c r="B6860" t="s">
        <v>6919</v>
      </c>
      <c r="C6860">
        <f>"LY2412"</f>
        <v>0</v>
      </c>
      <c r="D6860">
        <v>0</v>
      </c>
      <c r="E6860">
        <v>0</v>
      </c>
      <c r="F6860" s="2">
        <v>0</v>
      </c>
      <c r="H6860">
        <v>0</v>
      </c>
      <c r="I6860">
        <v>0.1741125760648204</v>
      </c>
      <c r="J6860">
        <v>0</v>
      </c>
      <c r="K6860">
        <v>0</v>
      </c>
      <c r="L6860" s="2">
        <v>0</v>
      </c>
      <c r="M6860">
        <v>68.36</v>
      </c>
      <c r="N6860" t="s">
        <v>10236</v>
      </c>
    </row>
    <row r="6861" spans="1:14">
      <c r="A6861" t="s">
        <v>29</v>
      </c>
      <c r="B6861" t="s">
        <v>6920</v>
      </c>
      <c r="C6861">
        <f>"HA02310"</f>
        <v>0</v>
      </c>
      <c r="D6861">
        <v>0</v>
      </c>
      <c r="E6861">
        <v>0</v>
      </c>
      <c r="F6861" s="2">
        <v>0</v>
      </c>
      <c r="H6861">
        <v>0</v>
      </c>
      <c r="I6861">
        <v>0.1741125760648204</v>
      </c>
      <c r="J6861">
        <v>0</v>
      </c>
      <c r="K6861">
        <v>0</v>
      </c>
      <c r="L6861" s="2">
        <v>0</v>
      </c>
      <c r="M6861">
        <v>68.37</v>
      </c>
      <c r="N6861" t="s">
        <v>10236</v>
      </c>
    </row>
    <row r="6862" spans="1:14">
      <c r="A6862" t="s">
        <v>29</v>
      </c>
      <c r="B6862" t="s">
        <v>6921</v>
      </c>
      <c r="C6862">
        <f>"HA0238"</f>
        <v>0</v>
      </c>
      <c r="D6862">
        <v>0</v>
      </c>
      <c r="E6862">
        <v>0</v>
      </c>
      <c r="F6862" s="2">
        <v>0</v>
      </c>
      <c r="H6862">
        <v>0</v>
      </c>
      <c r="I6862">
        <v>0.1741125760648204</v>
      </c>
      <c r="J6862">
        <v>0</v>
      </c>
      <c r="K6862">
        <v>0</v>
      </c>
      <c r="L6862" s="2">
        <v>0</v>
      </c>
      <c r="M6862">
        <v>68.38</v>
      </c>
      <c r="N6862" t="s">
        <v>10236</v>
      </c>
    </row>
    <row r="6863" spans="1:14">
      <c r="A6863" t="s">
        <v>29</v>
      </c>
      <c r="B6863" t="s">
        <v>6922</v>
      </c>
      <c r="C6863">
        <f>"HA0236"</f>
        <v>0</v>
      </c>
      <c r="D6863">
        <v>0</v>
      </c>
      <c r="E6863">
        <v>0</v>
      </c>
      <c r="F6863" s="2">
        <v>0</v>
      </c>
      <c r="H6863">
        <v>0</v>
      </c>
      <c r="I6863">
        <v>0.1741125760648204</v>
      </c>
      <c r="J6863">
        <v>0</v>
      </c>
      <c r="K6863">
        <v>0</v>
      </c>
      <c r="L6863" s="2">
        <v>0</v>
      </c>
      <c r="M6863">
        <v>68.39</v>
      </c>
      <c r="N6863" t="s">
        <v>10236</v>
      </c>
    </row>
    <row r="6864" spans="1:14">
      <c r="A6864" t="s">
        <v>29</v>
      </c>
      <c r="B6864" t="s">
        <v>6923</v>
      </c>
      <c r="C6864">
        <f>"HA0234"</f>
        <v>0</v>
      </c>
      <c r="D6864">
        <v>0</v>
      </c>
      <c r="E6864">
        <v>0</v>
      </c>
      <c r="F6864" s="2">
        <v>0</v>
      </c>
      <c r="H6864">
        <v>0</v>
      </c>
      <c r="I6864">
        <v>0.1741125760648204</v>
      </c>
      <c r="J6864">
        <v>0</v>
      </c>
      <c r="K6864">
        <v>0</v>
      </c>
      <c r="L6864" s="2">
        <v>0</v>
      </c>
      <c r="M6864">
        <v>68.40000000000001</v>
      </c>
      <c r="N6864" t="s">
        <v>10236</v>
      </c>
    </row>
    <row r="6865" spans="1:14">
      <c r="A6865" t="s">
        <v>29</v>
      </c>
      <c r="B6865" t="s">
        <v>6924</v>
      </c>
      <c r="C6865">
        <f>"BSP3"</f>
        <v>0</v>
      </c>
      <c r="D6865">
        <v>0</v>
      </c>
      <c r="E6865">
        <v>24</v>
      </c>
      <c r="F6865" s="2">
        <v>0</v>
      </c>
      <c r="H6865">
        <v>0</v>
      </c>
      <c r="I6865">
        <v>0.1741125760648204</v>
      </c>
      <c r="J6865">
        <v>0</v>
      </c>
      <c r="K6865">
        <v>0</v>
      </c>
      <c r="L6865" s="2">
        <v>0</v>
      </c>
      <c r="M6865">
        <v>68.41</v>
      </c>
      <c r="N6865" t="s">
        <v>10236</v>
      </c>
    </row>
    <row r="6866" spans="1:14">
      <c r="A6866" t="s">
        <v>32</v>
      </c>
      <c r="B6866" t="s">
        <v>6925</v>
      </c>
      <c r="C6866">
        <f>"PCE39"</f>
        <v>0</v>
      </c>
      <c r="D6866">
        <v>0</v>
      </c>
      <c r="E6866">
        <v>1</v>
      </c>
      <c r="F6866" s="2">
        <v>5</v>
      </c>
      <c r="H6866">
        <v>0</v>
      </c>
      <c r="I6866">
        <v>0.1741125760648204</v>
      </c>
      <c r="J6866">
        <v>0</v>
      </c>
      <c r="K6866">
        <v>0</v>
      </c>
      <c r="L6866" s="2">
        <v>0</v>
      </c>
      <c r="M6866">
        <v>68.42</v>
      </c>
      <c r="N6866" t="s">
        <v>10236</v>
      </c>
    </row>
    <row r="6867" spans="1:14">
      <c r="A6867" t="s">
        <v>228</v>
      </c>
      <c r="B6867" t="s">
        <v>6926</v>
      </c>
      <c r="C6867">
        <f>"DNP2"</f>
        <v>0</v>
      </c>
      <c r="D6867">
        <v>0</v>
      </c>
      <c r="E6867">
        <v>0</v>
      </c>
      <c r="F6867" s="2">
        <v>0</v>
      </c>
      <c r="H6867">
        <v>0</v>
      </c>
      <c r="I6867">
        <v>0.1741125760648204</v>
      </c>
      <c r="J6867">
        <v>0</v>
      </c>
      <c r="K6867">
        <v>0</v>
      </c>
      <c r="L6867" s="2">
        <v>0</v>
      </c>
      <c r="M6867">
        <v>68.43000000000001</v>
      </c>
      <c r="N6867" t="s">
        <v>10236</v>
      </c>
    </row>
    <row r="6868" spans="1:14">
      <c r="A6868" t="s">
        <v>35</v>
      </c>
      <c r="B6868" t="s">
        <v>6927</v>
      </c>
      <c r="C6868">
        <f>"CS015"</f>
        <v>0</v>
      </c>
      <c r="D6868">
        <v>0</v>
      </c>
      <c r="E6868">
        <v>0</v>
      </c>
      <c r="F6868" s="2">
        <v>0</v>
      </c>
      <c r="H6868">
        <v>0</v>
      </c>
      <c r="I6868">
        <v>0.1741125760648204</v>
      </c>
      <c r="J6868">
        <v>0</v>
      </c>
      <c r="K6868">
        <v>0</v>
      </c>
      <c r="L6868" s="2">
        <v>0</v>
      </c>
      <c r="M6868">
        <v>68.43000000000001</v>
      </c>
      <c r="N6868" t="s">
        <v>10236</v>
      </c>
    </row>
    <row r="6869" spans="1:14">
      <c r="A6869" t="s">
        <v>29</v>
      </c>
      <c r="B6869" t="s">
        <v>6928</v>
      </c>
      <c r="C6869">
        <f>"BSDRS"</f>
        <v>0</v>
      </c>
      <c r="D6869">
        <v>0</v>
      </c>
      <c r="E6869">
        <v>4</v>
      </c>
      <c r="F6869" s="2">
        <v>1</v>
      </c>
      <c r="H6869">
        <v>0</v>
      </c>
      <c r="I6869">
        <v>0.1741125760648204</v>
      </c>
      <c r="J6869">
        <v>0</v>
      </c>
      <c r="K6869">
        <v>0</v>
      </c>
      <c r="L6869" s="2">
        <v>0</v>
      </c>
      <c r="M6869">
        <v>68.44</v>
      </c>
      <c r="N6869" t="s">
        <v>10236</v>
      </c>
    </row>
    <row r="6870" spans="1:14">
      <c r="A6870" t="s">
        <v>29</v>
      </c>
      <c r="B6870" t="s">
        <v>6929</v>
      </c>
      <c r="C6870">
        <f>"BSDRL"</f>
        <v>0</v>
      </c>
      <c r="D6870">
        <v>0</v>
      </c>
      <c r="E6870">
        <v>2</v>
      </c>
      <c r="F6870" s="2">
        <v>2</v>
      </c>
      <c r="H6870">
        <v>0</v>
      </c>
      <c r="I6870">
        <v>0.1741125760648204</v>
      </c>
      <c r="J6870">
        <v>0</v>
      </c>
      <c r="K6870">
        <v>0</v>
      </c>
      <c r="L6870" s="2">
        <v>0</v>
      </c>
      <c r="M6870">
        <v>68.45</v>
      </c>
      <c r="N6870" t="s">
        <v>10236</v>
      </c>
    </row>
    <row r="6871" spans="1:14">
      <c r="A6871" t="s">
        <v>29</v>
      </c>
      <c r="B6871" t="s">
        <v>6930</v>
      </c>
      <c r="C6871">
        <f>"A017L"</f>
        <v>0</v>
      </c>
      <c r="D6871">
        <v>0</v>
      </c>
      <c r="E6871">
        <v>17</v>
      </c>
      <c r="F6871" s="2">
        <v>8</v>
      </c>
      <c r="H6871">
        <v>0</v>
      </c>
      <c r="I6871">
        <v>0.1741125760648204</v>
      </c>
      <c r="J6871">
        <v>0</v>
      </c>
      <c r="K6871">
        <v>0</v>
      </c>
      <c r="L6871" s="2">
        <v>0</v>
      </c>
      <c r="M6871">
        <v>68.45999999999999</v>
      </c>
      <c r="N6871" t="s">
        <v>10236</v>
      </c>
    </row>
    <row r="6872" spans="1:14">
      <c r="A6872" t="s">
        <v>29</v>
      </c>
      <c r="B6872" t="s">
        <v>6931</v>
      </c>
      <c r="C6872">
        <f>"A017M"</f>
        <v>0</v>
      </c>
      <c r="D6872">
        <v>0</v>
      </c>
      <c r="E6872">
        <v>9</v>
      </c>
      <c r="F6872" s="2">
        <v>7</v>
      </c>
      <c r="H6872">
        <v>0</v>
      </c>
      <c r="I6872">
        <v>0.1741125760648204</v>
      </c>
      <c r="J6872">
        <v>0</v>
      </c>
      <c r="K6872">
        <v>0</v>
      </c>
      <c r="L6872" s="2">
        <v>0</v>
      </c>
      <c r="M6872">
        <v>68.47</v>
      </c>
      <c r="N6872" t="s">
        <v>10236</v>
      </c>
    </row>
    <row r="6873" spans="1:14">
      <c r="A6873" t="s">
        <v>29</v>
      </c>
      <c r="B6873" t="s">
        <v>6932</v>
      </c>
      <c r="C6873">
        <f>"AS03"</f>
        <v>0</v>
      </c>
      <c r="D6873">
        <v>0</v>
      </c>
      <c r="E6873">
        <v>0</v>
      </c>
      <c r="F6873" s="2">
        <v>0</v>
      </c>
      <c r="H6873">
        <v>0</v>
      </c>
      <c r="I6873">
        <v>0.1741125760648204</v>
      </c>
      <c r="J6873">
        <v>0</v>
      </c>
      <c r="K6873">
        <v>0</v>
      </c>
      <c r="L6873" s="2">
        <v>0</v>
      </c>
      <c r="M6873">
        <v>68.48</v>
      </c>
      <c r="N6873" t="s">
        <v>10236</v>
      </c>
    </row>
    <row r="6874" spans="1:14">
      <c r="A6874" t="s">
        <v>29</v>
      </c>
      <c r="B6874" t="s">
        <v>6933</v>
      </c>
      <c r="C6874">
        <f>"BSL4"</f>
        <v>0</v>
      </c>
      <c r="D6874">
        <v>0</v>
      </c>
      <c r="E6874">
        <v>84</v>
      </c>
      <c r="F6874" s="2">
        <v>0</v>
      </c>
      <c r="H6874">
        <v>0</v>
      </c>
      <c r="I6874">
        <v>0.1741125760648204</v>
      </c>
      <c r="J6874">
        <v>0</v>
      </c>
      <c r="K6874">
        <v>0</v>
      </c>
      <c r="L6874" s="2">
        <v>0</v>
      </c>
      <c r="M6874">
        <v>68.48999999999999</v>
      </c>
      <c r="N6874" t="s">
        <v>10236</v>
      </c>
    </row>
    <row r="6875" spans="1:14">
      <c r="A6875" t="s">
        <v>29</v>
      </c>
      <c r="B6875" t="s">
        <v>6934</v>
      </c>
      <c r="C6875">
        <f>"A102"</f>
        <v>0</v>
      </c>
      <c r="D6875">
        <v>0</v>
      </c>
      <c r="E6875">
        <v>0</v>
      </c>
      <c r="F6875" s="2">
        <v>0</v>
      </c>
      <c r="H6875">
        <v>0</v>
      </c>
      <c r="I6875">
        <v>0.1741125760648204</v>
      </c>
      <c r="J6875">
        <v>0</v>
      </c>
      <c r="K6875">
        <v>0</v>
      </c>
      <c r="L6875" s="2">
        <v>0</v>
      </c>
      <c r="M6875">
        <v>68.5</v>
      </c>
      <c r="N6875" t="s">
        <v>10236</v>
      </c>
    </row>
    <row r="6876" spans="1:14">
      <c r="A6876" t="s">
        <v>29</v>
      </c>
      <c r="B6876" t="s">
        <v>6935</v>
      </c>
      <c r="C6876">
        <f>"BSL1"</f>
        <v>0</v>
      </c>
      <c r="D6876">
        <v>0</v>
      </c>
      <c r="E6876">
        <v>1</v>
      </c>
      <c r="F6876" s="2">
        <v>198</v>
      </c>
      <c r="H6876">
        <v>0</v>
      </c>
      <c r="I6876">
        <v>0.1741125760648204</v>
      </c>
      <c r="J6876">
        <v>0</v>
      </c>
      <c r="K6876">
        <v>0</v>
      </c>
      <c r="L6876" s="2">
        <v>0</v>
      </c>
      <c r="M6876">
        <v>68.51000000000001</v>
      </c>
      <c r="N6876" t="s">
        <v>10236</v>
      </c>
    </row>
    <row r="6877" spans="1:14">
      <c r="A6877" t="s">
        <v>35</v>
      </c>
      <c r="B6877" t="s">
        <v>6936</v>
      </c>
      <c r="C6877">
        <f>"ER163"</f>
        <v>0</v>
      </c>
      <c r="D6877">
        <v>0</v>
      </c>
      <c r="E6877">
        <v>27</v>
      </c>
      <c r="F6877" s="2">
        <v>6</v>
      </c>
      <c r="H6877">
        <v>0</v>
      </c>
      <c r="I6877">
        <v>0.1741125760648204</v>
      </c>
      <c r="J6877">
        <v>0</v>
      </c>
      <c r="K6877">
        <v>0</v>
      </c>
      <c r="L6877" s="2">
        <v>0</v>
      </c>
      <c r="M6877">
        <v>68.52</v>
      </c>
      <c r="N6877" t="s">
        <v>10236</v>
      </c>
    </row>
    <row r="6878" spans="1:14">
      <c r="A6878" t="s">
        <v>223</v>
      </c>
      <c r="B6878" t="s">
        <v>6937</v>
      </c>
      <c r="C6878">
        <f>"2114020"</f>
        <v>0</v>
      </c>
      <c r="D6878">
        <v>0</v>
      </c>
      <c r="E6878">
        <v>0</v>
      </c>
      <c r="F6878" s="2">
        <v>0</v>
      </c>
      <c r="H6878">
        <v>0</v>
      </c>
      <c r="I6878">
        <v>0.1741125760648204</v>
      </c>
      <c r="J6878">
        <v>0</v>
      </c>
      <c r="K6878">
        <v>0</v>
      </c>
      <c r="L6878" s="2">
        <v>0</v>
      </c>
      <c r="M6878">
        <v>68.53</v>
      </c>
      <c r="N6878" t="s">
        <v>10236</v>
      </c>
    </row>
    <row r="6879" spans="1:14">
      <c r="A6879" t="s">
        <v>218</v>
      </c>
      <c r="B6879" t="s">
        <v>6938</v>
      </c>
      <c r="C6879">
        <f>"humsdr0072"</f>
        <v>0</v>
      </c>
      <c r="D6879">
        <v>0</v>
      </c>
      <c r="E6879">
        <v>0</v>
      </c>
      <c r="F6879" s="2">
        <v>0</v>
      </c>
      <c r="H6879">
        <v>0</v>
      </c>
      <c r="I6879">
        <v>0.1741125760648204</v>
      </c>
      <c r="J6879">
        <v>0</v>
      </c>
      <c r="K6879">
        <v>0</v>
      </c>
      <c r="L6879" s="2">
        <v>0</v>
      </c>
      <c r="M6879">
        <v>68.54000000000001</v>
      </c>
      <c r="N6879" t="s">
        <v>10236</v>
      </c>
    </row>
    <row r="6880" spans="1:14">
      <c r="A6880" t="s">
        <v>32</v>
      </c>
      <c r="B6880" t="s">
        <v>6939</v>
      </c>
      <c r="C6880">
        <f>"CHE013"</f>
        <v>0</v>
      </c>
      <c r="D6880">
        <v>0</v>
      </c>
      <c r="E6880">
        <v>0</v>
      </c>
      <c r="F6880" s="2">
        <v>0</v>
      </c>
      <c r="H6880">
        <v>0</v>
      </c>
      <c r="I6880">
        <v>0.1741125760648204</v>
      </c>
      <c r="J6880">
        <v>0</v>
      </c>
      <c r="K6880">
        <v>0</v>
      </c>
      <c r="L6880" s="2">
        <v>0</v>
      </c>
      <c r="M6880">
        <v>68.55</v>
      </c>
      <c r="N6880" t="s">
        <v>10236</v>
      </c>
    </row>
    <row r="6881" spans="1:14">
      <c r="A6881" t="s">
        <v>228</v>
      </c>
      <c r="B6881" t="s">
        <v>6940</v>
      </c>
      <c r="C6881">
        <f>"DPR23"</f>
        <v>0</v>
      </c>
      <c r="D6881">
        <v>0</v>
      </c>
      <c r="E6881">
        <v>0</v>
      </c>
      <c r="F6881" s="2">
        <v>0</v>
      </c>
      <c r="H6881">
        <v>0</v>
      </c>
      <c r="I6881">
        <v>0.1741125760648204</v>
      </c>
      <c r="J6881">
        <v>0</v>
      </c>
      <c r="K6881">
        <v>0</v>
      </c>
      <c r="L6881" s="2">
        <v>0</v>
      </c>
      <c r="M6881">
        <v>68.55</v>
      </c>
      <c r="N6881" t="s">
        <v>10236</v>
      </c>
    </row>
    <row r="6882" spans="1:14">
      <c r="A6882" t="s">
        <v>228</v>
      </c>
      <c r="B6882" t="s">
        <v>6941</v>
      </c>
      <c r="C6882">
        <f>"NGPS7"</f>
        <v>0</v>
      </c>
      <c r="D6882">
        <v>0</v>
      </c>
      <c r="E6882">
        <v>0</v>
      </c>
      <c r="F6882" s="2">
        <v>0</v>
      </c>
      <c r="H6882">
        <v>0</v>
      </c>
      <c r="I6882">
        <v>0.1741125760648204</v>
      </c>
      <c r="J6882">
        <v>0</v>
      </c>
      <c r="K6882">
        <v>0</v>
      </c>
      <c r="L6882" s="2">
        <v>0</v>
      </c>
      <c r="M6882">
        <v>68.56</v>
      </c>
      <c r="N6882" t="s">
        <v>10236</v>
      </c>
    </row>
    <row r="6883" spans="1:14">
      <c r="A6883" t="s">
        <v>29</v>
      </c>
      <c r="B6883" t="s">
        <v>6942</v>
      </c>
      <c r="C6883">
        <f>"DIFGRANDE"</f>
        <v>0</v>
      </c>
      <c r="D6883">
        <v>0</v>
      </c>
      <c r="E6883">
        <v>0</v>
      </c>
      <c r="F6883" s="2">
        <v>0</v>
      </c>
      <c r="H6883">
        <v>0</v>
      </c>
      <c r="I6883">
        <v>0.1741125760648204</v>
      </c>
      <c r="J6883">
        <v>0</v>
      </c>
      <c r="K6883">
        <v>0</v>
      </c>
      <c r="L6883" s="2">
        <v>0</v>
      </c>
      <c r="M6883">
        <v>68.56999999999999</v>
      </c>
      <c r="N6883" t="s">
        <v>10236</v>
      </c>
    </row>
    <row r="6884" spans="1:14">
      <c r="A6884" t="s">
        <v>223</v>
      </c>
      <c r="B6884" t="s">
        <v>6943</v>
      </c>
      <c r="C6884">
        <f>"5442025"</f>
        <v>0</v>
      </c>
      <c r="D6884">
        <v>0</v>
      </c>
      <c r="E6884">
        <v>0</v>
      </c>
      <c r="F6884" s="2">
        <v>0</v>
      </c>
      <c r="H6884">
        <v>0</v>
      </c>
      <c r="I6884">
        <v>0.1741125760648204</v>
      </c>
      <c r="J6884">
        <v>0</v>
      </c>
      <c r="K6884">
        <v>0</v>
      </c>
      <c r="L6884" s="2">
        <v>0</v>
      </c>
      <c r="M6884">
        <v>68.58</v>
      </c>
      <c r="N6884" t="s">
        <v>10236</v>
      </c>
    </row>
    <row r="6885" spans="1:14">
      <c r="A6885" t="s">
        <v>39</v>
      </c>
      <c r="B6885" t="s">
        <v>6944</v>
      </c>
      <c r="C6885">
        <f>"VALIM02049"</f>
        <v>0</v>
      </c>
      <c r="D6885">
        <v>0</v>
      </c>
      <c r="E6885">
        <v>6</v>
      </c>
      <c r="F6885" s="2">
        <v>19</v>
      </c>
      <c r="H6885">
        <v>0</v>
      </c>
      <c r="I6885">
        <v>0.1741125760648204</v>
      </c>
      <c r="J6885">
        <v>0</v>
      </c>
      <c r="K6885">
        <v>0</v>
      </c>
      <c r="L6885" s="2">
        <v>0</v>
      </c>
      <c r="M6885">
        <v>68.59</v>
      </c>
      <c r="N6885" t="s">
        <v>10236</v>
      </c>
    </row>
    <row r="6886" spans="1:14">
      <c r="A6886" t="s">
        <v>29</v>
      </c>
      <c r="B6886" t="s">
        <v>6945</v>
      </c>
      <c r="C6886">
        <f>"DALLIOGRANULAT"</f>
        <v>0</v>
      </c>
      <c r="D6886">
        <v>0</v>
      </c>
      <c r="E6886">
        <v>0</v>
      </c>
      <c r="F6886" s="2">
        <v>0</v>
      </c>
      <c r="H6886">
        <v>0</v>
      </c>
      <c r="I6886">
        <v>0.1741125760648204</v>
      </c>
      <c r="J6886">
        <v>0</v>
      </c>
      <c r="K6886">
        <v>0</v>
      </c>
      <c r="L6886" s="2">
        <v>0</v>
      </c>
      <c r="M6886">
        <v>68.59999999999999</v>
      </c>
      <c r="N6886" t="s">
        <v>10236</v>
      </c>
    </row>
    <row r="6887" spans="1:14">
      <c r="A6887" t="s">
        <v>29</v>
      </c>
      <c r="B6887" t="s">
        <v>6946</v>
      </c>
      <c r="C6887">
        <f>"60626"</f>
        <v>0</v>
      </c>
      <c r="D6887">
        <v>0</v>
      </c>
      <c r="E6887">
        <v>1</v>
      </c>
      <c r="F6887" s="2">
        <v>18</v>
      </c>
      <c r="H6887">
        <v>0</v>
      </c>
      <c r="I6887">
        <v>0.1741125760648204</v>
      </c>
      <c r="J6887">
        <v>0</v>
      </c>
      <c r="K6887">
        <v>0</v>
      </c>
      <c r="L6887" s="2">
        <v>0</v>
      </c>
      <c r="M6887">
        <v>68.61</v>
      </c>
      <c r="N6887" t="s">
        <v>10236</v>
      </c>
    </row>
    <row r="6888" spans="1:14">
      <c r="A6888" t="s">
        <v>29</v>
      </c>
      <c r="B6888" t="s">
        <v>6947</v>
      </c>
      <c r="C6888">
        <f>"60623"</f>
        <v>0</v>
      </c>
      <c r="D6888">
        <v>0</v>
      </c>
      <c r="E6888">
        <v>1</v>
      </c>
      <c r="F6888" s="2">
        <v>4</v>
      </c>
      <c r="H6888">
        <v>0</v>
      </c>
      <c r="I6888">
        <v>0.1741125760648204</v>
      </c>
      <c r="J6888">
        <v>0</v>
      </c>
      <c r="K6888">
        <v>0</v>
      </c>
      <c r="L6888" s="2">
        <v>0</v>
      </c>
      <c r="M6888">
        <v>68.62</v>
      </c>
      <c r="N6888" t="s">
        <v>10236</v>
      </c>
    </row>
    <row r="6889" spans="1:14">
      <c r="A6889" t="s">
        <v>29</v>
      </c>
      <c r="B6889" t="s">
        <v>6948</v>
      </c>
      <c r="C6889">
        <f>"65342"</f>
        <v>0</v>
      </c>
      <c r="D6889">
        <v>0</v>
      </c>
      <c r="E6889">
        <v>0</v>
      </c>
      <c r="F6889" s="2">
        <v>0</v>
      </c>
      <c r="H6889">
        <v>0</v>
      </c>
      <c r="I6889">
        <v>0.1741125760648204</v>
      </c>
      <c r="J6889">
        <v>0</v>
      </c>
      <c r="K6889">
        <v>0</v>
      </c>
      <c r="L6889" s="2">
        <v>0</v>
      </c>
      <c r="M6889">
        <v>68.63</v>
      </c>
      <c r="N6889" t="s">
        <v>10236</v>
      </c>
    </row>
    <row r="6890" spans="1:14">
      <c r="A6890" t="s">
        <v>29</v>
      </c>
      <c r="B6890" t="s">
        <v>6949</v>
      </c>
      <c r="C6890">
        <f>"DALLIO100"</f>
        <v>0</v>
      </c>
      <c r="D6890">
        <v>0</v>
      </c>
      <c r="E6890">
        <v>3</v>
      </c>
      <c r="F6890" s="2">
        <v>2</v>
      </c>
      <c r="H6890">
        <v>0</v>
      </c>
      <c r="I6890">
        <v>0.1741125760648204</v>
      </c>
      <c r="J6890">
        <v>0</v>
      </c>
      <c r="K6890">
        <v>0</v>
      </c>
      <c r="L6890" s="2">
        <v>0</v>
      </c>
      <c r="M6890">
        <v>68.64</v>
      </c>
      <c r="N6890" t="s">
        <v>10236</v>
      </c>
    </row>
    <row r="6891" spans="1:14">
      <c r="A6891" t="s">
        <v>207</v>
      </c>
      <c r="B6891" t="s">
        <v>6950</v>
      </c>
      <c r="C6891">
        <f>"CUY"</f>
        <v>0</v>
      </c>
      <c r="D6891">
        <v>0</v>
      </c>
      <c r="E6891">
        <v>0</v>
      </c>
      <c r="F6891" s="2">
        <v>0</v>
      </c>
      <c r="H6891">
        <v>0</v>
      </c>
      <c r="I6891">
        <v>0.1741125760648204</v>
      </c>
      <c r="J6891">
        <v>0</v>
      </c>
      <c r="K6891">
        <v>0</v>
      </c>
      <c r="L6891" s="2">
        <v>0</v>
      </c>
      <c r="M6891">
        <v>68.65000000000001</v>
      </c>
      <c r="N6891" t="s">
        <v>10236</v>
      </c>
    </row>
    <row r="6892" spans="1:14">
      <c r="A6892" t="s">
        <v>35</v>
      </c>
      <c r="B6892" t="s">
        <v>6951</v>
      </c>
      <c r="C6892">
        <f>"QSMW2360P"</f>
        <v>0</v>
      </c>
      <c r="D6892">
        <v>0</v>
      </c>
      <c r="E6892">
        <v>0</v>
      </c>
      <c r="F6892" s="2">
        <v>0</v>
      </c>
      <c r="H6892">
        <v>0</v>
      </c>
      <c r="I6892">
        <v>0.1741125760648204</v>
      </c>
      <c r="J6892">
        <v>0</v>
      </c>
      <c r="K6892">
        <v>0</v>
      </c>
      <c r="L6892" s="2">
        <v>0</v>
      </c>
      <c r="M6892">
        <v>68.66</v>
      </c>
      <c r="N6892" t="s">
        <v>10236</v>
      </c>
    </row>
    <row r="6893" spans="1:14">
      <c r="A6893" t="s">
        <v>35</v>
      </c>
      <c r="B6893" t="s">
        <v>6952</v>
      </c>
      <c r="C6893">
        <f>"QSMW2360B"</f>
        <v>0</v>
      </c>
      <c r="D6893">
        <v>0</v>
      </c>
      <c r="E6893">
        <v>0</v>
      </c>
      <c r="F6893" s="2">
        <v>0</v>
      </c>
      <c r="H6893">
        <v>0</v>
      </c>
      <c r="I6893">
        <v>0.1741125760648204</v>
      </c>
      <c r="J6893">
        <v>0</v>
      </c>
      <c r="K6893">
        <v>0</v>
      </c>
      <c r="L6893" s="2">
        <v>0</v>
      </c>
      <c r="M6893">
        <v>68.67</v>
      </c>
      <c r="N6893" t="s">
        <v>10236</v>
      </c>
    </row>
    <row r="6894" spans="1:14">
      <c r="A6894" t="s">
        <v>193</v>
      </c>
      <c r="B6894" t="s">
        <v>6953</v>
      </c>
      <c r="C6894">
        <f>"565230"</f>
        <v>0</v>
      </c>
      <c r="D6894">
        <v>0</v>
      </c>
      <c r="E6894">
        <v>3</v>
      </c>
      <c r="F6894" s="2">
        <v>29</v>
      </c>
      <c r="H6894">
        <v>0</v>
      </c>
      <c r="I6894">
        <v>0.1741125760648204</v>
      </c>
      <c r="J6894">
        <v>0</v>
      </c>
      <c r="K6894">
        <v>0</v>
      </c>
      <c r="L6894" s="2">
        <v>0</v>
      </c>
      <c r="M6894">
        <v>68.67</v>
      </c>
      <c r="N6894" t="s">
        <v>10236</v>
      </c>
    </row>
    <row r="6895" spans="1:14">
      <c r="A6895" t="s">
        <v>25</v>
      </c>
      <c r="B6895" t="s">
        <v>6954</v>
      </c>
      <c r="C6895">
        <f>"NA05"</f>
        <v>0</v>
      </c>
      <c r="D6895">
        <v>0</v>
      </c>
      <c r="E6895">
        <v>14</v>
      </c>
      <c r="F6895" s="2">
        <v>1</v>
      </c>
      <c r="H6895">
        <v>0</v>
      </c>
      <c r="I6895">
        <v>0.1741125760648204</v>
      </c>
      <c r="J6895">
        <v>0</v>
      </c>
      <c r="K6895">
        <v>0</v>
      </c>
      <c r="L6895" s="2">
        <v>0</v>
      </c>
      <c r="M6895">
        <v>68.68000000000001</v>
      </c>
      <c r="N6895" t="s">
        <v>10236</v>
      </c>
    </row>
    <row r="6896" spans="1:14">
      <c r="A6896" t="s">
        <v>25</v>
      </c>
      <c r="B6896" t="s">
        <v>6955</v>
      </c>
      <c r="C6896">
        <f>"NA06"</f>
        <v>0</v>
      </c>
      <c r="D6896">
        <v>0</v>
      </c>
      <c r="E6896">
        <v>92</v>
      </c>
      <c r="F6896" s="2">
        <v>1</v>
      </c>
      <c r="H6896">
        <v>0</v>
      </c>
      <c r="I6896">
        <v>0.1741125760648204</v>
      </c>
      <c r="J6896">
        <v>0</v>
      </c>
      <c r="K6896">
        <v>0</v>
      </c>
      <c r="L6896" s="2">
        <v>0</v>
      </c>
      <c r="M6896">
        <v>68.69</v>
      </c>
      <c r="N6896" t="s">
        <v>10236</v>
      </c>
    </row>
    <row r="6897" spans="1:14">
      <c r="A6897" t="s">
        <v>35</v>
      </c>
      <c r="B6897" t="s">
        <v>6956</v>
      </c>
      <c r="C6897">
        <f>"SLL21518"</f>
        <v>0</v>
      </c>
      <c r="D6897">
        <v>0</v>
      </c>
      <c r="E6897">
        <v>13</v>
      </c>
      <c r="F6897" s="2">
        <v>3</v>
      </c>
      <c r="H6897">
        <v>0</v>
      </c>
      <c r="I6897">
        <v>0.1741125760648204</v>
      </c>
      <c r="J6897">
        <v>0</v>
      </c>
      <c r="K6897">
        <v>0</v>
      </c>
      <c r="L6897" s="2">
        <v>0</v>
      </c>
      <c r="M6897">
        <v>68.7</v>
      </c>
      <c r="N6897" t="s">
        <v>10236</v>
      </c>
    </row>
    <row r="6898" spans="1:14">
      <c r="A6898" t="s">
        <v>35</v>
      </c>
      <c r="B6898" t="s">
        <v>6957</v>
      </c>
      <c r="C6898">
        <f>"HCJ011MVE"</f>
        <v>0</v>
      </c>
      <c r="D6898">
        <v>0</v>
      </c>
      <c r="E6898">
        <v>0</v>
      </c>
      <c r="F6898" s="2">
        <v>0</v>
      </c>
      <c r="H6898">
        <v>0</v>
      </c>
      <c r="I6898">
        <v>0.1741125760648204</v>
      </c>
      <c r="J6898">
        <v>0</v>
      </c>
      <c r="K6898">
        <v>0</v>
      </c>
      <c r="L6898" s="2">
        <v>0</v>
      </c>
      <c r="M6898">
        <v>68.70999999999999</v>
      </c>
      <c r="N6898" t="s">
        <v>10236</v>
      </c>
    </row>
    <row r="6899" spans="1:14">
      <c r="A6899" t="s">
        <v>35</v>
      </c>
      <c r="B6899" t="s">
        <v>6958</v>
      </c>
      <c r="C6899">
        <f>"709081032749"</f>
        <v>0</v>
      </c>
      <c r="D6899">
        <v>0</v>
      </c>
      <c r="E6899">
        <v>0</v>
      </c>
      <c r="F6899" s="2">
        <v>0</v>
      </c>
      <c r="H6899">
        <v>0</v>
      </c>
      <c r="I6899">
        <v>0.1741125760648204</v>
      </c>
      <c r="J6899">
        <v>0</v>
      </c>
      <c r="K6899">
        <v>0</v>
      </c>
      <c r="L6899" s="2">
        <v>0</v>
      </c>
      <c r="M6899">
        <v>68.72</v>
      </c>
      <c r="N6899" t="s">
        <v>10236</v>
      </c>
    </row>
    <row r="6900" spans="1:14">
      <c r="A6900" t="s">
        <v>35</v>
      </c>
      <c r="B6900" t="s">
        <v>6959</v>
      </c>
      <c r="C6900">
        <f>"WP239"</f>
        <v>0</v>
      </c>
      <c r="D6900">
        <v>0</v>
      </c>
      <c r="E6900">
        <v>42</v>
      </c>
      <c r="F6900" s="2">
        <v>4</v>
      </c>
      <c r="H6900">
        <v>0</v>
      </c>
      <c r="I6900">
        <v>0.1741125760648204</v>
      </c>
      <c r="J6900">
        <v>0</v>
      </c>
      <c r="K6900">
        <v>0</v>
      </c>
      <c r="L6900" s="2">
        <v>0</v>
      </c>
      <c r="M6900">
        <v>68.73</v>
      </c>
      <c r="N6900" t="s">
        <v>10236</v>
      </c>
    </row>
    <row r="6901" spans="1:14">
      <c r="A6901" t="s">
        <v>35</v>
      </c>
      <c r="B6901" t="s">
        <v>6960</v>
      </c>
      <c r="C6901">
        <f>"WD467"</f>
        <v>0</v>
      </c>
      <c r="D6901">
        <v>0</v>
      </c>
      <c r="E6901">
        <v>17</v>
      </c>
      <c r="F6901" s="2">
        <v>1</v>
      </c>
      <c r="H6901">
        <v>0</v>
      </c>
      <c r="I6901">
        <v>0.1741125760648204</v>
      </c>
      <c r="J6901">
        <v>0</v>
      </c>
      <c r="K6901">
        <v>0</v>
      </c>
      <c r="L6901" s="2">
        <v>0</v>
      </c>
      <c r="M6901">
        <v>68.73999999999999</v>
      </c>
      <c r="N6901" t="s">
        <v>10236</v>
      </c>
    </row>
    <row r="6902" spans="1:14">
      <c r="A6902" t="s">
        <v>35</v>
      </c>
      <c r="B6902" t="s">
        <v>6961</v>
      </c>
      <c r="C6902">
        <f>"LC8012"</f>
        <v>0</v>
      </c>
      <c r="D6902">
        <v>0</v>
      </c>
      <c r="E6902">
        <v>0</v>
      </c>
      <c r="F6902" s="2">
        <v>0</v>
      </c>
      <c r="H6902">
        <v>0</v>
      </c>
      <c r="I6902">
        <v>0.1741125760648204</v>
      </c>
      <c r="J6902">
        <v>0</v>
      </c>
      <c r="K6902">
        <v>0</v>
      </c>
      <c r="L6902" s="2">
        <v>0</v>
      </c>
      <c r="M6902">
        <v>68.75</v>
      </c>
      <c r="N6902" t="s">
        <v>10236</v>
      </c>
    </row>
    <row r="6903" spans="1:14">
      <c r="A6903" t="s">
        <v>35</v>
      </c>
      <c r="B6903" t="s">
        <v>6962</v>
      </c>
      <c r="C6903">
        <f>"RJ742"</f>
        <v>0</v>
      </c>
      <c r="D6903">
        <v>0</v>
      </c>
      <c r="E6903">
        <v>0</v>
      </c>
      <c r="F6903" s="2">
        <v>0</v>
      </c>
      <c r="H6903">
        <v>0</v>
      </c>
      <c r="I6903">
        <v>0.1741125760648204</v>
      </c>
      <c r="J6903">
        <v>0</v>
      </c>
      <c r="K6903">
        <v>0</v>
      </c>
      <c r="L6903" s="2">
        <v>0</v>
      </c>
      <c r="M6903">
        <v>68.76000000000001</v>
      </c>
      <c r="N6903" t="s">
        <v>10236</v>
      </c>
    </row>
    <row r="6904" spans="1:14">
      <c r="A6904" t="s">
        <v>35</v>
      </c>
      <c r="B6904" t="s">
        <v>6963</v>
      </c>
      <c r="C6904">
        <f>"TQ2359R"</f>
        <v>0</v>
      </c>
      <c r="D6904">
        <v>0</v>
      </c>
      <c r="E6904">
        <v>0</v>
      </c>
      <c r="F6904" s="2">
        <v>0</v>
      </c>
      <c r="H6904">
        <v>0</v>
      </c>
      <c r="I6904">
        <v>0.1741125760648204</v>
      </c>
      <c r="J6904">
        <v>0</v>
      </c>
      <c r="K6904">
        <v>0</v>
      </c>
      <c r="L6904" s="2">
        <v>0</v>
      </c>
      <c r="M6904">
        <v>68.77</v>
      </c>
      <c r="N6904" t="s">
        <v>10236</v>
      </c>
    </row>
    <row r="6905" spans="1:14">
      <c r="A6905" t="s">
        <v>35</v>
      </c>
      <c r="B6905" t="s">
        <v>6964</v>
      </c>
      <c r="C6905">
        <f>"TQ2359AZ"</f>
        <v>0</v>
      </c>
      <c r="D6905">
        <v>0</v>
      </c>
      <c r="E6905">
        <v>0</v>
      </c>
      <c r="F6905" s="2">
        <v>0</v>
      </c>
      <c r="H6905">
        <v>0</v>
      </c>
      <c r="I6905">
        <v>0.1741125760648204</v>
      </c>
      <c r="J6905">
        <v>0</v>
      </c>
      <c r="K6905">
        <v>0</v>
      </c>
      <c r="L6905" s="2">
        <v>0</v>
      </c>
      <c r="M6905">
        <v>68.78</v>
      </c>
      <c r="N6905" t="s">
        <v>10236</v>
      </c>
    </row>
    <row r="6906" spans="1:14">
      <c r="A6906" t="s">
        <v>35</v>
      </c>
      <c r="B6906" t="s">
        <v>6965</v>
      </c>
      <c r="C6906">
        <f>"TQ2359A"</f>
        <v>0</v>
      </c>
      <c r="D6906">
        <v>0</v>
      </c>
      <c r="E6906">
        <v>0</v>
      </c>
      <c r="F6906" s="2">
        <v>0</v>
      </c>
      <c r="H6906">
        <v>0</v>
      </c>
      <c r="I6906">
        <v>0.1741125760648204</v>
      </c>
      <c r="J6906">
        <v>0</v>
      </c>
      <c r="K6906">
        <v>0</v>
      </c>
      <c r="L6906" s="2">
        <v>0</v>
      </c>
      <c r="M6906">
        <v>68.79000000000001</v>
      </c>
      <c r="N6906" t="s">
        <v>10236</v>
      </c>
    </row>
    <row r="6907" spans="1:14">
      <c r="A6907" t="s">
        <v>35</v>
      </c>
      <c r="B6907" t="s">
        <v>6966</v>
      </c>
      <c r="C6907">
        <f>"2415"</f>
        <v>0</v>
      </c>
      <c r="D6907">
        <v>0</v>
      </c>
      <c r="E6907">
        <v>0</v>
      </c>
      <c r="F6907" s="2">
        <v>0</v>
      </c>
      <c r="H6907">
        <v>0</v>
      </c>
      <c r="I6907">
        <v>0.1741125760648204</v>
      </c>
      <c r="J6907">
        <v>0</v>
      </c>
      <c r="K6907">
        <v>0</v>
      </c>
      <c r="L6907" s="2">
        <v>0</v>
      </c>
      <c r="M6907">
        <v>68.79000000000001</v>
      </c>
      <c r="N6907" t="s">
        <v>10236</v>
      </c>
    </row>
    <row r="6908" spans="1:14">
      <c r="A6908" t="s">
        <v>25</v>
      </c>
      <c r="B6908" t="s">
        <v>6967</v>
      </c>
      <c r="C6908">
        <f>"ALFALFA"</f>
        <v>0</v>
      </c>
      <c r="D6908">
        <v>0</v>
      </c>
      <c r="E6908">
        <v>0</v>
      </c>
      <c r="F6908" s="2">
        <v>0</v>
      </c>
      <c r="H6908">
        <v>0</v>
      </c>
      <c r="I6908">
        <v>0.1741125760648204</v>
      </c>
      <c r="J6908">
        <v>0</v>
      </c>
      <c r="K6908">
        <v>0</v>
      </c>
      <c r="L6908" s="2">
        <v>0</v>
      </c>
      <c r="M6908">
        <v>68.8</v>
      </c>
      <c r="N6908" t="s">
        <v>10236</v>
      </c>
    </row>
    <row r="6909" spans="1:14">
      <c r="A6909" t="s">
        <v>25</v>
      </c>
      <c r="B6909" t="s">
        <v>6968</v>
      </c>
      <c r="C6909">
        <f>"MP006"</f>
        <v>0</v>
      </c>
      <c r="D6909">
        <v>0</v>
      </c>
      <c r="E6909">
        <v>3</v>
      </c>
      <c r="F6909" s="2">
        <v>1</v>
      </c>
      <c r="H6909">
        <v>0</v>
      </c>
      <c r="I6909">
        <v>0.1741125760648204</v>
      </c>
      <c r="J6909">
        <v>0</v>
      </c>
      <c r="K6909">
        <v>0</v>
      </c>
      <c r="L6909" s="2">
        <v>0</v>
      </c>
      <c r="M6909">
        <v>68.81</v>
      </c>
      <c r="N6909" t="s">
        <v>10236</v>
      </c>
    </row>
    <row r="6910" spans="1:14">
      <c r="A6910" t="s">
        <v>35</v>
      </c>
      <c r="B6910" t="s">
        <v>6969</v>
      </c>
      <c r="C6910">
        <f>"DM2036"</f>
        <v>0</v>
      </c>
      <c r="D6910">
        <v>0</v>
      </c>
      <c r="E6910">
        <v>3</v>
      </c>
      <c r="F6910" s="2">
        <v>7</v>
      </c>
      <c r="H6910">
        <v>0</v>
      </c>
      <c r="I6910">
        <v>0.1741125760648204</v>
      </c>
      <c r="J6910">
        <v>0</v>
      </c>
      <c r="K6910">
        <v>0</v>
      </c>
      <c r="L6910" s="2">
        <v>0</v>
      </c>
      <c r="M6910">
        <v>68.81999999999999</v>
      </c>
      <c r="N6910" t="s">
        <v>10236</v>
      </c>
    </row>
    <row r="6911" spans="1:14">
      <c r="A6911" t="s">
        <v>35</v>
      </c>
      <c r="B6911" t="s">
        <v>6970</v>
      </c>
      <c r="C6911">
        <f>"NCLT022LG"</f>
        <v>0</v>
      </c>
      <c r="D6911">
        <v>0</v>
      </c>
      <c r="E6911">
        <v>0</v>
      </c>
      <c r="F6911" s="2">
        <v>0</v>
      </c>
      <c r="H6911">
        <v>0</v>
      </c>
      <c r="I6911">
        <v>0.1741125760648204</v>
      </c>
      <c r="J6911">
        <v>0</v>
      </c>
      <c r="K6911">
        <v>0</v>
      </c>
      <c r="L6911" s="2">
        <v>0</v>
      </c>
      <c r="M6911">
        <v>68.83</v>
      </c>
      <c r="N6911" t="s">
        <v>10236</v>
      </c>
    </row>
    <row r="6912" spans="1:14">
      <c r="A6912" t="s">
        <v>35</v>
      </c>
      <c r="B6912" t="s">
        <v>6971</v>
      </c>
      <c r="C6912">
        <f>"NCLT022LB"</f>
        <v>0</v>
      </c>
      <c r="D6912">
        <v>0</v>
      </c>
      <c r="E6912">
        <v>0</v>
      </c>
      <c r="F6912" s="2">
        <v>0</v>
      </c>
      <c r="H6912">
        <v>0</v>
      </c>
      <c r="I6912">
        <v>0.1741125760648204</v>
      </c>
      <c r="J6912">
        <v>0</v>
      </c>
      <c r="K6912">
        <v>0</v>
      </c>
      <c r="L6912" s="2">
        <v>0</v>
      </c>
      <c r="M6912">
        <v>68.84</v>
      </c>
      <c r="N6912" t="s">
        <v>10236</v>
      </c>
    </row>
    <row r="6913" spans="1:14">
      <c r="A6913" t="s">
        <v>29</v>
      </c>
      <c r="B6913" t="s">
        <v>6972</v>
      </c>
      <c r="C6913">
        <f>"A016TR"</f>
        <v>0</v>
      </c>
      <c r="D6913">
        <v>0</v>
      </c>
      <c r="E6913">
        <v>3</v>
      </c>
      <c r="F6913" s="2">
        <v>1</v>
      </c>
      <c r="H6913">
        <v>0</v>
      </c>
      <c r="I6913">
        <v>0.1741125760648204</v>
      </c>
      <c r="J6913">
        <v>0</v>
      </c>
      <c r="K6913">
        <v>0</v>
      </c>
      <c r="L6913" s="2">
        <v>0</v>
      </c>
      <c r="M6913">
        <v>68.84999999999999</v>
      </c>
      <c r="N6913" t="s">
        <v>10236</v>
      </c>
    </row>
    <row r="6914" spans="1:14">
      <c r="A6914" t="s">
        <v>35</v>
      </c>
      <c r="B6914" t="s">
        <v>6958</v>
      </c>
      <c r="C6914">
        <f>"SLL21515"</f>
        <v>0</v>
      </c>
      <c r="D6914">
        <v>0</v>
      </c>
      <c r="E6914">
        <v>27</v>
      </c>
      <c r="F6914" s="2">
        <v>1</v>
      </c>
      <c r="H6914">
        <v>0</v>
      </c>
      <c r="I6914">
        <v>0.1741125760648204</v>
      </c>
      <c r="J6914">
        <v>0</v>
      </c>
      <c r="K6914">
        <v>0</v>
      </c>
      <c r="L6914" s="2">
        <v>0</v>
      </c>
      <c r="M6914">
        <v>68.86</v>
      </c>
      <c r="N6914" t="s">
        <v>10236</v>
      </c>
    </row>
    <row r="6915" spans="1:14">
      <c r="A6915" t="s">
        <v>223</v>
      </c>
      <c r="B6915" t="s">
        <v>6973</v>
      </c>
      <c r="C6915">
        <f>"10503211"</f>
        <v>0</v>
      </c>
      <c r="D6915">
        <v>0</v>
      </c>
      <c r="E6915">
        <v>0</v>
      </c>
      <c r="F6915" s="2">
        <v>0</v>
      </c>
      <c r="H6915">
        <v>0</v>
      </c>
      <c r="I6915">
        <v>0.1741125760648204</v>
      </c>
      <c r="J6915">
        <v>0</v>
      </c>
      <c r="K6915">
        <v>0</v>
      </c>
      <c r="L6915" s="2">
        <v>0</v>
      </c>
      <c r="M6915">
        <v>68.87</v>
      </c>
      <c r="N6915" t="s">
        <v>10236</v>
      </c>
    </row>
    <row r="6916" spans="1:14">
      <c r="A6916" t="s">
        <v>205</v>
      </c>
      <c r="B6916" t="s">
        <v>6974</v>
      </c>
      <c r="C6916">
        <f>"Bulldog francés mascota"</f>
        <v>0</v>
      </c>
      <c r="D6916">
        <v>0</v>
      </c>
      <c r="E6916">
        <v>0</v>
      </c>
      <c r="F6916" s="2">
        <v>0</v>
      </c>
      <c r="H6916">
        <v>0</v>
      </c>
      <c r="I6916">
        <v>0.1741125760648204</v>
      </c>
      <c r="J6916">
        <v>0</v>
      </c>
      <c r="K6916">
        <v>0</v>
      </c>
      <c r="L6916" s="2">
        <v>0</v>
      </c>
      <c r="M6916">
        <v>68.88</v>
      </c>
      <c r="N6916" t="s">
        <v>10236</v>
      </c>
    </row>
    <row r="6917" spans="1:14">
      <c r="A6917" t="s">
        <v>223</v>
      </c>
      <c r="B6917" t="s">
        <v>6975</v>
      </c>
      <c r="C6917">
        <f>"3747030"</f>
        <v>0</v>
      </c>
      <c r="D6917">
        <v>0</v>
      </c>
      <c r="E6917">
        <v>0</v>
      </c>
      <c r="F6917" s="2">
        <v>0</v>
      </c>
      <c r="H6917">
        <v>0</v>
      </c>
      <c r="I6917">
        <v>0.1741125760648204</v>
      </c>
      <c r="J6917">
        <v>0</v>
      </c>
      <c r="K6917">
        <v>0</v>
      </c>
      <c r="L6917" s="2">
        <v>0</v>
      </c>
      <c r="M6917">
        <v>68.89</v>
      </c>
      <c r="N6917" t="s">
        <v>10236</v>
      </c>
    </row>
    <row r="6918" spans="1:14">
      <c r="A6918" t="s">
        <v>223</v>
      </c>
      <c r="B6918" t="s">
        <v>6976</v>
      </c>
      <c r="C6918">
        <f>"3311825"</f>
        <v>0</v>
      </c>
      <c r="D6918">
        <v>0</v>
      </c>
      <c r="E6918">
        <v>0</v>
      </c>
      <c r="F6918" s="2">
        <v>0</v>
      </c>
      <c r="H6918">
        <v>0</v>
      </c>
      <c r="I6918">
        <v>0.1741125760648204</v>
      </c>
      <c r="J6918">
        <v>0</v>
      </c>
      <c r="K6918">
        <v>0</v>
      </c>
      <c r="L6918" s="2">
        <v>0</v>
      </c>
      <c r="M6918">
        <v>68.90000000000001</v>
      </c>
      <c r="N6918" t="s">
        <v>10236</v>
      </c>
    </row>
    <row r="6919" spans="1:14">
      <c r="A6919" t="s">
        <v>223</v>
      </c>
      <c r="B6919" t="s">
        <v>6977</v>
      </c>
      <c r="C6919">
        <f>"5502508"</f>
        <v>0</v>
      </c>
      <c r="D6919">
        <v>0</v>
      </c>
      <c r="E6919">
        <v>0</v>
      </c>
      <c r="F6919" s="2">
        <v>0</v>
      </c>
      <c r="H6919">
        <v>0</v>
      </c>
      <c r="I6919">
        <v>0.1741125760648204</v>
      </c>
      <c r="J6919">
        <v>0</v>
      </c>
      <c r="K6919">
        <v>0</v>
      </c>
      <c r="L6919" s="2">
        <v>0</v>
      </c>
      <c r="M6919">
        <v>68.90000000000001</v>
      </c>
      <c r="N6919" t="s">
        <v>10236</v>
      </c>
    </row>
    <row r="6920" spans="1:14">
      <c r="A6920" t="s">
        <v>35</v>
      </c>
      <c r="B6920" t="s">
        <v>6978</v>
      </c>
      <c r="C6920">
        <f>"HCJ011LNA"</f>
        <v>0</v>
      </c>
      <c r="D6920">
        <v>0</v>
      </c>
      <c r="E6920">
        <v>2</v>
      </c>
      <c r="F6920" s="2">
        <v>1</v>
      </c>
      <c r="H6920">
        <v>0</v>
      </c>
      <c r="I6920">
        <v>0.1741125760648204</v>
      </c>
      <c r="J6920">
        <v>0</v>
      </c>
      <c r="K6920">
        <v>0</v>
      </c>
      <c r="L6920" s="2">
        <v>0</v>
      </c>
      <c r="M6920">
        <v>68.91</v>
      </c>
      <c r="N6920" t="s">
        <v>10236</v>
      </c>
    </row>
    <row r="6921" spans="1:14">
      <c r="A6921" t="s">
        <v>25</v>
      </c>
      <c r="B6921" t="s">
        <v>6979</v>
      </c>
      <c r="C6921">
        <f>"NA04"</f>
        <v>0</v>
      </c>
      <c r="D6921">
        <v>0</v>
      </c>
      <c r="E6921">
        <v>10</v>
      </c>
      <c r="F6921" s="2">
        <v>1</v>
      </c>
      <c r="H6921">
        <v>0</v>
      </c>
      <c r="I6921">
        <v>0.1741125760648204</v>
      </c>
      <c r="J6921">
        <v>0</v>
      </c>
      <c r="K6921">
        <v>0</v>
      </c>
      <c r="L6921" s="2">
        <v>0</v>
      </c>
      <c r="M6921">
        <v>68.92</v>
      </c>
      <c r="N6921" t="s">
        <v>10236</v>
      </c>
    </row>
    <row r="6922" spans="1:14">
      <c r="A6922" t="s">
        <v>35</v>
      </c>
      <c r="B6922" t="s">
        <v>6980</v>
      </c>
      <c r="C6922">
        <f>"ER142"</f>
        <v>0</v>
      </c>
      <c r="D6922">
        <v>0</v>
      </c>
      <c r="E6922">
        <v>2</v>
      </c>
      <c r="F6922" s="2">
        <v>2</v>
      </c>
      <c r="H6922">
        <v>0</v>
      </c>
      <c r="I6922">
        <v>0.1741125760648204</v>
      </c>
      <c r="J6922">
        <v>0</v>
      </c>
      <c r="K6922">
        <v>0</v>
      </c>
      <c r="L6922" s="2">
        <v>0</v>
      </c>
      <c r="M6922">
        <v>68.93000000000001</v>
      </c>
      <c r="N6922" t="s">
        <v>10236</v>
      </c>
    </row>
    <row r="6923" spans="1:14">
      <c r="A6923" t="s">
        <v>196</v>
      </c>
      <c r="B6923" t="s">
        <v>6981</v>
      </c>
      <c r="C6923">
        <f>"2044"</f>
        <v>0</v>
      </c>
      <c r="D6923">
        <v>0</v>
      </c>
      <c r="E6923">
        <v>0</v>
      </c>
      <c r="F6923" s="2">
        <v>0</v>
      </c>
      <c r="H6923">
        <v>0</v>
      </c>
      <c r="I6923">
        <v>0.1741125760648204</v>
      </c>
      <c r="J6923">
        <v>0</v>
      </c>
      <c r="K6923">
        <v>0</v>
      </c>
      <c r="L6923" s="2">
        <v>0</v>
      </c>
      <c r="M6923">
        <v>68.94</v>
      </c>
      <c r="N6923" t="s">
        <v>10236</v>
      </c>
    </row>
    <row r="6924" spans="1:14">
      <c r="A6924" t="s">
        <v>196</v>
      </c>
      <c r="B6924" t="s">
        <v>6982</v>
      </c>
      <c r="C6924">
        <f>"2102"</f>
        <v>0</v>
      </c>
      <c r="D6924">
        <v>0</v>
      </c>
      <c r="E6924">
        <v>0</v>
      </c>
      <c r="F6924" s="2">
        <v>0</v>
      </c>
      <c r="H6924">
        <v>0</v>
      </c>
      <c r="I6924">
        <v>0.1741125760648204</v>
      </c>
      <c r="J6924">
        <v>0</v>
      </c>
      <c r="K6924">
        <v>0</v>
      </c>
      <c r="L6924" s="2">
        <v>0</v>
      </c>
      <c r="M6924">
        <v>68.95</v>
      </c>
      <c r="N6924" t="s">
        <v>10236</v>
      </c>
    </row>
    <row r="6925" spans="1:14">
      <c r="A6925" t="s">
        <v>196</v>
      </c>
      <c r="B6925" t="s">
        <v>6983</v>
      </c>
      <c r="C6925">
        <f>"2043"</f>
        <v>0</v>
      </c>
      <c r="D6925">
        <v>0</v>
      </c>
      <c r="E6925">
        <v>0</v>
      </c>
      <c r="F6925" s="2">
        <v>0</v>
      </c>
      <c r="H6925">
        <v>0</v>
      </c>
      <c r="I6925">
        <v>0.1741125760648204</v>
      </c>
      <c r="J6925">
        <v>0</v>
      </c>
      <c r="K6925">
        <v>0</v>
      </c>
      <c r="L6925" s="2">
        <v>0</v>
      </c>
      <c r="M6925">
        <v>68.95999999999999</v>
      </c>
      <c r="N6925" t="s">
        <v>10236</v>
      </c>
    </row>
    <row r="6926" spans="1:14">
      <c r="A6926" t="s">
        <v>196</v>
      </c>
      <c r="B6926" t="s">
        <v>6984</v>
      </c>
      <c r="C6926">
        <f>"2362"</f>
        <v>0</v>
      </c>
      <c r="D6926">
        <v>0</v>
      </c>
      <c r="E6926">
        <v>0</v>
      </c>
      <c r="F6926" s="2">
        <v>0</v>
      </c>
      <c r="H6926">
        <v>0</v>
      </c>
      <c r="I6926">
        <v>0.1741125760648204</v>
      </c>
      <c r="J6926">
        <v>0</v>
      </c>
      <c r="K6926">
        <v>0</v>
      </c>
      <c r="L6926" s="2">
        <v>0</v>
      </c>
      <c r="M6926">
        <v>68.97</v>
      </c>
      <c r="N6926" t="s">
        <v>10236</v>
      </c>
    </row>
    <row r="6927" spans="1:14">
      <c r="A6927" t="s">
        <v>35</v>
      </c>
      <c r="B6927" t="s">
        <v>6985</v>
      </c>
      <c r="C6927">
        <f>"HH088LV"</f>
        <v>0</v>
      </c>
      <c r="D6927">
        <v>0</v>
      </c>
      <c r="E6927">
        <v>9</v>
      </c>
      <c r="F6927" s="2">
        <v>10</v>
      </c>
      <c r="H6927">
        <v>0</v>
      </c>
      <c r="I6927">
        <v>0.1741125760648204</v>
      </c>
      <c r="J6927">
        <v>0</v>
      </c>
      <c r="K6927">
        <v>0</v>
      </c>
      <c r="L6927" s="2">
        <v>0</v>
      </c>
      <c r="M6927">
        <v>68.98</v>
      </c>
      <c r="N6927" t="s">
        <v>10236</v>
      </c>
    </row>
    <row r="6928" spans="1:14">
      <c r="A6928" t="s">
        <v>35</v>
      </c>
      <c r="B6928" t="s">
        <v>6986</v>
      </c>
      <c r="C6928">
        <f>"HH088XXLC"</f>
        <v>0</v>
      </c>
      <c r="D6928">
        <v>0</v>
      </c>
      <c r="E6928">
        <v>2</v>
      </c>
      <c r="F6928" s="2">
        <v>12</v>
      </c>
      <c r="H6928">
        <v>0</v>
      </c>
      <c r="I6928">
        <v>0.1741125760648204</v>
      </c>
      <c r="J6928">
        <v>0</v>
      </c>
      <c r="K6928">
        <v>0</v>
      </c>
      <c r="L6928" s="2">
        <v>0</v>
      </c>
      <c r="M6928">
        <v>68.98999999999999</v>
      </c>
      <c r="N6928" t="s">
        <v>10236</v>
      </c>
    </row>
    <row r="6929" spans="1:14">
      <c r="A6929" t="s">
        <v>223</v>
      </c>
      <c r="B6929" t="s">
        <v>6987</v>
      </c>
      <c r="C6929">
        <f>"5500419"</f>
        <v>0</v>
      </c>
      <c r="D6929">
        <v>0</v>
      </c>
      <c r="E6929">
        <v>0</v>
      </c>
      <c r="F6929" s="2">
        <v>0</v>
      </c>
      <c r="H6929">
        <v>0</v>
      </c>
      <c r="I6929">
        <v>0.1741125760648204</v>
      </c>
      <c r="J6929">
        <v>0</v>
      </c>
      <c r="K6929">
        <v>0</v>
      </c>
      <c r="L6929" s="2">
        <v>0</v>
      </c>
      <c r="M6929">
        <v>69</v>
      </c>
      <c r="N6929" t="s">
        <v>10236</v>
      </c>
    </row>
    <row r="6930" spans="1:14">
      <c r="A6930" t="s">
        <v>35</v>
      </c>
      <c r="B6930" t="s">
        <v>6988</v>
      </c>
      <c r="C6930">
        <f>"H015XXLR"</f>
        <v>0</v>
      </c>
      <c r="D6930">
        <v>0</v>
      </c>
      <c r="E6930">
        <v>4</v>
      </c>
      <c r="F6930" s="2">
        <v>2</v>
      </c>
      <c r="H6930">
        <v>0</v>
      </c>
      <c r="I6930">
        <v>0.1741125760648204</v>
      </c>
      <c r="J6930">
        <v>0</v>
      </c>
      <c r="K6930">
        <v>0</v>
      </c>
      <c r="L6930" s="2">
        <v>0</v>
      </c>
      <c r="M6930">
        <v>69.01000000000001</v>
      </c>
      <c r="N6930" t="s">
        <v>10236</v>
      </c>
    </row>
    <row r="6931" spans="1:14">
      <c r="A6931" t="s">
        <v>35</v>
      </c>
      <c r="B6931" t="s">
        <v>6989</v>
      </c>
      <c r="C6931">
        <f>"H015XXLNE"</f>
        <v>0</v>
      </c>
      <c r="D6931">
        <v>0</v>
      </c>
      <c r="E6931">
        <v>3</v>
      </c>
      <c r="F6931" s="2">
        <v>3</v>
      </c>
      <c r="H6931">
        <v>0</v>
      </c>
      <c r="I6931">
        <v>0.1741125760648204</v>
      </c>
      <c r="J6931">
        <v>0</v>
      </c>
      <c r="K6931">
        <v>0</v>
      </c>
      <c r="L6931" s="2">
        <v>0</v>
      </c>
      <c r="M6931">
        <v>69.02</v>
      </c>
      <c r="N6931" t="s">
        <v>10236</v>
      </c>
    </row>
    <row r="6932" spans="1:14">
      <c r="A6932" t="s">
        <v>35</v>
      </c>
      <c r="B6932" t="s">
        <v>6990</v>
      </c>
      <c r="C6932">
        <f>"H015XXL"</f>
        <v>0</v>
      </c>
      <c r="D6932">
        <v>0</v>
      </c>
      <c r="E6932">
        <v>7</v>
      </c>
      <c r="F6932" s="2">
        <v>8</v>
      </c>
      <c r="H6932">
        <v>0</v>
      </c>
      <c r="I6932">
        <v>0.1741125760648204</v>
      </c>
      <c r="J6932">
        <v>0</v>
      </c>
      <c r="K6932">
        <v>0</v>
      </c>
      <c r="L6932" s="2">
        <v>0</v>
      </c>
      <c r="M6932">
        <v>69.02</v>
      </c>
      <c r="N6932" t="s">
        <v>10236</v>
      </c>
    </row>
    <row r="6933" spans="1:14">
      <c r="A6933" t="s">
        <v>35</v>
      </c>
      <c r="B6933" t="s">
        <v>6991</v>
      </c>
      <c r="C6933">
        <f>"H015XXLMO"</f>
        <v>0</v>
      </c>
      <c r="D6933">
        <v>0</v>
      </c>
      <c r="E6933">
        <v>6</v>
      </c>
      <c r="F6933" s="2">
        <v>0</v>
      </c>
      <c r="H6933">
        <v>0</v>
      </c>
      <c r="I6933">
        <v>0.1741125760648204</v>
      </c>
      <c r="J6933">
        <v>0</v>
      </c>
      <c r="K6933">
        <v>0</v>
      </c>
      <c r="L6933" s="2">
        <v>0</v>
      </c>
      <c r="M6933">
        <v>69.03</v>
      </c>
      <c r="N6933" t="s">
        <v>10236</v>
      </c>
    </row>
    <row r="6934" spans="1:14">
      <c r="A6934" t="s">
        <v>35</v>
      </c>
      <c r="B6934" t="s">
        <v>6992</v>
      </c>
      <c r="C6934">
        <f>"H015XLV"</f>
        <v>0</v>
      </c>
      <c r="D6934">
        <v>0</v>
      </c>
      <c r="E6934">
        <v>2</v>
      </c>
      <c r="F6934" s="2">
        <v>8</v>
      </c>
      <c r="H6934">
        <v>0</v>
      </c>
      <c r="I6934">
        <v>0.1741125760648204</v>
      </c>
      <c r="J6934">
        <v>0</v>
      </c>
      <c r="K6934">
        <v>0</v>
      </c>
      <c r="L6934" s="2">
        <v>0</v>
      </c>
      <c r="M6934">
        <v>69.04000000000001</v>
      </c>
      <c r="N6934" t="s">
        <v>10236</v>
      </c>
    </row>
    <row r="6935" spans="1:14">
      <c r="A6935" t="s">
        <v>35</v>
      </c>
      <c r="B6935" t="s">
        <v>6993</v>
      </c>
      <c r="C6935">
        <f>"H015XLROS"</f>
        <v>0</v>
      </c>
      <c r="D6935">
        <v>0</v>
      </c>
      <c r="E6935">
        <v>2</v>
      </c>
      <c r="F6935" s="2">
        <v>0</v>
      </c>
      <c r="H6935">
        <v>0</v>
      </c>
      <c r="I6935">
        <v>0.1741125760648204</v>
      </c>
      <c r="J6935">
        <v>0</v>
      </c>
      <c r="K6935">
        <v>0</v>
      </c>
      <c r="L6935" s="2">
        <v>0</v>
      </c>
      <c r="M6935">
        <v>69.05</v>
      </c>
      <c r="N6935" t="s">
        <v>10236</v>
      </c>
    </row>
    <row r="6936" spans="1:14">
      <c r="A6936" t="s">
        <v>35</v>
      </c>
      <c r="B6936" t="s">
        <v>6993</v>
      </c>
      <c r="C6936">
        <f>"H15XLROS"</f>
        <v>0</v>
      </c>
      <c r="D6936">
        <v>0</v>
      </c>
      <c r="E6936">
        <v>0</v>
      </c>
      <c r="F6936" s="2">
        <v>0</v>
      </c>
      <c r="H6936">
        <v>0</v>
      </c>
      <c r="I6936">
        <v>0.1741125760648204</v>
      </c>
      <c r="J6936">
        <v>0</v>
      </c>
      <c r="K6936">
        <v>0</v>
      </c>
      <c r="L6936" s="2">
        <v>0</v>
      </c>
      <c r="M6936">
        <v>69.06</v>
      </c>
      <c r="N6936" t="s">
        <v>10236</v>
      </c>
    </row>
    <row r="6937" spans="1:14">
      <c r="A6937" t="s">
        <v>35</v>
      </c>
      <c r="B6937" t="s">
        <v>6994</v>
      </c>
      <c r="C6937">
        <f>"H015XLROJ"</f>
        <v>0</v>
      </c>
      <c r="D6937">
        <v>0</v>
      </c>
      <c r="E6937">
        <v>2</v>
      </c>
      <c r="F6937" s="2">
        <v>0</v>
      </c>
      <c r="H6937">
        <v>0</v>
      </c>
      <c r="I6937">
        <v>0.1741125760648204</v>
      </c>
      <c r="J6937">
        <v>0</v>
      </c>
      <c r="K6937">
        <v>0</v>
      </c>
      <c r="L6937" s="2">
        <v>0</v>
      </c>
      <c r="M6937">
        <v>69.06999999999999</v>
      </c>
      <c r="N6937" t="s">
        <v>10236</v>
      </c>
    </row>
    <row r="6938" spans="1:14">
      <c r="A6938" t="s">
        <v>35</v>
      </c>
      <c r="B6938" t="s">
        <v>6995</v>
      </c>
      <c r="C6938">
        <f>"HH088XSAM"</f>
        <v>0</v>
      </c>
      <c r="D6938">
        <v>0</v>
      </c>
      <c r="E6938">
        <v>3</v>
      </c>
      <c r="F6938" s="2">
        <v>10</v>
      </c>
      <c r="H6938">
        <v>0</v>
      </c>
      <c r="I6938">
        <v>0.1741125760648204</v>
      </c>
      <c r="J6938">
        <v>0</v>
      </c>
      <c r="K6938">
        <v>0</v>
      </c>
      <c r="L6938" s="2">
        <v>0</v>
      </c>
      <c r="M6938">
        <v>69.08</v>
      </c>
      <c r="N6938" t="s">
        <v>10236</v>
      </c>
    </row>
    <row r="6939" spans="1:14">
      <c r="A6939" t="s">
        <v>35</v>
      </c>
      <c r="B6939" t="s">
        <v>6996</v>
      </c>
      <c r="C6939">
        <f>"HH088XSBN"</f>
        <v>0</v>
      </c>
      <c r="D6939">
        <v>0</v>
      </c>
      <c r="E6939">
        <v>8</v>
      </c>
      <c r="F6939" s="2">
        <v>7</v>
      </c>
      <c r="H6939">
        <v>0</v>
      </c>
      <c r="I6939">
        <v>0.1741125760648204</v>
      </c>
      <c r="J6939">
        <v>0</v>
      </c>
      <c r="K6939">
        <v>0</v>
      </c>
      <c r="L6939" s="2">
        <v>0</v>
      </c>
      <c r="M6939">
        <v>69.09</v>
      </c>
      <c r="N6939" t="s">
        <v>10236</v>
      </c>
    </row>
    <row r="6940" spans="1:14">
      <c r="A6940" t="s">
        <v>35</v>
      </c>
      <c r="B6940" t="s">
        <v>6997</v>
      </c>
      <c r="C6940">
        <f>"HH088XXLAC"</f>
        <v>0</v>
      </c>
      <c r="D6940">
        <v>0</v>
      </c>
      <c r="E6940">
        <v>3</v>
      </c>
      <c r="F6940" s="2">
        <v>12</v>
      </c>
      <c r="H6940">
        <v>0</v>
      </c>
      <c r="I6940">
        <v>0.1741125760648204</v>
      </c>
      <c r="J6940">
        <v>0</v>
      </c>
      <c r="K6940">
        <v>0</v>
      </c>
      <c r="L6940" s="2">
        <v>0</v>
      </c>
      <c r="M6940">
        <v>69.09999999999999</v>
      </c>
      <c r="N6940" t="s">
        <v>10236</v>
      </c>
    </row>
    <row r="6941" spans="1:14">
      <c r="A6941" t="s">
        <v>35</v>
      </c>
      <c r="B6941" t="s">
        <v>6998</v>
      </c>
      <c r="C6941">
        <f>"HH088XSAC"</f>
        <v>0</v>
      </c>
      <c r="D6941">
        <v>0</v>
      </c>
      <c r="E6941">
        <v>2</v>
      </c>
      <c r="F6941" s="2">
        <v>7</v>
      </c>
      <c r="H6941">
        <v>0</v>
      </c>
      <c r="I6941">
        <v>0.1741125760648204</v>
      </c>
      <c r="J6941">
        <v>0</v>
      </c>
      <c r="K6941">
        <v>0</v>
      </c>
      <c r="L6941" s="2">
        <v>0</v>
      </c>
      <c r="M6941">
        <v>69.11</v>
      </c>
      <c r="N6941" t="s">
        <v>10236</v>
      </c>
    </row>
    <row r="6942" spans="1:14">
      <c r="A6942" t="s">
        <v>35</v>
      </c>
      <c r="B6942" t="s">
        <v>6999</v>
      </c>
      <c r="C6942">
        <f>"395636"</f>
        <v>0</v>
      </c>
      <c r="D6942">
        <v>0</v>
      </c>
      <c r="E6942">
        <v>0</v>
      </c>
      <c r="F6942" s="2">
        <v>0</v>
      </c>
      <c r="H6942">
        <v>0</v>
      </c>
      <c r="I6942">
        <v>0.1741125760648204</v>
      </c>
      <c r="J6942">
        <v>0</v>
      </c>
      <c r="K6942">
        <v>0</v>
      </c>
      <c r="L6942" s="2">
        <v>0</v>
      </c>
      <c r="M6942">
        <v>69.12</v>
      </c>
      <c r="N6942" t="s">
        <v>10236</v>
      </c>
    </row>
    <row r="6943" spans="1:14">
      <c r="A6943" t="s">
        <v>35</v>
      </c>
      <c r="B6943" t="s">
        <v>7000</v>
      </c>
      <c r="C6943">
        <f>"TQ2359V"</f>
        <v>0</v>
      </c>
      <c r="D6943">
        <v>0</v>
      </c>
      <c r="E6943">
        <v>0</v>
      </c>
      <c r="F6943" s="2">
        <v>0</v>
      </c>
      <c r="H6943">
        <v>0</v>
      </c>
      <c r="I6943">
        <v>0.1741125760648204</v>
      </c>
      <c r="J6943">
        <v>0</v>
      </c>
      <c r="K6943">
        <v>0</v>
      </c>
      <c r="L6943" s="2">
        <v>0</v>
      </c>
      <c r="M6943">
        <v>69.13</v>
      </c>
      <c r="N6943" t="s">
        <v>10236</v>
      </c>
    </row>
    <row r="6944" spans="1:14">
      <c r="A6944" t="s">
        <v>223</v>
      </c>
      <c r="B6944" t="s">
        <v>7001</v>
      </c>
      <c r="C6944">
        <f>"5500508"</f>
        <v>0</v>
      </c>
      <c r="D6944">
        <v>0</v>
      </c>
      <c r="E6944">
        <v>0</v>
      </c>
      <c r="F6944" s="2">
        <v>0</v>
      </c>
      <c r="H6944">
        <v>0</v>
      </c>
      <c r="I6944">
        <v>0.1741125760648204</v>
      </c>
      <c r="J6944">
        <v>0</v>
      </c>
      <c r="K6944">
        <v>0</v>
      </c>
      <c r="L6944" s="2">
        <v>0</v>
      </c>
      <c r="M6944">
        <v>69.14</v>
      </c>
      <c r="N6944" t="s">
        <v>10236</v>
      </c>
    </row>
    <row r="6945" spans="1:14">
      <c r="A6945" t="s">
        <v>35</v>
      </c>
      <c r="B6945" t="s">
        <v>7002</v>
      </c>
      <c r="C6945">
        <f>"HH088XSC"</f>
        <v>0</v>
      </c>
      <c r="D6945">
        <v>0</v>
      </c>
      <c r="E6945">
        <v>2</v>
      </c>
      <c r="F6945" s="2">
        <v>7</v>
      </c>
      <c r="H6945">
        <v>0</v>
      </c>
      <c r="I6945">
        <v>0.1741125760648204</v>
      </c>
      <c r="J6945">
        <v>0</v>
      </c>
      <c r="K6945">
        <v>0</v>
      </c>
      <c r="L6945" s="2">
        <v>0</v>
      </c>
      <c r="M6945">
        <v>69.14</v>
      </c>
      <c r="N6945" t="s">
        <v>10236</v>
      </c>
    </row>
    <row r="6946" spans="1:14">
      <c r="A6946" t="s">
        <v>35</v>
      </c>
      <c r="B6946" t="s">
        <v>7003</v>
      </c>
      <c r="C6946">
        <f>"LS152"</f>
        <v>0</v>
      </c>
      <c r="D6946">
        <v>0</v>
      </c>
      <c r="E6946">
        <v>0</v>
      </c>
      <c r="F6946" s="2">
        <v>0</v>
      </c>
      <c r="H6946">
        <v>0</v>
      </c>
      <c r="I6946">
        <v>0.1741125760648204</v>
      </c>
      <c r="J6946">
        <v>0</v>
      </c>
      <c r="K6946">
        <v>0</v>
      </c>
      <c r="L6946" s="2">
        <v>0</v>
      </c>
      <c r="M6946">
        <v>69.15000000000001</v>
      </c>
      <c r="N6946" t="s">
        <v>10236</v>
      </c>
    </row>
    <row r="6947" spans="1:14">
      <c r="A6947" t="s">
        <v>25</v>
      </c>
      <c r="B6947" t="s">
        <v>7004</v>
      </c>
      <c r="C6947">
        <f>"U605"</f>
        <v>0</v>
      </c>
      <c r="D6947">
        <v>0</v>
      </c>
      <c r="E6947">
        <v>0</v>
      </c>
      <c r="F6947" s="2">
        <v>0</v>
      </c>
      <c r="H6947">
        <v>0</v>
      </c>
      <c r="I6947">
        <v>0.1741125760648204</v>
      </c>
      <c r="J6947">
        <v>0</v>
      </c>
      <c r="K6947">
        <v>0</v>
      </c>
      <c r="L6947" s="2">
        <v>0</v>
      </c>
      <c r="M6947">
        <v>69.16</v>
      </c>
      <c r="N6947" t="s">
        <v>10236</v>
      </c>
    </row>
    <row r="6948" spans="1:14">
      <c r="A6948" t="s">
        <v>35</v>
      </c>
      <c r="B6948" t="s">
        <v>7005</v>
      </c>
      <c r="C6948">
        <f>"D2121"</f>
        <v>0</v>
      </c>
      <c r="D6948">
        <v>0</v>
      </c>
      <c r="E6948">
        <v>0</v>
      </c>
      <c r="F6948" s="2">
        <v>0</v>
      </c>
      <c r="H6948">
        <v>0</v>
      </c>
      <c r="I6948">
        <v>0.1741125760648204</v>
      </c>
      <c r="J6948">
        <v>0</v>
      </c>
      <c r="K6948">
        <v>0</v>
      </c>
      <c r="L6948" s="2">
        <v>0</v>
      </c>
      <c r="M6948">
        <v>69.17</v>
      </c>
      <c r="N6948" t="s">
        <v>10236</v>
      </c>
    </row>
    <row r="6949" spans="1:14">
      <c r="A6949" t="s">
        <v>35</v>
      </c>
      <c r="B6949" t="s">
        <v>7006</v>
      </c>
      <c r="C6949">
        <f>"2933"</f>
        <v>0</v>
      </c>
      <c r="D6949">
        <v>0</v>
      </c>
      <c r="E6949">
        <v>0</v>
      </c>
      <c r="F6949" s="2">
        <v>0</v>
      </c>
      <c r="H6949">
        <v>0</v>
      </c>
      <c r="I6949">
        <v>0.1741125760648204</v>
      </c>
      <c r="J6949">
        <v>0</v>
      </c>
      <c r="K6949">
        <v>0</v>
      </c>
      <c r="L6949" s="2">
        <v>0</v>
      </c>
      <c r="M6949">
        <v>69.18000000000001</v>
      </c>
      <c r="N6949" t="s">
        <v>10236</v>
      </c>
    </row>
    <row r="6950" spans="1:14">
      <c r="A6950" t="s">
        <v>35</v>
      </c>
      <c r="B6950" t="s">
        <v>7007</v>
      </c>
      <c r="C6950">
        <f>"CN045"</f>
        <v>0</v>
      </c>
      <c r="D6950">
        <v>0</v>
      </c>
      <c r="E6950">
        <v>0</v>
      </c>
      <c r="F6950" s="2">
        <v>0</v>
      </c>
      <c r="H6950">
        <v>0</v>
      </c>
      <c r="I6950">
        <v>0.1741125760648204</v>
      </c>
      <c r="J6950">
        <v>0</v>
      </c>
      <c r="K6950">
        <v>0</v>
      </c>
      <c r="L6950" s="2">
        <v>0</v>
      </c>
      <c r="M6950">
        <v>69.19</v>
      </c>
      <c r="N6950" t="s">
        <v>10236</v>
      </c>
    </row>
    <row r="6951" spans="1:14">
      <c r="A6951" t="s">
        <v>35</v>
      </c>
      <c r="B6951" t="s">
        <v>7008</v>
      </c>
      <c r="C6951">
        <f>"LS147G"</f>
        <v>0</v>
      </c>
      <c r="D6951">
        <v>0</v>
      </c>
      <c r="E6951">
        <v>3</v>
      </c>
      <c r="F6951" s="2">
        <v>4</v>
      </c>
      <c r="H6951">
        <v>0</v>
      </c>
      <c r="I6951">
        <v>0.1741125760648204</v>
      </c>
      <c r="J6951">
        <v>0</v>
      </c>
      <c r="K6951">
        <v>0</v>
      </c>
      <c r="L6951" s="2">
        <v>0</v>
      </c>
      <c r="M6951">
        <v>69.2</v>
      </c>
      <c r="N6951" t="s">
        <v>10236</v>
      </c>
    </row>
    <row r="6952" spans="1:14">
      <c r="A6952" t="s">
        <v>35</v>
      </c>
      <c r="B6952" t="s">
        <v>7009</v>
      </c>
      <c r="C6952">
        <f>"LS147"</f>
        <v>0</v>
      </c>
      <c r="D6952">
        <v>0</v>
      </c>
      <c r="E6952">
        <v>0</v>
      </c>
      <c r="F6952" s="2">
        <v>0</v>
      </c>
      <c r="H6952">
        <v>0</v>
      </c>
      <c r="I6952">
        <v>0.1741125760648204</v>
      </c>
      <c r="J6952">
        <v>0</v>
      </c>
      <c r="K6952">
        <v>0</v>
      </c>
      <c r="L6952" s="2">
        <v>0</v>
      </c>
      <c r="M6952">
        <v>69.20999999999999</v>
      </c>
      <c r="N6952" t="s">
        <v>10236</v>
      </c>
    </row>
    <row r="6953" spans="1:14">
      <c r="A6953" t="s">
        <v>35</v>
      </c>
      <c r="B6953" t="s">
        <v>7010</v>
      </c>
      <c r="C6953">
        <f>"2934"</f>
        <v>0</v>
      </c>
      <c r="D6953">
        <v>0</v>
      </c>
      <c r="E6953">
        <v>0</v>
      </c>
      <c r="F6953" s="2">
        <v>0</v>
      </c>
      <c r="H6953">
        <v>0</v>
      </c>
      <c r="I6953">
        <v>0.1741125760648204</v>
      </c>
      <c r="J6953">
        <v>0</v>
      </c>
      <c r="K6953">
        <v>0</v>
      </c>
      <c r="L6953" s="2">
        <v>0</v>
      </c>
      <c r="M6953">
        <v>69.22</v>
      </c>
      <c r="N6953" t="s">
        <v>10236</v>
      </c>
    </row>
    <row r="6954" spans="1:14">
      <c r="A6954" t="s">
        <v>35</v>
      </c>
      <c r="B6954" t="s">
        <v>7011</v>
      </c>
      <c r="C6954">
        <f>"6006066"</f>
        <v>0</v>
      </c>
      <c r="D6954">
        <v>0</v>
      </c>
      <c r="E6954">
        <v>1</v>
      </c>
      <c r="F6954" s="2">
        <v>3</v>
      </c>
      <c r="H6954">
        <v>0</v>
      </c>
      <c r="I6954">
        <v>0.1741125760648204</v>
      </c>
      <c r="J6954">
        <v>0</v>
      </c>
      <c r="K6954">
        <v>0</v>
      </c>
      <c r="L6954" s="2">
        <v>0</v>
      </c>
      <c r="M6954">
        <v>69.23</v>
      </c>
      <c r="N6954" t="s">
        <v>10236</v>
      </c>
    </row>
    <row r="6955" spans="1:14">
      <c r="A6955" t="s">
        <v>35</v>
      </c>
      <c r="B6955" t="s">
        <v>7012</v>
      </c>
      <c r="C6955">
        <f>"6006065"</f>
        <v>0</v>
      </c>
      <c r="D6955">
        <v>0</v>
      </c>
      <c r="E6955">
        <v>1</v>
      </c>
      <c r="F6955" s="2">
        <v>3</v>
      </c>
      <c r="H6955">
        <v>0</v>
      </c>
      <c r="I6955">
        <v>0.1741125760648204</v>
      </c>
      <c r="J6955">
        <v>0</v>
      </c>
      <c r="K6955">
        <v>0</v>
      </c>
      <c r="L6955" s="2">
        <v>0</v>
      </c>
      <c r="M6955">
        <v>69.23999999999999</v>
      </c>
      <c r="N6955" t="s">
        <v>10236</v>
      </c>
    </row>
    <row r="6956" spans="1:14">
      <c r="A6956" t="s">
        <v>35</v>
      </c>
      <c r="B6956" t="s">
        <v>7013</v>
      </c>
      <c r="C6956">
        <f>"6006064"</f>
        <v>0</v>
      </c>
      <c r="D6956">
        <v>0</v>
      </c>
      <c r="E6956">
        <v>1</v>
      </c>
      <c r="F6956" s="2">
        <v>3</v>
      </c>
      <c r="H6956">
        <v>0</v>
      </c>
      <c r="I6956">
        <v>0.1741125760648204</v>
      </c>
      <c r="J6956">
        <v>0</v>
      </c>
      <c r="K6956">
        <v>0</v>
      </c>
      <c r="L6956" s="2">
        <v>0</v>
      </c>
      <c r="M6956">
        <v>69.25</v>
      </c>
      <c r="N6956" t="s">
        <v>10236</v>
      </c>
    </row>
    <row r="6957" spans="1:14">
      <c r="A6957" t="s">
        <v>35</v>
      </c>
      <c r="B6957" t="s">
        <v>7014</v>
      </c>
      <c r="C6957">
        <f>"15448XS"</f>
        <v>0</v>
      </c>
      <c r="D6957">
        <v>0</v>
      </c>
      <c r="E6957">
        <v>4</v>
      </c>
      <c r="F6957" s="2">
        <v>7</v>
      </c>
      <c r="H6957">
        <v>0</v>
      </c>
      <c r="I6957">
        <v>0.1741125760648204</v>
      </c>
      <c r="J6957">
        <v>0</v>
      </c>
      <c r="K6957">
        <v>0</v>
      </c>
      <c r="L6957" s="2">
        <v>0</v>
      </c>
      <c r="M6957">
        <v>69.26000000000001</v>
      </c>
      <c r="N6957" t="s">
        <v>10236</v>
      </c>
    </row>
    <row r="6958" spans="1:14">
      <c r="A6958" t="s">
        <v>35</v>
      </c>
      <c r="B6958" t="s">
        <v>7015</v>
      </c>
      <c r="C6958">
        <f>"15448S"</f>
        <v>0</v>
      </c>
      <c r="D6958">
        <v>0</v>
      </c>
      <c r="E6958">
        <v>2</v>
      </c>
      <c r="F6958" s="2">
        <v>7</v>
      </c>
      <c r="H6958">
        <v>0</v>
      </c>
      <c r="I6958">
        <v>0.1741125760648204</v>
      </c>
      <c r="J6958">
        <v>0</v>
      </c>
      <c r="K6958">
        <v>0</v>
      </c>
      <c r="L6958" s="2">
        <v>0</v>
      </c>
      <c r="M6958">
        <v>69.26000000000001</v>
      </c>
      <c r="N6958" t="s">
        <v>10236</v>
      </c>
    </row>
    <row r="6959" spans="1:14">
      <c r="A6959" t="s">
        <v>35</v>
      </c>
      <c r="B6959" t="s">
        <v>7016</v>
      </c>
      <c r="C6959">
        <f>"15448M"</f>
        <v>0</v>
      </c>
      <c r="D6959">
        <v>0</v>
      </c>
      <c r="E6959">
        <v>4</v>
      </c>
      <c r="F6959" s="2">
        <v>7</v>
      </c>
      <c r="H6959">
        <v>0</v>
      </c>
      <c r="I6959">
        <v>0.1741125760648204</v>
      </c>
      <c r="J6959">
        <v>0</v>
      </c>
      <c r="K6959">
        <v>0</v>
      </c>
      <c r="L6959" s="2">
        <v>0</v>
      </c>
      <c r="M6959">
        <v>69.27</v>
      </c>
      <c r="N6959" t="s">
        <v>10236</v>
      </c>
    </row>
    <row r="6960" spans="1:14">
      <c r="A6960" t="s">
        <v>35</v>
      </c>
      <c r="B6960" t="s">
        <v>7017</v>
      </c>
      <c r="C6960">
        <f>"M015"</f>
        <v>0</v>
      </c>
      <c r="D6960">
        <v>0</v>
      </c>
      <c r="E6960">
        <v>0</v>
      </c>
      <c r="F6960" s="2">
        <v>0</v>
      </c>
      <c r="H6960">
        <v>0</v>
      </c>
      <c r="I6960">
        <v>0.1741125760648204</v>
      </c>
      <c r="J6960">
        <v>0</v>
      </c>
      <c r="K6960">
        <v>0</v>
      </c>
      <c r="L6960" s="2">
        <v>0</v>
      </c>
      <c r="M6960">
        <v>69.28</v>
      </c>
      <c r="N6960" t="s">
        <v>10236</v>
      </c>
    </row>
    <row r="6961" spans="1:14">
      <c r="A6961" t="s">
        <v>35</v>
      </c>
      <c r="B6961" t="s">
        <v>7018</v>
      </c>
      <c r="C6961">
        <f>"15448XL"</f>
        <v>0</v>
      </c>
      <c r="D6961">
        <v>0</v>
      </c>
      <c r="E6961">
        <v>4</v>
      </c>
      <c r="F6961" s="2">
        <v>8</v>
      </c>
      <c r="H6961">
        <v>0</v>
      </c>
      <c r="I6961">
        <v>0.1741125760648204</v>
      </c>
      <c r="J6961">
        <v>0</v>
      </c>
      <c r="K6961">
        <v>0</v>
      </c>
      <c r="L6961" s="2">
        <v>0</v>
      </c>
      <c r="M6961">
        <v>69.29000000000001</v>
      </c>
      <c r="N6961" t="s">
        <v>10236</v>
      </c>
    </row>
    <row r="6962" spans="1:14">
      <c r="A6962" t="s">
        <v>35</v>
      </c>
      <c r="B6962" t="s">
        <v>7019</v>
      </c>
      <c r="C6962">
        <f>"15448L"</f>
        <v>0</v>
      </c>
      <c r="D6962">
        <v>0</v>
      </c>
      <c r="E6962">
        <v>4</v>
      </c>
      <c r="F6962" s="2">
        <v>8</v>
      </c>
      <c r="H6962">
        <v>0</v>
      </c>
      <c r="I6962">
        <v>0.1741125760648204</v>
      </c>
      <c r="J6962">
        <v>0</v>
      </c>
      <c r="K6962">
        <v>0</v>
      </c>
      <c r="L6962" s="2">
        <v>0</v>
      </c>
      <c r="M6962">
        <v>69.3</v>
      </c>
      <c r="N6962" t="s">
        <v>10236</v>
      </c>
    </row>
    <row r="6963" spans="1:14">
      <c r="A6963" t="s">
        <v>207</v>
      </c>
      <c r="B6963" t="s">
        <v>7020</v>
      </c>
      <c r="C6963">
        <f>"B41206"</f>
        <v>0</v>
      </c>
      <c r="D6963">
        <v>0</v>
      </c>
      <c r="E6963">
        <v>5</v>
      </c>
      <c r="F6963" s="2">
        <v>3</v>
      </c>
      <c r="H6963">
        <v>0</v>
      </c>
      <c r="I6963">
        <v>0.1741125760648204</v>
      </c>
      <c r="J6963">
        <v>0</v>
      </c>
      <c r="K6963">
        <v>0</v>
      </c>
      <c r="L6963" s="2">
        <v>0</v>
      </c>
      <c r="M6963">
        <v>69.31</v>
      </c>
      <c r="N6963" t="s">
        <v>10236</v>
      </c>
    </row>
    <row r="6964" spans="1:14">
      <c r="A6964" t="s">
        <v>35</v>
      </c>
      <c r="B6964" t="s">
        <v>7021</v>
      </c>
      <c r="C6964">
        <f>"6006063"</f>
        <v>0</v>
      </c>
      <c r="D6964">
        <v>0</v>
      </c>
      <c r="E6964">
        <v>0</v>
      </c>
      <c r="F6964" s="2">
        <v>0</v>
      </c>
      <c r="H6964">
        <v>0</v>
      </c>
      <c r="I6964">
        <v>0.1741125760648204</v>
      </c>
      <c r="J6964">
        <v>0</v>
      </c>
      <c r="K6964">
        <v>0</v>
      </c>
      <c r="L6964" s="2">
        <v>0</v>
      </c>
      <c r="M6964">
        <v>69.31999999999999</v>
      </c>
      <c r="N6964" t="s">
        <v>10236</v>
      </c>
    </row>
    <row r="6965" spans="1:14">
      <c r="A6965" t="s">
        <v>35</v>
      </c>
      <c r="B6965" t="s">
        <v>7022</v>
      </c>
      <c r="C6965">
        <f>"6006062"</f>
        <v>0</v>
      </c>
      <c r="D6965">
        <v>0</v>
      </c>
      <c r="E6965">
        <v>2</v>
      </c>
      <c r="F6965" s="2">
        <v>4</v>
      </c>
      <c r="H6965">
        <v>0</v>
      </c>
      <c r="I6965">
        <v>0.1741125760648204</v>
      </c>
      <c r="J6965">
        <v>0</v>
      </c>
      <c r="K6965">
        <v>0</v>
      </c>
      <c r="L6965" s="2">
        <v>0</v>
      </c>
      <c r="M6965">
        <v>69.33</v>
      </c>
      <c r="N6965" t="s">
        <v>10236</v>
      </c>
    </row>
    <row r="6966" spans="1:14">
      <c r="A6966" t="s">
        <v>35</v>
      </c>
      <c r="B6966" t="s">
        <v>7023</v>
      </c>
      <c r="C6966">
        <f>"6006061"</f>
        <v>0</v>
      </c>
      <c r="D6966">
        <v>0</v>
      </c>
      <c r="E6966">
        <v>2</v>
      </c>
      <c r="F6966" s="2">
        <v>3</v>
      </c>
      <c r="H6966">
        <v>0</v>
      </c>
      <c r="I6966">
        <v>0.1741125760648204</v>
      </c>
      <c r="J6966">
        <v>0</v>
      </c>
      <c r="K6966">
        <v>0</v>
      </c>
      <c r="L6966" s="2">
        <v>0</v>
      </c>
      <c r="M6966">
        <v>69.34</v>
      </c>
      <c r="N6966" t="s">
        <v>10236</v>
      </c>
    </row>
    <row r="6967" spans="1:14">
      <c r="A6967" t="s">
        <v>35</v>
      </c>
      <c r="B6967" t="s">
        <v>7024</v>
      </c>
      <c r="C6967">
        <f>"6006060"</f>
        <v>0</v>
      </c>
      <c r="D6967">
        <v>0</v>
      </c>
      <c r="E6967">
        <v>2</v>
      </c>
      <c r="F6967" s="2">
        <v>3</v>
      </c>
      <c r="H6967">
        <v>0</v>
      </c>
      <c r="I6967">
        <v>0.1741125760648204</v>
      </c>
      <c r="J6967">
        <v>0</v>
      </c>
      <c r="K6967">
        <v>0</v>
      </c>
      <c r="L6967" s="2">
        <v>0</v>
      </c>
      <c r="M6967">
        <v>69.34999999999999</v>
      </c>
      <c r="N6967" t="s">
        <v>10236</v>
      </c>
    </row>
    <row r="6968" spans="1:14">
      <c r="A6968" t="s">
        <v>35</v>
      </c>
      <c r="B6968" t="s">
        <v>7025</v>
      </c>
      <c r="C6968">
        <f>"6006077"</f>
        <v>0</v>
      </c>
      <c r="D6968">
        <v>0</v>
      </c>
      <c r="E6968">
        <v>0</v>
      </c>
      <c r="F6968" s="2">
        <v>0</v>
      </c>
      <c r="H6968">
        <v>0</v>
      </c>
      <c r="I6968">
        <v>0.1741125760648204</v>
      </c>
      <c r="J6968">
        <v>0</v>
      </c>
      <c r="K6968">
        <v>0</v>
      </c>
      <c r="L6968" s="2">
        <v>0</v>
      </c>
      <c r="M6968">
        <v>69.36</v>
      </c>
      <c r="N6968" t="s">
        <v>10236</v>
      </c>
    </row>
    <row r="6969" spans="1:14">
      <c r="A6969" t="s">
        <v>35</v>
      </c>
      <c r="B6969" t="s">
        <v>7026</v>
      </c>
      <c r="C6969">
        <f>"XQ34M"</f>
        <v>0</v>
      </c>
      <c r="D6969">
        <v>0</v>
      </c>
      <c r="E6969">
        <v>5</v>
      </c>
      <c r="F6969" s="2">
        <v>2</v>
      </c>
      <c r="H6969">
        <v>0</v>
      </c>
      <c r="I6969">
        <v>0.1741125760648204</v>
      </c>
      <c r="J6969">
        <v>0</v>
      </c>
      <c r="K6969">
        <v>0</v>
      </c>
      <c r="L6969" s="2">
        <v>0</v>
      </c>
      <c r="M6969">
        <v>69.37</v>
      </c>
      <c r="N6969" t="s">
        <v>10236</v>
      </c>
    </row>
    <row r="6970" spans="1:14">
      <c r="A6970" t="s">
        <v>35</v>
      </c>
      <c r="B6970" t="s">
        <v>7027</v>
      </c>
      <c r="C6970">
        <f>"XQ34XXL"</f>
        <v>0</v>
      </c>
      <c r="D6970">
        <v>0</v>
      </c>
      <c r="E6970">
        <v>0</v>
      </c>
      <c r="F6970" s="2">
        <v>0</v>
      </c>
      <c r="H6970">
        <v>0</v>
      </c>
      <c r="I6970">
        <v>0.1741125760648204</v>
      </c>
      <c r="J6970">
        <v>0</v>
      </c>
      <c r="K6970">
        <v>0</v>
      </c>
      <c r="L6970" s="2">
        <v>0</v>
      </c>
      <c r="M6970">
        <v>69.37</v>
      </c>
      <c r="N6970" t="s">
        <v>10236</v>
      </c>
    </row>
    <row r="6971" spans="1:14">
      <c r="A6971" t="s">
        <v>35</v>
      </c>
      <c r="B6971" t="s">
        <v>7028</v>
      </c>
      <c r="C6971">
        <f>"XQ34XL"</f>
        <v>0</v>
      </c>
      <c r="D6971">
        <v>0</v>
      </c>
      <c r="E6971">
        <v>1</v>
      </c>
      <c r="F6971" s="2">
        <v>3</v>
      </c>
      <c r="H6971">
        <v>0</v>
      </c>
      <c r="I6971">
        <v>0.1741125760648204</v>
      </c>
      <c r="J6971">
        <v>0</v>
      </c>
      <c r="K6971">
        <v>0</v>
      </c>
      <c r="L6971" s="2">
        <v>0</v>
      </c>
      <c r="M6971">
        <v>69.38</v>
      </c>
      <c r="N6971" t="s">
        <v>10236</v>
      </c>
    </row>
    <row r="6972" spans="1:14">
      <c r="A6972" t="s">
        <v>35</v>
      </c>
      <c r="B6972" t="s">
        <v>7029</v>
      </c>
      <c r="C6972">
        <f>"XQ34L"</f>
        <v>0</v>
      </c>
      <c r="D6972">
        <v>0</v>
      </c>
      <c r="E6972">
        <v>3</v>
      </c>
      <c r="F6972" s="2">
        <v>2</v>
      </c>
      <c r="H6972">
        <v>0</v>
      </c>
      <c r="I6972">
        <v>0.1741125760648204</v>
      </c>
      <c r="J6972">
        <v>0</v>
      </c>
      <c r="K6972">
        <v>0</v>
      </c>
      <c r="L6972" s="2">
        <v>0</v>
      </c>
      <c r="M6972">
        <v>69.39</v>
      </c>
      <c r="N6972" t="s">
        <v>10236</v>
      </c>
    </row>
    <row r="6973" spans="1:14">
      <c r="A6973" t="s">
        <v>35</v>
      </c>
      <c r="B6973" t="s">
        <v>7030</v>
      </c>
      <c r="C6973">
        <f>"2071XS"</f>
        <v>0</v>
      </c>
      <c r="D6973">
        <v>0</v>
      </c>
      <c r="E6973">
        <v>2</v>
      </c>
      <c r="F6973" s="2">
        <v>6</v>
      </c>
      <c r="H6973">
        <v>0</v>
      </c>
      <c r="I6973">
        <v>0.1741125760648204</v>
      </c>
      <c r="J6973">
        <v>0</v>
      </c>
      <c r="K6973">
        <v>0</v>
      </c>
      <c r="L6973" s="2">
        <v>0</v>
      </c>
      <c r="M6973">
        <v>69.40000000000001</v>
      </c>
      <c r="N6973" t="s">
        <v>10236</v>
      </c>
    </row>
    <row r="6974" spans="1:14">
      <c r="A6974" t="s">
        <v>35</v>
      </c>
      <c r="B6974" t="s">
        <v>7031</v>
      </c>
      <c r="C6974">
        <f>"2071S"</f>
        <v>0</v>
      </c>
      <c r="D6974">
        <v>0</v>
      </c>
      <c r="E6974">
        <v>2</v>
      </c>
      <c r="F6974" s="2">
        <v>6</v>
      </c>
      <c r="H6974">
        <v>0</v>
      </c>
      <c r="I6974">
        <v>0.1741125760648204</v>
      </c>
      <c r="J6974">
        <v>0</v>
      </c>
      <c r="K6974">
        <v>0</v>
      </c>
      <c r="L6974" s="2">
        <v>0</v>
      </c>
      <c r="M6974">
        <v>69.41</v>
      </c>
      <c r="N6974" t="s">
        <v>10236</v>
      </c>
    </row>
    <row r="6975" spans="1:14">
      <c r="A6975" t="s">
        <v>35</v>
      </c>
      <c r="B6975" t="s">
        <v>7032</v>
      </c>
      <c r="C6975">
        <f>"15448XXL"</f>
        <v>0</v>
      </c>
      <c r="D6975">
        <v>0</v>
      </c>
      <c r="E6975">
        <v>3</v>
      </c>
      <c r="F6975" s="2">
        <v>8</v>
      </c>
      <c r="H6975">
        <v>0</v>
      </c>
      <c r="I6975">
        <v>0.1741125760648204</v>
      </c>
      <c r="J6975">
        <v>0</v>
      </c>
      <c r="K6975">
        <v>0</v>
      </c>
      <c r="L6975" s="2">
        <v>0</v>
      </c>
      <c r="M6975">
        <v>69.42</v>
      </c>
      <c r="N6975" t="s">
        <v>10236</v>
      </c>
    </row>
    <row r="6976" spans="1:14">
      <c r="A6976" t="s">
        <v>35</v>
      </c>
      <c r="B6976" t="s">
        <v>7033</v>
      </c>
      <c r="C6976">
        <f>"H014S"</f>
        <v>0</v>
      </c>
      <c r="D6976">
        <v>0</v>
      </c>
      <c r="E6976">
        <v>0</v>
      </c>
      <c r="F6976" s="2">
        <v>0</v>
      </c>
      <c r="H6976">
        <v>0</v>
      </c>
      <c r="I6976">
        <v>0.1741125760648204</v>
      </c>
      <c r="J6976">
        <v>0</v>
      </c>
      <c r="K6976">
        <v>0</v>
      </c>
      <c r="L6976" s="2">
        <v>0</v>
      </c>
      <c r="M6976">
        <v>69.43000000000001</v>
      </c>
      <c r="N6976" t="s">
        <v>10236</v>
      </c>
    </row>
    <row r="6977" spans="1:14">
      <c r="A6977" t="s">
        <v>210</v>
      </c>
      <c r="B6977" t="s">
        <v>7034</v>
      </c>
      <c r="C6977">
        <f>"1011500"</f>
        <v>0</v>
      </c>
      <c r="D6977">
        <v>0</v>
      </c>
      <c r="E6977">
        <v>0</v>
      </c>
      <c r="F6977" s="2">
        <v>0</v>
      </c>
      <c r="H6977">
        <v>0</v>
      </c>
      <c r="I6977">
        <v>0.1741125760648204</v>
      </c>
      <c r="J6977">
        <v>0</v>
      </c>
      <c r="K6977">
        <v>0</v>
      </c>
      <c r="L6977" s="2">
        <v>0</v>
      </c>
      <c r="M6977">
        <v>69.44</v>
      </c>
      <c r="N6977" t="s">
        <v>10236</v>
      </c>
    </row>
    <row r="6978" spans="1:14">
      <c r="A6978" t="s">
        <v>27</v>
      </c>
      <c r="B6978" t="s">
        <v>7035</v>
      </c>
      <c r="C6978">
        <f>"USD604"</f>
        <v>0</v>
      </c>
      <c r="D6978">
        <v>0</v>
      </c>
      <c r="E6978">
        <v>10</v>
      </c>
      <c r="F6978" s="2">
        <v>3</v>
      </c>
      <c r="H6978">
        <v>0</v>
      </c>
      <c r="I6978">
        <v>0.1741125760648204</v>
      </c>
      <c r="J6978">
        <v>0</v>
      </c>
      <c r="K6978">
        <v>0</v>
      </c>
      <c r="L6978" s="2">
        <v>0</v>
      </c>
      <c r="M6978">
        <v>69.45</v>
      </c>
      <c r="N6978" t="s">
        <v>10236</v>
      </c>
    </row>
    <row r="6979" spans="1:14">
      <c r="A6979" t="s">
        <v>27</v>
      </c>
      <c r="B6979" t="s">
        <v>7036</v>
      </c>
      <c r="C6979">
        <f>"USD601"</f>
        <v>0</v>
      </c>
      <c r="D6979">
        <v>0</v>
      </c>
      <c r="E6979">
        <v>17</v>
      </c>
      <c r="F6979" s="2">
        <v>3</v>
      </c>
      <c r="H6979">
        <v>0</v>
      </c>
      <c r="I6979">
        <v>0.1741125760648204</v>
      </c>
      <c r="J6979">
        <v>0</v>
      </c>
      <c r="K6979">
        <v>0</v>
      </c>
      <c r="L6979" s="2">
        <v>0</v>
      </c>
      <c r="M6979">
        <v>69.45999999999999</v>
      </c>
      <c r="N6979" t="s">
        <v>10236</v>
      </c>
    </row>
    <row r="6980" spans="1:14">
      <c r="A6980" t="s">
        <v>29</v>
      </c>
      <c r="B6980" t="s">
        <v>7037</v>
      </c>
      <c r="C6980">
        <f>"AA014"</f>
        <v>0</v>
      </c>
      <c r="D6980">
        <v>0</v>
      </c>
      <c r="E6980">
        <v>10</v>
      </c>
      <c r="F6980" s="2">
        <v>0</v>
      </c>
      <c r="H6980">
        <v>0</v>
      </c>
      <c r="I6980">
        <v>0.1741125760648204</v>
      </c>
      <c r="J6980">
        <v>0</v>
      </c>
      <c r="K6980">
        <v>0</v>
      </c>
      <c r="L6980" s="2">
        <v>0</v>
      </c>
      <c r="M6980">
        <v>69.47</v>
      </c>
      <c r="N6980" t="s">
        <v>10236</v>
      </c>
    </row>
    <row r="6981" spans="1:14">
      <c r="A6981" t="s">
        <v>35</v>
      </c>
      <c r="B6981" t="s">
        <v>7038</v>
      </c>
      <c r="C6981">
        <f>"2972"</f>
        <v>0</v>
      </c>
      <c r="D6981">
        <v>0</v>
      </c>
      <c r="E6981">
        <v>0</v>
      </c>
      <c r="F6981" s="2">
        <v>0</v>
      </c>
      <c r="H6981">
        <v>0</v>
      </c>
      <c r="I6981">
        <v>0.1741125760648204</v>
      </c>
      <c r="J6981">
        <v>0</v>
      </c>
      <c r="K6981">
        <v>0</v>
      </c>
      <c r="L6981" s="2">
        <v>0</v>
      </c>
      <c r="M6981">
        <v>69.48</v>
      </c>
      <c r="N6981" t="s">
        <v>10236</v>
      </c>
    </row>
    <row r="6982" spans="1:14">
      <c r="A6982" t="s">
        <v>35</v>
      </c>
      <c r="B6982" t="s">
        <v>7039</v>
      </c>
      <c r="C6982">
        <f>"2971"</f>
        <v>0</v>
      </c>
      <c r="D6982">
        <v>0</v>
      </c>
      <c r="E6982">
        <v>0</v>
      </c>
      <c r="F6982" s="2">
        <v>0</v>
      </c>
      <c r="H6982">
        <v>0</v>
      </c>
      <c r="I6982">
        <v>0.1741125760648204</v>
      </c>
      <c r="J6982">
        <v>0</v>
      </c>
      <c r="K6982">
        <v>0</v>
      </c>
      <c r="L6982" s="2">
        <v>0</v>
      </c>
      <c r="M6982">
        <v>69.48999999999999</v>
      </c>
      <c r="N6982" t="s">
        <v>10236</v>
      </c>
    </row>
    <row r="6983" spans="1:14">
      <c r="A6983" t="s">
        <v>218</v>
      </c>
      <c r="B6983" t="s">
        <v>7040</v>
      </c>
      <c r="C6983">
        <f>"5001909"</f>
        <v>0</v>
      </c>
      <c r="D6983">
        <v>0</v>
      </c>
      <c r="E6983">
        <v>0</v>
      </c>
      <c r="F6983" s="2">
        <v>0</v>
      </c>
      <c r="H6983">
        <v>0</v>
      </c>
      <c r="I6983">
        <v>0.1741125760648204</v>
      </c>
      <c r="J6983">
        <v>0</v>
      </c>
      <c r="K6983">
        <v>0</v>
      </c>
      <c r="L6983" s="2">
        <v>0</v>
      </c>
      <c r="M6983">
        <v>69.48999999999999</v>
      </c>
      <c r="N6983" t="s">
        <v>10236</v>
      </c>
    </row>
    <row r="6984" spans="1:14">
      <c r="A6984" t="s">
        <v>35</v>
      </c>
      <c r="B6984" t="s">
        <v>7041</v>
      </c>
      <c r="C6984">
        <f>"MH076V"</f>
        <v>0</v>
      </c>
      <c r="D6984">
        <v>0</v>
      </c>
      <c r="E6984">
        <v>0</v>
      </c>
      <c r="F6984" s="2">
        <v>0</v>
      </c>
      <c r="H6984">
        <v>0</v>
      </c>
      <c r="I6984">
        <v>0.1741125760648204</v>
      </c>
      <c r="J6984">
        <v>0</v>
      </c>
      <c r="K6984">
        <v>0</v>
      </c>
      <c r="L6984" s="2">
        <v>0</v>
      </c>
      <c r="M6984">
        <v>69.5</v>
      </c>
      <c r="N6984" t="s">
        <v>10236</v>
      </c>
    </row>
    <row r="6985" spans="1:14">
      <c r="A6985" t="s">
        <v>35</v>
      </c>
      <c r="B6985" t="s">
        <v>7042</v>
      </c>
      <c r="C6985">
        <f>"MH079ROS"</f>
        <v>0</v>
      </c>
      <c r="D6985">
        <v>0</v>
      </c>
      <c r="E6985">
        <v>2</v>
      </c>
      <c r="F6985" s="2">
        <v>9</v>
      </c>
      <c r="H6985">
        <v>0</v>
      </c>
      <c r="I6985">
        <v>0.1741125760648204</v>
      </c>
      <c r="J6985">
        <v>0</v>
      </c>
      <c r="K6985">
        <v>0</v>
      </c>
      <c r="L6985" s="2">
        <v>0</v>
      </c>
      <c r="M6985">
        <v>69.51000000000001</v>
      </c>
      <c r="N6985" t="s">
        <v>10236</v>
      </c>
    </row>
    <row r="6986" spans="1:14">
      <c r="A6986" t="s">
        <v>222</v>
      </c>
      <c r="B6986" t="s">
        <v>7043</v>
      </c>
      <c r="C6986">
        <f>"POOPMCFRENCH"</f>
        <v>0</v>
      </c>
      <c r="D6986">
        <v>0</v>
      </c>
      <c r="E6986">
        <v>0</v>
      </c>
      <c r="F6986" s="2">
        <v>0</v>
      </c>
      <c r="H6986">
        <v>0</v>
      </c>
      <c r="I6986">
        <v>0.1741125760648204</v>
      </c>
      <c r="J6986">
        <v>0</v>
      </c>
      <c r="K6986">
        <v>0</v>
      </c>
      <c r="L6986" s="2">
        <v>0</v>
      </c>
      <c r="M6986">
        <v>69.52</v>
      </c>
      <c r="N6986" t="s">
        <v>10236</v>
      </c>
    </row>
    <row r="6987" spans="1:14">
      <c r="A6987" t="s">
        <v>222</v>
      </c>
      <c r="B6987" t="s">
        <v>7044</v>
      </c>
      <c r="C6987">
        <f>"POOPHAWAII"</f>
        <v>0</v>
      </c>
      <c r="D6987">
        <v>0</v>
      </c>
      <c r="E6987">
        <v>0</v>
      </c>
      <c r="F6987" s="2">
        <v>0</v>
      </c>
      <c r="H6987">
        <v>0</v>
      </c>
      <c r="I6987">
        <v>0.1741125760648204</v>
      </c>
      <c r="J6987">
        <v>0</v>
      </c>
      <c r="K6987">
        <v>0</v>
      </c>
      <c r="L6987" s="2">
        <v>0</v>
      </c>
      <c r="M6987">
        <v>69.53</v>
      </c>
      <c r="N6987" t="s">
        <v>10236</v>
      </c>
    </row>
    <row r="6988" spans="1:14">
      <c r="A6988" t="s">
        <v>222</v>
      </c>
      <c r="B6988" t="s">
        <v>7045</v>
      </c>
      <c r="C6988">
        <f>"POOPGALAXY"</f>
        <v>0</v>
      </c>
      <c r="D6988">
        <v>0</v>
      </c>
      <c r="E6988">
        <v>0</v>
      </c>
      <c r="F6988" s="2">
        <v>0</v>
      </c>
      <c r="H6988">
        <v>0</v>
      </c>
      <c r="I6988">
        <v>0.1741125760648204</v>
      </c>
      <c r="J6988">
        <v>0</v>
      </c>
      <c r="K6988">
        <v>0</v>
      </c>
      <c r="L6988" s="2">
        <v>0</v>
      </c>
      <c r="M6988">
        <v>69.54000000000001</v>
      </c>
      <c r="N6988" t="s">
        <v>10236</v>
      </c>
    </row>
    <row r="6989" spans="1:14">
      <c r="A6989" t="s">
        <v>222</v>
      </c>
      <c r="B6989" t="s">
        <v>7046</v>
      </c>
      <c r="C6989">
        <f>"POOPBALI"</f>
        <v>0</v>
      </c>
      <c r="D6989">
        <v>0</v>
      </c>
      <c r="E6989">
        <v>0</v>
      </c>
      <c r="F6989" s="2">
        <v>0</v>
      </c>
      <c r="H6989">
        <v>0</v>
      </c>
      <c r="I6989">
        <v>0.1741125760648204</v>
      </c>
      <c r="J6989">
        <v>0</v>
      </c>
      <c r="K6989">
        <v>0</v>
      </c>
      <c r="L6989" s="2">
        <v>0</v>
      </c>
      <c r="M6989">
        <v>69.55</v>
      </c>
      <c r="N6989" t="s">
        <v>10236</v>
      </c>
    </row>
    <row r="6990" spans="1:14">
      <c r="A6990" t="s">
        <v>35</v>
      </c>
      <c r="B6990" t="s">
        <v>7047</v>
      </c>
      <c r="C6990">
        <f>"LS152GR"</f>
        <v>0</v>
      </c>
      <c r="D6990">
        <v>0</v>
      </c>
      <c r="E6990">
        <v>1</v>
      </c>
      <c r="F6990" s="2">
        <v>4</v>
      </c>
      <c r="H6990">
        <v>0</v>
      </c>
      <c r="I6990">
        <v>0.1741125760648204</v>
      </c>
      <c r="J6990">
        <v>0</v>
      </c>
      <c r="K6990">
        <v>0</v>
      </c>
      <c r="L6990" s="2">
        <v>0</v>
      </c>
      <c r="M6990">
        <v>69.56</v>
      </c>
      <c r="N6990" t="s">
        <v>10236</v>
      </c>
    </row>
    <row r="6991" spans="1:14">
      <c r="A6991" t="s">
        <v>35</v>
      </c>
      <c r="B6991" t="s">
        <v>7048</v>
      </c>
      <c r="C6991">
        <f>"MH076BL"</f>
        <v>0</v>
      </c>
      <c r="D6991">
        <v>0</v>
      </c>
      <c r="E6991">
        <v>0</v>
      </c>
      <c r="F6991" s="2">
        <v>0</v>
      </c>
      <c r="H6991">
        <v>0</v>
      </c>
      <c r="I6991">
        <v>0.1741125760648204</v>
      </c>
      <c r="J6991">
        <v>0</v>
      </c>
      <c r="K6991">
        <v>0</v>
      </c>
      <c r="L6991" s="2">
        <v>0</v>
      </c>
      <c r="M6991">
        <v>69.56999999999999</v>
      </c>
      <c r="N6991" t="s">
        <v>10236</v>
      </c>
    </row>
    <row r="6992" spans="1:14">
      <c r="A6992" t="s">
        <v>35</v>
      </c>
      <c r="B6992" t="s">
        <v>7049</v>
      </c>
      <c r="C6992">
        <f>"MH076A"</f>
        <v>0</v>
      </c>
      <c r="D6992">
        <v>0</v>
      </c>
      <c r="E6992">
        <v>5</v>
      </c>
      <c r="F6992" s="2">
        <v>4</v>
      </c>
      <c r="H6992">
        <v>0</v>
      </c>
      <c r="I6992">
        <v>0.1741125760648204</v>
      </c>
      <c r="J6992">
        <v>0</v>
      </c>
      <c r="K6992">
        <v>0</v>
      </c>
      <c r="L6992" s="2">
        <v>0</v>
      </c>
      <c r="M6992">
        <v>69.58</v>
      </c>
      <c r="N6992" t="s">
        <v>10236</v>
      </c>
    </row>
    <row r="6993" spans="1:14">
      <c r="A6993" t="s">
        <v>35</v>
      </c>
      <c r="B6993" t="s">
        <v>7050</v>
      </c>
      <c r="C6993">
        <f>"CN046"</f>
        <v>0</v>
      </c>
      <c r="D6993">
        <v>0</v>
      </c>
      <c r="E6993">
        <v>0</v>
      </c>
      <c r="F6993" s="2">
        <v>0</v>
      </c>
      <c r="H6993">
        <v>0</v>
      </c>
      <c r="I6993">
        <v>0.1741125760648204</v>
      </c>
      <c r="J6993">
        <v>0</v>
      </c>
      <c r="K6993">
        <v>0</v>
      </c>
      <c r="L6993" s="2">
        <v>0</v>
      </c>
      <c r="M6993">
        <v>69.59</v>
      </c>
      <c r="N6993" t="s">
        <v>10236</v>
      </c>
    </row>
    <row r="6994" spans="1:14">
      <c r="A6994" t="s">
        <v>35</v>
      </c>
      <c r="B6994" t="s">
        <v>7051</v>
      </c>
      <c r="C6994">
        <f>"LS148R"</f>
        <v>0</v>
      </c>
      <c r="D6994">
        <v>0</v>
      </c>
      <c r="E6994">
        <v>0</v>
      </c>
      <c r="F6994" s="2">
        <v>0</v>
      </c>
      <c r="H6994">
        <v>0</v>
      </c>
      <c r="I6994">
        <v>0.1741125760648204</v>
      </c>
      <c r="J6994">
        <v>0</v>
      </c>
      <c r="K6994">
        <v>0</v>
      </c>
      <c r="L6994" s="2">
        <v>0</v>
      </c>
      <c r="M6994">
        <v>69.59999999999999</v>
      </c>
      <c r="N6994" t="s">
        <v>10236</v>
      </c>
    </row>
    <row r="6995" spans="1:14">
      <c r="A6995" t="s">
        <v>35</v>
      </c>
      <c r="B6995" t="s">
        <v>7052</v>
      </c>
      <c r="C6995">
        <f>"LS148G"</f>
        <v>0</v>
      </c>
      <c r="D6995">
        <v>0</v>
      </c>
      <c r="E6995">
        <v>0</v>
      </c>
      <c r="F6995" s="2">
        <v>0</v>
      </c>
      <c r="H6995">
        <v>0</v>
      </c>
      <c r="I6995">
        <v>0.1741125760648204</v>
      </c>
      <c r="J6995">
        <v>0</v>
      </c>
      <c r="K6995">
        <v>0</v>
      </c>
      <c r="L6995" s="2">
        <v>0</v>
      </c>
      <c r="M6995">
        <v>69.61</v>
      </c>
      <c r="N6995" t="s">
        <v>10236</v>
      </c>
    </row>
    <row r="6996" spans="1:14">
      <c r="A6996" t="s">
        <v>35</v>
      </c>
      <c r="B6996" t="s">
        <v>7053</v>
      </c>
      <c r="C6996">
        <f>"LS148C"</f>
        <v>0</v>
      </c>
      <c r="D6996">
        <v>0</v>
      </c>
      <c r="E6996">
        <v>0</v>
      </c>
      <c r="F6996" s="2">
        <v>0</v>
      </c>
      <c r="H6996">
        <v>0</v>
      </c>
      <c r="I6996">
        <v>0.1741125760648204</v>
      </c>
      <c r="J6996">
        <v>0</v>
      </c>
      <c r="K6996">
        <v>0</v>
      </c>
      <c r="L6996" s="2">
        <v>0</v>
      </c>
      <c r="M6996">
        <v>69.61</v>
      </c>
      <c r="N6996" t="s">
        <v>10236</v>
      </c>
    </row>
    <row r="6997" spans="1:14">
      <c r="A6997" t="s">
        <v>35</v>
      </c>
      <c r="B6997" t="s">
        <v>7054</v>
      </c>
      <c r="C6997">
        <f>"LS148A"</f>
        <v>0</v>
      </c>
      <c r="D6997">
        <v>0</v>
      </c>
      <c r="E6997">
        <v>0</v>
      </c>
      <c r="F6997" s="2">
        <v>0</v>
      </c>
      <c r="H6997">
        <v>0</v>
      </c>
      <c r="I6997">
        <v>0.1741125760648204</v>
      </c>
      <c r="J6997">
        <v>0</v>
      </c>
      <c r="K6997">
        <v>0</v>
      </c>
      <c r="L6997" s="2">
        <v>0</v>
      </c>
      <c r="M6997">
        <v>69.62</v>
      </c>
      <c r="N6997" t="s">
        <v>10236</v>
      </c>
    </row>
    <row r="6998" spans="1:14">
      <c r="A6998" t="s">
        <v>35</v>
      </c>
      <c r="B6998" t="s">
        <v>7055</v>
      </c>
      <c r="C6998">
        <f>"LS148"</f>
        <v>0</v>
      </c>
      <c r="D6998">
        <v>0</v>
      </c>
      <c r="E6998">
        <v>0</v>
      </c>
      <c r="F6998" s="2">
        <v>0</v>
      </c>
      <c r="H6998">
        <v>0</v>
      </c>
      <c r="I6998">
        <v>0.1741125760648204</v>
      </c>
      <c r="J6998">
        <v>0</v>
      </c>
      <c r="K6998">
        <v>0</v>
      </c>
      <c r="L6998" s="2">
        <v>0</v>
      </c>
      <c r="M6998">
        <v>69.63</v>
      </c>
      <c r="N6998" t="s">
        <v>10236</v>
      </c>
    </row>
    <row r="6999" spans="1:14">
      <c r="A6999" t="s">
        <v>35</v>
      </c>
      <c r="B6999" t="s">
        <v>7056</v>
      </c>
      <c r="C6999">
        <f>"NO99"</f>
        <v>0</v>
      </c>
      <c r="D6999">
        <v>0</v>
      </c>
      <c r="E6999">
        <v>0</v>
      </c>
      <c r="F6999" s="2">
        <v>0</v>
      </c>
      <c r="H6999">
        <v>0</v>
      </c>
      <c r="I6999">
        <v>0.1741125760648204</v>
      </c>
      <c r="J6999">
        <v>0</v>
      </c>
      <c r="K6999">
        <v>0</v>
      </c>
      <c r="L6999" s="2">
        <v>0</v>
      </c>
      <c r="M6999">
        <v>69.64</v>
      </c>
      <c r="N6999" t="s">
        <v>10236</v>
      </c>
    </row>
    <row r="7000" spans="1:14">
      <c r="A7000" t="s">
        <v>35</v>
      </c>
      <c r="B7000" t="s">
        <v>7057</v>
      </c>
      <c r="C7000">
        <f>"NO102ROJ"</f>
        <v>0</v>
      </c>
      <c r="D7000">
        <v>0</v>
      </c>
      <c r="E7000">
        <v>16</v>
      </c>
      <c r="F7000" s="2">
        <v>0</v>
      </c>
      <c r="H7000">
        <v>0</v>
      </c>
      <c r="I7000">
        <v>0.1741125760648204</v>
      </c>
      <c r="J7000">
        <v>0</v>
      </c>
      <c r="K7000">
        <v>0</v>
      </c>
      <c r="L7000" s="2">
        <v>0</v>
      </c>
      <c r="M7000">
        <v>69.65000000000001</v>
      </c>
      <c r="N7000" t="s">
        <v>10236</v>
      </c>
    </row>
    <row r="7001" spans="1:14">
      <c r="A7001" t="s">
        <v>35</v>
      </c>
      <c r="B7001" t="s">
        <v>7058</v>
      </c>
      <c r="C7001">
        <f>"NO102ROS"</f>
        <v>0</v>
      </c>
      <c r="D7001">
        <v>0</v>
      </c>
      <c r="E7001">
        <v>2</v>
      </c>
      <c r="F7001" s="2">
        <v>405</v>
      </c>
      <c r="H7001">
        <v>0</v>
      </c>
      <c r="I7001">
        <v>0.1741125760648204</v>
      </c>
      <c r="J7001">
        <v>0</v>
      </c>
      <c r="K7001">
        <v>0</v>
      </c>
      <c r="L7001" s="2">
        <v>0</v>
      </c>
      <c r="M7001">
        <v>69.66</v>
      </c>
      <c r="N7001" t="s">
        <v>10236</v>
      </c>
    </row>
    <row r="7002" spans="1:14">
      <c r="A7002" t="s">
        <v>35</v>
      </c>
      <c r="B7002" t="s">
        <v>7059</v>
      </c>
      <c r="C7002">
        <f>"NO102AZ"</f>
        <v>0</v>
      </c>
      <c r="D7002">
        <v>0</v>
      </c>
      <c r="E7002">
        <v>12</v>
      </c>
      <c r="F7002" s="2">
        <v>0</v>
      </c>
      <c r="H7002">
        <v>0</v>
      </c>
      <c r="I7002">
        <v>0.1741125760648204</v>
      </c>
      <c r="J7002">
        <v>0</v>
      </c>
      <c r="K7002">
        <v>0</v>
      </c>
      <c r="L7002" s="2">
        <v>0</v>
      </c>
      <c r="M7002">
        <v>69.67</v>
      </c>
      <c r="N7002" t="s">
        <v>10236</v>
      </c>
    </row>
    <row r="7003" spans="1:14">
      <c r="A7003" t="s">
        <v>35</v>
      </c>
      <c r="B7003" t="s">
        <v>7060</v>
      </c>
      <c r="C7003">
        <f>"NO102"</f>
        <v>0</v>
      </c>
      <c r="D7003">
        <v>0</v>
      </c>
      <c r="E7003">
        <v>0</v>
      </c>
      <c r="F7003" s="2">
        <v>0</v>
      </c>
      <c r="H7003">
        <v>0</v>
      </c>
      <c r="I7003">
        <v>0.1741125760648204</v>
      </c>
      <c r="J7003">
        <v>0</v>
      </c>
      <c r="K7003">
        <v>0</v>
      </c>
      <c r="L7003" s="2">
        <v>0</v>
      </c>
      <c r="M7003">
        <v>69.68000000000001</v>
      </c>
      <c r="N7003" t="s">
        <v>10236</v>
      </c>
    </row>
    <row r="7004" spans="1:14">
      <c r="A7004" t="s">
        <v>35</v>
      </c>
      <c r="B7004" t="s">
        <v>7061</v>
      </c>
      <c r="C7004">
        <f>"NO105"</f>
        <v>0</v>
      </c>
      <c r="D7004">
        <v>0</v>
      </c>
      <c r="E7004">
        <v>0</v>
      </c>
      <c r="F7004" s="2">
        <v>0</v>
      </c>
      <c r="H7004">
        <v>0</v>
      </c>
      <c r="I7004">
        <v>0.1741125760648204</v>
      </c>
      <c r="J7004">
        <v>0</v>
      </c>
      <c r="K7004">
        <v>0</v>
      </c>
      <c r="L7004" s="2">
        <v>0</v>
      </c>
      <c r="M7004">
        <v>69.69</v>
      </c>
      <c r="N7004" t="s">
        <v>10236</v>
      </c>
    </row>
    <row r="7005" spans="1:14">
      <c r="A7005" t="s">
        <v>35</v>
      </c>
      <c r="B7005" t="s">
        <v>7062</v>
      </c>
      <c r="C7005">
        <f>"LS152VE"</f>
        <v>0</v>
      </c>
      <c r="D7005">
        <v>0</v>
      </c>
      <c r="E7005">
        <v>1</v>
      </c>
      <c r="F7005" s="2">
        <v>4</v>
      </c>
      <c r="H7005">
        <v>0</v>
      </c>
      <c r="I7005">
        <v>0.1741125760648204</v>
      </c>
      <c r="J7005">
        <v>0</v>
      </c>
      <c r="K7005">
        <v>0</v>
      </c>
      <c r="L7005" s="2">
        <v>0</v>
      </c>
      <c r="M7005">
        <v>69.7</v>
      </c>
      <c r="N7005" t="s">
        <v>10236</v>
      </c>
    </row>
    <row r="7006" spans="1:14">
      <c r="A7006" t="s">
        <v>35</v>
      </c>
      <c r="B7006" t="s">
        <v>7063</v>
      </c>
      <c r="C7006">
        <f>"D163"</f>
        <v>0</v>
      </c>
      <c r="D7006">
        <v>0</v>
      </c>
      <c r="E7006">
        <v>9</v>
      </c>
      <c r="F7006" s="2">
        <v>4</v>
      </c>
      <c r="H7006">
        <v>0</v>
      </c>
      <c r="I7006">
        <v>0.1741125760648204</v>
      </c>
      <c r="J7006">
        <v>0</v>
      </c>
      <c r="K7006">
        <v>0</v>
      </c>
      <c r="L7006" s="2">
        <v>0</v>
      </c>
      <c r="M7006">
        <v>69.70999999999999</v>
      </c>
      <c r="N7006" t="s">
        <v>10236</v>
      </c>
    </row>
    <row r="7007" spans="1:14">
      <c r="A7007" t="s">
        <v>35</v>
      </c>
      <c r="B7007" t="s">
        <v>7064</v>
      </c>
      <c r="C7007">
        <f>"PT3117M"</f>
        <v>0</v>
      </c>
      <c r="D7007">
        <v>0</v>
      </c>
      <c r="E7007">
        <v>5</v>
      </c>
      <c r="F7007" s="2">
        <v>5</v>
      </c>
      <c r="H7007">
        <v>0</v>
      </c>
      <c r="I7007">
        <v>0.1741125760648204</v>
      </c>
      <c r="J7007">
        <v>0</v>
      </c>
      <c r="K7007">
        <v>0</v>
      </c>
      <c r="L7007" s="2">
        <v>0</v>
      </c>
      <c r="M7007">
        <v>69.72</v>
      </c>
      <c r="N7007" t="s">
        <v>10236</v>
      </c>
    </row>
    <row r="7008" spans="1:14">
      <c r="A7008" t="s">
        <v>35</v>
      </c>
      <c r="B7008" t="s">
        <v>7065</v>
      </c>
      <c r="C7008">
        <f>"PT3117XXL"</f>
        <v>0</v>
      </c>
      <c r="D7008">
        <v>0</v>
      </c>
      <c r="E7008">
        <v>3</v>
      </c>
      <c r="F7008" s="2">
        <v>5</v>
      </c>
      <c r="H7008">
        <v>0</v>
      </c>
      <c r="I7008">
        <v>0.1741125760648204</v>
      </c>
      <c r="J7008">
        <v>0</v>
      </c>
      <c r="K7008">
        <v>0</v>
      </c>
      <c r="L7008" s="2">
        <v>0</v>
      </c>
      <c r="M7008">
        <v>69.73</v>
      </c>
      <c r="N7008" t="s">
        <v>10236</v>
      </c>
    </row>
    <row r="7009" spans="1:14">
      <c r="A7009" t="s">
        <v>35</v>
      </c>
      <c r="B7009" t="s">
        <v>7066</v>
      </c>
      <c r="C7009">
        <f>"PT3117XL"</f>
        <v>0</v>
      </c>
      <c r="D7009">
        <v>0</v>
      </c>
      <c r="E7009">
        <v>3</v>
      </c>
      <c r="F7009" s="2">
        <v>5</v>
      </c>
      <c r="H7009">
        <v>0</v>
      </c>
      <c r="I7009">
        <v>0.1741125760648204</v>
      </c>
      <c r="J7009">
        <v>0</v>
      </c>
      <c r="K7009">
        <v>0</v>
      </c>
      <c r="L7009" s="2">
        <v>0</v>
      </c>
      <c r="M7009">
        <v>69.73</v>
      </c>
      <c r="N7009" t="s">
        <v>10236</v>
      </c>
    </row>
    <row r="7010" spans="1:14">
      <c r="A7010" t="s">
        <v>35</v>
      </c>
      <c r="B7010" t="s">
        <v>7067</v>
      </c>
      <c r="C7010">
        <f>"PT3117L"</f>
        <v>0</v>
      </c>
      <c r="D7010">
        <v>0</v>
      </c>
      <c r="E7010">
        <v>3</v>
      </c>
      <c r="F7010" s="2">
        <v>5</v>
      </c>
      <c r="H7010">
        <v>0</v>
      </c>
      <c r="I7010">
        <v>0.1741125760648204</v>
      </c>
      <c r="J7010">
        <v>0</v>
      </c>
      <c r="K7010">
        <v>0</v>
      </c>
      <c r="L7010" s="2">
        <v>0</v>
      </c>
      <c r="M7010">
        <v>69.73999999999999</v>
      </c>
      <c r="N7010" t="s">
        <v>10236</v>
      </c>
    </row>
    <row r="7011" spans="1:14">
      <c r="A7011" t="s">
        <v>35</v>
      </c>
      <c r="B7011" t="s">
        <v>7068</v>
      </c>
      <c r="C7011">
        <f>"6005053"</f>
        <v>0</v>
      </c>
      <c r="D7011">
        <v>0</v>
      </c>
      <c r="E7011">
        <v>0</v>
      </c>
      <c r="F7011" s="2">
        <v>0</v>
      </c>
      <c r="H7011">
        <v>0</v>
      </c>
      <c r="I7011">
        <v>0.1741125760648204</v>
      </c>
      <c r="J7011">
        <v>0</v>
      </c>
      <c r="K7011">
        <v>0</v>
      </c>
      <c r="L7011" s="2">
        <v>0</v>
      </c>
      <c r="M7011">
        <v>69.75</v>
      </c>
      <c r="N7011" t="s">
        <v>10236</v>
      </c>
    </row>
    <row r="7012" spans="1:14">
      <c r="A7012" t="s">
        <v>35</v>
      </c>
      <c r="B7012" t="s">
        <v>7069</v>
      </c>
      <c r="C7012">
        <f>"6005050"</f>
        <v>0</v>
      </c>
      <c r="D7012">
        <v>0</v>
      </c>
      <c r="E7012">
        <v>0</v>
      </c>
      <c r="F7012" s="2">
        <v>0</v>
      </c>
      <c r="H7012">
        <v>0</v>
      </c>
      <c r="I7012">
        <v>0.1741125760648204</v>
      </c>
      <c r="J7012">
        <v>0</v>
      </c>
      <c r="K7012">
        <v>0</v>
      </c>
      <c r="L7012" s="2">
        <v>0</v>
      </c>
      <c r="M7012">
        <v>69.76000000000001</v>
      </c>
      <c r="N7012" t="s">
        <v>10236</v>
      </c>
    </row>
    <row r="7013" spans="1:14">
      <c r="A7013" t="s">
        <v>35</v>
      </c>
      <c r="B7013" t="s">
        <v>7070</v>
      </c>
      <c r="C7013">
        <f>"6005051"</f>
        <v>0</v>
      </c>
      <c r="D7013">
        <v>0</v>
      </c>
      <c r="E7013">
        <v>0</v>
      </c>
      <c r="F7013" s="2">
        <v>0</v>
      </c>
      <c r="H7013">
        <v>0</v>
      </c>
      <c r="I7013">
        <v>0.1741125760648204</v>
      </c>
      <c r="J7013">
        <v>0</v>
      </c>
      <c r="K7013">
        <v>0</v>
      </c>
      <c r="L7013" s="2">
        <v>0</v>
      </c>
      <c r="M7013">
        <v>69.77</v>
      </c>
      <c r="N7013" t="s">
        <v>10236</v>
      </c>
    </row>
    <row r="7014" spans="1:14">
      <c r="A7014" t="s">
        <v>35</v>
      </c>
      <c r="B7014" t="s">
        <v>7071</v>
      </c>
      <c r="C7014">
        <f>"6005052"</f>
        <v>0</v>
      </c>
      <c r="D7014">
        <v>0</v>
      </c>
      <c r="E7014">
        <v>0</v>
      </c>
      <c r="F7014" s="2">
        <v>0</v>
      </c>
      <c r="H7014">
        <v>0</v>
      </c>
      <c r="I7014">
        <v>0.1741125760648204</v>
      </c>
      <c r="J7014">
        <v>0</v>
      </c>
      <c r="K7014">
        <v>0</v>
      </c>
      <c r="L7014" s="2">
        <v>0</v>
      </c>
      <c r="M7014">
        <v>69.78</v>
      </c>
      <c r="N7014" t="s">
        <v>10236</v>
      </c>
    </row>
    <row r="7015" spans="1:14">
      <c r="A7015" t="s">
        <v>35</v>
      </c>
      <c r="B7015" t="s">
        <v>7072</v>
      </c>
      <c r="C7015">
        <f>"6005055"</f>
        <v>0</v>
      </c>
      <c r="D7015">
        <v>0</v>
      </c>
      <c r="E7015">
        <v>0</v>
      </c>
      <c r="F7015" s="2">
        <v>0</v>
      </c>
      <c r="H7015">
        <v>0</v>
      </c>
      <c r="I7015">
        <v>0.1741125760648204</v>
      </c>
      <c r="J7015">
        <v>0</v>
      </c>
      <c r="K7015">
        <v>0</v>
      </c>
      <c r="L7015" s="2">
        <v>0</v>
      </c>
      <c r="M7015">
        <v>69.79000000000001</v>
      </c>
      <c r="N7015" t="s">
        <v>10236</v>
      </c>
    </row>
    <row r="7016" spans="1:14">
      <c r="A7016" t="s">
        <v>35</v>
      </c>
      <c r="B7016" t="s">
        <v>7073</v>
      </c>
      <c r="C7016">
        <f>"6005054"</f>
        <v>0</v>
      </c>
      <c r="D7016">
        <v>0</v>
      </c>
      <c r="E7016">
        <v>0</v>
      </c>
      <c r="F7016" s="2">
        <v>0</v>
      </c>
      <c r="H7016">
        <v>0</v>
      </c>
      <c r="I7016">
        <v>0.1741125760648204</v>
      </c>
      <c r="J7016">
        <v>0</v>
      </c>
      <c r="K7016">
        <v>0</v>
      </c>
      <c r="L7016" s="2">
        <v>0</v>
      </c>
      <c r="M7016">
        <v>69.8</v>
      </c>
      <c r="N7016" t="s">
        <v>10236</v>
      </c>
    </row>
    <row r="7017" spans="1:14">
      <c r="A7017" t="s">
        <v>35</v>
      </c>
      <c r="B7017" t="s">
        <v>7074</v>
      </c>
      <c r="C7017">
        <f>"6006080"</f>
        <v>0</v>
      </c>
      <c r="D7017">
        <v>0</v>
      </c>
      <c r="E7017">
        <v>1</v>
      </c>
      <c r="F7017" s="2">
        <v>2</v>
      </c>
      <c r="H7017">
        <v>0</v>
      </c>
      <c r="I7017">
        <v>0.1741125760648204</v>
      </c>
      <c r="J7017">
        <v>0</v>
      </c>
      <c r="K7017">
        <v>0</v>
      </c>
      <c r="L7017" s="2">
        <v>0</v>
      </c>
      <c r="M7017">
        <v>69.81</v>
      </c>
      <c r="N7017" t="s">
        <v>10236</v>
      </c>
    </row>
    <row r="7018" spans="1:14">
      <c r="A7018" t="s">
        <v>35</v>
      </c>
      <c r="B7018" t="s">
        <v>7075</v>
      </c>
      <c r="C7018">
        <f>"6006078"</f>
        <v>0</v>
      </c>
      <c r="D7018">
        <v>0</v>
      </c>
      <c r="E7018">
        <v>1</v>
      </c>
      <c r="F7018" s="2">
        <v>2</v>
      </c>
      <c r="H7018">
        <v>0</v>
      </c>
      <c r="I7018">
        <v>0.1741125760648204</v>
      </c>
      <c r="J7018">
        <v>0</v>
      </c>
      <c r="K7018">
        <v>0</v>
      </c>
      <c r="L7018" s="2">
        <v>0</v>
      </c>
      <c r="M7018">
        <v>69.81999999999999</v>
      </c>
      <c r="N7018" t="s">
        <v>10236</v>
      </c>
    </row>
    <row r="7019" spans="1:14">
      <c r="A7019" t="s">
        <v>35</v>
      </c>
      <c r="B7019" t="s">
        <v>7076</v>
      </c>
      <c r="C7019">
        <f>"6006079"</f>
        <v>0</v>
      </c>
      <c r="D7019">
        <v>0</v>
      </c>
      <c r="E7019">
        <v>1</v>
      </c>
      <c r="F7019" s="2">
        <v>2</v>
      </c>
      <c r="H7019">
        <v>0</v>
      </c>
      <c r="I7019">
        <v>0.1741125760648204</v>
      </c>
      <c r="J7019">
        <v>0</v>
      </c>
      <c r="K7019">
        <v>0</v>
      </c>
      <c r="L7019" s="2">
        <v>0</v>
      </c>
      <c r="M7019">
        <v>69.83</v>
      </c>
      <c r="N7019" t="s">
        <v>10236</v>
      </c>
    </row>
    <row r="7020" spans="1:14">
      <c r="A7020" t="s">
        <v>35</v>
      </c>
      <c r="B7020" t="s">
        <v>7077</v>
      </c>
      <c r="C7020">
        <f>"6006070"</f>
        <v>0</v>
      </c>
      <c r="D7020">
        <v>0</v>
      </c>
      <c r="E7020">
        <v>1</v>
      </c>
      <c r="F7020" s="2">
        <v>3</v>
      </c>
      <c r="H7020">
        <v>0</v>
      </c>
      <c r="I7020">
        <v>0.1741125760648204</v>
      </c>
      <c r="J7020">
        <v>0</v>
      </c>
      <c r="K7020">
        <v>0</v>
      </c>
      <c r="L7020" s="2">
        <v>0</v>
      </c>
      <c r="M7020">
        <v>69.84</v>
      </c>
      <c r="N7020" t="s">
        <v>10236</v>
      </c>
    </row>
    <row r="7021" spans="1:14">
      <c r="A7021" t="s">
        <v>35</v>
      </c>
      <c r="B7021" t="s">
        <v>7078</v>
      </c>
      <c r="C7021">
        <f>"2071M"</f>
        <v>0</v>
      </c>
      <c r="D7021">
        <v>0</v>
      </c>
      <c r="E7021">
        <v>1</v>
      </c>
      <c r="F7021" s="2">
        <v>6</v>
      </c>
      <c r="H7021">
        <v>0</v>
      </c>
      <c r="I7021">
        <v>0.1741125760648204</v>
      </c>
      <c r="J7021">
        <v>0</v>
      </c>
      <c r="K7021">
        <v>0</v>
      </c>
      <c r="L7021" s="2">
        <v>0</v>
      </c>
      <c r="M7021">
        <v>69.84999999999999</v>
      </c>
      <c r="N7021" t="s">
        <v>10236</v>
      </c>
    </row>
    <row r="7022" spans="1:14">
      <c r="A7022" t="s">
        <v>35</v>
      </c>
      <c r="B7022" t="s">
        <v>7079</v>
      </c>
      <c r="C7022">
        <f>"6006068"</f>
        <v>0</v>
      </c>
      <c r="D7022">
        <v>0</v>
      </c>
      <c r="E7022">
        <v>2</v>
      </c>
      <c r="F7022" s="2">
        <v>2</v>
      </c>
      <c r="H7022">
        <v>0</v>
      </c>
      <c r="I7022">
        <v>0.1741125760648204</v>
      </c>
      <c r="J7022">
        <v>0</v>
      </c>
      <c r="K7022">
        <v>0</v>
      </c>
      <c r="L7022" s="2">
        <v>0</v>
      </c>
      <c r="M7022">
        <v>69.84999999999999</v>
      </c>
      <c r="N7022" t="s">
        <v>10236</v>
      </c>
    </row>
    <row r="7023" spans="1:14">
      <c r="A7023" t="s">
        <v>35</v>
      </c>
      <c r="B7023" t="s">
        <v>7080</v>
      </c>
      <c r="C7023">
        <f>"6006067"</f>
        <v>0</v>
      </c>
      <c r="D7023">
        <v>0</v>
      </c>
      <c r="E7023">
        <v>1</v>
      </c>
      <c r="F7023" s="2">
        <v>2</v>
      </c>
      <c r="H7023">
        <v>0</v>
      </c>
      <c r="I7023">
        <v>0.1741125760648204</v>
      </c>
      <c r="J7023">
        <v>0</v>
      </c>
      <c r="K7023">
        <v>0</v>
      </c>
      <c r="L7023" s="2">
        <v>0</v>
      </c>
      <c r="M7023">
        <v>69.86</v>
      </c>
      <c r="N7023" t="s">
        <v>10236</v>
      </c>
    </row>
    <row r="7024" spans="1:14">
      <c r="A7024" t="s">
        <v>35</v>
      </c>
      <c r="B7024" t="s">
        <v>7081</v>
      </c>
      <c r="C7024">
        <f>"6006074"</f>
        <v>0</v>
      </c>
      <c r="D7024">
        <v>0</v>
      </c>
      <c r="E7024">
        <v>0</v>
      </c>
      <c r="F7024" s="2">
        <v>0</v>
      </c>
      <c r="H7024">
        <v>0</v>
      </c>
      <c r="I7024">
        <v>0.1741125760648204</v>
      </c>
      <c r="J7024">
        <v>0</v>
      </c>
      <c r="K7024">
        <v>0</v>
      </c>
      <c r="L7024" s="2">
        <v>0</v>
      </c>
      <c r="M7024">
        <v>69.87</v>
      </c>
      <c r="N7024" t="s">
        <v>10236</v>
      </c>
    </row>
    <row r="7025" spans="1:14">
      <c r="A7025" t="s">
        <v>207</v>
      </c>
      <c r="B7025" t="s">
        <v>7082</v>
      </c>
      <c r="C7025">
        <f>"AL65220M"</f>
        <v>0</v>
      </c>
      <c r="D7025">
        <v>0</v>
      </c>
      <c r="E7025">
        <v>9</v>
      </c>
      <c r="F7025" s="2">
        <v>2</v>
      </c>
      <c r="H7025">
        <v>0</v>
      </c>
      <c r="I7025">
        <v>0.1741125760648204</v>
      </c>
      <c r="J7025">
        <v>0</v>
      </c>
      <c r="K7025">
        <v>0</v>
      </c>
      <c r="L7025" s="2">
        <v>0</v>
      </c>
      <c r="M7025">
        <v>69.88</v>
      </c>
      <c r="N7025" t="s">
        <v>10236</v>
      </c>
    </row>
    <row r="7026" spans="1:14">
      <c r="A7026" t="s">
        <v>207</v>
      </c>
      <c r="B7026" t="s">
        <v>7083</v>
      </c>
      <c r="C7026">
        <f>"AL65220L"</f>
        <v>0</v>
      </c>
      <c r="D7026">
        <v>0</v>
      </c>
      <c r="E7026">
        <v>9</v>
      </c>
      <c r="F7026" s="2">
        <v>3</v>
      </c>
      <c r="H7026">
        <v>0</v>
      </c>
      <c r="I7026">
        <v>0.1741125760648204</v>
      </c>
      <c r="J7026">
        <v>0</v>
      </c>
      <c r="K7026">
        <v>0</v>
      </c>
      <c r="L7026" s="2">
        <v>0</v>
      </c>
      <c r="M7026">
        <v>69.89</v>
      </c>
      <c r="N7026" t="s">
        <v>10236</v>
      </c>
    </row>
    <row r="7027" spans="1:14">
      <c r="A7027" t="s">
        <v>35</v>
      </c>
      <c r="B7027" t="s">
        <v>7084</v>
      </c>
      <c r="C7027">
        <f>"6006075"</f>
        <v>0</v>
      </c>
      <c r="D7027">
        <v>0</v>
      </c>
      <c r="E7027">
        <v>1</v>
      </c>
      <c r="F7027" s="2">
        <v>4</v>
      </c>
      <c r="H7027">
        <v>0</v>
      </c>
      <c r="I7027">
        <v>0.1741125760648204</v>
      </c>
      <c r="J7027">
        <v>0</v>
      </c>
      <c r="K7027">
        <v>0</v>
      </c>
      <c r="L7027" s="2">
        <v>0</v>
      </c>
      <c r="M7027">
        <v>69.90000000000001</v>
      </c>
      <c r="N7027" t="s">
        <v>10236</v>
      </c>
    </row>
    <row r="7028" spans="1:14">
      <c r="A7028" t="s">
        <v>35</v>
      </c>
      <c r="B7028" t="s">
        <v>7085</v>
      </c>
      <c r="C7028">
        <f>"6006084"</f>
        <v>0</v>
      </c>
      <c r="D7028">
        <v>0</v>
      </c>
      <c r="E7028">
        <v>1</v>
      </c>
      <c r="F7028" s="2">
        <v>3</v>
      </c>
      <c r="H7028">
        <v>0</v>
      </c>
      <c r="I7028">
        <v>0.1741125760648204</v>
      </c>
      <c r="J7028">
        <v>0</v>
      </c>
      <c r="K7028">
        <v>0</v>
      </c>
      <c r="L7028" s="2">
        <v>0</v>
      </c>
      <c r="M7028">
        <v>69.91</v>
      </c>
      <c r="N7028" t="s">
        <v>10236</v>
      </c>
    </row>
    <row r="7029" spans="1:14">
      <c r="A7029" t="s">
        <v>35</v>
      </c>
      <c r="B7029" t="s">
        <v>7086</v>
      </c>
      <c r="C7029">
        <f>"6006085"</f>
        <v>0</v>
      </c>
      <c r="D7029">
        <v>0</v>
      </c>
      <c r="E7029">
        <v>0</v>
      </c>
      <c r="F7029" s="2">
        <v>0</v>
      </c>
      <c r="H7029">
        <v>0</v>
      </c>
      <c r="I7029">
        <v>0.1741125760648204</v>
      </c>
      <c r="J7029">
        <v>0</v>
      </c>
      <c r="K7029">
        <v>0</v>
      </c>
      <c r="L7029" s="2">
        <v>0</v>
      </c>
      <c r="M7029">
        <v>69.92</v>
      </c>
      <c r="N7029" t="s">
        <v>10236</v>
      </c>
    </row>
    <row r="7030" spans="1:14">
      <c r="A7030" t="s">
        <v>35</v>
      </c>
      <c r="B7030" t="s">
        <v>7087</v>
      </c>
      <c r="C7030">
        <f>"6006086"</f>
        <v>0</v>
      </c>
      <c r="D7030">
        <v>0</v>
      </c>
      <c r="E7030">
        <v>0</v>
      </c>
      <c r="F7030" s="2">
        <v>0</v>
      </c>
      <c r="H7030">
        <v>0</v>
      </c>
      <c r="I7030">
        <v>0.1741125760648204</v>
      </c>
      <c r="J7030">
        <v>0</v>
      </c>
      <c r="K7030">
        <v>0</v>
      </c>
      <c r="L7030" s="2">
        <v>0</v>
      </c>
      <c r="M7030">
        <v>69.93000000000001</v>
      </c>
      <c r="N7030" t="s">
        <v>10236</v>
      </c>
    </row>
    <row r="7031" spans="1:14">
      <c r="A7031" t="s">
        <v>35</v>
      </c>
      <c r="B7031" t="s">
        <v>7088</v>
      </c>
      <c r="C7031">
        <f>"6006081"</f>
        <v>0</v>
      </c>
      <c r="D7031">
        <v>0</v>
      </c>
      <c r="E7031">
        <v>0</v>
      </c>
      <c r="F7031" s="2">
        <v>0</v>
      </c>
      <c r="H7031">
        <v>0</v>
      </c>
      <c r="I7031">
        <v>0.1741125760648204</v>
      </c>
      <c r="J7031">
        <v>0</v>
      </c>
      <c r="K7031">
        <v>0</v>
      </c>
      <c r="L7031" s="2">
        <v>0</v>
      </c>
      <c r="M7031">
        <v>69.94</v>
      </c>
      <c r="N7031" t="s">
        <v>10236</v>
      </c>
    </row>
    <row r="7032" spans="1:14">
      <c r="A7032" t="s">
        <v>35</v>
      </c>
      <c r="B7032" t="s">
        <v>7089</v>
      </c>
      <c r="C7032">
        <f>"6006082"</f>
        <v>0</v>
      </c>
      <c r="D7032">
        <v>0</v>
      </c>
      <c r="E7032">
        <v>1</v>
      </c>
      <c r="F7032" s="2">
        <v>4</v>
      </c>
      <c r="H7032">
        <v>0</v>
      </c>
      <c r="I7032">
        <v>0.1741125760648204</v>
      </c>
      <c r="J7032">
        <v>0</v>
      </c>
      <c r="K7032">
        <v>0</v>
      </c>
      <c r="L7032" s="2">
        <v>0</v>
      </c>
      <c r="M7032">
        <v>69.95</v>
      </c>
      <c r="N7032" t="s">
        <v>10236</v>
      </c>
    </row>
    <row r="7033" spans="1:14">
      <c r="A7033" t="s">
        <v>35</v>
      </c>
      <c r="B7033" t="s">
        <v>7090</v>
      </c>
      <c r="C7033">
        <f>"6006083"</f>
        <v>0</v>
      </c>
      <c r="D7033">
        <v>0</v>
      </c>
      <c r="E7033">
        <v>0</v>
      </c>
      <c r="F7033" s="2">
        <v>0</v>
      </c>
      <c r="H7033">
        <v>0</v>
      </c>
      <c r="I7033">
        <v>0.1741125760648204</v>
      </c>
      <c r="J7033">
        <v>0</v>
      </c>
      <c r="K7033">
        <v>0</v>
      </c>
      <c r="L7033" s="2">
        <v>0</v>
      </c>
      <c r="M7033">
        <v>69.95999999999999</v>
      </c>
      <c r="N7033" t="s">
        <v>10236</v>
      </c>
    </row>
    <row r="7034" spans="1:14">
      <c r="A7034" t="s">
        <v>216</v>
      </c>
      <c r="B7034" t="s">
        <v>7091</v>
      </c>
      <c r="C7034">
        <f>"1583594312833"</f>
        <v>0</v>
      </c>
      <c r="D7034">
        <v>0</v>
      </c>
      <c r="E7034">
        <v>0</v>
      </c>
      <c r="F7034" s="2">
        <v>0</v>
      </c>
      <c r="H7034">
        <v>0</v>
      </c>
      <c r="I7034">
        <v>0.1741125760648204</v>
      </c>
      <c r="J7034">
        <v>0</v>
      </c>
      <c r="K7034">
        <v>0</v>
      </c>
      <c r="L7034" s="2">
        <v>0</v>
      </c>
      <c r="M7034">
        <v>69.95999999999999</v>
      </c>
      <c r="N7034" t="s">
        <v>10236</v>
      </c>
    </row>
    <row r="7035" spans="1:14">
      <c r="A7035" t="s">
        <v>29</v>
      </c>
      <c r="B7035" t="s">
        <v>7092</v>
      </c>
      <c r="C7035">
        <f>"DISCUSGRAND"</f>
        <v>0</v>
      </c>
      <c r="D7035">
        <v>0</v>
      </c>
      <c r="E7035">
        <v>0</v>
      </c>
      <c r="F7035" s="2">
        <v>0</v>
      </c>
      <c r="H7035">
        <v>0</v>
      </c>
      <c r="I7035">
        <v>0.1741125760648204</v>
      </c>
      <c r="J7035">
        <v>0</v>
      </c>
      <c r="K7035">
        <v>0</v>
      </c>
      <c r="L7035" s="2">
        <v>0</v>
      </c>
      <c r="M7035">
        <v>69.97</v>
      </c>
      <c r="N7035" t="s">
        <v>10236</v>
      </c>
    </row>
    <row r="7036" spans="1:14">
      <c r="A7036" t="s">
        <v>29</v>
      </c>
      <c r="B7036" t="s">
        <v>7093</v>
      </c>
      <c r="C7036">
        <f>"DISCUSGRANWILD"</f>
        <v>0</v>
      </c>
      <c r="D7036">
        <v>0</v>
      </c>
      <c r="E7036">
        <v>0</v>
      </c>
      <c r="F7036" s="2">
        <v>0</v>
      </c>
      <c r="H7036">
        <v>0</v>
      </c>
      <c r="I7036">
        <v>0.1741125760648204</v>
      </c>
      <c r="J7036">
        <v>0</v>
      </c>
      <c r="K7036">
        <v>0</v>
      </c>
      <c r="L7036" s="2">
        <v>0</v>
      </c>
      <c r="M7036">
        <v>69.98</v>
      </c>
      <c r="N7036" t="s">
        <v>10236</v>
      </c>
    </row>
    <row r="7037" spans="1:14">
      <c r="A7037" t="s">
        <v>35</v>
      </c>
      <c r="B7037" t="s">
        <v>7094</v>
      </c>
      <c r="C7037">
        <f>"6006069"</f>
        <v>0</v>
      </c>
      <c r="D7037">
        <v>0</v>
      </c>
      <c r="E7037">
        <v>1</v>
      </c>
      <c r="F7037" s="2">
        <v>2</v>
      </c>
      <c r="H7037">
        <v>0</v>
      </c>
      <c r="I7037">
        <v>0.1741125760648204</v>
      </c>
      <c r="J7037">
        <v>0</v>
      </c>
      <c r="K7037">
        <v>0</v>
      </c>
      <c r="L7037" s="2">
        <v>0</v>
      </c>
      <c r="M7037">
        <v>69.98999999999999</v>
      </c>
      <c r="N7037" t="s">
        <v>10236</v>
      </c>
    </row>
    <row r="7038" spans="1:14">
      <c r="A7038" t="s">
        <v>35</v>
      </c>
      <c r="B7038" t="s">
        <v>7095</v>
      </c>
      <c r="C7038">
        <f>"2071XXL"</f>
        <v>0</v>
      </c>
      <c r="D7038">
        <v>0</v>
      </c>
      <c r="E7038">
        <v>0</v>
      </c>
      <c r="F7038" s="2">
        <v>0</v>
      </c>
      <c r="H7038">
        <v>0</v>
      </c>
      <c r="I7038">
        <v>0.1741125760648204</v>
      </c>
      <c r="J7038">
        <v>0</v>
      </c>
      <c r="K7038">
        <v>0</v>
      </c>
      <c r="L7038" s="2">
        <v>0</v>
      </c>
      <c r="M7038">
        <v>70</v>
      </c>
      <c r="N7038" t="s">
        <v>10236</v>
      </c>
    </row>
    <row r="7039" spans="1:14">
      <c r="A7039" t="s">
        <v>35</v>
      </c>
      <c r="B7039" t="s">
        <v>7096</v>
      </c>
      <c r="C7039">
        <f>"2071XL"</f>
        <v>0</v>
      </c>
      <c r="D7039">
        <v>0</v>
      </c>
      <c r="E7039">
        <v>1</v>
      </c>
      <c r="F7039" s="2">
        <v>6</v>
      </c>
      <c r="H7039">
        <v>0</v>
      </c>
      <c r="I7039">
        <v>0.1741125760648204</v>
      </c>
      <c r="J7039">
        <v>0</v>
      </c>
      <c r="K7039">
        <v>0</v>
      </c>
      <c r="L7039" s="2">
        <v>0</v>
      </c>
      <c r="M7039">
        <v>70.01000000000001</v>
      </c>
      <c r="N7039" t="s">
        <v>10236</v>
      </c>
    </row>
    <row r="7040" spans="1:14">
      <c r="A7040" t="s">
        <v>35</v>
      </c>
      <c r="B7040" t="s">
        <v>7097</v>
      </c>
      <c r="C7040">
        <f>"2071L"</f>
        <v>0</v>
      </c>
      <c r="D7040">
        <v>0</v>
      </c>
      <c r="E7040">
        <v>3</v>
      </c>
      <c r="F7040" s="2">
        <v>7</v>
      </c>
      <c r="H7040">
        <v>0</v>
      </c>
      <c r="I7040">
        <v>0.1741125760648204</v>
      </c>
      <c r="J7040">
        <v>0</v>
      </c>
      <c r="K7040">
        <v>0</v>
      </c>
      <c r="L7040" s="2">
        <v>0</v>
      </c>
      <c r="M7040">
        <v>70.02</v>
      </c>
      <c r="N7040" t="s">
        <v>10236</v>
      </c>
    </row>
    <row r="7041" spans="1:14">
      <c r="A7041" t="s">
        <v>35</v>
      </c>
      <c r="B7041" t="s">
        <v>7098</v>
      </c>
      <c r="C7041">
        <f>"XQ340S"</f>
        <v>0</v>
      </c>
      <c r="D7041">
        <v>0</v>
      </c>
      <c r="E7041">
        <v>2</v>
      </c>
      <c r="F7041" s="2">
        <v>2</v>
      </c>
      <c r="H7041">
        <v>0</v>
      </c>
      <c r="I7041">
        <v>0.1741125760648204</v>
      </c>
      <c r="J7041">
        <v>0</v>
      </c>
      <c r="K7041">
        <v>0</v>
      </c>
      <c r="L7041" s="2">
        <v>0</v>
      </c>
      <c r="M7041">
        <v>70.03</v>
      </c>
      <c r="N7041" t="s">
        <v>10236</v>
      </c>
    </row>
    <row r="7042" spans="1:14">
      <c r="A7042" t="s">
        <v>35</v>
      </c>
      <c r="B7042" t="s">
        <v>7099</v>
      </c>
      <c r="C7042">
        <f>"XQ340M"</f>
        <v>0</v>
      </c>
      <c r="D7042">
        <v>0</v>
      </c>
      <c r="E7042">
        <v>2</v>
      </c>
      <c r="F7042" s="2">
        <v>3</v>
      </c>
      <c r="H7042">
        <v>0</v>
      </c>
      <c r="I7042">
        <v>0.1741125760648204</v>
      </c>
      <c r="J7042">
        <v>0</v>
      </c>
      <c r="K7042">
        <v>0</v>
      </c>
      <c r="L7042" s="2">
        <v>0</v>
      </c>
      <c r="M7042">
        <v>70.04000000000001</v>
      </c>
      <c r="N7042" t="s">
        <v>10236</v>
      </c>
    </row>
    <row r="7043" spans="1:14">
      <c r="A7043" t="s">
        <v>35</v>
      </c>
      <c r="B7043" t="s">
        <v>7100</v>
      </c>
      <c r="C7043">
        <f>"XQ340XL"</f>
        <v>0</v>
      </c>
      <c r="D7043">
        <v>0</v>
      </c>
      <c r="E7043">
        <v>5</v>
      </c>
      <c r="F7043" s="2">
        <v>3</v>
      </c>
      <c r="H7043">
        <v>0</v>
      </c>
      <c r="I7043">
        <v>0.1741125760648204</v>
      </c>
      <c r="J7043">
        <v>0</v>
      </c>
      <c r="K7043">
        <v>0</v>
      </c>
      <c r="L7043" s="2">
        <v>0</v>
      </c>
      <c r="M7043">
        <v>70.05</v>
      </c>
      <c r="N7043" t="s">
        <v>10236</v>
      </c>
    </row>
    <row r="7044" spans="1:14">
      <c r="A7044" t="s">
        <v>35</v>
      </c>
      <c r="B7044" t="s">
        <v>7101</v>
      </c>
      <c r="C7044">
        <f>"XQ340L"</f>
        <v>0</v>
      </c>
      <c r="D7044">
        <v>0</v>
      </c>
      <c r="E7044">
        <v>3</v>
      </c>
      <c r="F7044" s="2">
        <v>3</v>
      </c>
      <c r="H7044">
        <v>0</v>
      </c>
      <c r="I7044">
        <v>0.1741125760648204</v>
      </c>
      <c r="J7044">
        <v>0</v>
      </c>
      <c r="K7044">
        <v>0</v>
      </c>
      <c r="L7044" s="2">
        <v>0</v>
      </c>
      <c r="M7044">
        <v>70.06</v>
      </c>
      <c r="N7044" t="s">
        <v>10236</v>
      </c>
    </row>
    <row r="7045" spans="1:14">
      <c r="A7045" t="s">
        <v>35</v>
      </c>
      <c r="B7045" t="s">
        <v>7102</v>
      </c>
      <c r="C7045">
        <f>"15423XS"</f>
        <v>0</v>
      </c>
      <c r="D7045">
        <v>0</v>
      </c>
      <c r="E7045">
        <v>2</v>
      </c>
      <c r="F7045" s="2">
        <v>6</v>
      </c>
      <c r="H7045">
        <v>0</v>
      </c>
      <c r="I7045">
        <v>0.1741125760648204</v>
      </c>
      <c r="J7045">
        <v>0</v>
      </c>
      <c r="K7045">
        <v>0</v>
      </c>
      <c r="L7045" s="2">
        <v>0</v>
      </c>
      <c r="M7045">
        <v>70.06999999999999</v>
      </c>
      <c r="N7045" t="s">
        <v>10236</v>
      </c>
    </row>
    <row r="7046" spans="1:14">
      <c r="A7046" t="s">
        <v>35</v>
      </c>
      <c r="B7046" t="s">
        <v>7103</v>
      </c>
      <c r="C7046">
        <f>"15423S"</f>
        <v>0</v>
      </c>
      <c r="D7046">
        <v>0</v>
      </c>
      <c r="E7046">
        <v>4</v>
      </c>
      <c r="F7046" s="2">
        <v>6</v>
      </c>
      <c r="H7046">
        <v>0</v>
      </c>
      <c r="I7046">
        <v>0.1741125760648204</v>
      </c>
      <c r="J7046">
        <v>0</v>
      </c>
      <c r="K7046">
        <v>0</v>
      </c>
      <c r="L7046" s="2">
        <v>0</v>
      </c>
      <c r="M7046">
        <v>70.08</v>
      </c>
      <c r="N7046" t="s">
        <v>10236</v>
      </c>
    </row>
    <row r="7047" spans="1:14">
      <c r="A7047" t="s">
        <v>35</v>
      </c>
      <c r="B7047" t="s">
        <v>7104</v>
      </c>
      <c r="C7047">
        <f>"15423M"</f>
        <v>0</v>
      </c>
      <c r="D7047">
        <v>0</v>
      </c>
      <c r="E7047">
        <v>6</v>
      </c>
      <c r="F7047" s="2">
        <v>6</v>
      </c>
      <c r="H7047">
        <v>0</v>
      </c>
      <c r="I7047">
        <v>0.1741125760648204</v>
      </c>
      <c r="J7047">
        <v>0</v>
      </c>
      <c r="K7047">
        <v>0</v>
      </c>
      <c r="L7047" s="2">
        <v>0</v>
      </c>
      <c r="M7047">
        <v>70.08</v>
      </c>
      <c r="N7047" t="s">
        <v>10236</v>
      </c>
    </row>
    <row r="7048" spans="1:14">
      <c r="A7048" t="s">
        <v>35</v>
      </c>
      <c r="B7048" t="s">
        <v>7105</v>
      </c>
      <c r="C7048">
        <f>"15423XXL"</f>
        <v>0</v>
      </c>
      <c r="D7048">
        <v>0</v>
      </c>
      <c r="E7048">
        <v>3</v>
      </c>
      <c r="F7048" s="2">
        <v>7</v>
      </c>
      <c r="H7048">
        <v>0</v>
      </c>
      <c r="I7048">
        <v>0.1741125760648204</v>
      </c>
      <c r="J7048">
        <v>0</v>
      </c>
      <c r="K7048">
        <v>0</v>
      </c>
      <c r="L7048" s="2">
        <v>0</v>
      </c>
      <c r="M7048">
        <v>70.09</v>
      </c>
      <c r="N7048" t="s">
        <v>10236</v>
      </c>
    </row>
    <row r="7049" spans="1:14">
      <c r="A7049" t="s">
        <v>35</v>
      </c>
      <c r="B7049" t="s">
        <v>7106</v>
      </c>
      <c r="C7049">
        <f>"15423XL"</f>
        <v>0</v>
      </c>
      <c r="D7049">
        <v>0</v>
      </c>
      <c r="E7049">
        <v>4</v>
      </c>
      <c r="F7049" s="2">
        <v>7</v>
      </c>
      <c r="H7049">
        <v>0</v>
      </c>
      <c r="I7049">
        <v>0.1741125760648204</v>
      </c>
      <c r="J7049">
        <v>0</v>
      </c>
      <c r="K7049">
        <v>0</v>
      </c>
      <c r="L7049" s="2">
        <v>0</v>
      </c>
      <c r="M7049">
        <v>70.09999999999999</v>
      </c>
      <c r="N7049" t="s">
        <v>10236</v>
      </c>
    </row>
    <row r="7050" spans="1:14">
      <c r="A7050" t="s">
        <v>35</v>
      </c>
      <c r="B7050" t="s">
        <v>7107</v>
      </c>
      <c r="C7050">
        <f>"15423L"</f>
        <v>0</v>
      </c>
      <c r="D7050">
        <v>0</v>
      </c>
      <c r="E7050">
        <v>6</v>
      </c>
      <c r="F7050" s="2">
        <v>7</v>
      </c>
      <c r="H7050">
        <v>0</v>
      </c>
      <c r="I7050">
        <v>0.1741125760648204</v>
      </c>
      <c r="J7050">
        <v>0</v>
      </c>
      <c r="K7050">
        <v>0</v>
      </c>
      <c r="L7050" s="2">
        <v>0</v>
      </c>
      <c r="M7050">
        <v>70.11</v>
      </c>
      <c r="N7050" t="s">
        <v>10236</v>
      </c>
    </row>
    <row r="7051" spans="1:14">
      <c r="A7051" t="s">
        <v>35</v>
      </c>
      <c r="B7051" t="s">
        <v>7108</v>
      </c>
      <c r="C7051">
        <f>"6006073"</f>
        <v>0</v>
      </c>
      <c r="D7051">
        <v>0</v>
      </c>
      <c r="E7051">
        <v>0</v>
      </c>
      <c r="F7051" s="2">
        <v>0</v>
      </c>
      <c r="H7051">
        <v>0</v>
      </c>
      <c r="I7051">
        <v>0.1741125760648204</v>
      </c>
      <c r="J7051">
        <v>0</v>
      </c>
      <c r="K7051">
        <v>0</v>
      </c>
      <c r="L7051" s="2">
        <v>0</v>
      </c>
      <c r="M7051">
        <v>70.12</v>
      </c>
      <c r="N7051" t="s">
        <v>10236</v>
      </c>
    </row>
    <row r="7052" spans="1:14">
      <c r="A7052" t="s">
        <v>35</v>
      </c>
      <c r="B7052" t="s">
        <v>7109</v>
      </c>
      <c r="C7052">
        <f>"PT3117S"</f>
        <v>0</v>
      </c>
      <c r="D7052">
        <v>0</v>
      </c>
      <c r="E7052">
        <v>3</v>
      </c>
      <c r="F7052" s="2">
        <v>4</v>
      </c>
      <c r="H7052">
        <v>0</v>
      </c>
      <c r="I7052">
        <v>0.1741125760648204</v>
      </c>
      <c r="J7052">
        <v>0</v>
      </c>
      <c r="K7052">
        <v>0</v>
      </c>
      <c r="L7052" s="2">
        <v>0</v>
      </c>
      <c r="M7052">
        <v>70.13</v>
      </c>
      <c r="N7052" t="s">
        <v>10236</v>
      </c>
    </row>
    <row r="7053" spans="1:14">
      <c r="A7053" t="s">
        <v>35</v>
      </c>
      <c r="B7053" t="s">
        <v>7110</v>
      </c>
      <c r="C7053">
        <f>"6006071"</f>
        <v>0</v>
      </c>
      <c r="D7053">
        <v>0</v>
      </c>
      <c r="E7053">
        <v>0</v>
      </c>
      <c r="F7053" s="2">
        <v>0</v>
      </c>
      <c r="H7053">
        <v>0</v>
      </c>
      <c r="I7053">
        <v>0.1741125760648204</v>
      </c>
      <c r="J7053">
        <v>0</v>
      </c>
      <c r="K7053">
        <v>0</v>
      </c>
      <c r="L7053" s="2">
        <v>0</v>
      </c>
      <c r="M7053">
        <v>70.14</v>
      </c>
      <c r="N7053" t="s">
        <v>10236</v>
      </c>
    </row>
    <row r="7054" spans="1:14">
      <c r="A7054" t="s">
        <v>35</v>
      </c>
      <c r="B7054" t="s">
        <v>7111</v>
      </c>
      <c r="C7054">
        <f>"6006076"</f>
        <v>0</v>
      </c>
      <c r="D7054">
        <v>0</v>
      </c>
      <c r="E7054">
        <v>1</v>
      </c>
      <c r="F7054" s="2">
        <v>2</v>
      </c>
      <c r="H7054">
        <v>0</v>
      </c>
      <c r="I7054">
        <v>0.1741125760648204</v>
      </c>
      <c r="J7054">
        <v>0</v>
      </c>
      <c r="K7054">
        <v>0</v>
      </c>
      <c r="L7054" s="2">
        <v>0</v>
      </c>
      <c r="M7054">
        <v>70.15000000000001</v>
      </c>
      <c r="N7054" t="s">
        <v>10236</v>
      </c>
    </row>
    <row r="7055" spans="1:14">
      <c r="A7055" t="s">
        <v>35</v>
      </c>
      <c r="B7055" t="s">
        <v>7112</v>
      </c>
      <c r="C7055">
        <f>"XQ31XS"</f>
        <v>0</v>
      </c>
      <c r="D7055">
        <v>0</v>
      </c>
      <c r="E7055">
        <v>17</v>
      </c>
      <c r="F7055" s="2">
        <v>1</v>
      </c>
      <c r="H7055">
        <v>0</v>
      </c>
      <c r="I7055">
        <v>0.1741125760648204</v>
      </c>
      <c r="J7055">
        <v>0</v>
      </c>
      <c r="K7055">
        <v>0</v>
      </c>
      <c r="L7055" s="2">
        <v>0</v>
      </c>
      <c r="M7055">
        <v>70.16</v>
      </c>
      <c r="N7055" t="s">
        <v>10236</v>
      </c>
    </row>
    <row r="7056" spans="1:14">
      <c r="A7056" t="s">
        <v>35</v>
      </c>
      <c r="B7056" t="s">
        <v>7113</v>
      </c>
      <c r="C7056">
        <f>"XQ31S"</f>
        <v>0</v>
      </c>
      <c r="D7056">
        <v>0</v>
      </c>
      <c r="E7056">
        <v>17</v>
      </c>
      <c r="F7056" s="2">
        <v>1</v>
      </c>
      <c r="H7056">
        <v>0</v>
      </c>
      <c r="I7056">
        <v>0.1741125760648204</v>
      </c>
      <c r="J7056">
        <v>0</v>
      </c>
      <c r="K7056">
        <v>0</v>
      </c>
      <c r="L7056" s="2">
        <v>0</v>
      </c>
      <c r="M7056">
        <v>70.17</v>
      </c>
      <c r="N7056" t="s">
        <v>10236</v>
      </c>
    </row>
    <row r="7057" spans="1:14">
      <c r="A7057" t="s">
        <v>35</v>
      </c>
      <c r="B7057" t="s">
        <v>7114</v>
      </c>
      <c r="C7057">
        <f>"XQ31M"</f>
        <v>0</v>
      </c>
      <c r="D7057">
        <v>0</v>
      </c>
      <c r="E7057">
        <v>10</v>
      </c>
      <c r="F7057" s="2">
        <v>1</v>
      </c>
      <c r="H7057">
        <v>0</v>
      </c>
      <c r="I7057">
        <v>0.1741125760648204</v>
      </c>
      <c r="J7057">
        <v>0</v>
      </c>
      <c r="K7057">
        <v>0</v>
      </c>
      <c r="L7057" s="2">
        <v>0</v>
      </c>
      <c r="M7057">
        <v>70.18000000000001</v>
      </c>
      <c r="N7057" t="s">
        <v>10236</v>
      </c>
    </row>
    <row r="7058" spans="1:14">
      <c r="A7058" t="s">
        <v>35</v>
      </c>
      <c r="B7058" t="s">
        <v>7115</v>
      </c>
      <c r="C7058">
        <f>"XQ31XXL"</f>
        <v>0</v>
      </c>
      <c r="D7058">
        <v>0</v>
      </c>
      <c r="E7058">
        <v>5</v>
      </c>
      <c r="F7058" s="2">
        <v>2</v>
      </c>
      <c r="H7058">
        <v>0</v>
      </c>
      <c r="I7058">
        <v>0.1741125760648204</v>
      </c>
      <c r="J7058">
        <v>0</v>
      </c>
      <c r="K7058">
        <v>0</v>
      </c>
      <c r="L7058" s="2">
        <v>0</v>
      </c>
      <c r="M7058">
        <v>70.19</v>
      </c>
      <c r="N7058" t="s">
        <v>10236</v>
      </c>
    </row>
    <row r="7059" spans="1:14">
      <c r="A7059" t="s">
        <v>35</v>
      </c>
      <c r="B7059" t="s">
        <v>7116</v>
      </c>
      <c r="C7059">
        <f>"XQ31XL"</f>
        <v>0</v>
      </c>
      <c r="D7059">
        <v>0</v>
      </c>
      <c r="E7059">
        <v>35</v>
      </c>
      <c r="F7059" s="2">
        <v>2</v>
      </c>
      <c r="H7059">
        <v>0</v>
      </c>
      <c r="I7059">
        <v>0.1741125760648204</v>
      </c>
      <c r="J7059">
        <v>0</v>
      </c>
      <c r="K7059">
        <v>0</v>
      </c>
      <c r="L7059" s="2">
        <v>0</v>
      </c>
      <c r="M7059">
        <v>70.2</v>
      </c>
      <c r="N7059" t="s">
        <v>10236</v>
      </c>
    </row>
    <row r="7060" spans="1:14">
      <c r="A7060" t="s">
        <v>35</v>
      </c>
      <c r="B7060" t="s">
        <v>7117</v>
      </c>
      <c r="C7060">
        <f>"3117CXS"</f>
        <v>0</v>
      </c>
      <c r="D7060">
        <v>0</v>
      </c>
      <c r="E7060">
        <v>3</v>
      </c>
      <c r="F7060" s="2">
        <v>5</v>
      </c>
      <c r="H7060">
        <v>0</v>
      </c>
      <c r="I7060">
        <v>0.1741125760648204</v>
      </c>
      <c r="J7060">
        <v>0</v>
      </c>
      <c r="K7060">
        <v>0</v>
      </c>
      <c r="L7060" s="2">
        <v>0</v>
      </c>
      <c r="M7060">
        <v>70.2</v>
      </c>
      <c r="N7060" t="s">
        <v>10236</v>
      </c>
    </row>
    <row r="7061" spans="1:14">
      <c r="A7061" t="s">
        <v>35</v>
      </c>
      <c r="B7061" t="s">
        <v>7118</v>
      </c>
      <c r="C7061">
        <f>"3117CS"</f>
        <v>0</v>
      </c>
      <c r="D7061">
        <v>0</v>
      </c>
      <c r="E7061">
        <v>5</v>
      </c>
      <c r="F7061" s="2">
        <v>5</v>
      </c>
      <c r="H7061">
        <v>0</v>
      </c>
      <c r="I7061">
        <v>0.1741125760648204</v>
      </c>
      <c r="J7061">
        <v>0</v>
      </c>
      <c r="K7061">
        <v>0</v>
      </c>
      <c r="L7061" s="2">
        <v>0</v>
      </c>
      <c r="M7061">
        <v>70.20999999999999</v>
      </c>
      <c r="N7061" t="s">
        <v>10236</v>
      </c>
    </row>
    <row r="7062" spans="1:14">
      <c r="A7062" t="s">
        <v>35</v>
      </c>
      <c r="B7062" t="s">
        <v>7119</v>
      </c>
      <c r="C7062">
        <f>"3117CM"</f>
        <v>0</v>
      </c>
      <c r="D7062">
        <v>0</v>
      </c>
      <c r="E7062">
        <v>3</v>
      </c>
      <c r="F7062" s="2">
        <v>5</v>
      </c>
      <c r="H7062">
        <v>0</v>
      </c>
      <c r="I7062">
        <v>0.1741125760648204</v>
      </c>
      <c r="J7062">
        <v>0</v>
      </c>
      <c r="K7062">
        <v>0</v>
      </c>
      <c r="L7062" s="2">
        <v>0</v>
      </c>
      <c r="M7062">
        <v>70.22</v>
      </c>
      <c r="N7062" t="s">
        <v>10236</v>
      </c>
    </row>
    <row r="7063" spans="1:14">
      <c r="A7063" t="s">
        <v>35</v>
      </c>
      <c r="B7063" t="s">
        <v>7120</v>
      </c>
      <c r="C7063">
        <f>"3117CXXL"</f>
        <v>0</v>
      </c>
      <c r="D7063">
        <v>0</v>
      </c>
      <c r="E7063">
        <v>1</v>
      </c>
      <c r="F7063" s="2">
        <v>6</v>
      </c>
      <c r="H7063">
        <v>0</v>
      </c>
      <c r="I7063">
        <v>0.1741125760648204</v>
      </c>
      <c r="J7063">
        <v>0</v>
      </c>
      <c r="K7063">
        <v>0</v>
      </c>
      <c r="L7063" s="2">
        <v>0</v>
      </c>
      <c r="M7063">
        <v>70.23</v>
      </c>
      <c r="N7063" t="s">
        <v>10236</v>
      </c>
    </row>
    <row r="7064" spans="1:14">
      <c r="A7064" t="s">
        <v>35</v>
      </c>
      <c r="B7064" t="s">
        <v>7121</v>
      </c>
      <c r="C7064">
        <f>"3117CXL"</f>
        <v>0</v>
      </c>
      <c r="D7064">
        <v>0</v>
      </c>
      <c r="E7064">
        <v>1</v>
      </c>
      <c r="F7064" s="2">
        <v>6</v>
      </c>
      <c r="H7064">
        <v>0</v>
      </c>
      <c r="I7064">
        <v>0.1741125760648204</v>
      </c>
      <c r="J7064">
        <v>0</v>
      </c>
      <c r="K7064">
        <v>0</v>
      </c>
      <c r="L7064" s="2">
        <v>0</v>
      </c>
      <c r="M7064">
        <v>70.23999999999999</v>
      </c>
      <c r="N7064" t="s">
        <v>10236</v>
      </c>
    </row>
    <row r="7065" spans="1:14">
      <c r="A7065" t="s">
        <v>35</v>
      </c>
      <c r="B7065" t="s">
        <v>7122</v>
      </c>
      <c r="C7065">
        <f>"3117CL"</f>
        <v>0</v>
      </c>
      <c r="D7065">
        <v>0</v>
      </c>
      <c r="E7065">
        <v>3</v>
      </c>
      <c r="F7065" s="2">
        <v>6</v>
      </c>
      <c r="H7065">
        <v>0</v>
      </c>
      <c r="I7065">
        <v>0.1741125760648204</v>
      </c>
      <c r="J7065">
        <v>0</v>
      </c>
      <c r="K7065">
        <v>0</v>
      </c>
      <c r="L7065" s="2">
        <v>0</v>
      </c>
      <c r="M7065">
        <v>70.25</v>
      </c>
      <c r="N7065" t="s">
        <v>10236</v>
      </c>
    </row>
    <row r="7066" spans="1:14">
      <c r="A7066" t="s">
        <v>35</v>
      </c>
      <c r="B7066" t="s">
        <v>7123</v>
      </c>
      <c r="C7066">
        <f>"6005056"</f>
        <v>0</v>
      </c>
      <c r="D7066">
        <v>0</v>
      </c>
      <c r="E7066">
        <v>0</v>
      </c>
      <c r="F7066" s="2">
        <v>0</v>
      </c>
      <c r="H7066">
        <v>0</v>
      </c>
      <c r="I7066">
        <v>0.1741125760648204</v>
      </c>
      <c r="J7066">
        <v>0</v>
      </c>
      <c r="K7066">
        <v>0</v>
      </c>
      <c r="L7066" s="2">
        <v>0</v>
      </c>
      <c r="M7066">
        <v>70.26000000000001</v>
      </c>
      <c r="N7066" t="s">
        <v>10236</v>
      </c>
    </row>
    <row r="7067" spans="1:14">
      <c r="A7067" t="s">
        <v>35</v>
      </c>
      <c r="B7067" t="s">
        <v>7124</v>
      </c>
      <c r="C7067">
        <f>"PT3117XS"</f>
        <v>0</v>
      </c>
      <c r="D7067">
        <v>0</v>
      </c>
      <c r="E7067">
        <v>4</v>
      </c>
      <c r="F7067" s="2">
        <v>4</v>
      </c>
      <c r="H7067">
        <v>0</v>
      </c>
      <c r="I7067">
        <v>0.1741125760648204</v>
      </c>
      <c r="J7067">
        <v>0</v>
      </c>
      <c r="K7067">
        <v>0</v>
      </c>
      <c r="L7067" s="2">
        <v>0</v>
      </c>
      <c r="M7067">
        <v>70.27</v>
      </c>
      <c r="N7067" t="s">
        <v>10236</v>
      </c>
    </row>
    <row r="7068" spans="1:14">
      <c r="A7068" t="s">
        <v>35</v>
      </c>
      <c r="B7068" t="s">
        <v>7125</v>
      </c>
      <c r="C7068">
        <f>"6006072"</f>
        <v>0</v>
      </c>
      <c r="D7068">
        <v>0</v>
      </c>
      <c r="E7068">
        <v>1</v>
      </c>
      <c r="F7068" s="2">
        <v>2</v>
      </c>
      <c r="H7068">
        <v>0</v>
      </c>
      <c r="I7068">
        <v>0.1741125760648204</v>
      </c>
      <c r="J7068">
        <v>0</v>
      </c>
      <c r="K7068">
        <v>0</v>
      </c>
      <c r="L7068" s="2">
        <v>0</v>
      </c>
      <c r="M7068">
        <v>70.28</v>
      </c>
      <c r="N7068" t="s">
        <v>10236</v>
      </c>
    </row>
    <row r="7069" spans="1:14">
      <c r="A7069" t="s">
        <v>193</v>
      </c>
      <c r="B7069" t="s">
        <v>7126</v>
      </c>
      <c r="C7069">
        <f>"803854"</f>
        <v>0</v>
      </c>
      <c r="D7069">
        <v>0</v>
      </c>
      <c r="E7069">
        <v>13</v>
      </c>
      <c r="F7069" s="2">
        <v>1</v>
      </c>
      <c r="H7069">
        <v>0</v>
      </c>
      <c r="I7069">
        <v>0.1741125760648204</v>
      </c>
      <c r="J7069">
        <v>0</v>
      </c>
      <c r="K7069">
        <v>0</v>
      </c>
      <c r="L7069" s="2">
        <v>0</v>
      </c>
      <c r="M7069">
        <v>70.29000000000001</v>
      </c>
      <c r="N7069" t="s">
        <v>10236</v>
      </c>
    </row>
    <row r="7070" spans="1:14">
      <c r="A7070" t="s">
        <v>25</v>
      </c>
      <c r="B7070" t="s">
        <v>7127</v>
      </c>
      <c r="C7070">
        <f>"CONEJERA1"</f>
        <v>0</v>
      </c>
      <c r="D7070">
        <v>0</v>
      </c>
      <c r="E7070">
        <v>0</v>
      </c>
      <c r="F7070" s="2">
        <v>0</v>
      </c>
      <c r="H7070">
        <v>0</v>
      </c>
      <c r="I7070">
        <v>0.1741125760648204</v>
      </c>
      <c r="J7070">
        <v>0</v>
      </c>
      <c r="K7070">
        <v>0</v>
      </c>
      <c r="L7070" s="2">
        <v>0</v>
      </c>
      <c r="M7070">
        <v>70.3</v>
      </c>
      <c r="N7070" t="s">
        <v>10236</v>
      </c>
    </row>
    <row r="7071" spans="1:14">
      <c r="A7071" t="s">
        <v>194</v>
      </c>
      <c r="B7071" t="s">
        <v>7128</v>
      </c>
      <c r="C7071">
        <f>"10644"</f>
        <v>0</v>
      </c>
      <c r="D7071">
        <v>0</v>
      </c>
      <c r="E7071">
        <v>0</v>
      </c>
      <c r="F7071" s="2">
        <v>0</v>
      </c>
      <c r="H7071">
        <v>0</v>
      </c>
      <c r="I7071">
        <v>0.1741125760648204</v>
      </c>
      <c r="J7071">
        <v>0</v>
      </c>
      <c r="K7071">
        <v>0</v>
      </c>
      <c r="L7071" s="2">
        <v>0</v>
      </c>
      <c r="M7071">
        <v>70.31</v>
      </c>
      <c r="N7071" t="s">
        <v>10236</v>
      </c>
    </row>
    <row r="7072" spans="1:14">
      <c r="A7072" t="s">
        <v>194</v>
      </c>
      <c r="B7072" t="s">
        <v>7129</v>
      </c>
      <c r="C7072">
        <f>"10643"</f>
        <v>0</v>
      </c>
      <c r="D7072">
        <v>0</v>
      </c>
      <c r="E7072">
        <v>0</v>
      </c>
      <c r="F7072" s="2">
        <v>0</v>
      </c>
      <c r="H7072">
        <v>0</v>
      </c>
      <c r="I7072">
        <v>0.1741125760648204</v>
      </c>
      <c r="J7072">
        <v>0</v>
      </c>
      <c r="K7072">
        <v>0</v>
      </c>
      <c r="L7072" s="2">
        <v>0</v>
      </c>
      <c r="M7072">
        <v>70.31999999999999</v>
      </c>
      <c r="N7072" t="s">
        <v>10236</v>
      </c>
    </row>
    <row r="7073" spans="1:14">
      <c r="A7073" t="s">
        <v>194</v>
      </c>
      <c r="B7073" t="s">
        <v>7130</v>
      </c>
      <c r="C7073">
        <f>"10642"</f>
        <v>0</v>
      </c>
      <c r="D7073">
        <v>0</v>
      </c>
      <c r="E7073">
        <v>0</v>
      </c>
      <c r="F7073" s="2">
        <v>0</v>
      </c>
      <c r="H7073">
        <v>0</v>
      </c>
      <c r="I7073">
        <v>0.1741125760648204</v>
      </c>
      <c r="J7073">
        <v>0</v>
      </c>
      <c r="K7073">
        <v>0</v>
      </c>
      <c r="L7073" s="2">
        <v>0</v>
      </c>
      <c r="M7073">
        <v>70.31999999999999</v>
      </c>
      <c r="N7073" t="s">
        <v>10236</v>
      </c>
    </row>
    <row r="7074" spans="1:14">
      <c r="A7074" t="s">
        <v>194</v>
      </c>
      <c r="B7074" t="s">
        <v>7131</v>
      </c>
      <c r="C7074">
        <f>"10641"</f>
        <v>0</v>
      </c>
      <c r="D7074">
        <v>0</v>
      </c>
      <c r="E7074">
        <v>0</v>
      </c>
      <c r="F7074" s="2">
        <v>0</v>
      </c>
      <c r="H7074">
        <v>0</v>
      </c>
      <c r="I7074">
        <v>0.1741125760648204</v>
      </c>
      <c r="J7074">
        <v>0</v>
      </c>
      <c r="K7074">
        <v>0</v>
      </c>
      <c r="L7074" s="2">
        <v>0</v>
      </c>
      <c r="M7074">
        <v>70.33</v>
      </c>
      <c r="N7074" t="s">
        <v>10236</v>
      </c>
    </row>
    <row r="7075" spans="1:14">
      <c r="A7075" t="s">
        <v>207</v>
      </c>
      <c r="B7075" t="s">
        <v>7132</v>
      </c>
      <c r="C7075">
        <f>"CENANO"</f>
        <v>0</v>
      </c>
      <c r="D7075">
        <v>0</v>
      </c>
      <c r="E7075">
        <v>0</v>
      </c>
      <c r="F7075" s="2">
        <v>0</v>
      </c>
      <c r="H7075">
        <v>0</v>
      </c>
      <c r="I7075">
        <v>0.1741125760648204</v>
      </c>
      <c r="J7075">
        <v>0</v>
      </c>
      <c r="K7075">
        <v>0</v>
      </c>
      <c r="L7075" s="2">
        <v>0</v>
      </c>
      <c r="M7075">
        <v>70.34</v>
      </c>
      <c r="N7075" t="s">
        <v>10236</v>
      </c>
    </row>
    <row r="7076" spans="1:14">
      <c r="A7076" t="s">
        <v>207</v>
      </c>
      <c r="B7076" t="s">
        <v>7133</v>
      </c>
      <c r="C7076">
        <f>"ENANO"</f>
        <v>0</v>
      </c>
      <c r="D7076">
        <v>0</v>
      </c>
      <c r="E7076">
        <v>0</v>
      </c>
      <c r="F7076" s="2">
        <v>0</v>
      </c>
      <c r="H7076">
        <v>0</v>
      </c>
      <c r="I7076">
        <v>0.1741125760648204</v>
      </c>
      <c r="J7076">
        <v>0</v>
      </c>
      <c r="K7076">
        <v>0</v>
      </c>
      <c r="L7076" s="2">
        <v>0</v>
      </c>
      <c r="M7076">
        <v>70.34999999999999</v>
      </c>
      <c r="N7076" t="s">
        <v>10236</v>
      </c>
    </row>
    <row r="7077" spans="1:14">
      <c r="A7077" t="s">
        <v>25</v>
      </c>
      <c r="B7077" t="s">
        <v>7134</v>
      </c>
      <c r="C7077">
        <f>"CONEJOCOMUN"</f>
        <v>0</v>
      </c>
      <c r="D7077">
        <v>0</v>
      </c>
      <c r="E7077">
        <v>0</v>
      </c>
      <c r="F7077" s="2">
        <v>0</v>
      </c>
      <c r="H7077">
        <v>0</v>
      </c>
      <c r="I7077">
        <v>0.1741125760648204</v>
      </c>
      <c r="J7077">
        <v>0</v>
      </c>
      <c r="K7077">
        <v>0</v>
      </c>
      <c r="L7077" s="2">
        <v>0</v>
      </c>
      <c r="M7077">
        <v>70.36</v>
      </c>
      <c r="N7077" t="s">
        <v>10236</v>
      </c>
    </row>
    <row r="7078" spans="1:14">
      <c r="A7078" t="s">
        <v>207</v>
      </c>
      <c r="B7078" t="s">
        <v>7135</v>
      </c>
      <c r="C7078">
        <f>"C300502"</f>
        <v>0</v>
      </c>
      <c r="D7078">
        <v>0</v>
      </c>
      <c r="E7078">
        <v>0</v>
      </c>
      <c r="F7078" s="2">
        <v>0</v>
      </c>
      <c r="H7078">
        <v>0</v>
      </c>
      <c r="I7078">
        <v>0.1741125760648204</v>
      </c>
      <c r="J7078">
        <v>0</v>
      </c>
      <c r="K7078">
        <v>0</v>
      </c>
      <c r="L7078" s="2">
        <v>0</v>
      </c>
      <c r="M7078">
        <v>70.37</v>
      </c>
      <c r="N7078" t="s">
        <v>10236</v>
      </c>
    </row>
    <row r="7079" spans="1:14">
      <c r="A7079" t="s">
        <v>25</v>
      </c>
      <c r="B7079" t="s">
        <v>7136</v>
      </c>
      <c r="C7079">
        <f>"R1VE"</f>
        <v>0</v>
      </c>
      <c r="D7079">
        <v>0</v>
      </c>
      <c r="E7079">
        <v>0</v>
      </c>
      <c r="F7079" s="2">
        <v>0</v>
      </c>
      <c r="H7079">
        <v>0</v>
      </c>
      <c r="I7079">
        <v>0.1741125760648204</v>
      </c>
      <c r="J7079">
        <v>0</v>
      </c>
      <c r="K7079">
        <v>0</v>
      </c>
      <c r="L7079" s="2">
        <v>0</v>
      </c>
      <c r="M7079">
        <v>70.38</v>
      </c>
      <c r="N7079" t="s">
        <v>10236</v>
      </c>
    </row>
    <row r="7080" spans="1:14">
      <c r="A7080" t="s">
        <v>25</v>
      </c>
      <c r="B7080" t="s">
        <v>7137</v>
      </c>
      <c r="C7080">
        <f>"R1BL"</f>
        <v>0</v>
      </c>
      <c r="D7080">
        <v>0</v>
      </c>
      <c r="E7080">
        <v>0</v>
      </c>
      <c r="F7080" s="2">
        <v>0</v>
      </c>
      <c r="H7080">
        <v>0</v>
      </c>
      <c r="I7080">
        <v>0.1741125760648204</v>
      </c>
      <c r="J7080">
        <v>0</v>
      </c>
      <c r="K7080">
        <v>0</v>
      </c>
      <c r="L7080" s="2">
        <v>0</v>
      </c>
      <c r="M7080">
        <v>70.39</v>
      </c>
      <c r="N7080" t="s">
        <v>10236</v>
      </c>
    </row>
    <row r="7081" spans="1:14">
      <c r="A7081" t="s">
        <v>25</v>
      </c>
      <c r="B7081" t="s">
        <v>7138</v>
      </c>
      <c r="C7081">
        <f>"R1AZ"</f>
        <v>0</v>
      </c>
      <c r="D7081">
        <v>0</v>
      </c>
      <c r="E7081">
        <v>0</v>
      </c>
      <c r="F7081" s="2">
        <v>0</v>
      </c>
      <c r="H7081">
        <v>0</v>
      </c>
      <c r="I7081">
        <v>0.1741125760648204</v>
      </c>
      <c r="J7081">
        <v>0</v>
      </c>
      <c r="K7081">
        <v>0</v>
      </c>
      <c r="L7081" s="2">
        <v>0</v>
      </c>
      <c r="M7081">
        <v>70.40000000000001</v>
      </c>
      <c r="N7081" t="s">
        <v>10236</v>
      </c>
    </row>
    <row r="7082" spans="1:14">
      <c r="A7082" t="s">
        <v>192</v>
      </c>
      <c r="B7082" t="s">
        <v>7139</v>
      </c>
      <c r="C7082">
        <f>"B102"</f>
        <v>0</v>
      </c>
      <c r="D7082">
        <v>0</v>
      </c>
      <c r="E7082">
        <v>1</v>
      </c>
      <c r="F7082" s="2">
        <v>441</v>
      </c>
      <c r="H7082">
        <v>0</v>
      </c>
      <c r="I7082">
        <v>0.1741125760648204</v>
      </c>
      <c r="J7082">
        <v>0</v>
      </c>
      <c r="K7082">
        <v>0</v>
      </c>
      <c r="L7082" s="2">
        <v>0</v>
      </c>
      <c r="M7082">
        <v>70.41</v>
      </c>
      <c r="N7082" t="s">
        <v>10236</v>
      </c>
    </row>
    <row r="7083" spans="1:14">
      <c r="A7083" t="s">
        <v>29</v>
      </c>
      <c r="B7083" t="s">
        <v>7140</v>
      </c>
      <c r="C7083">
        <f>"A016BA"</f>
        <v>0</v>
      </c>
      <c r="D7083">
        <v>0</v>
      </c>
      <c r="E7083">
        <v>1</v>
      </c>
      <c r="F7083" s="2">
        <v>2</v>
      </c>
      <c r="H7083">
        <v>0</v>
      </c>
      <c r="I7083">
        <v>0.1741125760648204</v>
      </c>
      <c r="J7083">
        <v>0</v>
      </c>
      <c r="K7083">
        <v>0</v>
      </c>
      <c r="L7083" s="2">
        <v>0</v>
      </c>
      <c r="M7083">
        <v>70.42</v>
      </c>
      <c r="N7083" t="s">
        <v>10236</v>
      </c>
    </row>
    <row r="7084" spans="1:14">
      <c r="A7084" t="s">
        <v>25</v>
      </c>
      <c r="B7084" t="s">
        <v>7141</v>
      </c>
      <c r="C7084">
        <f>"R3AZ"</f>
        <v>0</v>
      </c>
      <c r="D7084">
        <v>0</v>
      </c>
      <c r="E7084">
        <v>0</v>
      </c>
      <c r="F7084" s="2">
        <v>0</v>
      </c>
      <c r="H7084">
        <v>0</v>
      </c>
      <c r="I7084">
        <v>0.1741125760648204</v>
      </c>
      <c r="J7084">
        <v>0</v>
      </c>
      <c r="K7084">
        <v>0</v>
      </c>
      <c r="L7084" s="2">
        <v>0</v>
      </c>
      <c r="M7084">
        <v>70.43000000000001</v>
      </c>
      <c r="N7084" t="s">
        <v>10236</v>
      </c>
    </row>
    <row r="7085" spans="1:14">
      <c r="A7085" t="s">
        <v>25</v>
      </c>
      <c r="B7085" t="s">
        <v>7142</v>
      </c>
      <c r="C7085">
        <f>"R3"</f>
        <v>0</v>
      </c>
      <c r="D7085">
        <v>0</v>
      </c>
      <c r="E7085">
        <v>0</v>
      </c>
      <c r="F7085" s="2">
        <v>0</v>
      </c>
      <c r="H7085">
        <v>0</v>
      </c>
      <c r="I7085">
        <v>0.1741125760648204</v>
      </c>
      <c r="J7085">
        <v>0</v>
      </c>
      <c r="K7085">
        <v>0</v>
      </c>
      <c r="L7085" s="2">
        <v>0</v>
      </c>
      <c r="M7085">
        <v>70.43000000000001</v>
      </c>
      <c r="N7085" t="s">
        <v>10236</v>
      </c>
    </row>
    <row r="7086" spans="1:14">
      <c r="A7086" t="s">
        <v>25</v>
      </c>
      <c r="B7086" t="s">
        <v>7143</v>
      </c>
      <c r="C7086">
        <f>"102K"</f>
        <v>0</v>
      </c>
      <c r="D7086">
        <v>0</v>
      </c>
      <c r="E7086">
        <v>0</v>
      </c>
      <c r="F7086" s="2">
        <v>0</v>
      </c>
      <c r="H7086">
        <v>0</v>
      </c>
      <c r="I7086">
        <v>0.1741125760648204</v>
      </c>
      <c r="J7086">
        <v>0</v>
      </c>
      <c r="K7086">
        <v>0</v>
      </c>
      <c r="L7086" s="2">
        <v>0</v>
      </c>
      <c r="M7086">
        <v>70.44</v>
      </c>
      <c r="N7086" t="s">
        <v>10236</v>
      </c>
    </row>
    <row r="7087" spans="1:14">
      <c r="A7087" t="s">
        <v>25</v>
      </c>
      <c r="B7087" t="s">
        <v>7144</v>
      </c>
      <c r="C7087">
        <f>"R3HC"</f>
        <v>0</v>
      </c>
      <c r="D7087">
        <v>0</v>
      </c>
      <c r="E7087">
        <v>2</v>
      </c>
      <c r="F7087" s="2">
        <v>25</v>
      </c>
      <c r="H7087">
        <v>0</v>
      </c>
      <c r="I7087">
        <v>0.1741125760648204</v>
      </c>
      <c r="J7087">
        <v>0</v>
      </c>
      <c r="K7087">
        <v>0</v>
      </c>
      <c r="L7087" s="2">
        <v>0</v>
      </c>
      <c r="M7087">
        <v>70.45</v>
      </c>
      <c r="N7087" t="s">
        <v>10236</v>
      </c>
    </row>
    <row r="7088" spans="1:14">
      <c r="A7088" t="s">
        <v>25</v>
      </c>
      <c r="B7088" t="s">
        <v>7145</v>
      </c>
      <c r="C7088">
        <f>"YB0395A"</f>
        <v>0</v>
      </c>
      <c r="D7088">
        <v>0</v>
      </c>
      <c r="E7088">
        <v>1</v>
      </c>
      <c r="F7088" s="2">
        <v>32</v>
      </c>
      <c r="H7088">
        <v>0</v>
      </c>
      <c r="I7088">
        <v>0.1741125760648204</v>
      </c>
      <c r="J7088">
        <v>0</v>
      </c>
      <c r="K7088">
        <v>0</v>
      </c>
      <c r="L7088" s="2">
        <v>0</v>
      </c>
      <c r="M7088">
        <v>70.45999999999999</v>
      </c>
      <c r="N7088" t="s">
        <v>10236</v>
      </c>
    </row>
    <row r="7089" spans="1:14">
      <c r="A7089" t="s">
        <v>25</v>
      </c>
      <c r="B7089" t="s">
        <v>7146</v>
      </c>
      <c r="C7089">
        <f>"R1"</f>
        <v>0</v>
      </c>
      <c r="D7089">
        <v>0</v>
      </c>
      <c r="E7089">
        <v>0</v>
      </c>
      <c r="F7089" s="2">
        <v>0</v>
      </c>
      <c r="H7089">
        <v>0</v>
      </c>
      <c r="I7089">
        <v>0.1741125760648204</v>
      </c>
      <c r="J7089">
        <v>0</v>
      </c>
      <c r="K7089">
        <v>0</v>
      </c>
      <c r="L7089" s="2">
        <v>0</v>
      </c>
      <c r="M7089">
        <v>70.47</v>
      </c>
      <c r="N7089" t="s">
        <v>10236</v>
      </c>
    </row>
    <row r="7090" spans="1:14">
      <c r="A7090" t="s">
        <v>25</v>
      </c>
      <c r="B7090" t="s">
        <v>7147</v>
      </c>
      <c r="C7090">
        <f>"R22"</f>
        <v>0</v>
      </c>
      <c r="D7090">
        <v>0</v>
      </c>
      <c r="E7090">
        <v>1</v>
      </c>
      <c r="F7090" s="2">
        <v>27</v>
      </c>
      <c r="H7090">
        <v>0</v>
      </c>
      <c r="I7090">
        <v>0.1741125760648204</v>
      </c>
      <c r="J7090">
        <v>0</v>
      </c>
      <c r="K7090">
        <v>0</v>
      </c>
      <c r="L7090" s="2">
        <v>0</v>
      </c>
      <c r="M7090">
        <v>70.48</v>
      </c>
      <c r="N7090" t="s">
        <v>10236</v>
      </c>
    </row>
    <row r="7091" spans="1:14">
      <c r="A7091" t="s">
        <v>35</v>
      </c>
      <c r="B7091" t="s">
        <v>7148</v>
      </c>
      <c r="C7091">
        <f>"23001ROJ"</f>
        <v>0</v>
      </c>
      <c r="D7091">
        <v>0</v>
      </c>
      <c r="E7091">
        <v>0</v>
      </c>
      <c r="F7091" s="2">
        <v>0</v>
      </c>
      <c r="H7091">
        <v>0</v>
      </c>
      <c r="I7091">
        <v>0.1741125760648204</v>
      </c>
      <c r="J7091">
        <v>0</v>
      </c>
      <c r="K7091">
        <v>0</v>
      </c>
      <c r="L7091" s="2">
        <v>0</v>
      </c>
      <c r="M7091">
        <v>70.48999999999999</v>
      </c>
      <c r="N7091" t="s">
        <v>10236</v>
      </c>
    </row>
    <row r="7092" spans="1:14">
      <c r="A7092" t="s">
        <v>25</v>
      </c>
      <c r="B7092" t="s">
        <v>7149</v>
      </c>
      <c r="C7092">
        <f>"FMC"</f>
        <v>0</v>
      </c>
      <c r="D7092">
        <v>0</v>
      </c>
      <c r="E7092">
        <v>0</v>
      </c>
      <c r="F7092" s="2">
        <v>0</v>
      </c>
      <c r="H7092">
        <v>0</v>
      </c>
      <c r="I7092">
        <v>0.1741125760648204</v>
      </c>
      <c r="J7092">
        <v>0</v>
      </c>
      <c r="K7092">
        <v>0</v>
      </c>
      <c r="L7092" s="2">
        <v>0</v>
      </c>
      <c r="M7092">
        <v>70.5</v>
      </c>
      <c r="N7092" t="s">
        <v>10236</v>
      </c>
    </row>
    <row r="7093" spans="1:14">
      <c r="A7093" t="s">
        <v>29</v>
      </c>
      <c r="B7093" t="s">
        <v>7150</v>
      </c>
      <c r="C7093">
        <f>"HP03"</f>
        <v>0</v>
      </c>
      <c r="D7093">
        <v>0</v>
      </c>
      <c r="E7093">
        <v>0</v>
      </c>
      <c r="F7093" s="2">
        <v>0</v>
      </c>
      <c r="H7093">
        <v>0</v>
      </c>
      <c r="I7093">
        <v>0.1741125760648204</v>
      </c>
      <c r="J7093">
        <v>0</v>
      </c>
      <c r="K7093">
        <v>0</v>
      </c>
      <c r="L7093" s="2">
        <v>0</v>
      </c>
      <c r="M7093">
        <v>70.51000000000001</v>
      </c>
      <c r="N7093" t="s">
        <v>10236</v>
      </c>
    </row>
    <row r="7094" spans="1:14">
      <c r="A7094" t="s">
        <v>29</v>
      </c>
      <c r="B7094" t="s">
        <v>7151</v>
      </c>
      <c r="C7094">
        <f>"HP02"</f>
        <v>0</v>
      </c>
      <c r="D7094">
        <v>0</v>
      </c>
      <c r="E7094">
        <v>0</v>
      </c>
      <c r="F7094" s="2">
        <v>0</v>
      </c>
      <c r="H7094">
        <v>0</v>
      </c>
      <c r="I7094">
        <v>0.1741125760648204</v>
      </c>
      <c r="J7094">
        <v>0</v>
      </c>
      <c r="K7094">
        <v>0</v>
      </c>
      <c r="L7094" s="2">
        <v>0</v>
      </c>
      <c r="M7094">
        <v>70.52</v>
      </c>
      <c r="N7094" t="s">
        <v>10236</v>
      </c>
    </row>
    <row r="7095" spans="1:14">
      <c r="A7095" t="s">
        <v>35</v>
      </c>
      <c r="B7095" t="s">
        <v>7152</v>
      </c>
      <c r="C7095">
        <f>"PT015SN"</f>
        <v>0</v>
      </c>
      <c r="D7095">
        <v>0</v>
      </c>
      <c r="E7095">
        <v>0</v>
      </c>
      <c r="F7095" s="2">
        <v>0</v>
      </c>
      <c r="H7095">
        <v>0</v>
      </c>
      <c r="I7095">
        <v>0.1741125760648204</v>
      </c>
      <c r="J7095">
        <v>0</v>
      </c>
      <c r="K7095">
        <v>0</v>
      </c>
      <c r="L7095" s="2">
        <v>0</v>
      </c>
      <c r="M7095">
        <v>70.53</v>
      </c>
      <c r="N7095" t="s">
        <v>10236</v>
      </c>
    </row>
    <row r="7096" spans="1:14">
      <c r="A7096" t="s">
        <v>35</v>
      </c>
      <c r="B7096" t="s">
        <v>7153</v>
      </c>
      <c r="C7096">
        <f>"PT015SMI"</f>
        <v>0</v>
      </c>
      <c r="D7096">
        <v>0</v>
      </c>
      <c r="E7096">
        <v>0</v>
      </c>
      <c r="F7096" s="2">
        <v>0</v>
      </c>
      <c r="H7096">
        <v>0</v>
      </c>
      <c r="I7096">
        <v>0.1741125760648204</v>
      </c>
      <c r="J7096">
        <v>0</v>
      </c>
      <c r="K7096">
        <v>0</v>
      </c>
      <c r="L7096" s="2">
        <v>0</v>
      </c>
      <c r="M7096">
        <v>70.54000000000001</v>
      </c>
      <c r="N7096" t="s">
        <v>10236</v>
      </c>
    </row>
    <row r="7097" spans="1:14">
      <c r="A7097" t="s">
        <v>35</v>
      </c>
      <c r="B7097" t="s">
        <v>7154</v>
      </c>
      <c r="C7097">
        <f>"PT015SFN"</f>
        <v>0</v>
      </c>
      <c r="D7097">
        <v>0</v>
      </c>
      <c r="E7097">
        <v>0</v>
      </c>
      <c r="F7097" s="2">
        <v>0</v>
      </c>
      <c r="H7097">
        <v>0</v>
      </c>
      <c r="I7097">
        <v>0.1741125760648204</v>
      </c>
      <c r="J7097">
        <v>0</v>
      </c>
      <c r="K7097">
        <v>0</v>
      </c>
      <c r="L7097" s="2">
        <v>0</v>
      </c>
      <c r="M7097">
        <v>70.55</v>
      </c>
      <c r="N7097" t="s">
        <v>10236</v>
      </c>
    </row>
    <row r="7098" spans="1:14">
      <c r="A7098" t="s">
        <v>25</v>
      </c>
      <c r="B7098" t="s">
        <v>7155</v>
      </c>
      <c r="C7098">
        <f>"R4"</f>
        <v>0</v>
      </c>
      <c r="D7098">
        <v>0</v>
      </c>
      <c r="E7098">
        <v>0</v>
      </c>
      <c r="F7098" s="2">
        <v>0</v>
      </c>
      <c r="H7098">
        <v>0</v>
      </c>
      <c r="I7098">
        <v>0.1741125760648204</v>
      </c>
      <c r="J7098">
        <v>0</v>
      </c>
      <c r="K7098">
        <v>0</v>
      </c>
      <c r="L7098" s="2">
        <v>0</v>
      </c>
      <c r="M7098">
        <v>70.55</v>
      </c>
      <c r="N7098" t="s">
        <v>10236</v>
      </c>
    </row>
    <row r="7099" spans="1:14">
      <c r="A7099" t="s">
        <v>35</v>
      </c>
      <c r="B7099" t="s">
        <v>7156</v>
      </c>
      <c r="C7099">
        <f>"HH088LAR"</f>
        <v>0</v>
      </c>
      <c r="D7099">
        <v>0</v>
      </c>
      <c r="E7099">
        <v>1</v>
      </c>
      <c r="F7099" s="2">
        <v>10</v>
      </c>
      <c r="H7099">
        <v>0</v>
      </c>
      <c r="I7099">
        <v>0.1741125760648204</v>
      </c>
      <c r="J7099">
        <v>0</v>
      </c>
      <c r="K7099">
        <v>0</v>
      </c>
      <c r="L7099" s="2">
        <v>0</v>
      </c>
      <c r="M7099">
        <v>70.56</v>
      </c>
      <c r="N7099" t="s">
        <v>10236</v>
      </c>
    </row>
    <row r="7100" spans="1:14">
      <c r="A7100" t="s">
        <v>35</v>
      </c>
      <c r="B7100" t="s">
        <v>7157</v>
      </c>
      <c r="C7100">
        <f>"LV09092XL"</f>
        <v>0</v>
      </c>
      <c r="D7100">
        <v>0</v>
      </c>
      <c r="E7100">
        <v>0</v>
      </c>
      <c r="F7100" s="2">
        <v>0</v>
      </c>
      <c r="H7100">
        <v>0</v>
      </c>
      <c r="I7100">
        <v>0.1741125760648204</v>
      </c>
      <c r="J7100">
        <v>0</v>
      </c>
      <c r="K7100">
        <v>0</v>
      </c>
      <c r="L7100" s="2">
        <v>0</v>
      </c>
      <c r="M7100">
        <v>70.56999999999999</v>
      </c>
      <c r="N7100" t="s">
        <v>10236</v>
      </c>
    </row>
    <row r="7101" spans="1:14">
      <c r="A7101" t="s">
        <v>35</v>
      </c>
      <c r="B7101" t="s">
        <v>7158</v>
      </c>
      <c r="C7101">
        <f>"LV09092S"</f>
        <v>0</v>
      </c>
      <c r="D7101">
        <v>0</v>
      </c>
      <c r="E7101">
        <v>0</v>
      </c>
      <c r="F7101" s="2">
        <v>0</v>
      </c>
      <c r="H7101">
        <v>0</v>
      </c>
      <c r="I7101">
        <v>0.1741125760648204</v>
      </c>
      <c r="J7101">
        <v>0</v>
      </c>
      <c r="K7101">
        <v>0</v>
      </c>
      <c r="L7101" s="2">
        <v>0</v>
      </c>
      <c r="M7101">
        <v>70.58</v>
      </c>
      <c r="N7101" t="s">
        <v>10236</v>
      </c>
    </row>
    <row r="7102" spans="1:14">
      <c r="A7102" t="s">
        <v>35</v>
      </c>
      <c r="B7102" t="s">
        <v>7159</v>
      </c>
      <c r="C7102">
        <f>"HH088XSV"</f>
        <v>0</v>
      </c>
      <c r="D7102">
        <v>0</v>
      </c>
      <c r="E7102">
        <v>14</v>
      </c>
      <c r="F7102" s="2">
        <v>7</v>
      </c>
      <c r="H7102">
        <v>0</v>
      </c>
      <c r="I7102">
        <v>0.1741125760648204</v>
      </c>
      <c r="J7102">
        <v>0</v>
      </c>
      <c r="K7102">
        <v>0</v>
      </c>
      <c r="L7102" s="2">
        <v>0</v>
      </c>
      <c r="M7102">
        <v>70.59</v>
      </c>
      <c r="N7102" t="s">
        <v>10236</v>
      </c>
    </row>
    <row r="7103" spans="1:14">
      <c r="A7103" t="s">
        <v>35</v>
      </c>
      <c r="B7103" t="s">
        <v>7160</v>
      </c>
      <c r="C7103">
        <f>"HH088XLV"</f>
        <v>0</v>
      </c>
      <c r="D7103">
        <v>0</v>
      </c>
      <c r="E7103">
        <v>13</v>
      </c>
      <c r="F7103" s="2">
        <v>11</v>
      </c>
      <c r="H7103">
        <v>0</v>
      </c>
      <c r="I7103">
        <v>0.1741125760648204</v>
      </c>
      <c r="J7103">
        <v>0</v>
      </c>
      <c r="K7103">
        <v>0</v>
      </c>
      <c r="L7103" s="2">
        <v>0</v>
      </c>
      <c r="M7103">
        <v>70.59999999999999</v>
      </c>
      <c r="N7103" t="s">
        <v>10236</v>
      </c>
    </row>
    <row r="7104" spans="1:14">
      <c r="A7104" t="s">
        <v>35</v>
      </c>
      <c r="B7104" t="s">
        <v>7161</v>
      </c>
      <c r="C7104">
        <f>"HH088SV"</f>
        <v>0</v>
      </c>
      <c r="D7104">
        <v>0</v>
      </c>
      <c r="E7104">
        <v>10</v>
      </c>
      <c r="F7104" s="2">
        <v>9</v>
      </c>
      <c r="H7104">
        <v>0</v>
      </c>
      <c r="I7104">
        <v>0.1741125760648204</v>
      </c>
      <c r="J7104">
        <v>0</v>
      </c>
      <c r="K7104">
        <v>0</v>
      </c>
      <c r="L7104" s="2">
        <v>0</v>
      </c>
      <c r="M7104">
        <v>70.61</v>
      </c>
      <c r="N7104" t="s">
        <v>10236</v>
      </c>
    </row>
    <row r="7105" spans="1:14">
      <c r="A7105" t="s">
        <v>35</v>
      </c>
      <c r="B7105" t="s">
        <v>7162</v>
      </c>
      <c r="C7105">
        <f>"NT038MOR"</f>
        <v>0</v>
      </c>
      <c r="D7105">
        <v>0</v>
      </c>
      <c r="E7105">
        <v>6</v>
      </c>
      <c r="F7105" s="2">
        <v>0</v>
      </c>
      <c r="H7105">
        <v>0</v>
      </c>
      <c r="I7105">
        <v>0.1741125760648204</v>
      </c>
      <c r="J7105">
        <v>0</v>
      </c>
      <c r="K7105">
        <v>0</v>
      </c>
      <c r="L7105" s="2">
        <v>0</v>
      </c>
      <c r="M7105">
        <v>70.62</v>
      </c>
      <c r="N7105" t="s">
        <v>10236</v>
      </c>
    </row>
    <row r="7106" spans="1:14">
      <c r="A7106" t="s">
        <v>35</v>
      </c>
      <c r="B7106" t="s">
        <v>7163</v>
      </c>
      <c r="C7106">
        <f>"NT038ESTREL"</f>
        <v>0</v>
      </c>
      <c r="D7106">
        <v>0</v>
      </c>
      <c r="E7106">
        <v>1</v>
      </c>
      <c r="F7106" s="2">
        <v>675</v>
      </c>
      <c r="H7106">
        <v>0</v>
      </c>
      <c r="I7106">
        <v>0.1741125760648204</v>
      </c>
      <c r="J7106">
        <v>0</v>
      </c>
      <c r="K7106">
        <v>0</v>
      </c>
      <c r="L7106" s="2">
        <v>0</v>
      </c>
      <c r="M7106">
        <v>70.63</v>
      </c>
      <c r="N7106" t="s">
        <v>10236</v>
      </c>
    </row>
    <row r="7107" spans="1:14">
      <c r="A7107" t="s">
        <v>35</v>
      </c>
      <c r="B7107" t="s">
        <v>7164</v>
      </c>
      <c r="C7107">
        <f>"NT038CUAD"</f>
        <v>0</v>
      </c>
      <c r="D7107">
        <v>0</v>
      </c>
      <c r="E7107">
        <v>0</v>
      </c>
      <c r="F7107" s="2">
        <v>0</v>
      </c>
      <c r="H7107">
        <v>0</v>
      </c>
      <c r="I7107">
        <v>0.1741125760648204</v>
      </c>
      <c r="J7107">
        <v>0</v>
      </c>
      <c r="K7107">
        <v>0</v>
      </c>
      <c r="L7107" s="2">
        <v>0</v>
      </c>
      <c r="M7107">
        <v>70.64</v>
      </c>
      <c r="N7107" t="s">
        <v>10236</v>
      </c>
    </row>
    <row r="7108" spans="1:14">
      <c r="A7108" t="s">
        <v>35</v>
      </c>
      <c r="B7108" t="s">
        <v>7165</v>
      </c>
      <c r="C7108">
        <f>"LS209GB"</f>
        <v>0</v>
      </c>
      <c r="D7108">
        <v>0</v>
      </c>
      <c r="E7108">
        <v>5</v>
      </c>
      <c r="F7108" s="2">
        <v>7</v>
      </c>
      <c r="H7108">
        <v>0</v>
      </c>
      <c r="I7108">
        <v>0.1741125760648204</v>
      </c>
      <c r="J7108">
        <v>0</v>
      </c>
      <c r="K7108">
        <v>0</v>
      </c>
      <c r="L7108" s="2">
        <v>0</v>
      </c>
      <c r="M7108">
        <v>70.65000000000001</v>
      </c>
      <c r="N7108" t="s">
        <v>10236</v>
      </c>
    </row>
    <row r="7109" spans="1:14">
      <c r="A7109" t="s">
        <v>35</v>
      </c>
      <c r="B7109" t="s">
        <v>7166</v>
      </c>
      <c r="C7109">
        <f>"NT038BESO"</f>
        <v>0</v>
      </c>
      <c r="D7109">
        <v>0</v>
      </c>
      <c r="E7109">
        <v>0</v>
      </c>
      <c r="F7109" s="2">
        <v>0</v>
      </c>
      <c r="H7109">
        <v>0</v>
      </c>
      <c r="I7109">
        <v>0.1741125760648204</v>
      </c>
      <c r="J7109">
        <v>0</v>
      </c>
      <c r="K7109">
        <v>0</v>
      </c>
      <c r="L7109" s="2">
        <v>0</v>
      </c>
      <c r="M7109">
        <v>70.66</v>
      </c>
      <c r="N7109" t="s">
        <v>10236</v>
      </c>
    </row>
    <row r="7110" spans="1:14">
      <c r="A7110" t="s">
        <v>35</v>
      </c>
      <c r="B7110" t="s">
        <v>7167</v>
      </c>
      <c r="C7110">
        <f>"NT038BEIROS"</f>
        <v>0</v>
      </c>
      <c r="D7110">
        <v>0</v>
      </c>
      <c r="E7110">
        <v>7</v>
      </c>
      <c r="F7110" s="2">
        <v>0</v>
      </c>
      <c r="H7110">
        <v>0</v>
      </c>
      <c r="I7110">
        <v>0.1741125760648204</v>
      </c>
      <c r="J7110">
        <v>0</v>
      </c>
      <c r="K7110">
        <v>0</v>
      </c>
      <c r="L7110" s="2">
        <v>0</v>
      </c>
      <c r="M7110">
        <v>70.67</v>
      </c>
      <c r="N7110" t="s">
        <v>10236</v>
      </c>
    </row>
    <row r="7111" spans="1:14">
      <c r="A7111" t="s">
        <v>35</v>
      </c>
      <c r="B7111" t="s">
        <v>7168</v>
      </c>
      <c r="C7111">
        <f>"NT038BEIBUR"</f>
        <v>0</v>
      </c>
      <c r="D7111">
        <v>0</v>
      </c>
      <c r="E7111">
        <v>0</v>
      </c>
      <c r="F7111" s="2">
        <v>0</v>
      </c>
      <c r="H7111">
        <v>0</v>
      </c>
      <c r="I7111">
        <v>0.1741125760648204</v>
      </c>
      <c r="J7111">
        <v>0</v>
      </c>
      <c r="K7111">
        <v>0</v>
      </c>
      <c r="L7111" s="2">
        <v>0</v>
      </c>
      <c r="M7111">
        <v>70.67</v>
      </c>
      <c r="N7111" t="s">
        <v>10236</v>
      </c>
    </row>
    <row r="7112" spans="1:14">
      <c r="A7112" t="s">
        <v>35</v>
      </c>
      <c r="B7112" t="s">
        <v>7169</v>
      </c>
      <c r="C7112">
        <f>"NT038AZMARI"</f>
        <v>0</v>
      </c>
      <c r="D7112">
        <v>0</v>
      </c>
      <c r="E7112">
        <v>0</v>
      </c>
      <c r="F7112" s="2">
        <v>0</v>
      </c>
      <c r="H7112">
        <v>0</v>
      </c>
      <c r="I7112">
        <v>0.1741125760648204</v>
      </c>
      <c r="J7112">
        <v>0</v>
      </c>
      <c r="K7112">
        <v>0</v>
      </c>
      <c r="L7112" s="2">
        <v>0</v>
      </c>
      <c r="M7112">
        <v>70.68000000000001</v>
      </c>
      <c r="N7112" t="s">
        <v>10236</v>
      </c>
    </row>
    <row r="7113" spans="1:14">
      <c r="A7113" t="s">
        <v>35</v>
      </c>
      <c r="B7113" t="s">
        <v>7170</v>
      </c>
      <c r="C7113">
        <f>"LS245"</f>
        <v>0</v>
      </c>
      <c r="D7113">
        <v>0</v>
      </c>
      <c r="E7113">
        <v>0</v>
      </c>
      <c r="F7113" s="2">
        <v>0</v>
      </c>
      <c r="H7113">
        <v>0</v>
      </c>
      <c r="I7113">
        <v>0.1741125760648204</v>
      </c>
      <c r="J7113">
        <v>0</v>
      </c>
      <c r="K7113">
        <v>0</v>
      </c>
      <c r="L7113" s="2">
        <v>0</v>
      </c>
      <c r="M7113">
        <v>70.69</v>
      </c>
      <c r="N7113" t="s">
        <v>10236</v>
      </c>
    </row>
    <row r="7114" spans="1:14">
      <c r="A7114" t="s">
        <v>35</v>
      </c>
      <c r="B7114" t="s">
        <v>7171</v>
      </c>
      <c r="C7114">
        <f>"NT002V"</f>
        <v>0</v>
      </c>
      <c r="D7114">
        <v>0</v>
      </c>
      <c r="E7114">
        <v>0</v>
      </c>
      <c r="F7114" s="2">
        <v>0</v>
      </c>
      <c r="H7114">
        <v>0</v>
      </c>
      <c r="I7114">
        <v>0.1741125760648204</v>
      </c>
      <c r="J7114">
        <v>0</v>
      </c>
      <c r="K7114">
        <v>0</v>
      </c>
      <c r="L7114" s="2">
        <v>0</v>
      </c>
      <c r="M7114">
        <v>70.7</v>
      </c>
      <c r="N7114" t="s">
        <v>10236</v>
      </c>
    </row>
    <row r="7115" spans="1:14">
      <c r="A7115" t="s">
        <v>35</v>
      </c>
      <c r="B7115" t="s">
        <v>7172</v>
      </c>
      <c r="C7115">
        <f>"NT002RA"</f>
        <v>0</v>
      </c>
      <c r="D7115">
        <v>0</v>
      </c>
      <c r="E7115">
        <v>0</v>
      </c>
      <c r="F7115" s="2">
        <v>0</v>
      </c>
      <c r="H7115">
        <v>0</v>
      </c>
      <c r="I7115">
        <v>0.1741125760648204</v>
      </c>
      <c r="J7115">
        <v>0</v>
      </c>
      <c r="K7115">
        <v>0</v>
      </c>
      <c r="L7115" s="2">
        <v>0</v>
      </c>
      <c r="M7115">
        <v>70.70999999999999</v>
      </c>
      <c r="N7115" t="s">
        <v>10236</v>
      </c>
    </row>
    <row r="7116" spans="1:14">
      <c r="A7116" t="s">
        <v>35</v>
      </c>
      <c r="B7116" t="s">
        <v>7173</v>
      </c>
      <c r="C7116">
        <f>"NT002A"</f>
        <v>0</v>
      </c>
      <c r="D7116">
        <v>0</v>
      </c>
      <c r="E7116">
        <v>0</v>
      </c>
      <c r="F7116" s="2">
        <v>0</v>
      </c>
      <c r="H7116">
        <v>0</v>
      </c>
      <c r="I7116">
        <v>0.1741125760648204</v>
      </c>
      <c r="J7116">
        <v>0</v>
      </c>
      <c r="K7116">
        <v>0</v>
      </c>
      <c r="L7116" s="2">
        <v>0</v>
      </c>
      <c r="M7116">
        <v>70.72</v>
      </c>
      <c r="N7116" t="s">
        <v>10236</v>
      </c>
    </row>
    <row r="7117" spans="1:14">
      <c r="A7117" t="s">
        <v>35</v>
      </c>
      <c r="B7117" t="s">
        <v>7174</v>
      </c>
      <c r="C7117">
        <f>"B040S"</f>
        <v>0</v>
      </c>
      <c r="D7117">
        <v>0</v>
      </c>
      <c r="E7117">
        <v>0</v>
      </c>
      <c r="F7117" s="2">
        <v>0</v>
      </c>
      <c r="H7117">
        <v>0</v>
      </c>
      <c r="I7117">
        <v>0.1741125760648204</v>
      </c>
      <c r="J7117">
        <v>0</v>
      </c>
      <c r="K7117">
        <v>0</v>
      </c>
      <c r="L7117" s="2">
        <v>0</v>
      </c>
      <c r="M7117">
        <v>70.73</v>
      </c>
      <c r="N7117" t="s">
        <v>10236</v>
      </c>
    </row>
    <row r="7118" spans="1:14">
      <c r="A7118" t="s">
        <v>35</v>
      </c>
      <c r="B7118" t="s">
        <v>7175</v>
      </c>
      <c r="C7118">
        <f>"JH1"</f>
        <v>0</v>
      </c>
      <c r="D7118">
        <v>0</v>
      </c>
      <c r="E7118">
        <v>10</v>
      </c>
      <c r="F7118" s="2">
        <v>1</v>
      </c>
      <c r="H7118">
        <v>0</v>
      </c>
      <c r="I7118">
        <v>0.1741125760648204</v>
      </c>
      <c r="J7118">
        <v>0</v>
      </c>
      <c r="K7118">
        <v>0</v>
      </c>
      <c r="L7118" s="2">
        <v>0</v>
      </c>
      <c r="M7118">
        <v>70.73999999999999</v>
      </c>
      <c r="N7118" t="s">
        <v>10236</v>
      </c>
    </row>
    <row r="7119" spans="1:14">
      <c r="A7119" t="s">
        <v>35</v>
      </c>
      <c r="B7119" t="s">
        <v>7176</v>
      </c>
      <c r="C7119">
        <f>"HC0108"</f>
        <v>0</v>
      </c>
      <c r="D7119">
        <v>0</v>
      </c>
      <c r="E7119">
        <v>0</v>
      </c>
      <c r="F7119" s="2">
        <v>0</v>
      </c>
      <c r="H7119">
        <v>0</v>
      </c>
      <c r="I7119">
        <v>0.1741125760648204</v>
      </c>
      <c r="J7119">
        <v>0</v>
      </c>
      <c r="K7119">
        <v>0</v>
      </c>
      <c r="L7119" s="2">
        <v>0</v>
      </c>
      <c r="M7119">
        <v>70.75</v>
      </c>
      <c r="N7119" t="s">
        <v>10236</v>
      </c>
    </row>
    <row r="7120" spans="1:14">
      <c r="A7120" t="s">
        <v>35</v>
      </c>
      <c r="B7120" t="s">
        <v>7177</v>
      </c>
      <c r="C7120">
        <f>"25570246"</f>
        <v>0</v>
      </c>
      <c r="D7120">
        <v>0</v>
      </c>
      <c r="E7120">
        <v>0</v>
      </c>
      <c r="F7120" s="2">
        <v>0</v>
      </c>
      <c r="H7120">
        <v>0</v>
      </c>
      <c r="I7120">
        <v>0.1741125760648204</v>
      </c>
      <c r="J7120">
        <v>0</v>
      </c>
      <c r="K7120">
        <v>0</v>
      </c>
      <c r="L7120" s="2">
        <v>0</v>
      </c>
      <c r="M7120">
        <v>70.76000000000001</v>
      </c>
      <c r="N7120" t="s">
        <v>10236</v>
      </c>
    </row>
    <row r="7121" spans="1:14">
      <c r="A7121" t="s">
        <v>35</v>
      </c>
      <c r="B7121" t="s">
        <v>7178</v>
      </c>
      <c r="C7121">
        <f>"25570247"</f>
        <v>0</v>
      </c>
      <c r="D7121">
        <v>0</v>
      </c>
      <c r="E7121">
        <v>0</v>
      </c>
      <c r="F7121" s="2">
        <v>0</v>
      </c>
      <c r="H7121">
        <v>0</v>
      </c>
      <c r="I7121">
        <v>0.1741125760648204</v>
      </c>
      <c r="J7121">
        <v>0</v>
      </c>
      <c r="K7121">
        <v>0</v>
      </c>
      <c r="L7121" s="2">
        <v>0</v>
      </c>
      <c r="M7121">
        <v>70.77</v>
      </c>
      <c r="N7121" t="s">
        <v>10236</v>
      </c>
    </row>
    <row r="7122" spans="1:14">
      <c r="A7122" t="s">
        <v>25</v>
      </c>
      <c r="B7122" t="s">
        <v>7179</v>
      </c>
      <c r="C7122">
        <f>"R2ROS"</f>
        <v>0</v>
      </c>
      <c r="D7122">
        <v>0</v>
      </c>
      <c r="E7122">
        <v>0</v>
      </c>
      <c r="F7122" s="2">
        <v>0</v>
      </c>
      <c r="H7122">
        <v>0</v>
      </c>
      <c r="I7122">
        <v>0.1741125760648204</v>
      </c>
      <c r="J7122">
        <v>0</v>
      </c>
      <c r="K7122">
        <v>0</v>
      </c>
      <c r="L7122" s="2">
        <v>0</v>
      </c>
      <c r="M7122">
        <v>70.78</v>
      </c>
      <c r="N7122" t="s">
        <v>10236</v>
      </c>
    </row>
    <row r="7123" spans="1:14">
      <c r="A7123" t="s">
        <v>34</v>
      </c>
      <c r="B7123" t="s">
        <v>7180</v>
      </c>
      <c r="C7123">
        <f>"14000206"</f>
        <v>0</v>
      </c>
      <c r="D7123">
        <v>0</v>
      </c>
      <c r="E7123">
        <v>0</v>
      </c>
      <c r="F7123" s="2">
        <v>0</v>
      </c>
      <c r="H7123">
        <v>0</v>
      </c>
      <c r="I7123">
        <v>0.1741125760648204</v>
      </c>
      <c r="J7123">
        <v>0</v>
      </c>
      <c r="K7123">
        <v>0</v>
      </c>
      <c r="L7123" s="2">
        <v>0</v>
      </c>
      <c r="M7123">
        <v>70.79000000000001</v>
      </c>
      <c r="N7123" t="s">
        <v>10236</v>
      </c>
    </row>
    <row r="7124" spans="1:14">
      <c r="A7124" t="s">
        <v>35</v>
      </c>
      <c r="B7124" t="s">
        <v>7181</v>
      </c>
      <c r="C7124">
        <f>"LS245MOR"</f>
        <v>0</v>
      </c>
      <c r="D7124">
        <v>0</v>
      </c>
      <c r="E7124">
        <v>0</v>
      </c>
      <c r="F7124" s="2">
        <v>0</v>
      </c>
      <c r="H7124">
        <v>0</v>
      </c>
      <c r="I7124">
        <v>0.1741125760648204</v>
      </c>
      <c r="J7124">
        <v>0</v>
      </c>
      <c r="K7124">
        <v>0</v>
      </c>
      <c r="L7124" s="2">
        <v>0</v>
      </c>
      <c r="M7124">
        <v>70.79000000000001</v>
      </c>
      <c r="N7124" t="s">
        <v>10236</v>
      </c>
    </row>
    <row r="7125" spans="1:14">
      <c r="A7125" t="s">
        <v>35</v>
      </c>
      <c r="B7125" t="s">
        <v>7182</v>
      </c>
      <c r="C7125">
        <f>"LS223G"</f>
        <v>0</v>
      </c>
      <c r="D7125">
        <v>0</v>
      </c>
      <c r="E7125">
        <v>8</v>
      </c>
      <c r="F7125" s="2">
        <v>8</v>
      </c>
      <c r="H7125">
        <v>0</v>
      </c>
      <c r="I7125">
        <v>0.1741125760648204</v>
      </c>
      <c r="J7125">
        <v>0</v>
      </c>
      <c r="K7125">
        <v>0</v>
      </c>
      <c r="L7125" s="2">
        <v>0</v>
      </c>
      <c r="M7125">
        <v>70.8</v>
      </c>
      <c r="N7125" t="s">
        <v>10236</v>
      </c>
    </row>
    <row r="7126" spans="1:14">
      <c r="A7126" t="s">
        <v>35</v>
      </c>
      <c r="B7126" t="s">
        <v>7183</v>
      </c>
      <c r="C7126">
        <f>"LS223C"</f>
        <v>0</v>
      </c>
      <c r="D7126">
        <v>0</v>
      </c>
      <c r="E7126">
        <v>9</v>
      </c>
      <c r="F7126" s="2">
        <v>8</v>
      </c>
      <c r="H7126">
        <v>0</v>
      </c>
      <c r="I7126">
        <v>0.1741125760648204</v>
      </c>
      <c r="J7126">
        <v>0</v>
      </c>
      <c r="K7126">
        <v>0</v>
      </c>
      <c r="L7126" s="2">
        <v>0</v>
      </c>
      <c r="M7126">
        <v>70.81</v>
      </c>
      <c r="N7126" t="s">
        <v>10236</v>
      </c>
    </row>
    <row r="7127" spans="1:14">
      <c r="A7127" t="s">
        <v>35</v>
      </c>
      <c r="B7127" t="s">
        <v>7184</v>
      </c>
      <c r="C7127">
        <f>"LS246MOR"</f>
        <v>0</v>
      </c>
      <c r="D7127">
        <v>0</v>
      </c>
      <c r="E7127">
        <v>1</v>
      </c>
      <c r="F7127" s="2">
        <v>2</v>
      </c>
      <c r="H7127">
        <v>0</v>
      </c>
      <c r="I7127">
        <v>0.1741125760648204</v>
      </c>
      <c r="J7127">
        <v>0</v>
      </c>
      <c r="K7127">
        <v>0</v>
      </c>
      <c r="L7127" s="2">
        <v>0</v>
      </c>
      <c r="M7127">
        <v>70.81999999999999</v>
      </c>
      <c r="N7127" t="s">
        <v>10236</v>
      </c>
    </row>
    <row r="7128" spans="1:14">
      <c r="A7128" t="s">
        <v>35</v>
      </c>
      <c r="B7128" t="s">
        <v>7185</v>
      </c>
      <c r="C7128">
        <f>"LS246CEL"</f>
        <v>0</v>
      </c>
      <c r="D7128">
        <v>0</v>
      </c>
      <c r="E7128">
        <v>2</v>
      </c>
      <c r="F7128" s="2">
        <v>2</v>
      </c>
      <c r="H7128">
        <v>0</v>
      </c>
      <c r="I7128">
        <v>0.1741125760648204</v>
      </c>
      <c r="J7128">
        <v>0</v>
      </c>
      <c r="K7128">
        <v>0</v>
      </c>
      <c r="L7128" s="2">
        <v>0</v>
      </c>
      <c r="M7128">
        <v>70.83</v>
      </c>
      <c r="N7128" t="s">
        <v>10236</v>
      </c>
    </row>
    <row r="7129" spans="1:14">
      <c r="A7129" t="s">
        <v>35</v>
      </c>
      <c r="B7129" t="s">
        <v>7186</v>
      </c>
      <c r="C7129">
        <f>"NT038AIRIS"</f>
        <v>0</v>
      </c>
      <c r="D7129">
        <v>0</v>
      </c>
      <c r="E7129">
        <v>0</v>
      </c>
      <c r="F7129" s="2">
        <v>0</v>
      </c>
      <c r="H7129">
        <v>0</v>
      </c>
      <c r="I7129">
        <v>0.1741125760648204</v>
      </c>
      <c r="J7129">
        <v>0</v>
      </c>
      <c r="K7129">
        <v>0</v>
      </c>
      <c r="L7129" s="2">
        <v>0</v>
      </c>
      <c r="M7129">
        <v>70.84</v>
      </c>
      <c r="N7129" t="s">
        <v>10236</v>
      </c>
    </row>
    <row r="7130" spans="1:14">
      <c r="A7130" t="s">
        <v>192</v>
      </c>
      <c r="B7130" t="s">
        <v>7187</v>
      </c>
      <c r="C7130">
        <f>"FT03"</f>
        <v>0</v>
      </c>
      <c r="D7130">
        <v>0</v>
      </c>
      <c r="E7130">
        <v>0</v>
      </c>
      <c r="F7130" s="2">
        <v>0</v>
      </c>
      <c r="H7130">
        <v>0</v>
      </c>
      <c r="I7130">
        <v>0.1741125760648204</v>
      </c>
      <c r="J7130">
        <v>0</v>
      </c>
      <c r="K7130">
        <v>0</v>
      </c>
      <c r="L7130" s="2">
        <v>0</v>
      </c>
      <c r="M7130">
        <v>70.84999999999999</v>
      </c>
      <c r="N7130" t="s">
        <v>10236</v>
      </c>
    </row>
    <row r="7131" spans="1:14">
      <c r="A7131" t="s">
        <v>35</v>
      </c>
      <c r="B7131" t="s">
        <v>7188</v>
      </c>
      <c r="C7131">
        <f>"LS287NA"</f>
        <v>0</v>
      </c>
      <c r="D7131">
        <v>0</v>
      </c>
      <c r="E7131">
        <v>0</v>
      </c>
      <c r="F7131" s="2">
        <v>0</v>
      </c>
      <c r="H7131">
        <v>0</v>
      </c>
      <c r="I7131">
        <v>0.1741125760648204</v>
      </c>
      <c r="J7131">
        <v>0</v>
      </c>
      <c r="K7131">
        <v>0</v>
      </c>
      <c r="L7131" s="2">
        <v>0</v>
      </c>
      <c r="M7131">
        <v>70.86</v>
      </c>
      <c r="N7131" t="s">
        <v>10236</v>
      </c>
    </row>
    <row r="7132" spans="1:14">
      <c r="A7132" t="s">
        <v>35</v>
      </c>
      <c r="B7132" t="s">
        <v>7189</v>
      </c>
      <c r="C7132">
        <f>"ls287"</f>
        <v>0</v>
      </c>
      <c r="D7132">
        <v>0</v>
      </c>
      <c r="E7132">
        <v>2</v>
      </c>
      <c r="F7132" s="2">
        <v>6</v>
      </c>
      <c r="H7132">
        <v>0</v>
      </c>
      <c r="I7132">
        <v>0.1741125760648204</v>
      </c>
      <c r="J7132">
        <v>0</v>
      </c>
      <c r="K7132">
        <v>0</v>
      </c>
      <c r="L7132" s="2">
        <v>0</v>
      </c>
      <c r="M7132">
        <v>70.87</v>
      </c>
      <c r="N7132" t="s">
        <v>10236</v>
      </c>
    </row>
    <row r="7133" spans="1:14">
      <c r="A7133" t="s">
        <v>25</v>
      </c>
      <c r="B7133" t="s">
        <v>7190</v>
      </c>
      <c r="C7133">
        <f>"TR058"</f>
        <v>0</v>
      </c>
      <c r="D7133">
        <v>0</v>
      </c>
      <c r="E7133">
        <v>0</v>
      </c>
      <c r="F7133" s="2">
        <v>0</v>
      </c>
      <c r="H7133">
        <v>0</v>
      </c>
      <c r="I7133">
        <v>0.1741125760648204</v>
      </c>
      <c r="J7133">
        <v>0</v>
      </c>
      <c r="K7133">
        <v>0</v>
      </c>
      <c r="L7133" s="2">
        <v>0</v>
      </c>
      <c r="M7133">
        <v>70.88</v>
      </c>
      <c r="N7133" t="s">
        <v>10236</v>
      </c>
    </row>
    <row r="7134" spans="1:14">
      <c r="A7134" t="s">
        <v>25</v>
      </c>
      <c r="B7134" t="s">
        <v>7191</v>
      </c>
      <c r="C7134">
        <f>"TR059"</f>
        <v>0</v>
      </c>
      <c r="D7134">
        <v>0</v>
      </c>
      <c r="E7134">
        <v>0</v>
      </c>
      <c r="F7134" s="2">
        <v>0</v>
      </c>
      <c r="H7134">
        <v>0</v>
      </c>
      <c r="I7134">
        <v>0.1741125760648204</v>
      </c>
      <c r="J7134">
        <v>0</v>
      </c>
      <c r="K7134">
        <v>0</v>
      </c>
      <c r="L7134" s="2">
        <v>0</v>
      </c>
      <c r="M7134">
        <v>70.89</v>
      </c>
      <c r="N7134" t="s">
        <v>10236</v>
      </c>
    </row>
    <row r="7135" spans="1:14">
      <c r="A7135" t="s">
        <v>192</v>
      </c>
      <c r="B7135" t="s">
        <v>7192</v>
      </c>
      <c r="C7135">
        <f>"6507"</f>
        <v>0</v>
      </c>
      <c r="D7135">
        <v>0</v>
      </c>
      <c r="E7135">
        <v>0</v>
      </c>
      <c r="F7135" s="2">
        <v>0</v>
      </c>
      <c r="H7135">
        <v>0</v>
      </c>
      <c r="I7135">
        <v>0.1741125760648204</v>
      </c>
      <c r="J7135">
        <v>0</v>
      </c>
      <c r="K7135">
        <v>0</v>
      </c>
      <c r="L7135" s="2">
        <v>0</v>
      </c>
      <c r="M7135">
        <v>70.90000000000001</v>
      </c>
      <c r="N7135" t="s">
        <v>10236</v>
      </c>
    </row>
    <row r="7136" spans="1:14">
      <c r="A7136" t="s">
        <v>25</v>
      </c>
      <c r="B7136" t="s">
        <v>7193</v>
      </c>
      <c r="C7136">
        <f>"AYCS171"</f>
        <v>0</v>
      </c>
      <c r="D7136">
        <v>0</v>
      </c>
      <c r="E7136">
        <v>0</v>
      </c>
      <c r="F7136" s="2">
        <v>0</v>
      </c>
      <c r="H7136">
        <v>0</v>
      </c>
      <c r="I7136">
        <v>0.1741125760648204</v>
      </c>
      <c r="J7136">
        <v>0</v>
      </c>
      <c r="K7136">
        <v>0</v>
      </c>
      <c r="L7136" s="2">
        <v>0</v>
      </c>
      <c r="M7136">
        <v>70.91</v>
      </c>
      <c r="N7136" t="s">
        <v>10236</v>
      </c>
    </row>
    <row r="7137" spans="1:14">
      <c r="A7137" t="s">
        <v>25</v>
      </c>
      <c r="B7137" t="s">
        <v>7194</v>
      </c>
      <c r="C7137">
        <f>"RJ132"</f>
        <v>0</v>
      </c>
      <c r="D7137">
        <v>0</v>
      </c>
      <c r="E7137">
        <v>0</v>
      </c>
      <c r="F7137" s="2">
        <v>0</v>
      </c>
      <c r="H7137">
        <v>0</v>
      </c>
      <c r="I7137">
        <v>0.1741125760648204</v>
      </c>
      <c r="J7137">
        <v>0</v>
      </c>
      <c r="K7137">
        <v>0</v>
      </c>
      <c r="L7137" s="2">
        <v>0</v>
      </c>
      <c r="M7137">
        <v>70.91</v>
      </c>
      <c r="N7137" t="s">
        <v>10236</v>
      </c>
    </row>
    <row r="7138" spans="1:14">
      <c r="A7138" t="s">
        <v>35</v>
      </c>
      <c r="B7138" t="s">
        <v>7195</v>
      </c>
      <c r="C7138">
        <f>"LS286R"</f>
        <v>0</v>
      </c>
      <c r="D7138">
        <v>0</v>
      </c>
      <c r="E7138">
        <v>4</v>
      </c>
      <c r="F7138" s="2">
        <v>3</v>
      </c>
      <c r="H7138">
        <v>0</v>
      </c>
      <c r="I7138">
        <v>0.1741125760648204</v>
      </c>
      <c r="J7138">
        <v>0</v>
      </c>
      <c r="K7138">
        <v>0</v>
      </c>
      <c r="L7138" s="2">
        <v>0</v>
      </c>
      <c r="M7138">
        <v>70.92</v>
      </c>
      <c r="N7138" t="s">
        <v>10236</v>
      </c>
    </row>
    <row r="7139" spans="1:14">
      <c r="A7139" t="s">
        <v>35</v>
      </c>
      <c r="B7139" t="s">
        <v>7196</v>
      </c>
      <c r="C7139">
        <f>"LS286C"</f>
        <v>0</v>
      </c>
      <c r="D7139">
        <v>0</v>
      </c>
      <c r="E7139">
        <v>2</v>
      </c>
      <c r="F7139" s="2">
        <v>3</v>
      </c>
      <c r="H7139">
        <v>0</v>
      </c>
      <c r="I7139">
        <v>0.1741125760648204</v>
      </c>
      <c r="J7139">
        <v>0</v>
      </c>
      <c r="K7139">
        <v>0</v>
      </c>
      <c r="L7139" s="2">
        <v>0</v>
      </c>
      <c r="M7139">
        <v>70.93000000000001</v>
      </c>
      <c r="N7139" t="s">
        <v>10236</v>
      </c>
    </row>
    <row r="7140" spans="1:14">
      <c r="A7140" t="s">
        <v>35</v>
      </c>
      <c r="B7140" t="s">
        <v>7197</v>
      </c>
      <c r="C7140">
        <f>"LS286A"</f>
        <v>0</v>
      </c>
      <c r="D7140">
        <v>0</v>
      </c>
      <c r="E7140">
        <v>1</v>
      </c>
      <c r="F7140" s="2">
        <v>3</v>
      </c>
      <c r="H7140">
        <v>0</v>
      </c>
      <c r="I7140">
        <v>0.1741125760648204</v>
      </c>
      <c r="J7140">
        <v>0</v>
      </c>
      <c r="K7140">
        <v>0</v>
      </c>
      <c r="L7140" s="2">
        <v>0</v>
      </c>
      <c r="M7140">
        <v>70.94</v>
      </c>
      <c r="N7140" t="s">
        <v>10236</v>
      </c>
    </row>
    <row r="7141" spans="1:14">
      <c r="A7141" t="s">
        <v>192</v>
      </c>
      <c r="B7141" t="s">
        <v>7198</v>
      </c>
      <c r="C7141">
        <f>"2910"</f>
        <v>0</v>
      </c>
      <c r="D7141">
        <v>0</v>
      </c>
      <c r="E7141">
        <v>0</v>
      </c>
      <c r="F7141" s="2">
        <v>0</v>
      </c>
      <c r="H7141">
        <v>0</v>
      </c>
      <c r="I7141">
        <v>0.1741125760648204</v>
      </c>
      <c r="J7141">
        <v>0</v>
      </c>
      <c r="K7141">
        <v>0</v>
      </c>
      <c r="L7141" s="2">
        <v>0</v>
      </c>
      <c r="M7141">
        <v>70.95</v>
      </c>
      <c r="N7141" t="s">
        <v>10236</v>
      </c>
    </row>
    <row r="7142" spans="1:14">
      <c r="A7142" t="s">
        <v>25</v>
      </c>
      <c r="B7142" t="s">
        <v>7199</v>
      </c>
      <c r="C7142">
        <f>"CH9408"</f>
        <v>0</v>
      </c>
      <c r="D7142">
        <v>0</v>
      </c>
      <c r="E7142">
        <v>0</v>
      </c>
      <c r="F7142" s="2">
        <v>0</v>
      </c>
      <c r="H7142">
        <v>0</v>
      </c>
      <c r="I7142">
        <v>0.1741125760648204</v>
      </c>
      <c r="J7142">
        <v>0</v>
      </c>
      <c r="K7142">
        <v>0</v>
      </c>
      <c r="L7142" s="2">
        <v>0</v>
      </c>
      <c r="M7142">
        <v>70.95999999999999</v>
      </c>
      <c r="N7142" t="s">
        <v>10236</v>
      </c>
    </row>
    <row r="7143" spans="1:14">
      <c r="A7143" t="s">
        <v>35</v>
      </c>
      <c r="B7143" t="s">
        <v>7200</v>
      </c>
      <c r="C7143">
        <f>"2960MIXROS"</f>
        <v>0</v>
      </c>
      <c r="D7143">
        <v>0</v>
      </c>
      <c r="E7143">
        <v>2</v>
      </c>
      <c r="F7143" s="2">
        <v>0</v>
      </c>
      <c r="H7143">
        <v>0</v>
      </c>
      <c r="I7143">
        <v>0.1741125760648204</v>
      </c>
      <c r="J7143">
        <v>0</v>
      </c>
      <c r="K7143">
        <v>0</v>
      </c>
      <c r="L7143" s="2">
        <v>0</v>
      </c>
      <c r="M7143">
        <v>70.97</v>
      </c>
      <c r="N7143" t="s">
        <v>10236</v>
      </c>
    </row>
    <row r="7144" spans="1:14">
      <c r="A7144" t="s">
        <v>35</v>
      </c>
      <c r="B7144" t="s">
        <v>7201</v>
      </c>
      <c r="C7144">
        <f>"PT015SFM"</f>
        <v>0</v>
      </c>
      <c r="D7144">
        <v>0</v>
      </c>
      <c r="E7144">
        <v>0</v>
      </c>
      <c r="F7144" s="2">
        <v>0</v>
      </c>
      <c r="H7144">
        <v>0</v>
      </c>
      <c r="I7144">
        <v>0.1741125760648204</v>
      </c>
      <c r="J7144">
        <v>0</v>
      </c>
      <c r="K7144">
        <v>0</v>
      </c>
      <c r="L7144" s="2">
        <v>0</v>
      </c>
      <c r="M7144">
        <v>70.98</v>
      </c>
      <c r="N7144" t="s">
        <v>10236</v>
      </c>
    </row>
    <row r="7145" spans="1:14">
      <c r="A7145" t="s">
        <v>192</v>
      </c>
      <c r="B7145" t="s">
        <v>7202</v>
      </c>
      <c r="C7145">
        <f>"890114"</f>
        <v>0</v>
      </c>
      <c r="D7145">
        <v>0</v>
      </c>
      <c r="E7145">
        <v>0</v>
      </c>
      <c r="F7145" s="2">
        <v>0</v>
      </c>
      <c r="H7145">
        <v>0</v>
      </c>
      <c r="I7145">
        <v>0.1741125760648204</v>
      </c>
      <c r="J7145">
        <v>0</v>
      </c>
      <c r="K7145">
        <v>0</v>
      </c>
      <c r="L7145" s="2">
        <v>0</v>
      </c>
      <c r="M7145">
        <v>70.98999999999999</v>
      </c>
      <c r="N7145" t="s">
        <v>10236</v>
      </c>
    </row>
    <row r="7146" spans="1:14">
      <c r="A7146" t="s">
        <v>192</v>
      </c>
      <c r="B7146" t="s">
        <v>7203</v>
      </c>
      <c r="C7146">
        <f>"890211"</f>
        <v>0</v>
      </c>
      <c r="D7146">
        <v>0</v>
      </c>
      <c r="E7146">
        <v>0</v>
      </c>
      <c r="F7146" s="2">
        <v>0</v>
      </c>
      <c r="H7146">
        <v>0</v>
      </c>
      <c r="I7146">
        <v>0.1741125760648204</v>
      </c>
      <c r="J7146">
        <v>0</v>
      </c>
      <c r="K7146">
        <v>0</v>
      </c>
      <c r="L7146" s="2">
        <v>0</v>
      </c>
      <c r="M7146">
        <v>71</v>
      </c>
      <c r="N7146" t="s">
        <v>10236</v>
      </c>
    </row>
    <row r="7147" spans="1:14">
      <c r="A7147" t="s">
        <v>35</v>
      </c>
      <c r="B7147" t="s">
        <v>7204</v>
      </c>
      <c r="C7147">
        <f>"LS222NA"</f>
        <v>0</v>
      </c>
      <c r="D7147">
        <v>0</v>
      </c>
      <c r="E7147">
        <v>0</v>
      </c>
      <c r="F7147" s="2">
        <v>0</v>
      </c>
      <c r="H7147">
        <v>0</v>
      </c>
      <c r="I7147">
        <v>0.1741125760648204</v>
      </c>
      <c r="J7147">
        <v>0</v>
      </c>
      <c r="K7147">
        <v>0</v>
      </c>
      <c r="L7147" s="2">
        <v>0</v>
      </c>
      <c r="M7147">
        <v>71.01000000000001</v>
      </c>
      <c r="N7147" t="s">
        <v>10236</v>
      </c>
    </row>
    <row r="7148" spans="1:14">
      <c r="A7148" t="s">
        <v>35</v>
      </c>
      <c r="B7148" t="s">
        <v>7205</v>
      </c>
      <c r="C7148">
        <f>"LS222CE"</f>
        <v>0</v>
      </c>
      <c r="D7148">
        <v>0</v>
      </c>
      <c r="E7148">
        <v>2</v>
      </c>
      <c r="F7148" s="2">
        <v>6</v>
      </c>
      <c r="H7148">
        <v>0</v>
      </c>
      <c r="I7148">
        <v>0.1741125760648204</v>
      </c>
      <c r="J7148">
        <v>0</v>
      </c>
      <c r="K7148">
        <v>0</v>
      </c>
      <c r="L7148" s="2">
        <v>0</v>
      </c>
      <c r="M7148">
        <v>71.02</v>
      </c>
      <c r="N7148" t="s">
        <v>10236</v>
      </c>
    </row>
    <row r="7149" spans="1:14">
      <c r="A7149" t="s">
        <v>35</v>
      </c>
      <c r="B7149" t="s">
        <v>7206</v>
      </c>
      <c r="C7149">
        <f>"LS299"</f>
        <v>0</v>
      </c>
      <c r="D7149">
        <v>0</v>
      </c>
      <c r="E7149">
        <v>2</v>
      </c>
      <c r="F7149" s="2">
        <v>4</v>
      </c>
      <c r="H7149">
        <v>0</v>
      </c>
      <c r="I7149">
        <v>0.1741125760648204</v>
      </c>
      <c r="J7149">
        <v>0</v>
      </c>
      <c r="K7149">
        <v>0</v>
      </c>
      <c r="L7149" s="2">
        <v>0</v>
      </c>
      <c r="M7149">
        <v>71.02</v>
      </c>
      <c r="N7149" t="s">
        <v>10236</v>
      </c>
    </row>
    <row r="7150" spans="1:14">
      <c r="A7150" t="s">
        <v>35</v>
      </c>
      <c r="B7150" t="s">
        <v>7207</v>
      </c>
      <c r="C7150">
        <f>"LS299NA"</f>
        <v>0</v>
      </c>
      <c r="D7150">
        <v>0</v>
      </c>
      <c r="E7150">
        <v>1</v>
      </c>
      <c r="F7150" s="2">
        <v>0</v>
      </c>
      <c r="H7150">
        <v>0</v>
      </c>
      <c r="I7150">
        <v>0.1741125760648204</v>
      </c>
      <c r="J7150">
        <v>0</v>
      </c>
      <c r="K7150">
        <v>0</v>
      </c>
      <c r="L7150" s="2">
        <v>0</v>
      </c>
      <c r="M7150">
        <v>71.03</v>
      </c>
      <c r="N7150" t="s">
        <v>10236</v>
      </c>
    </row>
    <row r="7151" spans="1:14">
      <c r="A7151" t="s">
        <v>35</v>
      </c>
      <c r="B7151" t="s">
        <v>7208</v>
      </c>
      <c r="C7151">
        <f>"LS299G"</f>
        <v>0</v>
      </c>
      <c r="D7151">
        <v>0</v>
      </c>
      <c r="E7151">
        <v>1</v>
      </c>
      <c r="F7151" s="2">
        <v>0</v>
      </c>
      <c r="H7151">
        <v>0</v>
      </c>
      <c r="I7151">
        <v>0.1741125760648204</v>
      </c>
      <c r="J7151">
        <v>0</v>
      </c>
      <c r="K7151">
        <v>0</v>
      </c>
      <c r="L7151" s="2">
        <v>0</v>
      </c>
      <c r="M7151">
        <v>71.04000000000001</v>
      </c>
      <c r="N7151" t="s">
        <v>10236</v>
      </c>
    </row>
    <row r="7152" spans="1:14">
      <c r="A7152" t="s">
        <v>35</v>
      </c>
      <c r="B7152" t="s">
        <v>7209</v>
      </c>
      <c r="C7152">
        <f>"RJ815R"</f>
        <v>0</v>
      </c>
      <c r="D7152">
        <v>0</v>
      </c>
      <c r="E7152">
        <v>0</v>
      </c>
      <c r="F7152" s="2">
        <v>0</v>
      </c>
      <c r="H7152">
        <v>0</v>
      </c>
      <c r="I7152">
        <v>0.1741125760648204</v>
      </c>
      <c r="J7152">
        <v>0</v>
      </c>
      <c r="K7152">
        <v>0</v>
      </c>
      <c r="L7152" s="2">
        <v>0</v>
      </c>
      <c r="M7152">
        <v>71.05</v>
      </c>
      <c r="N7152" t="s">
        <v>10236</v>
      </c>
    </row>
    <row r="7153" spans="1:14">
      <c r="A7153" t="s">
        <v>35</v>
      </c>
      <c r="B7153" t="s">
        <v>7210</v>
      </c>
      <c r="C7153">
        <f>"RJ815C"</f>
        <v>0</v>
      </c>
      <c r="D7153">
        <v>0</v>
      </c>
      <c r="E7153">
        <v>0</v>
      </c>
      <c r="F7153" s="2">
        <v>0</v>
      </c>
      <c r="H7153">
        <v>0</v>
      </c>
      <c r="I7153">
        <v>0.1741125760648204</v>
      </c>
      <c r="J7153">
        <v>0</v>
      </c>
      <c r="K7153">
        <v>0</v>
      </c>
      <c r="L7153" s="2">
        <v>0</v>
      </c>
      <c r="M7153">
        <v>71.06</v>
      </c>
      <c r="N7153" t="s">
        <v>10236</v>
      </c>
    </row>
    <row r="7154" spans="1:14">
      <c r="A7154" t="s">
        <v>35</v>
      </c>
      <c r="B7154" t="s">
        <v>7211</v>
      </c>
      <c r="C7154">
        <f>"RJ815A"</f>
        <v>0</v>
      </c>
      <c r="D7154">
        <v>0</v>
      </c>
      <c r="E7154">
        <v>0</v>
      </c>
      <c r="F7154" s="2">
        <v>0</v>
      </c>
      <c r="H7154">
        <v>0</v>
      </c>
      <c r="I7154">
        <v>0.1741125760648204</v>
      </c>
      <c r="J7154">
        <v>0</v>
      </c>
      <c r="K7154">
        <v>0</v>
      </c>
      <c r="L7154" s="2">
        <v>0</v>
      </c>
      <c r="M7154">
        <v>71.06999999999999</v>
      </c>
      <c r="N7154" t="s">
        <v>10236</v>
      </c>
    </row>
    <row r="7155" spans="1:14">
      <c r="A7155" t="s">
        <v>35</v>
      </c>
      <c r="B7155" t="s">
        <v>7212</v>
      </c>
      <c r="C7155">
        <f>"RJ815G"</f>
        <v>0</v>
      </c>
      <c r="D7155">
        <v>0</v>
      </c>
      <c r="E7155">
        <v>0</v>
      </c>
      <c r="F7155" s="2">
        <v>0</v>
      </c>
      <c r="H7155">
        <v>0</v>
      </c>
      <c r="I7155">
        <v>0.1741125760648204</v>
      </c>
      <c r="J7155">
        <v>0</v>
      </c>
      <c r="K7155">
        <v>0</v>
      </c>
      <c r="L7155" s="2">
        <v>0</v>
      </c>
      <c r="M7155">
        <v>71.08</v>
      </c>
      <c r="N7155" t="s">
        <v>10236</v>
      </c>
    </row>
    <row r="7156" spans="1:14">
      <c r="A7156" t="s">
        <v>35</v>
      </c>
      <c r="B7156" t="s">
        <v>7213</v>
      </c>
      <c r="C7156">
        <f>"RJ815"</f>
        <v>0</v>
      </c>
      <c r="D7156">
        <v>0</v>
      </c>
      <c r="E7156">
        <v>0</v>
      </c>
      <c r="F7156" s="2">
        <v>0</v>
      </c>
      <c r="H7156">
        <v>0</v>
      </c>
      <c r="I7156">
        <v>0.1741125760648204</v>
      </c>
      <c r="J7156">
        <v>0</v>
      </c>
      <c r="K7156">
        <v>0</v>
      </c>
      <c r="L7156" s="2">
        <v>0</v>
      </c>
      <c r="M7156">
        <v>71.09</v>
      </c>
      <c r="N7156" t="s">
        <v>10236</v>
      </c>
    </row>
    <row r="7157" spans="1:14">
      <c r="A7157" t="s">
        <v>29</v>
      </c>
      <c r="B7157" t="s">
        <v>7214</v>
      </c>
      <c r="C7157">
        <f>"CALCA"</f>
        <v>0</v>
      </c>
      <c r="D7157">
        <v>0</v>
      </c>
      <c r="E7157">
        <v>0</v>
      </c>
      <c r="F7157" s="2">
        <v>0</v>
      </c>
      <c r="H7157">
        <v>0</v>
      </c>
      <c r="I7157">
        <v>0.1741125760648204</v>
      </c>
      <c r="J7157">
        <v>0</v>
      </c>
      <c r="K7157">
        <v>0</v>
      </c>
      <c r="L7157" s="2">
        <v>0</v>
      </c>
      <c r="M7157">
        <v>71.09999999999999</v>
      </c>
      <c r="N7157" t="s">
        <v>10236</v>
      </c>
    </row>
    <row r="7158" spans="1:14">
      <c r="A7158" t="s">
        <v>192</v>
      </c>
      <c r="B7158" t="s">
        <v>7215</v>
      </c>
      <c r="C7158">
        <f>"LN177"</f>
        <v>0</v>
      </c>
      <c r="D7158">
        <v>0</v>
      </c>
      <c r="E7158">
        <v>0</v>
      </c>
      <c r="F7158" s="2">
        <v>0</v>
      </c>
      <c r="H7158">
        <v>0</v>
      </c>
      <c r="I7158">
        <v>0.1741125760648204</v>
      </c>
      <c r="J7158">
        <v>0</v>
      </c>
      <c r="K7158">
        <v>0</v>
      </c>
      <c r="L7158" s="2">
        <v>0</v>
      </c>
      <c r="M7158">
        <v>71.11</v>
      </c>
      <c r="N7158" t="s">
        <v>10236</v>
      </c>
    </row>
    <row r="7159" spans="1:14">
      <c r="A7159" t="s">
        <v>192</v>
      </c>
      <c r="B7159" t="s">
        <v>7216</v>
      </c>
      <c r="C7159">
        <f>"6505"</f>
        <v>0</v>
      </c>
      <c r="D7159">
        <v>0</v>
      </c>
      <c r="E7159">
        <v>0</v>
      </c>
      <c r="F7159" s="2">
        <v>0</v>
      </c>
      <c r="H7159">
        <v>0</v>
      </c>
      <c r="I7159">
        <v>0.1741125760648204</v>
      </c>
      <c r="J7159">
        <v>0</v>
      </c>
      <c r="K7159">
        <v>0</v>
      </c>
      <c r="L7159" s="2">
        <v>0</v>
      </c>
      <c r="M7159">
        <v>71.12</v>
      </c>
      <c r="N7159" t="s">
        <v>10236</v>
      </c>
    </row>
    <row r="7160" spans="1:14">
      <c r="A7160" t="s">
        <v>35</v>
      </c>
      <c r="B7160" t="s">
        <v>7217</v>
      </c>
      <c r="C7160">
        <f>"2960MIXCAF"</f>
        <v>0</v>
      </c>
      <c r="D7160">
        <v>0</v>
      </c>
      <c r="E7160">
        <v>1</v>
      </c>
      <c r="F7160" s="2">
        <v>0</v>
      </c>
      <c r="H7160">
        <v>0</v>
      </c>
      <c r="I7160">
        <v>0.1741125760648204</v>
      </c>
      <c r="J7160">
        <v>0</v>
      </c>
      <c r="K7160">
        <v>0</v>
      </c>
      <c r="L7160" s="2">
        <v>0</v>
      </c>
      <c r="M7160">
        <v>71.13</v>
      </c>
      <c r="N7160" t="s">
        <v>10236</v>
      </c>
    </row>
    <row r="7161" spans="1:14">
      <c r="A7161" t="s">
        <v>35</v>
      </c>
      <c r="B7161" t="s">
        <v>7218</v>
      </c>
      <c r="C7161">
        <f>"PT015SDR"</f>
        <v>0</v>
      </c>
      <c r="D7161">
        <v>0</v>
      </c>
      <c r="E7161">
        <v>0</v>
      </c>
      <c r="F7161" s="2">
        <v>0</v>
      </c>
      <c r="H7161">
        <v>0</v>
      </c>
      <c r="I7161">
        <v>0.1741125760648204</v>
      </c>
      <c r="J7161">
        <v>0</v>
      </c>
      <c r="K7161">
        <v>0</v>
      </c>
      <c r="L7161" s="2">
        <v>0</v>
      </c>
      <c r="M7161">
        <v>71.14</v>
      </c>
      <c r="N7161" t="s">
        <v>10236</v>
      </c>
    </row>
    <row r="7162" spans="1:14">
      <c r="A7162" t="s">
        <v>35</v>
      </c>
      <c r="B7162" t="s">
        <v>7219</v>
      </c>
      <c r="C7162">
        <f>"PT015XXLFNEG"</f>
        <v>0</v>
      </c>
      <c r="D7162">
        <v>0</v>
      </c>
      <c r="E7162">
        <v>0</v>
      </c>
      <c r="F7162" s="2">
        <v>0</v>
      </c>
      <c r="H7162">
        <v>0</v>
      </c>
      <c r="I7162">
        <v>0.1741125760648204</v>
      </c>
      <c r="J7162">
        <v>0</v>
      </c>
      <c r="K7162">
        <v>0</v>
      </c>
      <c r="L7162" s="2">
        <v>0</v>
      </c>
      <c r="M7162">
        <v>71.14</v>
      </c>
      <c r="N7162" t="s">
        <v>10236</v>
      </c>
    </row>
    <row r="7163" spans="1:14">
      <c r="A7163" t="s">
        <v>35</v>
      </c>
      <c r="B7163" t="s">
        <v>7220</v>
      </c>
      <c r="C7163">
        <f>"PT015XXLFMOR"</f>
        <v>0</v>
      </c>
      <c r="D7163">
        <v>0</v>
      </c>
      <c r="E7163">
        <v>1</v>
      </c>
      <c r="F7163" s="2">
        <v>4</v>
      </c>
      <c r="H7163">
        <v>0</v>
      </c>
      <c r="I7163">
        <v>0.1741125760648204</v>
      </c>
      <c r="J7163">
        <v>0</v>
      </c>
      <c r="K7163">
        <v>0</v>
      </c>
      <c r="L7163" s="2">
        <v>0</v>
      </c>
      <c r="M7163">
        <v>71.15000000000001</v>
      </c>
      <c r="N7163" t="s">
        <v>10236</v>
      </c>
    </row>
    <row r="7164" spans="1:14">
      <c r="A7164" t="s">
        <v>35</v>
      </c>
      <c r="B7164" t="s">
        <v>7221</v>
      </c>
      <c r="C7164">
        <f>"PT015XXLFA"</f>
        <v>0</v>
      </c>
      <c r="D7164">
        <v>0</v>
      </c>
      <c r="E7164">
        <v>1</v>
      </c>
      <c r="F7164" s="2">
        <v>0</v>
      </c>
      <c r="H7164">
        <v>0</v>
      </c>
      <c r="I7164">
        <v>0.1741125760648204</v>
      </c>
      <c r="J7164">
        <v>0</v>
      </c>
      <c r="K7164">
        <v>0</v>
      </c>
      <c r="L7164" s="2">
        <v>0</v>
      </c>
      <c r="M7164">
        <v>71.16</v>
      </c>
      <c r="N7164" t="s">
        <v>10236</v>
      </c>
    </row>
    <row r="7165" spans="1:14">
      <c r="A7165" t="s">
        <v>35</v>
      </c>
      <c r="B7165" t="s">
        <v>7222</v>
      </c>
      <c r="C7165">
        <f>"PT015XXLDROJ"</f>
        <v>0</v>
      </c>
      <c r="D7165">
        <v>0</v>
      </c>
      <c r="E7165">
        <v>0</v>
      </c>
      <c r="F7165" s="2">
        <v>0</v>
      </c>
      <c r="H7165">
        <v>0</v>
      </c>
      <c r="I7165">
        <v>0.1741125760648204</v>
      </c>
      <c r="J7165">
        <v>0</v>
      </c>
      <c r="K7165">
        <v>0</v>
      </c>
      <c r="L7165" s="2">
        <v>0</v>
      </c>
      <c r="M7165">
        <v>71.17</v>
      </c>
      <c r="N7165" t="s">
        <v>10236</v>
      </c>
    </row>
    <row r="7166" spans="1:14">
      <c r="A7166" t="s">
        <v>35</v>
      </c>
      <c r="B7166" t="s">
        <v>7223</v>
      </c>
      <c r="C7166">
        <f>"FT004C"</f>
        <v>0</v>
      </c>
      <c r="D7166">
        <v>0</v>
      </c>
      <c r="E7166">
        <v>0</v>
      </c>
      <c r="F7166" s="2">
        <v>0</v>
      </c>
      <c r="H7166">
        <v>0</v>
      </c>
      <c r="I7166">
        <v>0.1741125760648204</v>
      </c>
      <c r="J7166">
        <v>0</v>
      </c>
      <c r="K7166">
        <v>0</v>
      </c>
      <c r="L7166" s="2">
        <v>0</v>
      </c>
      <c r="M7166">
        <v>71.18000000000001</v>
      </c>
      <c r="N7166" t="s">
        <v>10236</v>
      </c>
    </row>
    <row r="7167" spans="1:14">
      <c r="A7167" t="s">
        <v>213</v>
      </c>
      <c r="B7167" t="s">
        <v>7224</v>
      </c>
      <c r="C7167">
        <f>"402038"</f>
        <v>0</v>
      </c>
      <c r="D7167">
        <v>0</v>
      </c>
      <c r="E7167">
        <v>0</v>
      </c>
      <c r="F7167" s="2">
        <v>0</v>
      </c>
      <c r="H7167">
        <v>0</v>
      </c>
      <c r="I7167">
        <v>0.1741125760648204</v>
      </c>
      <c r="J7167">
        <v>0</v>
      </c>
      <c r="K7167">
        <v>0</v>
      </c>
      <c r="L7167" s="2">
        <v>0</v>
      </c>
      <c r="M7167">
        <v>71.19</v>
      </c>
      <c r="N7167" t="s">
        <v>10236</v>
      </c>
    </row>
    <row r="7168" spans="1:14">
      <c r="A7168" t="s">
        <v>35</v>
      </c>
      <c r="B7168" t="s">
        <v>7225</v>
      </c>
      <c r="C7168">
        <f>"HCJ011MNA"</f>
        <v>0</v>
      </c>
      <c r="D7168">
        <v>0</v>
      </c>
      <c r="E7168">
        <v>0</v>
      </c>
      <c r="F7168" s="2">
        <v>0</v>
      </c>
      <c r="H7168">
        <v>0</v>
      </c>
      <c r="I7168">
        <v>0.1741125760648204</v>
      </c>
      <c r="J7168">
        <v>0</v>
      </c>
      <c r="K7168">
        <v>0</v>
      </c>
      <c r="L7168" s="2">
        <v>0</v>
      </c>
      <c r="M7168">
        <v>71.2</v>
      </c>
      <c r="N7168" t="s">
        <v>10236</v>
      </c>
    </row>
    <row r="7169" spans="1:14">
      <c r="A7169" t="s">
        <v>35</v>
      </c>
      <c r="B7169" t="s">
        <v>7226</v>
      </c>
      <c r="C7169">
        <f>"HCJ011LVE"</f>
        <v>0</v>
      </c>
      <c r="D7169">
        <v>0</v>
      </c>
      <c r="E7169">
        <v>0</v>
      </c>
      <c r="F7169" s="2">
        <v>0</v>
      </c>
      <c r="H7169">
        <v>0</v>
      </c>
      <c r="I7169">
        <v>0.1741125760648204</v>
      </c>
      <c r="J7169">
        <v>0</v>
      </c>
      <c r="K7169">
        <v>0</v>
      </c>
      <c r="L7169" s="2">
        <v>0</v>
      </c>
      <c r="M7169">
        <v>71.20999999999999</v>
      </c>
      <c r="N7169" t="s">
        <v>10236</v>
      </c>
    </row>
    <row r="7170" spans="1:14">
      <c r="A7170" t="s">
        <v>35</v>
      </c>
      <c r="B7170" t="s">
        <v>7227</v>
      </c>
      <c r="C7170">
        <f>"HCJ011LROS"</f>
        <v>0</v>
      </c>
      <c r="D7170">
        <v>0</v>
      </c>
      <c r="E7170">
        <v>3</v>
      </c>
      <c r="F7170" s="2">
        <v>0</v>
      </c>
      <c r="H7170">
        <v>0</v>
      </c>
      <c r="I7170">
        <v>0.1741125760648204</v>
      </c>
      <c r="J7170">
        <v>0</v>
      </c>
      <c r="K7170">
        <v>0</v>
      </c>
      <c r="L7170" s="2">
        <v>0</v>
      </c>
      <c r="M7170">
        <v>71.22</v>
      </c>
      <c r="N7170" t="s">
        <v>10236</v>
      </c>
    </row>
    <row r="7171" spans="1:14">
      <c r="A7171" t="s">
        <v>35</v>
      </c>
      <c r="B7171" t="s">
        <v>7228</v>
      </c>
      <c r="C7171">
        <f>"XDB005"</f>
        <v>0</v>
      </c>
      <c r="D7171">
        <v>0</v>
      </c>
      <c r="E7171">
        <v>0</v>
      </c>
      <c r="F7171" s="2">
        <v>0</v>
      </c>
      <c r="H7171">
        <v>0</v>
      </c>
      <c r="I7171">
        <v>0.1741125760648204</v>
      </c>
      <c r="J7171">
        <v>0</v>
      </c>
      <c r="K7171">
        <v>0</v>
      </c>
      <c r="L7171" s="2">
        <v>0</v>
      </c>
      <c r="M7171">
        <v>71.23</v>
      </c>
      <c r="N7171" t="s">
        <v>10236</v>
      </c>
    </row>
    <row r="7172" spans="1:14">
      <c r="A7172" t="s">
        <v>192</v>
      </c>
      <c r="B7172" t="s">
        <v>7229</v>
      </c>
      <c r="C7172">
        <f>"B202"</f>
        <v>0</v>
      </c>
      <c r="D7172">
        <v>0</v>
      </c>
      <c r="E7172">
        <v>0</v>
      </c>
      <c r="F7172" s="2">
        <v>0</v>
      </c>
      <c r="H7172">
        <v>0</v>
      </c>
      <c r="I7172">
        <v>0.1741125760648204</v>
      </c>
      <c r="J7172">
        <v>0</v>
      </c>
      <c r="K7172">
        <v>0</v>
      </c>
      <c r="L7172" s="2">
        <v>0</v>
      </c>
      <c r="M7172">
        <v>71.23999999999999</v>
      </c>
      <c r="N7172" t="s">
        <v>10236</v>
      </c>
    </row>
    <row r="7173" spans="1:14">
      <c r="A7173" t="s">
        <v>35</v>
      </c>
      <c r="B7173" t="s">
        <v>7230</v>
      </c>
      <c r="C7173">
        <f>"NS42"</f>
        <v>0</v>
      </c>
      <c r="D7173">
        <v>0</v>
      </c>
      <c r="E7173">
        <v>0</v>
      </c>
      <c r="F7173" s="2">
        <v>0</v>
      </c>
      <c r="H7173">
        <v>0</v>
      </c>
      <c r="I7173">
        <v>0.1741125760648204</v>
      </c>
      <c r="J7173">
        <v>0</v>
      </c>
      <c r="K7173">
        <v>0</v>
      </c>
      <c r="L7173" s="2">
        <v>0</v>
      </c>
      <c r="M7173">
        <v>71.25</v>
      </c>
      <c r="N7173" t="s">
        <v>10236</v>
      </c>
    </row>
    <row r="7174" spans="1:14">
      <c r="A7174" t="s">
        <v>25</v>
      </c>
      <c r="B7174" t="s">
        <v>7231</v>
      </c>
      <c r="C7174">
        <f>"U595M"</f>
        <v>0</v>
      </c>
      <c r="D7174">
        <v>0</v>
      </c>
      <c r="E7174">
        <v>0</v>
      </c>
      <c r="F7174" s="2">
        <v>0</v>
      </c>
      <c r="H7174">
        <v>0</v>
      </c>
      <c r="I7174">
        <v>0.1741125760648204</v>
      </c>
      <c r="J7174">
        <v>0</v>
      </c>
      <c r="K7174">
        <v>0</v>
      </c>
      <c r="L7174" s="2">
        <v>0</v>
      </c>
      <c r="M7174">
        <v>71.26000000000001</v>
      </c>
      <c r="N7174" t="s">
        <v>10236</v>
      </c>
    </row>
    <row r="7175" spans="1:14">
      <c r="A7175" t="s">
        <v>192</v>
      </c>
      <c r="B7175" t="s">
        <v>7232</v>
      </c>
      <c r="C7175">
        <f>"FT02"</f>
        <v>0</v>
      </c>
      <c r="D7175">
        <v>0</v>
      </c>
      <c r="E7175">
        <v>0</v>
      </c>
      <c r="F7175" s="2">
        <v>0</v>
      </c>
      <c r="H7175">
        <v>0</v>
      </c>
      <c r="I7175">
        <v>0.1741125760648204</v>
      </c>
      <c r="J7175">
        <v>0</v>
      </c>
      <c r="K7175">
        <v>0</v>
      </c>
      <c r="L7175" s="2">
        <v>0</v>
      </c>
      <c r="M7175">
        <v>71.26000000000001</v>
      </c>
      <c r="N7175" t="s">
        <v>10236</v>
      </c>
    </row>
    <row r="7176" spans="1:14">
      <c r="A7176" t="s">
        <v>192</v>
      </c>
      <c r="B7176" t="s">
        <v>7233</v>
      </c>
      <c r="C7176">
        <f>"B307C"</f>
        <v>0</v>
      </c>
      <c r="D7176">
        <v>0</v>
      </c>
      <c r="E7176">
        <v>0</v>
      </c>
      <c r="F7176" s="2">
        <v>0</v>
      </c>
      <c r="H7176">
        <v>0</v>
      </c>
      <c r="I7176">
        <v>0.1741125760648204</v>
      </c>
      <c r="J7176">
        <v>0</v>
      </c>
      <c r="K7176">
        <v>0</v>
      </c>
      <c r="L7176" s="2">
        <v>0</v>
      </c>
      <c r="M7176">
        <v>71.27</v>
      </c>
      <c r="N7176" t="s">
        <v>10236</v>
      </c>
    </row>
    <row r="7177" spans="1:14">
      <c r="A7177" t="s">
        <v>35</v>
      </c>
      <c r="B7177" t="s">
        <v>7234</v>
      </c>
      <c r="C7177">
        <f>"TQ00191C"</f>
        <v>0</v>
      </c>
      <c r="D7177">
        <v>0</v>
      </c>
      <c r="E7177">
        <v>0</v>
      </c>
      <c r="F7177" s="2">
        <v>0</v>
      </c>
      <c r="H7177">
        <v>0</v>
      </c>
      <c r="I7177">
        <v>0.1741125760648204</v>
      </c>
      <c r="J7177">
        <v>0</v>
      </c>
      <c r="K7177">
        <v>0</v>
      </c>
      <c r="L7177" s="2">
        <v>0</v>
      </c>
      <c r="M7177">
        <v>71.28</v>
      </c>
      <c r="N7177" t="s">
        <v>10236</v>
      </c>
    </row>
    <row r="7178" spans="1:14">
      <c r="A7178" t="s">
        <v>35</v>
      </c>
      <c r="B7178" t="s">
        <v>7235</v>
      </c>
      <c r="C7178">
        <f>"TQ00191ROS"</f>
        <v>0</v>
      </c>
      <c r="D7178">
        <v>0</v>
      </c>
      <c r="E7178">
        <v>0</v>
      </c>
      <c r="F7178" s="2">
        <v>0</v>
      </c>
      <c r="H7178">
        <v>0</v>
      </c>
      <c r="I7178">
        <v>0.1741125760648204</v>
      </c>
      <c r="J7178">
        <v>0</v>
      </c>
      <c r="K7178">
        <v>0</v>
      </c>
      <c r="L7178" s="2">
        <v>0</v>
      </c>
      <c r="M7178">
        <v>71.29000000000001</v>
      </c>
      <c r="N7178" t="s">
        <v>10236</v>
      </c>
    </row>
    <row r="7179" spans="1:14">
      <c r="A7179" t="s">
        <v>35</v>
      </c>
      <c r="B7179" t="s">
        <v>7236</v>
      </c>
      <c r="C7179">
        <f>"TQ00181VE"</f>
        <v>0</v>
      </c>
      <c r="D7179">
        <v>0</v>
      </c>
      <c r="E7179">
        <v>0</v>
      </c>
      <c r="F7179" s="2">
        <v>0</v>
      </c>
      <c r="H7179">
        <v>0</v>
      </c>
      <c r="I7179">
        <v>0.1741125760648204</v>
      </c>
      <c r="J7179">
        <v>0</v>
      </c>
      <c r="K7179">
        <v>0</v>
      </c>
      <c r="L7179" s="2">
        <v>0</v>
      </c>
      <c r="M7179">
        <v>71.3</v>
      </c>
      <c r="N7179" t="s">
        <v>10236</v>
      </c>
    </row>
    <row r="7180" spans="1:14">
      <c r="A7180" t="s">
        <v>35</v>
      </c>
      <c r="B7180" t="s">
        <v>7237</v>
      </c>
      <c r="C7180">
        <f>"TQ00181ROS"</f>
        <v>0</v>
      </c>
      <c r="D7180">
        <v>0</v>
      </c>
      <c r="E7180">
        <v>1</v>
      </c>
      <c r="F7180" s="2">
        <v>2</v>
      </c>
      <c r="H7180">
        <v>0</v>
      </c>
      <c r="I7180">
        <v>0.1741125760648204</v>
      </c>
      <c r="J7180">
        <v>0</v>
      </c>
      <c r="K7180">
        <v>0</v>
      </c>
      <c r="L7180" s="2">
        <v>0</v>
      </c>
      <c r="M7180">
        <v>71.31</v>
      </c>
      <c r="N7180" t="s">
        <v>10236</v>
      </c>
    </row>
    <row r="7181" spans="1:14">
      <c r="A7181" t="s">
        <v>35</v>
      </c>
      <c r="B7181" t="s">
        <v>7238</v>
      </c>
      <c r="C7181">
        <f>"TQ00181C"</f>
        <v>0</v>
      </c>
      <c r="D7181">
        <v>0</v>
      </c>
      <c r="E7181">
        <v>0</v>
      </c>
      <c r="F7181" s="2">
        <v>0</v>
      </c>
      <c r="H7181">
        <v>0</v>
      </c>
      <c r="I7181">
        <v>0.1741125760648204</v>
      </c>
      <c r="J7181">
        <v>0</v>
      </c>
      <c r="K7181">
        <v>0</v>
      </c>
      <c r="L7181" s="2">
        <v>0</v>
      </c>
      <c r="M7181">
        <v>71.31999999999999</v>
      </c>
      <c r="N7181" t="s">
        <v>10236</v>
      </c>
    </row>
    <row r="7182" spans="1:14">
      <c r="A7182" t="s">
        <v>25</v>
      </c>
      <c r="B7182" t="s">
        <v>7239</v>
      </c>
      <c r="C7182">
        <f>"D146"</f>
        <v>0</v>
      </c>
      <c r="D7182">
        <v>0</v>
      </c>
      <c r="E7182">
        <v>0</v>
      </c>
      <c r="F7182" s="2">
        <v>0</v>
      </c>
      <c r="H7182">
        <v>0</v>
      </c>
      <c r="I7182">
        <v>0.1741125760648204</v>
      </c>
      <c r="J7182">
        <v>0</v>
      </c>
      <c r="K7182">
        <v>0</v>
      </c>
      <c r="L7182" s="2">
        <v>0</v>
      </c>
      <c r="M7182">
        <v>71.33</v>
      </c>
      <c r="N7182" t="s">
        <v>10236</v>
      </c>
    </row>
    <row r="7183" spans="1:14">
      <c r="A7183" t="s">
        <v>35</v>
      </c>
      <c r="B7183" t="s">
        <v>7240</v>
      </c>
      <c r="C7183">
        <f>"2960MIX"</f>
        <v>0</v>
      </c>
      <c r="D7183">
        <v>0</v>
      </c>
      <c r="E7183">
        <v>2</v>
      </c>
      <c r="F7183" s="2">
        <v>0</v>
      </c>
      <c r="H7183">
        <v>0</v>
      </c>
      <c r="I7183">
        <v>0.1741125760648204</v>
      </c>
      <c r="J7183">
        <v>0</v>
      </c>
      <c r="K7183">
        <v>0</v>
      </c>
      <c r="L7183" s="2">
        <v>0</v>
      </c>
      <c r="M7183">
        <v>71.34</v>
      </c>
      <c r="N7183" t="s">
        <v>10236</v>
      </c>
    </row>
    <row r="7184" spans="1:14">
      <c r="A7184" t="s">
        <v>25</v>
      </c>
      <c r="B7184" t="s">
        <v>7241</v>
      </c>
      <c r="C7184">
        <f>"D140"</f>
        <v>0</v>
      </c>
      <c r="D7184">
        <v>0</v>
      </c>
      <c r="E7184">
        <v>0</v>
      </c>
      <c r="F7184" s="2">
        <v>0</v>
      </c>
      <c r="H7184">
        <v>0</v>
      </c>
      <c r="I7184">
        <v>0.1741125760648204</v>
      </c>
      <c r="J7184">
        <v>0</v>
      </c>
      <c r="K7184">
        <v>0</v>
      </c>
      <c r="L7184" s="2">
        <v>0</v>
      </c>
      <c r="M7184">
        <v>71.34999999999999</v>
      </c>
      <c r="N7184" t="s">
        <v>10236</v>
      </c>
    </row>
    <row r="7185" spans="1:14">
      <c r="A7185" t="s">
        <v>35</v>
      </c>
      <c r="B7185" t="s">
        <v>7242</v>
      </c>
      <c r="C7185">
        <f>"23006GR"</f>
        <v>0</v>
      </c>
      <c r="D7185">
        <v>0</v>
      </c>
      <c r="E7185">
        <v>0</v>
      </c>
      <c r="F7185" s="2">
        <v>0</v>
      </c>
      <c r="H7185">
        <v>0</v>
      </c>
      <c r="I7185">
        <v>0.1741125760648204</v>
      </c>
      <c r="J7185">
        <v>0</v>
      </c>
      <c r="K7185">
        <v>0</v>
      </c>
      <c r="L7185" s="2">
        <v>0</v>
      </c>
      <c r="M7185">
        <v>71.36</v>
      </c>
      <c r="N7185" t="s">
        <v>10236</v>
      </c>
    </row>
    <row r="7186" spans="1:14">
      <c r="A7186" t="s">
        <v>35</v>
      </c>
      <c r="B7186" t="s">
        <v>7243</v>
      </c>
      <c r="C7186">
        <f>"23006AZ"</f>
        <v>0</v>
      </c>
      <c r="D7186">
        <v>0</v>
      </c>
      <c r="E7186">
        <v>0</v>
      </c>
      <c r="F7186" s="2">
        <v>0</v>
      </c>
      <c r="H7186">
        <v>0</v>
      </c>
      <c r="I7186">
        <v>0.1741125760648204</v>
      </c>
      <c r="J7186">
        <v>0</v>
      </c>
      <c r="K7186">
        <v>0</v>
      </c>
      <c r="L7186" s="2">
        <v>0</v>
      </c>
      <c r="M7186">
        <v>71.37</v>
      </c>
      <c r="N7186" t="s">
        <v>10236</v>
      </c>
    </row>
    <row r="7187" spans="1:14">
      <c r="A7187" t="s">
        <v>35</v>
      </c>
      <c r="B7187" t="s">
        <v>7244</v>
      </c>
      <c r="C7187">
        <f>"23005GRAZ"</f>
        <v>0</v>
      </c>
      <c r="D7187">
        <v>0</v>
      </c>
      <c r="E7187">
        <v>0</v>
      </c>
      <c r="F7187" s="2">
        <v>0</v>
      </c>
      <c r="H7187">
        <v>0</v>
      </c>
      <c r="I7187">
        <v>0.1741125760648204</v>
      </c>
      <c r="J7187">
        <v>0</v>
      </c>
      <c r="K7187">
        <v>0</v>
      </c>
      <c r="L7187" s="2">
        <v>0</v>
      </c>
      <c r="M7187">
        <v>71.38</v>
      </c>
      <c r="N7187" t="s">
        <v>10236</v>
      </c>
    </row>
    <row r="7188" spans="1:14">
      <c r="A7188" t="s">
        <v>35</v>
      </c>
      <c r="B7188" t="s">
        <v>7245</v>
      </c>
      <c r="C7188">
        <f>"23001AZ"</f>
        <v>0</v>
      </c>
      <c r="D7188">
        <v>0</v>
      </c>
      <c r="E7188">
        <v>0</v>
      </c>
      <c r="F7188" s="2">
        <v>0</v>
      </c>
      <c r="H7188">
        <v>0</v>
      </c>
      <c r="I7188">
        <v>0.1741125760648204</v>
      </c>
      <c r="J7188">
        <v>0</v>
      </c>
      <c r="K7188">
        <v>0</v>
      </c>
      <c r="L7188" s="2">
        <v>0</v>
      </c>
      <c r="M7188">
        <v>71.38</v>
      </c>
      <c r="N7188" t="s">
        <v>10236</v>
      </c>
    </row>
    <row r="7189" spans="1:14">
      <c r="A7189" t="s">
        <v>35</v>
      </c>
      <c r="B7189" t="s">
        <v>7246</v>
      </c>
      <c r="C7189">
        <f>"23004A2"</f>
        <v>0</v>
      </c>
      <c r="D7189">
        <v>0</v>
      </c>
      <c r="E7189">
        <v>0</v>
      </c>
      <c r="F7189" s="2">
        <v>0</v>
      </c>
      <c r="H7189">
        <v>0</v>
      </c>
      <c r="I7189">
        <v>0.1741125760648204</v>
      </c>
      <c r="J7189">
        <v>0</v>
      </c>
      <c r="K7189">
        <v>0</v>
      </c>
      <c r="L7189" s="2">
        <v>0</v>
      </c>
      <c r="M7189">
        <v>71.39</v>
      </c>
      <c r="N7189" t="s">
        <v>10236</v>
      </c>
    </row>
    <row r="7190" spans="1:14">
      <c r="A7190" t="s">
        <v>192</v>
      </c>
      <c r="B7190" t="s">
        <v>7247</v>
      </c>
      <c r="C7190">
        <f>"FT01"</f>
        <v>0</v>
      </c>
      <c r="D7190">
        <v>0</v>
      </c>
      <c r="E7190">
        <v>0</v>
      </c>
      <c r="F7190" s="2">
        <v>0</v>
      </c>
      <c r="H7190">
        <v>0</v>
      </c>
      <c r="I7190">
        <v>0.1741125760648204</v>
      </c>
      <c r="J7190">
        <v>0</v>
      </c>
      <c r="K7190">
        <v>0</v>
      </c>
      <c r="L7190" s="2">
        <v>0</v>
      </c>
      <c r="M7190">
        <v>71.40000000000001</v>
      </c>
      <c r="N7190" t="s">
        <v>10236</v>
      </c>
    </row>
    <row r="7191" spans="1:14">
      <c r="A7191" t="s">
        <v>192</v>
      </c>
      <c r="B7191" t="s">
        <v>7248</v>
      </c>
      <c r="C7191">
        <f>"B303"</f>
        <v>0</v>
      </c>
      <c r="D7191">
        <v>0</v>
      </c>
      <c r="E7191">
        <v>0</v>
      </c>
      <c r="F7191" s="2">
        <v>0</v>
      </c>
      <c r="H7191">
        <v>0</v>
      </c>
      <c r="I7191">
        <v>0.1741125760648204</v>
      </c>
      <c r="J7191">
        <v>0</v>
      </c>
      <c r="K7191">
        <v>0</v>
      </c>
      <c r="L7191" s="2">
        <v>0</v>
      </c>
      <c r="M7191">
        <v>71.41</v>
      </c>
      <c r="N7191" t="s">
        <v>10236</v>
      </c>
    </row>
    <row r="7192" spans="1:14">
      <c r="A7192" t="s">
        <v>35</v>
      </c>
      <c r="B7192" t="s">
        <v>7249</v>
      </c>
      <c r="C7192">
        <f>"54B109324SB"</f>
        <v>0</v>
      </c>
      <c r="D7192">
        <v>0</v>
      </c>
      <c r="E7192">
        <v>1</v>
      </c>
      <c r="F7192" s="2">
        <v>6</v>
      </c>
      <c r="H7192">
        <v>0</v>
      </c>
      <c r="I7192">
        <v>0.1741125760648204</v>
      </c>
      <c r="J7192">
        <v>0</v>
      </c>
      <c r="K7192">
        <v>0</v>
      </c>
      <c r="L7192" s="2">
        <v>0</v>
      </c>
      <c r="M7192">
        <v>71.42</v>
      </c>
      <c r="N7192" t="s">
        <v>10236</v>
      </c>
    </row>
    <row r="7193" spans="1:14">
      <c r="A7193" t="s">
        <v>35</v>
      </c>
      <c r="B7193" t="s">
        <v>7250</v>
      </c>
      <c r="C7193">
        <f>"54B109324MB"</f>
        <v>0</v>
      </c>
      <c r="D7193">
        <v>0</v>
      </c>
      <c r="E7193">
        <v>1</v>
      </c>
      <c r="F7193" s="2">
        <v>7</v>
      </c>
      <c r="H7193">
        <v>0</v>
      </c>
      <c r="I7193">
        <v>0.1741125760648204</v>
      </c>
      <c r="J7193">
        <v>0</v>
      </c>
      <c r="K7193">
        <v>0</v>
      </c>
      <c r="L7193" s="2">
        <v>0</v>
      </c>
      <c r="M7193">
        <v>71.43000000000001</v>
      </c>
      <c r="N7193" t="s">
        <v>10236</v>
      </c>
    </row>
    <row r="7194" spans="1:14">
      <c r="A7194" t="s">
        <v>35</v>
      </c>
      <c r="B7194" t="s">
        <v>7251</v>
      </c>
      <c r="C7194">
        <f>"54B109324LB"</f>
        <v>0</v>
      </c>
      <c r="D7194">
        <v>0</v>
      </c>
      <c r="E7194">
        <v>1</v>
      </c>
      <c r="F7194" s="2">
        <v>7</v>
      </c>
      <c r="H7194">
        <v>0</v>
      </c>
      <c r="I7194">
        <v>0.1741125760648204</v>
      </c>
      <c r="J7194">
        <v>0</v>
      </c>
      <c r="K7194">
        <v>0</v>
      </c>
      <c r="L7194" s="2">
        <v>0</v>
      </c>
      <c r="M7194">
        <v>71.44</v>
      </c>
      <c r="N7194" t="s">
        <v>10236</v>
      </c>
    </row>
    <row r="7195" spans="1:14">
      <c r="A7195" t="s">
        <v>35</v>
      </c>
      <c r="B7195" t="s">
        <v>7252</v>
      </c>
      <c r="C7195">
        <f>"54B1093244XLB"</f>
        <v>0</v>
      </c>
      <c r="D7195">
        <v>0</v>
      </c>
      <c r="E7195">
        <v>1</v>
      </c>
      <c r="F7195" s="2">
        <v>11</v>
      </c>
      <c r="H7195">
        <v>0</v>
      </c>
      <c r="I7195">
        <v>0.1741125760648204</v>
      </c>
      <c r="J7195">
        <v>0</v>
      </c>
      <c r="K7195">
        <v>0</v>
      </c>
      <c r="L7195" s="2">
        <v>0</v>
      </c>
      <c r="M7195">
        <v>71.45</v>
      </c>
      <c r="N7195" t="s">
        <v>10236</v>
      </c>
    </row>
    <row r="7196" spans="1:14">
      <c r="A7196" t="s">
        <v>35</v>
      </c>
      <c r="B7196" t="s">
        <v>7253</v>
      </c>
      <c r="C7196">
        <f>"54B1093243XLB"</f>
        <v>0</v>
      </c>
      <c r="D7196">
        <v>0</v>
      </c>
      <c r="E7196">
        <v>1</v>
      </c>
      <c r="F7196" s="2">
        <v>10</v>
      </c>
      <c r="H7196">
        <v>0</v>
      </c>
      <c r="I7196">
        <v>0.1741125760648204</v>
      </c>
      <c r="J7196">
        <v>0</v>
      </c>
      <c r="K7196">
        <v>0</v>
      </c>
      <c r="L7196" s="2">
        <v>0</v>
      </c>
      <c r="M7196">
        <v>71.45999999999999</v>
      </c>
      <c r="N7196" t="s">
        <v>10236</v>
      </c>
    </row>
    <row r="7197" spans="1:14">
      <c r="A7197" t="s">
        <v>35</v>
      </c>
      <c r="B7197" t="s">
        <v>7254</v>
      </c>
      <c r="C7197">
        <f>"54B1093242XLB"</f>
        <v>0</v>
      </c>
      <c r="D7197">
        <v>0</v>
      </c>
      <c r="E7197">
        <v>1</v>
      </c>
      <c r="F7197" s="2">
        <v>9</v>
      </c>
      <c r="H7197">
        <v>0</v>
      </c>
      <c r="I7197">
        <v>0.1741125760648204</v>
      </c>
      <c r="J7197">
        <v>0</v>
      </c>
      <c r="K7197">
        <v>0</v>
      </c>
      <c r="L7197" s="2">
        <v>0</v>
      </c>
      <c r="M7197">
        <v>71.47</v>
      </c>
      <c r="N7197" t="s">
        <v>10236</v>
      </c>
    </row>
    <row r="7198" spans="1:14">
      <c r="A7198" t="s">
        <v>35</v>
      </c>
      <c r="B7198" t="s">
        <v>7255</v>
      </c>
      <c r="C7198">
        <f>"RK75"</f>
        <v>0</v>
      </c>
      <c r="D7198">
        <v>0</v>
      </c>
      <c r="E7198">
        <v>0</v>
      </c>
      <c r="F7198" s="2">
        <v>0</v>
      </c>
      <c r="H7198">
        <v>0</v>
      </c>
      <c r="I7198">
        <v>0.1741125760648204</v>
      </c>
      <c r="J7198">
        <v>0</v>
      </c>
      <c r="K7198">
        <v>0</v>
      </c>
      <c r="L7198" s="2">
        <v>0</v>
      </c>
      <c r="M7198">
        <v>71.48</v>
      </c>
      <c r="N7198" t="s">
        <v>10236</v>
      </c>
    </row>
    <row r="7199" spans="1:14">
      <c r="A7199" t="s">
        <v>35</v>
      </c>
      <c r="B7199" t="s">
        <v>7256</v>
      </c>
      <c r="C7199">
        <f>"MF912"</f>
        <v>0</v>
      </c>
      <c r="D7199">
        <v>0</v>
      </c>
      <c r="E7199">
        <v>0</v>
      </c>
      <c r="F7199" s="2">
        <v>0</v>
      </c>
      <c r="H7199">
        <v>0</v>
      </c>
      <c r="I7199">
        <v>0.1741125760648204</v>
      </c>
      <c r="J7199">
        <v>0</v>
      </c>
      <c r="K7199">
        <v>0</v>
      </c>
      <c r="L7199" s="2">
        <v>0</v>
      </c>
      <c r="M7199">
        <v>71.48999999999999</v>
      </c>
      <c r="N7199" t="s">
        <v>10236</v>
      </c>
    </row>
    <row r="7200" spans="1:14">
      <c r="A7200" t="s">
        <v>35</v>
      </c>
      <c r="B7200" t="s">
        <v>7257</v>
      </c>
      <c r="C7200">
        <f>"ZP5110"</f>
        <v>0</v>
      </c>
      <c r="D7200">
        <v>0</v>
      </c>
      <c r="E7200">
        <v>0</v>
      </c>
      <c r="F7200" s="2">
        <v>0</v>
      </c>
      <c r="H7200">
        <v>0</v>
      </c>
      <c r="I7200">
        <v>0.1741125760648204</v>
      </c>
      <c r="J7200">
        <v>0</v>
      </c>
      <c r="K7200">
        <v>0</v>
      </c>
      <c r="L7200" s="2">
        <v>0</v>
      </c>
      <c r="M7200">
        <v>71.48999999999999</v>
      </c>
      <c r="N7200" t="s">
        <v>10236</v>
      </c>
    </row>
    <row r="7201" spans="1:14">
      <c r="A7201" t="s">
        <v>35</v>
      </c>
      <c r="B7201" t="s">
        <v>7258</v>
      </c>
      <c r="C7201">
        <f>"ZP682"</f>
        <v>0</v>
      </c>
      <c r="D7201">
        <v>0</v>
      </c>
      <c r="E7201">
        <v>0</v>
      </c>
      <c r="F7201" s="2">
        <v>0</v>
      </c>
      <c r="H7201">
        <v>0</v>
      </c>
      <c r="I7201">
        <v>0.1741125760648204</v>
      </c>
      <c r="J7201">
        <v>0</v>
      </c>
      <c r="K7201">
        <v>0</v>
      </c>
      <c r="L7201" s="2">
        <v>0</v>
      </c>
      <c r="M7201">
        <v>71.5</v>
      </c>
      <c r="N7201" t="s">
        <v>10236</v>
      </c>
    </row>
    <row r="7202" spans="1:14">
      <c r="A7202" t="s">
        <v>35</v>
      </c>
      <c r="B7202" t="s">
        <v>7259</v>
      </c>
      <c r="C7202">
        <f>"ZP295"</f>
        <v>0</v>
      </c>
      <c r="D7202">
        <v>0</v>
      </c>
      <c r="E7202">
        <v>0</v>
      </c>
      <c r="F7202" s="2">
        <v>0</v>
      </c>
      <c r="H7202">
        <v>0</v>
      </c>
      <c r="I7202">
        <v>0.1741125760648204</v>
      </c>
      <c r="J7202">
        <v>0</v>
      </c>
      <c r="K7202">
        <v>0</v>
      </c>
      <c r="L7202" s="2">
        <v>0</v>
      </c>
      <c r="M7202">
        <v>71.51000000000001</v>
      </c>
      <c r="N7202" t="s">
        <v>10236</v>
      </c>
    </row>
    <row r="7203" spans="1:14">
      <c r="A7203" t="s">
        <v>35</v>
      </c>
      <c r="B7203" t="s">
        <v>7260</v>
      </c>
      <c r="C7203">
        <f>"RH005"</f>
        <v>0</v>
      </c>
      <c r="D7203">
        <v>0</v>
      </c>
      <c r="E7203">
        <v>0</v>
      </c>
      <c r="F7203" s="2">
        <v>0</v>
      </c>
      <c r="H7203">
        <v>0</v>
      </c>
      <c r="I7203">
        <v>0.1741125760648204</v>
      </c>
      <c r="J7203">
        <v>0</v>
      </c>
      <c r="K7203">
        <v>0</v>
      </c>
      <c r="L7203" s="2">
        <v>0</v>
      </c>
      <c r="M7203">
        <v>71.52</v>
      </c>
      <c r="N7203" t="s">
        <v>10236</v>
      </c>
    </row>
    <row r="7204" spans="1:14">
      <c r="A7204" t="s">
        <v>35</v>
      </c>
      <c r="B7204" t="s">
        <v>7261</v>
      </c>
      <c r="C7204">
        <f>"ZS01"</f>
        <v>0</v>
      </c>
      <c r="D7204">
        <v>0</v>
      </c>
      <c r="E7204">
        <v>0</v>
      </c>
      <c r="F7204" s="2">
        <v>0</v>
      </c>
      <c r="H7204">
        <v>0</v>
      </c>
      <c r="I7204">
        <v>0.1741125760648204</v>
      </c>
      <c r="J7204">
        <v>0</v>
      </c>
      <c r="K7204">
        <v>0</v>
      </c>
      <c r="L7204" s="2">
        <v>0</v>
      </c>
      <c r="M7204">
        <v>71.53</v>
      </c>
      <c r="N7204" t="s">
        <v>10236</v>
      </c>
    </row>
    <row r="7205" spans="1:14">
      <c r="A7205" t="s">
        <v>35</v>
      </c>
      <c r="B7205" t="s">
        <v>7262</v>
      </c>
      <c r="C7205">
        <f>"ZS02"</f>
        <v>0</v>
      </c>
      <c r="D7205">
        <v>0</v>
      </c>
      <c r="E7205">
        <v>0</v>
      </c>
      <c r="F7205" s="2">
        <v>0</v>
      </c>
      <c r="H7205">
        <v>0</v>
      </c>
      <c r="I7205">
        <v>0.1741125760648204</v>
      </c>
      <c r="J7205">
        <v>0</v>
      </c>
      <c r="K7205">
        <v>0</v>
      </c>
      <c r="L7205" s="2">
        <v>0</v>
      </c>
      <c r="M7205">
        <v>71.54000000000001</v>
      </c>
      <c r="N7205" t="s">
        <v>10236</v>
      </c>
    </row>
    <row r="7206" spans="1:14">
      <c r="A7206" t="s">
        <v>35</v>
      </c>
      <c r="B7206" t="s">
        <v>7263</v>
      </c>
      <c r="C7206">
        <f>"HH088MAR"</f>
        <v>0</v>
      </c>
      <c r="D7206">
        <v>0</v>
      </c>
      <c r="E7206">
        <v>0</v>
      </c>
      <c r="F7206" s="2">
        <v>0</v>
      </c>
      <c r="H7206">
        <v>0</v>
      </c>
      <c r="I7206">
        <v>0.1741125760648204</v>
      </c>
      <c r="J7206">
        <v>0</v>
      </c>
      <c r="K7206">
        <v>0</v>
      </c>
      <c r="L7206" s="2">
        <v>0</v>
      </c>
      <c r="M7206">
        <v>71.55</v>
      </c>
      <c r="N7206" t="s">
        <v>10236</v>
      </c>
    </row>
    <row r="7207" spans="1:14">
      <c r="A7207" t="s">
        <v>35</v>
      </c>
      <c r="B7207" t="s">
        <v>7264</v>
      </c>
      <c r="C7207">
        <f>"J11"</f>
        <v>0</v>
      </c>
      <c r="D7207">
        <v>0</v>
      </c>
      <c r="E7207">
        <v>0</v>
      </c>
      <c r="F7207" s="2">
        <v>0</v>
      </c>
      <c r="H7207">
        <v>0</v>
      </c>
      <c r="I7207">
        <v>0.1741125760648204</v>
      </c>
      <c r="J7207">
        <v>0</v>
      </c>
      <c r="K7207">
        <v>0</v>
      </c>
      <c r="L7207" s="2">
        <v>0</v>
      </c>
      <c r="M7207">
        <v>71.56</v>
      </c>
      <c r="N7207" t="s">
        <v>10236</v>
      </c>
    </row>
    <row r="7208" spans="1:14">
      <c r="A7208" t="s">
        <v>35</v>
      </c>
      <c r="B7208" t="s">
        <v>7265</v>
      </c>
      <c r="C7208">
        <f>"J06"</f>
        <v>0</v>
      </c>
      <c r="D7208">
        <v>0</v>
      </c>
      <c r="E7208">
        <v>0</v>
      </c>
      <c r="F7208" s="2">
        <v>0</v>
      </c>
      <c r="H7208">
        <v>0</v>
      </c>
      <c r="I7208">
        <v>0.1741125760648204</v>
      </c>
      <c r="J7208">
        <v>0</v>
      </c>
      <c r="K7208">
        <v>0</v>
      </c>
      <c r="L7208" s="2">
        <v>0</v>
      </c>
      <c r="M7208">
        <v>71.56999999999999</v>
      </c>
      <c r="N7208" t="s">
        <v>10236</v>
      </c>
    </row>
    <row r="7209" spans="1:14">
      <c r="A7209" t="s">
        <v>35</v>
      </c>
      <c r="B7209" t="s">
        <v>7266</v>
      </c>
      <c r="C7209">
        <f>"LS154ROS"</f>
        <v>0</v>
      </c>
      <c r="D7209">
        <v>0</v>
      </c>
      <c r="E7209">
        <v>1</v>
      </c>
      <c r="F7209" s="2">
        <v>6</v>
      </c>
      <c r="H7209">
        <v>0</v>
      </c>
      <c r="I7209">
        <v>0.1741125760648204</v>
      </c>
      <c r="J7209">
        <v>0</v>
      </c>
      <c r="K7209">
        <v>0</v>
      </c>
      <c r="L7209" s="2">
        <v>0</v>
      </c>
      <c r="M7209">
        <v>71.58</v>
      </c>
      <c r="N7209" t="s">
        <v>10236</v>
      </c>
    </row>
    <row r="7210" spans="1:14">
      <c r="A7210" t="s">
        <v>35</v>
      </c>
      <c r="B7210" t="s">
        <v>7267</v>
      </c>
      <c r="C7210">
        <f>"LS154NE"</f>
        <v>0</v>
      </c>
      <c r="D7210">
        <v>0</v>
      </c>
      <c r="E7210">
        <v>1</v>
      </c>
      <c r="F7210" s="2">
        <v>6</v>
      </c>
      <c r="H7210">
        <v>0</v>
      </c>
      <c r="I7210">
        <v>0.1741125760648204</v>
      </c>
      <c r="J7210">
        <v>0</v>
      </c>
      <c r="K7210">
        <v>0</v>
      </c>
      <c r="L7210" s="2">
        <v>0</v>
      </c>
      <c r="M7210">
        <v>71.59</v>
      </c>
      <c r="N7210" t="s">
        <v>10236</v>
      </c>
    </row>
    <row r="7211" spans="1:14">
      <c r="A7211" t="s">
        <v>35</v>
      </c>
      <c r="B7211" t="s">
        <v>7268</v>
      </c>
      <c r="C7211">
        <f>"LS154CE"</f>
        <v>0</v>
      </c>
      <c r="D7211">
        <v>0</v>
      </c>
      <c r="E7211">
        <v>0</v>
      </c>
      <c r="F7211" s="2">
        <v>0</v>
      </c>
      <c r="H7211">
        <v>0</v>
      </c>
      <c r="I7211">
        <v>0.1741125760648204</v>
      </c>
      <c r="J7211">
        <v>0</v>
      </c>
      <c r="K7211">
        <v>0</v>
      </c>
      <c r="L7211" s="2">
        <v>0</v>
      </c>
      <c r="M7211">
        <v>71.59999999999999</v>
      </c>
      <c r="N7211" t="s">
        <v>10236</v>
      </c>
    </row>
    <row r="7212" spans="1:14">
      <c r="A7212" t="s">
        <v>35</v>
      </c>
      <c r="B7212" t="s">
        <v>7269</v>
      </c>
      <c r="C7212">
        <f>"LS154BL"</f>
        <v>0</v>
      </c>
      <c r="D7212">
        <v>0</v>
      </c>
      <c r="E7212">
        <v>1</v>
      </c>
      <c r="F7212" s="2">
        <v>6</v>
      </c>
      <c r="H7212">
        <v>0</v>
      </c>
      <c r="I7212">
        <v>0.1741125760648204</v>
      </c>
      <c r="J7212">
        <v>0</v>
      </c>
      <c r="K7212">
        <v>0</v>
      </c>
      <c r="L7212" s="2">
        <v>0</v>
      </c>
      <c r="M7212">
        <v>71.61</v>
      </c>
      <c r="N7212" t="s">
        <v>10236</v>
      </c>
    </row>
    <row r="7213" spans="1:14">
      <c r="A7213" t="s">
        <v>35</v>
      </c>
      <c r="B7213" t="s">
        <v>7270</v>
      </c>
      <c r="C7213">
        <f>"LS157ROS"</f>
        <v>0</v>
      </c>
      <c r="D7213">
        <v>0</v>
      </c>
      <c r="E7213">
        <v>0</v>
      </c>
      <c r="F7213" s="2">
        <v>0</v>
      </c>
      <c r="H7213">
        <v>0</v>
      </c>
      <c r="I7213">
        <v>0.1741125760648204</v>
      </c>
      <c r="J7213">
        <v>0</v>
      </c>
      <c r="K7213">
        <v>0</v>
      </c>
      <c r="L7213" s="2">
        <v>0</v>
      </c>
      <c r="M7213">
        <v>71.61</v>
      </c>
      <c r="N7213" t="s">
        <v>10236</v>
      </c>
    </row>
    <row r="7214" spans="1:14">
      <c r="A7214" t="s">
        <v>35</v>
      </c>
      <c r="B7214" t="s">
        <v>7271</v>
      </c>
      <c r="C7214">
        <f>"LS157NE"</f>
        <v>0</v>
      </c>
      <c r="D7214">
        <v>0</v>
      </c>
      <c r="E7214">
        <v>0</v>
      </c>
      <c r="F7214" s="2">
        <v>0</v>
      </c>
      <c r="H7214">
        <v>0</v>
      </c>
      <c r="I7214">
        <v>0.1741125760648204</v>
      </c>
      <c r="J7214">
        <v>0</v>
      </c>
      <c r="K7214">
        <v>0</v>
      </c>
      <c r="L7214" s="2">
        <v>0</v>
      </c>
      <c r="M7214">
        <v>71.62</v>
      </c>
      <c r="N7214" t="s">
        <v>10236</v>
      </c>
    </row>
    <row r="7215" spans="1:14">
      <c r="A7215" t="s">
        <v>35</v>
      </c>
      <c r="B7215" t="s">
        <v>7272</v>
      </c>
      <c r="C7215">
        <f>"LS157CE"</f>
        <v>0</v>
      </c>
      <c r="D7215">
        <v>0</v>
      </c>
      <c r="E7215">
        <v>0</v>
      </c>
      <c r="F7215" s="2">
        <v>0</v>
      </c>
      <c r="H7215">
        <v>0</v>
      </c>
      <c r="I7215">
        <v>0.1741125760648204</v>
      </c>
      <c r="J7215">
        <v>0</v>
      </c>
      <c r="K7215">
        <v>0</v>
      </c>
      <c r="L7215" s="2">
        <v>0</v>
      </c>
      <c r="M7215">
        <v>71.63</v>
      </c>
      <c r="N7215" t="s">
        <v>10236</v>
      </c>
    </row>
    <row r="7216" spans="1:14">
      <c r="A7216" t="s">
        <v>35</v>
      </c>
      <c r="B7216" t="s">
        <v>7273</v>
      </c>
      <c r="C7216">
        <f>"LS157BL"</f>
        <v>0</v>
      </c>
      <c r="D7216">
        <v>0</v>
      </c>
      <c r="E7216">
        <v>0</v>
      </c>
      <c r="F7216" s="2">
        <v>0</v>
      </c>
      <c r="H7216">
        <v>0</v>
      </c>
      <c r="I7216">
        <v>0.1741125760648204</v>
      </c>
      <c r="J7216">
        <v>0</v>
      </c>
      <c r="K7216">
        <v>0</v>
      </c>
      <c r="L7216" s="2">
        <v>0</v>
      </c>
      <c r="M7216">
        <v>71.64</v>
      </c>
      <c r="N7216" t="s">
        <v>10236</v>
      </c>
    </row>
    <row r="7217" spans="1:14">
      <c r="A7217" t="s">
        <v>222</v>
      </c>
      <c r="B7217" t="s">
        <v>7274</v>
      </c>
      <c r="C7217">
        <f>"LMFM19"</f>
        <v>0</v>
      </c>
      <c r="D7217">
        <v>0</v>
      </c>
      <c r="E7217">
        <v>1</v>
      </c>
      <c r="F7217" s="2">
        <v>13</v>
      </c>
      <c r="H7217">
        <v>0</v>
      </c>
      <c r="I7217">
        <v>0.1741125760648204</v>
      </c>
      <c r="J7217">
        <v>0</v>
      </c>
      <c r="K7217">
        <v>0</v>
      </c>
      <c r="L7217" s="2">
        <v>0</v>
      </c>
      <c r="M7217">
        <v>71.65000000000001</v>
      </c>
      <c r="N7217" t="s">
        <v>10236</v>
      </c>
    </row>
    <row r="7218" spans="1:14">
      <c r="A7218" t="s">
        <v>222</v>
      </c>
      <c r="B7218" t="s">
        <v>7275</v>
      </c>
      <c r="C7218">
        <f>"LHM19"</f>
        <v>0</v>
      </c>
      <c r="D7218">
        <v>0</v>
      </c>
      <c r="E7218">
        <v>2</v>
      </c>
      <c r="F7218" s="2">
        <v>13</v>
      </c>
      <c r="H7218">
        <v>0</v>
      </c>
      <c r="I7218">
        <v>0.1741125760648204</v>
      </c>
      <c r="J7218">
        <v>0</v>
      </c>
      <c r="K7218">
        <v>0</v>
      </c>
      <c r="L7218" s="2">
        <v>0</v>
      </c>
      <c r="M7218">
        <v>71.66</v>
      </c>
      <c r="N7218" t="s">
        <v>10236</v>
      </c>
    </row>
    <row r="7219" spans="1:14">
      <c r="A7219" t="s">
        <v>222</v>
      </c>
      <c r="B7219" t="s">
        <v>7276</v>
      </c>
      <c r="C7219">
        <f>"LGM20"</f>
        <v>0</v>
      </c>
      <c r="D7219">
        <v>0</v>
      </c>
      <c r="E7219">
        <v>2</v>
      </c>
      <c r="F7219" s="2">
        <v>13</v>
      </c>
      <c r="H7219">
        <v>0</v>
      </c>
      <c r="I7219">
        <v>0.1741125760648204</v>
      </c>
      <c r="J7219">
        <v>0</v>
      </c>
      <c r="K7219">
        <v>0</v>
      </c>
      <c r="L7219" s="2">
        <v>0</v>
      </c>
      <c r="M7219">
        <v>71.67</v>
      </c>
      <c r="N7219" t="s">
        <v>10236</v>
      </c>
    </row>
    <row r="7220" spans="1:14">
      <c r="A7220" t="s">
        <v>222</v>
      </c>
      <c r="B7220" t="s">
        <v>7277</v>
      </c>
      <c r="C7220">
        <f>"LBM20"</f>
        <v>0</v>
      </c>
      <c r="D7220">
        <v>0</v>
      </c>
      <c r="E7220">
        <v>2</v>
      </c>
      <c r="F7220" s="2">
        <v>13</v>
      </c>
      <c r="H7220">
        <v>0</v>
      </c>
      <c r="I7220">
        <v>0.1741125760648204</v>
      </c>
      <c r="J7220">
        <v>0</v>
      </c>
      <c r="K7220">
        <v>0</v>
      </c>
      <c r="L7220" s="2">
        <v>0</v>
      </c>
      <c r="M7220">
        <v>71.68000000000001</v>
      </c>
      <c r="N7220" t="s">
        <v>10236</v>
      </c>
    </row>
    <row r="7221" spans="1:14">
      <c r="A7221" t="s">
        <v>35</v>
      </c>
      <c r="B7221" t="s">
        <v>7278</v>
      </c>
      <c r="C7221">
        <f>"SPS019CEL"</f>
        <v>0</v>
      </c>
      <c r="D7221">
        <v>0</v>
      </c>
      <c r="E7221">
        <v>0</v>
      </c>
      <c r="F7221" s="2">
        <v>0</v>
      </c>
      <c r="H7221">
        <v>0</v>
      </c>
      <c r="I7221">
        <v>0.1741125760648204</v>
      </c>
      <c r="J7221">
        <v>0</v>
      </c>
      <c r="K7221">
        <v>0</v>
      </c>
      <c r="L7221" s="2">
        <v>0</v>
      </c>
      <c r="M7221">
        <v>71.69</v>
      </c>
      <c r="N7221" t="s">
        <v>10236</v>
      </c>
    </row>
    <row r="7222" spans="1:14">
      <c r="A7222" t="s">
        <v>35</v>
      </c>
      <c r="B7222" t="s">
        <v>7279</v>
      </c>
      <c r="C7222">
        <f>"GSQS003LROJ"</f>
        <v>0</v>
      </c>
      <c r="D7222">
        <v>0</v>
      </c>
      <c r="E7222">
        <v>0</v>
      </c>
      <c r="F7222" s="2">
        <v>0</v>
      </c>
      <c r="H7222">
        <v>0</v>
      </c>
      <c r="I7222">
        <v>0.1741125760648204</v>
      </c>
      <c r="J7222">
        <v>0</v>
      </c>
      <c r="K7222">
        <v>0</v>
      </c>
      <c r="L7222" s="2">
        <v>0</v>
      </c>
      <c r="M7222">
        <v>71.7</v>
      </c>
      <c r="N7222" t="s">
        <v>10236</v>
      </c>
    </row>
    <row r="7223" spans="1:14">
      <c r="A7223" t="s">
        <v>29</v>
      </c>
      <c r="B7223" t="s">
        <v>7280</v>
      </c>
      <c r="C7223">
        <f>"63344"</f>
        <v>0</v>
      </c>
      <c r="D7223">
        <v>0</v>
      </c>
      <c r="E7223">
        <v>0</v>
      </c>
      <c r="F7223" s="2">
        <v>0</v>
      </c>
      <c r="H7223">
        <v>0</v>
      </c>
      <c r="I7223">
        <v>0.1741125760648204</v>
      </c>
      <c r="J7223">
        <v>0</v>
      </c>
      <c r="K7223">
        <v>0</v>
      </c>
      <c r="L7223" s="2">
        <v>0</v>
      </c>
      <c r="M7223">
        <v>71.70999999999999</v>
      </c>
      <c r="N7223" t="s">
        <v>10236</v>
      </c>
    </row>
    <row r="7224" spans="1:14">
      <c r="A7224" t="s">
        <v>195</v>
      </c>
      <c r="B7224" t="s">
        <v>7281</v>
      </c>
      <c r="C7224">
        <f>"395652"</f>
        <v>0</v>
      </c>
      <c r="D7224">
        <v>0</v>
      </c>
      <c r="E7224">
        <v>0</v>
      </c>
      <c r="F7224" s="2">
        <v>0</v>
      </c>
      <c r="H7224">
        <v>0</v>
      </c>
      <c r="I7224">
        <v>0.1741125760648204</v>
      </c>
      <c r="J7224">
        <v>0</v>
      </c>
      <c r="K7224">
        <v>0</v>
      </c>
      <c r="L7224" s="2">
        <v>0</v>
      </c>
      <c r="M7224">
        <v>71.72</v>
      </c>
      <c r="N7224" t="s">
        <v>10236</v>
      </c>
    </row>
    <row r="7225" spans="1:14">
      <c r="A7225" t="s">
        <v>35</v>
      </c>
      <c r="B7225" t="s">
        <v>7282</v>
      </c>
      <c r="C7225">
        <f>"54B109324XLB"</f>
        <v>0</v>
      </c>
      <c r="D7225">
        <v>0</v>
      </c>
      <c r="E7225">
        <v>1</v>
      </c>
      <c r="F7225" s="2">
        <v>8</v>
      </c>
      <c r="H7225">
        <v>0</v>
      </c>
      <c r="I7225">
        <v>0.1741125760648204</v>
      </c>
      <c r="J7225">
        <v>0</v>
      </c>
      <c r="K7225">
        <v>0</v>
      </c>
      <c r="L7225" s="2">
        <v>0</v>
      </c>
      <c r="M7225">
        <v>71.73</v>
      </c>
      <c r="N7225" t="s">
        <v>10236</v>
      </c>
    </row>
    <row r="7226" spans="1:14">
      <c r="A7226" t="s">
        <v>193</v>
      </c>
      <c r="B7226" t="s">
        <v>7283</v>
      </c>
      <c r="C7226">
        <f>"5651933"</f>
        <v>0</v>
      </c>
      <c r="D7226">
        <v>0</v>
      </c>
      <c r="E7226">
        <v>2</v>
      </c>
      <c r="F7226" s="2">
        <v>6</v>
      </c>
      <c r="H7226">
        <v>0</v>
      </c>
      <c r="I7226">
        <v>0.1741125760648204</v>
      </c>
      <c r="J7226">
        <v>0</v>
      </c>
      <c r="K7226">
        <v>0</v>
      </c>
      <c r="L7226" s="2">
        <v>0</v>
      </c>
      <c r="M7226">
        <v>71.73</v>
      </c>
      <c r="N7226" t="s">
        <v>10236</v>
      </c>
    </row>
    <row r="7227" spans="1:14">
      <c r="A7227" t="s">
        <v>209</v>
      </c>
      <c r="B7227" t="s">
        <v>7284</v>
      </c>
      <c r="C7227">
        <f>"C2623"</f>
        <v>0</v>
      </c>
      <c r="D7227">
        <v>0</v>
      </c>
      <c r="E7227">
        <v>0</v>
      </c>
      <c r="F7227" s="2">
        <v>0</v>
      </c>
      <c r="H7227">
        <v>0</v>
      </c>
      <c r="I7227">
        <v>0.1741125760648204</v>
      </c>
      <c r="J7227">
        <v>0</v>
      </c>
      <c r="K7227">
        <v>0</v>
      </c>
      <c r="L7227" s="2">
        <v>0</v>
      </c>
      <c r="M7227">
        <v>71.73999999999999</v>
      </c>
      <c r="N7227" t="s">
        <v>10236</v>
      </c>
    </row>
    <row r="7228" spans="1:14">
      <c r="A7228" t="s">
        <v>36</v>
      </c>
      <c r="B7228" t="s">
        <v>7285</v>
      </c>
      <c r="C7228">
        <f>"CA5451001CH"</f>
        <v>0</v>
      </c>
      <c r="D7228">
        <v>0</v>
      </c>
      <c r="E7228">
        <v>0</v>
      </c>
      <c r="F7228" s="2">
        <v>0</v>
      </c>
      <c r="H7228">
        <v>0</v>
      </c>
      <c r="I7228">
        <v>0.1741125760648204</v>
      </c>
      <c r="J7228">
        <v>0</v>
      </c>
      <c r="K7228">
        <v>0</v>
      </c>
      <c r="L7228" s="2">
        <v>0</v>
      </c>
      <c r="M7228">
        <v>71.75</v>
      </c>
      <c r="N7228" t="s">
        <v>10236</v>
      </c>
    </row>
    <row r="7229" spans="1:14">
      <c r="A7229" t="s">
        <v>217</v>
      </c>
      <c r="B7229" t="s">
        <v>7286</v>
      </c>
      <c r="C7229">
        <f>"CR0500"</f>
        <v>0</v>
      </c>
      <c r="D7229">
        <v>0</v>
      </c>
      <c r="E7229">
        <v>1</v>
      </c>
      <c r="F7229" s="2">
        <v>35</v>
      </c>
      <c r="H7229">
        <v>0</v>
      </c>
      <c r="I7229">
        <v>0.1741125760648204</v>
      </c>
      <c r="J7229">
        <v>0</v>
      </c>
      <c r="K7229">
        <v>0</v>
      </c>
      <c r="L7229" s="2">
        <v>0</v>
      </c>
      <c r="M7229">
        <v>71.76000000000001</v>
      </c>
      <c r="N7229" t="s">
        <v>10236</v>
      </c>
    </row>
    <row r="7230" spans="1:14">
      <c r="A7230" t="s">
        <v>218</v>
      </c>
      <c r="B7230" t="s">
        <v>7287</v>
      </c>
      <c r="C7230">
        <f>"TESTDIAG03"</f>
        <v>0</v>
      </c>
      <c r="D7230">
        <v>0</v>
      </c>
      <c r="E7230">
        <v>0</v>
      </c>
      <c r="F7230" s="2">
        <v>0</v>
      </c>
      <c r="H7230">
        <v>0</v>
      </c>
      <c r="I7230">
        <v>0.1741125760648204</v>
      </c>
      <c r="J7230">
        <v>0</v>
      </c>
      <c r="K7230">
        <v>0</v>
      </c>
      <c r="L7230" s="2">
        <v>0</v>
      </c>
      <c r="M7230">
        <v>71.77</v>
      </c>
      <c r="N7230" t="s">
        <v>10236</v>
      </c>
    </row>
    <row r="7231" spans="1:14">
      <c r="A7231" t="s">
        <v>30</v>
      </c>
      <c r="B7231" t="s">
        <v>7288</v>
      </c>
      <c r="C7231">
        <f>"100739"</f>
        <v>0</v>
      </c>
      <c r="D7231">
        <v>0</v>
      </c>
      <c r="E7231">
        <v>3</v>
      </c>
      <c r="F7231" s="2">
        <v>34</v>
      </c>
      <c r="H7231">
        <v>0</v>
      </c>
      <c r="I7231">
        <v>0.1741125760648204</v>
      </c>
      <c r="J7231">
        <v>0</v>
      </c>
      <c r="K7231">
        <v>0</v>
      </c>
      <c r="L7231" s="2">
        <v>0</v>
      </c>
      <c r="M7231">
        <v>71.78</v>
      </c>
      <c r="N7231" t="s">
        <v>10236</v>
      </c>
    </row>
    <row r="7232" spans="1:14">
      <c r="A7232" t="s">
        <v>35</v>
      </c>
      <c r="B7232" t="s">
        <v>7289</v>
      </c>
      <c r="C7232">
        <f>"54B109324XSG"</f>
        <v>0</v>
      </c>
      <c r="D7232">
        <v>0</v>
      </c>
      <c r="E7232">
        <v>1</v>
      </c>
      <c r="F7232" s="2">
        <v>6</v>
      </c>
      <c r="H7232">
        <v>0</v>
      </c>
      <c r="I7232">
        <v>0.1741125760648204</v>
      </c>
      <c r="J7232">
        <v>0</v>
      </c>
      <c r="K7232">
        <v>0</v>
      </c>
      <c r="L7232" s="2">
        <v>0</v>
      </c>
      <c r="M7232">
        <v>71.79000000000001</v>
      </c>
      <c r="N7232" t="s">
        <v>10236</v>
      </c>
    </row>
    <row r="7233" spans="1:14">
      <c r="A7233" t="s">
        <v>35</v>
      </c>
      <c r="B7233" t="s">
        <v>7290</v>
      </c>
      <c r="C7233">
        <f>"54B109324XLG"</f>
        <v>0</v>
      </c>
      <c r="D7233">
        <v>0</v>
      </c>
      <c r="E7233">
        <v>1</v>
      </c>
      <c r="F7233" s="2">
        <v>8</v>
      </c>
      <c r="H7233">
        <v>0</v>
      </c>
      <c r="I7233">
        <v>0.1741125760648204</v>
      </c>
      <c r="J7233">
        <v>0</v>
      </c>
      <c r="K7233">
        <v>0</v>
      </c>
      <c r="L7233" s="2">
        <v>0</v>
      </c>
      <c r="M7233">
        <v>71.8</v>
      </c>
      <c r="N7233" t="s">
        <v>10236</v>
      </c>
    </row>
    <row r="7234" spans="1:14">
      <c r="A7234" t="s">
        <v>35</v>
      </c>
      <c r="B7234" t="s">
        <v>7291</v>
      </c>
      <c r="C7234">
        <f>"54B109324MG"</f>
        <v>0</v>
      </c>
      <c r="D7234">
        <v>0</v>
      </c>
      <c r="E7234">
        <v>1</v>
      </c>
      <c r="F7234" s="2">
        <v>7</v>
      </c>
      <c r="H7234">
        <v>0</v>
      </c>
      <c r="I7234">
        <v>0.1741125760648204</v>
      </c>
      <c r="J7234">
        <v>0</v>
      </c>
      <c r="K7234">
        <v>0</v>
      </c>
      <c r="L7234" s="2">
        <v>0</v>
      </c>
      <c r="M7234">
        <v>71.81</v>
      </c>
      <c r="N7234" t="s">
        <v>10236</v>
      </c>
    </row>
    <row r="7235" spans="1:14">
      <c r="A7235" t="s">
        <v>29</v>
      </c>
      <c r="B7235" t="s">
        <v>2064</v>
      </c>
      <c r="C7235">
        <f>"CN50"</f>
        <v>0</v>
      </c>
      <c r="D7235">
        <v>0</v>
      </c>
      <c r="E7235">
        <v>0</v>
      </c>
      <c r="F7235" s="2">
        <v>0</v>
      </c>
      <c r="H7235">
        <v>0</v>
      </c>
      <c r="I7235">
        <v>0.1741125760648204</v>
      </c>
      <c r="J7235">
        <v>0</v>
      </c>
      <c r="K7235">
        <v>0</v>
      </c>
      <c r="L7235" s="2">
        <v>0</v>
      </c>
      <c r="M7235">
        <v>71.81999999999999</v>
      </c>
      <c r="N7235" t="s">
        <v>10236</v>
      </c>
    </row>
    <row r="7236" spans="1:14">
      <c r="A7236" t="s">
        <v>29</v>
      </c>
      <c r="B7236" t="s">
        <v>7292</v>
      </c>
      <c r="C7236">
        <f>"RS300W"</f>
        <v>0</v>
      </c>
      <c r="D7236">
        <v>0</v>
      </c>
      <c r="E7236">
        <v>2</v>
      </c>
      <c r="F7236" s="2">
        <v>3</v>
      </c>
      <c r="H7236">
        <v>0</v>
      </c>
      <c r="I7236">
        <v>0.1741125760648204</v>
      </c>
      <c r="J7236">
        <v>0</v>
      </c>
      <c r="K7236">
        <v>0</v>
      </c>
      <c r="L7236" s="2">
        <v>0</v>
      </c>
      <c r="M7236">
        <v>71.83</v>
      </c>
      <c r="N7236" t="s">
        <v>10236</v>
      </c>
    </row>
    <row r="7237" spans="1:14">
      <c r="A7237" t="s">
        <v>35</v>
      </c>
      <c r="B7237" t="s">
        <v>7293</v>
      </c>
      <c r="C7237">
        <f>"54B109324XSB"</f>
        <v>0</v>
      </c>
      <c r="D7237">
        <v>0</v>
      </c>
      <c r="E7237">
        <v>1</v>
      </c>
      <c r="F7237" s="2">
        <v>6</v>
      </c>
      <c r="H7237">
        <v>0</v>
      </c>
      <c r="I7237">
        <v>0.1741125760648204</v>
      </c>
      <c r="J7237">
        <v>0</v>
      </c>
      <c r="K7237">
        <v>0</v>
      </c>
      <c r="L7237" s="2">
        <v>0</v>
      </c>
      <c r="M7237">
        <v>71.84</v>
      </c>
      <c r="N7237" t="s">
        <v>10236</v>
      </c>
    </row>
    <row r="7238" spans="1:14">
      <c r="A7238" t="s">
        <v>29</v>
      </c>
      <c r="B7238" t="s">
        <v>7294</v>
      </c>
      <c r="C7238">
        <f>"RS25W"</f>
        <v>0</v>
      </c>
      <c r="D7238">
        <v>0</v>
      </c>
      <c r="E7238">
        <v>3</v>
      </c>
      <c r="F7238" s="2">
        <v>2</v>
      </c>
      <c r="H7238">
        <v>0</v>
      </c>
      <c r="I7238">
        <v>0.1741125760648204</v>
      </c>
      <c r="J7238">
        <v>0</v>
      </c>
      <c r="K7238">
        <v>0</v>
      </c>
      <c r="L7238" s="2">
        <v>0</v>
      </c>
      <c r="M7238">
        <v>71.84999999999999</v>
      </c>
      <c r="N7238" t="s">
        <v>10236</v>
      </c>
    </row>
    <row r="7239" spans="1:14">
      <c r="A7239" t="s">
        <v>29</v>
      </c>
      <c r="B7239" t="s">
        <v>7294</v>
      </c>
      <c r="C7239">
        <f>"CN25"</f>
        <v>0</v>
      </c>
      <c r="D7239">
        <v>0</v>
      </c>
      <c r="E7239">
        <v>0</v>
      </c>
      <c r="F7239" s="2">
        <v>0</v>
      </c>
      <c r="H7239">
        <v>0</v>
      </c>
      <c r="I7239">
        <v>0.1741125760648204</v>
      </c>
      <c r="J7239">
        <v>0</v>
      </c>
      <c r="K7239">
        <v>0</v>
      </c>
      <c r="L7239" s="2">
        <v>0</v>
      </c>
      <c r="M7239">
        <v>71.84999999999999</v>
      </c>
      <c r="N7239" t="s">
        <v>10236</v>
      </c>
    </row>
    <row r="7240" spans="1:14">
      <c r="A7240" t="s">
        <v>29</v>
      </c>
      <c r="B7240" t="s">
        <v>7295</v>
      </c>
      <c r="C7240">
        <f>"RS150W"</f>
        <v>0</v>
      </c>
      <c r="D7240">
        <v>0</v>
      </c>
      <c r="E7240">
        <v>0</v>
      </c>
      <c r="F7240" s="2">
        <v>0</v>
      </c>
      <c r="H7240">
        <v>0</v>
      </c>
      <c r="I7240">
        <v>0.1741125760648204</v>
      </c>
      <c r="J7240">
        <v>0</v>
      </c>
      <c r="K7240">
        <v>0</v>
      </c>
      <c r="L7240" s="2">
        <v>0</v>
      </c>
      <c r="M7240">
        <v>71.86</v>
      </c>
      <c r="N7240" t="s">
        <v>10236</v>
      </c>
    </row>
    <row r="7241" spans="1:14">
      <c r="A7241" t="s">
        <v>29</v>
      </c>
      <c r="B7241" t="s">
        <v>7296</v>
      </c>
      <c r="C7241">
        <f>"RS100W"</f>
        <v>0</v>
      </c>
      <c r="D7241">
        <v>0</v>
      </c>
      <c r="E7241">
        <v>0</v>
      </c>
      <c r="F7241" s="2">
        <v>0</v>
      </c>
      <c r="H7241">
        <v>0</v>
      </c>
      <c r="I7241">
        <v>0.1741125760648204</v>
      </c>
      <c r="J7241">
        <v>0</v>
      </c>
      <c r="K7241">
        <v>0</v>
      </c>
      <c r="L7241" s="2">
        <v>0</v>
      </c>
      <c r="M7241">
        <v>71.87</v>
      </c>
      <c r="N7241" t="s">
        <v>10236</v>
      </c>
    </row>
    <row r="7242" spans="1:14">
      <c r="A7242" t="s">
        <v>29</v>
      </c>
      <c r="B7242" t="s">
        <v>7296</v>
      </c>
      <c r="C7242">
        <f>"CN100"</f>
        <v>0</v>
      </c>
      <c r="D7242">
        <v>0</v>
      </c>
      <c r="E7242">
        <v>0</v>
      </c>
      <c r="F7242" s="2">
        <v>0</v>
      </c>
      <c r="H7242">
        <v>0</v>
      </c>
      <c r="I7242">
        <v>0.1741125760648204</v>
      </c>
      <c r="J7242">
        <v>0</v>
      </c>
      <c r="K7242">
        <v>0</v>
      </c>
      <c r="L7242" s="2">
        <v>0</v>
      </c>
      <c r="M7242">
        <v>71.88</v>
      </c>
      <c r="N7242" t="s">
        <v>10236</v>
      </c>
    </row>
    <row r="7243" spans="1:14">
      <c r="A7243" t="s">
        <v>29</v>
      </c>
      <c r="B7243" t="s">
        <v>7297</v>
      </c>
      <c r="C7243">
        <f>"MCA5"</f>
        <v>0</v>
      </c>
      <c r="D7243">
        <v>0</v>
      </c>
      <c r="E7243">
        <v>0</v>
      </c>
      <c r="F7243" s="2">
        <v>0</v>
      </c>
      <c r="H7243">
        <v>0</v>
      </c>
      <c r="I7243">
        <v>0.1741125760648204</v>
      </c>
      <c r="J7243">
        <v>0</v>
      </c>
      <c r="K7243">
        <v>0</v>
      </c>
      <c r="L7243" s="2">
        <v>0</v>
      </c>
      <c r="M7243">
        <v>71.89</v>
      </c>
      <c r="N7243" t="s">
        <v>10236</v>
      </c>
    </row>
    <row r="7244" spans="1:14">
      <c r="A7244" t="s">
        <v>35</v>
      </c>
      <c r="B7244" t="s">
        <v>7298</v>
      </c>
      <c r="C7244">
        <f>"ACP40"</f>
        <v>0</v>
      </c>
      <c r="D7244">
        <v>0</v>
      </c>
      <c r="E7244">
        <v>0</v>
      </c>
      <c r="F7244" s="2">
        <v>0</v>
      </c>
      <c r="H7244">
        <v>0</v>
      </c>
      <c r="I7244">
        <v>0.1741125760648204</v>
      </c>
      <c r="J7244">
        <v>0</v>
      </c>
      <c r="K7244">
        <v>0</v>
      </c>
      <c r="L7244" s="2">
        <v>0</v>
      </c>
      <c r="M7244">
        <v>71.90000000000001</v>
      </c>
      <c r="N7244" t="s">
        <v>10236</v>
      </c>
    </row>
    <row r="7245" spans="1:14">
      <c r="A7245" t="s">
        <v>35</v>
      </c>
      <c r="B7245" t="s">
        <v>7299</v>
      </c>
      <c r="C7245">
        <f>"ACP35"</f>
        <v>0</v>
      </c>
      <c r="D7245">
        <v>0</v>
      </c>
      <c r="E7245">
        <v>0</v>
      </c>
      <c r="F7245" s="2">
        <v>0</v>
      </c>
      <c r="H7245">
        <v>0</v>
      </c>
      <c r="I7245">
        <v>0.1741125760648204</v>
      </c>
      <c r="J7245">
        <v>0</v>
      </c>
      <c r="K7245">
        <v>0</v>
      </c>
      <c r="L7245" s="2">
        <v>0</v>
      </c>
      <c r="M7245">
        <v>71.91</v>
      </c>
      <c r="N7245" t="s">
        <v>10236</v>
      </c>
    </row>
    <row r="7246" spans="1:14">
      <c r="A7246" t="s">
        <v>35</v>
      </c>
      <c r="B7246" t="s">
        <v>7300</v>
      </c>
      <c r="C7246">
        <f>"ACP30"</f>
        <v>0</v>
      </c>
      <c r="D7246">
        <v>0</v>
      </c>
      <c r="E7246">
        <v>0</v>
      </c>
      <c r="F7246" s="2">
        <v>0</v>
      </c>
      <c r="H7246">
        <v>0</v>
      </c>
      <c r="I7246">
        <v>0.1741125760648204</v>
      </c>
      <c r="J7246">
        <v>0</v>
      </c>
      <c r="K7246">
        <v>0</v>
      </c>
      <c r="L7246" s="2">
        <v>0</v>
      </c>
      <c r="M7246">
        <v>71.92</v>
      </c>
      <c r="N7246" t="s">
        <v>10236</v>
      </c>
    </row>
    <row r="7247" spans="1:14">
      <c r="A7247" t="s">
        <v>35</v>
      </c>
      <c r="B7247" t="s">
        <v>7301</v>
      </c>
      <c r="C7247">
        <f>"ACP25"</f>
        <v>0</v>
      </c>
      <c r="D7247">
        <v>0</v>
      </c>
      <c r="E7247">
        <v>0</v>
      </c>
      <c r="F7247" s="2">
        <v>0</v>
      </c>
      <c r="H7247">
        <v>0</v>
      </c>
      <c r="I7247">
        <v>0.1741125760648204</v>
      </c>
      <c r="J7247">
        <v>0</v>
      </c>
      <c r="K7247">
        <v>0</v>
      </c>
      <c r="L7247" s="2">
        <v>0</v>
      </c>
      <c r="M7247">
        <v>71.93000000000001</v>
      </c>
      <c r="N7247" t="s">
        <v>10236</v>
      </c>
    </row>
    <row r="7248" spans="1:14">
      <c r="A7248" t="s">
        <v>35</v>
      </c>
      <c r="B7248" t="s">
        <v>7302</v>
      </c>
      <c r="C7248">
        <f>"ACP20"</f>
        <v>0</v>
      </c>
      <c r="D7248">
        <v>0</v>
      </c>
      <c r="E7248">
        <v>0</v>
      </c>
      <c r="F7248" s="2">
        <v>0</v>
      </c>
      <c r="H7248">
        <v>0</v>
      </c>
      <c r="I7248">
        <v>0.1741125760648204</v>
      </c>
      <c r="J7248">
        <v>0</v>
      </c>
      <c r="K7248">
        <v>0</v>
      </c>
      <c r="L7248" s="2">
        <v>0</v>
      </c>
      <c r="M7248">
        <v>71.94</v>
      </c>
      <c r="N7248" t="s">
        <v>10236</v>
      </c>
    </row>
    <row r="7249" spans="1:14">
      <c r="A7249" t="s">
        <v>35</v>
      </c>
      <c r="B7249" t="s">
        <v>7303</v>
      </c>
      <c r="C7249">
        <f>"54B109324LG"</f>
        <v>0</v>
      </c>
      <c r="D7249">
        <v>0</v>
      </c>
      <c r="E7249">
        <v>2</v>
      </c>
      <c r="F7249" s="2">
        <v>7</v>
      </c>
      <c r="H7249">
        <v>0</v>
      </c>
      <c r="I7249">
        <v>0.1741125760648204</v>
      </c>
      <c r="J7249">
        <v>0</v>
      </c>
      <c r="K7249">
        <v>0</v>
      </c>
      <c r="L7249" s="2">
        <v>0</v>
      </c>
      <c r="M7249">
        <v>71.95</v>
      </c>
      <c r="N7249" t="s">
        <v>10236</v>
      </c>
    </row>
    <row r="7250" spans="1:14">
      <c r="A7250" t="s">
        <v>35</v>
      </c>
      <c r="B7250" t="s">
        <v>7304</v>
      </c>
      <c r="C7250">
        <f>"54B1093244XLG"</f>
        <v>0</v>
      </c>
      <c r="D7250">
        <v>0</v>
      </c>
      <c r="E7250">
        <v>2</v>
      </c>
      <c r="F7250" s="2">
        <v>11</v>
      </c>
      <c r="H7250">
        <v>0</v>
      </c>
      <c r="I7250">
        <v>0.1741125760648204</v>
      </c>
      <c r="J7250">
        <v>0</v>
      </c>
      <c r="K7250">
        <v>0</v>
      </c>
      <c r="L7250" s="2">
        <v>0</v>
      </c>
      <c r="M7250">
        <v>71.95999999999999</v>
      </c>
      <c r="N7250" t="s">
        <v>10236</v>
      </c>
    </row>
    <row r="7251" spans="1:14">
      <c r="A7251" t="s">
        <v>35</v>
      </c>
      <c r="B7251" t="s">
        <v>7305</v>
      </c>
      <c r="C7251">
        <f>"54B1093243XLG"</f>
        <v>0</v>
      </c>
      <c r="D7251">
        <v>0</v>
      </c>
      <c r="E7251">
        <v>3</v>
      </c>
      <c r="F7251" s="2">
        <v>10</v>
      </c>
      <c r="H7251">
        <v>0</v>
      </c>
      <c r="I7251">
        <v>0.1741125760648204</v>
      </c>
      <c r="J7251">
        <v>0</v>
      </c>
      <c r="K7251">
        <v>0</v>
      </c>
      <c r="L7251" s="2">
        <v>0</v>
      </c>
      <c r="M7251">
        <v>71.95999999999999</v>
      </c>
      <c r="N7251" t="s">
        <v>10236</v>
      </c>
    </row>
    <row r="7252" spans="1:14">
      <c r="A7252" t="s">
        <v>35</v>
      </c>
      <c r="B7252" t="s">
        <v>7306</v>
      </c>
      <c r="C7252">
        <f>"54B1093242XLG"</f>
        <v>0</v>
      </c>
      <c r="D7252">
        <v>0</v>
      </c>
      <c r="E7252">
        <v>2</v>
      </c>
      <c r="F7252" s="2">
        <v>9</v>
      </c>
      <c r="H7252">
        <v>0</v>
      </c>
      <c r="I7252">
        <v>0.1741125760648204</v>
      </c>
      <c r="J7252">
        <v>0</v>
      </c>
      <c r="K7252">
        <v>0</v>
      </c>
      <c r="L7252" s="2">
        <v>0</v>
      </c>
      <c r="M7252">
        <v>71.97</v>
      </c>
      <c r="N7252" t="s">
        <v>10236</v>
      </c>
    </row>
    <row r="7253" spans="1:14">
      <c r="A7253" t="s">
        <v>29</v>
      </c>
      <c r="B7253" t="s">
        <v>7292</v>
      </c>
      <c r="C7253">
        <f>"CN300"</f>
        <v>0</v>
      </c>
      <c r="D7253">
        <v>0</v>
      </c>
      <c r="E7253">
        <v>0</v>
      </c>
      <c r="F7253" s="2">
        <v>0</v>
      </c>
      <c r="H7253">
        <v>0</v>
      </c>
      <c r="I7253">
        <v>0.1741125760648204</v>
      </c>
      <c r="J7253">
        <v>0</v>
      </c>
      <c r="K7253">
        <v>0</v>
      </c>
      <c r="L7253" s="2">
        <v>0</v>
      </c>
      <c r="M7253">
        <v>71.98</v>
      </c>
      <c r="N7253" t="s">
        <v>10236</v>
      </c>
    </row>
    <row r="7254" spans="1:14">
      <c r="A7254" t="s">
        <v>35</v>
      </c>
      <c r="B7254" t="s">
        <v>7307</v>
      </c>
      <c r="C7254">
        <f>"VMT0111"</f>
        <v>0</v>
      </c>
      <c r="D7254">
        <v>0</v>
      </c>
      <c r="E7254">
        <v>0</v>
      </c>
      <c r="F7254" s="2">
        <v>0</v>
      </c>
      <c r="H7254">
        <v>0</v>
      </c>
      <c r="I7254">
        <v>0.1741125760648204</v>
      </c>
      <c r="J7254">
        <v>0</v>
      </c>
      <c r="K7254">
        <v>0</v>
      </c>
      <c r="L7254" s="2">
        <v>0</v>
      </c>
      <c r="M7254">
        <v>71.98999999999999</v>
      </c>
      <c r="N7254" t="s">
        <v>10236</v>
      </c>
    </row>
    <row r="7255" spans="1:14">
      <c r="A7255" t="s">
        <v>35</v>
      </c>
      <c r="B7255" t="s">
        <v>7308</v>
      </c>
      <c r="C7255">
        <f>"VMT17"</f>
        <v>0</v>
      </c>
      <c r="D7255">
        <v>0</v>
      </c>
      <c r="E7255">
        <v>1</v>
      </c>
      <c r="F7255" s="2">
        <v>3</v>
      </c>
      <c r="H7255">
        <v>0</v>
      </c>
      <c r="I7255">
        <v>0.1741125760648204</v>
      </c>
      <c r="J7255">
        <v>0</v>
      </c>
      <c r="K7255">
        <v>0</v>
      </c>
      <c r="L7255" s="2">
        <v>0</v>
      </c>
      <c r="M7255">
        <v>72</v>
      </c>
      <c r="N7255" t="s">
        <v>10236</v>
      </c>
    </row>
    <row r="7256" spans="1:14">
      <c r="A7256" t="s">
        <v>35</v>
      </c>
      <c r="B7256" t="s">
        <v>7309</v>
      </c>
      <c r="C7256">
        <f>"KF8601"</f>
        <v>0</v>
      </c>
      <c r="D7256">
        <v>0</v>
      </c>
      <c r="E7256">
        <v>0</v>
      </c>
      <c r="F7256" s="2">
        <v>0</v>
      </c>
      <c r="H7256">
        <v>0</v>
      </c>
      <c r="I7256">
        <v>0.1741125760648204</v>
      </c>
      <c r="J7256">
        <v>0</v>
      </c>
      <c r="K7256">
        <v>0</v>
      </c>
      <c r="L7256" s="2">
        <v>0</v>
      </c>
      <c r="M7256">
        <v>72.01000000000001</v>
      </c>
      <c r="N7256" t="s">
        <v>10236</v>
      </c>
    </row>
    <row r="7257" spans="1:14">
      <c r="A7257" t="s">
        <v>35</v>
      </c>
      <c r="B7257" t="s">
        <v>1398</v>
      </c>
      <c r="C7257">
        <f>"LJ100"</f>
        <v>0</v>
      </c>
      <c r="D7257">
        <v>0</v>
      </c>
      <c r="E7257">
        <v>0</v>
      </c>
      <c r="F7257" s="2">
        <v>0</v>
      </c>
      <c r="H7257">
        <v>0</v>
      </c>
      <c r="I7257">
        <v>0.1741125760648204</v>
      </c>
      <c r="J7257">
        <v>0</v>
      </c>
      <c r="K7257">
        <v>0</v>
      </c>
      <c r="L7257" s="2">
        <v>0</v>
      </c>
      <c r="M7257">
        <v>72.02</v>
      </c>
      <c r="N7257" t="s">
        <v>10236</v>
      </c>
    </row>
    <row r="7258" spans="1:14">
      <c r="A7258" t="s">
        <v>35</v>
      </c>
      <c r="B7258" t="s">
        <v>7310</v>
      </c>
      <c r="C7258">
        <f>"WF4001"</f>
        <v>0</v>
      </c>
      <c r="D7258">
        <v>0</v>
      </c>
      <c r="E7258">
        <v>0</v>
      </c>
      <c r="F7258" s="2">
        <v>0</v>
      </c>
      <c r="H7258">
        <v>0</v>
      </c>
      <c r="I7258">
        <v>0.1741125760648204</v>
      </c>
      <c r="J7258">
        <v>0</v>
      </c>
      <c r="K7258">
        <v>0</v>
      </c>
      <c r="L7258" s="2">
        <v>0</v>
      </c>
      <c r="M7258">
        <v>72.03</v>
      </c>
      <c r="N7258" t="s">
        <v>10236</v>
      </c>
    </row>
    <row r="7259" spans="1:14">
      <c r="A7259" t="s">
        <v>35</v>
      </c>
      <c r="B7259" t="s">
        <v>7311</v>
      </c>
      <c r="C7259">
        <f>"62"</f>
        <v>0</v>
      </c>
      <c r="D7259">
        <v>0</v>
      </c>
      <c r="E7259">
        <v>0</v>
      </c>
      <c r="F7259" s="2">
        <v>0</v>
      </c>
      <c r="H7259">
        <v>0</v>
      </c>
      <c r="I7259">
        <v>0.1741125760648204</v>
      </c>
      <c r="J7259">
        <v>0</v>
      </c>
      <c r="K7259">
        <v>0</v>
      </c>
      <c r="L7259" s="2">
        <v>0</v>
      </c>
      <c r="M7259">
        <v>72.04000000000001</v>
      </c>
      <c r="N7259" t="s">
        <v>10236</v>
      </c>
    </row>
    <row r="7260" spans="1:14">
      <c r="A7260" t="s">
        <v>25</v>
      </c>
      <c r="B7260" t="s">
        <v>7312</v>
      </c>
      <c r="C7260">
        <f>"66"</f>
        <v>0</v>
      </c>
      <c r="D7260">
        <v>0</v>
      </c>
      <c r="E7260">
        <v>0</v>
      </c>
      <c r="F7260" s="2">
        <v>0</v>
      </c>
      <c r="H7260">
        <v>0</v>
      </c>
      <c r="I7260">
        <v>0.1741125760648204</v>
      </c>
      <c r="J7260">
        <v>0</v>
      </c>
      <c r="K7260">
        <v>0</v>
      </c>
      <c r="L7260" s="2">
        <v>0</v>
      </c>
      <c r="M7260">
        <v>72.05</v>
      </c>
      <c r="N7260" t="s">
        <v>10236</v>
      </c>
    </row>
    <row r="7261" spans="1:14">
      <c r="A7261" t="s">
        <v>35</v>
      </c>
      <c r="B7261" t="s">
        <v>7313</v>
      </c>
      <c r="C7261">
        <f>"62640"</f>
        <v>0</v>
      </c>
      <c r="D7261">
        <v>0</v>
      </c>
      <c r="E7261">
        <v>1</v>
      </c>
      <c r="F7261" s="2">
        <v>18</v>
      </c>
      <c r="H7261">
        <v>0</v>
      </c>
      <c r="I7261">
        <v>0.1741125760648204</v>
      </c>
      <c r="J7261">
        <v>0</v>
      </c>
      <c r="K7261">
        <v>0</v>
      </c>
      <c r="L7261" s="2">
        <v>0</v>
      </c>
      <c r="M7261">
        <v>72.06</v>
      </c>
      <c r="N7261" t="s">
        <v>10236</v>
      </c>
    </row>
    <row r="7262" spans="1:14">
      <c r="A7262" t="s">
        <v>25</v>
      </c>
      <c r="B7262" t="s">
        <v>7314</v>
      </c>
      <c r="C7262">
        <f>"65"</f>
        <v>0</v>
      </c>
      <c r="D7262">
        <v>0</v>
      </c>
      <c r="E7262">
        <v>0</v>
      </c>
      <c r="F7262" s="2">
        <v>0</v>
      </c>
      <c r="H7262">
        <v>0</v>
      </c>
      <c r="I7262">
        <v>0.1741125760648204</v>
      </c>
      <c r="J7262">
        <v>0</v>
      </c>
      <c r="K7262">
        <v>0</v>
      </c>
      <c r="L7262" s="2">
        <v>0</v>
      </c>
      <c r="M7262">
        <v>72.06999999999999</v>
      </c>
      <c r="N7262" t="s">
        <v>10236</v>
      </c>
    </row>
    <row r="7263" spans="1:14">
      <c r="A7263" t="s">
        <v>25</v>
      </c>
      <c r="B7263" t="s">
        <v>7315</v>
      </c>
      <c r="C7263">
        <f>"ZVP1125"</f>
        <v>0</v>
      </c>
      <c r="D7263">
        <v>0</v>
      </c>
      <c r="E7263">
        <v>1</v>
      </c>
      <c r="F7263" s="2">
        <v>2</v>
      </c>
      <c r="H7263">
        <v>0</v>
      </c>
      <c r="I7263">
        <v>0.1741125760648204</v>
      </c>
      <c r="J7263">
        <v>0</v>
      </c>
      <c r="K7263">
        <v>0</v>
      </c>
      <c r="L7263" s="2">
        <v>0</v>
      </c>
      <c r="M7263">
        <v>72.08</v>
      </c>
      <c r="N7263" t="s">
        <v>10236</v>
      </c>
    </row>
    <row r="7264" spans="1:14">
      <c r="A7264" t="s">
        <v>25</v>
      </c>
      <c r="B7264" t="s">
        <v>7316</v>
      </c>
      <c r="C7264">
        <f>"ZVP1124"</f>
        <v>0</v>
      </c>
      <c r="D7264">
        <v>0</v>
      </c>
      <c r="E7264">
        <v>0</v>
      </c>
      <c r="F7264" s="2">
        <v>0</v>
      </c>
      <c r="H7264">
        <v>0</v>
      </c>
      <c r="I7264">
        <v>0.1741125760648204</v>
      </c>
      <c r="J7264">
        <v>0</v>
      </c>
      <c r="K7264">
        <v>0</v>
      </c>
      <c r="L7264" s="2">
        <v>0</v>
      </c>
      <c r="M7264">
        <v>72.08</v>
      </c>
      <c r="N7264" t="s">
        <v>10236</v>
      </c>
    </row>
    <row r="7265" spans="1:14">
      <c r="A7265" t="s">
        <v>35</v>
      </c>
      <c r="B7265" t="s">
        <v>7317</v>
      </c>
      <c r="C7265">
        <f>"ZVP1028"</f>
        <v>0</v>
      </c>
      <c r="D7265">
        <v>0</v>
      </c>
      <c r="E7265">
        <v>0</v>
      </c>
      <c r="F7265" s="2">
        <v>0</v>
      </c>
      <c r="H7265">
        <v>0</v>
      </c>
      <c r="I7265">
        <v>0.1741125760648204</v>
      </c>
      <c r="J7265">
        <v>0</v>
      </c>
      <c r="K7265">
        <v>0</v>
      </c>
      <c r="L7265" s="2">
        <v>0</v>
      </c>
      <c r="M7265">
        <v>72.09</v>
      </c>
      <c r="N7265" t="s">
        <v>10236</v>
      </c>
    </row>
    <row r="7266" spans="1:14">
      <c r="A7266" t="s">
        <v>35</v>
      </c>
      <c r="B7266" t="s">
        <v>7318</v>
      </c>
      <c r="C7266">
        <f>"JH2"</f>
        <v>0</v>
      </c>
      <c r="D7266">
        <v>0</v>
      </c>
      <c r="E7266">
        <v>0</v>
      </c>
      <c r="F7266" s="2">
        <v>0</v>
      </c>
      <c r="H7266">
        <v>0</v>
      </c>
      <c r="I7266">
        <v>0.1741125760648204</v>
      </c>
      <c r="J7266">
        <v>0</v>
      </c>
      <c r="K7266">
        <v>0</v>
      </c>
      <c r="L7266" s="2">
        <v>0</v>
      </c>
      <c r="M7266">
        <v>72.09999999999999</v>
      </c>
      <c r="N7266" t="s">
        <v>10236</v>
      </c>
    </row>
    <row r="7267" spans="1:14">
      <c r="A7267" t="s">
        <v>35</v>
      </c>
      <c r="B7267" t="s">
        <v>7319</v>
      </c>
      <c r="C7267">
        <f>"BT031ROS"</f>
        <v>0</v>
      </c>
      <c r="D7267">
        <v>0</v>
      </c>
      <c r="E7267">
        <v>0</v>
      </c>
      <c r="F7267" s="2">
        <v>0</v>
      </c>
      <c r="H7267">
        <v>0</v>
      </c>
      <c r="I7267">
        <v>0.1741125760648204</v>
      </c>
      <c r="J7267">
        <v>0</v>
      </c>
      <c r="K7267">
        <v>0</v>
      </c>
      <c r="L7267" s="2">
        <v>0</v>
      </c>
      <c r="M7267">
        <v>72.11</v>
      </c>
      <c r="N7267" t="s">
        <v>10236</v>
      </c>
    </row>
    <row r="7268" spans="1:14">
      <c r="A7268" t="s">
        <v>35</v>
      </c>
      <c r="B7268" t="s">
        <v>7320</v>
      </c>
      <c r="C7268">
        <f>"WD897ROJ"</f>
        <v>0</v>
      </c>
      <c r="D7268">
        <v>0</v>
      </c>
      <c r="E7268">
        <v>0</v>
      </c>
      <c r="F7268" s="2">
        <v>0</v>
      </c>
      <c r="H7268">
        <v>0</v>
      </c>
      <c r="I7268">
        <v>0.1741125760648204</v>
      </c>
      <c r="J7268">
        <v>0</v>
      </c>
      <c r="K7268">
        <v>0</v>
      </c>
      <c r="L7268" s="2">
        <v>0</v>
      </c>
      <c r="M7268">
        <v>72.12</v>
      </c>
      <c r="N7268" t="s">
        <v>10236</v>
      </c>
    </row>
    <row r="7269" spans="1:14">
      <c r="A7269" t="s">
        <v>35</v>
      </c>
      <c r="B7269" t="s">
        <v>7321</v>
      </c>
      <c r="C7269">
        <f>"NT038V"</f>
        <v>0</v>
      </c>
      <c r="D7269">
        <v>0</v>
      </c>
      <c r="E7269">
        <v>2</v>
      </c>
      <c r="F7269" s="2">
        <v>1</v>
      </c>
      <c r="H7269">
        <v>0</v>
      </c>
      <c r="I7269">
        <v>0.1741125760648204</v>
      </c>
      <c r="J7269">
        <v>0</v>
      </c>
      <c r="K7269">
        <v>0</v>
      </c>
      <c r="L7269" s="2">
        <v>0</v>
      </c>
      <c r="M7269">
        <v>72.13</v>
      </c>
      <c r="N7269" t="s">
        <v>10236</v>
      </c>
    </row>
    <row r="7270" spans="1:14">
      <c r="A7270" t="s">
        <v>35</v>
      </c>
      <c r="B7270" t="s">
        <v>7322</v>
      </c>
      <c r="C7270">
        <f>"NT038ZIGZAG"</f>
        <v>0</v>
      </c>
      <c r="D7270">
        <v>0</v>
      </c>
      <c r="E7270">
        <v>0</v>
      </c>
      <c r="F7270" s="2">
        <v>0</v>
      </c>
      <c r="H7270">
        <v>0</v>
      </c>
      <c r="I7270">
        <v>0.1741125760648204</v>
      </c>
      <c r="J7270">
        <v>0</v>
      </c>
      <c r="K7270">
        <v>0</v>
      </c>
      <c r="L7270" s="2">
        <v>0</v>
      </c>
      <c r="M7270">
        <v>72.14</v>
      </c>
      <c r="N7270" t="s">
        <v>10236</v>
      </c>
    </row>
    <row r="7271" spans="1:14">
      <c r="A7271" t="s">
        <v>35</v>
      </c>
      <c r="B7271" t="s">
        <v>7323</v>
      </c>
      <c r="C7271">
        <f>"NT038ROS"</f>
        <v>0</v>
      </c>
      <c r="D7271">
        <v>0</v>
      </c>
      <c r="E7271">
        <v>6</v>
      </c>
      <c r="F7271" s="2">
        <v>0</v>
      </c>
      <c r="H7271">
        <v>0</v>
      </c>
      <c r="I7271">
        <v>0.1741125760648204</v>
      </c>
      <c r="J7271">
        <v>0</v>
      </c>
      <c r="K7271">
        <v>0</v>
      </c>
      <c r="L7271" s="2">
        <v>0</v>
      </c>
      <c r="M7271">
        <v>72.15000000000001</v>
      </c>
      <c r="N7271" t="s">
        <v>10236</v>
      </c>
    </row>
    <row r="7272" spans="1:14">
      <c r="A7272" t="s">
        <v>35</v>
      </c>
      <c r="B7272" t="s">
        <v>7324</v>
      </c>
      <c r="C7272">
        <f>"NT038ROJ"</f>
        <v>0</v>
      </c>
      <c r="D7272">
        <v>0</v>
      </c>
      <c r="E7272">
        <v>0</v>
      </c>
      <c r="F7272" s="2">
        <v>0</v>
      </c>
      <c r="H7272">
        <v>0</v>
      </c>
      <c r="I7272">
        <v>0.1741125760648204</v>
      </c>
      <c r="J7272">
        <v>0</v>
      </c>
      <c r="K7272">
        <v>0</v>
      </c>
      <c r="L7272" s="2">
        <v>0</v>
      </c>
      <c r="M7272">
        <v>72.16</v>
      </c>
      <c r="N7272" t="s">
        <v>10236</v>
      </c>
    </row>
    <row r="7273" spans="1:14">
      <c r="A7273" t="s">
        <v>35</v>
      </c>
      <c r="B7273" t="s">
        <v>7325</v>
      </c>
      <c r="C7273">
        <f>"NT038PUNAMROJ"</f>
        <v>0</v>
      </c>
      <c r="D7273">
        <v>0</v>
      </c>
      <c r="E7273">
        <v>0</v>
      </c>
      <c r="F7273" s="2">
        <v>0</v>
      </c>
      <c r="H7273">
        <v>0</v>
      </c>
      <c r="I7273">
        <v>0.1741125760648204</v>
      </c>
      <c r="J7273">
        <v>0</v>
      </c>
      <c r="K7273">
        <v>0</v>
      </c>
      <c r="L7273" s="2">
        <v>0</v>
      </c>
      <c r="M7273">
        <v>72.17</v>
      </c>
      <c r="N7273" t="s">
        <v>10236</v>
      </c>
    </row>
    <row r="7274" spans="1:14">
      <c r="A7274" t="s">
        <v>35</v>
      </c>
      <c r="B7274" t="s">
        <v>7326</v>
      </c>
      <c r="C7274">
        <f>"NT038PINTA"</f>
        <v>0</v>
      </c>
      <c r="D7274">
        <v>0</v>
      </c>
      <c r="E7274">
        <v>1</v>
      </c>
      <c r="F7274" s="2">
        <v>675</v>
      </c>
      <c r="H7274">
        <v>0</v>
      </c>
      <c r="I7274">
        <v>0.1741125760648204</v>
      </c>
      <c r="J7274">
        <v>0</v>
      </c>
      <c r="K7274">
        <v>0</v>
      </c>
      <c r="L7274" s="2">
        <v>0</v>
      </c>
      <c r="M7274">
        <v>72.18000000000001</v>
      </c>
      <c r="N7274" t="s">
        <v>10236</v>
      </c>
    </row>
    <row r="7275" spans="1:14">
      <c r="A7275" t="s">
        <v>35</v>
      </c>
      <c r="B7275" t="s">
        <v>7327</v>
      </c>
      <c r="C7275">
        <f>"NT038NEPUN"</f>
        <v>0</v>
      </c>
      <c r="D7275">
        <v>0</v>
      </c>
      <c r="E7275">
        <v>0</v>
      </c>
      <c r="F7275" s="2">
        <v>0</v>
      </c>
      <c r="H7275">
        <v>0</v>
      </c>
      <c r="I7275">
        <v>0.1741125760648204</v>
      </c>
      <c r="J7275">
        <v>0</v>
      </c>
      <c r="K7275">
        <v>0</v>
      </c>
      <c r="L7275" s="2">
        <v>0</v>
      </c>
      <c r="M7275">
        <v>72.19</v>
      </c>
      <c r="N7275" t="s">
        <v>10236</v>
      </c>
    </row>
    <row r="7276" spans="1:14">
      <c r="A7276" t="s">
        <v>35</v>
      </c>
      <c r="B7276" t="s">
        <v>7328</v>
      </c>
      <c r="C7276">
        <f>"HH088XSR"</f>
        <v>0</v>
      </c>
      <c r="D7276">
        <v>0</v>
      </c>
      <c r="E7276">
        <v>11</v>
      </c>
      <c r="F7276" s="2">
        <v>7</v>
      </c>
      <c r="H7276">
        <v>0</v>
      </c>
      <c r="I7276">
        <v>0.1741125760648204</v>
      </c>
      <c r="J7276">
        <v>0</v>
      </c>
      <c r="K7276">
        <v>0</v>
      </c>
      <c r="L7276" s="2">
        <v>0</v>
      </c>
      <c r="M7276">
        <v>72.2</v>
      </c>
      <c r="N7276" t="s">
        <v>10236</v>
      </c>
    </row>
    <row r="7277" spans="1:14">
      <c r="A7277" t="s">
        <v>35</v>
      </c>
      <c r="B7277" t="s">
        <v>7329</v>
      </c>
      <c r="C7277">
        <f>"HH088XLR"</f>
        <v>0</v>
      </c>
      <c r="D7277">
        <v>0</v>
      </c>
      <c r="E7277">
        <v>0</v>
      </c>
      <c r="F7277" s="2">
        <v>0</v>
      </c>
      <c r="H7277">
        <v>0</v>
      </c>
      <c r="I7277">
        <v>0.1741125760648204</v>
      </c>
      <c r="J7277">
        <v>0</v>
      </c>
      <c r="K7277">
        <v>0</v>
      </c>
      <c r="L7277" s="2">
        <v>0</v>
      </c>
      <c r="M7277">
        <v>72.2</v>
      </c>
      <c r="N7277" t="s">
        <v>10236</v>
      </c>
    </row>
    <row r="7278" spans="1:14">
      <c r="A7278" t="s">
        <v>35</v>
      </c>
      <c r="B7278" t="s">
        <v>7330</v>
      </c>
      <c r="C7278">
        <f>"HH088SR"</f>
        <v>0</v>
      </c>
      <c r="D7278">
        <v>0</v>
      </c>
      <c r="E7278">
        <v>8</v>
      </c>
      <c r="F7278" s="2">
        <v>10</v>
      </c>
      <c r="H7278">
        <v>0</v>
      </c>
      <c r="I7278">
        <v>0.1741125760648204</v>
      </c>
      <c r="J7278">
        <v>0</v>
      </c>
      <c r="K7278">
        <v>0</v>
      </c>
      <c r="L7278" s="2">
        <v>0</v>
      </c>
      <c r="M7278">
        <v>72.20999999999999</v>
      </c>
      <c r="N7278" t="s">
        <v>10236</v>
      </c>
    </row>
    <row r="7279" spans="1:14">
      <c r="A7279" t="s">
        <v>35</v>
      </c>
      <c r="B7279" t="s">
        <v>7331</v>
      </c>
      <c r="C7279">
        <f>"HH088LAC"</f>
        <v>0</v>
      </c>
      <c r="D7279">
        <v>0</v>
      </c>
      <c r="E7279">
        <v>0</v>
      </c>
      <c r="F7279" s="2">
        <v>0</v>
      </c>
      <c r="H7279">
        <v>0</v>
      </c>
      <c r="I7279">
        <v>0.1741125760648204</v>
      </c>
      <c r="J7279">
        <v>0</v>
      </c>
      <c r="K7279">
        <v>0</v>
      </c>
      <c r="L7279" s="2">
        <v>0</v>
      </c>
      <c r="M7279">
        <v>72.22</v>
      </c>
      <c r="N7279" t="s">
        <v>10236</v>
      </c>
    </row>
    <row r="7280" spans="1:14">
      <c r="A7280" t="s">
        <v>35</v>
      </c>
      <c r="B7280" t="s">
        <v>7332</v>
      </c>
      <c r="C7280">
        <f>"HH088XXLAR"</f>
        <v>0</v>
      </c>
      <c r="D7280">
        <v>0</v>
      </c>
      <c r="E7280">
        <v>9</v>
      </c>
      <c r="F7280" s="2">
        <v>12</v>
      </c>
      <c r="H7280">
        <v>0</v>
      </c>
      <c r="I7280">
        <v>0.1741125760648204</v>
      </c>
      <c r="J7280">
        <v>0</v>
      </c>
      <c r="K7280">
        <v>0</v>
      </c>
      <c r="L7280" s="2">
        <v>0</v>
      </c>
      <c r="M7280">
        <v>72.23</v>
      </c>
      <c r="N7280" t="s">
        <v>10236</v>
      </c>
    </row>
    <row r="7281" spans="1:14">
      <c r="A7281" t="s">
        <v>35</v>
      </c>
      <c r="B7281" t="s">
        <v>7333</v>
      </c>
      <c r="C7281">
        <f>"HH088XSAR"</f>
        <v>0</v>
      </c>
      <c r="D7281">
        <v>0</v>
      </c>
      <c r="E7281">
        <v>4</v>
      </c>
      <c r="F7281" s="2">
        <v>7</v>
      </c>
      <c r="H7281">
        <v>0</v>
      </c>
      <c r="I7281">
        <v>0.1741125760648204</v>
      </c>
      <c r="J7281">
        <v>0</v>
      </c>
      <c r="K7281">
        <v>0</v>
      </c>
      <c r="L7281" s="2">
        <v>0</v>
      </c>
      <c r="M7281">
        <v>72.23999999999999</v>
      </c>
      <c r="N7281" t="s">
        <v>10236</v>
      </c>
    </row>
    <row r="7282" spans="1:14">
      <c r="A7282" t="s">
        <v>35</v>
      </c>
      <c r="B7282" t="s">
        <v>7334</v>
      </c>
      <c r="C7282">
        <f>"HH088XLAR"</f>
        <v>0</v>
      </c>
      <c r="D7282">
        <v>0</v>
      </c>
      <c r="E7282">
        <v>1</v>
      </c>
      <c r="F7282" s="2">
        <v>11</v>
      </c>
      <c r="H7282">
        <v>0</v>
      </c>
      <c r="I7282">
        <v>0.1741125760648204</v>
      </c>
      <c r="J7282">
        <v>0</v>
      </c>
      <c r="K7282">
        <v>0</v>
      </c>
      <c r="L7282" s="2">
        <v>0</v>
      </c>
      <c r="M7282">
        <v>72.25</v>
      </c>
      <c r="N7282" t="s">
        <v>10236</v>
      </c>
    </row>
    <row r="7283" spans="1:14">
      <c r="A7283" t="s">
        <v>35</v>
      </c>
      <c r="B7283" t="s">
        <v>7335</v>
      </c>
      <c r="C7283">
        <f>"HH088SAR"</f>
        <v>0</v>
      </c>
      <c r="D7283">
        <v>0</v>
      </c>
      <c r="E7283">
        <v>7</v>
      </c>
      <c r="F7283" s="2">
        <v>9</v>
      </c>
      <c r="H7283">
        <v>0</v>
      </c>
      <c r="I7283">
        <v>0.1741125760648204</v>
      </c>
      <c r="J7283">
        <v>0</v>
      </c>
      <c r="K7283">
        <v>0</v>
      </c>
      <c r="L7283" s="2">
        <v>0</v>
      </c>
      <c r="M7283">
        <v>72.26000000000001</v>
      </c>
      <c r="N7283" t="s">
        <v>10236</v>
      </c>
    </row>
    <row r="7284" spans="1:14">
      <c r="A7284" t="s">
        <v>35</v>
      </c>
      <c r="B7284" t="s">
        <v>7336</v>
      </c>
      <c r="C7284">
        <f>"BT031ROJC"</f>
        <v>0</v>
      </c>
      <c r="D7284">
        <v>0</v>
      </c>
      <c r="E7284">
        <v>0</v>
      </c>
      <c r="F7284" s="2">
        <v>0</v>
      </c>
      <c r="H7284">
        <v>0</v>
      </c>
      <c r="I7284">
        <v>0.1741125760648204</v>
      </c>
      <c r="J7284">
        <v>0</v>
      </c>
      <c r="K7284">
        <v>0</v>
      </c>
      <c r="L7284" s="2">
        <v>0</v>
      </c>
      <c r="M7284">
        <v>72.27</v>
      </c>
      <c r="N7284" t="s">
        <v>10236</v>
      </c>
    </row>
    <row r="7285" spans="1:14">
      <c r="A7285" t="s">
        <v>35</v>
      </c>
      <c r="B7285" t="s">
        <v>7337</v>
      </c>
      <c r="C7285">
        <f>"WD897CEL"</f>
        <v>0</v>
      </c>
      <c r="D7285">
        <v>0</v>
      </c>
      <c r="E7285">
        <v>0</v>
      </c>
      <c r="F7285" s="2">
        <v>0</v>
      </c>
      <c r="H7285">
        <v>0</v>
      </c>
      <c r="I7285">
        <v>0.1741125760648204</v>
      </c>
      <c r="J7285">
        <v>0</v>
      </c>
      <c r="K7285">
        <v>0</v>
      </c>
      <c r="L7285" s="2">
        <v>0</v>
      </c>
      <c r="M7285">
        <v>72.28</v>
      </c>
      <c r="N7285" t="s">
        <v>10236</v>
      </c>
    </row>
    <row r="7286" spans="1:14">
      <c r="A7286" t="s">
        <v>35</v>
      </c>
      <c r="B7286" t="s">
        <v>7338</v>
      </c>
      <c r="C7286">
        <f>"SLL2138"</f>
        <v>0</v>
      </c>
      <c r="D7286">
        <v>0</v>
      </c>
      <c r="E7286">
        <v>0</v>
      </c>
      <c r="F7286" s="2">
        <v>0</v>
      </c>
      <c r="H7286">
        <v>0</v>
      </c>
      <c r="I7286">
        <v>0.1741125760648204</v>
      </c>
      <c r="J7286">
        <v>0</v>
      </c>
      <c r="K7286">
        <v>0</v>
      </c>
      <c r="L7286" s="2">
        <v>0</v>
      </c>
      <c r="M7286">
        <v>72.29000000000001</v>
      </c>
      <c r="N7286" t="s">
        <v>10236</v>
      </c>
    </row>
    <row r="7287" spans="1:14">
      <c r="A7287" t="s">
        <v>35</v>
      </c>
      <c r="B7287" t="s">
        <v>7339</v>
      </c>
      <c r="C7287">
        <f>"SL21312"</f>
        <v>0</v>
      </c>
      <c r="D7287">
        <v>0</v>
      </c>
      <c r="E7287">
        <v>0</v>
      </c>
      <c r="F7287" s="2">
        <v>0</v>
      </c>
      <c r="H7287">
        <v>0</v>
      </c>
      <c r="I7287">
        <v>0.1741125760648204</v>
      </c>
      <c r="J7287">
        <v>0</v>
      </c>
      <c r="K7287">
        <v>0</v>
      </c>
      <c r="L7287" s="2">
        <v>0</v>
      </c>
      <c r="M7287">
        <v>72.3</v>
      </c>
      <c r="N7287" t="s">
        <v>10236</v>
      </c>
    </row>
    <row r="7288" spans="1:14">
      <c r="A7288" t="s">
        <v>35</v>
      </c>
      <c r="B7288" t="s">
        <v>7340</v>
      </c>
      <c r="C7288">
        <f>"WD897"</f>
        <v>0</v>
      </c>
      <c r="D7288">
        <v>0</v>
      </c>
      <c r="E7288">
        <v>2</v>
      </c>
      <c r="F7288" s="2">
        <v>1</v>
      </c>
      <c r="H7288">
        <v>0</v>
      </c>
      <c r="I7288">
        <v>0.1741125760648204</v>
      </c>
      <c r="J7288">
        <v>0</v>
      </c>
      <c r="K7288">
        <v>0</v>
      </c>
      <c r="L7288" s="2">
        <v>0</v>
      </c>
      <c r="M7288">
        <v>72.31</v>
      </c>
      <c r="N7288" t="s">
        <v>10236</v>
      </c>
    </row>
    <row r="7289" spans="1:14">
      <c r="A7289" t="s">
        <v>35</v>
      </c>
      <c r="B7289" t="s">
        <v>7341</v>
      </c>
      <c r="C7289">
        <f>"WD899"</f>
        <v>0</v>
      </c>
      <c r="D7289">
        <v>0</v>
      </c>
      <c r="E7289">
        <v>0</v>
      </c>
      <c r="F7289" s="2">
        <v>0</v>
      </c>
      <c r="H7289">
        <v>0</v>
      </c>
      <c r="I7289">
        <v>0.1741125760648204</v>
      </c>
      <c r="J7289">
        <v>0</v>
      </c>
      <c r="K7289">
        <v>0</v>
      </c>
      <c r="L7289" s="2">
        <v>0</v>
      </c>
      <c r="M7289">
        <v>72.31999999999999</v>
      </c>
      <c r="N7289" t="s">
        <v>10236</v>
      </c>
    </row>
    <row r="7290" spans="1:14">
      <c r="A7290" t="s">
        <v>35</v>
      </c>
      <c r="B7290" t="s">
        <v>7342</v>
      </c>
      <c r="C7290">
        <f>"GSQS001SROS"</f>
        <v>0</v>
      </c>
      <c r="D7290">
        <v>0</v>
      </c>
      <c r="E7290">
        <v>0</v>
      </c>
      <c r="F7290" s="2">
        <v>0</v>
      </c>
      <c r="H7290">
        <v>0</v>
      </c>
      <c r="I7290">
        <v>0.1741125760648204</v>
      </c>
      <c r="J7290">
        <v>0</v>
      </c>
      <c r="K7290">
        <v>0</v>
      </c>
      <c r="L7290" s="2">
        <v>0</v>
      </c>
      <c r="M7290">
        <v>72.31999999999999</v>
      </c>
      <c r="N7290" t="s">
        <v>10236</v>
      </c>
    </row>
    <row r="7291" spans="1:14">
      <c r="A7291" t="s">
        <v>35</v>
      </c>
      <c r="B7291" t="s">
        <v>7343</v>
      </c>
      <c r="C7291">
        <f>"GSQS001SROJ"</f>
        <v>0</v>
      </c>
      <c r="D7291">
        <v>0</v>
      </c>
      <c r="E7291">
        <v>1</v>
      </c>
      <c r="F7291" s="2">
        <v>2</v>
      </c>
      <c r="H7291">
        <v>0</v>
      </c>
      <c r="I7291">
        <v>0.1741125760648204</v>
      </c>
      <c r="J7291">
        <v>0</v>
      </c>
      <c r="K7291">
        <v>0</v>
      </c>
      <c r="L7291" s="2">
        <v>0</v>
      </c>
      <c r="M7291">
        <v>72.33</v>
      </c>
      <c r="N7291" t="s">
        <v>10236</v>
      </c>
    </row>
    <row r="7292" spans="1:14">
      <c r="A7292" t="s">
        <v>35</v>
      </c>
      <c r="B7292" t="s">
        <v>7344</v>
      </c>
      <c r="C7292">
        <f>"GSQS001SGR"</f>
        <v>0</v>
      </c>
      <c r="D7292">
        <v>0</v>
      </c>
      <c r="E7292">
        <v>0</v>
      </c>
      <c r="F7292" s="2">
        <v>0</v>
      </c>
      <c r="H7292">
        <v>0</v>
      </c>
      <c r="I7292">
        <v>0.1741125760648204</v>
      </c>
      <c r="J7292">
        <v>0</v>
      </c>
      <c r="K7292">
        <v>0</v>
      </c>
      <c r="L7292" s="2">
        <v>0</v>
      </c>
      <c r="M7292">
        <v>72.34</v>
      </c>
      <c r="N7292" t="s">
        <v>10236</v>
      </c>
    </row>
    <row r="7293" spans="1:14">
      <c r="A7293" t="s">
        <v>35</v>
      </c>
      <c r="B7293" t="s">
        <v>7345</v>
      </c>
      <c r="C7293">
        <f>"GSQS001SCEL"</f>
        <v>0</v>
      </c>
      <c r="D7293">
        <v>0</v>
      </c>
      <c r="E7293">
        <v>1</v>
      </c>
      <c r="F7293" s="2">
        <v>2</v>
      </c>
      <c r="H7293">
        <v>0</v>
      </c>
      <c r="I7293">
        <v>0.1741125760648204</v>
      </c>
      <c r="J7293">
        <v>0</v>
      </c>
      <c r="K7293">
        <v>0</v>
      </c>
      <c r="L7293" s="2">
        <v>0</v>
      </c>
      <c r="M7293">
        <v>72.34999999999999</v>
      </c>
      <c r="N7293" t="s">
        <v>10236</v>
      </c>
    </row>
    <row r="7294" spans="1:14">
      <c r="A7294" t="s">
        <v>35</v>
      </c>
      <c r="B7294" t="s">
        <v>7346</v>
      </c>
      <c r="C7294">
        <f>"GSQS002MROS"</f>
        <v>0</v>
      </c>
      <c r="D7294">
        <v>0</v>
      </c>
      <c r="E7294">
        <v>0</v>
      </c>
      <c r="F7294" s="2">
        <v>0</v>
      </c>
      <c r="H7294">
        <v>0</v>
      </c>
      <c r="I7294">
        <v>0.1741125760648204</v>
      </c>
      <c r="J7294">
        <v>0</v>
      </c>
      <c r="K7294">
        <v>0</v>
      </c>
      <c r="L7294" s="2">
        <v>0</v>
      </c>
      <c r="M7294">
        <v>72.36</v>
      </c>
      <c r="N7294" t="s">
        <v>10236</v>
      </c>
    </row>
    <row r="7295" spans="1:14">
      <c r="A7295" t="s">
        <v>35</v>
      </c>
      <c r="B7295" t="s">
        <v>7347</v>
      </c>
      <c r="C7295">
        <f>"GSQS002MROJ"</f>
        <v>0</v>
      </c>
      <c r="D7295">
        <v>0</v>
      </c>
      <c r="E7295">
        <v>0</v>
      </c>
      <c r="F7295" s="2">
        <v>0</v>
      </c>
      <c r="H7295">
        <v>0</v>
      </c>
      <c r="I7295">
        <v>0.1741125760648204</v>
      </c>
      <c r="J7295">
        <v>0</v>
      </c>
      <c r="K7295">
        <v>0</v>
      </c>
      <c r="L7295" s="2">
        <v>0</v>
      </c>
      <c r="M7295">
        <v>72.37</v>
      </c>
      <c r="N7295" t="s">
        <v>10236</v>
      </c>
    </row>
    <row r="7296" spans="1:14">
      <c r="A7296" t="s">
        <v>35</v>
      </c>
      <c r="B7296" t="s">
        <v>7348</v>
      </c>
      <c r="C7296">
        <f>"GSQS002MGR"</f>
        <v>0</v>
      </c>
      <c r="D7296">
        <v>0</v>
      </c>
      <c r="E7296">
        <v>0</v>
      </c>
      <c r="F7296" s="2">
        <v>0</v>
      </c>
      <c r="H7296">
        <v>0</v>
      </c>
      <c r="I7296">
        <v>0.1741125760648204</v>
      </c>
      <c r="J7296">
        <v>0</v>
      </c>
      <c r="K7296">
        <v>0</v>
      </c>
      <c r="L7296" s="2">
        <v>0</v>
      </c>
      <c r="M7296">
        <v>72.38</v>
      </c>
      <c r="N7296" t="s">
        <v>10236</v>
      </c>
    </row>
    <row r="7297" spans="1:14">
      <c r="A7297" t="s">
        <v>35</v>
      </c>
      <c r="B7297" t="s">
        <v>7349</v>
      </c>
      <c r="C7297">
        <f>"GSQS002MCEL"</f>
        <v>0</v>
      </c>
      <c r="D7297">
        <v>0</v>
      </c>
      <c r="E7297">
        <v>1</v>
      </c>
      <c r="F7297" s="2">
        <v>2</v>
      </c>
      <c r="H7297">
        <v>0</v>
      </c>
      <c r="I7297">
        <v>0.1741125760648204</v>
      </c>
      <c r="J7297">
        <v>0</v>
      </c>
      <c r="K7297">
        <v>0</v>
      </c>
      <c r="L7297" s="2">
        <v>0</v>
      </c>
      <c r="M7297">
        <v>72.39</v>
      </c>
      <c r="N7297" t="s">
        <v>10236</v>
      </c>
    </row>
    <row r="7298" spans="1:14">
      <c r="A7298" t="s">
        <v>35</v>
      </c>
      <c r="B7298" t="s">
        <v>7350</v>
      </c>
      <c r="C7298">
        <f>"GSQS003LROS"</f>
        <v>0</v>
      </c>
      <c r="D7298">
        <v>0</v>
      </c>
      <c r="E7298">
        <v>0</v>
      </c>
      <c r="F7298" s="2">
        <v>0</v>
      </c>
      <c r="H7298">
        <v>0</v>
      </c>
      <c r="I7298">
        <v>0.1741125760648204</v>
      </c>
      <c r="J7298">
        <v>0</v>
      </c>
      <c r="K7298">
        <v>0</v>
      </c>
      <c r="L7298" s="2">
        <v>0</v>
      </c>
      <c r="M7298">
        <v>72.40000000000001</v>
      </c>
      <c r="N7298" t="s">
        <v>10236</v>
      </c>
    </row>
    <row r="7299" spans="1:14">
      <c r="A7299" t="s">
        <v>35</v>
      </c>
      <c r="B7299" t="s">
        <v>7351</v>
      </c>
      <c r="C7299">
        <f>"SPS020CEL"</f>
        <v>0</v>
      </c>
      <c r="D7299">
        <v>0</v>
      </c>
      <c r="E7299">
        <v>1</v>
      </c>
      <c r="F7299" s="2">
        <v>6</v>
      </c>
      <c r="H7299">
        <v>0</v>
      </c>
      <c r="I7299">
        <v>0.1741125760648204</v>
      </c>
      <c r="J7299">
        <v>0</v>
      </c>
      <c r="K7299">
        <v>0</v>
      </c>
      <c r="L7299" s="2">
        <v>0</v>
      </c>
      <c r="M7299">
        <v>72.41</v>
      </c>
      <c r="N7299" t="s">
        <v>10236</v>
      </c>
    </row>
    <row r="7300" spans="1:14">
      <c r="A7300" t="s">
        <v>35</v>
      </c>
      <c r="B7300" t="s">
        <v>7352</v>
      </c>
      <c r="C7300">
        <f>"GSQS003LGR"</f>
        <v>0</v>
      </c>
      <c r="D7300">
        <v>0</v>
      </c>
      <c r="E7300">
        <v>0</v>
      </c>
      <c r="F7300" s="2">
        <v>0</v>
      </c>
      <c r="H7300">
        <v>0</v>
      </c>
      <c r="I7300">
        <v>0.1741125760648204</v>
      </c>
      <c r="J7300">
        <v>0</v>
      </c>
      <c r="K7300">
        <v>0</v>
      </c>
      <c r="L7300" s="2">
        <v>0</v>
      </c>
      <c r="M7300">
        <v>72.42</v>
      </c>
      <c r="N7300" t="s">
        <v>10236</v>
      </c>
    </row>
    <row r="7301" spans="1:14">
      <c r="A7301" t="s">
        <v>35</v>
      </c>
      <c r="B7301" t="s">
        <v>7353</v>
      </c>
      <c r="C7301">
        <f>"GSQS003LCEL"</f>
        <v>0</v>
      </c>
      <c r="D7301">
        <v>0</v>
      </c>
      <c r="E7301">
        <v>1</v>
      </c>
      <c r="F7301" s="2">
        <v>2</v>
      </c>
      <c r="H7301">
        <v>0</v>
      </c>
      <c r="I7301">
        <v>0.1741125760648204</v>
      </c>
      <c r="J7301">
        <v>0</v>
      </c>
      <c r="K7301">
        <v>0</v>
      </c>
      <c r="L7301" s="2">
        <v>0</v>
      </c>
      <c r="M7301">
        <v>72.43000000000001</v>
      </c>
      <c r="N7301" t="s">
        <v>10236</v>
      </c>
    </row>
    <row r="7302" spans="1:14">
      <c r="A7302" t="s">
        <v>35</v>
      </c>
      <c r="B7302" t="s">
        <v>7354</v>
      </c>
      <c r="C7302">
        <f>"4210CAL"</f>
        <v>0</v>
      </c>
      <c r="D7302">
        <v>0</v>
      </c>
      <c r="E7302">
        <v>0</v>
      </c>
      <c r="F7302" s="2">
        <v>0</v>
      </c>
      <c r="H7302">
        <v>0</v>
      </c>
      <c r="I7302">
        <v>0.1741125760648204</v>
      </c>
      <c r="J7302">
        <v>0</v>
      </c>
      <c r="K7302">
        <v>0</v>
      </c>
      <c r="L7302" s="2">
        <v>0</v>
      </c>
      <c r="M7302">
        <v>72.44</v>
      </c>
      <c r="N7302" t="s">
        <v>10236</v>
      </c>
    </row>
    <row r="7303" spans="1:14">
      <c r="A7303" t="s">
        <v>35</v>
      </c>
      <c r="B7303" t="s">
        <v>7355</v>
      </c>
      <c r="C7303">
        <f>"4210V"</f>
        <v>0</v>
      </c>
      <c r="D7303">
        <v>0</v>
      </c>
      <c r="E7303">
        <v>1</v>
      </c>
      <c r="F7303" s="2">
        <v>4</v>
      </c>
      <c r="H7303">
        <v>0</v>
      </c>
      <c r="I7303">
        <v>0.1741125760648204</v>
      </c>
      <c r="J7303">
        <v>0</v>
      </c>
      <c r="K7303">
        <v>0</v>
      </c>
      <c r="L7303" s="2">
        <v>0</v>
      </c>
      <c r="M7303">
        <v>72.44</v>
      </c>
      <c r="N7303" t="s">
        <v>10236</v>
      </c>
    </row>
    <row r="7304" spans="1:14">
      <c r="A7304" t="s">
        <v>35</v>
      </c>
      <c r="B7304" t="s">
        <v>7356</v>
      </c>
      <c r="C7304">
        <f>"1064008000905"</f>
        <v>0</v>
      </c>
      <c r="D7304">
        <v>0</v>
      </c>
      <c r="E7304">
        <v>12</v>
      </c>
      <c r="F7304" s="2">
        <v>2</v>
      </c>
      <c r="H7304">
        <v>0</v>
      </c>
      <c r="I7304">
        <v>0.1741125760648204</v>
      </c>
      <c r="J7304">
        <v>0</v>
      </c>
      <c r="K7304">
        <v>0</v>
      </c>
      <c r="L7304" s="2">
        <v>0</v>
      </c>
      <c r="M7304">
        <v>72.45</v>
      </c>
      <c r="N7304" t="s">
        <v>10236</v>
      </c>
    </row>
    <row r="7305" spans="1:14">
      <c r="A7305" t="s">
        <v>35</v>
      </c>
      <c r="B7305" t="s">
        <v>7357</v>
      </c>
      <c r="C7305">
        <f>"CL12R"</f>
        <v>0</v>
      </c>
      <c r="D7305">
        <v>0</v>
      </c>
      <c r="E7305">
        <v>0</v>
      </c>
      <c r="F7305" s="2">
        <v>0</v>
      </c>
      <c r="H7305">
        <v>0</v>
      </c>
      <c r="I7305">
        <v>0.1741125760648204</v>
      </c>
      <c r="J7305">
        <v>0</v>
      </c>
      <c r="K7305">
        <v>0</v>
      </c>
      <c r="L7305" s="2">
        <v>0</v>
      </c>
      <c r="M7305">
        <v>72.45999999999999</v>
      </c>
      <c r="N7305" t="s">
        <v>10236</v>
      </c>
    </row>
    <row r="7306" spans="1:14">
      <c r="A7306" t="s">
        <v>35</v>
      </c>
      <c r="B7306" t="s">
        <v>7358</v>
      </c>
      <c r="C7306">
        <f>"CL02R"</f>
        <v>0</v>
      </c>
      <c r="D7306">
        <v>0</v>
      </c>
      <c r="E7306">
        <v>0</v>
      </c>
      <c r="F7306" s="2">
        <v>0</v>
      </c>
      <c r="H7306">
        <v>0</v>
      </c>
      <c r="I7306">
        <v>0.1741125760648204</v>
      </c>
      <c r="J7306">
        <v>0</v>
      </c>
      <c r="K7306">
        <v>0</v>
      </c>
      <c r="L7306" s="2">
        <v>0</v>
      </c>
      <c r="M7306">
        <v>72.47</v>
      </c>
      <c r="N7306" t="s">
        <v>10236</v>
      </c>
    </row>
    <row r="7307" spans="1:14">
      <c r="A7307" t="s">
        <v>35</v>
      </c>
      <c r="B7307" t="s">
        <v>7359</v>
      </c>
      <c r="C7307">
        <f>"CL02N"</f>
        <v>0</v>
      </c>
      <c r="D7307">
        <v>0</v>
      </c>
      <c r="E7307">
        <v>1</v>
      </c>
      <c r="F7307" s="2">
        <v>2</v>
      </c>
      <c r="H7307">
        <v>0</v>
      </c>
      <c r="I7307">
        <v>0.1741125760648204</v>
      </c>
      <c r="J7307">
        <v>0</v>
      </c>
      <c r="K7307">
        <v>0</v>
      </c>
      <c r="L7307" s="2">
        <v>0</v>
      </c>
      <c r="M7307">
        <v>72.48</v>
      </c>
      <c r="N7307" t="s">
        <v>10236</v>
      </c>
    </row>
    <row r="7308" spans="1:14">
      <c r="A7308" t="s">
        <v>35</v>
      </c>
      <c r="B7308" t="s">
        <v>7360</v>
      </c>
      <c r="C7308">
        <f>"CL12C"</f>
        <v>0</v>
      </c>
      <c r="D7308">
        <v>0</v>
      </c>
      <c r="E7308">
        <v>0</v>
      </c>
      <c r="F7308" s="2">
        <v>0</v>
      </c>
      <c r="H7308">
        <v>0</v>
      </c>
      <c r="I7308">
        <v>0.1741125760648204</v>
      </c>
      <c r="J7308">
        <v>0</v>
      </c>
      <c r="K7308">
        <v>0</v>
      </c>
      <c r="L7308" s="2">
        <v>0</v>
      </c>
      <c r="M7308">
        <v>72.48999999999999</v>
      </c>
      <c r="N7308" t="s">
        <v>10236</v>
      </c>
    </row>
    <row r="7309" spans="1:14">
      <c r="A7309" t="s">
        <v>35</v>
      </c>
      <c r="B7309" t="s">
        <v>7361</v>
      </c>
      <c r="C7309">
        <f>"MDD300NA"</f>
        <v>0</v>
      </c>
      <c r="D7309">
        <v>0</v>
      </c>
      <c r="E7309">
        <v>0</v>
      </c>
      <c r="F7309" s="2">
        <v>0</v>
      </c>
      <c r="H7309">
        <v>0</v>
      </c>
      <c r="I7309">
        <v>0.1741125760648204</v>
      </c>
      <c r="J7309">
        <v>0</v>
      </c>
      <c r="K7309">
        <v>0</v>
      </c>
      <c r="L7309" s="2">
        <v>0</v>
      </c>
      <c r="M7309">
        <v>72.5</v>
      </c>
      <c r="N7309" t="s">
        <v>10236</v>
      </c>
    </row>
    <row r="7310" spans="1:14">
      <c r="A7310" t="s">
        <v>35</v>
      </c>
      <c r="B7310" t="s">
        <v>7362</v>
      </c>
      <c r="C7310">
        <f>"SPS019NAR"</f>
        <v>0</v>
      </c>
      <c r="D7310">
        <v>0</v>
      </c>
      <c r="E7310">
        <v>1</v>
      </c>
      <c r="F7310" s="2">
        <v>4</v>
      </c>
      <c r="H7310">
        <v>0</v>
      </c>
      <c r="I7310">
        <v>0.1741125760648204</v>
      </c>
      <c r="J7310">
        <v>0</v>
      </c>
      <c r="K7310">
        <v>0</v>
      </c>
      <c r="L7310" s="2">
        <v>0</v>
      </c>
      <c r="M7310">
        <v>72.51000000000001</v>
      </c>
      <c r="N7310" t="s">
        <v>10236</v>
      </c>
    </row>
    <row r="7311" spans="1:14">
      <c r="A7311" t="s">
        <v>35</v>
      </c>
      <c r="B7311" t="s">
        <v>7363</v>
      </c>
      <c r="C7311">
        <f>"SPS020MOR"</f>
        <v>0</v>
      </c>
      <c r="D7311">
        <v>0</v>
      </c>
      <c r="E7311">
        <v>1</v>
      </c>
      <c r="F7311" s="2">
        <v>6</v>
      </c>
      <c r="H7311">
        <v>0</v>
      </c>
      <c r="I7311">
        <v>0.1741125760648204</v>
      </c>
      <c r="J7311">
        <v>0</v>
      </c>
      <c r="K7311">
        <v>0</v>
      </c>
      <c r="L7311" s="2">
        <v>0</v>
      </c>
      <c r="M7311">
        <v>72.52</v>
      </c>
      <c r="N7311" t="s">
        <v>10236</v>
      </c>
    </row>
    <row r="7312" spans="1:14">
      <c r="A7312" t="s">
        <v>35</v>
      </c>
      <c r="B7312" t="s">
        <v>7364</v>
      </c>
      <c r="C7312">
        <f>"SPS019NE"</f>
        <v>0</v>
      </c>
      <c r="D7312">
        <v>0</v>
      </c>
      <c r="E7312">
        <v>0</v>
      </c>
      <c r="F7312" s="2">
        <v>0</v>
      </c>
      <c r="H7312">
        <v>0</v>
      </c>
      <c r="I7312">
        <v>0.1741125760648204</v>
      </c>
      <c r="J7312">
        <v>0</v>
      </c>
      <c r="K7312">
        <v>0</v>
      </c>
      <c r="L7312" s="2">
        <v>0</v>
      </c>
      <c r="M7312">
        <v>72.53</v>
      </c>
      <c r="N7312" t="s">
        <v>10236</v>
      </c>
    </row>
    <row r="7313" spans="1:14">
      <c r="A7313" t="s">
        <v>35</v>
      </c>
      <c r="B7313" t="s">
        <v>7365</v>
      </c>
      <c r="C7313">
        <f>"SPS021NA"</f>
        <v>0</v>
      </c>
      <c r="D7313">
        <v>0</v>
      </c>
      <c r="E7313">
        <v>1</v>
      </c>
      <c r="F7313" s="2">
        <v>8</v>
      </c>
      <c r="H7313">
        <v>0</v>
      </c>
      <c r="I7313">
        <v>0.1741125760648204</v>
      </c>
      <c r="J7313">
        <v>0</v>
      </c>
      <c r="K7313">
        <v>0</v>
      </c>
      <c r="L7313" s="2">
        <v>0</v>
      </c>
      <c r="M7313">
        <v>72.54000000000001</v>
      </c>
      <c r="N7313" t="s">
        <v>10236</v>
      </c>
    </row>
    <row r="7314" spans="1:14">
      <c r="A7314" t="s">
        <v>35</v>
      </c>
      <c r="B7314" t="s">
        <v>7366</v>
      </c>
      <c r="C7314">
        <f>"SPS021MO"</f>
        <v>0</v>
      </c>
      <c r="D7314">
        <v>0</v>
      </c>
      <c r="E7314">
        <v>1</v>
      </c>
      <c r="F7314" s="2">
        <v>8</v>
      </c>
      <c r="H7314">
        <v>0</v>
      </c>
      <c r="I7314">
        <v>0.1741125760648204</v>
      </c>
      <c r="J7314">
        <v>0</v>
      </c>
      <c r="K7314">
        <v>0</v>
      </c>
      <c r="L7314" s="2">
        <v>0</v>
      </c>
      <c r="M7314">
        <v>72.55</v>
      </c>
      <c r="N7314" t="s">
        <v>10236</v>
      </c>
    </row>
    <row r="7315" spans="1:14">
      <c r="A7315" t="s">
        <v>35</v>
      </c>
      <c r="B7315" t="s">
        <v>7367</v>
      </c>
      <c r="C7315">
        <f>"ZVP1025"</f>
        <v>0</v>
      </c>
      <c r="D7315">
        <v>0</v>
      </c>
      <c r="E7315">
        <v>0</v>
      </c>
      <c r="F7315" s="2">
        <v>0</v>
      </c>
      <c r="H7315">
        <v>0</v>
      </c>
      <c r="I7315">
        <v>0.1741125760648204</v>
      </c>
      <c r="J7315">
        <v>0</v>
      </c>
      <c r="K7315">
        <v>0</v>
      </c>
      <c r="L7315" s="2">
        <v>0</v>
      </c>
      <c r="M7315">
        <v>72.55</v>
      </c>
      <c r="N7315" t="s">
        <v>10236</v>
      </c>
    </row>
    <row r="7316" spans="1:14">
      <c r="A7316" t="s">
        <v>35</v>
      </c>
      <c r="B7316" t="s">
        <v>7368</v>
      </c>
      <c r="C7316">
        <f>"P08R"</f>
        <v>0</v>
      </c>
      <c r="D7316">
        <v>0</v>
      </c>
      <c r="E7316">
        <v>0</v>
      </c>
      <c r="F7316" s="2">
        <v>0</v>
      </c>
      <c r="H7316">
        <v>0</v>
      </c>
      <c r="I7316">
        <v>0.1741125760648204</v>
      </c>
      <c r="J7316">
        <v>0</v>
      </c>
      <c r="K7316">
        <v>0</v>
      </c>
      <c r="L7316" s="2">
        <v>0</v>
      </c>
      <c r="M7316">
        <v>72.56</v>
      </c>
      <c r="N7316" t="s">
        <v>10236</v>
      </c>
    </row>
    <row r="7317" spans="1:14">
      <c r="A7317" t="s">
        <v>35</v>
      </c>
      <c r="B7317" t="s">
        <v>7369</v>
      </c>
      <c r="C7317">
        <f>"P082R"</f>
        <v>0</v>
      </c>
      <c r="D7317">
        <v>0</v>
      </c>
      <c r="E7317">
        <v>0</v>
      </c>
      <c r="F7317" s="2">
        <v>0</v>
      </c>
      <c r="H7317">
        <v>0</v>
      </c>
      <c r="I7317">
        <v>0.1741125760648204</v>
      </c>
      <c r="J7317">
        <v>0</v>
      </c>
      <c r="K7317">
        <v>0</v>
      </c>
      <c r="L7317" s="2">
        <v>0</v>
      </c>
      <c r="M7317">
        <v>72.56999999999999</v>
      </c>
      <c r="N7317" t="s">
        <v>10236</v>
      </c>
    </row>
    <row r="7318" spans="1:14">
      <c r="A7318" t="s">
        <v>35</v>
      </c>
      <c r="B7318" t="s">
        <v>7370</v>
      </c>
      <c r="C7318">
        <f>"P08G"</f>
        <v>0</v>
      </c>
      <c r="D7318">
        <v>0</v>
      </c>
      <c r="E7318">
        <v>0</v>
      </c>
      <c r="F7318" s="2">
        <v>0</v>
      </c>
      <c r="H7318">
        <v>0</v>
      </c>
      <c r="I7318">
        <v>0.1741125760648204</v>
      </c>
      <c r="J7318">
        <v>0</v>
      </c>
      <c r="K7318">
        <v>0</v>
      </c>
      <c r="L7318" s="2">
        <v>0</v>
      </c>
      <c r="M7318">
        <v>72.58</v>
      </c>
      <c r="N7318" t="s">
        <v>10236</v>
      </c>
    </row>
    <row r="7319" spans="1:14">
      <c r="A7319" t="s">
        <v>35</v>
      </c>
      <c r="B7319" t="s">
        <v>7371</v>
      </c>
      <c r="C7319">
        <f>"MM015XXLNA"</f>
        <v>0</v>
      </c>
      <c r="D7319">
        <v>0</v>
      </c>
      <c r="E7319">
        <v>0</v>
      </c>
      <c r="F7319" s="2">
        <v>0</v>
      </c>
      <c r="H7319">
        <v>0</v>
      </c>
      <c r="I7319">
        <v>0.1741125760648204</v>
      </c>
      <c r="J7319">
        <v>0</v>
      </c>
      <c r="K7319">
        <v>0</v>
      </c>
      <c r="L7319" s="2">
        <v>0</v>
      </c>
      <c r="M7319">
        <v>72.59</v>
      </c>
      <c r="N7319" t="s">
        <v>10236</v>
      </c>
    </row>
    <row r="7320" spans="1:14">
      <c r="A7320" t="s">
        <v>35</v>
      </c>
      <c r="B7320" t="s">
        <v>7371</v>
      </c>
      <c r="C7320">
        <f>"MM015XXLMO"</f>
        <v>0</v>
      </c>
      <c r="D7320">
        <v>0</v>
      </c>
      <c r="E7320">
        <v>0</v>
      </c>
      <c r="F7320" s="2">
        <v>0</v>
      </c>
      <c r="H7320">
        <v>0</v>
      </c>
      <c r="I7320">
        <v>0.1741125760648204</v>
      </c>
      <c r="J7320">
        <v>0</v>
      </c>
      <c r="K7320">
        <v>0</v>
      </c>
      <c r="L7320" s="2">
        <v>0</v>
      </c>
      <c r="M7320">
        <v>72.59999999999999</v>
      </c>
      <c r="N7320" t="s">
        <v>10236</v>
      </c>
    </row>
    <row r="7321" spans="1:14">
      <c r="A7321" t="s">
        <v>35</v>
      </c>
      <c r="B7321" t="s">
        <v>7371</v>
      </c>
      <c r="C7321">
        <f>"MM015XXLFUC"</f>
        <v>0</v>
      </c>
      <c r="D7321">
        <v>0</v>
      </c>
      <c r="E7321">
        <v>0</v>
      </c>
      <c r="F7321" s="2">
        <v>0</v>
      </c>
      <c r="H7321">
        <v>0</v>
      </c>
      <c r="I7321">
        <v>0.1741125760648204</v>
      </c>
      <c r="J7321">
        <v>0</v>
      </c>
      <c r="K7321">
        <v>0</v>
      </c>
      <c r="L7321" s="2">
        <v>0</v>
      </c>
      <c r="M7321">
        <v>72.61</v>
      </c>
      <c r="N7321" t="s">
        <v>10236</v>
      </c>
    </row>
    <row r="7322" spans="1:14">
      <c r="A7322" t="s">
        <v>35</v>
      </c>
      <c r="B7322" t="s">
        <v>7371</v>
      </c>
      <c r="C7322">
        <f>"MM015XXLAZ"</f>
        <v>0</v>
      </c>
      <c r="D7322">
        <v>0</v>
      </c>
      <c r="E7322">
        <v>0</v>
      </c>
      <c r="F7322" s="2">
        <v>0</v>
      </c>
      <c r="H7322">
        <v>0</v>
      </c>
      <c r="I7322">
        <v>0.1741125760648204</v>
      </c>
      <c r="J7322">
        <v>0</v>
      </c>
      <c r="K7322">
        <v>0</v>
      </c>
      <c r="L7322" s="2">
        <v>0</v>
      </c>
      <c r="M7322">
        <v>72.62</v>
      </c>
      <c r="N7322" t="s">
        <v>10236</v>
      </c>
    </row>
    <row r="7323" spans="1:14">
      <c r="A7323" t="s">
        <v>35</v>
      </c>
      <c r="B7323" t="s">
        <v>7371</v>
      </c>
      <c r="C7323">
        <f>"MM015XXLAM"</f>
        <v>0</v>
      </c>
      <c r="D7323">
        <v>0</v>
      </c>
      <c r="E7323">
        <v>0</v>
      </c>
      <c r="F7323" s="2">
        <v>0</v>
      </c>
      <c r="H7323">
        <v>0</v>
      </c>
      <c r="I7323">
        <v>0.1741125760648204</v>
      </c>
      <c r="J7323">
        <v>0</v>
      </c>
      <c r="K7323">
        <v>0</v>
      </c>
      <c r="L7323" s="2">
        <v>0</v>
      </c>
      <c r="M7323">
        <v>72.63</v>
      </c>
      <c r="N7323" t="s">
        <v>10236</v>
      </c>
    </row>
    <row r="7324" spans="1:14">
      <c r="A7324" t="s">
        <v>35</v>
      </c>
      <c r="B7324" t="s">
        <v>7372</v>
      </c>
      <c r="C7324">
        <f>"P01R"</f>
        <v>0</v>
      </c>
      <c r="D7324">
        <v>0</v>
      </c>
      <c r="E7324">
        <v>0</v>
      </c>
      <c r="F7324" s="2">
        <v>0</v>
      </c>
      <c r="H7324">
        <v>0</v>
      </c>
      <c r="I7324">
        <v>0.1741125760648204</v>
      </c>
      <c r="J7324">
        <v>0</v>
      </c>
      <c r="K7324">
        <v>0</v>
      </c>
      <c r="L7324" s="2">
        <v>0</v>
      </c>
      <c r="M7324">
        <v>72.64</v>
      </c>
      <c r="N7324" t="s">
        <v>10236</v>
      </c>
    </row>
    <row r="7325" spans="1:14">
      <c r="A7325" t="s">
        <v>35</v>
      </c>
      <c r="B7325" t="s">
        <v>7373</v>
      </c>
      <c r="C7325">
        <f>"P01G"</f>
        <v>0</v>
      </c>
      <c r="D7325">
        <v>0</v>
      </c>
      <c r="E7325">
        <v>0</v>
      </c>
      <c r="F7325" s="2">
        <v>0</v>
      </c>
      <c r="H7325">
        <v>0</v>
      </c>
      <c r="I7325">
        <v>0.1741125760648204</v>
      </c>
      <c r="J7325">
        <v>0</v>
      </c>
      <c r="K7325">
        <v>0</v>
      </c>
      <c r="L7325" s="2">
        <v>0</v>
      </c>
      <c r="M7325">
        <v>72.65000000000001</v>
      </c>
      <c r="N7325" t="s">
        <v>10236</v>
      </c>
    </row>
    <row r="7326" spans="1:14">
      <c r="A7326" t="s">
        <v>35</v>
      </c>
      <c r="B7326" t="s">
        <v>7374</v>
      </c>
      <c r="C7326">
        <f>"P01C"</f>
        <v>0</v>
      </c>
      <c r="D7326">
        <v>0</v>
      </c>
      <c r="E7326">
        <v>0</v>
      </c>
      <c r="F7326" s="2">
        <v>0</v>
      </c>
      <c r="H7326">
        <v>0</v>
      </c>
      <c r="I7326">
        <v>0.1741125760648204</v>
      </c>
      <c r="J7326">
        <v>0</v>
      </c>
      <c r="K7326">
        <v>0</v>
      </c>
      <c r="L7326" s="2">
        <v>0</v>
      </c>
      <c r="M7326">
        <v>72.66</v>
      </c>
      <c r="N7326" t="s">
        <v>10236</v>
      </c>
    </row>
    <row r="7327" spans="1:14">
      <c r="A7327" t="s">
        <v>35</v>
      </c>
      <c r="B7327" t="s">
        <v>7375</v>
      </c>
      <c r="C7327">
        <f>"P01A"</f>
        <v>0</v>
      </c>
      <c r="D7327">
        <v>0</v>
      </c>
      <c r="E7327">
        <v>0</v>
      </c>
      <c r="F7327" s="2">
        <v>0</v>
      </c>
      <c r="H7327">
        <v>0</v>
      </c>
      <c r="I7327">
        <v>0.1741125760648204</v>
      </c>
      <c r="J7327">
        <v>0</v>
      </c>
      <c r="K7327">
        <v>0</v>
      </c>
      <c r="L7327" s="2">
        <v>0</v>
      </c>
      <c r="M7327">
        <v>72.67</v>
      </c>
      <c r="N7327" t="s">
        <v>10236</v>
      </c>
    </row>
    <row r="7328" spans="1:14">
      <c r="A7328" t="s">
        <v>25</v>
      </c>
      <c r="B7328" t="s">
        <v>7376</v>
      </c>
      <c r="C7328">
        <f>"RJ505"</f>
        <v>0</v>
      </c>
      <c r="D7328">
        <v>0</v>
      </c>
      <c r="E7328">
        <v>0</v>
      </c>
      <c r="F7328" s="2">
        <v>0</v>
      </c>
      <c r="H7328">
        <v>0</v>
      </c>
      <c r="I7328">
        <v>0.1741125760648204</v>
      </c>
      <c r="J7328">
        <v>0</v>
      </c>
      <c r="K7328">
        <v>0</v>
      </c>
      <c r="L7328" s="2">
        <v>0</v>
      </c>
      <c r="M7328">
        <v>72.67</v>
      </c>
      <c r="N7328" t="s">
        <v>10236</v>
      </c>
    </row>
    <row r="7329" spans="1:14">
      <c r="A7329" t="s">
        <v>35</v>
      </c>
      <c r="B7329" t="s">
        <v>7377</v>
      </c>
      <c r="C7329">
        <f>"2001"</f>
        <v>0</v>
      </c>
      <c r="D7329">
        <v>0</v>
      </c>
      <c r="E7329">
        <v>0</v>
      </c>
      <c r="F7329" s="2">
        <v>0</v>
      </c>
      <c r="H7329">
        <v>0</v>
      </c>
      <c r="I7329">
        <v>0.1741125760648204</v>
      </c>
      <c r="J7329">
        <v>0</v>
      </c>
      <c r="K7329">
        <v>0</v>
      </c>
      <c r="L7329" s="2">
        <v>0</v>
      </c>
      <c r="M7329">
        <v>72.68000000000001</v>
      </c>
      <c r="N7329" t="s">
        <v>10236</v>
      </c>
    </row>
    <row r="7330" spans="1:14">
      <c r="A7330" t="s">
        <v>35</v>
      </c>
      <c r="B7330" t="s">
        <v>7378</v>
      </c>
      <c r="C7330">
        <f>"ACH40"</f>
        <v>0</v>
      </c>
      <c r="D7330">
        <v>0</v>
      </c>
      <c r="E7330">
        <v>0</v>
      </c>
      <c r="F7330" s="2">
        <v>0</v>
      </c>
      <c r="H7330">
        <v>0</v>
      </c>
      <c r="I7330">
        <v>0.1741125760648204</v>
      </c>
      <c r="J7330">
        <v>0</v>
      </c>
      <c r="K7330">
        <v>0</v>
      </c>
      <c r="L7330" s="2">
        <v>0</v>
      </c>
      <c r="M7330">
        <v>72.69</v>
      </c>
      <c r="N7330" t="s">
        <v>10236</v>
      </c>
    </row>
    <row r="7331" spans="1:14">
      <c r="A7331" t="s">
        <v>25</v>
      </c>
      <c r="B7331" t="s">
        <v>7379</v>
      </c>
      <c r="C7331">
        <f>"RJ212"</f>
        <v>0</v>
      </c>
      <c r="D7331">
        <v>0</v>
      </c>
      <c r="E7331">
        <v>0</v>
      </c>
      <c r="F7331" s="2">
        <v>0</v>
      </c>
      <c r="H7331">
        <v>0</v>
      </c>
      <c r="I7331">
        <v>0.1741125760648204</v>
      </c>
      <c r="J7331">
        <v>0</v>
      </c>
      <c r="K7331">
        <v>0</v>
      </c>
      <c r="L7331" s="2">
        <v>0</v>
      </c>
      <c r="M7331">
        <v>72.7</v>
      </c>
      <c r="N7331" t="s">
        <v>10236</v>
      </c>
    </row>
    <row r="7332" spans="1:14">
      <c r="A7332" t="s">
        <v>25</v>
      </c>
      <c r="B7332" t="s">
        <v>7380</v>
      </c>
      <c r="C7332">
        <f>"RJ213"</f>
        <v>0</v>
      </c>
      <c r="D7332">
        <v>0</v>
      </c>
      <c r="E7332">
        <v>0</v>
      </c>
      <c r="F7332" s="2">
        <v>0</v>
      </c>
      <c r="H7332">
        <v>0</v>
      </c>
      <c r="I7332">
        <v>0.1741125760648204</v>
      </c>
      <c r="J7332">
        <v>0</v>
      </c>
      <c r="K7332">
        <v>0</v>
      </c>
      <c r="L7332" s="2">
        <v>0</v>
      </c>
      <c r="M7332">
        <v>72.70999999999999</v>
      </c>
      <c r="N7332" t="s">
        <v>10236</v>
      </c>
    </row>
    <row r="7333" spans="1:14">
      <c r="A7333" t="s">
        <v>25</v>
      </c>
      <c r="B7333" t="s">
        <v>7381</v>
      </c>
      <c r="C7333">
        <f>"S616"</f>
        <v>0</v>
      </c>
      <c r="D7333">
        <v>0</v>
      </c>
      <c r="E7333">
        <v>0</v>
      </c>
      <c r="F7333" s="2">
        <v>0</v>
      </c>
      <c r="H7333">
        <v>0</v>
      </c>
      <c r="I7333">
        <v>0.1741125760648204</v>
      </c>
      <c r="J7333">
        <v>0</v>
      </c>
      <c r="K7333">
        <v>0</v>
      </c>
      <c r="L7333" s="2">
        <v>0</v>
      </c>
      <c r="M7333">
        <v>72.72</v>
      </c>
      <c r="N7333" t="s">
        <v>10236</v>
      </c>
    </row>
    <row r="7334" spans="1:14">
      <c r="A7334" t="s">
        <v>25</v>
      </c>
      <c r="B7334" t="s">
        <v>7382</v>
      </c>
      <c r="C7334">
        <f>"671408"</f>
        <v>0</v>
      </c>
      <c r="D7334">
        <v>0</v>
      </c>
      <c r="E7334">
        <v>0</v>
      </c>
      <c r="F7334" s="2">
        <v>0</v>
      </c>
      <c r="H7334">
        <v>0</v>
      </c>
      <c r="I7334">
        <v>0.1741125760648204</v>
      </c>
      <c r="J7334">
        <v>0</v>
      </c>
      <c r="K7334">
        <v>0</v>
      </c>
      <c r="L7334" s="2">
        <v>0</v>
      </c>
      <c r="M7334">
        <v>72.73</v>
      </c>
      <c r="N7334" t="s">
        <v>10236</v>
      </c>
    </row>
    <row r="7335" spans="1:14">
      <c r="A7335" t="s">
        <v>35</v>
      </c>
      <c r="B7335" t="s">
        <v>7383</v>
      </c>
      <c r="C7335">
        <f>"MM015XLVE"</f>
        <v>0</v>
      </c>
      <c r="D7335">
        <v>0</v>
      </c>
      <c r="E7335">
        <v>0</v>
      </c>
      <c r="F7335" s="2">
        <v>0</v>
      </c>
      <c r="H7335">
        <v>0</v>
      </c>
      <c r="I7335">
        <v>0.1741125760648204</v>
      </c>
      <c r="J7335">
        <v>0</v>
      </c>
      <c r="K7335">
        <v>0</v>
      </c>
      <c r="L7335" s="2">
        <v>0</v>
      </c>
      <c r="M7335">
        <v>72.73999999999999</v>
      </c>
      <c r="N7335" t="s">
        <v>10236</v>
      </c>
    </row>
    <row r="7336" spans="1:14">
      <c r="A7336" t="s">
        <v>35</v>
      </c>
      <c r="B7336" t="s">
        <v>7383</v>
      </c>
      <c r="C7336">
        <f>"MM015XLROS"</f>
        <v>0</v>
      </c>
      <c r="D7336">
        <v>0</v>
      </c>
      <c r="E7336">
        <v>0</v>
      </c>
      <c r="F7336" s="2">
        <v>0</v>
      </c>
      <c r="H7336">
        <v>0</v>
      </c>
      <c r="I7336">
        <v>0.1741125760648204</v>
      </c>
      <c r="J7336">
        <v>0</v>
      </c>
      <c r="K7336">
        <v>0</v>
      </c>
      <c r="L7336" s="2">
        <v>0</v>
      </c>
      <c r="M7336">
        <v>72.75</v>
      </c>
      <c r="N7336" t="s">
        <v>10236</v>
      </c>
    </row>
    <row r="7337" spans="1:14">
      <c r="A7337" t="s">
        <v>35</v>
      </c>
      <c r="B7337" t="s">
        <v>7383</v>
      </c>
      <c r="C7337">
        <f>"MM015XLROJ"</f>
        <v>0</v>
      </c>
      <c r="D7337">
        <v>0</v>
      </c>
      <c r="E7337">
        <v>0</v>
      </c>
      <c r="F7337" s="2">
        <v>0</v>
      </c>
      <c r="H7337">
        <v>0</v>
      </c>
      <c r="I7337">
        <v>0.1741125760648204</v>
      </c>
      <c r="J7337">
        <v>0</v>
      </c>
      <c r="K7337">
        <v>0</v>
      </c>
      <c r="L7337" s="2">
        <v>0</v>
      </c>
      <c r="M7337">
        <v>72.76000000000001</v>
      </c>
      <c r="N7337" t="s">
        <v>10236</v>
      </c>
    </row>
    <row r="7338" spans="1:14">
      <c r="A7338" t="s">
        <v>35</v>
      </c>
      <c r="B7338" t="s">
        <v>7383</v>
      </c>
      <c r="C7338">
        <f>"MM015XLNE"</f>
        <v>0</v>
      </c>
      <c r="D7338">
        <v>0</v>
      </c>
      <c r="E7338">
        <v>0</v>
      </c>
      <c r="F7338" s="2">
        <v>0</v>
      </c>
      <c r="H7338">
        <v>0</v>
      </c>
      <c r="I7338">
        <v>0.1741125760648204</v>
      </c>
      <c r="J7338">
        <v>0</v>
      </c>
      <c r="K7338">
        <v>0</v>
      </c>
      <c r="L7338" s="2">
        <v>0</v>
      </c>
      <c r="M7338">
        <v>72.77</v>
      </c>
      <c r="N7338" t="s">
        <v>10236</v>
      </c>
    </row>
    <row r="7339" spans="1:14">
      <c r="A7339" t="s">
        <v>35</v>
      </c>
      <c r="B7339" t="s">
        <v>7383</v>
      </c>
      <c r="C7339">
        <f>"MM015XLNA"</f>
        <v>0</v>
      </c>
      <c r="D7339">
        <v>0</v>
      </c>
      <c r="E7339">
        <v>0</v>
      </c>
      <c r="F7339" s="2">
        <v>0</v>
      </c>
      <c r="H7339">
        <v>0</v>
      </c>
      <c r="I7339">
        <v>0.1741125760648204</v>
      </c>
      <c r="J7339">
        <v>0</v>
      </c>
      <c r="K7339">
        <v>0</v>
      </c>
      <c r="L7339" s="2">
        <v>0</v>
      </c>
      <c r="M7339">
        <v>72.78</v>
      </c>
      <c r="N7339" t="s">
        <v>10236</v>
      </c>
    </row>
    <row r="7340" spans="1:14">
      <c r="A7340" t="s">
        <v>35</v>
      </c>
      <c r="B7340" t="s">
        <v>7384</v>
      </c>
      <c r="C7340">
        <f>"cedulamascotas"</f>
        <v>0</v>
      </c>
      <c r="D7340">
        <v>0</v>
      </c>
      <c r="E7340">
        <v>0</v>
      </c>
      <c r="F7340" s="2">
        <v>0</v>
      </c>
      <c r="H7340">
        <v>0</v>
      </c>
      <c r="I7340">
        <v>0.1741125760648204</v>
      </c>
      <c r="J7340">
        <v>0</v>
      </c>
      <c r="K7340">
        <v>0</v>
      </c>
      <c r="L7340" s="2">
        <v>0</v>
      </c>
      <c r="M7340">
        <v>72.79000000000001</v>
      </c>
      <c r="N7340" t="s">
        <v>10236</v>
      </c>
    </row>
    <row r="7341" spans="1:14">
      <c r="A7341" t="s">
        <v>29</v>
      </c>
      <c r="B7341" t="s">
        <v>7385</v>
      </c>
      <c r="C7341">
        <f>"63351"</f>
        <v>0</v>
      </c>
      <c r="D7341">
        <v>0</v>
      </c>
      <c r="E7341">
        <v>0</v>
      </c>
      <c r="F7341" s="2">
        <v>0</v>
      </c>
      <c r="H7341">
        <v>0</v>
      </c>
      <c r="I7341">
        <v>0.1741125760648204</v>
      </c>
      <c r="J7341">
        <v>0</v>
      </c>
      <c r="K7341">
        <v>0</v>
      </c>
      <c r="L7341" s="2">
        <v>0</v>
      </c>
      <c r="M7341">
        <v>72.79000000000001</v>
      </c>
      <c r="N7341" t="s">
        <v>10236</v>
      </c>
    </row>
    <row r="7342" spans="1:14">
      <c r="A7342" t="s">
        <v>223</v>
      </c>
      <c r="B7342" t="s">
        <v>7386</v>
      </c>
      <c r="C7342">
        <f>"5046100"</f>
        <v>0</v>
      </c>
      <c r="D7342">
        <v>0</v>
      </c>
      <c r="E7342">
        <v>0</v>
      </c>
      <c r="F7342" s="2">
        <v>0</v>
      </c>
      <c r="H7342">
        <v>0</v>
      </c>
      <c r="I7342">
        <v>0.1741125760648204</v>
      </c>
      <c r="J7342">
        <v>0</v>
      </c>
      <c r="K7342">
        <v>0</v>
      </c>
      <c r="L7342" s="2">
        <v>0</v>
      </c>
      <c r="M7342">
        <v>72.8</v>
      </c>
      <c r="N7342" t="s">
        <v>10236</v>
      </c>
    </row>
    <row r="7343" spans="1:14">
      <c r="A7343" t="s">
        <v>29</v>
      </c>
      <c r="B7343" t="s">
        <v>7387</v>
      </c>
      <c r="C7343">
        <f>"YBSZ06"</f>
        <v>0</v>
      </c>
      <c r="D7343">
        <v>0</v>
      </c>
      <c r="E7343">
        <v>1</v>
      </c>
      <c r="F7343" s="2">
        <v>4</v>
      </c>
      <c r="H7343">
        <v>0</v>
      </c>
      <c r="I7343">
        <v>0.1741125760648204</v>
      </c>
      <c r="J7343">
        <v>0</v>
      </c>
      <c r="K7343">
        <v>0</v>
      </c>
      <c r="L7343" s="2">
        <v>0</v>
      </c>
      <c r="M7343">
        <v>72.81</v>
      </c>
      <c r="N7343" t="s">
        <v>10236</v>
      </c>
    </row>
    <row r="7344" spans="1:14">
      <c r="A7344" t="s">
        <v>216</v>
      </c>
      <c r="B7344" t="s">
        <v>7388</v>
      </c>
      <c r="C7344">
        <f>"3336669"</f>
        <v>0</v>
      </c>
      <c r="D7344">
        <v>0</v>
      </c>
      <c r="E7344">
        <v>0</v>
      </c>
      <c r="F7344" s="2">
        <v>0</v>
      </c>
      <c r="H7344">
        <v>0</v>
      </c>
      <c r="I7344">
        <v>0.1741125760648204</v>
      </c>
      <c r="J7344">
        <v>0</v>
      </c>
      <c r="K7344">
        <v>0</v>
      </c>
      <c r="L7344" s="2">
        <v>0</v>
      </c>
      <c r="M7344">
        <v>72.81999999999999</v>
      </c>
      <c r="N7344" t="s">
        <v>10236</v>
      </c>
    </row>
    <row r="7345" spans="1:14">
      <c r="A7345" t="s">
        <v>25</v>
      </c>
      <c r="B7345" t="s">
        <v>7389</v>
      </c>
      <c r="C7345">
        <f>"RJ210"</f>
        <v>0</v>
      </c>
      <c r="D7345">
        <v>0</v>
      </c>
      <c r="E7345">
        <v>0</v>
      </c>
      <c r="F7345" s="2">
        <v>0</v>
      </c>
      <c r="H7345">
        <v>0</v>
      </c>
      <c r="I7345">
        <v>0.1741125760648204</v>
      </c>
      <c r="J7345">
        <v>0</v>
      </c>
      <c r="K7345">
        <v>0</v>
      </c>
      <c r="L7345" s="2">
        <v>0</v>
      </c>
      <c r="M7345">
        <v>72.83</v>
      </c>
      <c r="N7345" t="s">
        <v>10236</v>
      </c>
    </row>
    <row r="7346" spans="1:14">
      <c r="A7346" t="s">
        <v>25</v>
      </c>
      <c r="B7346" t="s">
        <v>7390</v>
      </c>
      <c r="C7346">
        <f>"RJ116"</f>
        <v>0</v>
      </c>
      <c r="D7346">
        <v>0</v>
      </c>
      <c r="E7346">
        <v>0</v>
      </c>
      <c r="F7346" s="2">
        <v>0</v>
      </c>
      <c r="H7346">
        <v>0</v>
      </c>
      <c r="I7346">
        <v>0.1741125760648204</v>
      </c>
      <c r="J7346">
        <v>0</v>
      </c>
      <c r="K7346">
        <v>0</v>
      </c>
      <c r="L7346" s="2">
        <v>0</v>
      </c>
      <c r="M7346">
        <v>72.84</v>
      </c>
      <c r="N7346" t="s">
        <v>10236</v>
      </c>
    </row>
    <row r="7347" spans="1:14">
      <c r="A7347" t="s">
        <v>35</v>
      </c>
      <c r="B7347" t="s">
        <v>7391</v>
      </c>
      <c r="C7347">
        <f>"PT015XLFA"</f>
        <v>0</v>
      </c>
      <c r="D7347">
        <v>0</v>
      </c>
      <c r="E7347">
        <v>0</v>
      </c>
      <c r="F7347" s="2">
        <v>0</v>
      </c>
      <c r="H7347">
        <v>0</v>
      </c>
      <c r="I7347">
        <v>0.1741125760648204</v>
      </c>
      <c r="J7347">
        <v>0</v>
      </c>
      <c r="K7347">
        <v>0</v>
      </c>
      <c r="L7347" s="2">
        <v>0</v>
      </c>
      <c r="M7347">
        <v>72.84999999999999</v>
      </c>
      <c r="N7347" t="s">
        <v>10236</v>
      </c>
    </row>
    <row r="7348" spans="1:14">
      <c r="A7348" t="s">
        <v>35</v>
      </c>
      <c r="B7348" t="s">
        <v>7392</v>
      </c>
      <c r="C7348">
        <f>"PT015XLDROJ"</f>
        <v>0</v>
      </c>
      <c r="D7348">
        <v>0</v>
      </c>
      <c r="E7348">
        <v>0</v>
      </c>
      <c r="F7348" s="2">
        <v>0</v>
      </c>
      <c r="H7348">
        <v>0</v>
      </c>
      <c r="I7348">
        <v>0.1741125760648204</v>
      </c>
      <c r="J7348">
        <v>0</v>
      </c>
      <c r="K7348">
        <v>0</v>
      </c>
      <c r="L7348" s="2">
        <v>0</v>
      </c>
      <c r="M7348">
        <v>72.86</v>
      </c>
      <c r="N7348" t="s">
        <v>10236</v>
      </c>
    </row>
    <row r="7349" spans="1:14">
      <c r="A7349" t="s">
        <v>35</v>
      </c>
      <c r="B7349" t="s">
        <v>7393</v>
      </c>
      <c r="C7349">
        <f>"PT015XLCCUA"</f>
        <v>0</v>
      </c>
      <c r="D7349">
        <v>0</v>
      </c>
      <c r="E7349">
        <v>1</v>
      </c>
      <c r="F7349" s="2">
        <v>0</v>
      </c>
      <c r="H7349">
        <v>0</v>
      </c>
      <c r="I7349">
        <v>0.1741125760648204</v>
      </c>
      <c r="J7349">
        <v>0</v>
      </c>
      <c r="K7349">
        <v>0</v>
      </c>
      <c r="L7349" s="2">
        <v>0</v>
      </c>
      <c r="M7349">
        <v>72.87</v>
      </c>
      <c r="N7349" t="s">
        <v>10236</v>
      </c>
    </row>
    <row r="7350" spans="1:14">
      <c r="A7350" t="s">
        <v>35</v>
      </c>
      <c r="B7350" t="s">
        <v>7394</v>
      </c>
      <c r="C7350">
        <f>"YXU1S"</f>
        <v>0</v>
      </c>
      <c r="D7350">
        <v>0</v>
      </c>
      <c r="E7350">
        <v>4</v>
      </c>
      <c r="F7350" s="2">
        <v>5</v>
      </c>
      <c r="H7350">
        <v>0</v>
      </c>
      <c r="I7350">
        <v>0.1741125760648204</v>
      </c>
      <c r="J7350">
        <v>0</v>
      </c>
      <c r="K7350">
        <v>0</v>
      </c>
      <c r="L7350" s="2">
        <v>0</v>
      </c>
      <c r="M7350">
        <v>72.88</v>
      </c>
      <c r="N7350" t="s">
        <v>10236</v>
      </c>
    </row>
    <row r="7351" spans="1:14">
      <c r="A7351" t="s">
        <v>35</v>
      </c>
      <c r="B7351" t="s">
        <v>7395</v>
      </c>
      <c r="C7351">
        <f>"YXU1M"</f>
        <v>0</v>
      </c>
      <c r="D7351">
        <v>0</v>
      </c>
      <c r="E7351">
        <v>0</v>
      </c>
      <c r="F7351" s="2">
        <v>0</v>
      </c>
      <c r="H7351">
        <v>0</v>
      </c>
      <c r="I7351">
        <v>0.1741125760648204</v>
      </c>
      <c r="J7351">
        <v>0</v>
      </c>
      <c r="K7351">
        <v>0</v>
      </c>
      <c r="L7351" s="2">
        <v>0</v>
      </c>
      <c r="M7351">
        <v>72.89</v>
      </c>
      <c r="N7351" t="s">
        <v>10236</v>
      </c>
    </row>
    <row r="7352" spans="1:14">
      <c r="A7352" t="s">
        <v>35</v>
      </c>
      <c r="B7352" t="s">
        <v>7396</v>
      </c>
      <c r="C7352">
        <f>"YXU1L"</f>
        <v>0</v>
      </c>
      <c r="D7352">
        <v>0</v>
      </c>
      <c r="E7352">
        <v>8</v>
      </c>
      <c r="F7352" s="2">
        <v>6</v>
      </c>
      <c r="H7352">
        <v>0</v>
      </c>
      <c r="I7352">
        <v>0.1741125760648204</v>
      </c>
      <c r="J7352">
        <v>0</v>
      </c>
      <c r="K7352">
        <v>0</v>
      </c>
      <c r="L7352" s="2">
        <v>0</v>
      </c>
      <c r="M7352">
        <v>72.90000000000001</v>
      </c>
      <c r="N7352" t="s">
        <v>10236</v>
      </c>
    </row>
    <row r="7353" spans="1:14">
      <c r="A7353" t="s">
        <v>35</v>
      </c>
      <c r="B7353" t="s">
        <v>7397</v>
      </c>
      <c r="C7353">
        <f>"FB517XLVM"</f>
        <v>0</v>
      </c>
      <c r="D7353">
        <v>0</v>
      </c>
      <c r="E7353">
        <v>0</v>
      </c>
      <c r="F7353" s="2">
        <v>0</v>
      </c>
      <c r="H7353">
        <v>0</v>
      </c>
      <c r="I7353">
        <v>0.1741125760648204</v>
      </c>
      <c r="J7353">
        <v>0</v>
      </c>
      <c r="K7353">
        <v>0</v>
      </c>
      <c r="L7353" s="2">
        <v>0</v>
      </c>
      <c r="M7353">
        <v>72.91</v>
      </c>
      <c r="N7353" t="s">
        <v>10236</v>
      </c>
    </row>
    <row r="7354" spans="1:14">
      <c r="A7354" t="s">
        <v>35</v>
      </c>
      <c r="B7354" t="s">
        <v>7398</v>
      </c>
      <c r="C7354">
        <f>"FB517XLR"</f>
        <v>0</v>
      </c>
      <c r="D7354">
        <v>0</v>
      </c>
      <c r="E7354">
        <v>5</v>
      </c>
      <c r="F7354" s="2">
        <v>7</v>
      </c>
      <c r="H7354">
        <v>0</v>
      </c>
      <c r="I7354">
        <v>0.1741125760648204</v>
      </c>
      <c r="J7354">
        <v>0</v>
      </c>
      <c r="K7354">
        <v>0</v>
      </c>
      <c r="L7354" s="2">
        <v>0</v>
      </c>
      <c r="M7354">
        <v>72.91</v>
      </c>
      <c r="N7354" t="s">
        <v>10236</v>
      </c>
    </row>
    <row r="7355" spans="1:14">
      <c r="A7355" t="s">
        <v>35</v>
      </c>
      <c r="B7355" t="s">
        <v>7399</v>
      </c>
      <c r="C7355">
        <f>"FB517XLM"</f>
        <v>0</v>
      </c>
      <c r="D7355">
        <v>0</v>
      </c>
      <c r="E7355">
        <v>0</v>
      </c>
      <c r="F7355" s="2">
        <v>0</v>
      </c>
      <c r="H7355">
        <v>0</v>
      </c>
      <c r="I7355">
        <v>0.1741125760648204</v>
      </c>
      <c r="J7355">
        <v>0</v>
      </c>
      <c r="K7355">
        <v>0</v>
      </c>
      <c r="L7355" s="2">
        <v>0</v>
      </c>
      <c r="M7355">
        <v>72.92</v>
      </c>
      <c r="N7355" t="s">
        <v>10236</v>
      </c>
    </row>
    <row r="7356" spans="1:14">
      <c r="A7356" t="s">
        <v>35</v>
      </c>
      <c r="B7356" t="s">
        <v>7400</v>
      </c>
      <c r="C7356">
        <f>"FB517XLA"</f>
        <v>0</v>
      </c>
      <c r="D7356">
        <v>0</v>
      </c>
      <c r="E7356">
        <v>0</v>
      </c>
      <c r="F7356" s="2">
        <v>0</v>
      </c>
      <c r="H7356">
        <v>0</v>
      </c>
      <c r="I7356">
        <v>0.1741125760648204</v>
      </c>
      <c r="J7356">
        <v>0</v>
      </c>
      <c r="K7356">
        <v>0</v>
      </c>
      <c r="L7356" s="2">
        <v>0</v>
      </c>
      <c r="M7356">
        <v>72.93000000000001</v>
      </c>
      <c r="N7356" t="s">
        <v>10236</v>
      </c>
    </row>
    <row r="7357" spans="1:14">
      <c r="A7357" t="s">
        <v>35</v>
      </c>
      <c r="B7357" t="s">
        <v>7401</v>
      </c>
      <c r="C7357">
        <f>"FB517SVM"</f>
        <v>0</v>
      </c>
      <c r="D7357">
        <v>0</v>
      </c>
      <c r="E7357">
        <v>0</v>
      </c>
      <c r="F7357" s="2">
        <v>0</v>
      </c>
      <c r="H7357">
        <v>0</v>
      </c>
      <c r="I7357">
        <v>0.1741125760648204</v>
      </c>
      <c r="J7357">
        <v>0</v>
      </c>
      <c r="K7357">
        <v>0</v>
      </c>
      <c r="L7357" s="2">
        <v>0</v>
      </c>
      <c r="M7357">
        <v>72.94</v>
      </c>
      <c r="N7357" t="s">
        <v>10236</v>
      </c>
    </row>
    <row r="7358" spans="1:14">
      <c r="A7358" t="s">
        <v>35</v>
      </c>
      <c r="B7358" t="s">
        <v>7402</v>
      </c>
      <c r="C7358">
        <f>"FB517SRN"</f>
        <v>0</v>
      </c>
      <c r="D7358">
        <v>0</v>
      </c>
      <c r="E7358">
        <v>0</v>
      </c>
      <c r="F7358" s="2">
        <v>0</v>
      </c>
      <c r="H7358">
        <v>0</v>
      </c>
      <c r="I7358">
        <v>0.1741125760648204</v>
      </c>
      <c r="J7358">
        <v>0</v>
      </c>
      <c r="K7358">
        <v>0</v>
      </c>
      <c r="L7358" s="2">
        <v>0</v>
      </c>
      <c r="M7358">
        <v>72.95</v>
      </c>
      <c r="N7358" t="s">
        <v>10236</v>
      </c>
    </row>
    <row r="7359" spans="1:14">
      <c r="A7359" t="s">
        <v>35</v>
      </c>
      <c r="B7359" t="s">
        <v>7403</v>
      </c>
      <c r="C7359">
        <f>"PT015SCC"</f>
        <v>0</v>
      </c>
      <c r="D7359">
        <v>0</v>
      </c>
      <c r="E7359">
        <v>0</v>
      </c>
      <c r="F7359" s="2">
        <v>0</v>
      </c>
      <c r="H7359">
        <v>0</v>
      </c>
      <c r="I7359">
        <v>0.1741125760648204</v>
      </c>
      <c r="J7359">
        <v>0</v>
      </c>
      <c r="K7359">
        <v>0</v>
      </c>
      <c r="L7359" s="2">
        <v>0</v>
      </c>
      <c r="M7359">
        <v>72.95999999999999</v>
      </c>
      <c r="N7359" t="s">
        <v>10236</v>
      </c>
    </row>
    <row r="7360" spans="1:14">
      <c r="A7360" t="s">
        <v>35</v>
      </c>
      <c r="B7360" t="s">
        <v>7404</v>
      </c>
      <c r="C7360">
        <f>"P023A"</f>
        <v>0</v>
      </c>
      <c r="D7360">
        <v>0</v>
      </c>
      <c r="E7360">
        <v>0</v>
      </c>
      <c r="F7360" s="2">
        <v>0</v>
      </c>
      <c r="H7360">
        <v>0</v>
      </c>
      <c r="I7360">
        <v>0.1741125760648204</v>
      </c>
      <c r="J7360">
        <v>0</v>
      </c>
      <c r="K7360">
        <v>0</v>
      </c>
      <c r="L7360" s="2">
        <v>0</v>
      </c>
      <c r="M7360">
        <v>72.97</v>
      </c>
      <c r="N7360" t="s">
        <v>10236</v>
      </c>
    </row>
    <row r="7361" spans="1:14">
      <c r="A7361" t="s">
        <v>35</v>
      </c>
      <c r="B7361" t="s">
        <v>7405</v>
      </c>
      <c r="C7361">
        <f>"PT015MROJ"</f>
        <v>0</v>
      </c>
      <c r="D7361">
        <v>0</v>
      </c>
      <c r="E7361">
        <v>0</v>
      </c>
      <c r="F7361" s="2">
        <v>0</v>
      </c>
      <c r="H7361">
        <v>0</v>
      </c>
      <c r="I7361">
        <v>0.1741125760648204</v>
      </c>
      <c r="J7361">
        <v>0</v>
      </c>
      <c r="K7361">
        <v>0</v>
      </c>
      <c r="L7361" s="2">
        <v>0</v>
      </c>
      <c r="M7361">
        <v>72.98</v>
      </c>
      <c r="N7361" t="s">
        <v>10236</v>
      </c>
    </row>
    <row r="7362" spans="1:14">
      <c r="A7362" t="s">
        <v>35</v>
      </c>
      <c r="B7362" t="s">
        <v>7406</v>
      </c>
      <c r="C7362">
        <f>"PT015MNEG"</f>
        <v>0</v>
      </c>
      <c r="D7362">
        <v>0</v>
      </c>
      <c r="E7362">
        <v>0</v>
      </c>
      <c r="F7362" s="2">
        <v>0</v>
      </c>
      <c r="H7362">
        <v>0</v>
      </c>
      <c r="I7362">
        <v>0.1741125760648204</v>
      </c>
      <c r="J7362">
        <v>0</v>
      </c>
      <c r="K7362">
        <v>0</v>
      </c>
      <c r="L7362" s="2">
        <v>0</v>
      </c>
      <c r="M7362">
        <v>72.98999999999999</v>
      </c>
      <c r="N7362" t="s">
        <v>10236</v>
      </c>
    </row>
    <row r="7363" spans="1:14">
      <c r="A7363" t="s">
        <v>25</v>
      </c>
      <c r="B7363" t="s">
        <v>7407</v>
      </c>
      <c r="C7363">
        <f>"RJ503"</f>
        <v>0</v>
      </c>
      <c r="D7363">
        <v>0</v>
      </c>
      <c r="E7363">
        <v>0</v>
      </c>
      <c r="F7363" s="2">
        <v>0</v>
      </c>
      <c r="H7363">
        <v>0</v>
      </c>
      <c r="I7363">
        <v>0.1741125760648204</v>
      </c>
      <c r="J7363">
        <v>0</v>
      </c>
      <c r="K7363">
        <v>0</v>
      </c>
      <c r="L7363" s="2">
        <v>0</v>
      </c>
      <c r="M7363">
        <v>73</v>
      </c>
      <c r="N7363" t="s">
        <v>10236</v>
      </c>
    </row>
    <row r="7364" spans="1:14">
      <c r="A7364" t="s">
        <v>25</v>
      </c>
      <c r="B7364" t="s">
        <v>7408</v>
      </c>
      <c r="C7364">
        <f>"6715043"</f>
        <v>0</v>
      </c>
      <c r="D7364">
        <v>0</v>
      </c>
      <c r="E7364">
        <v>0</v>
      </c>
      <c r="F7364" s="2">
        <v>0</v>
      </c>
      <c r="H7364">
        <v>0</v>
      </c>
      <c r="I7364">
        <v>0.1741125760648204</v>
      </c>
      <c r="J7364">
        <v>0</v>
      </c>
      <c r="K7364">
        <v>0</v>
      </c>
      <c r="L7364" s="2">
        <v>0</v>
      </c>
      <c r="M7364">
        <v>73.01000000000001</v>
      </c>
      <c r="N7364" t="s">
        <v>10236</v>
      </c>
    </row>
    <row r="7365" spans="1:14">
      <c r="A7365" t="s">
        <v>25</v>
      </c>
      <c r="B7365" t="s">
        <v>7409</v>
      </c>
      <c r="C7365">
        <f>"BBC04"</f>
        <v>0</v>
      </c>
      <c r="D7365">
        <v>0</v>
      </c>
      <c r="E7365">
        <v>0</v>
      </c>
      <c r="F7365" s="2">
        <v>0</v>
      </c>
      <c r="H7365">
        <v>0</v>
      </c>
      <c r="I7365">
        <v>0.1741125760648204</v>
      </c>
      <c r="J7365">
        <v>0</v>
      </c>
      <c r="K7365">
        <v>0</v>
      </c>
      <c r="L7365" s="2">
        <v>0</v>
      </c>
      <c r="M7365">
        <v>73.02</v>
      </c>
      <c r="N7365" t="s">
        <v>10236</v>
      </c>
    </row>
    <row r="7366" spans="1:14">
      <c r="A7366" t="s">
        <v>25</v>
      </c>
      <c r="B7366" t="s">
        <v>7410</v>
      </c>
      <c r="C7366">
        <f>"ZVP1036"</f>
        <v>0</v>
      </c>
      <c r="D7366">
        <v>0</v>
      </c>
      <c r="E7366">
        <v>0</v>
      </c>
      <c r="F7366" s="2">
        <v>0</v>
      </c>
      <c r="H7366">
        <v>0</v>
      </c>
      <c r="I7366">
        <v>0.1741125760648204</v>
      </c>
      <c r="J7366">
        <v>0</v>
      </c>
      <c r="K7366">
        <v>0</v>
      </c>
      <c r="L7366" s="2">
        <v>0</v>
      </c>
      <c r="M7366">
        <v>73.02</v>
      </c>
      <c r="N7366" t="s">
        <v>10236</v>
      </c>
    </row>
    <row r="7367" spans="1:14">
      <c r="A7367" t="s">
        <v>35</v>
      </c>
      <c r="B7367" t="s">
        <v>7411</v>
      </c>
      <c r="C7367">
        <f>"DTC909BUR"</f>
        <v>0</v>
      </c>
      <c r="D7367">
        <v>0</v>
      </c>
      <c r="E7367">
        <v>0</v>
      </c>
      <c r="F7367" s="2">
        <v>0</v>
      </c>
      <c r="H7367">
        <v>0</v>
      </c>
      <c r="I7367">
        <v>0.1741125760648204</v>
      </c>
      <c r="J7367">
        <v>0</v>
      </c>
      <c r="K7367">
        <v>0</v>
      </c>
      <c r="L7367" s="2">
        <v>0</v>
      </c>
      <c r="M7367">
        <v>73.03</v>
      </c>
      <c r="N7367" t="s">
        <v>10236</v>
      </c>
    </row>
    <row r="7368" spans="1:14">
      <c r="A7368" t="s">
        <v>35</v>
      </c>
      <c r="B7368" t="s">
        <v>7412</v>
      </c>
      <c r="C7368">
        <f>"DTC909AO"</f>
        <v>0</v>
      </c>
      <c r="D7368">
        <v>0</v>
      </c>
      <c r="E7368">
        <v>0</v>
      </c>
      <c r="F7368" s="2">
        <v>0</v>
      </c>
      <c r="H7368">
        <v>0</v>
      </c>
      <c r="I7368">
        <v>0.1741125760648204</v>
      </c>
      <c r="J7368">
        <v>0</v>
      </c>
      <c r="K7368">
        <v>0</v>
      </c>
      <c r="L7368" s="2">
        <v>0</v>
      </c>
      <c r="M7368">
        <v>73.04000000000001</v>
      </c>
      <c r="N7368" t="s">
        <v>10236</v>
      </c>
    </row>
    <row r="7369" spans="1:14">
      <c r="A7369" t="s">
        <v>35</v>
      </c>
      <c r="B7369" t="s">
        <v>7413</v>
      </c>
      <c r="C7369">
        <f>"QSPT012"</f>
        <v>0</v>
      </c>
      <c r="D7369">
        <v>0</v>
      </c>
      <c r="E7369">
        <v>2</v>
      </c>
      <c r="F7369" s="2">
        <v>9</v>
      </c>
      <c r="H7369">
        <v>0</v>
      </c>
      <c r="I7369">
        <v>0.1741125760648204</v>
      </c>
      <c r="J7369">
        <v>0</v>
      </c>
      <c r="K7369">
        <v>0</v>
      </c>
      <c r="L7369" s="2">
        <v>0</v>
      </c>
      <c r="M7369">
        <v>73.05</v>
      </c>
      <c r="N7369" t="s">
        <v>10236</v>
      </c>
    </row>
    <row r="7370" spans="1:14">
      <c r="A7370" t="s">
        <v>35</v>
      </c>
      <c r="B7370" t="s">
        <v>7414</v>
      </c>
      <c r="C7370">
        <f>"LYC040542"</f>
        <v>0</v>
      </c>
      <c r="D7370">
        <v>0</v>
      </c>
      <c r="E7370">
        <v>8</v>
      </c>
      <c r="F7370" s="2">
        <v>13</v>
      </c>
      <c r="H7370">
        <v>0</v>
      </c>
      <c r="I7370">
        <v>0.1741125760648204</v>
      </c>
      <c r="J7370">
        <v>0</v>
      </c>
      <c r="K7370">
        <v>0</v>
      </c>
      <c r="L7370" s="2">
        <v>0</v>
      </c>
      <c r="M7370">
        <v>73.06</v>
      </c>
      <c r="N7370" t="s">
        <v>10236</v>
      </c>
    </row>
    <row r="7371" spans="1:14">
      <c r="A7371" t="s">
        <v>36</v>
      </c>
      <c r="B7371" t="s">
        <v>7415</v>
      </c>
      <c r="C7371">
        <f>"500600302"</f>
        <v>0</v>
      </c>
      <c r="D7371">
        <v>0</v>
      </c>
      <c r="E7371">
        <v>10</v>
      </c>
      <c r="F7371" s="2">
        <v>0</v>
      </c>
      <c r="H7371">
        <v>0</v>
      </c>
      <c r="I7371">
        <v>0.1741125760648204</v>
      </c>
      <c r="J7371">
        <v>0</v>
      </c>
      <c r="K7371">
        <v>0</v>
      </c>
      <c r="L7371" s="2">
        <v>0</v>
      </c>
      <c r="M7371">
        <v>73.06999999999999</v>
      </c>
      <c r="N7371" t="s">
        <v>10236</v>
      </c>
    </row>
    <row r="7372" spans="1:14">
      <c r="A7372" t="s">
        <v>35</v>
      </c>
      <c r="B7372" t="s">
        <v>7416</v>
      </c>
      <c r="C7372">
        <f>"P023R"</f>
        <v>0</v>
      </c>
      <c r="D7372">
        <v>0</v>
      </c>
      <c r="E7372">
        <v>0</v>
      </c>
      <c r="F7372" s="2">
        <v>0</v>
      </c>
      <c r="H7372">
        <v>0</v>
      </c>
      <c r="I7372">
        <v>0.1741125760648204</v>
      </c>
      <c r="J7372">
        <v>0</v>
      </c>
      <c r="K7372">
        <v>0</v>
      </c>
      <c r="L7372" s="2">
        <v>0</v>
      </c>
      <c r="M7372">
        <v>73.08</v>
      </c>
      <c r="N7372" t="s">
        <v>10236</v>
      </c>
    </row>
    <row r="7373" spans="1:14">
      <c r="A7373" t="s">
        <v>35</v>
      </c>
      <c r="B7373" t="s">
        <v>7417</v>
      </c>
      <c r="C7373">
        <f>"P082RO"</f>
        <v>0</v>
      </c>
      <c r="D7373">
        <v>0</v>
      </c>
      <c r="E7373">
        <v>0</v>
      </c>
      <c r="F7373" s="2">
        <v>0</v>
      </c>
      <c r="H7373">
        <v>0</v>
      </c>
      <c r="I7373">
        <v>0.1741125760648204</v>
      </c>
      <c r="J7373">
        <v>0</v>
      </c>
      <c r="K7373">
        <v>0</v>
      </c>
      <c r="L7373" s="2">
        <v>0</v>
      </c>
      <c r="M7373">
        <v>73.09</v>
      </c>
      <c r="N7373" t="s">
        <v>10236</v>
      </c>
    </row>
    <row r="7374" spans="1:14">
      <c r="A7374" t="s">
        <v>35</v>
      </c>
      <c r="B7374" t="s">
        <v>7418</v>
      </c>
      <c r="C7374">
        <f>"P023G"</f>
        <v>0</v>
      </c>
      <c r="D7374">
        <v>0</v>
      </c>
      <c r="E7374">
        <v>0</v>
      </c>
      <c r="F7374" s="2">
        <v>0</v>
      </c>
      <c r="H7374">
        <v>0</v>
      </c>
      <c r="I7374">
        <v>0.1741125760648204</v>
      </c>
      <c r="J7374">
        <v>0</v>
      </c>
      <c r="K7374">
        <v>0</v>
      </c>
      <c r="L7374" s="2">
        <v>0</v>
      </c>
      <c r="M7374">
        <v>73.09999999999999</v>
      </c>
      <c r="N7374" t="s">
        <v>10236</v>
      </c>
    </row>
    <row r="7375" spans="1:14">
      <c r="A7375" t="s">
        <v>35</v>
      </c>
      <c r="B7375" t="s">
        <v>7419</v>
      </c>
      <c r="C7375">
        <f>"P023C"</f>
        <v>0</v>
      </c>
      <c r="D7375">
        <v>0</v>
      </c>
      <c r="E7375">
        <v>0</v>
      </c>
      <c r="F7375" s="2">
        <v>0</v>
      </c>
      <c r="H7375">
        <v>0</v>
      </c>
      <c r="I7375">
        <v>0.1741125760648204</v>
      </c>
      <c r="J7375">
        <v>0</v>
      </c>
      <c r="K7375">
        <v>0</v>
      </c>
      <c r="L7375" s="2">
        <v>0</v>
      </c>
      <c r="M7375">
        <v>73.11</v>
      </c>
      <c r="N7375" t="s">
        <v>10236</v>
      </c>
    </row>
    <row r="7376" spans="1:14">
      <c r="A7376" t="s">
        <v>35</v>
      </c>
      <c r="B7376" t="s">
        <v>7420</v>
      </c>
      <c r="C7376">
        <f>"PT015SAZ"</f>
        <v>0</v>
      </c>
      <c r="D7376">
        <v>0</v>
      </c>
      <c r="E7376">
        <v>1</v>
      </c>
      <c r="F7376" s="2">
        <v>3</v>
      </c>
      <c r="H7376">
        <v>0</v>
      </c>
      <c r="I7376">
        <v>0.1741125760648204</v>
      </c>
      <c r="J7376">
        <v>0</v>
      </c>
      <c r="K7376">
        <v>0</v>
      </c>
      <c r="L7376" s="2">
        <v>0</v>
      </c>
      <c r="M7376">
        <v>73.12</v>
      </c>
      <c r="N7376" t="s">
        <v>10236</v>
      </c>
    </row>
    <row r="7377" spans="1:14">
      <c r="A7377" t="s">
        <v>35</v>
      </c>
      <c r="B7377" t="s">
        <v>1657</v>
      </c>
      <c r="C7377">
        <f>"MM015SNE"</f>
        <v>0</v>
      </c>
      <c r="D7377">
        <v>0</v>
      </c>
      <c r="E7377">
        <v>0</v>
      </c>
      <c r="F7377" s="2">
        <v>0</v>
      </c>
      <c r="H7377">
        <v>0</v>
      </c>
      <c r="I7377">
        <v>0.1741125760648204</v>
      </c>
      <c r="J7377">
        <v>0</v>
      </c>
      <c r="K7377">
        <v>0</v>
      </c>
      <c r="L7377" s="2">
        <v>0</v>
      </c>
      <c r="M7377">
        <v>73.13</v>
      </c>
      <c r="N7377" t="s">
        <v>10236</v>
      </c>
    </row>
    <row r="7378" spans="1:14">
      <c r="A7378" t="s">
        <v>35</v>
      </c>
      <c r="B7378" t="s">
        <v>1657</v>
      </c>
      <c r="C7378">
        <f>"MM015SNA"</f>
        <v>0</v>
      </c>
      <c r="D7378">
        <v>0</v>
      </c>
      <c r="E7378">
        <v>0</v>
      </c>
      <c r="F7378" s="2">
        <v>0</v>
      </c>
      <c r="H7378">
        <v>0</v>
      </c>
      <c r="I7378">
        <v>0.1741125760648204</v>
      </c>
      <c r="J7378">
        <v>0</v>
      </c>
      <c r="K7378">
        <v>0</v>
      </c>
      <c r="L7378" s="2">
        <v>0</v>
      </c>
      <c r="M7378">
        <v>73.14</v>
      </c>
      <c r="N7378" t="s">
        <v>10236</v>
      </c>
    </row>
    <row r="7379" spans="1:14">
      <c r="A7379" t="s">
        <v>35</v>
      </c>
      <c r="B7379" t="s">
        <v>1657</v>
      </c>
      <c r="C7379">
        <f>"MM015SMO"</f>
        <v>0</v>
      </c>
      <c r="D7379">
        <v>0</v>
      </c>
      <c r="E7379">
        <v>0</v>
      </c>
      <c r="F7379" s="2">
        <v>0</v>
      </c>
      <c r="H7379">
        <v>0</v>
      </c>
      <c r="I7379">
        <v>0.1741125760648204</v>
      </c>
      <c r="J7379">
        <v>0</v>
      </c>
      <c r="K7379">
        <v>0</v>
      </c>
      <c r="L7379" s="2">
        <v>0</v>
      </c>
      <c r="M7379">
        <v>73.14</v>
      </c>
      <c r="N7379" t="s">
        <v>10236</v>
      </c>
    </row>
    <row r="7380" spans="1:14">
      <c r="A7380" t="s">
        <v>35</v>
      </c>
      <c r="B7380" t="s">
        <v>7421</v>
      </c>
      <c r="C7380">
        <f>"FB673SA"</f>
        <v>0</v>
      </c>
      <c r="D7380">
        <v>0</v>
      </c>
      <c r="E7380">
        <v>1</v>
      </c>
      <c r="F7380" s="2">
        <v>4</v>
      </c>
      <c r="H7380">
        <v>0</v>
      </c>
      <c r="I7380">
        <v>0.1741125760648204</v>
      </c>
      <c r="J7380">
        <v>0</v>
      </c>
      <c r="K7380">
        <v>0</v>
      </c>
      <c r="L7380" s="2">
        <v>0</v>
      </c>
      <c r="M7380">
        <v>73.15000000000001</v>
      </c>
      <c r="N7380" t="s">
        <v>10236</v>
      </c>
    </row>
    <row r="7381" spans="1:14">
      <c r="A7381" t="s">
        <v>35</v>
      </c>
      <c r="B7381" t="s">
        <v>7422</v>
      </c>
      <c r="C7381">
        <f>"109976"</f>
        <v>0</v>
      </c>
      <c r="D7381">
        <v>0</v>
      </c>
      <c r="E7381">
        <v>4</v>
      </c>
      <c r="F7381" s="2">
        <v>2</v>
      </c>
      <c r="H7381">
        <v>0</v>
      </c>
      <c r="I7381">
        <v>0.1741125760648204</v>
      </c>
      <c r="J7381">
        <v>0</v>
      </c>
      <c r="K7381">
        <v>0</v>
      </c>
      <c r="L7381" s="2">
        <v>0</v>
      </c>
      <c r="M7381">
        <v>73.16</v>
      </c>
      <c r="N7381" t="s">
        <v>10236</v>
      </c>
    </row>
    <row r="7382" spans="1:14">
      <c r="A7382" t="s">
        <v>35</v>
      </c>
      <c r="B7382" t="s">
        <v>7423</v>
      </c>
      <c r="C7382">
        <f>"FB673MV"</f>
        <v>0</v>
      </c>
      <c r="D7382">
        <v>0</v>
      </c>
      <c r="E7382">
        <v>1</v>
      </c>
      <c r="F7382" s="2">
        <v>5</v>
      </c>
      <c r="H7382">
        <v>0</v>
      </c>
      <c r="I7382">
        <v>0.1741125760648204</v>
      </c>
      <c r="J7382">
        <v>0</v>
      </c>
      <c r="K7382">
        <v>0</v>
      </c>
      <c r="L7382" s="2">
        <v>0</v>
      </c>
      <c r="M7382">
        <v>73.17</v>
      </c>
      <c r="N7382" t="s">
        <v>10236</v>
      </c>
    </row>
    <row r="7383" spans="1:14">
      <c r="A7383" t="s">
        <v>35</v>
      </c>
      <c r="B7383" t="s">
        <v>7424</v>
      </c>
      <c r="C7383">
        <f>"FB673MR"</f>
        <v>0</v>
      </c>
      <c r="D7383">
        <v>0</v>
      </c>
      <c r="E7383">
        <v>0</v>
      </c>
      <c r="F7383" s="2">
        <v>0</v>
      </c>
      <c r="H7383">
        <v>0</v>
      </c>
      <c r="I7383">
        <v>0.1741125760648204</v>
      </c>
      <c r="J7383">
        <v>0</v>
      </c>
      <c r="K7383">
        <v>0</v>
      </c>
      <c r="L7383" s="2">
        <v>0</v>
      </c>
      <c r="M7383">
        <v>73.18000000000001</v>
      </c>
      <c r="N7383" t="s">
        <v>10236</v>
      </c>
    </row>
    <row r="7384" spans="1:14">
      <c r="A7384" t="s">
        <v>35</v>
      </c>
      <c r="B7384" t="s">
        <v>7425</v>
      </c>
      <c r="C7384">
        <f>"FB673MG"</f>
        <v>0</v>
      </c>
      <c r="D7384">
        <v>0</v>
      </c>
      <c r="E7384">
        <v>0</v>
      </c>
      <c r="F7384" s="2">
        <v>0</v>
      </c>
      <c r="H7384">
        <v>0</v>
      </c>
      <c r="I7384">
        <v>0.1741125760648204</v>
      </c>
      <c r="J7384">
        <v>0</v>
      </c>
      <c r="K7384">
        <v>0</v>
      </c>
      <c r="L7384" s="2">
        <v>0</v>
      </c>
      <c r="M7384">
        <v>73.19</v>
      </c>
      <c r="N7384" t="s">
        <v>10236</v>
      </c>
    </row>
    <row r="7385" spans="1:14">
      <c r="A7385" t="s">
        <v>35</v>
      </c>
      <c r="B7385" t="s">
        <v>7426</v>
      </c>
      <c r="C7385">
        <f>"MM015MROS"</f>
        <v>0</v>
      </c>
      <c r="D7385">
        <v>0</v>
      </c>
      <c r="E7385">
        <v>0</v>
      </c>
      <c r="F7385" s="2">
        <v>0</v>
      </c>
      <c r="H7385">
        <v>0</v>
      </c>
      <c r="I7385">
        <v>0.1741125760648204</v>
      </c>
      <c r="J7385">
        <v>0</v>
      </c>
      <c r="K7385">
        <v>0</v>
      </c>
      <c r="L7385" s="2">
        <v>0</v>
      </c>
      <c r="M7385">
        <v>73.2</v>
      </c>
      <c r="N7385" t="s">
        <v>10236</v>
      </c>
    </row>
    <row r="7386" spans="1:14">
      <c r="A7386" t="s">
        <v>35</v>
      </c>
      <c r="B7386" t="s">
        <v>7426</v>
      </c>
      <c r="C7386">
        <f>"MM015MROJ"</f>
        <v>0</v>
      </c>
      <c r="D7386">
        <v>0</v>
      </c>
      <c r="E7386">
        <v>0</v>
      </c>
      <c r="F7386" s="2">
        <v>0</v>
      </c>
      <c r="H7386">
        <v>0</v>
      </c>
      <c r="I7386">
        <v>0.1741125760648204</v>
      </c>
      <c r="J7386">
        <v>0</v>
      </c>
      <c r="K7386">
        <v>0</v>
      </c>
      <c r="L7386" s="2">
        <v>0</v>
      </c>
      <c r="M7386">
        <v>73.20999999999999</v>
      </c>
      <c r="N7386" t="s">
        <v>10236</v>
      </c>
    </row>
    <row r="7387" spans="1:14">
      <c r="A7387" t="s">
        <v>35</v>
      </c>
      <c r="B7387" t="s">
        <v>7426</v>
      </c>
      <c r="C7387">
        <f>"MM015MNE"</f>
        <v>0</v>
      </c>
      <c r="D7387">
        <v>0</v>
      </c>
      <c r="E7387">
        <v>0</v>
      </c>
      <c r="F7387" s="2">
        <v>0</v>
      </c>
      <c r="H7387">
        <v>0</v>
      </c>
      <c r="I7387">
        <v>0.1741125760648204</v>
      </c>
      <c r="J7387">
        <v>0</v>
      </c>
      <c r="K7387">
        <v>0</v>
      </c>
      <c r="L7387" s="2">
        <v>0</v>
      </c>
      <c r="M7387">
        <v>73.22</v>
      </c>
      <c r="N7387" t="s">
        <v>10236</v>
      </c>
    </row>
    <row r="7388" spans="1:14">
      <c r="A7388" t="s">
        <v>35</v>
      </c>
      <c r="B7388" t="s">
        <v>7426</v>
      </c>
      <c r="C7388">
        <f>"MM015MNA"</f>
        <v>0</v>
      </c>
      <c r="D7388">
        <v>0</v>
      </c>
      <c r="E7388">
        <v>0</v>
      </c>
      <c r="F7388" s="2">
        <v>0</v>
      </c>
      <c r="H7388">
        <v>0</v>
      </c>
      <c r="I7388">
        <v>0.1741125760648204</v>
      </c>
      <c r="J7388">
        <v>0</v>
      </c>
      <c r="K7388">
        <v>0</v>
      </c>
      <c r="L7388" s="2">
        <v>0</v>
      </c>
      <c r="M7388">
        <v>73.23</v>
      </c>
      <c r="N7388" t="s">
        <v>10236</v>
      </c>
    </row>
    <row r="7389" spans="1:14">
      <c r="A7389" t="s">
        <v>35</v>
      </c>
      <c r="B7389" t="s">
        <v>7426</v>
      </c>
      <c r="C7389">
        <f>"MM015MMO"</f>
        <v>0</v>
      </c>
      <c r="D7389">
        <v>0</v>
      </c>
      <c r="E7389">
        <v>0</v>
      </c>
      <c r="F7389" s="2">
        <v>0</v>
      </c>
      <c r="H7389">
        <v>0</v>
      </c>
      <c r="I7389">
        <v>0.1741125760648204</v>
      </c>
      <c r="J7389">
        <v>0</v>
      </c>
      <c r="K7389">
        <v>0</v>
      </c>
      <c r="L7389" s="2">
        <v>0</v>
      </c>
      <c r="M7389">
        <v>73.23999999999999</v>
      </c>
      <c r="N7389" t="s">
        <v>10236</v>
      </c>
    </row>
    <row r="7390" spans="1:14">
      <c r="A7390" t="s">
        <v>35</v>
      </c>
      <c r="B7390" t="s">
        <v>7426</v>
      </c>
      <c r="C7390">
        <f>"MM015MFUC"</f>
        <v>0</v>
      </c>
      <c r="D7390">
        <v>0</v>
      </c>
      <c r="E7390">
        <v>0</v>
      </c>
      <c r="F7390" s="2">
        <v>0</v>
      </c>
      <c r="H7390">
        <v>0</v>
      </c>
      <c r="I7390">
        <v>0.1741125760648204</v>
      </c>
      <c r="J7390">
        <v>0</v>
      </c>
      <c r="K7390">
        <v>0</v>
      </c>
      <c r="L7390" s="2">
        <v>0</v>
      </c>
      <c r="M7390">
        <v>73.25</v>
      </c>
      <c r="N7390" t="s">
        <v>10236</v>
      </c>
    </row>
    <row r="7391" spans="1:14">
      <c r="A7391" t="s">
        <v>213</v>
      </c>
      <c r="B7391" t="s">
        <v>7427</v>
      </c>
      <c r="C7391">
        <f>"500654"</f>
        <v>0</v>
      </c>
      <c r="D7391">
        <v>0</v>
      </c>
      <c r="E7391">
        <v>0</v>
      </c>
      <c r="F7391" s="2">
        <v>0</v>
      </c>
      <c r="H7391">
        <v>0</v>
      </c>
      <c r="I7391">
        <v>0.1741125760648204</v>
      </c>
      <c r="J7391">
        <v>0</v>
      </c>
      <c r="K7391">
        <v>0</v>
      </c>
      <c r="L7391" s="2">
        <v>0</v>
      </c>
      <c r="M7391">
        <v>73.26000000000001</v>
      </c>
      <c r="N7391" t="s">
        <v>10236</v>
      </c>
    </row>
    <row r="7392" spans="1:14">
      <c r="A7392" t="s">
        <v>35</v>
      </c>
      <c r="B7392" t="s">
        <v>7426</v>
      </c>
      <c r="C7392">
        <f>"MM015MAM"</f>
        <v>0</v>
      </c>
      <c r="D7392">
        <v>0</v>
      </c>
      <c r="E7392">
        <v>0</v>
      </c>
      <c r="F7392" s="2">
        <v>0</v>
      </c>
      <c r="H7392">
        <v>0</v>
      </c>
      <c r="I7392">
        <v>0.1741125760648204</v>
      </c>
      <c r="J7392">
        <v>0</v>
      </c>
      <c r="K7392">
        <v>0</v>
      </c>
      <c r="L7392" s="2">
        <v>0</v>
      </c>
      <c r="M7392">
        <v>73.26000000000001</v>
      </c>
      <c r="N7392" t="s">
        <v>10236</v>
      </c>
    </row>
    <row r="7393" spans="1:14">
      <c r="A7393" t="s">
        <v>35</v>
      </c>
      <c r="B7393" t="s">
        <v>7426</v>
      </c>
      <c r="C7393">
        <f>"MM015M"</f>
        <v>0</v>
      </c>
      <c r="D7393">
        <v>0</v>
      </c>
      <c r="E7393">
        <v>29</v>
      </c>
      <c r="F7393" s="2">
        <v>1</v>
      </c>
      <c r="H7393">
        <v>0</v>
      </c>
      <c r="I7393">
        <v>0.1741125760648204</v>
      </c>
      <c r="J7393">
        <v>0</v>
      </c>
      <c r="K7393">
        <v>0</v>
      </c>
      <c r="L7393" s="2">
        <v>0</v>
      </c>
      <c r="M7393">
        <v>73.27</v>
      </c>
      <c r="N7393" t="s">
        <v>10236</v>
      </c>
    </row>
    <row r="7394" spans="1:14">
      <c r="A7394" t="s">
        <v>35</v>
      </c>
      <c r="B7394" t="s">
        <v>7428</v>
      </c>
      <c r="C7394">
        <f>"MM015LVE"</f>
        <v>0</v>
      </c>
      <c r="D7394">
        <v>0</v>
      </c>
      <c r="E7394">
        <v>0</v>
      </c>
      <c r="F7394" s="2">
        <v>0</v>
      </c>
      <c r="H7394">
        <v>0</v>
      </c>
      <c r="I7394">
        <v>0.1741125760648204</v>
      </c>
      <c r="J7394">
        <v>0</v>
      </c>
      <c r="K7394">
        <v>0</v>
      </c>
      <c r="L7394" s="2">
        <v>0</v>
      </c>
      <c r="M7394">
        <v>73.28</v>
      </c>
      <c r="N7394" t="s">
        <v>10236</v>
      </c>
    </row>
    <row r="7395" spans="1:14">
      <c r="A7395" t="s">
        <v>35</v>
      </c>
      <c r="B7395" t="s">
        <v>7428</v>
      </c>
      <c r="C7395">
        <f>"MM015LROS"</f>
        <v>0</v>
      </c>
      <c r="D7395">
        <v>0</v>
      </c>
      <c r="E7395">
        <v>0</v>
      </c>
      <c r="F7395" s="2">
        <v>0</v>
      </c>
      <c r="H7395">
        <v>0</v>
      </c>
      <c r="I7395">
        <v>0.1741125760648204</v>
      </c>
      <c r="J7395">
        <v>0</v>
      </c>
      <c r="K7395">
        <v>0</v>
      </c>
      <c r="L7395" s="2">
        <v>0</v>
      </c>
      <c r="M7395">
        <v>73.29000000000001</v>
      </c>
      <c r="N7395" t="s">
        <v>10236</v>
      </c>
    </row>
    <row r="7396" spans="1:14">
      <c r="A7396" t="s">
        <v>35</v>
      </c>
      <c r="B7396" t="s">
        <v>7429</v>
      </c>
      <c r="C7396">
        <f>"B1922SRO"</f>
        <v>0</v>
      </c>
      <c r="D7396">
        <v>0</v>
      </c>
      <c r="E7396">
        <v>6</v>
      </c>
      <c r="F7396" s="2">
        <v>7</v>
      </c>
      <c r="H7396">
        <v>0</v>
      </c>
      <c r="I7396">
        <v>0.1741125760648204</v>
      </c>
      <c r="J7396">
        <v>0</v>
      </c>
      <c r="K7396">
        <v>0</v>
      </c>
      <c r="L7396" s="2">
        <v>0</v>
      </c>
      <c r="M7396">
        <v>73.3</v>
      </c>
      <c r="N7396" t="s">
        <v>10236</v>
      </c>
    </row>
    <row r="7397" spans="1:14">
      <c r="A7397" t="s">
        <v>35</v>
      </c>
      <c r="B7397" t="s">
        <v>7430</v>
      </c>
      <c r="C7397">
        <f>"B1922SR"</f>
        <v>0</v>
      </c>
      <c r="D7397">
        <v>0</v>
      </c>
      <c r="E7397">
        <v>1</v>
      </c>
      <c r="F7397" s="2">
        <v>7</v>
      </c>
      <c r="H7397">
        <v>0</v>
      </c>
      <c r="I7397">
        <v>0.1741125760648204</v>
      </c>
      <c r="J7397">
        <v>0</v>
      </c>
      <c r="K7397">
        <v>0</v>
      </c>
      <c r="L7397" s="2">
        <v>0</v>
      </c>
      <c r="M7397">
        <v>73.31</v>
      </c>
      <c r="N7397" t="s">
        <v>10236</v>
      </c>
    </row>
    <row r="7398" spans="1:14">
      <c r="A7398" t="s">
        <v>35</v>
      </c>
      <c r="B7398" t="s">
        <v>7431</v>
      </c>
      <c r="C7398">
        <f>"B1922SN"</f>
        <v>0</v>
      </c>
      <c r="D7398">
        <v>0</v>
      </c>
      <c r="E7398">
        <v>3</v>
      </c>
      <c r="F7398" s="2">
        <v>7</v>
      </c>
      <c r="H7398">
        <v>0</v>
      </c>
      <c r="I7398">
        <v>0.1741125760648204</v>
      </c>
      <c r="J7398">
        <v>0</v>
      </c>
      <c r="K7398">
        <v>0</v>
      </c>
      <c r="L7398" s="2">
        <v>0</v>
      </c>
      <c r="M7398">
        <v>73.31999999999999</v>
      </c>
      <c r="N7398" t="s">
        <v>10236</v>
      </c>
    </row>
    <row r="7399" spans="1:14">
      <c r="A7399" t="s">
        <v>35</v>
      </c>
      <c r="B7399" t="s">
        <v>7432</v>
      </c>
      <c r="C7399">
        <f>"B1922MRO"</f>
        <v>0</v>
      </c>
      <c r="D7399">
        <v>0</v>
      </c>
      <c r="E7399">
        <v>0</v>
      </c>
      <c r="F7399" s="2">
        <v>0</v>
      </c>
      <c r="H7399">
        <v>0</v>
      </c>
      <c r="I7399">
        <v>0.1741125760648204</v>
      </c>
      <c r="J7399">
        <v>0</v>
      </c>
      <c r="K7399">
        <v>0</v>
      </c>
      <c r="L7399" s="2">
        <v>0</v>
      </c>
      <c r="M7399">
        <v>73.33</v>
      </c>
      <c r="N7399" t="s">
        <v>10236</v>
      </c>
    </row>
    <row r="7400" spans="1:14">
      <c r="A7400" t="s">
        <v>35</v>
      </c>
      <c r="B7400" t="s">
        <v>7433</v>
      </c>
      <c r="C7400">
        <f>"B1922MR"</f>
        <v>0</v>
      </c>
      <c r="D7400">
        <v>0</v>
      </c>
      <c r="E7400">
        <v>0</v>
      </c>
      <c r="F7400" s="2">
        <v>0</v>
      </c>
      <c r="H7400">
        <v>0</v>
      </c>
      <c r="I7400">
        <v>0.1741125760648204</v>
      </c>
      <c r="J7400">
        <v>0</v>
      </c>
      <c r="K7400">
        <v>0</v>
      </c>
      <c r="L7400" s="2">
        <v>0</v>
      </c>
      <c r="M7400">
        <v>73.34</v>
      </c>
      <c r="N7400" t="s">
        <v>10236</v>
      </c>
    </row>
    <row r="7401" spans="1:14">
      <c r="A7401" t="s">
        <v>35</v>
      </c>
      <c r="B7401" t="s">
        <v>7428</v>
      </c>
      <c r="C7401">
        <f>"MM015LAZ"</f>
        <v>0</v>
      </c>
      <c r="D7401">
        <v>0</v>
      </c>
      <c r="E7401">
        <v>0</v>
      </c>
      <c r="F7401" s="2">
        <v>0</v>
      </c>
      <c r="H7401">
        <v>0</v>
      </c>
      <c r="I7401">
        <v>0.1741125760648204</v>
      </c>
      <c r="J7401">
        <v>0</v>
      </c>
      <c r="K7401">
        <v>0</v>
      </c>
      <c r="L7401" s="2">
        <v>0</v>
      </c>
      <c r="M7401">
        <v>73.34999999999999</v>
      </c>
      <c r="N7401" t="s">
        <v>10236</v>
      </c>
    </row>
    <row r="7402" spans="1:14">
      <c r="A7402" t="s">
        <v>35</v>
      </c>
      <c r="B7402" t="s">
        <v>7428</v>
      </c>
      <c r="C7402">
        <f>"MM015LAM"</f>
        <v>0</v>
      </c>
      <c r="D7402">
        <v>0</v>
      </c>
      <c r="E7402">
        <v>0</v>
      </c>
      <c r="F7402" s="2">
        <v>0</v>
      </c>
      <c r="H7402">
        <v>0</v>
      </c>
      <c r="I7402">
        <v>0.1741125760648204</v>
      </c>
      <c r="J7402">
        <v>0</v>
      </c>
      <c r="K7402">
        <v>0</v>
      </c>
      <c r="L7402" s="2">
        <v>0</v>
      </c>
      <c r="M7402">
        <v>73.36</v>
      </c>
      <c r="N7402" t="s">
        <v>10236</v>
      </c>
    </row>
    <row r="7403" spans="1:14">
      <c r="A7403" t="s">
        <v>35</v>
      </c>
      <c r="B7403" t="s">
        <v>7428</v>
      </c>
      <c r="C7403">
        <f>"MM015L"</f>
        <v>0</v>
      </c>
      <c r="D7403">
        <v>0</v>
      </c>
      <c r="E7403">
        <v>27</v>
      </c>
      <c r="F7403" s="2">
        <v>1</v>
      </c>
      <c r="H7403">
        <v>0</v>
      </c>
      <c r="I7403">
        <v>0.1741125760648204</v>
      </c>
      <c r="J7403">
        <v>0</v>
      </c>
      <c r="K7403">
        <v>0</v>
      </c>
      <c r="L7403" s="2">
        <v>0</v>
      </c>
      <c r="M7403">
        <v>73.37</v>
      </c>
      <c r="N7403" t="s">
        <v>10236</v>
      </c>
    </row>
    <row r="7404" spans="1:14">
      <c r="A7404" t="s">
        <v>35</v>
      </c>
      <c r="B7404" t="s">
        <v>7434</v>
      </c>
      <c r="C7404">
        <f>"688F"</f>
        <v>0</v>
      </c>
      <c r="D7404">
        <v>0</v>
      </c>
      <c r="E7404">
        <v>0</v>
      </c>
      <c r="F7404" s="2">
        <v>0</v>
      </c>
      <c r="H7404">
        <v>0</v>
      </c>
      <c r="I7404">
        <v>0.1741125760648204</v>
      </c>
      <c r="J7404">
        <v>0</v>
      </c>
      <c r="K7404">
        <v>0</v>
      </c>
      <c r="L7404" s="2">
        <v>0</v>
      </c>
      <c r="M7404">
        <v>73.38</v>
      </c>
      <c r="N7404" t="s">
        <v>10236</v>
      </c>
    </row>
    <row r="7405" spans="1:14">
      <c r="A7405" t="s">
        <v>35</v>
      </c>
      <c r="B7405" t="s">
        <v>7435</v>
      </c>
      <c r="C7405">
        <f>"FB673XLV"</f>
        <v>0</v>
      </c>
      <c r="D7405">
        <v>0</v>
      </c>
      <c r="E7405">
        <v>1</v>
      </c>
      <c r="F7405" s="2">
        <v>5</v>
      </c>
      <c r="H7405">
        <v>0</v>
      </c>
      <c r="I7405">
        <v>0.1741125760648204</v>
      </c>
      <c r="J7405">
        <v>0</v>
      </c>
      <c r="K7405">
        <v>0</v>
      </c>
      <c r="L7405" s="2">
        <v>0</v>
      </c>
      <c r="M7405">
        <v>73.38</v>
      </c>
      <c r="N7405" t="s">
        <v>10236</v>
      </c>
    </row>
    <row r="7406" spans="1:14">
      <c r="A7406" t="s">
        <v>35</v>
      </c>
      <c r="B7406" t="s">
        <v>7436</v>
      </c>
      <c r="C7406">
        <f>"FB673XLR"</f>
        <v>0</v>
      </c>
      <c r="D7406">
        <v>0</v>
      </c>
      <c r="E7406">
        <v>0</v>
      </c>
      <c r="F7406" s="2">
        <v>0</v>
      </c>
      <c r="H7406">
        <v>0</v>
      </c>
      <c r="I7406">
        <v>0.1741125760648204</v>
      </c>
      <c r="J7406">
        <v>0</v>
      </c>
      <c r="K7406">
        <v>0</v>
      </c>
      <c r="L7406" s="2">
        <v>0</v>
      </c>
      <c r="M7406">
        <v>73.39</v>
      </c>
      <c r="N7406" t="s">
        <v>10236</v>
      </c>
    </row>
    <row r="7407" spans="1:14">
      <c r="A7407" t="s">
        <v>35</v>
      </c>
      <c r="B7407" t="s">
        <v>7426</v>
      </c>
      <c r="C7407">
        <f>"MM015MAZ"</f>
        <v>0</v>
      </c>
      <c r="D7407">
        <v>0</v>
      </c>
      <c r="E7407">
        <v>0</v>
      </c>
      <c r="F7407" s="2">
        <v>0</v>
      </c>
      <c r="H7407">
        <v>0</v>
      </c>
      <c r="I7407">
        <v>0.1741125760648204</v>
      </c>
      <c r="J7407">
        <v>0</v>
      </c>
      <c r="K7407">
        <v>0</v>
      </c>
      <c r="L7407" s="2">
        <v>0</v>
      </c>
      <c r="M7407">
        <v>73.40000000000001</v>
      </c>
      <c r="N7407" t="s">
        <v>10236</v>
      </c>
    </row>
    <row r="7408" spans="1:14">
      <c r="A7408" t="s">
        <v>35</v>
      </c>
      <c r="B7408" t="s">
        <v>7371</v>
      </c>
      <c r="C7408">
        <f>"MM015XXLVE"</f>
        <v>0</v>
      </c>
      <c r="D7408">
        <v>0</v>
      </c>
      <c r="E7408">
        <v>0</v>
      </c>
      <c r="F7408" s="2">
        <v>0</v>
      </c>
      <c r="H7408">
        <v>0</v>
      </c>
      <c r="I7408">
        <v>0.1741125760648204</v>
      </c>
      <c r="J7408">
        <v>0</v>
      </c>
      <c r="K7408">
        <v>0</v>
      </c>
      <c r="L7408" s="2">
        <v>0</v>
      </c>
      <c r="M7408">
        <v>73.41</v>
      </c>
      <c r="N7408" t="s">
        <v>10236</v>
      </c>
    </row>
    <row r="7409" spans="1:14">
      <c r="A7409" t="s">
        <v>35</v>
      </c>
      <c r="B7409" t="s">
        <v>7371</v>
      </c>
      <c r="C7409">
        <f>"MM015XXLROS"</f>
        <v>0</v>
      </c>
      <c r="D7409">
        <v>0</v>
      </c>
      <c r="E7409">
        <v>0</v>
      </c>
      <c r="F7409" s="2">
        <v>0</v>
      </c>
      <c r="H7409">
        <v>0</v>
      </c>
      <c r="I7409">
        <v>0.1741125760648204</v>
      </c>
      <c r="J7409">
        <v>0</v>
      </c>
      <c r="K7409">
        <v>0</v>
      </c>
      <c r="L7409" s="2">
        <v>0</v>
      </c>
      <c r="M7409">
        <v>73.42</v>
      </c>
      <c r="N7409" t="s">
        <v>10236</v>
      </c>
    </row>
    <row r="7410" spans="1:14">
      <c r="A7410" t="s">
        <v>35</v>
      </c>
      <c r="B7410" t="s">
        <v>7371</v>
      </c>
      <c r="C7410">
        <f>"MM015XXLROJ"</f>
        <v>0</v>
      </c>
      <c r="D7410">
        <v>0</v>
      </c>
      <c r="E7410">
        <v>0</v>
      </c>
      <c r="F7410" s="2">
        <v>0</v>
      </c>
      <c r="H7410">
        <v>0</v>
      </c>
      <c r="I7410">
        <v>0.1741125760648204</v>
      </c>
      <c r="J7410">
        <v>0</v>
      </c>
      <c r="K7410">
        <v>0</v>
      </c>
      <c r="L7410" s="2">
        <v>0</v>
      </c>
      <c r="M7410">
        <v>73.43000000000001</v>
      </c>
      <c r="N7410" t="s">
        <v>10236</v>
      </c>
    </row>
    <row r="7411" spans="1:14">
      <c r="A7411" t="s">
        <v>35</v>
      </c>
      <c r="B7411" t="s">
        <v>7371</v>
      </c>
      <c r="C7411">
        <f>"MM015XXLNE"</f>
        <v>0</v>
      </c>
      <c r="D7411">
        <v>0</v>
      </c>
      <c r="E7411">
        <v>0</v>
      </c>
      <c r="F7411" s="2">
        <v>0</v>
      </c>
      <c r="H7411">
        <v>0</v>
      </c>
      <c r="I7411">
        <v>0.1741125760648204</v>
      </c>
      <c r="J7411">
        <v>0</v>
      </c>
      <c r="K7411">
        <v>0</v>
      </c>
      <c r="L7411" s="2">
        <v>0</v>
      </c>
      <c r="M7411">
        <v>73.44</v>
      </c>
      <c r="N7411" t="s">
        <v>10236</v>
      </c>
    </row>
    <row r="7412" spans="1:14">
      <c r="A7412" t="s">
        <v>35</v>
      </c>
      <c r="B7412" t="s">
        <v>1657</v>
      </c>
      <c r="C7412">
        <f>"MM015SFUC"</f>
        <v>0</v>
      </c>
      <c r="D7412">
        <v>0</v>
      </c>
      <c r="E7412">
        <v>0</v>
      </c>
      <c r="F7412" s="2">
        <v>0</v>
      </c>
      <c r="H7412">
        <v>0</v>
      </c>
      <c r="I7412">
        <v>0.1741125760648204</v>
      </c>
      <c r="J7412">
        <v>0</v>
      </c>
      <c r="K7412">
        <v>0</v>
      </c>
      <c r="L7412" s="2">
        <v>0</v>
      </c>
      <c r="M7412">
        <v>73.45</v>
      </c>
      <c r="N7412" t="s">
        <v>10236</v>
      </c>
    </row>
    <row r="7413" spans="1:14">
      <c r="A7413" t="s">
        <v>35</v>
      </c>
      <c r="B7413" t="s">
        <v>1657</v>
      </c>
      <c r="C7413">
        <f>"MM015SAZ"</f>
        <v>0</v>
      </c>
      <c r="D7413">
        <v>0</v>
      </c>
      <c r="E7413">
        <v>0</v>
      </c>
      <c r="F7413" s="2">
        <v>0</v>
      </c>
      <c r="H7413">
        <v>0</v>
      </c>
      <c r="I7413">
        <v>0.1741125760648204</v>
      </c>
      <c r="J7413">
        <v>0</v>
      </c>
      <c r="K7413">
        <v>0</v>
      </c>
      <c r="L7413" s="2">
        <v>0</v>
      </c>
      <c r="M7413">
        <v>73.45999999999999</v>
      </c>
      <c r="N7413" t="s">
        <v>10236</v>
      </c>
    </row>
    <row r="7414" spans="1:14">
      <c r="A7414" t="s">
        <v>35</v>
      </c>
      <c r="B7414" t="s">
        <v>1657</v>
      </c>
      <c r="C7414">
        <f>"MM015SAM"</f>
        <v>0</v>
      </c>
      <c r="D7414">
        <v>0</v>
      </c>
      <c r="E7414">
        <v>0</v>
      </c>
      <c r="F7414" s="2">
        <v>0</v>
      </c>
      <c r="H7414">
        <v>0</v>
      </c>
      <c r="I7414">
        <v>0.1741125760648204</v>
      </c>
      <c r="J7414">
        <v>0</v>
      </c>
      <c r="K7414">
        <v>0</v>
      </c>
      <c r="L7414" s="2">
        <v>0</v>
      </c>
      <c r="M7414">
        <v>73.47</v>
      </c>
      <c r="N7414" t="s">
        <v>10236</v>
      </c>
    </row>
    <row r="7415" spans="1:14">
      <c r="A7415" t="s">
        <v>35</v>
      </c>
      <c r="B7415" t="s">
        <v>7426</v>
      </c>
      <c r="C7415">
        <f>"MM015MVE"</f>
        <v>0</v>
      </c>
      <c r="D7415">
        <v>0</v>
      </c>
      <c r="E7415">
        <v>0</v>
      </c>
      <c r="F7415" s="2">
        <v>0</v>
      </c>
      <c r="H7415">
        <v>0</v>
      </c>
      <c r="I7415">
        <v>0.1741125760648204</v>
      </c>
      <c r="J7415">
        <v>0</v>
      </c>
      <c r="K7415">
        <v>0</v>
      </c>
      <c r="L7415" s="2">
        <v>0</v>
      </c>
      <c r="M7415">
        <v>73.48</v>
      </c>
      <c r="N7415" t="s">
        <v>10236</v>
      </c>
    </row>
    <row r="7416" spans="1:14">
      <c r="A7416" t="s">
        <v>35</v>
      </c>
      <c r="B7416" t="s">
        <v>7371</v>
      </c>
      <c r="C7416">
        <f>"MM015XXL"</f>
        <v>0</v>
      </c>
      <c r="D7416">
        <v>0</v>
      </c>
      <c r="E7416">
        <v>26</v>
      </c>
      <c r="F7416" s="2">
        <v>1</v>
      </c>
      <c r="H7416">
        <v>0</v>
      </c>
      <c r="I7416">
        <v>0.1741125760648204</v>
      </c>
      <c r="J7416">
        <v>0</v>
      </c>
      <c r="K7416">
        <v>0</v>
      </c>
      <c r="L7416" s="2">
        <v>0</v>
      </c>
      <c r="M7416">
        <v>73.48999999999999</v>
      </c>
      <c r="N7416" t="s">
        <v>10236</v>
      </c>
    </row>
    <row r="7417" spans="1:14">
      <c r="A7417" t="s">
        <v>35</v>
      </c>
      <c r="B7417" t="s">
        <v>1656</v>
      </c>
      <c r="C7417">
        <f>"MM015XSVE"</f>
        <v>0</v>
      </c>
      <c r="D7417">
        <v>0</v>
      </c>
      <c r="E7417">
        <v>0</v>
      </c>
      <c r="F7417" s="2">
        <v>0</v>
      </c>
      <c r="H7417">
        <v>0</v>
      </c>
      <c r="I7417">
        <v>0.1741125760648204</v>
      </c>
      <c r="J7417">
        <v>0</v>
      </c>
      <c r="K7417">
        <v>0</v>
      </c>
      <c r="L7417" s="2">
        <v>0</v>
      </c>
      <c r="M7417">
        <v>73.5</v>
      </c>
      <c r="N7417" t="s">
        <v>10236</v>
      </c>
    </row>
    <row r="7418" spans="1:14">
      <c r="A7418" t="s">
        <v>35</v>
      </c>
      <c r="B7418" t="s">
        <v>1656</v>
      </c>
      <c r="C7418">
        <f>"MM015XSROS"</f>
        <v>0</v>
      </c>
      <c r="D7418">
        <v>0</v>
      </c>
      <c r="E7418">
        <v>0</v>
      </c>
      <c r="F7418" s="2">
        <v>0</v>
      </c>
      <c r="H7418">
        <v>0</v>
      </c>
      <c r="I7418">
        <v>0.1741125760648204</v>
      </c>
      <c r="J7418">
        <v>0</v>
      </c>
      <c r="K7418">
        <v>0</v>
      </c>
      <c r="L7418" s="2">
        <v>0</v>
      </c>
      <c r="M7418">
        <v>73.5</v>
      </c>
      <c r="N7418" t="s">
        <v>10236</v>
      </c>
    </row>
    <row r="7419" spans="1:14">
      <c r="A7419" t="s">
        <v>35</v>
      </c>
      <c r="B7419" t="s">
        <v>1656</v>
      </c>
      <c r="C7419">
        <f>"MM015XSROJ"</f>
        <v>0</v>
      </c>
      <c r="D7419">
        <v>0</v>
      </c>
      <c r="E7419">
        <v>0</v>
      </c>
      <c r="F7419" s="2">
        <v>0</v>
      </c>
      <c r="H7419">
        <v>0</v>
      </c>
      <c r="I7419">
        <v>0.1741125760648204</v>
      </c>
      <c r="J7419">
        <v>0</v>
      </c>
      <c r="K7419">
        <v>0</v>
      </c>
      <c r="L7419" s="2">
        <v>0</v>
      </c>
      <c r="M7419">
        <v>73.51000000000001</v>
      </c>
      <c r="N7419" t="s">
        <v>10236</v>
      </c>
    </row>
    <row r="7420" spans="1:14">
      <c r="A7420" t="s">
        <v>35</v>
      </c>
      <c r="B7420" t="s">
        <v>1656</v>
      </c>
      <c r="C7420">
        <f>"MM015XSNE"</f>
        <v>0</v>
      </c>
      <c r="D7420">
        <v>0</v>
      </c>
      <c r="E7420">
        <v>0</v>
      </c>
      <c r="F7420" s="2">
        <v>0</v>
      </c>
      <c r="H7420">
        <v>0</v>
      </c>
      <c r="I7420">
        <v>0.1741125760648204</v>
      </c>
      <c r="J7420">
        <v>0</v>
      </c>
      <c r="K7420">
        <v>0</v>
      </c>
      <c r="L7420" s="2">
        <v>0</v>
      </c>
      <c r="M7420">
        <v>73.52</v>
      </c>
      <c r="N7420" t="s">
        <v>10236</v>
      </c>
    </row>
    <row r="7421" spans="1:14">
      <c r="A7421" t="s">
        <v>35</v>
      </c>
      <c r="B7421" t="s">
        <v>1656</v>
      </c>
      <c r="C7421">
        <f>"MM015XSNA"</f>
        <v>0</v>
      </c>
      <c r="D7421">
        <v>0</v>
      </c>
      <c r="E7421">
        <v>0</v>
      </c>
      <c r="F7421" s="2">
        <v>0</v>
      </c>
      <c r="H7421">
        <v>0</v>
      </c>
      <c r="I7421">
        <v>0.1741125760648204</v>
      </c>
      <c r="J7421">
        <v>0</v>
      </c>
      <c r="K7421">
        <v>0</v>
      </c>
      <c r="L7421" s="2">
        <v>0</v>
      </c>
      <c r="M7421">
        <v>73.53</v>
      </c>
      <c r="N7421" t="s">
        <v>10236</v>
      </c>
    </row>
    <row r="7422" spans="1:14">
      <c r="A7422" t="s">
        <v>35</v>
      </c>
      <c r="B7422" t="s">
        <v>1657</v>
      </c>
      <c r="C7422">
        <f>"MM015SROJ"</f>
        <v>0</v>
      </c>
      <c r="D7422">
        <v>0</v>
      </c>
      <c r="E7422">
        <v>0</v>
      </c>
      <c r="F7422" s="2">
        <v>0</v>
      </c>
      <c r="H7422">
        <v>0</v>
      </c>
      <c r="I7422">
        <v>0.1741125760648204</v>
      </c>
      <c r="J7422">
        <v>0</v>
      </c>
      <c r="K7422">
        <v>0</v>
      </c>
      <c r="L7422" s="2">
        <v>0</v>
      </c>
      <c r="M7422">
        <v>73.54000000000001</v>
      </c>
      <c r="N7422" t="s">
        <v>10236</v>
      </c>
    </row>
    <row r="7423" spans="1:14">
      <c r="A7423" t="s">
        <v>35</v>
      </c>
      <c r="B7423" t="s">
        <v>1656</v>
      </c>
      <c r="C7423">
        <f>"MM015XSFUC"</f>
        <v>0</v>
      </c>
      <c r="D7423">
        <v>0</v>
      </c>
      <c r="E7423">
        <v>0</v>
      </c>
      <c r="F7423" s="2">
        <v>0</v>
      </c>
      <c r="H7423">
        <v>0</v>
      </c>
      <c r="I7423">
        <v>0.1741125760648204</v>
      </c>
      <c r="J7423">
        <v>0</v>
      </c>
      <c r="K7423">
        <v>0</v>
      </c>
      <c r="L7423" s="2">
        <v>0</v>
      </c>
      <c r="M7423">
        <v>73.55</v>
      </c>
      <c r="N7423" t="s">
        <v>10236</v>
      </c>
    </row>
    <row r="7424" spans="1:14">
      <c r="A7424" t="s">
        <v>35</v>
      </c>
      <c r="B7424" t="s">
        <v>1656</v>
      </c>
      <c r="C7424">
        <f>"MM015XSAZ"</f>
        <v>0</v>
      </c>
      <c r="D7424">
        <v>0</v>
      </c>
      <c r="E7424">
        <v>0</v>
      </c>
      <c r="F7424" s="2">
        <v>0</v>
      </c>
      <c r="H7424">
        <v>0</v>
      </c>
      <c r="I7424">
        <v>0.1741125760648204</v>
      </c>
      <c r="J7424">
        <v>0</v>
      </c>
      <c r="K7424">
        <v>0</v>
      </c>
      <c r="L7424" s="2">
        <v>0</v>
      </c>
      <c r="M7424">
        <v>73.56</v>
      </c>
      <c r="N7424" t="s">
        <v>10236</v>
      </c>
    </row>
    <row r="7425" spans="1:14">
      <c r="A7425" t="s">
        <v>35</v>
      </c>
      <c r="B7425" t="s">
        <v>1656</v>
      </c>
      <c r="C7425">
        <f>"MM015XSAM"</f>
        <v>0</v>
      </c>
      <c r="D7425">
        <v>0</v>
      </c>
      <c r="E7425">
        <v>0</v>
      </c>
      <c r="F7425" s="2">
        <v>0</v>
      </c>
      <c r="H7425">
        <v>0</v>
      </c>
      <c r="I7425">
        <v>0.1741125760648204</v>
      </c>
      <c r="J7425">
        <v>0</v>
      </c>
      <c r="K7425">
        <v>0</v>
      </c>
      <c r="L7425" s="2">
        <v>0</v>
      </c>
      <c r="M7425">
        <v>73.56999999999999</v>
      </c>
      <c r="N7425" t="s">
        <v>10236</v>
      </c>
    </row>
    <row r="7426" spans="1:14">
      <c r="A7426" t="s">
        <v>35</v>
      </c>
      <c r="B7426" t="s">
        <v>7428</v>
      </c>
      <c r="C7426">
        <f>"MM015LROJ"</f>
        <v>0</v>
      </c>
      <c r="D7426">
        <v>0</v>
      </c>
      <c r="E7426">
        <v>0</v>
      </c>
      <c r="F7426" s="2">
        <v>0</v>
      </c>
      <c r="H7426">
        <v>0</v>
      </c>
      <c r="I7426">
        <v>0.1741125760648204</v>
      </c>
      <c r="J7426">
        <v>0</v>
      </c>
      <c r="K7426">
        <v>0</v>
      </c>
      <c r="L7426" s="2">
        <v>0</v>
      </c>
      <c r="M7426">
        <v>73.58</v>
      </c>
      <c r="N7426" t="s">
        <v>10236</v>
      </c>
    </row>
    <row r="7427" spans="1:14">
      <c r="A7427" t="s">
        <v>35</v>
      </c>
      <c r="B7427" t="s">
        <v>7428</v>
      </c>
      <c r="C7427">
        <f>"MM015LNE"</f>
        <v>0</v>
      </c>
      <c r="D7427">
        <v>0</v>
      </c>
      <c r="E7427">
        <v>0</v>
      </c>
      <c r="F7427" s="2">
        <v>0</v>
      </c>
      <c r="H7427">
        <v>0</v>
      </c>
      <c r="I7427">
        <v>0.1741125760648204</v>
      </c>
      <c r="J7427">
        <v>0</v>
      </c>
      <c r="K7427">
        <v>0</v>
      </c>
      <c r="L7427" s="2">
        <v>0</v>
      </c>
      <c r="M7427">
        <v>73.59</v>
      </c>
      <c r="N7427" t="s">
        <v>10236</v>
      </c>
    </row>
    <row r="7428" spans="1:14">
      <c r="A7428" t="s">
        <v>35</v>
      </c>
      <c r="B7428" t="s">
        <v>7428</v>
      </c>
      <c r="C7428">
        <f>"MM015LNA"</f>
        <v>0</v>
      </c>
      <c r="D7428">
        <v>0</v>
      </c>
      <c r="E7428">
        <v>0</v>
      </c>
      <c r="F7428" s="2">
        <v>0</v>
      </c>
      <c r="H7428">
        <v>0</v>
      </c>
      <c r="I7428">
        <v>0.1741125760648204</v>
      </c>
      <c r="J7428">
        <v>0</v>
      </c>
      <c r="K7428">
        <v>0</v>
      </c>
      <c r="L7428" s="2">
        <v>0</v>
      </c>
      <c r="M7428">
        <v>73.59999999999999</v>
      </c>
      <c r="N7428" t="s">
        <v>10236</v>
      </c>
    </row>
    <row r="7429" spans="1:14">
      <c r="A7429" t="s">
        <v>35</v>
      </c>
      <c r="B7429" t="s">
        <v>7428</v>
      </c>
      <c r="C7429">
        <f>"MM015LMO"</f>
        <v>0</v>
      </c>
      <c r="D7429">
        <v>0</v>
      </c>
      <c r="E7429">
        <v>0</v>
      </c>
      <c r="F7429" s="2">
        <v>0</v>
      </c>
      <c r="H7429">
        <v>0</v>
      </c>
      <c r="I7429">
        <v>0.1741125760648204</v>
      </c>
      <c r="J7429">
        <v>0</v>
      </c>
      <c r="K7429">
        <v>0</v>
      </c>
      <c r="L7429" s="2">
        <v>0</v>
      </c>
      <c r="M7429">
        <v>73.61</v>
      </c>
      <c r="N7429" t="s">
        <v>10236</v>
      </c>
    </row>
    <row r="7430" spans="1:14">
      <c r="A7430" t="s">
        <v>35</v>
      </c>
      <c r="B7430" t="s">
        <v>7428</v>
      </c>
      <c r="C7430">
        <f>"MM015LFUC"</f>
        <v>0</v>
      </c>
      <c r="D7430">
        <v>0</v>
      </c>
      <c r="E7430">
        <v>0</v>
      </c>
      <c r="F7430" s="2">
        <v>0</v>
      </c>
      <c r="H7430">
        <v>0</v>
      </c>
      <c r="I7430">
        <v>0.1741125760648204</v>
      </c>
      <c r="J7430">
        <v>0</v>
      </c>
      <c r="K7430">
        <v>0</v>
      </c>
      <c r="L7430" s="2">
        <v>0</v>
      </c>
      <c r="M7430">
        <v>73.61</v>
      </c>
      <c r="N7430" t="s">
        <v>10236</v>
      </c>
    </row>
    <row r="7431" spans="1:14">
      <c r="A7431" t="s">
        <v>35</v>
      </c>
      <c r="B7431" t="s">
        <v>7383</v>
      </c>
      <c r="C7431">
        <f>"MM015XLMO"</f>
        <v>0</v>
      </c>
      <c r="D7431">
        <v>0</v>
      </c>
      <c r="E7431">
        <v>0</v>
      </c>
      <c r="F7431" s="2">
        <v>0</v>
      </c>
      <c r="H7431">
        <v>0</v>
      </c>
      <c r="I7431">
        <v>0.1741125760648204</v>
      </c>
      <c r="J7431">
        <v>0</v>
      </c>
      <c r="K7431">
        <v>0</v>
      </c>
      <c r="L7431" s="2">
        <v>0</v>
      </c>
      <c r="M7431">
        <v>73.62</v>
      </c>
      <c r="N7431" t="s">
        <v>10236</v>
      </c>
    </row>
    <row r="7432" spans="1:14">
      <c r="A7432" t="s">
        <v>35</v>
      </c>
      <c r="B7432" t="s">
        <v>7383</v>
      </c>
      <c r="C7432">
        <f>"MM015XLFUC"</f>
        <v>0</v>
      </c>
      <c r="D7432">
        <v>0</v>
      </c>
      <c r="E7432">
        <v>0</v>
      </c>
      <c r="F7432" s="2">
        <v>0</v>
      </c>
      <c r="H7432">
        <v>0</v>
      </c>
      <c r="I7432">
        <v>0.1741125760648204</v>
      </c>
      <c r="J7432">
        <v>0</v>
      </c>
      <c r="K7432">
        <v>0</v>
      </c>
      <c r="L7432" s="2">
        <v>0</v>
      </c>
      <c r="M7432">
        <v>73.63</v>
      </c>
      <c r="N7432" t="s">
        <v>10236</v>
      </c>
    </row>
    <row r="7433" spans="1:14">
      <c r="A7433" t="s">
        <v>35</v>
      </c>
      <c r="B7433" t="s">
        <v>7383</v>
      </c>
      <c r="C7433">
        <f>"MM015XLAZ"</f>
        <v>0</v>
      </c>
      <c r="D7433">
        <v>0</v>
      </c>
      <c r="E7433">
        <v>0</v>
      </c>
      <c r="F7433" s="2">
        <v>0</v>
      </c>
      <c r="H7433">
        <v>0</v>
      </c>
      <c r="I7433">
        <v>0.1741125760648204</v>
      </c>
      <c r="J7433">
        <v>0</v>
      </c>
      <c r="K7433">
        <v>0</v>
      </c>
      <c r="L7433" s="2">
        <v>0</v>
      </c>
      <c r="M7433">
        <v>73.64</v>
      </c>
      <c r="N7433" t="s">
        <v>10236</v>
      </c>
    </row>
    <row r="7434" spans="1:14">
      <c r="A7434" t="s">
        <v>35</v>
      </c>
      <c r="B7434" t="s">
        <v>7383</v>
      </c>
      <c r="C7434">
        <f>"MM015XLAM"</f>
        <v>0</v>
      </c>
      <c r="D7434">
        <v>0</v>
      </c>
      <c r="E7434">
        <v>0</v>
      </c>
      <c r="F7434" s="2">
        <v>0</v>
      </c>
      <c r="H7434">
        <v>0</v>
      </c>
      <c r="I7434">
        <v>0.1741125760648204</v>
      </c>
      <c r="J7434">
        <v>0</v>
      </c>
      <c r="K7434">
        <v>0</v>
      </c>
      <c r="L7434" s="2">
        <v>0</v>
      </c>
      <c r="M7434">
        <v>73.65000000000001</v>
      </c>
      <c r="N7434" t="s">
        <v>10236</v>
      </c>
    </row>
    <row r="7435" spans="1:14">
      <c r="A7435" t="s">
        <v>35</v>
      </c>
      <c r="B7435" t="s">
        <v>7383</v>
      </c>
      <c r="C7435">
        <f>"MM015XL"</f>
        <v>0</v>
      </c>
      <c r="D7435">
        <v>0</v>
      </c>
      <c r="E7435">
        <v>24</v>
      </c>
      <c r="F7435" s="2">
        <v>1</v>
      </c>
      <c r="H7435">
        <v>0</v>
      </c>
      <c r="I7435">
        <v>0.1741125760648204</v>
      </c>
      <c r="J7435">
        <v>0</v>
      </c>
      <c r="K7435">
        <v>0</v>
      </c>
      <c r="L7435" s="2">
        <v>0</v>
      </c>
      <c r="M7435">
        <v>73.66</v>
      </c>
      <c r="N7435" t="s">
        <v>10236</v>
      </c>
    </row>
    <row r="7436" spans="1:14">
      <c r="A7436" t="s">
        <v>35</v>
      </c>
      <c r="B7436" t="s">
        <v>1657</v>
      </c>
      <c r="C7436">
        <f>"MM015SVE"</f>
        <v>0</v>
      </c>
      <c r="D7436">
        <v>0</v>
      </c>
      <c r="E7436">
        <v>0</v>
      </c>
      <c r="F7436" s="2">
        <v>0</v>
      </c>
      <c r="H7436">
        <v>0</v>
      </c>
      <c r="I7436">
        <v>0.1741125760648204</v>
      </c>
      <c r="J7436">
        <v>0</v>
      </c>
      <c r="K7436">
        <v>0</v>
      </c>
      <c r="L7436" s="2">
        <v>0</v>
      </c>
      <c r="M7436">
        <v>73.67</v>
      </c>
      <c r="N7436" t="s">
        <v>10236</v>
      </c>
    </row>
    <row r="7437" spans="1:14">
      <c r="A7437" t="s">
        <v>35</v>
      </c>
      <c r="B7437" t="s">
        <v>1657</v>
      </c>
      <c r="C7437">
        <f>"MM015SROS"</f>
        <v>0</v>
      </c>
      <c r="D7437">
        <v>0</v>
      </c>
      <c r="E7437">
        <v>0</v>
      </c>
      <c r="F7437" s="2">
        <v>0</v>
      </c>
      <c r="H7437">
        <v>0</v>
      </c>
      <c r="I7437">
        <v>0.1741125760648204</v>
      </c>
      <c r="J7437">
        <v>0</v>
      </c>
      <c r="K7437">
        <v>0</v>
      </c>
      <c r="L7437" s="2">
        <v>0</v>
      </c>
      <c r="M7437">
        <v>73.68000000000001</v>
      </c>
      <c r="N7437" t="s">
        <v>10236</v>
      </c>
    </row>
    <row r="7438" spans="1:14">
      <c r="A7438" t="s">
        <v>35</v>
      </c>
      <c r="B7438" t="s">
        <v>1656</v>
      </c>
      <c r="C7438">
        <f>"MM015XSMO"</f>
        <v>0</v>
      </c>
      <c r="D7438">
        <v>0</v>
      </c>
      <c r="E7438">
        <v>0</v>
      </c>
      <c r="F7438" s="2">
        <v>0</v>
      </c>
      <c r="H7438">
        <v>0</v>
      </c>
      <c r="I7438">
        <v>0.1741125760648204</v>
      </c>
      <c r="J7438">
        <v>0</v>
      </c>
      <c r="K7438">
        <v>0</v>
      </c>
      <c r="L7438" s="2">
        <v>0</v>
      </c>
      <c r="M7438">
        <v>73.69</v>
      </c>
      <c r="N7438" t="s">
        <v>10236</v>
      </c>
    </row>
    <row r="7439" spans="1:14">
      <c r="A7439" t="s">
        <v>192</v>
      </c>
      <c r="B7439" t="s">
        <v>7437</v>
      </c>
      <c r="C7439">
        <f>"201"</f>
        <v>0</v>
      </c>
      <c r="D7439">
        <v>0</v>
      </c>
      <c r="E7439">
        <v>0</v>
      </c>
      <c r="F7439" s="2">
        <v>0</v>
      </c>
      <c r="H7439">
        <v>0</v>
      </c>
      <c r="I7439">
        <v>0.1741125760648204</v>
      </c>
      <c r="J7439">
        <v>0</v>
      </c>
      <c r="K7439">
        <v>0</v>
      </c>
      <c r="L7439" s="2">
        <v>0</v>
      </c>
      <c r="M7439">
        <v>73.7</v>
      </c>
      <c r="N7439" t="s">
        <v>10236</v>
      </c>
    </row>
    <row r="7440" spans="1:14">
      <c r="A7440" t="s">
        <v>192</v>
      </c>
      <c r="B7440" t="s">
        <v>7438</v>
      </c>
      <c r="C7440">
        <f>"203"</f>
        <v>0</v>
      </c>
      <c r="D7440">
        <v>0</v>
      </c>
      <c r="E7440">
        <v>0</v>
      </c>
      <c r="F7440" s="2">
        <v>0</v>
      </c>
      <c r="H7440">
        <v>0</v>
      </c>
      <c r="I7440">
        <v>0.1741125760648204</v>
      </c>
      <c r="J7440">
        <v>0</v>
      </c>
      <c r="K7440">
        <v>0</v>
      </c>
      <c r="L7440" s="2">
        <v>0</v>
      </c>
      <c r="M7440">
        <v>73.70999999999999</v>
      </c>
      <c r="N7440" t="s">
        <v>10236</v>
      </c>
    </row>
    <row r="7441" spans="1:14">
      <c r="A7441" t="s">
        <v>194</v>
      </c>
      <c r="B7441" t="s">
        <v>7439</v>
      </c>
      <c r="C7441">
        <f>"10661"</f>
        <v>0</v>
      </c>
      <c r="D7441">
        <v>0</v>
      </c>
      <c r="E7441">
        <v>0</v>
      </c>
      <c r="F7441" s="2">
        <v>0</v>
      </c>
      <c r="H7441">
        <v>0</v>
      </c>
      <c r="I7441">
        <v>0.1741125760648204</v>
      </c>
      <c r="J7441">
        <v>0</v>
      </c>
      <c r="K7441">
        <v>0</v>
      </c>
      <c r="L7441" s="2">
        <v>0</v>
      </c>
      <c r="M7441">
        <v>73.72</v>
      </c>
      <c r="N7441" t="s">
        <v>10236</v>
      </c>
    </row>
    <row r="7442" spans="1:14">
      <c r="A7442" t="s">
        <v>194</v>
      </c>
      <c r="B7442" t="s">
        <v>7440</v>
      </c>
      <c r="C7442">
        <f>"10655"</f>
        <v>0</v>
      </c>
      <c r="D7442">
        <v>0</v>
      </c>
      <c r="E7442">
        <v>1</v>
      </c>
      <c r="F7442" s="2">
        <v>2</v>
      </c>
      <c r="H7442">
        <v>0</v>
      </c>
      <c r="I7442">
        <v>0.1741125760648204</v>
      </c>
      <c r="J7442">
        <v>0</v>
      </c>
      <c r="K7442">
        <v>0</v>
      </c>
      <c r="L7442" s="2">
        <v>0</v>
      </c>
      <c r="M7442">
        <v>73.73</v>
      </c>
      <c r="N7442" t="s">
        <v>10236</v>
      </c>
    </row>
    <row r="7443" spans="1:14">
      <c r="A7443" t="s">
        <v>194</v>
      </c>
      <c r="B7443" t="s">
        <v>7441</v>
      </c>
      <c r="C7443">
        <f>"10660"</f>
        <v>0</v>
      </c>
      <c r="D7443">
        <v>0</v>
      </c>
      <c r="E7443">
        <v>0</v>
      </c>
      <c r="F7443" s="2">
        <v>0</v>
      </c>
      <c r="H7443">
        <v>0</v>
      </c>
      <c r="I7443">
        <v>0.1741125760648204</v>
      </c>
      <c r="J7443">
        <v>0</v>
      </c>
      <c r="K7443">
        <v>0</v>
      </c>
      <c r="L7443" s="2">
        <v>0</v>
      </c>
      <c r="M7443">
        <v>73.73</v>
      </c>
      <c r="N7443" t="s">
        <v>10236</v>
      </c>
    </row>
    <row r="7444" spans="1:14">
      <c r="A7444" t="s">
        <v>194</v>
      </c>
      <c r="B7444" t="s">
        <v>7442</v>
      </c>
      <c r="C7444">
        <f>"10654"</f>
        <v>0</v>
      </c>
      <c r="D7444">
        <v>0</v>
      </c>
      <c r="E7444">
        <v>0</v>
      </c>
      <c r="F7444" s="2">
        <v>0</v>
      </c>
      <c r="H7444">
        <v>0</v>
      </c>
      <c r="I7444">
        <v>0.1741125760648204</v>
      </c>
      <c r="J7444">
        <v>0</v>
      </c>
      <c r="K7444">
        <v>0</v>
      </c>
      <c r="L7444" s="2">
        <v>0</v>
      </c>
      <c r="M7444">
        <v>73.73999999999999</v>
      </c>
      <c r="N7444" t="s">
        <v>10236</v>
      </c>
    </row>
    <row r="7445" spans="1:14">
      <c r="A7445" t="s">
        <v>194</v>
      </c>
      <c r="B7445" t="s">
        <v>7443</v>
      </c>
      <c r="C7445">
        <f>"10653"</f>
        <v>0</v>
      </c>
      <c r="D7445">
        <v>0</v>
      </c>
      <c r="E7445">
        <v>0</v>
      </c>
      <c r="F7445" s="2">
        <v>0</v>
      </c>
      <c r="H7445">
        <v>0</v>
      </c>
      <c r="I7445">
        <v>0.1741125760648204</v>
      </c>
      <c r="J7445">
        <v>0</v>
      </c>
      <c r="K7445">
        <v>0</v>
      </c>
      <c r="L7445" s="2">
        <v>0</v>
      </c>
      <c r="M7445">
        <v>73.75</v>
      </c>
      <c r="N7445" t="s">
        <v>10236</v>
      </c>
    </row>
    <row r="7446" spans="1:14">
      <c r="A7446" t="s">
        <v>35</v>
      </c>
      <c r="B7446" t="s">
        <v>7444</v>
      </c>
      <c r="C7446">
        <f>"65842"</f>
        <v>0</v>
      </c>
      <c r="D7446">
        <v>0</v>
      </c>
      <c r="E7446">
        <v>0</v>
      </c>
      <c r="F7446" s="2">
        <v>0</v>
      </c>
      <c r="H7446">
        <v>0</v>
      </c>
      <c r="I7446">
        <v>0.1741125760648204</v>
      </c>
      <c r="J7446">
        <v>0</v>
      </c>
      <c r="K7446">
        <v>0</v>
      </c>
      <c r="L7446" s="2">
        <v>0</v>
      </c>
      <c r="M7446">
        <v>73.76000000000001</v>
      </c>
      <c r="N7446" t="s">
        <v>10236</v>
      </c>
    </row>
    <row r="7447" spans="1:14">
      <c r="A7447" t="s">
        <v>196</v>
      </c>
      <c r="B7447" t="s">
        <v>7445</v>
      </c>
      <c r="C7447">
        <f>"2136"</f>
        <v>0</v>
      </c>
      <c r="D7447">
        <v>0</v>
      </c>
      <c r="E7447">
        <v>0</v>
      </c>
      <c r="F7447" s="2">
        <v>0</v>
      </c>
      <c r="H7447">
        <v>0</v>
      </c>
      <c r="I7447">
        <v>0.1741125760648204</v>
      </c>
      <c r="J7447">
        <v>0</v>
      </c>
      <c r="K7447">
        <v>0</v>
      </c>
      <c r="L7447" s="2">
        <v>0</v>
      </c>
      <c r="M7447">
        <v>73.77</v>
      </c>
      <c r="N7447" t="s">
        <v>10236</v>
      </c>
    </row>
    <row r="7448" spans="1:14">
      <c r="A7448" t="s">
        <v>196</v>
      </c>
      <c r="B7448" t="s">
        <v>7446</v>
      </c>
      <c r="C7448">
        <f>"2093"</f>
        <v>0</v>
      </c>
      <c r="D7448">
        <v>0</v>
      </c>
      <c r="E7448">
        <v>0</v>
      </c>
      <c r="F7448" s="2">
        <v>0</v>
      </c>
      <c r="H7448">
        <v>0</v>
      </c>
      <c r="I7448">
        <v>0.1741125760648204</v>
      </c>
      <c r="J7448">
        <v>0</v>
      </c>
      <c r="K7448">
        <v>0</v>
      </c>
      <c r="L7448" s="2">
        <v>0</v>
      </c>
      <c r="M7448">
        <v>73.78</v>
      </c>
      <c r="N7448" t="s">
        <v>10236</v>
      </c>
    </row>
    <row r="7449" spans="1:14">
      <c r="A7449" t="s">
        <v>196</v>
      </c>
      <c r="B7449" t="s">
        <v>7447</v>
      </c>
      <c r="C7449">
        <f>"2029"</f>
        <v>0</v>
      </c>
      <c r="D7449">
        <v>0</v>
      </c>
      <c r="E7449">
        <v>0</v>
      </c>
      <c r="F7449" s="2">
        <v>0</v>
      </c>
      <c r="H7449">
        <v>0</v>
      </c>
      <c r="I7449">
        <v>0.1741125760648204</v>
      </c>
      <c r="J7449">
        <v>0</v>
      </c>
      <c r="K7449">
        <v>0</v>
      </c>
      <c r="L7449" s="2">
        <v>0</v>
      </c>
      <c r="M7449">
        <v>73.79000000000001</v>
      </c>
      <c r="N7449" t="s">
        <v>10236</v>
      </c>
    </row>
    <row r="7450" spans="1:14">
      <c r="A7450" t="s">
        <v>194</v>
      </c>
      <c r="B7450" t="s">
        <v>7448</v>
      </c>
      <c r="C7450">
        <f>"2300100"</f>
        <v>0</v>
      </c>
      <c r="D7450">
        <v>0</v>
      </c>
      <c r="E7450">
        <v>0</v>
      </c>
      <c r="F7450" s="2">
        <v>0</v>
      </c>
      <c r="H7450">
        <v>0</v>
      </c>
      <c r="I7450">
        <v>0.1741125760648204</v>
      </c>
      <c r="J7450">
        <v>0</v>
      </c>
      <c r="K7450">
        <v>0</v>
      </c>
      <c r="L7450" s="2">
        <v>0</v>
      </c>
      <c r="M7450">
        <v>73.8</v>
      </c>
      <c r="N7450" t="s">
        <v>10236</v>
      </c>
    </row>
    <row r="7451" spans="1:14">
      <c r="A7451" t="s">
        <v>194</v>
      </c>
      <c r="B7451" t="s">
        <v>7449</v>
      </c>
      <c r="C7451">
        <f>"300010010KG"</f>
        <v>0</v>
      </c>
      <c r="D7451">
        <v>0</v>
      </c>
      <c r="E7451">
        <v>0</v>
      </c>
      <c r="F7451" s="2">
        <v>0</v>
      </c>
      <c r="H7451">
        <v>0</v>
      </c>
      <c r="I7451">
        <v>0.1741125760648204</v>
      </c>
      <c r="J7451">
        <v>0</v>
      </c>
      <c r="K7451">
        <v>0</v>
      </c>
      <c r="L7451" s="2">
        <v>0</v>
      </c>
      <c r="M7451">
        <v>73.81</v>
      </c>
      <c r="N7451" t="s">
        <v>10236</v>
      </c>
    </row>
    <row r="7452" spans="1:14">
      <c r="A7452" t="s">
        <v>35</v>
      </c>
      <c r="B7452" t="s">
        <v>7450</v>
      </c>
      <c r="C7452">
        <f>"2452"</f>
        <v>0</v>
      </c>
      <c r="D7452">
        <v>0</v>
      </c>
      <c r="E7452">
        <v>0</v>
      </c>
      <c r="F7452" s="2">
        <v>0</v>
      </c>
      <c r="H7452">
        <v>0</v>
      </c>
      <c r="I7452">
        <v>0.1741125760648204</v>
      </c>
      <c r="J7452">
        <v>0</v>
      </c>
      <c r="K7452">
        <v>0</v>
      </c>
      <c r="L7452" s="2">
        <v>0</v>
      </c>
      <c r="M7452">
        <v>73.81999999999999</v>
      </c>
      <c r="N7452" t="s">
        <v>10236</v>
      </c>
    </row>
    <row r="7453" spans="1:14">
      <c r="A7453" t="s">
        <v>25</v>
      </c>
      <c r="B7453" t="s">
        <v>7451</v>
      </c>
      <c r="C7453">
        <f>"S306"</f>
        <v>0</v>
      </c>
      <c r="D7453">
        <v>0</v>
      </c>
      <c r="E7453">
        <v>0</v>
      </c>
      <c r="F7453" s="2">
        <v>0</v>
      </c>
      <c r="H7453">
        <v>0</v>
      </c>
      <c r="I7453">
        <v>0.1741125760648204</v>
      </c>
      <c r="J7453">
        <v>0</v>
      </c>
      <c r="K7453">
        <v>0</v>
      </c>
      <c r="L7453" s="2">
        <v>0</v>
      </c>
      <c r="M7453">
        <v>73.83</v>
      </c>
      <c r="N7453" t="s">
        <v>10236</v>
      </c>
    </row>
    <row r="7454" spans="1:14">
      <c r="A7454" t="s">
        <v>35</v>
      </c>
      <c r="B7454" t="s">
        <v>7452</v>
      </c>
      <c r="C7454">
        <f>"2453"</f>
        <v>0</v>
      </c>
      <c r="D7454">
        <v>0</v>
      </c>
      <c r="E7454">
        <v>0</v>
      </c>
      <c r="F7454" s="2">
        <v>0</v>
      </c>
      <c r="H7454">
        <v>0</v>
      </c>
      <c r="I7454">
        <v>0.1741125760648204</v>
      </c>
      <c r="J7454">
        <v>0</v>
      </c>
      <c r="K7454">
        <v>0</v>
      </c>
      <c r="L7454" s="2">
        <v>0</v>
      </c>
      <c r="M7454">
        <v>73.84</v>
      </c>
      <c r="N7454" t="s">
        <v>10236</v>
      </c>
    </row>
    <row r="7455" spans="1:14">
      <c r="A7455" t="s">
        <v>35</v>
      </c>
      <c r="B7455" t="s">
        <v>7453</v>
      </c>
      <c r="C7455">
        <f>"CT850C"</f>
        <v>0</v>
      </c>
      <c r="D7455">
        <v>0</v>
      </c>
      <c r="E7455">
        <v>0</v>
      </c>
      <c r="F7455" s="2">
        <v>0</v>
      </c>
      <c r="H7455">
        <v>0</v>
      </c>
      <c r="I7455">
        <v>0.1741125760648204</v>
      </c>
      <c r="J7455">
        <v>0</v>
      </c>
      <c r="K7455">
        <v>0</v>
      </c>
      <c r="L7455" s="2">
        <v>0</v>
      </c>
      <c r="M7455">
        <v>73.84999999999999</v>
      </c>
      <c r="N7455" t="s">
        <v>10236</v>
      </c>
    </row>
    <row r="7456" spans="1:14">
      <c r="A7456" t="s">
        <v>35</v>
      </c>
      <c r="B7456" t="s">
        <v>7454</v>
      </c>
      <c r="C7456">
        <f>"CT425C"</f>
        <v>0</v>
      </c>
      <c r="D7456">
        <v>0</v>
      </c>
      <c r="E7456">
        <v>0</v>
      </c>
      <c r="F7456" s="2">
        <v>0</v>
      </c>
      <c r="H7456">
        <v>0</v>
      </c>
      <c r="I7456">
        <v>0.1741125760648204</v>
      </c>
      <c r="J7456">
        <v>0</v>
      </c>
      <c r="K7456">
        <v>0</v>
      </c>
      <c r="L7456" s="2">
        <v>0</v>
      </c>
      <c r="M7456">
        <v>73.84999999999999</v>
      </c>
      <c r="N7456" t="s">
        <v>10236</v>
      </c>
    </row>
    <row r="7457" spans="1:14">
      <c r="A7457" t="s">
        <v>218</v>
      </c>
      <c r="B7457" t="s">
        <v>7455</v>
      </c>
      <c r="C7457">
        <f>"insnpr0040"</f>
        <v>0</v>
      </c>
      <c r="D7457">
        <v>0</v>
      </c>
      <c r="E7457">
        <v>0</v>
      </c>
      <c r="F7457" s="2">
        <v>0</v>
      </c>
      <c r="H7457">
        <v>0</v>
      </c>
      <c r="I7457">
        <v>0.1741125760648204</v>
      </c>
      <c r="J7457">
        <v>0</v>
      </c>
      <c r="K7457">
        <v>0</v>
      </c>
      <c r="L7457" s="2">
        <v>0</v>
      </c>
      <c r="M7457">
        <v>73.86</v>
      </c>
      <c r="N7457" t="s">
        <v>10236</v>
      </c>
    </row>
    <row r="7458" spans="1:14">
      <c r="A7458" t="s">
        <v>218</v>
      </c>
      <c r="B7458" t="s">
        <v>7456</v>
      </c>
      <c r="C7458">
        <f>"insnpr0039"</f>
        <v>0</v>
      </c>
      <c r="D7458">
        <v>0</v>
      </c>
      <c r="E7458">
        <v>0</v>
      </c>
      <c r="F7458" s="2">
        <v>0</v>
      </c>
      <c r="H7458">
        <v>0</v>
      </c>
      <c r="I7458">
        <v>0.1741125760648204</v>
      </c>
      <c r="J7458">
        <v>0</v>
      </c>
      <c r="K7458">
        <v>0</v>
      </c>
      <c r="L7458" s="2">
        <v>0</v>
      </c>
      <c r="M7458">
        <v>73.87</v>
      </c>
      <c r="N7458" t="s">
        <v>10236</v>
      </c>
    </row>
    <row r="7459" spans="1:14">
      <c r="A7459" t="s">
        <v>218</v>
      </c>
      <c r="B7459" t="s">
        <v>7457</v>
      </c>
      <c r="C7459">
        <f>"insnpr0038"</f>
        <v>0</v>
      </c>
      <c r="D7459">
        <v>0</v>
      </c>
      <c r="E7459">
        <v>0</v>
      </c>
      <c r="F7459" s="2">
        <v>0</v>
      </c>
      <c r="H7459">
        <v>0</v>
      </c>
      <c r="I7459">
        <v>0.1741125760648204</v>
      </c>
      <c r="J7459">
        <v>0</v>
      </c>
      <c r="K7459">
        <v>0</v>
      </c>
      <c r="L7459" s="2">
        <v>0</v>
      </c>
      <c r="M7459">
        <v>73.88</v>
      </c>
      <c r="N7459" t="s">
        <v>10236</v>
      </c>
    </row>
    <row r="7460" spans="1:14">
      <c r="A7460" t="s">
        <v>218</v>
      </c>
      <c r="B7460" t="s">
        <v>7458</v>
      </c>
      <c r="C7460">
        <f>"BD015"</f>
        <v>0</v>
      </c>
      <c r="D7460">
        <v>0</v>
      </c>
      <c r="E7460">
        <v>0</v>
      </c>
      <c r="F7460" s="2">
        <v>0</v>
      </c>
      <c r="H7460">
        <v>0</v>
      </c>
      <c r="I7460">
        <v>0.1741125760648204</v>
      </c>
      <c r="J7460">
        <v>0</v>
      </c>
      <c r="K7460">
        <v>0</v>
      </c>
      <c r="L7460" s="2">
        <v>0</v>
      </c>
      <c r="M7460">
        <v>73.89</v>
      </c>
      <c r="N7460" t="s">
        <v>10236</v>
      </c>
    </row>
    <row r="7461" spans="1:14">
      <c r="A7461" t="s">
        <v>218</v>
      </c>
      <c r="B7461" t="s">
        <v>7459</v>
      </c>
      <c r="C7461">
        <f>"1005367"</f>
        <v>0</v>
      </c>
      <c r="D7461">
        <v>0</v>
      </c>
      <c r="E7461">
        <v>0</v>
      </c>
      <c r="F7461" s="2">
        <v>0</v>
      </c>
      <c r="H7461">
        <v>0</v>
      </c>
      <c r="I7461">
        <v>0.1741125760648204</v>
      </c>
      <c r="J7461">
        <v>0</v>
      </c>
      <c r="K7461">
        <v>0</v>
      </c>
      <c r="L7461" s="2">
        <v>0</v>
      </c>
      <c r="M7461">
        <v>73.90000000000001</v>
      </c>
      <c r="N7461" t="s">
        <v>10236</v>
      </c>
    </row>
    <row r="7462" spans="1:14">
      <c r="A7462" t="s">
        <v>218</v>
      </c>
      <c r="B7462" t="s">
        <v>7460</v>
      </c>
      <c r="C7462">
        <f>"1005366"</f>
        <v>0</v>
      </c>
      <c r="D7462">
        <v>0</v>
      </c>
      <c r="E7462">
        <v>0</v>
      </c>
      <c r="F7462" s="2">
        <v>0</v>
      </c>
      <c r="H7462">
        <v>0</v>
      </c>
      <c r="I7462">
        <v>0.1741125760648204</v>
      </c>
      <c r="J7462">
        <v>0</v>
      </c>
      <c r="K7462">
        <v>0</v>
      </c>
      <c r="L7462" s="2">
        <v>0</v>
      </c>
      <c r="M7462">
        <v>73.91</v>
      </c>
      <c r="N7462" t="s">
        <v>10236</v>
      </c>
    </row>
    <row r="7463" spans="1:14">
      <c r="A7463" t="s">
        <v>35</v>
      </c>
      <c r="B7463" t="s">
        <v>7461</v>
      </c>
      <c r="C7463">
        <f>"PT015MMI"</f>
        <v>0</v>
      </c>
      <c r="D7463">
        <v>0</v>
      </c>
      <c r="E7463">
        <v>0</v>
      </c>
      <c r="F7463" s="2">
        <v>0</v>
      </c>
      <c r="H7463">
        <v>0</v>
      </c>
      <c r="I7463">
        <v>0.1741125760648204</v>
      </c>
      <c r="J7463">
        <v>0</v>
      </c>
      <c r="K7463">
        <v>0</v>
      </c>
      <c r="L7463" s="2">
        <v>0</v>
      </c>
      <c r="M7463">
        <v>73.92</v>
      </c>
      <c r="N7463" t="s">
        <v>10236</v>
      </c>
    </row>
    <row r="7464" spans="1:14">
      <c r="A7464" t="s">
        <v>35</v>
      </c>
      <c r="B7464" t="s">
        <v>7462</v>
      </c>
      <c r="C7464">
        <f>"PT015MFNEG"</f>
        <v>0</v>
      </c>
      <c r="D7464">
        <v>0</v>
      </c>
      <c r="E7464">
        <v>0</v>
      </c>
      <c r="F7464" s="2">
        <v>0</v>
      </c>
      <c r="H7464">
        <v>0</v>
      </c>
      <c r="I7464">
        <v>0.1741125760648204</v>
      </c>
      <c r="J7464">
        <v>0</v>
      </c>
      <c r="K7464">
        <v>0</v>
      </c>
      <c r="L7464" s="2">
        <v>0</v>
      </c>
      <c r="M7464">
        <v>73.93000000000001</v>
      </c>
      <c r="N7464" t="s">
        <v>10236</v>
      </c>
    </row>
    <row r="7465" spans="1:14">
      <c r="A7465" t="s">
        <v>35</v>
      </c>
      <c r="B7465" t="s">
        <v>7463</v>
      </c>
      <c r="C7465">
        <f>"PT015MFMOR"</f>
        <v>0</v>
      </c>
      <c r="D7465">
        <v>0</v>
      </c>
      <c r="E7465">
        <v>0</v>
      </c>
      <c r="F7465" s="2">
        <v>0</v>
      </c>
      <c r="H7465">
        <v>0</v>
      </c>
      <c r="I7465">
        <v>0.1741125760648204</v>
      </c>
      <c r="J7465">
        <v>0</v>
      </c>
      <c r="K7465">
        <v>0</v>
      </c>
      <c r="L7465" s="2">
        <v>0</v>
      </c>
      <c r="M7465">
        <v>73.94</v>
      </c>
      <c r="N7465" t="s">
        <v>10236</v>
      </c>
    </row>
    <row r="7466" spans="1:14">
      <c r="A7466" t="s">
        <v>35</v>
      </c>
      <c r="B7466" t="s">
        <v>7464</v>
      </c>
      <c r="C7466">
        <f>"FB517LRN"</f>
        <v>0</v>
      </c>
      <c r="D7466">
        <v>0</v>
      </c>
      <c r="E7466">
        <v>0</v>
      </c>
      <c r="F7466" s="2">
        <v>0</v>
      </c>
      <c r="H7466">
        <v>0</v>
      </c>
      <c r="I7466">
        <v>0.1741125760648204</v>
      </c>
      <c r="J7466">
        <v>0</v>
      </c>
      <c r="K7466">
        <v>0</v>
      </c>
      <c r="L7466" s="2">
        <v>0</v>
      </c>
      <c r="M7466">
        <v>73.95</v>
      </c>
      <c r="N7466" t="s">
        <v>10236</v>
      </c>
    </row>
    <row r="7467" spans="1:14">
      <c r="A7467" t="s">
        <v>35</v>
      </c>
      <c r="B7467" t="s">
        <v>7465</v>
      </c>
      <c r="C7467">
        <f>"FB517LM"</f>
        <v>0</v>
      </c>
      <c r="D7467">
        <v>0</v>
      </c>
      <c r="E7467">
        <v>1</v>
      </c>
      <c r="F7467" s="2">
        <v>8</v>
      </c>
      <c r="H7467">
        <v>0</v>
      </c>
      <c r="I7467">
        <v>0.1741125760648204</v>
      </c>
      <c r="J7467">
        <v>0</v>
      </c>
      <c r="K7467">
        <v>0</v>
      </c>
      <c r="L7467" s="2">
        <v>0</v>
      </c>
      <c r="M7467">
        <v>73.95999999999999</v>
      </c>
      <c r="N7467" t="s">
        <v>10236</v>
      </c>
    </row>
    <row r="7468" spans="1:14">
      <c r="A7468" t="s">
        <v>35</v>
      </c>
      <c r="B7468" t="s">
        <v>7466</v>
      </c>
      <c r="C7468">
        <f>"2451"</f>
        <v>0</v>
      </c>
      <c r="D7468">
        <v>0</v>
      </c>
      <c r="E7468">
        <v>0</v>
      </c>
      <c r="F7468" s="2">
        <v>0</v>
      </c>
      <c r="H7468">
        <v>0</v>
      </c>
      <c r="I7468">
        <v>0.1741125760648204</v>
      </c>
      <c r="J7468">
        <v>0</v>
      </c>
      <c r="K7468">
        <v>0</v>
      </c>
      <c r="L7468" s="2">
        <v>0</v>
      </c>
      <c r="M7468">
        <v>73.97</v>
      </c>
      <c r="N7468" t="s">
        <v>10236</v>
      </c>
    </row>
    <row r="7469" spans="1:14">
      <c r="A7469" t="s">
        <v>35</v>
      </c>
      <c r="B7469" t="s">
        <v>7467</v>
      </c>
      <c r="C7469">
        <f>"A79L"</f>
        <v>0</v>
      </c>
      <c r="D7469">
        <v>0</v>
      </c>
      <c r="E7469">
        <v>0</v>
      </c>
      <c r="F7469" s="2">
        <v>0</v>
      </c>
      <c r="H7469">
        <v>0</v>
      </c>
      <c r="I7469">
        <v>0.1741125760648204</v>
      </c>
      <c r="J7469">
        <v>0</v>
      </c>
      <c r="K7469">
        <v>0</v>
      </c>
      <c r="L7469" s="2">
        <v>0</v>
      </c>
      <c r="M7469">
        <v>73.97</v>
      </c>
      <c r="N7469" t="s">
        <v>10236</v>
      </c>
    </row>
    <row r="7470" spans="1:14">
      <c r="A7470" t="s">
        <v>35</v>
      </c>
      <c r="B7470" t="s">
        <v>7468</v>
      </c>
      <c r="C7470">
        <f>"KLA6XXL"</f>
        <v>0</v>
      </c>
      <c r="D7470">
        <v>0</v>
      </c>
      <c r="E7470">
        <v>8</v>
      </c>
      <c r="F7470" s="2">
        <v>4</v>
      </c>
      <c r="H7470">
        <v>0</v>
      </c>
      <c r="I7470">
        <v>0.1741125760648204</v>
      </c>
      <c r="J7470">
        <v>0</v>
      </c>
      <c r="K7470">
        <v>0</v>
      </c>
      <c r="L7470" s="2">
        <v>0</v>
      </c>
      <c r="M7470">
        <v>73.98</v>
      </c>
      <c r="N7470" t="s">
        <v>10236</v>
      </c>
    </row>
    <row r="7471" spans="1:14">
      <c r="A7471" t="s">
        <v>35</v>
      </c>
      <c r="B7471" t="s">
        <v>7469</v>
      </c>
      <c r="C7471">
        <f>"KLA6XS"</f>
        <v>0</v>
      </c>
      <c r="D7471">
        <v>0</v>
      </c>
      <c r="E7471">
        <v>8</v>
      </c>
      <c r="F7471" s="2">
        <v>3</v>
      </c>
      <c r="H7471">
        <v>0</v>
      </c>
      <c r="I7471">
        <v>0.1741125760648204</v>
      </c>
      <c r="J7471">
        <v>0</v>
      </c>
      <c r="K7471">
        <v>0</v>
      </c>
      <c r="L7471" s="2">
        <v>0</v>
      </c>
      <c r="M7471">
        <v>73.98999999999999</v>
      </c>
      <c r="N7471" t="s">
        <v>10236</v>
      </c>
    </row>
    <row r="7472" spans="1:14">
      <c r="A7472" t="s">
        <v>35</v>
      </c>
      <c r="B7472" t="s">
        <v>7470</v>
      </c>
      <c r="C7472">
        <f>"KLA6XL"</f>
        <v>0</v>
      </c>
      <c r="D7472">
        <v>0</v>
      </c>
      <c r="E7472">
        <v>8</v>
      </c>
      <c r="F7472" s="2">
        <v>4</v>
      </c>
      <c r="H7472">
        <v>0</v>
      </c>
      <c r="I7472">
        <v>0.1741125760648204</v>
      </c>
      <c r="J7472">
        <v>0</v>
      </c>
      <c r="K7472">
        <v>0</v>
      </c>
      <c r="L7472" s="2">
        <v>0</v>
      </c>
      <c r="M7472">
        <v>74</v>
      </c>
      <c r="N7472" t="s">
        <v>10236</v>
      </c>
    </row>
    <row r="7473" spans="1:14">
      <c r="A7473" t="s">
        <v>35</v>
      </c>
      <c r="B7473" t="s">
        <v>7471</v>
      </c>
      <c r="C7473">
        <f>"KLA6S"</f>
        <v>0</v>
      </c>
      <c r="D7473">
        <v>0</v>
      </c>
      <c r="E7473">
        <v>12</v>
      </c>
      <c r="F7473" s="2">
        <v>4</v>
      </c>
      <c r="H7473">
        <v>0</v>
      </c>
      <c r="I7473">
        <v>0.1741125760648204</v>
      </c>
      <c r="J7473">
        <v>0</v>
      </c>
      <c r="K7473">
        <v>0</v>
      </c>
      <c r="L7473" s="2">
        <v>0</v>
      </c>
      <c r="M7473">
        <v>74.01000000000001</v>
      </c>
      <c r="N7473" t="s">
        <v>10236</v>
      </c>
    </row>
    <row r="7474" spans="1:14">
      <c r="A7474" t="s">
        <v>35</v>
      </c>
      <c r="B7474" t="s">
        <v>7472</v>
      </c>
      <c r="C7474">
        <f>"KLA6M"</f>
        <v>0</v>
      </c>
      <c r="D7474">
        <v>0</v>
      </c>
      <c r="E7474">
        <v>10</v>
      </c>
      <c r="F7474" s="2">
        <v>4</v>
      </c>
      <c r="H7474">
        <v>0</v>
      </c>
      <c r="I7474">
        <v>0.1741125760648204</v>
      </c>
      <c r="J7474">
        <v>0</v>
      </c>
      <c r="K7474">
        <v>0</v>
      </c>
      <c r="L7474" s="2">
        <v>0</v>
      </c>
      <c r="M7474">
        <v>74.02</v>
      </c>
      <c r="N7474" t="s">
        <v>10236</v>
      </c>
    </row>
    <row r="7475" spans="1:14">
      <c r="A7475" t="s">
        <v>35</v>
      </c>
      <c r="B7475" t="s">
        <v>7473</v>
      </c>
      <c r="C7475">
        <f>"KLA6L"</f>
        <v>0</v>
      </c>
      <c r="D7475">
        <v>0</v>
      </c>
      <c r="E7475">
        <v>9</v>
      </c>
      <c r="F7475" s="2">
        <v>4</v>
      </c>
      <c r="H7475">
        <v>0</v>
      </c>
      <c r="I7475">
        <v>0.1741125760648204</v>
      </c>
      <c r="J7475">
        <v>0</v>
      </c>
      <c r="K7475">
        <v>0</v>
      </c>
      <c r="L7475" s="2">
        <v>0</v>
      </c>
      <c r="M7475">
        <v>74.03</v>
      </c>
      <c r="N7475" t="s">
        <v>10236</v>
      </c>
    </row>
    <row r="7476" spans="1:14">
      <c r="A7476" t="s">
        <v>32</v>
      </c>
      <c r="B7476" t="s">
        <v>7474</v>
      </c>
      <c r="C7476">
        <f>"6510013166"</f>
        <v>0</v>
      </c>
      <c r="D7476">
        <v>0</v>
      </c>
      <c r="E7476">
        <v>0</v>
      </c>
      <c r="F7476" s="2">
        <v>0</v>
      </c>
      <c r="H7476">
        <v>0</v>
      </c>
      <c r="I7476">
        <v>0.1741125760648204</v>
      </c>
      <c r="J7476">
        <v>0</v>
      </c>
      <c r="K7476">
        <v>0</v>
      </c>
      <c r="L7476" s="2">
        <v>0</v>
      </c>
      <c r="M7476">
        <v>74.04000000000001</v>
      </c>
      <c r="N7476" t="s">
        <v>10236</v>
      </c>
    </row>
    <row r="7477" spans="1:14">
      <c r="A7477" t="s">
        <v>218</v>
      </c>
      <c r="B7477" t="s">
        <v>7475</v>
      </c>
      <c r="C7477">
        <f>"1013362"</f>
        <v>0</v>
      </c>
      <c r="D7477">
        <v>0</v>
      </c>
      <c r="E7477">
        <v>0</v>
      </c>
      <c r="F7477" s="2">
        <v>0</v>
      </c>
      <c r="H7477">
        <v>0</v>
      </c>
      <c r="I7477">
        <v>0.1741125760648204</v>
      </c>
      <c r="J7477">
        <v>0</v>
      </c>
      <c r="K7477">
        <v>0</v>
      </c>
      <c r="L7477" s="2">
        <v>0</v>
      </c>
      <c r="M7477">
        <v>74.05</v>
      </c>
      <c r="N7477" t="s">
        <v>10236</v>
      </c>
    </row>
    <row r="7478" spans="1:14">
      <c r="A7478" t="s">
        <v>192</v>
      </c>
      <c r="B7478" t="s">
        <v>7476</v>
      </c>
      <c r="C7478">
        <f>"303"</f>
        <v>0</v>
      </c>
      <c r="D7478">
        <v>0</v>
      </c>
      <c r="E7478">
        <v>0</v>
      </c>
      <c r="F7478" s="2">
        <v>0</v>
      </c>
      <c r="H7478">
        <v>0</v>
      </c>
      <c r="I7478">
        <v>0.1741125760648204</v>
      </c>
      <c r="J7478">
        <v>0</v>
      </c>
      <c r="K7478">
        <v>0</v>
      </c>
      <c r="L7478" s="2">
        <v>0</v>
      </c>
      <c r="M7478">
        <v>74.06</v>
      </c>
      <c r="N7478" t="s">
        <v>10236</v>
      </c>
    </row>
    <row r="7479" spans="1:14">
      <c r="A7479" t="s">
        <v>192</v>
      </c>
      <c r="B7479" t="s">
        <v>7477</v>
      </c>
      <c r="C7479">
        <f>"301"</f>
        <v>0</v>
      </c>
      <c r="D7479">
        <v>0</v>
      </c>
      <c r="E7479">
        <v>0</v>
      </c>
      <c r="F7479" s="2">
        <v>0</v>
      </c>
      <c r="H7479">
        <v>0</v>
      </c>
      <c r="I7479">
        <v>0.1741125760648204</v>
      </c>
      <c r="J7479">
        <v>0</v>
      </c>
      <c r="K7479">
        <v>0</v>
      </c>
      <c r="L7479" s="2">
        <v>0</v>
      </c>
      <c r="M7479">
        <v>74.06999999999999</v>
      </c>
      <c r="N7479" t="s">
        <v>10236</v>
      </c>
    </row>
    <row r="7480" spans="1:14">
      <c r="A7480" t="s">
        <v>194</v>
      </c>
      <c r="B7480" t="s">
        <v>7478</v>
      </c>
      <c r="C7480">
        <f>"1410620"</f>
        <v>0</v>
      </c>
      <c r="D7480">
        <v>0</v>
      </c>
      <c r="E7480">
        <v>0</v>
      </c>
      <c r="F7480" s="2">
        <v>0</v>
      </c>
      <c r="H7480">
        <v>0</v>
      </c>
      <c r="I7480">
        <v>0.1741125760648204</v>
      </c>
      <c r="J7480">
        <v>0</v>
      </c>
      <c r="K7480">
        <v>0</v>
      </c>
      <c r="L7480" s="2">
        <v>0</v>
      </c>
      <c r="M7480">
        <v>74.08</v>
      </c>
      <c r="N7480" t="s">
        <v>10236</v>
      </c>
    </row>
    <row r="7481" spans="1:14">
      <c r="A7481" t="s">
        <v>35</v>
      </c>
      <c r="B7481" t="s">
        <v>7479</v>
      </c>
      <c r="C7481">
        <f>"65873"</f>
        <v>0</v>
      </c>
      <c r="D7481">
        <v>0</v>
      </c>
      <c r="E7481">
        <v>0</v>
      </c>
      <c r="F7481" s="2">
        <v>0</v>
      </c>
      <c r="H7481">
        <v>0</v>
      </c>
      <c r="I7481">
        <v>0.1741125760648204</v>
      </c>
      <c r="J7481">
        <v>0</v>
      </c>
      <c r="K7481">
        <v>0</v>
      </c>
      <c r="L7481" s="2">
        <v>0</v>
      </c>
      <c r="M7481">
        <v>74.08</v>
      </c>
      <c r="N7481" t="s">
        <v>10236</v>
      </c>
    </row>
    <row r="7482" spans="1:14">
      <c r="A7482" t="s">
        <v>35</v>
      </c>
      <c r="B7482" t="s">
        <v>7480</v>
      </c>
      <c r="C7482">
        <f>"65866"</f>
        <v>0</v>
      </c>
      <c r="D7482">
        <v>0</v>
      </c>
      <c r="E7482">
        <v>0</v>
      </c>
      <c r="F7482" s="2">
        <v>0</v>
      </c>
      <c r="H7482">
        <v>0</v>
      </c>
      <c r="I7482">
        <v>0.1741125760648204</v>
      </c>
      <c r="J7482">
        <v>0</v>
      </c>
      <c r="K7482">
        <v>0</v>
      </c>
      <c r="L7482" s="2">
        <v>0</v>
      </c>
      <c r="M7482">
        <v>74.09</v>
      </c>
      <c r="N7482" t="s">
        <v>10236</v>
      </c>
    </row>
    <row r="7483" spans="1:14">
      <c r="A7483" t="s">
        <v>192</v>
      </c>
      <c r="B7483" t="s">
        <v>7481</v>
      </c>
      <c r="C7483">
        <f>"205"</f>
        <v>0</v>
      </c>
      <c r="D7483">
        <v>0</v>
      </c>
      <c r="E7483">
        <v>0</v>
      </c>
      <c r="F7483" s="2">
        <v>0</v>
      </c>
      <c r="H7483">
        <v>0</v>
      </c>
      <c r="I7483">
        <v>0.1741125760648204</v>
      </c>
      <c r="J7483">
        <v>0</v>
      </c>
      <c r="K7483">
        <v>0</v>
      </c>
      <c r="L7483" s="2">
        <v>0</v>
      </c>
      <c r="M7483">
        <v>74.09999999999999</v>
      </c>
      <c r="N7483" t="s">
        <v>10236</v>
      </c>
    </row>
    <row r="7484" spans="1:14">
      <c r="A7484" t="s">
        <v>35</v>
      </c>
      <c r="B7484" t="s">
        <v>7482</v>
      </c>
      <c r="C7484">
        <f>"JGTTT"</f>
        <v>0</v>
      </c>
      <c r="D7484">
        <v>0</v>
      </c>
      <c r="E7484">
        <v>1</v>
      </c>
      <c r="F7484" s="2">
        <v>5</v>
      </c>
      <c r="H7484">
        <v>0</v>
      </c>
      <c r="I7484">
        <v>0.1741125760648204</v>
      </c>
      <c r="J7484">
        <v>0</v>
      </c>
      <c r="K7484">
        <v>0</v>
      </c>
      <c r="L7484" s="2">
        <v>0</v>
      </c>
      <c r="M7484">
        <v>74.11</v>
      </c>
      <c r="N7484" t="s">
        <v>10236</v>
      </c>
    </row>
    <row r="7485" spans="1:14">
      <c r="A7485" t="s">
        <v>35</v>
      </c>
      <c r="B7485" t="s">
        <v>7483</v>
      </c>
      <c r="C7485">
        <f>"980301"</f>
        <v>0</v>
      </c>
      <c r="D7485">
        <v>0</v>
      </c>
      <c r="E7485">
        <v>2</v>
      </c>
      <c r="F7485" s="2">
        <v>2</v>
      </c>
      <c r="H7485">
        <v>0</v>
      </c>
      <c r="I7485">
        <v>0.1741125760648204</v>
      </c>
      <c r="J7485">
        <v>0</v>
      </c>
      <c r="K7485">
        <v>0</v>
      </c>
      <c r="L7485" s="2">
        <v>0</v>
      </c>
      <c r="M7485">
        <v>74.12</v>
      </c>
      <c r="N7485" t="s">
        <v>10236</v>
      </c>
    </row>
    <row r="7486" spans="1:14">
      <c r="A7486" t="s">
        <v>35</v>
      </c>
      <c r="B7486" t="s">
        <v>7484</v>
      </c>
      <c r="C7486">
        <f>"CPD"</f>
        <v>0</v>
      </c>
      <c r="D7486">
        <v>0</v>
      </c>
      <c r="E7486">
        <v>0</v>
      </c>
      <c r="F7486" s="2">
        <v>0</v>
      </c>
      <c r="H7486">
        <v>0</v>
      </c>
      <c r="I7486">
        <v>0.1741125760648204</v>
      </c>
      <c r="J7486">
        <v>0</v>
      </c>
      <c r="K7486">
        <v>0</v>
      </c>
      <c r="L7486" s="2">
        <v>0</v>
      </c>
      <c r="M7486">
        <v>74.13</v>
      </c>
      <c r="N7486" t="s">
        <v>10236</v>
      </c>
    </row>
    <row r="7487" spans="1:14">
      <c r="A7487" t="s">
        <v>35</v>
      </c>
      <c r="B7487" t="s">
        <v>7485</v>
      </c>
      <c r="C7487">
        <f>"970306"</f>
        <v>0</v>
      </c>
      <c r="D7487">
        <v>0</v>
      </c>
      <c r="E7487">
        <v>7</v>
      </c>
      <c r="F7487" s="2">
        <v>2</v>
      </c>
      <c r="H7487">
        <v>0</v>
      </c>
      <c r="I7487">
        <v>0.1741125760648204</v>
      </c>
      <c r="J7487">
        <v>0</v>
      </c>
      <c r="K7487">
        <v>0</v>
      </c>
      <c r="L7487" s="2">
        <v>0</v>
      </c>
      <c r="M7487">
        <v>74.14</v>
      </c>
      <c r="N7487" t="s">
        <v>10236</v>
      </c>
    </row>
    <row r="7488" spans="1:14">
      <c r="A7488" t="s">
        <v>196</v>
      </c>
      <c r="B7488" t="s">
        <v>7486</v>
      </c>
      <c r="C7488">
        <f>"2123"</f>
        <v>0</v>
      </c>
      <c r="D7488">
        <v>0</v>
      </c>
      <c r="E7488">
        <v>0</v>
      </c>
      <c r="F7488" s="2">
        <v>0</v>
      </c>
      <c r="H7488">
        <v>0</v>
      </c>
      <c r="I7488">
        <v>0.1741125760648204</v>
      </c>
      <c r="J7488">
        <v>0</v>
      </c>
      <c r="K7488">
        <v>0</v>
      </c>
      <c r="L7488" s="2">
        <v>0</v>
      </c>
      <c r="M7488">
        <v>74.15000000000001</v>
      </c>
      <c r="N7488" t="s">
        <v>10236</v>
      </c>
    </row>
    <row r="7489" spans="1:14">
      <c r="A7489" t="s">
        <v>196</v>
      </c>
      <c r="B7489" t="s">
        <v>7487</v>
      </c>
      <c r="C7489">
        <f>"2038"</f>
        <v>0</v>
      </c>
      <c r="D7489">
        <v>0</v>
      </c>
      <c r="E7489">
        <v>0</v>
      </c>
      <c r="F7489" s="2">
        <v>0</v>
      </c>
      <c r="H7489">
        <v>0</v>
      </c>
      <c r="I7489">
        <v>0.1741125760648204</v>
      </c>
      <c r="J7489">
        <v>0</v>
      </c>
      <c r="K7489">
        <v>0</v>
      </c>
      <c r="L7489" s="2">
        <v>0</v>
      </c>
      <c r="M7489">
        <v>74.16</v>
      </c>
      <c r="N7489" t="s">
        <v>10236</v>
      </c>
    </row>
    <row r="7490" spans="1:14">
      <c r="A7490" t="s">
        <v>35</v>
      </c>
      <c r="B7490" t="s">
        <v>7488</v>
      </c>
      <c r="C7490">
        <f>"CT425L"</f>
        <v>0</v>
      </c>
      <c r="D7490">
        <v>0</v>
      </c>
      <c r="E7490">
        <v>0</v>
      </c>
      <c r="F7490" s="2">
        <v>0</v>
      </c>
      <c r="H7490">
        <v>0</v>
      </c>
      <c r="I7490">
        <v>0.1741125760648204</v>
      </c>
      <c r="J7490">
        <v>0</v>
      </c>
      <c r="K7490">
        <v>0</v>
      </c>
      <c r="L7490" s="2">
        <v>0</v>
      </c>
      <c r="M7490">
        <v>74.17</v>
      </c>
      <c r="N7490" t="s">
        <v>10236</v>
      </c>
    </row>
    <row r="7491" spans="1:14">
      <c r="A7491" t="s">
        <v>35</v>
      </c>
      <c r="B7491" t="s">
        <v>7489</v>
      </c>
      <c r="C7491">
        <f>"CT17KG"</f>
        <v>0</v>
      </c>
      <c r="D7491">
        <v>0</v>
      </c>
      <c r="E7491">
        <v>0</v>
      </c>
      <c r="F7491" s="2">
        <v>0</v>
      </c>
      <c r="H7491">
        <v>0</v>
      </c>
      <c r="I7491">
        <v>0.1741125760648204</v>
      </c>
      <c r="J7491">
        <v>0</v>
      </c>
      <c r="K7491">
        <v>0</v>
      </c>
      <c r="L7491" s="2">
        <v>0</v>
      </c>
      <c r="M7491">
        <v>74.18000000000001</v>
      </c>
      <c r="N7491" t="s">
        <v>10236</v>
      </c>
    </row>
    <row r="7492" spans="1:14">
      <c r="A7492" t="s">
        <v>192</v>
      </c>
      <c r="B7492" t="s">
        <v>7490</v>
      </c>
      <c r="C7492">
        <f>"207"</f>
        <v>0</v>
      </c>
      <c r="D7492">
        <v>0</v>
      </c>
      <c r="E7492">
        <v>0</v>
      </c>
      <c r="F7492" s="2">
        <v>0</v>
      </c>
      <c r="H7492">
        <v>0</v>
      </c>
      <c r="I7492">
        <v>0.1741125760648204</v>
      </c>
      <c r="J7492">
        <v>0</v>
      </c>
      <c r="K7492">
        <v>0</v>
      </c>
      <c r="L7492" s="2">
        <v>0</v>
      </c>
      <c r="M7492">
        <v>74.19</v>
      </c>
      <c r="N7492" t="s">
        <v>10236</v>
      </c>
    </row>
    <row r="7493" spans="1:14">
      <c r="A7493" t="s">
        <v>192</v>
      </c>
      <c r="B7493" t="s">
        <v>7491</v>
      </c>
      <c r="C7493">
        <f>"210"</f>
        <v>0</v>
      </c>
      <c r="D7493">
        <v>0</v>
      </c>
      <c r="E7493">
        <v>0</v>
      </c>
      <c r="F7493" s="2">
        <v>0</v>
      </c>
      <c r="H7493">
        <v>0</v>
      </c>
      <c r="I7493">
        <v>0.1741125760648204</v>
      </c>
      <c r="J7493">
        <v>0</v>
      </c>
      <c r="K7493">
        <v>0</v>
      </c>
      <c r="L7493" s="2">
        <v>0</v>
      </c>
      <c r="M7493">
        <v>74.2</v>
      </c>
      <c r="N7493" t="s">
        <v>10236</v>
      </c>
    </row>
    <row r="7494" spans="1:14">
      <c r="A7494" t="s">
        <v>192</v>
      </c>
      <c r="B7494" t="s">
        <v>7492</v>
      </c>
      <c r="C7494">
        <f>"701"</f>
        <v>0</v>
      </c>
      <c r="D7494">
        <v>0</v>
      </c>
      <c r="E7494">
        <v>0</v>
      </c>
      <c r="F7494" s="2">
        <v>0</v>
      </c>
      <c r="H7494">
        <v>0</v>
      </c>
      <c r="I7494">
        <v>0.1741125760648204</v>
      </c>
      <c r="J7494">
        <v>0</v>
      </c>
      <c r="K7494">
        <v>0</v>
      </c>
      <c r="L7494" s="2">
        <v>0</v>
      </c>
      <c r="M7494">
        <v>74.2</v>
      </c>
      <c r="N7494" t="s">
        <v>10236</v>
      </c>
    </row>
    <row r="7495" spans="1:14">
      <c r="A7495" t="s">
        <v>192</v>
      </c>
      <c r="B7495" t="s">
        <v>7493</v>
      </c>
      <c r="C7495">
        <f>"705"</f>
        <v>0</v>
      </c>
      <c r="D7495">
        <v>0</v>
      </c>
      <c r="E7495">
        <v>0</v>
      </c>
      <c r="F7495" s="2">
        <v>0</v>
      </c>
      <c r="H7495">
        <v>0</v>
      </c>
      <c r="I7495">
        <v>0.1741125760648204</v>
      </c>
      <c r="J7495">
        <v>0</v>
      </c>
      <c r="K7495">
        <v>0</v>
      </c>
      <c r="L7495" s="2">
        <v>0</v>
      </c>
      <c r="M7495">
        <v>74.20999999999999</v>
      </c>
      <c r="N7495" t="s">
        <v>10236</v>
      </c>
    </row>
    <row r="7496" spans="1:14">
      <c r="A7496" t="s">
        <v>192</v>
      </c>
      <c r="B7496" t="s">
        <v>7494</v>
      </c>
      <c r="C7496">
        <f>"702"</f>
        <v>0</v>
      </c>
      <c r="D7496">
        <v>0</v>
      </c>
      <c r="E7496">
        <v>0</v>
      </c>
      <c r="F7496" s="2">
        <v>0</v>
      </c>
      <c r="H7496">
        <v>0</v>
      </c>
      <c r="I7496">
        <v>0.1741125760648204</v>
      </c>
      <c r="J7496">
        <v>0</v>
      </c>
      <c r="K7496">
        <v>0</v>
      </c>
      <c r="L7496" s="2">
        <v>0</v>
      </c>
      <c r="M7496">
        <v>74.22</v>
      </c>
      <c r="N7496" t="s">
        <v>10236</v>
      </c>
    </row>
    <row r="7497" spans="1:14">
      <c r="A7497" t="s">
        <v>192</v>
      </c>
      <c r="B7497" t="s">
        <v>7495</v>
      </c>
      <c r="C7497">
        <f>"204"</f>
        <v>0</v>
      </c>
      <c r="D7497">
        <v>0</v>
      </c>
      <c r="E7497">
        <v>0</v>
      </c>
      <c r="F7497" s="2">
        <v>0</v>
      </c>
      <c r="H7497">
        <v>0</v>
      </c>
      <c r="I7497">
        <v>0.1741125760648204</v>
      </c>
      <c r="J7497">
        <v>0</v>
      </c>
      <c r="K7497">
        <v>0</v>
      </c>
      <c r="L7497" s="2">
        <v>0</v>
      </c>
      <c r="M7497">
        <v>74.23</v>
      </c>
      <c r="N7497" t="s">
        <v>10236</v>
      </c>
    </row>
    <row r="7498" spans="1:14">
      <c r="A7498" t="s">
        <v>192</v>
      </c>
      <c r="B7498" t="s">
        <v>7496</v>
      </c>
      <c r="C7498">
        <f>"206"</f>
        <v>0</v>
      </c>
      <c r="D7498">
        <v>0</v>
      </c>
      <c r="E7498">
        <v>0</v>
      </c>
      <c r="F7498" s="2">
        <v>0</v>
      </c>
      <c r="H7498">
        <v>0</v>
      </c>
      <c r="I7498">
        <v>0.1741125760648204</v>
      </c>
      <c r="J7498">
        <v>0</v>
      </c>
      <c r="K7498">
        <v>0</v>
      </c>
      <c r="L7498" s="2">
        <v>0</v>
      </c>
      <c r="M7498">
        <v>74.23999999999999</v>
      </c>
      <c r="N7498" t="s">
        <v>10236</v>
      </c>
    </row>
    <row r="7499" spans="1:14">
      <c r="A7499" t="s">
        <v>35</v>
      </c>
      <c r="B7499" t="s">
        <v>7497</v>
      </c>
      <c r="C7499">
        <f>"Q90011"</f>
        <v>0</v>
      </c>
      <c r="D7499">
        <v>0</v>
      </c>
      <c r="E7499">
        <v>7</v>
      </c>
      <c r="F7499" s="2">
        <v>2</v>
      </c>
      <c r="H7499">
        <v>0</v>
      </c>
      <c r="I7499">
        <v>0.1741125760648204</v>
      </c>
      <c r="J7499">
        <v>0</v>
      </c>
      <c r="K7499">
        <v>0</v>
      </c>
      <c r="L7499" s="2">
        <v>0</v>
      </c>
      <c r="M7499">
        <v>74.25</v>
      </c>
      <c r="N7499" t="s">
        <v>10236</v>
      </c>
    </row>
    <row r="7500" spans="1:14">
      <c r="A7500" t="s">
        <v>25</v>
      </c>
      <c r="B7500" t="s">
        <v>7498</v>
      </c>
      <c r="C7500">
        <f>"S0462AZ"</f>
        <v>0</v>
      </c>
      <c r="D7500">
        <v>0</v>
      </c>
      <c r="E7500">
        <v>0</v>
      </c>
      <c r="F7500" s="2">
        <v>0</v>
      </c>
      <c r="H7500">
        <v>0</v>
      </c>
      <c r="I7500">
        <v>0.1741125760648204</v>
      </c>
      <c r="J7500">
        <v>0</v>
      </c>
      <c r="K7500">
        <v>0</v>
      </c>
      <c r="L7500" s="2">
        <v>0</v>
      </c>
      <c r="M7500">
        <v>74.26000000000001</v>
      </c>
      <c r="N7500" t="s">
        <v>10236</v>
      </c>
    </row>
    <row r="7501" spans="1:14">
      <c r="A7501" t="s">
        <v>25</v>
      </c>
      <c r="B7501" t="s">
        <v>7499</v>
      </c>
      <c r="C7501">
        <f>"S0463VE"</f>
        <v>0</v>
      </c>
      <c r="D7501">
        <v>0</v>
      </c>
      <c r="E7501">
        <v>0</v>
      </c>
      <c r="F7501" s="2">
        <v>0</v>
      </c>
      <c r="H7501">
        <v>0</v>
      </c>
      <c r="I7501">
        <v>0.1741125760648204</v>
      </c>
      <c r="J7501">
        <v>0</v>
      </c>
      <c r="K7501">
        <v>0</v>
      </c>
      <c r="L7501" s="2">
        <v>0</v>
      </c>
      <c r="M7501">
        <v>74.27</v>
      </c>
      <c r="N7501" t="s">
        <v>10236</v>
      </c>
    </row>
    <row r="7502" spans="1:14">
      <c r="A7502" t="s">
        <v>35</v>
      </c>
      <c r="B7502" t="s">
        <v>7500</v>
      </c>
      <c r="C7502">
        <f>"XDB424S"</f>
        <v>0</v>
      </c>
      <c r="D7502">
        <v>0</v>
      </c>
      <c r="E7502">
        <v>0</v>
      </c>
      <c r="F7502" s="2">
        <v>0</v>
      </c>
      <c r="H7502">
        <v>0</v>
      </c>
      <c r="I7502">
        <v>0.1741125760648204</v>
      </c>
      <c r="J7502">
        <v>0</v>
      </c>
      <c r="K7502">
        <v>0</v>
      </c>
      <c r="L7502" s="2">
        <v>0</v>
      </c>
      <c r="M7502">
        <v>74.28</v>
      </c>
      <c r="N7502" t="s">
        <v>10236</v>
      </c>
    </row>
    <row r="7503" spans="1:14">
      <c r="A7503" t="s">
        <v>35</v>
      </c>
      <c r="B7503" t="s">
        <v>7501</v>
      </c>
      <c r="C7503">
        <f>"XDB424L"</f>
        <v>0</v>
      </c>
      <c r="D7503">
        <v>0</v>
      </c>
      <c r="E7503">
        <v>0</v>
      </c>
      <c r="F7503" s="2">
        <v>0</v>
      </c>
      <c r="H7503">
        <v>0</v>
      </c>
      <c r="I7503">
        <v>0.1741125760648204</v>
      </c>
      <c r="J7503">
        <v>0</v>
      </c>
      <c r="K7503">
        <v>0</v>
      </c>
      <c r="L7503" s="2">
        <v>0</v>
      </c>
      <c r="M7503">
        <v>74.29000000000001</v>
      </c>
      <c r="N7503" t="s">
        <v>10236</v>
      </c>
    </row>
    <row r="7504" spans="1:14">
      <c r="A7504" t="s">
        <v>35</v>
      </c>
      <c r="B7504" t="s">
        <v>7502</v>
      </c>
      <c r="C7504">
        <f>"XDB405"</f>
        <v>0</v>
      </c>
      <c r="D7504">
        <v>0</v>
      </c>
      <c r="E7504">
        <v>0</v>
      </c>
      <c r="F7504" s="2">
        <v>0</v>
      </c>
      <c r="H7504">
        <v>0</v>
      </c>
      <c r="I7504">
        <v>0.1741125760648204</v>
      </c>
      <c r="J7504">
        <v>0</v>
      </c>
      <c r="K7504">
        <v>0</v>
      </c>
      <c r="L7504" s="2">
        <v>0</v>
      </c>
      <c r="M7504">
        <v>74.3</v>
      </c>
      <c r="N7504" t="s">
        <v>10236</v>
      </c>
    </row>
    <row r="7505" spans="1:14">
      <c r="A7505" t="s">
        <v>35</v>
      </c>
      <c r="B7505" t="s">
        <v>7503</v>
      </c>
      <c r="C7505">
        <f>"XDB430"</f>
        <v>0</v>
      </c>
      <c r="D7505">
        <v>0</v>
      </c>
      <c r="E7505">
        <v>0</v>
      </c>
      <c r="F7505" s="2">
        <v>0</v>
      </c>
      <c r="H7505">
        <v>0</v>
      </c>
      <c r="I7505">
        <v>0.1741125760648204</v>
      </c>
      <c r="J7505">
        <v>0</v>
      </c>
      <c r="K7505">
        <v>0</v>
      </c>
      <c r="L7505" s="2">
        <v>0</v>
      </c>
      <c r="M7505">
        <v>74.31</v>
      </c>
      <c r="N7505" t="s">
        <v>10236</v>
      </c>
    </row>
    <row r="7506" spans="1:14">
      <c r="A7506" t="s">
        <v>35</v>
      </c>
      <c r="B7506" t="s">
        <v>7504</v>
      </c>
      <c r="C7506">
        <f>"XDB404"</f>
        <v>0</v>
      </c>
      <c r="D7506">
        <v>0</v>
      </c>
      <c r="E7506">
        <v>6</v>
      </c>
      <c r="F7506" s="2">
        <v>25</v>
      </c>
      <c r="H7506">
        <v>0</v>
      </c>
      <c r="I7506">
        <v>0.1741125760648204</v>
      </c>
      <c r="J7506">
        <v>0</v>
      </c>
      <c r="K7506">
        <v>0</v>
      </c>
      <c r="L7506" s="2">
        <v>0</v>
      </c>
      <c r="M7506">
        <v>74.31999999999999</v>
      </c>
      <c r="N7506" t="s">
        <v>10236</v>
      </c>
    </row>
    <row r="7507" spans="1:14">
      <c r="A7507" t="s">
        <v>25</v>
      </c>
      <c r="B7507" t="s">
        <v>7505</v>
      </c>
      <c r="C7507">
        <f>"671504"</f>
        <v>0</v>
      </c>
      <c r="D7507">
        <v>0</v>
      </c>
      <c r="E7507">
        <v>1</v>
      </c>
      <c r="F7507" s="2">
        <v>3</v>
      </c>
      <c r="H7507">
        <v>0</v>
      </c>
      <c r="I7507">
        <v>0.1741125760648204</v>
      </c>
      <c r="J7507">
        <v>0</v>
      </c>
      <c r="K7507">
        <v>0</v>
      </c>
      <c r="L7507" s="2">
        <v>0</v>
      </c>
      <c r="M7507">
        <v>74.31999999999999</v>
      </c>
      <c r="N7507" t="s">
        <v>10236</v>
      </c>
    </row>
    <row r="7508" spans="1:14">
      <c r="A7508" t="s">
        <v>205</v>
      </c>
      <c r="B7508" t="s">
        <v>7506</v>
      </c>
      <c r="C7508">
        <f>"PFGM01"</f>
        <v>0</v>
      </c>
      <c r="D7508">
        <v>0</v>
      </c>
      <c r="E7508">
        <v>0</v>
      </c>
      <c r="F7508" s="2">
        <v>0</v>
      </c>
      <c r="H7508">
        <v>0</v>
      </c>
      <c r="I7508">
        <v>0.1741125760648204</v>
      </c>
      <c r="J7508">
        <v>0</v>
      </c>
      <c r="K7508">
        <v>0</v>
      </c>
      <c r="L7508" s="2">
        <v>0</v>
      </c>
      <c r="M7508">
        <v>74.33</v>
      </c>
      <c r="N7508" t="s">
        <v>10236</v>
      </c>
    </row>
    <row r="7509" spans="1:14">
      <c r="A7509" t="s">
        <v>35</v>
      </c>
      <c r="B7509" t="s">
        <v>7507</v>
      </c>
      <c r="C7509">
        <f>"CW0081"</f>
        <v>0</v>
      </c>
      <c r="D7509">
        <v>0</v>
      </c>
      <c r="E7509">
        <v>0</v>
      </c>
      <c r="F7509" s="2">
        <v>0</v>
      </c>
      <c r="H7509">
        <v>0</v>
      </c>
      <c r="I7509">
        <v>0.1741125760648204</v>
      </c>
      <c r="J7509">
        <v>0</v>
      </c>
      <c r="K7509">
        <v>0</v>
      </c>
      <c r="L7509" s="2">
        <v>0</v>
      </c>
      <c r="M7509">
        <v>74.34</v>
      </c>
      <c r="N7509" t="s">
        <v>10236</v>
      </c>
    </row>
    <row r="7510" spans="1:14">
      <c r="A7510" t="s">
        <v>35</v>
      </c>
      <c r="B7510" t="s">
        <v>7508</v>
      </c>
      <c r="C7510">
        <f>"6011XL"</f>
        <v>0</v>
      </c>
      <c r="D7510">
        <v>0</v>
      </c>
      <c r="E7510">
        <v>0</v>
      </c>
      <c r="F7510" s="2">
        <v>0</v>
      </c>
      <c r="H7510">
        <v>0</v>
      </c>
      <c r="I7510">
        <v>0.1741125760648204</v>
      </c>
      <c r="J7510">
        <v>0</v>
      </c>
      <c r="K7510">
        <v>0</v>
      </c>
      <c r="L7510" s="2">
        <v>0</v>
      </c>
      <c r="M7510">
        <v>74.34999999999999</v>
      </c>
      <c r="N7510" t="s">
        <v>10236</v>
      </c>
    </row>
    <row r="7511" spans="1:14">
      <c r="A7511" t="s">
        <v>35</v>
      </c>
      <c r="B7511" t="s">
        <v>7509</v>
      </c>
      <c r="C7511">
        <f>"6011S"</f>
        <v>0</v>
      </c>
      <c r="D7511">
        <v>0</v>
      </c>
      <c r="E7511">
        <v>4</v>
      </c>
      <c r="F7511" s="2">
        <v>14</v>
      </c>
      <c r="H7511">
        <v>0</v>
      </c>
      <c r="I7511">
        <v>0.1741125760648204</v>
      </c>
      <c r="J7511">
        <v>0</v>
      </c>
      <c r="K7511">
        <v>0</v>
      </c>
      <c r="L7511" s="2">
        <v>0</v>
      </c>
      <c r="M7511">
        <v>74.36</v>
      </c>
      <c r="N7511" t="s">
        <v>10236</v>
      </c>
    </row>
    <row r="7512" spans="1:14">
      <c r="A7512" t="s">
        <v>35</v>
      </c>
      <c r="B7512" t="s">
        <v>7510</v>
      </c>
      <c r="C7512">
        <f>"6011M"</f>
        <v>0</v>
      </c>
      <c r="D7512">
        <v>0</v>
      </c>
      <c r="E7512">
        <v>1</v>
      </c>
      <c r="F7512" s="2">
        <v>18</v>
      </c>
      <c r="H7512">
        <v>0</v>
      </c>
      <c r="I7512">
        <v>0.1741125760648204</v>
      </c>
      <c r="J7512">
        <v>0</v>
      </c>
      <c r="K7512">
        <v>0</v>
      </c>
      <c r="L7512" s="2">
        <v>0</v>
      </c>
      <c r="M7512">
        <v>74.37</v>
      </c>
      <c r="N7512" t="s">
        <v>10236</v>
      </c>
    </row>
    <row r="7513" spans="1:14">
      <c r="A7513" t="s">
        <v>35</v>
      </c>
      <c r="B7513" t="s">
        <v>7511</v>
      </c>
      <c r="C7513">
        <f>"6011L"</f>
        <v>0</v>
      </c>
      <c r="D7513">
        <v>0</v>
      </c>
      <c r="E7513">
        <v>0</v>
      </c>
      <c r="F7513" s="2">
        <v>0</v>
      </c>
      <c r="H7513">
        <v>0</v>
      </c>
      <c r="I7513">
        <v>0.1741125760648204</v>
      </c>
      <c r="J7513">
        <v>0</v>
      </c>
      <c r="K7513">
        <v>0</v>
      </c>
      <c r="L7513" s="2">
        <v>0</v>
      </c>
      <c r="M7513">
        <v>74.38</v>
      </c>
      <c r="N7513" t="s">
        <v>10236</v>
      </c>
    </row>
    <row r="7514" spans="1:14">
      <c r="A7514" t="s">
        <v>35</v>
      </c>
      <c r="B7514" t="s">
        <v>7512</v>
      </c>
      <c r="C7514">
        <f>"FB517LA"</f>
        <v>0</v>
      </c>
      <c r="D7514">
        <v>0</v>
      </c>
      <c r="E7514">
        <v>0</v>
      </c>
      <c r="F7514" s="2">
        <v>0</v>
      </c>
      <c r="H7514">
        <v>0</v>
      </c>
      <c r="I7514">
        <v>0.1741125760648204</v>
      </c>
      <c r="J7514">
        <v>0</v>
      </c>
      <c r="K7514">
        <v>0</v>
      </c>
      <c r="L7514" s="2">
        <v>0</v>
      </c>
      <c r="M7514">
        <v>74.39</v>
      </c>
      <c r="N7514" t="s">
        <v>10236</v>
      </c>
    </row>
    <row r="7515" spans="1:14">
      <c r="A7515" t="s">
        <v>25</v>
      </c>
      <c r="B7515" t="s">
        <v>7513</v>
      </c>
      <c r="C7515">
        <f>"A3MBL"</f>
        <v>0</v>
      </c>
      <c r="D7515">
        <v>0</v>
      </c>
      <c r="E7515">
        <v>2</v>
      </c>
      <c r="F7515" s="2">
        <v>2</v>
      </c>
      <c r="H7515">
        <v>0</v>
      </c>
      <c r="I7515">
        <v>0.1741125760648204</v>
      </c>
      <c r="J7515">
        <v>0</v>
      </c>
      <c r="K7515">
        <v>0</v>
      </c>
      <c r="L7515" s="2">
        <v>0</v>
      </c>
      <c r="M7515">
        <v>74.40000000000001</v>
      </c>
      <c r="N7515" t="s">
        <v>10236</v>
      </c>
    </row>
    <row r="7516" spans="1:14">
      <c r="A7516" t="s">
        <v>25</v>
      </c>
      <c r="B7516" t="s">
        <v>7514</v>
      </c>
      <c r="C7516">
        <f>"A3MAZ"</f>
        <v>0</v>
      </c>
      <c r="D7516">
        <v>0</v>
      </c>
      <c r="E7516">
        <v>2</v>
      </c>
      <c r="F7516" s="2">
        <v>1</v>
      </c>
      <c r="H7516">
        <v>0</v>
      </c>
      <c r="I7516">
        <v>0.1741125760648204</v>
      </c>
      <c r="J7516">
        <v>0</v>
      </c>
      <c r="K7516">
        <v>0</v>
      </c>
      <c r="L7516" s="2">
        <v>0</v>
      </c>
      <c r="M7516">
        <v>74.41</v>
      </c>
      <c r="N7516" t="s">
        <v>10236</v>
      </c>
    </row>
    <row r="7517" spans="1:14">
      <c r="A7517" t="s">
        <v>25</v>
      </c>
      <c r="B7517" t="s">
        <v>7515</v>
      </c>
      <c r="C7517">
        <f>"A3M"</f>
        <v>0</v>
      </c>
      <c r="D7517">
        <v>0</v>
      </c>
      <c r="E7517">
        <v>0</v>
      </c>
      <c r="F7517" s="2">
        <v>0</v>
      </c>
      <c r="H7517">
        <v>0</v>
      </c>
      <c r="I7517">
        <v>0.1741125760648204</v>
      </c>
      <c r="J7517">
        <v>0</v>
      </c>
      <c r="K7517">
        <v>0</v>
      </c>
      <c r="L7517" s="2">
        <v>0</v>
      </c>
      <c r="M7517">
        <v>74.42</v>
      </c>
      <c r="N7517" t="s">
        <v>10236</v>
      </c>
    </row>
    <row r="7518" spans="1:14">
      <c r="A7518" t="s">
        <v>25</v>
      </c>
      <c r="B7518" t="s">
        <v>7516</v>
      </c>
      <c r="C7518">
        <f>"A3LVE"</f>
        <v>0</v>
      </c>
      <c r="D7518">
        <v>0</v>
      </c>
      <c r="E7518">
        <v>1</v>
      </c>
      <c r="F7518" s="2">
        <v>4</v>
      </c>
      <c r="H7518">
        <v>0</v>
      </c>
      <c r="I7518">
        <v>0.1741125760648204</v>
      </c>
      <c r="J7518">
        <v>0</v>
      </c>
      <c r="K7518">
        <v>0</v>
      </c>
      <c r="L7518" s="2">
        <v>0</v>
      </c>
      <c r="M7518">
        <v>74.43000000000001</v>
      </c>
      <c r="N7518" t="s">
        <v>10236</v>
      </c>
    </row>
    <row r="7519" spans="1:14">
      <c r="A7519" t="s">
        <v>25</v>
      </c>
      <c r="B7519" t="s">
        <v>7517</v>
      </c>
      <c r="C7519">
        <f>"A3LBL"</f>
        <v>0</v>
      </c>
      <c r="D7519">
        <v>0</v>
      </c>
      <c r="E7519">
        <v>2</v>
      </c>
      <c r="F7519" s="2">
        <v>2</v>
      </c>
      <c r="H7519">
        <v>0</v>
      </c>
      <c r="I7519">
        <v>0.1741125760648204</v>
      </c>
      <c r="J7519">
        <v>0</v>
      </c>
      <c r="K7519">
        <v>0</v>
      </c>
      <c r="L7519" s="2">
        <v>0</v>
      </c>
      <c r="M7519">
        <v>74.44</v>
      </c>
      <c r="N7519" t="s">
        <v>10236</v>
      </c>
    </row>
    <row r="7520" spans="1:14">
      <c r="A7520" t="s">
        <v>25</v>
      </c>
      <c r="B7520" t="s">
        <v>7518</v>
      </c>
      <c r="C7520">
        <f>"A3LAZ"</f>
        <v>0</v>
      </c>
      <c r="D7520">
        <v>0</v>
      </c>
      <c r="E7520">
        <v>1</v>
      </c>
      <c r="F7520" s="2">
        <v>4</v>
      </c>
      <c r="H7520">
        <v>0</v>
      </c>
      <c r="I7520">
        <v>0.1741125760648204</v>
      </c>
      <c r="J7520">
        <v>0</v>
      </c>
      <c r="K7520">
        <v>0</v>
      </c>
      <c r="L7520" s="2">
        <v>0</v>
      </c>
      <c r="M7520">
        <v>74.44</v>
      </c>
      <c r="N7520" t="s">
        <v>10236</v>
      </c>
    </row>
    <row r="7521" spans="1:14">
      <c r="A7521" t="s">
        <v>25</v>
      </c>
      <c r="B7521" t="s">
        <v>7519</v>
      </c>
      <c r="C7521">
        <f>"A3L"</f>
        <v>0</v>
      </c>
      <c r="D7521">
        <v>0</v>
      </c>
      <c r="E7521">
        <v>0</v>
      </c>
      <c r="F7521" s="2">
        <v>0</v>
      </c>
      <c r="H7521">
        <v>0</v>
      </c>
      <c r="I7521">
        <v>0.1741125760648204</v>
      </c>
      <c r="J7521">
        <v>0</v>
      </c>
      <c r="K7521">
        <v>0</v>
      </c>
      <c r="L7521" s="2">
        <v>0</v>
      </c>
      <c r="M7521">
        <v>74.45</v>
      </c>
      <c r="N7521" t="s">
        <v>10236</v>
      </c>
    </row>
    <row r="7522" spans="1:14">
      <c r="A7522" t="s">
        <v>25</v>
      </c>
      <c r="B7522" t="s">
        <v>1185</v>
      </c>
      <c r="C7522">
        <f>"S0461"</f>
        <v>0</v>
      </c>
      <c r="D7522">
        <v>0</v>
      </c>
      <c r="E7522">
        <v>0</v>
      </c>
      <c r="F7522" s="2">
        <v>0</v>
      </c>
      <c r="H7522">
        <v>0</v>
      </c>
      <c r="I7522">
        <v>0.1741125760648204</v>
      </c>
      <c r="J7522">
        <v>0</v>
      </c>
      <c r="K7522">
        <v>0</v>
      </c>
      <c r="L7522" s="2">
        <v>0</v>
      </c>
      <c r="M7522">
        <v>74.45999999999999</v>
      </c>
      <c r="N7522" t="s">
        <v>10236</v>
      </c>
    </row>
    <row r="7523" spans="1:14">
      <c r="A7523" t="s">
        <v>25</v>
      </c>
      <c r="B7523" t="s">
        <v>7520</v>
      </c>
      <c r="C7523">
        <f>"S0461ROJ"</f>
        <v>0</v>
      </c>
      <c r="D7523">
        <v>0</v>
      </c>
      <c r="E7523">
        <v>0</v>
      </c>
      <c r="F7523" s="2">
        <v>0</v>
      </c>
      <c r="H7523">
        <v>0</v>
      </c>
      <c r="I7523">
        <v>0.1741125760648204</v>
      </c>
      <c r="J7523">
        <v>0</v>
      </c>
      <c r="K7523">
        <v>0</v>
      </c>
      <c r="L7523" s="2">
        <v>0</v>
      </c>
      <c r="M7523">
        <v>74.47</v>
      </c>
      <c r="N7523" t="s">
        <v>10236</v>
      </c>
    </row>
    <row r="7524" spans="1:14">
      <c r="A7524" t="s">
        <v>35</v>
      </c>
      <c r="B7524" t="s">
        <v>7521</v>
      </c>
      <c r="C7524">
        <f>"P082G"</f>
        <v>0</v>
      </c>
      <c r="D7524">
        <v>0</v>
      </c>
      <c r="E7524">
        <v>0</v>
      </c>
      <c r="F7524" s="2">
        <v>0</v>
      </c>
      <c r="H7524">
        <v>0</v>
      </c>
      <c r="I7524">
        <v>0.1741125760648204</v>
      </c>
      <c r="J7524">
        <v>0</v>
      </c>
      <c r="K7524">
        <v>0</v>
      </c>
      <c r="L7524" s="2">
        <v>0</v>
      </c>
      <c r="M7524">
        <v>74.48</v>
      </c>
      <c r="N7524" t="s">
        <v>10236</v>
      </c>
    </row>
    <row r="7525" spans="1:14">
      <c r="A7525" t="s">
        <v>35</v>
      </c>
      <c r="B7525" t="s">
        <v>7522</v>
      </c>
      <c r="C7525">
        <f>"P08A"</f>
        <v>0</v>
      </c>
      <c r="D7525">
        <v>0</v>
      </c>
      <c r="E7525">
        <v>0</v>
      </c>
      <c r="F7525" s="2">
        <v>0</v>
      </c>
      <c r="H7525">
        <v>0</v>
      </c>
      <c r="I7525">
        <v>0.1741125760648204</v>
      </c>
      <c r="J7525">
        <v>0</v>
      </c>
      <c r="K7525">
        <v>0</v>
      </c>
      <c r="L7525" s="2">
        <v>0</v>
      </c>
      <c r="M7525">
        <v>74.48999999999999</v>
      </c>
      <c r="N7525" t="s">
        <v>10236</v>
      </c>
    </row>
    <row r="7526" spans="1:14">
      <c r="A7526" t="s">
        <v>35</v>
      </c>
      <c r="B7526" t="s">
        <v>7523</v>
      </c>
      <c r="C7526">
        <f>"P082A"</f>
        <v>0</v>
      </c>
      <c r="D7526">
        <v>0</v>
      </c>
      <c r="E7526">
        <v>0</v>
      </c>
      <c r="F7526" s="2">
        <v>0</v>
      </c>
      <c r="H7526">
        <v>0</v>
      </c>
      <c r="I7526">
        <v>0.1741125760648204</v>
      </c>
      <c r="J7526">
        <v>0</v>
      </c>
      <c r="K7526">
        <v>0</v>
      </c>
      <c r="L7526" s="2">
        <v>0</v>
      </c>
      <c r="M7526">
        <v>74.5</v>
      </c>
      <c r="N7526" t="s">
        <v>10236</v>
      </c>
    </row>
    <row r="7527" spans="1:14">
      <c r="A7527" t="s">
        <v>35</v>
      </c>
      <c r="B7527" t="s">
        <v>7524</v>
      </c>
      <c r="C7527">
        <f>"P08N"</f>
        <v>0</v>
      </c>
      <c r="D7527">
        <v>0</v>
      </c>
      <c r="E7527">
        <v>1</v>
      </c>
      <c r="F7527" s="2">
        <v>0</v>
      </c>
      <c r="H7527">
        <v>0</v>
      </c>
      <c r="I7527">
        <v>0.1741125760648204</v>
      </c>
      <c r="J7527">
        <v>0</v>
      </c>
      <c r="K7527">
        <v>0</v>
      </c>
      <c r="L7527" s="2">
        <v>0</v>
      </c>
      <c r="M7527">
        <v>74.51000000000001</v>
      </c>
      <c r="N7527" t="s">
        <v>10236</v>
      </c>
    </row>
    <row r="7528" spans="1:14">
      <c r="A7528" t="s">
        <v>35</v>
      </c>
      <c r="B7528" t="s">
        <v>7525</v>
      </c>
      <c r="C7528">
        <f>"P08C"</f>
        <v>0</v>
      </c>
      <c r="D7528">
        <v>0</v>
      </c>
      <c r="E7528">
        <v>0</v>
      </c>
      <c r="F7528" s="2">
        <v>0</v>
      </c>
      <c r="H7528">
        <v>0</v>
      </c>
      <c r="I7528">
        <v>0.1741125760648204</v>
      </c>
      <c r="J7528">
        <v>0</v>
      </c>
      <c r="K7528">
        <v>0</v>
      </c>
      <c r="L7528" s="2">
        <v>0</v>
      </c>
      <c r="M7528">
        <v>74.52</v>
      </c>
      <c r="N7528" t="s">
        <v>10236</v>
      </c>
    </row>
    <row r="7529" spans="1:14">
      <c r="A7529" t="s">
        <v>25</v>
      </c>
      <c r="B7529" t="s">
        <v>7526</v>
      </c>
      <c r="C7529">
        <f>"S306R"</f>
        <v>0</v>
      </c>
      <c r="D7529">
        <v>0</v>
      </c>
      <c r="E7529">
        <v>0</v>
      </c>
      <c r="F7529" s="2">
        <v>0</v>
      </c>
      <c r="H7529">
        <v>0</v>
      </c>
      <c r="I7529">
        <v>0.1741125760648204</v>
      </c>
      <c r="J7529">
        <v>0</v>
      </c>
      <c r="K7529">
        <v>0</v>
      </c>
      <c r="L7529" s="2">
        <v>0</v>
      </c>
      <c r="M7529">
        <v>74.53</v>
      </c>
      <c r="N7529" t="s">
        <v>10236</v>
      </c>
    </row>
    <row r="7530" spans="1:14">
      <c r="A7530" t="s">
        <v>25</v>
      </c>
      <c r="B7530" t="s">
        <v>7527</v>
      </c>
      <c r="C7530">
        <f>"A3MVE"</f>
        <v>0</v>
      </c>
      <c r="D7530">
        <v>0</v>
      </c>
      <c r="E7530">
        <v>2</v>
      </c>
      <c r="F7530" s="2">
        <v>1</v>
      </c>
      <c r="H7530">
        <v>0</v>
      </c>
      <c r="I7530">
        <v>0.1741125760648204</v>
      </c>
      <c r="J7530">
        <v>0</v>
      </c>
      <c r="K7530">
        <v>0</v>
      </c>
      <c r="L7530" s="2">
        <v>0</v>
      </c>
      <c r="M7530">
        <v>74.54000000000001</v>
      </c>
      <c r="N7530" t="s">
        <v>10236</v>
      </c>
    </row>
    <row r="7531" spans="1:14">
      <c r="A7531" t="s">
        <v>35</v>
      </c>
      <c r="B7531" t="s">
        <v>7528</v>
      </c>
      <c r="C7531">
        <f>"hh088xstc"</f>
        <v>0</v>
      </c>
      <c r="D7531">
        <v>0</v>
      </c>
      <c r="E7531">
        <v>0</v>
      </c>
      <c r="F7531" s="2">
        <v>0</v>
      </c>
      <c r="H7531">
        <v>0</v>
      </c>
      <c r="I7531">
        <v>0.1741125760648204</v>
      </c>
      <c r="J7531">
        <v>0</v>
      </c>
      <c r="K7531">
        <v>0</v>
      </c>
      <c r="L7531" s="2">
        <v>0</v>
      </c>
      <c r="M7531">
        <v>74.55</v>
      </c>
      <c r="N7531" t="s">
        <v>10236</v>
      </c>
    </row>
    <row r="7532" spans="1:14">
      <c r="A7532" t="s">
        <v>35</v>
      </c>
      <c r="B7532" t="s">
        <v>7529</v>
      </c>
      <c r="C7532">
        <f>"YXCXS"</f>
        <v>0</v>
      </c>
      <c r="D7532">
        <v>0</v>
      </c>
      <c r="E7532">
        <v>8</v>
      </c>
      <c r="F7532" s="2">
        <v>3</v>
      </c>
      <c r="H7532">
        <v>0</v>
      </c>
      <c r="I7532">
        <v>0.1741125760648204</v>
      </c>
      <c r="J7532">
        <v>0</v>
      </c>
      <c r="K7532">
        <v>0</v>
      </c>
      <c r="L7532" s="2">
        <v>0</v>
      </c>
      <c r="M7532">
        <v>74.55</v>
      </c>
      <c r="N7532" t="s">
        <v>10236</v>
      </c>
    </row>
    <row r="7533" spans="1:14">
      <c r="A7533" t="s">
        <v>35</v>
      </c>
      <c r="B7533" t="s">
        <v>7530</v>
      </c>
      <c r="C7533">
        <f>"YXCS"</f>
        <v>0</v>
      </c>
      <c r="D7533">
        <v>0</v>
      </c>
      <c r="E7533">
        <v>6</v>
      </c>
      <c r="F7533" s="2">
        <v>4</v>
      </c>
      <c r="H7533">
        <v>0</v>
      </c>
      <c r="I7533">
        <v>0.1741125760648204</v>
      </c>
      <c r="J7533">
        <v>0</v>
      </c>
      <c r="K7533">
        <v>0</v>
      </c>
      <c r="L7533" s="2">
        <v>0</v>
      </c>
      <c r="M7533">
        <v>74.56</v>
      </c>
      <c r="N7533" t="s">
        <v>10236</v>
      </c>
    </row>
    <row r="7534" spans="1:14">
      <c r="A7534" t="s">
        <v>35</v>
      </c>
      <c r="B7534" t="s">
        <v>7531</v>
      </c>
      <c r="C7534">
        <f>"Q5AXXLR"</f>
        <v>0</v>
      </c>
      <c r="D7534">
        <v>0</v>
      </c>
      <c r="E7534">
        <v>0</v>
      </c>
      <c r="F7534" s="2">
        <v>0</v>
      </c>
      <c r="H7534">
        <v>0</v>
      </c>
      <c r="I7534">
        <v>0.1741125760648204</v>
      </c>
      <c r="J7534">
        <v>0</v>
      </c>
      <c r="K7534">
        <v>0</v>
      </c>
      <c r="L7534" s="2">
        <v>0</v>
      </c>
      <c r="M7534">
        <v>74.56999999999999</v>
      </c>
      <c r="N7534" t="s">
        <v>10236</v>
      </c>
    </row>
    <row r="7535" spans="1:14">
      <c r="A7535" t="s">
        <v>35</v>
      </c>
      <c r="B7535" t="s">
        <v>7532</v>
      </c>
      <c r="C7535">
        <f>"PT015LCCEL"</f>
        <v>0</v>
      </c>
      <c r="D7535">
        <v>0</v>
      </c>
      <c r="E7535">
        <v>0</v>
      </c>
      <c r="F7535" s="2">
        <v>0</v>
      </c>
      <c r="H7535">
        <v>0</v>
      </c>
      <c r="I7535">
        <v>0.1741125760648204</v>
      </c>
      <c r="J7535">
        <v>0</v>
      </c>
      <c r="K7535">
        <v>0</v>
      </c>
      <c r="L7535" s="2">
        <v>0</v>
      </c>
      <c r="M7535">
        <v>74.58</v>
      </c>
      <c r="N7535" t="s">
        <v>10236</v>
      </c>
    </row>
    <row r="7536" spans="1:14">
      <c r="A7536" t="s">
        <v>35</v>
      </c>
      <c r="B7536" t="s">
        <v>7533</v>
      </c>
      <c r="C7536">
        <f>"PT015LA"</f>
        <v>0</v>
      </c>
      <c r="D7536">
        <v>0</v>
      </c>
      <c r="E7536">
        <v>0</v>
      </c>
      <c r="F7536" s="2">
        <v>0</v>
      </c>
      <c r="H7536">
        <v>0</v>
      </c>
      <c r="I7536">
        <v>0.1741125760648204</v>
      </c>
      <c r="J7536">
        <v>0</v>
      </c>
      <c r="K7536">
        <v>0</v>
      </c>
      <c r="L7536" s="2">
        <v>0</v>
      </c>
      <c r="M7536">
        <v>74.59</v>
      </c>
      <c r="N7536" t="s">
        <v>10236</v>
      </c>
    </row>
    <row r="7537" spans="1:14">
      <c r="A7537" t="s">
        <v>194</v>
      </c>
      <c r="B7537" t="s">
        <v>7534</v>
      </c>
      <c r="C7537">
        <f>"10658"</f>
        <v>0</v>
      </c>
      <c r="D7537">
        <v>0</v>
      </c>
      <c r="E7537">
        <v>0</v>
      </c>
      <c r="F7537" s="2">
        <v>0</v>
      </c>
      <c r="H7537">
        <v>0</v>
      </c>
      <c r="I7537">
        <v>0.1741125760648204</v>
      </c>
      <c r="J7537">
        <v>0</v>
      </c>
      <c r="K7537">
        <v>0</v>
      </c>
      <c r="L7537" s="2">
        <v>0</v>
      </c>
      <c r="M7537">
        <v>74.59999999999999</v>
      </c>
      <c r="N7537" t="s">
        <v>10236</v>
      </c>
    </row>
    <row r="7538" spans="1:14">
      <c r="A7538" t="s">
        <v>194</v>
      </c>
      <c r="B7538" t="s">
        <v>7535</v>
      </c>
      <c r="C7538">
        <f>"10657"</f>
        <v>0</v>
      </c>
      <c r="D7538">
        <v>0</v>
      </c>
      <c r="E7538">
        <v>0</v>
      </c>
      <c r="F7538" s="2">
        <v>0</v>
      </c>
      <c r="H7538">
        <v>0</v>
      </c>
      <c r="I7538">
        <v>0.1741125760648204</v>
      </c>
      <c r="J7538">
        <v>0</v>
      </c>
      <c r="K7538">
        <v>0</v>
      </c>
      <c r="L7538" s="2">
        <v>0</v>
      </c>
      <c r="M7538">
        <v>74.61</v>
      </c>
      <c r="N7538" t="s">
        <v>10236</v>
      </c>
    </row>
    <row r="7539" spans="1:14">
      <c r="A7539" t="s">
        <v>194</v>
      </c>
      <c r="B7539" t="s">
        <v>7536</v>
      </c>
      <c r="C7539">
        <f>"10656"</f>
        <v>0</v>
      </c>
      <c r="D7539">
        <v>0</v>
      </c>
      <c r="E7539">
        <v>0</v>
      </c>
      <c r="F7539" s="2">
        <v>0</v>
      </c>
      <c r="H7539">
        <v>0</v>
      </c>
      <c r="I7539">
        <v>0.1741125760648204</v>
      </c>
      <c r="J7539">
        <v>0</v>
      </c>
      <c r="K7539">
        <v>0</v>
      </c>
      <c r="L7539" s="2">
        <v>0</v>
      </c>
      <c r="M7539">
        <v>74.62</v>
      </c>
      <c r="N7539" t="s">
        <v>10236</v>
      </c>
    </row>
    <row r="7540" spans="1:14">
      <c r="A7540" t="s">
        <v>25</v>
      </c>
      <c r="B7540" t="s">
        <v>7537</v>
      </c>
      <c r="C7540">
        <f>"RJ156"</f>
        <v>0</v>
      </c>
      <c r="D7540">
        <v>0</v>
      </c>
      <c r="E7540">
        <v>0</v>
      </c>
      <c r="F7540" s="2">
        <v>0</v>
      </c>
      <c r="H7540">
        <v>0</v>
      </c>
      <c r="I7540">
        <v>0.1741125760648204</v>
      </c>
      <c r="J7540">
        <v>0</v>
      </c>
      <c r="K7540">
        <v>0</v>
      </c>
      <c r="L7540" s="2">
        <v>0</v>
      </c>
      <c r="M7540">
        <v>74.63</v>
      </c>
      <c r="N7540" t="s">
        <v>10236</v>
      </c>
    </row>
    <row r="7541" spans="1:14">
      <c r="A7541" t="s">
        <v>25</v>
      </c>
      <c r="B7541" t="s">
        <v>7538</v>
      </c>
      <c r="C7541">
        <f>"721798"</f>
        <v>0</v>
      </c>
      <c r="D7541">
        <v>0</v>
      </c>
      <c r="E7541">
        <v>1</v>
      </c>
      <c r="F7541" s="2">
        <v>3</v>
      </c>
      <c r="H7541">
        <v>0</v>
      </c>
      <c r="I7541">
        <v>0.1741125760648204</v>
      </c>
      <c r="J7541">
        <v>0</v>
      </c>
      <c r="K7541">
        <v>0</v>
      </c>
      <c r="L7541" s="2">
        <v>0</v>
      </c>
      <c r="M7541">
        <v>74.64</v>
      </c>
      <c r="N7541" t="s">
        <v>10236</v>
      </c>
    </row>
    <row r="7542" spans="1:14">
      <c r="A7542" t="s">
        <v>35</v>
      </c>
      <c r="B7542" t="s">
        <v>7539</v>
      </c>
      <c r="C7542">
        <f>"M3LBH013"</f>
        <v>0</v>
      </c>
      <c r="D7542">
        <v>0</v>
      </c>
      <c r="E7542">
        <v>2</v>
      </c>
      <c r="F7542" s="2">
        <v>14</v>
      </c>
      <c r="H7542">
        <v>0</v>
      </c>
      <c r="I7542">
        <v>0.1741125760648204</v>
      </c>
      <c r="J7542">
        <v>0</v>
      </c>
      <c r="K7542">
        <v>0</v>
      </c>
      <c r="L7542" s="2">
        <v>0</v>
      </c>
      <c r="M7542">
        <v>74.65000000000001</v>
      </c>
      <c r="N7542" t="s">
        <v>10236</v>
      </c>
    </row>
    <row r="7543" spans="1:14">
      <c r="A7543" t="s">
        <v>35</v>
      </c>
      <c r="B7543" t="s">
        <v>7540</v>
      </c>
      <c r="C7543">
        <f>"M3LBH005"</f>
        <v>0</v>
      </c>
      <c r="D7543">
        <v>0</v>
      </c>
      <c r="E7543">
        <v>9</v>
      </c>
      <c r="F7543" s="2">
        <v>0</v>
      </c>
      <c r="H7543">
        <v>0</v>
      </c>
      <c r="I7543">
        <v>0.1741125760648204</v>
      </c>
      <c r="J7543">
        <v>0</v>
      </c>
      <c r="K7543">
        <v>0</v>
      </c>
      <c r="L7543" s="2">
        <v>0</v>
      </c>
      <c r="M7543">
        <v>74.66</v>
      </c>
      <c r="N7543" t="s">
        <v>10236</v>
      </c>
    </row>
    <row r="7544" spans="1:14">
      <c r="A7544" t="s">
        <v>35</v>
      </c>
      <c r="B7544" t="s">
        <v>7541</v>
      </c>
      <c r="C7544">
        <f>"M3LBH022"</f>
        <v>0</v>
      </c>
      <c r="D7544">
        <v>0</v>
      </c>
      <c r="E7544">
        <v>0</v>
      </c>
      <c r="F7544" s="2">
        <v>0</v>
      </c>
      <c r="H7544">
        <v>0</v>
      </c>
      <c r="I7544">
        <v>0.1741125760648204</v>
      </c>
      <c r="J7544">
        <v>0</v>
      </c>
      <c r="K7544">
        <v>0</v>
      </c>
      <c r="L7544" s="2">
        <v>0</v>
      </c>
      <c r="M7544">
        <v>74.67</v>
      </c>
      <c r="N7544" t="s">
        <v>10236</v>
      </c>
    </row>
    <row r="7545" spans="1:14">
      <c r="A7545" t="s">
        <v>25</v>
      </c>
      <c r="B7545" t="s">
        <v>7542</v>
      </c>
      <c r="C7545">
        <f>"S0462ROJ"</f>
        <v>0</v>
      </c>
      <c r="D7545">
        <v>0</v>
      </c>
      <c r="E7545">
        <v>0</v>
      </c>
      <c r="F7545" s="2">
        <v>0</v>
      </c>
      <c r="H7545">
        <v>0</v>
      </c>
      <c r="I7545">
        <v>0.1741125760648204</v>
      </c>
      <c r="J7545">
        <v>0</v>
      </c>
      <c r="K7545">
        <v>0</v>
      </c>
      <c r="L7545" s="2">
        <v>0</v>
      </c>
      <c r="M7545">
        <v>74.67</v>
      </c>
      <c r="N7545" t="s">
        <v>10236</v>
      </c>
    </row>
    <row r="7546" spans="1:14">
      <c r="A7546" t="s">
        <v>194</v>
      </c>
      <c r="B7546" t="s">
        <v>7543</v>
      </c>
      <c r="C7546">
        <f>"1200110"</f>
        <v>0</v>
      </c>
      <c r="D7546">
        <v>0</v>
      </c>
      <c r="E7546">
        <v>0</v>
      </c>
      <c r="F7546" s="2">
        <v>0</v>
      </c>
      <c r="H7546">
        <v>0</v>
      </c>
      <c r="I7546">
        <v>0.1741125760648204</v>
      </c>
      <c r="J7546">
        <v>0</v>
      </c>
      <c r="K7546">
        <v>0</v>
      </c>
      <c r="L7546" s="2">
        <v>0</v>
      </c>
      <c r="M7546">
        <v>74.68000000000001</v>
      </c>
      <c r="N7546" t="s">
        <v>10236</v>
      </c>
    </row>
    <row r="7547" spans="1:14">
      <c r="A7547" t="s">
        <v>194</v>
      </c>
      <c r="B7547" t="s">
        <v>7544</v>
      </c>
      <c r="C7547">
        <f>"1000150"</f>
        <v>0</v>
      </c>
      <c r="D7547">
        <v>0</v>
      </c>
      <c r="E7547">
        <v>0</v>
      </c>
      <c r="F7547" s="2">
        <v>0</v>
      </c>
      <c r="H7547">
        <v>0</v>
      </c>
      <c r="I7547">
        <v>0.1741125760648204</v>
      </c>
      <c r="J7547">
        <v>0</v>
      </c>
      <c r="K7547">
        <v>0</v>
      </c>
      <c r="L7547" s="2">
        <v>0</v>
      </c>
      <c r="M7547">
        <v>74.69</v>
      </c>
      <c r="N7547" t="s">
        <v>10236</v>
      </c>
    </row>
    <row r="7548" spans="1:14">
      <c r="A7548" t="s">
        <v>194</v>
      </c>
      <c r="B7548" t="s">
        <v>7545</v>
      </c>
      <c r="C7548">
        <f>"2100100"</f>
        <v>0</v>
      </c>
      <c r="D7548">
        <v>0</v>
      </c>
      <c r="E7548">
        <v>0</v>
      </c>
      <c r="F7548" s="2">
        <v>0</v>
      </c>
      <c r="H7548">
        <v>0</v>
      </c>
      <c r="I7548">
        <v>0.1741125760648204</v>
      </c>
      <c r="J7548">
        <v>0</v>
      </c>
      <c r="K7548">
        <v>0</v>
      </c>
      <c r="L7548" s="2">
        <v>0</v>
      </c>
      <c r="M7548">
        <v>74.7</v>
      </c>
      <c r="N7548" t="s">
        <v>10236</v>
      </c>
    </row>
    <row r="7549" spans="1:14">
      <c r="A7549" t="s">
        <v>205</v>
      </c>
      <c r="B7549" t="s">
        <v>7546</v>
      </c>
      <c r="C7549">
        <f>"PFGM03"</f>
        <v>0</v>
      </c>
      <c r="D7549">
        <v>0</v>
      </c>
      <c r="E7549">
        <v>0</v>
      </c>
      <c r="F7549" s="2">
        <v>0</v>
      </c>
      <c r="H7549">
        <v>0</v>
      </c>
      <c r="I7549">
        <v>0.1741125760648204</v>
      </c>
      <c r="J7549">
        <v>0</v>
      </c>
      <c r="K7549">
        <v>0</v>
      </c>
      <c r="L7549" s="2">
        <v>0</v>
      </c>
      <c r="M7549">
        <v>74.70999999999999</v>
      </c>
      <c r="N7549" t="s">
        <v>10236</v>
      </c>
    </row>
    <row r="7550" spans="1:14">
      <c r="A7550" t="s">
        <v>25</v>
      </c>
      <c r="B7550" t="s">
        <v>7547</v>
      </c>
      <c r="C7550">
        <f>"6715042"</f>
        <v>0</v>
      </c>
      <c r="D7550">
        <v>0</v>
      </c>
      <c r="E7550">
        <v>0</v>
      </c>
      <c r="F7550" s="2">
        <v>0</v>
      </c>
      <c r="H7550">
        <v>0</v>
      </c>
      <c r="I7550">
        <v>0.1741125760648204</v>
      </c>
      <c r="J7550">
        <v>0</v>
      </c>
      <c r="K7550">
        <v>0</v>
      </c>
      <c r="L7550" s="2">
        <v>0</v>
      </c>
      <c r="M7550">
        <v>74.72</v>
      </c>
      <c r="N7550" t="s">
        <v>10236</v>
      </c>
    </row>
    <row r="7551" spans="1:14">
      <c r="A7551" t="s">
        <v>25</v>
      </c>
      <c r="B7551" t="s">
        <v>7548</v>
      </c>
      <c r="C7551">
        <f>"AYCS0463"</f>
        <v>0</v>
      </c>
      <c r="D7551">
        <v>0</v>
      </c>
      <c r="E7551">
        <v>0</v>
      </c>
      <c r="F7551" s="2">
        <v>0</v>
      </c>
      <c r="H7551">
        <v>0</v>
      </c>
      <c r="I7551">
        <v>0.1741125760648204</v>
      </c>
      <c r="J7551">
        <v>0</v>
      </c>
      <c r="K7551">
        <v>0</v>
      </c>
      <c r="L7551" s="2">
        <v>0</v>
      </c>
      <c r="M7551">
        <v>74.73</v>
      </c>
      <c r="N7551" t="s">
        <v>10236</v>
      </c>
    </row>
    <row r="7552" spans="1:14">
      <c r="A7552" t="s">
        <v>25</v>
      </c>
      <c r="B7552" t="s">
        <v>7549</v>
      </c>
      <c r="C7552">
        <f>"AYCS0462"</f>
        <v>0</v>
      </c>
      <c r="D7552">
        <v>0</v>
      </c>
      <c r="E7552">
        <v>0</v>
      </c>
      <c r="F7552" s="2">
        <v>0</v>
      </c>
      <c r="H7552">
        <v>0</v>
      </c>
      <c r="I7552">
        <v>0.1741125760648204</v>
      </c>
      <c r="J7552">
        <v>0</v>
      </c>
      <c r="K7552">
        <v>0</v>
      </c>
      <c r="L7552" s="2">
        <v>0</v>
      </c>
      <c r="M7552">
        <v>74.73999999999999</v>
      </c>
      <c r="N7552" t="s">
        <v>10236</v>
      </c>
    </row>
    <row r="7553" spans="1:14">
      <c r="A7553" t="s">
        <v>25</v>
      </c>
      <c r="B7553" t="s">
        <v>7550</v>
      </c>
      <c r="C7553">
        <f>"AYCS0461"</f>
        <v>0</v>
      </c>
      <c r="D7553">
        <v>0</v>
      </c>
      <c r="E7553">
        <v>0</v>
      </c>
      <c r="F7553" s="2">
        <v>0</v>
      </c>
      <c r="H7553">
        <v>0</v>
      </c>
      <c r="I7553">
        <v>0.1741125760648204</v>
      </c>
      <c r="J7553">
        <v>0</v>
      </c>
      <c r="K7553">
        <v>0</v>
      </c>
      <c r="L7553" s="2">
        <v>0</v>
      </c>
      <c r="M7553">
        <v>74.75</v>
      </c>
      <c r="N7553" t="s">
        <v>10236</v>
      </c>
    </row>
    <row r="7554" spans="1:14">
      <c r="A7554" t="s">
        <v>35</v>
      </c>
      <c r="B7554" t="s">
        <v>7551</v>
      </c>
      <c r="C7554">
        <f>"2450"</f>
        <v>0</v>
      </c>
      <c r="D7554">
        <v>0</v>
      </c>
      <c r="E7554">
        <v>0</v>
      </c>
      <c r="F7554" s="2">
        <v>0</v>
      </c>
      <c r="H7554">
        <v>0</v>
      </c>
      <c r="I7554">
        <v>0.1741125760648204</v>
      </c>
      <c r="J7554">
        <v>0</v>
      </c>
      <c r="K7554">
        <v>0</v>
      </c>
      <c r="L7554" s="2">
        <v>0</v>
      </c>
      <c r="M7554">
        <v>74.76000000000001</v>
      </c>
      <c r="N7554" t="s">
        <v>10236</v>
      </c>
    </row>
    <row r="7555" spans="1:14">
      <c r="A7555" t="s">
        <v>35</v>
      </c>
      <c r="B7555" t="s">
        <v>7552</v>
      </c>
      <c r="C7555">
        <f>"2449"</f>
        <v>0</v>
      </c>
      <c r="D7555">
        <v>0</v>
      </c>
      <c r="E7555">
        <v>0</v>
      </c>
      <c r="F7555" s="2">
        <v>0</v>
      </c>
      <c r="H7555">
        <v>0</v>
      </c>
      <c r="I7555">
        <v>0.1741125760648204</v>
      </c>
      <c r="J7555">
        <v>0</v>
      </c>
      <c r="K7555">
        <v>0</v>
      </c>
      <c r="L7555" s="2">
        <v>0</v>
      </c>
      <c r="M7555">
        <v>74.77</v>
      </c>
      <c r="N7555" t="s">
        <v>10236</v>
      </c>
    </row>
    <row r="7556" spans="1:14">
      <c r="A7556" t="s">
        <v>196</v>
      </c>
      <c r="B7556" t="s">
        <v>7553</v>
      </c>
      <c r="C7556">
        <f>"2005"</f>
        <v>0</v>
      </c>
      <c r="D7556">
        <v>0</v>
      </c>
      <c r="E7556">
        <v>2</v>
      </c>
      <c r="F7556" s="2">
        <v>2</v>
      </c>
      <c r="H7556">
        <v>0</v>
      </c>
      <c r="I7556">
        <v>0.1741125760648204</v>
      </c>
      <c r="J7556">
        <v>0</v>
      </c>
      <c r="K7556">
        <v>0</v>
      </c>
      <c r="L7556" s="2">
        <v>0</v>
      </c>
      <c r="M7556">
        <v>74.78</v>
      </c>
      <c r="N7556" t="s">
        <v>10236</v>
      </c>
    </row>
    <row r="7557" spans="1:14">
      <c r="A7557" t="s">
        <v>35</v>
      </c>
      <c r="B7557" t="s">
        <v>7554</v>
      </c>
      <c r="C7557">
        <f>"PP007A"</f>
        <v>0</v>
      </c>
      <c r="D7557">
        <v>0</v>
      </c>
      <c r="E7557">
        <v>2</v>
      </c>
      <c r="F7557" s="2">
        <v>3</v>
      </c>
      <c r="H7557">
        <v>0</v>
      </c>
      <c r="I7557">
        <v>0.1741125760648204</v>
      </c>
      <c r="J7557">
        <v>0</v>
      </c>
      <c r="K7557">
        <v>0</v>
      </c>
      <c r="L7557" s="2">
        <v>0</v>
      </c>
      <c r="M7557">
        <v>74.79000000000001</v>
      </c>
      <c r="N7557" t="s">
        <v>10236</v>
      </c>
    </row>
    <row r="7558" spans="1:14">
      <c r="A7558" t="s">
        <v>223</v>
      </c>
      <c r="B7558" t="s">
        <v>7555</v>
      </c>
      <c r="C7558">
        <f>"2721075"</f>
        <v>0</v>
      </c>
      <c r="D7558">
        <v>0</v>
      </c>
      <c r="E7558">
        <v>0</v>
      </c>
      <c r="F7558" s="2">
        <v>0</v>
      </c>
      <c r="H7558">
        <v>0</v>
      </c>
      <c r="I7558">
        <v>0.1741125760648204</v>
      </c>
      <c r="J7558">
        <v>0</v>
      </c>
      <c r="K7558">
        <v>0</v>
      </c>
      <c r="L7558" s="2">
        <v>0</v>
      </c>
      <c r="M7558">
        <v>74.79000000000001</v>
      </c>
      <c r="N7558" t="s">
        <v>10236</v>
      </c>
    </row>
    <row r="7559" spans="1:14">
      <c r="A7559" t="s">
        <v>35</v>
      </c>
      <c r="B7559" t="s">
        <v>7556</v>
      </c>
      <c r="C7559">
        <f>"NBGG01XL"</f>
        <v>0</v>
      </c>
      <c r="D7559">
        <v>0</v>
      </c>
      <c r="E7559">
        <v>2</v>
      </c>
      <c r="F7559" s="2">
        <v>6</v>
      </c>
      <c r="H7559">
        <v>0</v>
      </c>
      <c r="I7559">
        <v>0.1741125760648204</v>
      </c>
      <c r="J7559">
        <v>0</v>
      </c>
      <c r="K7559">
        <v>0</v>
      </c>
      <c r="L7559" s="2">
        <v>0</v>
      </c>
      <c r="M7559">
        <v>74.8</v>
      </c>
      <c r="N7559" t="s">
        <v>10236</v>
      </c>
    </row>
    <row r="7560" spans="1:14">
      <c r="A7560" t="s">
        <v>25</v>
      </c>
      <c r="B7560" t="s">
        <v>7557</v>
      </c>
      <c r="C7560">
        <f>"S0462VE"</f>
        <v>0</v>
      </c>
      <c r="D7560">
        <v>0</v>
      </c>
      <c r="E7560">
        <v>0</v>
      </c>
      <c r="F7560" s="2">
        <v>0</v>
      </c>
      <c r="H7560">
        <v>0</v>
      </c>
      <c r="I7560">
        <v>0.1741125760648204</v>
      </c>
      <c r="J7560">
        <v>0</v>
      </c>
      <c r="K7560">
        <v>0</v>
      </c>
      <c r="L7560" s="2">
        <v>0</v>
      </c>
      <c r="M7560">
        <v>74.81</v>
      </c>
      <c r="N7560" t="s">
        <v>10236</v>
      </c>
    </row>
    <row r="7561" spans="1:14">
      <c r="A7561" t="s">
        <v>207</v>
      </c>
      <c r="B7561" t="s">
        <v>7558</v>
      </c>
      <c r="C7561">
        <f>"CATAVE"</f>
        <v>0</v>
      </c>
      <c r="D7561">
        <v>0</v>
      </c>
      <c r="E7561">
        <v>0</v>
      </c>
      <c r="F7561" s="2">
        <v>0</v>
      </c>
      <c r="H7561">
        <v>0</v>
      </c>
      <c r="I7561">
        <v>0.1741125760648204</v>
      </c>
      <c r="J7561">
        <v>0</v>
      </c>
      <c r="K7561">
        <v>0</v>
      </c>
      <c r="L7561" s="2">
        <v>0</v>
      </c>
      <c r="M7561">
        <v>74.81999999999999</v>
      </c>
      <c r="N7561" t="s">
        <v>10236</v>
      </c>
    </row>
    <row r="7562" spans="1:14">
      <c r="A7562" t="s">
        <v>35</v>
      </c>
      <c r="B7562" t="s">
        <v>7559</v>
      </c>
      <c r="C7562">
        <f>"AX0515L"</f>
        <v>0</v>
      </c>
      <c r="D7562">
        <v>0</v>
      </c>
      <c r="E7562">
        <v>0</v>
      </c>
      <c r="F7562" s="2">
        <v>0</v>
      </c>
      <c r="H7562">
        <v>0</v>
      </c>
      <c r="I7562">
        <v>0.1741125760648204</v>
      </c>
      <c r="J7562">
        <v>0</v>
      </c>
      <c r="K7562">
        <v>0</v>
      </c>
      <c r="L7562" s="2">
        <v>0</v>
      </c>
      <c r="M7562">
        <v>74.83</v>
      </c>
      <c r="N7562" t="s">
        <v>10236</v>
      </c>
    </row>
    <row r="7563" spans="1:14">
      <c r="A7563" t="s">
        <v>35</v>
      </c>
      <c r="B7563" t="s">
        <v>7560</v>
      </c>
      <c r="C7563">
        <f>"PT015XXLCMOR"</f>
        <v>0</v>
      </c>
      <c r="D7563">
        <v>0</v>
      </c>
      <c r="E7563">
        <v>0</v>
      </c>
      <c r="F7563" s="2">
        <v>0</v>
      </c>
      <c r="H7563">
        <v>0</v>
      </c>
      <c r="I7563">
        <v>0.1741125760648204</v>
      </c>
      <c r="J7563">
        <v>0</v>
      </c>
      <c r="K7563">
        <v>0</v>
      </c>
      <c r="L7563" s="2">
        <v>0</v>
      </c>
      <c r="M7563">
        <v>74.84</v>
      </c>
      <c r="N7563" t="s">
        <v>10236</v>
      </c>
    </row>
    <row r="7564" spans="1:14">
      <c r="A7564" t="s">
        <v>35</v>
      </c>
      <c r="B7564" t="s">
        <v>7561</v>
      </c>
      <c r="C7564">
        <f>"PT015XXLCCEL"</f>
        <v>0</v>
      </c>
      <c r="D7564">
        <v>0</v>
      </c>
      <c r="E7564">
        <v>0</v>
      </c>
      <c r="F7564" s="2">
        <v>0</v>
      </c>
      <c r="H7564">
        <v>0</v>
      </c>
      <c r="I7564">
        <v>0.1741125760648204</v>
      </c>
      <c r="J7564">
        <v>0</v>
      </c>
      <c r="K7564">
        <v>0</v>
      </c>
      <c r="L7564" s="2">
        <v>0</v>
      </c>
      <c r="M7564">
        <v>74.84999999999999</v>
      </c>
      <c r="N7564" t="s">
        <v>10236</v>
      </c>
    </row>
    <row r="7565" spans="1:14">
      <c r="A7565" t="s">
        <v>35</v>
      </c>
      <c r="B7565" t="s">
        <v>7562</v>
      </c>
      <c r="C7565">
        <f>"PT015XXLAZ"</f>
        <v>0</v>
      </c>
      <c r="D7565">
        <v>0</v>
      </c>
      <c r="E7565">
        <v>1</v>
      </c>
      <c r="F7565" s="2">
        <v>4</v>
      </c>
      <c r="H7565">
        <v>0</v>
      </c>
      <c r="I7565">
        <v>0.1741125760648204</v>
      </c>
      <c r="J7565">
        <v>0</v>
      </c>
      <c r="K7565">
        <v>0</v>
      </c>
      <c r="L7565" s="2">
        <v>0</v>
      </c>
      <c r="M7565">
        <v>74.86</v>
      </c>
      <c r="N7565" t="s">
        <v>10236</v>
      </c>
    </row>
    <row r="7566" spans="1:14">
      <c r="A7566" t="s">
        <v>35</v>
      </c>
      <c r="B7566" t="s">
        <v>7563</v>
      </c>
      <c r="C7566">
        <f>"PT015MDROJ"</f>
        <v>0</v>
      </c>
      <c r="D7566">
        <v>0</v>
      </c>
      <c r="E7566">
        <v>0</v>
      </c>
      <c r="F7566" s="2">
        <v>0</v>
      </c>
      <c r="H7566">
        <v>0</v>
      </c>
      <c r="I7566">
        <v>0.1741125760648204</v>
      </c>
      <c r="J7566">
        <v>0</v>
      </c>
      <c r="K7566">
        <v>0</v>
      </c>
      <c r="L7566" s="2">
        <v>0</v>
      </c>
      <c r="M7566">
        <v>74.87</v>
      </c>
      <c r="N7566" t="s">
        <v>10236</v>
      </c>
    </row>
    <row r="7567" spans="1:14">
      <c r="A7567" t="s">
        <v>35</v>
      </c>
      <c r="B7567" t="s">
        <v>7564</v>
      </c>
      <c r="C7567">
        <f>"PT015MCCUA"</f>
        <v>0</v>
      </c>
      <c r="D7567">
        <v>0</v>
      </c>
      <c r="E7567">
        <v>1</v>
      </c>
      <c r="F7567" s="2">
        <v>0</v>
      </c>
      <c r="H7567">
        <v>0</v>
      </c>
      <c r="I7567">
        <v>0.1741125760648204</v>
      </c>
      <c r="J7567">
        <v>0</v>
      </c>
      <c r="K7567">
        <v>0</v>
      </c>
      <c r="L7567" s="2">
        <v>0</v>
      </c>
      <c r="M7567">
        <v>74.88</v>
      </c>
      <c r="N7567" t="s">
        <v>10236</v>
      </c>
    </row>
    <row r="7568" spans="1:14">
      <c r="A7568" t="s">
        <v>35</v>
      </c>
      <c r="B7568" t="s">
        <v>7565</v>
      </c>
      <c r="C7568">
        <f>"PT015MAZ"</f>
        <v>0</v>
      </c>
      <c r="D7568">
        <v>0</v>
      </c>
      <c r="E7568">
        <v>0</v>
      </c>
      <c r="F7568" s="2">
        <v>0</v>
      </c>
      <c r="H7568">
        <v>0</v>
      </c>
      <c r="I7568">
        <v>0.1741125760648204</v>
      </c>
      <c r="J7568">
        <v>0</v>
      </c>
      <c r="K7568">
        <v>0</v>
      </c>
      <c r="L7568" s="2">
        <v>0</v>
      </c>
      <c r="M7568">
        <v>74.89</v>
      </c>
      <c r="N7568" t="s">
        <v>10236</v>
      </c>
    </row>
    <row r="7569" spans="1:14">
      <c r="A7569" t="s">
        <v>35</v>
      </c>
      <c r="B7569" t="s">
        <v>7566</v>
      </c>
      <c r="C7569">
        <f>"PT015LROJ"</f>
        <v>0</v>
      </c>
      <c r="D7569">
        <v>0</v>
      </c>
      <c r="E7569">
        <v>0</v>
      </c>
      <c r="F7569" s="2">
        <v>0</v>
      </c>
      <c r="H7569">
        <v>0</v>
      </c>
      <c r="I7569">
        <v>0.1741125760648204</v>
      </c>
      <c r="J7569">
        <v>0</v>
      </c>
      <c r="K7569">
        <v>0</v>
      </c>
      <c r="L7569" s="2">
        <v>0</v>
      </c>
      <c r="M7569">
        <v>74.90000000000001</v>
      </c>
      <c r="N7569" t="s">
        <v>10236</v>
      </c>
    </row>
    <row r="7570" spans="1:14">
      <c r="A7570" t="s">
        <v>35</v>
      </c>
      <c r="B7570" t="s">
        <v>7567</v>
      </c>
      <c r="C7570">
        <f>"PT015LN"</f>
        <v>0</v>
      </c>
      <c r="D7570">
        <v>0</v>
      </c>
      <c r="E7570">
        <v>0</v>
      </c>
      <c r="F7570" s="2">
        <v>0</v>
      </c>
      <c r="H7570">
        <v>0</v>
      </c>
      <c r="I7570">
        <v>0.1741125760648204</v>
      </c>
      <c r="J7570">
        <v>0</v>
      </c>
      <c r="K7570">
        <v>0</v>
      </c>
      <c r="L7570" s="2">
        <v>0</v>
      </c>
      <c r="M7570">
        <v>74.91</v>
      </c>
      <c r="N7570" t="s">
        <v>10236</v>
      </c>
    </row>
    <row r="7571" spans="1:14">
      <c r="A7571" t="s">
        <v>35</v>
      </c>
      <c r="B7571" t="s">
        <v>7568</v>
      </c>
      <c r="C7571">
        <f>"PT015LFNEG"</f>
        <v>0</v>
      </c>
      <c r="D7571">
        <v>0</v>
      </c>
      <c r="E7571">
        <v>0</v>
      </c>
      <c r="F7571" s="2">
        <v>0</v>
      </c>
      <c r="H7571">
        <v>0</v>
      </c>
      <c r="I7571">
        <v>0.1741125760648204</v>
      </c>
      <c r="J7571">
        <v>0</v>
      </c>
      <c r="K7571">
        <v>0</v>
      </c>
      <c r="L7571" s="2">
        <v>0</v>
      </c>
      <c r="M7571">
        <v>74.91</v>
      </c>
      <c r="N7571" t="s">
        <v>10236</v>
      </c>
    </row>
    <row r="7572" spans="1:14">
      <c r="A7572" t="s">
        <v>35</v>
      </c>
      <c r="B7572" t="s">
        <v>7569</v>
      </c>
      <c r="C7572">
        <f>"PT015LFMOR"</f>
        <v>0</v>
      </c>
      <c r="D7572">
        <v>0</v>
      </c>
      <c r="E7572">
        <v>0</v>
      </c>
      <c r="F7572" s="2">
        <v>0</v>
      </c>
      <c r="H7572">
        <v>0</v>
      </c>
      <c r="I7572">
        <v>0.1741125760648204</v>
      </c>
      <c r="J7572">
        <v>0</v>
      </c>
      <c r="K7572">
        <v>0</v>
      </c>
      <c r="L7572" s="2">
        <v>0</v>
      </c>
      <c r="M7572">
        <v>74.92</v>
      </c>
      <c r="N7572" t="s">
        <v>10236</v>
      </c>
    </row>
    <row r="7573" spans="1:14">
      <c r="A7573" t="s">
        <v>35</v>
      </c>
      <c r="B7573" t="s">
        <v>7570</v>
      </c>
      <c r="C7573">
        <f>"PT015LDROJ"</f>
        <v>0</v>
      </c>
      <c r="D7573">
        <v>0</v>
      </c>
      <c r="E7573">
        <v>0</v>
      </c>
      <c r="F7573" s="2">
        <v>0</v>
      </c>
      <c r="H7573">
        <v>0</v>
      </c>
      <c r="I7573">
        <v>0.1741125760648204</v>
      </c>
      <c r="J7573">
        <v>0</v>
      </c>
      <c r="K7573">
        <v>0</v>
      </c>
      <c r="L7573" s="2">
        <v>0</v>
      </c>
      <c r="M7573">
        <v>74.93000000000001</v>
      </c>
      <c r="N7573" t="s">
        <v>10236</v>
      </c>
    </row>
    <row r="7574" spans="1:14">
      <c r="A7574" t="s">
        <v>35</v>
      </c>
      <c r="B7574" t="s">
        <v>7571</v>
      </c>
      <c r="C7574">
        <f>"PT015XLNEG"</f>
        <v>0</v>
      </c>
      <c r="D7574">
        <v>0</v>
      </c>
      <c r="E7574">
        <v>0</v>
      </c>
      <c r="F7574" s="2">
        <v>0</v>
      </c>
      <c r="H7574">
        <v>0</v>
      </c>
      <c r="I7574">
        <v>0.1741125760648204</v>
      </c>
      <c r="J7574">
        <v>0</v>
      </c>
      <c r="K7574">
        <v>0</v>
      </c>
      <c r="L7574" s="2">
        <v>0</v>
      </c>
      <c r="M7574">
        <v>74.94</v>
      </c>
      <c r="N7574" t="s">
        <v>10236</v>
      </c>
    </row>
    <row r="7575" spans="1:14">
      <c r="A7575" t="s">
        <v>35</v>
      </c>
      <c r="B7575" t="s">
        <v>7572</v>
      </c>
      <c r="C7575">
        <f>"PT015XLMI"</f>
        <v>0</v>
      </c>
      <c r="D7575">
        <v>0</v>
      </c>
      <c r="E7575">
        <v>0</v>
      </c>
      <c r="F7575" s="2">
        <v>0</v>
      </c>
      <c r="H7575">
        <v>0</v>
      </c>
      <c r="I7575">
        <v>0.1741125760648204</v>
      </c>
      <c r="J7575">
        <v>0</v>
      </c>
      <c r="K7575">
        <v>0</v>
      </c>
      <c r="L7575" s="2">
        <v>0</v>
      </c>
      <c r="M7575">
        <v>74.95</v>
      </c>
      <c r="N7575" t="s">
        <v>10236</v>
      </c>
    </row>
    <row r="7576" spans="1:14">
      <c r="A7576" t="s">
        <v>35</v>
      </c>
      <c r="B7576" t="s">
        <v>7573</v>
      </c>
      <c r="C7576">
        <f>"FB673XLG"</f>
        <v>0</v>
      </c>
      <c r="D7576">
        <v>0</v>
      </c>
      <c r="E7576">
        <v>0</v>
      </c>
      <c r="F7576" s="2">
        <v>0</v>
      </c>
      <c r="H7576">
        <v>0</v>
      </c>
      <c r="I7576">
        <v>0.1741125760648204</v>
      </c>
      <c r="J7576">
        <v>0</v>
      </c>
      <c r="K7576">
        <v>0</v>
      </c>
      <c r="L7576" s="2">
        <v>0</v>
      </c>
      <c r="M7576">
        <v>74.95999999999999</v>
      </c>
      <c r="N7576" t="s">
        <v>10236</v>
      </c>
    </row>
    <row r="7577" spans="1:14">
      <c r="A7577" t="s">
        <v>35</v>
      </c>
      <c r="B7577" t="s">
        <v>7574</v>
      </c>
      <c r="C7577">
        <f>"PT015XLFMOR"</f>
        <v>0</v>
      </c>
      <c r="D7577">
        <v>0</v>
      </c>
      <c r="E7577">
        <v>2</v>
      </c>
      <c r="F7577" s="2">
        <v>0</v>
      </c>
      <c r="H7577">
        <v>0</v>
      </c>
      <c r="I7577">
        <v>0.1741125760648204</v>
      </c>
      <c r="J7577">
        <v>0</v>
      </c>
      <c r="K7577">
        <v>0</v>
      </c>
      <c r="L7577" s="2">
        <v>0</v>
      </c>
      <c r="M7577">
        <v>74.97</v>
      </c>
      <c r="N7577" t="s">
        <v>10236</v>
      </c>
    </row>
    <row r="7578" spans="1:14">
      <c r="A7578" t="s">
        <v>35</v>
      </c>
      <c r="B7578" t="s">
        <v>7575</v>
      </c>
      <c r="C7578">
        <f>"QS133104M"</f>
        <v>0</v>
      </c>
      <c r="D7578">
        <v>0</v>
      </c>
      <c r="E7578">
        <v>0</v>
      </c>
      <c r="F7578" s="2">
        <v>0</v>
      </c>
      <c r="H7578">
        <v>0</v>
      </c>
      <c r="I7578">
        <v>0.1741125760648204</v>
      </c>
      <c r="J7578">
        <v>0</v>
      </c>
      <c r="K7578">
        <v>0</v>
      </c>
      <c r="L7578" s="2">
        <v>0</v>
      </c>
      <c r="M7578">
        <v>74.98</v>
      </c>
      <c r="N7578" t="s">
        <v>10236</v>
      </c>
    </row>
    <row r="7579" spans="1:14">
      <c r="A7579" t="s">
        <v>35</v>
      </c>
      <c r="B7579" t="s">
        <v>7576</v>
      </c>
      <c r="C7579">
        <f>"QS133104L"</f>
        <v>0</v>
      </c>
      <c r="D7579">
        <v>0</v>
      </c>
      <c r="E7579">
        <v>0</v>
      </c>
      <c r="F7579" s="2">
        <v>0</v>
      </c>
      <c r="H7579">
        <v>0</v>
      </c>
      <c r="I7579">
        <v>0.1741125760648204</v>
      </c>
      <c r="J7579">
        <v>0</v>
      </c>
      <c r="K7579">
        <v>0</v>
      </c>
      <c r="L7579" s="2">
        <v>0</v>
      </c>
      <c r="M7579">
        <v>74.98999999999999</v>
      </c>
      <c r="N7579" t="s">
        <v>10236</v>
      </c>
    </row>
    <row r="7580" spans="1:14">
      <c r="A7580" t="s">
        <v>35</v>
      </c>
      <c r="B7580" t="s">
        <v>7577</v>
      </c>
      <c r="C7580">
        <f>"QSFW2218S"</f>
        <v>0</v>
      </c>
      <c r="D7580">
        <v>0</v>
      </c>
      <c r="E7580">
        <v>0</v>
      </c>
      <c r="F7580" s="2">
        <v>0</v>
      </c>
      <c r="H7580">
        <v>0</v>
      </c>
      <c r="I7580">
        <v>0.1741125760648204</v>
      </c>
      <c r="J7580">
        <v>0</v>
      </c>
      <c r="K7580">
        <v>0</v>
      </c>
      <c r="L7580" s="2">
        <v>0</v>
      </c>
      <c r="M7580">
        <v>75</v>
      </c>
      <c r="N7580" t="s">
        <v>10236</v>
      </c>
    </row>
    <row r="7581" spans="1:14">
      <c r="A7581" t="s">
        <v>35</v>
      </c>
      <c r="B7581" t="s">
        <v>7578</v>
      </c>
      <c r="C7581">
        <f>"KW6005MN"</f>
        <v>0</v>
      </c>
      <c r="D7581">
        <v>0</v>
      </c>
      <c r="E7581">
        <v>0</v>
      </c>
      <c r="F7581" s="2">
        <v>0</v>
      </c>
      <c r="H7581">
        <v>0</v>
      </c>
      <c r="I7581">
        <v>0.1741125760648204</v>
      </c>
      <c r="J7581">
        <v>0</v>
      </c>
      <c r="K7581">
        <v>0</v>
      </c>
      <c r="L7581" s="2">
        <v>0</v>
      </c>
      <c r="M7581">
        <v>75.01000000000001</v>
      </c>
      <c r="N7581" t="s">
        <v>10236</v>
      </c>
    </row>
    <row r="7582" spans="1:14">
      <c r="A7582" t="s">
        <v>35</v>
      </c>
      <c r="B7582" t="s">
        <v>7579</v>
      </c>
      <c r="C7582">
        <f>"KW6005MG"</f>
        <v>0</v>
      </c>
      <c r="D7582">
        <v>0</v>
      </c>
      <c r="E7582">
        <v>0</v>
      </c>
      <c r="F7582" s="2">
        <v>0</v>
      </c>
      <c r="H7582">
        <v>0</v>
      </c>
      <c r="I7582">
        <v>0.1741125760648204</v>
      </c>
      <c r="J7582">
        <v>0</v>
      </c>
      <c r="K7582">
        <v>0</v>
      </c>
      <c r="L7582" s="2">
        <v>0</v>
      </c>
      <c r="M7582">
        <v>75.02</v>
      </c>
      <c r="N7582" t="s">
        <v>10236</v>
      </c>
    </row>
    <row r="7583" spans="1:14">
      <c r="A7583" t="s">
        <v>35</v>
      </c>
      <c r="B7583" t="s">
        <v>7580</v>
      </c>
      <c r="C7583">
        <f>"KW6005LR"</f>
        <v>0</v>
      </c>
      <c r="D7583">
        <v>0</v>
      </c>
      <c r="E7583">
        <v>0</v>
      </c>
      <c r="F7583" s="2">
        <v>0</v>
      </c>
      <c r="H7583">
        <v>0</v>
      </c>
      <c r="I7583">
        <v>0.1741125760648204</v>
      </c>
      <c r="J7583">
        <v>0</v>
      </c>
      <c r="K7583">
        <v>0</v>
      </c>
      <c r="L7583" s="2">
        <v>0</v>
      </c>
      <c r="M7583">
        <v>75.03</v>
      </c>
      <c r="N7583" t="s">
        <v>10236</v>
      </c>
    </row>
    <row r="7584" spans="1:14">
      <c r="A7584" t="s">
        <v>35</v>
      </c>
      <c r="B7584" t="s">
        <v>7581</v>
      </c>
      <c r="C7584">
        <f>"KW6005LN"</f>
        <v>0</v>
      </c>
      <c r="D7584">
        <v>0</v>
      </c>
      <c r="E7584">
        <v>0</v>
      </c>
      <c r="F7584" s="2">
        <v>0</v>
      </c>
      <c r="H7584">
        <v>0</v>
      </c>
      <c r="I7584">
        <v>0.1741125760648204</v>
      </c>
      <c r="J7584">
        <v>0</v>
      </c>
      <c r="K7584">
        <v>0</v>
      </c>
      <c r="L7584" s="2">
        <v>0</v>
      </c>
      <c r="M7584">
        <v>75.03</v>
      </c>
      <c r="N7584" t="s">
        <v>10236</v>
      </c>
    </row>
    <row r="7585" spans="1:14">
      <c r="A7585" t="s">
        <v>35</v>
      </c>
      <c r="B7585" t="s">
        <v>7582</v>
      </c>
      <c r="C7585">
        <f>"8455S"</f>
        <v>0</v>
      </c>
      <c r="D7585">
        <v>0</v>
      </c>
      <c r="E7585">
        <v>0</v>
      </c>
      <c r="F7585" s="2">
        <v>0</v>
      </c>
      <c r="H7585">
        <v>0</v>
      </c>
      <c r="I7585">
        <v>0.1741125760648204</v>
      </c>
      <c r="J7585">
        <v>0</v>
      </c>
      <c r="K7585">
        <v>0</v>
      </c>
      <c r="L7585" s="2">
        <v>0</v>
      </c>
      <c r="M7585">
        <v>75.04000000000001</v>
      </c>
      <c r="N7585" t="s">
        <v>10236</v>
      </c>
    </row>
    <row r="7586" spans="1:14">
      <c r="A7586" t="s">
        <v>35</v>
      </c>
      <c r="B7586" t="s">
        <v>7583</v>
      </c>
      <c r="C7586">
        <f>"8386l"</f>
        <v>0</v>
      </c>
      <c r="D7586">
        <v>0</v>
      </c>
      <c r="E7586">
        <v>11</v>
      </c>
      <c r="F7586" s="2">
        <v>18</v>
      </c>
      <c r="H7586">
        <v>0</v>
      </c>
      <c r="I7586">
        <v>0.1741125760648204</v>
      </c>
      <c r="J7586">
        <v>0</v>
      </c>
      <c r="K7586">
        <v>0</v>
      </c>
      <c r="L7586" s="2">
        <v>0</v>
      </c>
      <c r="M7586">
        <v>75.05</v>
      </c>
      <c r="N7586" t="s">
        <v>10236</v>
      </c>
    </row>
    <row r="7587" spans="1:14">
      <c r="A7587" t="s">
        <v>35</v>
      </c>
      <c r="B7587" t="s">
        <v>7584</v>
      </c>
      <c r="C7587">
        <f>"8455L"</f>
        <v>0</v>
      </c>
      <c r="D7587">
        <v>0</v>
      </c>
      <c r="E7587">
        <v>1</v>
      </c>
      <c r="F7587" s="2">
        <v>12</v>
      </c>
      <c r="H7587">
        <v>0</v>
      </c>
      <c r="I7587">
        <v>0.1741125760648204</v>
      </c>
      <c r="J7587">
        <v>0</v>
      </c>
      <c r="K7587">
        <v>0</v>
      </c>
      <c r="L7587" s="2">
        <v>0</v>
      </c>
      <c r="M7587">
        <v>75.06</v>
      </c>
      <c r="N7587" t="s">
        <v>10236</v>
      </c>
    </row>
    <row r="7588" spans="1:14">
      <c r="A7588" t="s">
        <v>25</v>
      </c>
      <c r="B7588" t="s">
        <v>7585</v>
      </c>
      <c r="C7588">
        <f>"8422"</f>
        <v>0</v>
      </c>
      <c r="D7588">
        <v>0</v>
      </c>
      <c r="E7588">
        <v>0</v>
      </c>
      <c r="F7588" s="2">
        <v>0</v>
      </c>
      <c r="H7588">
        <v>0</v>
      </c>
      <c r="I7588">
        <v>0.1741125760648204</v>
      </c>
      <c r="J7588">
        <v>0</v>
      </c>
      <c r="K7588">
        <v>0</v>
      </c>
      <c r="L7588" s="2">
        <v>0</v>
      </c>
      <c r="M7588">
        <v>75.06999999999999</v>
      </c>
      <c r="N7588" t="s">
        <v>10236</v>
      </c>
    </row>
    <row r="7589" spans="1:14">
      <c r="A7589" t="s">
        <v>35</v>
      </c>
      <c r="B7589" t="s">
        <v>7586</v>
      </c>
      <c r="C7589">
        <f>"8344"</f>
        <v>0</v>
      </c>
      <c r="D7589">
        <v>0</v>
      </c>
      <c r="E7589">
        <v>0</v>
      </c>
      <c r="F7589" s="2">
        <v>0</v>
      </c>
      <c r="H7589">
        <v>0</v>
      </c>
      <c r="I7589">
        <v>0.1741125760648204</v>
      </c>
      <c r="J7589">
        <v>0</v>
      </c>
      <c r="K7589">
        <v>0</v>
      </c>
      <c r="L7589" s="2">
        <v>0</v>
      </c>
      <c r="M7589">
        <v>75.08</v>
      </c>
      <c r="N7589" t="s">
        <v>10236</v>
      </c>
    </row>
    <row r="7590" spans="1:14">
      <c r="A7590" t="s">
        <v>35</v>
      </c>
      <c r="B7590" t="s">
        <v>7587</v>
      </c>
      <c r="C7590">
        <f>"8333"</f>
        <v>0</v>
      </c>
      <c r="D7590">
        <v>0</v>
      </c>
      <c r="E7590">
        <v>0</v>
      </c>
      <c r="F7590" s="2">
        <v>0</v>
      </c>
      <c r="H7590">
        <v>0</v>
      </c>
      <c r="I7590">
        <v>0.1741125760648204</v>
      </c>
      <c r="J7590">
        <v>0</v>
      </c>
      <c r="K7590">
        <v>0</v>
      </c>
      <c r="L7590" s="2">
        <v>0</v>
      </c>
      <c r="M7590">
        <v>75.09</v>
      </c>
      <c r="N7590" t="s">
        <v>10236</v>
      </c>
    </row>
    <row r="7591" spans="1:14">
      <c r="A7591" t="s">
        <v>35</v>
      </c>
      <c r="B7591" t="s">
        <v>7588</v>
      </c>
      <c r="C7591">
        <f>"PT015XLFNEG"</f>
        <v>0</v>
      </c>
      <c r="D7591">
        <v>0</v>
      </c>
      <c r="E7591">
        <v>0</v>
      </c>
      <c r="F7591" s="2">
        <v>0</v>
      </c>
      <c r="H7591">
        <v>0</v>
      </c>
      <c r="I7591">
        <v>0.1741125760648204</v>
      </c>
      <c r="J7591">
        <v>0</v>
      </c>
      <c r="K7591">
        <v>0</v>
      </c>
      <c r="L7591" s="2">
        <v>0</v>
      </c>
      <c r="M7591">
        <v>75.09999999999999</v>
      </c>
      <c r="N7591" t="s">
        <v>10236</v>
      </c>
    </row>
    <row r="7592" spans="1:14">
      <c r="A7592" t="s">
        <v>25</v>
      </c>
      <c r="B7592" t="s">
        <v>7589</v>
      </c>
      <c r="C7592">
        <f>"RY29LAC"</f>
        <v>0</v>
      </c>
      <c r="D7592">
        <v>0</v>
      </c>
      <c r="E7592">
        <v>3</v>
      </c>
      <c r="F7592" s="2">
        <v>2</v>
      </c>
      <c r="H7592">
        <v>0</v>
      </c>
      <c r="I7592">
        <v>0.1741125760648204</v>
      </c>
      <c r="J7592">
        <v>0</v>
      </c>
      <c r="K7592">
        <v>0</v>
      </c>
      <c r="L7592" s="2">
        <v>0</v>
      </c>
      <c r="M7592">
        <v>75.11</v>
      </c>
      <c r="N7592" t="s">
        <v>10236</v>
      </c>
    </row>
    <row r="7593" spans="1:14">
      <c r="A7593" t="s">
        <v>25</v>
      </c>
      <c r="B7593" t="s">
        <v>7590</v>
      </c>
      <c r="C7593">
        <f>"RY29SA"</f>
        <v>0</v>
      </c>
      <c r="D7593">
        <v>0</v>
      </c>
      <c r="E7593">
        <v>4</v>
      </c>
      <c r="F7593" s="2">
        <v>2</v>
      </c>
      <c r="H7593">
        <v>0</v>
      </c>
      <c r="I7593">
        <v>0.1741125760648204</v>
      </c>
      <c r="J7593">
        <v>0</v>
      </c>
      <c r="K7593">
        <v>0</v>
      </c>
      <c r="L7593" s="2">
        <v>0</v>
      </c>
      <c r="M7593">
        <v>75.12</v>
      </c>
      <c r="N7593" t="s">
        <v>10236</v>
      </c>
    </row>
    <row r="7594" spans="1:14">
      <c r="A7594" t="s">
        <v>35</v>
      </c>
      <c r="B7594" t="s">
        <v>7591</v>
      </c>
      <c r="C7594">
        <f>"QSSF2476M"</f>
        <v>0</v>
      </c>
      <c r="D7594">
        <v>0</v>
      </c>
      <c r="E7594">
        <v>0</v>
      </c>
      <c r="F7594" s="2">
        <v>0</v>
      </c>
      <c r="H7594">
        <v>0</v>
      </c>
      <c r="I7594">
        <v>0.1741125760648204</v>
      </c>
      <c r="J7594">
        <v>0</v>
      </c>
      <c r="K7594">
        <v>0</v>
      </c>
      <c r="L7594" s="2">
        <v>0</v>
      </c>
      <c r="M7594">
        <v>75.13</v>
      </c>
      <c r="N7594" t="s">
        <v>10236</v>
      </c>
    </row>
    <row r="7595" spans="1:14">
      <c r="A7595" t="s">
        <v>35</v>
      </c>
      <c r="B7595" t="s">
        <v>7592</v>
      </c>
      <c r="C7595">
        <f>"COO2825L"</f>
        <v>0</v>
      </c>
      <c r="D7595">
        <v>0</v>
      </c>
      <c r="E7595">
        <v>3</v>
      </c>
      <c r="F7595" s="2">
        <v>22</v>
      </c>
      <c r="H7595">
        <v>0</v>
      </c>
      <c r="I7595">
        <v>0.1741125760648204</v>
      </c>
      <c r="J7595">
        <v>0</v>
      </c>
      <c r="K7595">
        <v>0</v>
      </c>
      <c r="L7595" s="2">
        <v>0</v>
      </c>
      <c r="M7595">
        <v>75.14</v>
      </c>
      <c r="N7595" t="s">
        <v>10236</v>
      </c>
    </row>
    <row r="7596" spans="1:14">
      <c r="A7596" t="s">
        <v>216</v>
      </c>
      <c r="B7596" t="s">
        <v>7593</v>
      </c>
      <c r="C7596">
        <f>"CAXL"</f>
        <v>0</v>
      </c>
      <c r="D7596">
        <v>0</v>
      </c>
      <c r="E7596">
        <v>0</v>
      </c>
      <c r="F7596" s="2">
        <v>0</v>
      </c>
      <c r="H7596">
        <v>0</v>
      </c>
      <c r="I7596">
        <v>0.1741125760648204</v>
      </c>
      <c r="J7596">
        <v>0</v>
      </c>
      <c r="K7596">
        <v>0</v>
      </c>
      <c r="L7596" s="2">
        <v>0</v>
      </c>
      <c r="M7596">
        <v>75.14</v>
      </c>
      <c r="N7596" t="s">
        <v>10236</v>
      </c>
    </row>
    <row r="7597" spans="1:14">
      <c r="A7597" t="s">
        <v>216</v>
      </c>
      <c r="B7597" t="s">
        <v>7594</v>
      </c>
      <c r="C7597">
        <f>"600780784"</f>
        <v>0</v>
      </c>
      <c r="D7597">
        <v>0</v>
      </c>
      <c r="E7597">
        <v>0</v>
      </c>
      <c r="F7597" s="2">
        <v>0</v>
      </c>
      <c r="H7597">
        <v>0</v>
      </c>
      <c r="I7597">
        <v>0.1741125760648204</v>
      </c>
      <c r="J7597">
        <v>0</v>
      </c>
      <c r="K7597">
        <v>0</v>
      </c>
      <c r="L7597" s="2">
        <v>0</v>
      </c>
      <c r="M7597">
        <v>75.15000000000001</v>
      </c>
      <c r="N7597" t="s">
        <v>10236</v>
      </c>
    </row>
    <row r="7598" spans="1:14">
      <c r="A7598" t="s">
        <v>216</v>
      </c>
      <c r="B7598" t="s">
        <v>7595</v>
      </c>
      <c r="C7598">
        <f>"600780783"</f>
        <v>0</v>
      </c>
      <c r="D7598">
        <v>0</v>
      </c>
      <c r="E7598">
        <v>0</v>
      </c>
      <c r="F7598" s="2">
        <v>0</v>
      </c>
      <c r="H7598">
        <v>0</v>
      </c>
      <c r="I7598">
        <v>0.1741125760648204</v>
      </c>
      <c r="J7598">
        <v>0</v>
      </c>
      <c r="K7598">
        <v>0</v>
      </c>
      <c r="L7598" s="2">
        <v>0</v>
      </c>
      <c r="M7598">
        <v>75.16</v>
      </c>
      <c r="N7598" t="s">
        <v>10236</v>
      </c>
    </row>
    <row r="7599" spans="1:14">
      <c r="A7599" t="s">
        <v>205</v>
      </c>
      <c r="B7599" t="s">
        <v>7596</v>
      </c>
      <c r="C7599">
        <f>"KITPFGM0V"</f>
        <v>0</v>
      </c>
      <c r="D7599">
        <v>0</v>
      </c>
      <c r="E7599">
        <v>0</v>
      </c>
      <c r="F7599" s="2">
        <v>0</v>
      </c>
      <c r="H7599">
        <v>0</v>
      </c>
      <c r="I7599">
        <v>0.1741125760648204</v>
      </c>
      <c r="J7599">
        <v>0</v>
      </c>
      <c r="K7599">
        <v>0</v>
      </c>
      <c r="L7599" s="2">
        <v>0</v>
      </c>
      <c r="M7599">
        <v>75.17</v>
      </c>
      <c r="N7599" t="s">
        <v>10236</v>
      </c>
    </row>
    <row r="7600" spans="1:14">
      <c r="A7600" t="s">
        <v>205</v>
      </c>
      <c r="B7600" t="s">
        <v>7597</v>
      </c>
      <c r="C7600">
        <f>"KITPFGM0M"</f>
        <v>0</v>
      </c>
      <c r="D7600">
        <v>0</v>
      </c>
      <c r="E7600">
        <v>0</v>
      </c>
      <c r="F7600" s="2">
        <v>0</v>
      </c>
      <c r="H7600">
        <v>0</v>
      </c>
      <c r="I7600">
        <v>0.1741125760648204</v>
      </c>
      <c r="J7600">
        <v>0</v>
      </c>
      <c r="K7600">
        <v>0</v>
      </c>
      <c r="L7600" s="2">
        <v>0</v>
      </c>
      <c r="M7600">
        <v>75.18000000000001</v>
      </c>
      <c r="N7600" t="s">
        <v>10236</v>
      </c>
    </row>
    <row r="7601" spans="1:14">
      <c r="A7601" t="s">
        <v>35</v>
      </c>
      <c r="B7601" t="s">
        <v>7598</v>
      </c>
      <c r="C7601">
        <f>"KM5090ROS"</f>
        <v>0</v>
      </c>
      <c r="D7601">
        <v>0</v>
      </c>
      <c r="E7601">
        <v>3</v>
      </c>
      <c r="F7601" s="2">
        <v>9</v>
      </c>
      <c r="H7601">
        <v>0</v>
      </c>
      <c r="I7601">
        <v>0.1741125760648204</v>
      </c>
      <c r="J7601">
        <v>0</v>
      </c>
      <c r="K7601">
        <v>0</v>
      </c>
      <c r="L7601" s="2">
        <v>0</v>
      </c>
      <c r="M7601">
        <v>75.19</v>
      </c>
      <c r="N7601" t="s">
        <v>10236</v>
      </c>
    </row>
    <row r="7602" spans="1:14">
      <c r="A7602" t="s">
        <v>35</v>
      </c>
      <c r="B7602" t="s">
        <v>7599</v>
      </c>
      <c r="C7602">
        <f>"KM5090CE"</f>
        <v>0</v>
      </c>
      <c r="D7602">
        <v>0</v>
      </c>
      <c r="E7602">
        <v>0</v>
      </c>
      <c r="F7602" s="2">
        <v>0</v>
      </c>
      <c r="H7602">
        <v>0</v>
      </c>
      <c r="I7602">
        <v>0.1741125760648204</v>
      </c>
      <c r="J7602">
        <v>0</v>
      </c>
      <c r="K7602">
        <v>0</v>
      </c>
      <c r="L7602" s="2">
        <v>0</v>
      </c>
      <c r="M7602">
        <v>75.2</v>
      </c>
      <c r="N7602" t="s">
        <v>10236</v>
      </c>
    </row>
    <row r="7603" spans="1:14">
      <c r="A7603" t="s">
        <v>35</v>
      </c>
      <c r="B7603" t="s">
        <v>7600</v>
      </c>
      <c r="C7603">
        <f>"QSFW2218M"</f>
        <v>0</v>
      </c>
      <c r="D7603">
        <v>0</v>
      </c>
      <c r="E7603">
        <v>0</v>
      </c>
      <c r="F7603" s="2">
        <v>0</v>
      </c>
      <c r="H7603">
        <v>0</v>
      </c>
      <c r="I7603">
        <v>0.1741125760648204</v>
      </c>
      <c r="J7603">
        <v>0</v>
      </c>
      <c r="K7603">
        <v>0</v>
      </c>
      <c r="L7603" s="2">
        <v>0</v>
      </c>
      <c r="M7603">
        <v>75.20999999999999</v>
      </c>
      <c r="N7603" t="s">
        <v>10236</v>
      </c>
    </row>
    <row r="7604" spans="1:14">
      <c r="A7604" t="s">
        <v>35</v>
      </c>
      <c r="B7604" t="s">
        <v>7601</v>
      </c>
      <c r="C7604">
        <f>"QSFW2218L"</f>
        <v>0</v>
      </c>
      <c r="D7604">
        <v>0</v>
      </c>
      <c r="E7604">
        <v>0</v>
      </c>
      <c r="F7604" s="2">
        <v>0</v>
      </c>
      <c r="H7604">
        <v>0</v>
      </c>
      <c r="I7604">
        <v>0.1741125760648204</v>
      </c>
      <c r="J7604">
        <v>0</v>
      </c>
      <c r="K7604">
        <v>0</v>
      </c>
      <c r="L7604" s="2">
        <v>0</v>
      </c>
      <c r="M7604">
        <v>75.22</v>
      </c>
      <c r="N7604" t="s">
        <v>10236</v>
      </c>
    </row>
    <row r="7605" spans="1:14">
      <c r="A7605" t="s">
        <v>205</v>
      </c>
      <c r="B7605" t="s">
        <v>7602</v>
      </c>
      <c r="C7605">
        <f>"PFGM013"</f>
        <v>0</v>
      </c>
      <c r="D7605">
        <v>0</v>
      </c>
      <c r="E7605">
        <v>0</v>
      </c>
      <c r="F7605" s="2">
        <v>0</v>
      </c>
      <c r="H7605">
        <v>0</v>
      </c>
      <c r="I7605">
        <v>0.1741125760648204</v>
      </c>
      <c r="J7605">
        <v>0</v>
      </c>
      <c r="K7605">
        <v>0</v>
      </c>
      <c r="L7605" s="2">
        <v>0</v>
      </c>
      <c r="M7605">
        <v>75.23</v>
      </c>
      <c r="N7605" t="s">
        <v>10236</v>
      </c>
    </row>
    <row r="7606" spans="1:14">
      <c r="A7606" t="s">
        <v>35</v>
      </c>
      <c r="B7606" t="s">
        <v>7603</v>
      </c>
      <c r="C7606">
        <f>"AX0515M"</f>
        <v>0</v>
      </c>
      <c r="D7606">
        <v>0</v>
      </c>
      <c r="E7606">
        <v>0</v>
      </c>
      <c r="F7606" s="2">
        <v>0</v>
      </c>
      <c r="H7606">
        <v>0</v>
      </c>
      <c r="I7606">
        <v>0.1741125760648204</v>
      </c>
      <c r="J7606">
        <v>0</v>
      </c>
      <c r="K7606">
        <v>0</v>
      </c>
      <c r="L7606" s="2">
        <v>0</v>
      </c>
      <c r="M7606">
        <v>75.23999999999999</v>
      </c>
      <c r="N7606" t="s">
        <v>10236</v>
      </c>
    </row>
    <row r="7607" spans="1:14">
      <c r="A7607" t="s">
        <v>35</v>
      </c>
      <c r="B7607" t="s">
        <v>7604</v>
      </c>
      <c r="C7607">
        <f>"AX0028"</f>
        <v>0</v>
      </c>
      <c r="D7607">
        <v>0</v>
      </c>
      <c r="E7607">
        <v>0</v>
      </c>
      <c r="F7607" s="2">
        <v>0</v>
      </c>
      <c r="H7607">
        <v>0</v>
      </c>
      <c r="I7607">
        <v>0.1741125760648204</v>
      </c>
      <c r="J7607">
        <v>0</v>
      </c>
      <c r="K7607">
        <v>0</v>
      </c>
      <c r="L7607" s="2">
        <v>0</v>
      </c>
      <c r="M7607">
        <v>75.25</v>
      </c>
      <c r="N7607" t="s">
        <v>10236</v>
      </c>
    </row>
    <row r="7608" spans="1:14">
      <c r="A7608" t="s">
        <v>35</v>
      </c>
      <c r="B7608" t="s">
        <v>7605</v>
      </c>
      <c r="C7608">
        <f>"7656L"</f>
        <v>0</v>
      </c>
      <c r="D7608">
        <v>0</v>
      </c>
      <c r="E7608">
        <v>3</v>
      </c>
      <c r="F7608" s="2">
        <v>15</v>
      </c>
      <c r="H7608">
        <v>0</v>
      </c>
      <c r="I7608">
        <v>0.1741125760648204</v>
      </c>
      <c r="J7608">
        <v>0</v>
      </c>
      <c r="K7608">
        <v>0</v>
      </c>
      <c r="L7608" s="2">
        <v>0</v>
      </c>
      <c r="M7608">
        <v>75.26000000000001</v>
      </c>
      <c r="N7608" t="s">
        <v>10236</v>
      </c>
    </row>
    <row r="7609" spans="1:14">
      <c r="A7609" t="s">
        <v>25</v>
      </c>
      <c r="B7609" t="s">
        <v>7606</v>
      </c>
      <c r="C7609">
        <f>"RJ141"</f>
        <v>0</v>
      </c>
      <c r="D7609">
        <v>0</v>
      </c>
      <c r="E7609">
        <v>0</v>
      </c>
      <c r="F7609" s="2">
        <v>0</v>
      </c>
      <c r="H7609">
        <v>0</v>
      </c>
      <c r="I7609">
        <v>0.1741125760648204</v>
      </c>
      <c r="J7609">
        <v>0</v>
      </c>
      <c r="K7609">
        <v>0</v>
      </c>
      <c r="L7609" s="2">
        <v>0</v>
      </c>
      <c r="M7609">
        <v>75.26000000000001</v>
      </c>
      <c r="N7609" t="s">
        <v>10236</v>
      </c>
    </row>
    <row r="7610" spans="1:14">
      <c r="A7610" t="s">
        <v>25</v>
      </c>
      <c r="B7610" t="s">
        <v>7607</v>
      </c>
      <c r="C7610">
        <f>"RY29SRC"</f>
        <v>0</v>
      </c>
      <c r="D7610">
        <v>0</v>
      </c>
      <c r="E7610">
        <v>2</v>
      </c>
      <c r="F7610" s="2">
        <v>2</v>
      </c>
      <c r="H7610">
        <v>0</v>
      </c>
      <c r="I7610">
        <v>0.1741125760648204</v>
      </c>
      <c r="J7610">
        <v>0</v>
      </c>
      <c r="K7610">
        <v>0</v>
      </c>
      <c r="L7610" s="2">
        <v>0</v>
      </c>
      <c r="M7610">
        <v>75.27</v>
      </c>
      <c r="N7610" t="s">
        <v>10236</v>
      </c>
    </row>
    <row r="7611" spans="1:14">
      <c r="A7611" t="s">
        <v>25</v>
      </c>
      <c r="B7611" t="s">
        <v>7608</v>
      </c>
      <c r="C7611">
        <f>"RY29LRC"</f>
        <v>0</v>
      </c>
      <c r="D7611">
        <v>0</v>
      </c>
      <c r="E7611">
        <v>0</v>
      </c>
      <c r="F7611" s="2">
        <v>0</v>
      </c>
      <c r="H7611">
        <v>0</v>
      </c>
      <c r="I7611">
        <v>0.1741125760648204</v>
      </c>
      <c r="J7611">
        <v>0</v>
      </c>
      <c r="K7611">
        <v>0</v>
      </c>
      <c r="L7611" s="2">
        <v>0</v>
      </c>
      <c r="M7611">
        <v>75.28</v>
      </c>
      <c r="N7611" t="s">
        <v>10236</v>
      </c>
    </row>
    <row r="7612" spans="1:14">
      <c r="A7612" t="s">
        <v>25</v>
      </c>
      <c r="B7612" t="s">
        <v>7609</v>
      </c>
      <c r="C7612">
        <f>"RY29SB"</f>
        <v>0</v>
      </c>
      <c r="D7612">
        <v>0</v>
      </c>
      <c r="E7612">
        <v>2</v>
      </c>
      <c r="F7612" s="2">
        <v>1</v>
      </c>
      <c r="H7612">
        <v>0</v>
      </c>
      <c r="I7612">
        <v>0.1741125760648204</v>
      </c>
      <c r="J7612">
        <v>0</v>
      </c>
      <c r="K7612">
        <v>0</v>
      </c>
      <c r="L7612" s="2">
        <v>0</v>
      </c>
      <c r="M7612">
        <v>75.29000000000001</v>
      </c>
      <c r="N7612" t="s">
        <v>10236</v>
      </c>
    </row>
    <row r="7613" spans="1:14">
      <c r="A7613" t="s">
        <v>25</v>
      </c>
      <c r="B7613" t="s">
        <v>7610</v>
      </c>
      <c r="C7613">
        <f>"RY29LB"</f>
        <v>0</v>
      </c>
      <c r="D7613">
        <v>0</v>
      </c>
      <c r="E7613">
        <v>5</v>
      </c>
      <c r="F7613" s="2">
        <v>2</v>
      </c>
      <c r="H7613">
        <v>0</v>
      </c>
      <c r="I7613">
        <v>0.1741125760648204</v>
      </c>
      <c r="J7613">
        <v>0</v>
      </c>
      <c r="K7613">
        <v>0</v>
      </c>
      <c r="L7613" s="2">
        <v>0</v>
      </c>
      <c r="M7613">
        <v>75.3</v>
      </c>
      <c r="N7613" t="s">
        <v>10236</v>
      </c>
    </row>
    <row r="7614" spans="1:14">
      <c r="A7614" t="s">
        <v>35</v>
      </c>
      <c r="B7614" t="s">
        <v>7611</v>
      </c>
      <c r="C7614">
        <f>"AX0159L"</f>
        <v>0</v>
      </c>
      <c r="D7614">
        <v>0</v>
      </c>
      <c r="E7614">
        <v>0</v>
      </c>
      <c r="F7614" s="2">
        <v>0</v>
      </c>
      <c r="H7614">
        <v>0</v>
      </c>
      <c r="I7614">
        <v>0.1741125760648204</v>
      </c>
      <c r="J7614">
        <v>0</v>
      </c>
      <c r="K7614">
        <v>0</v>
      </c>
      <c r="L7614" s="2">
        <v>0</v>
      </c>
      <c r="M7614">
        <v>75.31</v>
      </c>
      <c r="N7614" t="s">
        <v>10236</v>
      </c>
    </row>
    <row r="7615" spans="1:14">
      <c r="A7615" t="s">
        <v>35</v>
      </c>
      <c r="B7615" t="s">
        <v>7612</v>
      </c>
      <c r="C7615">
        <f>"29695803970"</f>
        <v>0</v>
      </c>
      <c r="D7615">
        <v>0</v>
      </c>
      <c r="E7615">
        <v>0</v>
      </c>
      <c r="F7615" s="2">
        <v>0</v>
      </c>
      <c r="H7615">
        <v>0</v>
      </c>
      <c r="I7615">
        <v>0.1741125760648204</v>
      </c>
      <c r="J7615">
        <v>0</v>
      </c>
      <c r="K7615">
        <v>0</v>
      </c>
      <c r="L7615" s="2">
        <v>0</v>
      </c>
      <c r="M7615">
        <v>75.31999999999999</v>
      </c>
      <c r="N7615" t="s">
        <v>10236</v>
      </c>
    </row>
    <row r="7616" spans="1:14">
      <c r="A7616" t="s">
        <v>25</v>
      </c>
      <c r="B7616" t="s">
        <v>7613</v>
      </c>
      <c r="C7616">
        <f>"LLL134"</f>
        <v>0</v>
      </c>
      <c r="D7616">
        <v>0</v>
      </c>
      <c r="E7616">
        <v>0</v>
      </c>
      <c r="F7616" s="2">
        <v>0</v>
      </c>
      <c r="H7616">
        <v>0</v>
      </c>
      <c r="I7616">
        <v>0.1741125760648204</v>
      </c>
      <c r="J7616">
        <v>0</v>
      </c>
      <c r="K7616">
        <v>0</v>
      </c>
      <c r="L7616" s="2">
        <v>0</v>
      </c>
      <c r="M7616">
        <v>75.33</v>
      </c>
      <c r="N7616" t="s">
        <v>10236</v>
      </c>
    </row>
    <row r="7617" spans="1:14">
      <c r="A7617" t="s">
        <v>35</v>
      </c>
      <c r="B7617" t="s">
        <v>7614</v>
      </c>
      <c r="C7617">
        <f>"8264MN"</f>
        <v>0</v>
      </c>
      <c r="D7617">
        <v>0</v>
      </c>
      <c r="E7617">
        <v>0</v>
      </c>
      <c r="F7617" s="2">
        <v>0</v>
      </c>
      <c r="H7617">
        <v>0</v>
      </c>
      <c r="I7617">
        <v>0.1741125760648204</v>
      </c>
      <c r="J7617">
        <v>0</v>
      </c>
      <c r="K7617">
        <v>0</v>
      </c>
      <c r="L7617" s="2">
        <v>0</v>
      </c>
      <c r="M7617">
        <v>75.34</v>
      </c>
      <c r="N7617" t="s">
        <v>10236</v>
      </c>
    </row>
    <row r="7618" spans="1:14">
      <c r="A7618" t="s">
        <v>35</v>
      </c>
      <c r="B7618" t="s">
        <v>7615</v>
      </c>
      <c r="C7618">
        <f>"8406"</f>
        <v>0</v>
      </c>
      <c r="D7618">
        <v>0</v>
      </c>
      <c r="E7618">
        <v>1</v>
      </c>
      <c r="F7618" s="2">
        <v>17</v>
      </c>
      <c r="H7618">
        <v>0</v>
      </c>
      <c r="I7618">
        <v>0.1741125760648204</v>
      </c>
      <c r="J7618">
        <v>0</v>
      </c>
      <c r="K7618">
        <v>0</v>
      </c>
      <c r="L7618" s="2">
        <v>0</v>
      </c>
      <c r="M7618">
        <v>75.34999999999999</v>
      </c>
      <c r="N7618" t="s">
        <v>10236</v>
      </c>
    </row>
    <row r="7619" spans="1:14">
      <c r="A7619" t="s">
        <v>35</v>
      </c>
      <c r="B7619" t="s">
        <v>7616</v>
      </c>
      <c r="C7619">
        <f>"2550"</f>
        <v>0</v>
      </c>
      <c r="D7619">
        <v>0</v>
      </c>
      <c r="E7619">
        <v>0</v>
      </c>
      <c r="F7619" s="2">
        <v>0</v>
      </c>
      <c r="H7619">
        <v>0</v>
      </c>
      <c r="I7619">
        <v>0.1741125760648204</v>
      </c>
      <c r="J7619">
        <v>0</v>
      </c>
      <c r="K7619">
        <v>0</v>
      </c>
      <c r="L7619" s="2">
        <v>0</v>
      </c>
      <c r="M7619">
        <v>75.36</v>
      </c>
      <c r="N7619" t="s">
        <v>10236</v>
      </c>
    </row>
    <row r="7620" spans="1:14">
      <c r="A7620" t="s">
        <v>35</v>
      </c>
      <c r="B7620" t="s">
        <v>7617</v>
      </c>
      <c r="C7620">
        <f>"AX0604M"</f>
        <v>0</v>
      </c>
      <c r="D7620">
        <v>0</v>
      </c>
      <c r="E7620">
        <v>0</v>
      </c>
      <c r="F7620" s="2">
        <v>0</v>
      </c>
      <c r="H7620">
        <v>0</v>
      </c>
      <c r="I7620">
        <v>0.1741125760648204</v>
      </c>
      <c r="J7620">
        <v>0</v>
      </c>
      <c r="K7620">
        <v>0</v>
      </c>
      <c r="L7620" s="2">
        <v>0</v>
      </c>
      <c r="M7620">
        <v>75.37</v>
      </c>
      <c r="N7620" t="s">
        <v>10236</v>
      </c>
    </row>
    <row r="7621" spans="1:14">
      <c r="A7621" t="s">
        <v>35</v>
      </c>
      <c r="B7621" t="s">
        <v>7618</v>
      </c>
      <c r="C7621">
        <f>"AX0515S"</f>
        <v>0</v>
      </c>
      <c r="D7621">
        <v>0</v>
      </c>
      <c r="E7621">
        <v>0</v>
      </c>
      <c r="F7621" s="2">
        <v>0</v>
      </c>
      <c r="H7621">
        <v>0</v>
      </c>
      <c r="I7621">
        <v>0.1741125760648204</v>
      </c>
      <c r="J7621">
        <v>0</v>
      </c>
      <c r="K7621">
        <v>0</v>
      </c>
      <c r="L7621" s="2">
        <v>0</v>
      </c>
      <c r="M7621">
        <v>75.38</v>
      </c>
      <c r="N7621" t="s">
        <v>10236</v>
      </c>
    </row>
    <row r="7622" spans="1:14">
      <c r="A7622" t="s">
        <v>35</v>
      </c>
      <c r="B7622" t="s">
        <v>7619</v>
      </c>
      <c r="C7622">
        <f>"PD50022"</f>
        <v>0</v>
      </c>
      <c r="D7622">
        <v>0</v>
      </c>
      <c r="E7622">
        <v>2</v>
      </c>
      <c r="F7622" s="2">
        <v>12</v>
      </c>
      <c r="H7622">
        <v>0</v>
      </c>
      <c r="I7622">
        <v>0.1741125760648204</v>
      </c>
      <c r="J7622">
        <v>0</v>
      </c>
      <c r="K7622">
        <v>0</v>
      </c>
      <c r="L7622" s="2">
        <v>0</v>
      </c>
      <c r="M7622">
        <v>75.38</v>
      </c>
      <c r="N7622" t="s">
        <v>10236</v>
      </c>
    </row>
    <row r="7623" spans="1:14">
      <c r="A7623" t="s">
        <v>35</v>
      </c>
      <c r="B7623" t="s">
        <v>7620</v>
      </c>
      <c r="C7623">
        <f>"KW6030SNG"</f>
        <v>0</v>
      </c>
      <c r="D7623">
        <v>0</v>
      </c>
      <c r="E7623">
        <v>0</v>
      </c>
      <c r="F7623" s="2">
        <v>0</v>
      </c>
      <c r="H7623">
        <v>0</v>
      </c>
      <c r="I7623">
        <v>0.1741125760648204</v>
      </c>
      <c r="J7623">
        <v>0</v>
      </c>
      <c r="K7623">
        <v>0</v>
      </c>
      <c r="L7623" s="2">
        <v>0</v>
      </c>
      <c r="M7623">
        <v>75.39</v>
      </c>
      <c r="N7623" t="s">
        <v>10236</v>
      </c>
    </row>
    <row r="7624" spans="1:14">
      <c r="A7624" t="s">
        <v>35</v>
      </c>
      <c r="B7624" t="s">
        <v>7621</v>
      </c>
      <c r="C7624">
        <f>"KW6030LNG"</f>
        <v>0</v>
      </c>
      <c r="D7624">
        <v>0</v>
      </c>
      <c r="E7624">
        <v>1</v>
      </c>
      <c r="F7624" s="2">
        <v>20</v>
      </c>
      <c r="H7624">
        <v>0</v>
      </c>
      <c r="I7624">
        <v>0.1741125760648204</v>
      </c>
      <c r="J7624">
        <v>0</v>
      </c>
      <c r="K7624">
        <v>0</v>
      </c>
      <c r="L7624" s="2">
        <v>0</v>
      </c>
      <c r="M7624">
        <v>75.40000000000001</v>
      </c>
      <c r="N7624" t="s">
        <v>10236</v>
      </c>
    </row>
    <row r="7625" spans="1:14">
      <c r="A7625" t="s">
        <v>35</v>
      </c>
      <c r="B7625" t="s">
        <v>7622</v>
      </c>
      <c r="C7625">
        <f>"KW6030LMR"</f>
        <v>0</v>
      </c>
      <c r="D7625">
        <v>0</v>
      </c>
      <c r="E7625">
        <v>1</v>
      </c>
      <c r="F7625" s="2">
        <v>20</v>
      </c>
      <c r="H7625">
        <v>0</v>
      </c>
      <c r="I7625">
        <v>0.1741125760648204</v>
      </c>
      <c r="J7625">
        <v>0</v>
      </c>
      <c r="K7625">
        <v>0</v>
      </c>
      <c r="L7625" s="2">
        <v>0</v>
      </c>
      <c r="M7625">
        <v>75.41</v>
      </c>
      <c r="N7625" t="s">
        <v>10236</v>
      </c>
    </row>
    <row r="7626" spans="1:14">
      <c r="A7626" t="s">
        <v>35</v>
      </c>
      <c r="B7626" t="s">
        <v>7623</v>
      </c>
      <c r="C7626">
        <f>"8404"</f>
        <v>0</v>
      </c>
      <c r="D7626">
        <v>0</v>
      </c>
      <c r="E7626">
        <v>1</v>
      </c>
      <c r="F7626" s="2">
        <v>12</v>
      </c>
      <c r="H7626">
        <v>0</v>
      </c>
      <c r="I7626">
        <v>0.1741125760648204</v>
      </c>
      <c r="J7626">
        <v>0</v>
      </c>
      <c r="K7626">
        <v>0</v>
      </c>
      <c r="L7626" s="2">
        <v>0</v>
      </c>
      <c r="M7626">
        <v>75.42</v>
      </c>
      <c r="N7626" t="s">
        <v>10236</v>
      </c>
    </row>
    <row r="7627" spans="1:14">
      <c r="A7627" t="s">
        <v>29</v>
      </c>
      <c r="B7627" t="s">
        <v>7624</v>
      </c>
      <c r="C7627">
        <f>"TBX"</f>
        <v>0</v>
      </c>
      <c r="D7627">
        <v>0</v>
      </c>
      <c r="E7627">
        <v>0</v>
      </c>
      <c r="F7627" s="2">
        <v>0</v>
      </c>
      <c r="H7627">
        <v>0</v>
      </c>
      <c r="I7627">
        <v>0.1741125760648204</v>
      </c>
      <c r="J7627">
        <v>0</v>
      </c>
      <c r="K7627">
        <v>0</v>
      </c>
      <c r="L7627" s="2">
        <v>0</v>
      </c>
      <c r="M7627">
        <v>75.43000000000001</v>
      </c>
      <c r="N7627" t="s">
        <v>10236</v>
      </c>
    </row>
    <row r="7628" spans="1:14">
      <c r="A7628" t="s">
        <v>32</v>
      </c>
      <c r="B7628" t="s">
        <v>7625</v>
      </c>
      <c r="C7628">
        <f>"10221"</f>
        <v>0</v>
      </c>
      <c r="D7628">
        <v>0</v>
      </c>
      <c r="E7628">
        <v>0</v>
      </c>
      <c r="F7628" s="2">
        <v>0</v>
      </c>
      <c r="H7628">
        <v>0</v>
      </c>
      <c r="I7628">
        <v>0.1741125760648204</v>
      </c>
      <c r="J7628">
        <v>0</v>
      </c>
      <c r="K7628">
        <v>0</v>
      </c>
      <c r="L7628" s="2">
        <v>0</v>
      </c>
      <c r="M7628">
        <v>75.44</v>
      </c>
      <c r="N7628" t="s">
        <v>10236</v>
      </c>
    </row>
    <row r="7629" spans="1:14">
      <c r="A7629" t="s">
        <v>35</v>
      </c>
      <c r="B7629" t="s">
        <v>7626</v>
      </c>
      <c r="C7629">
        <f>"ZHP"</f>
        <v>0</v>
      </c>
      <c r="D7629">
        <v>0</v>
      </c>
      <c r="E7629">
        <v>0</v>
      </c>
      <c r="F7629" s="2">
        <v>0</v>
      </c>
      <c r="H7629">
        <v>0</v>
      </c>
      <c r="I7629">
        <v>0.1741125760648204</v>
      </c>
      <c r="J7629">
        <v>0</v>
      </c>
      <c r="K7629">
        <v>0</v>
      </c>
      <c r="L7629" s="2">
        <v>0</v>
      </c>
      <c r="M7629">
        <v>75.45</v>
      </c>
      <c r="N7629" t="s">
        <v>10236</v>
      </c>
    </row>
    <row r="7630" spans="1:14">
      <c r="A7630" t="s">
        <v>35</v>
      </c>
      <c r="B7630" t="s">
        <v>7627</v>
      </c>
      <c r="C7630">
        <f>"X1341MV"</f>
        <v>0</v>
      </c>
      <c r="D7630">
        <v>0</v>
      </c>
      <c r="E7630">
        <v>0</v>
      </c>
      <c r="F7630" s="2">
        <v>0</v>
      </c>
      <c r="H7630">
        <v>0</v>
      </c>
      <c r="I7630">
        <v>0.1741125760648204</v>
      </c>
      <c r="J7630">
        <v>0</v>
      </c>
      <c r="K7630">
        <v>0</v>
      </c>
      <c r="L7630" s="2">
        <v>0</v>
      </c>
      <c r="M7630">
        <v>75.45999999999999</v>
      </c>
      <c r="N7630" t="s">
        <v>10236</v>
      </c>
    </row>
    <row r="7631" spans="1:14">
      <c r="A7631" t="s">
        <v>35</v>
      </c>
      <c r="B7631" t="s">
        <v>7628</v>
      </c>
      <c r="C7631">
        <f>"XB09072AZ"</f>
        <v>0</v>
      </c>
      <c r="D7631">
        <v>0</v>
      </c>
      <c r="E7631">
        <v>2</v>
      </c>
      <c r="F7631" s="2">
        <v>5</v>
      </c>
      <c r="H7631">
        <v>0</v>
      </c>
      <c r="I7631">
        <v>0.1741125760648204</v>
      </c>
      <c r="J7631">
        <v>0</v>
      </c>
      <c r="K7631">
        <v>0</v>
      </c>
      <c r="L7631" s="2">
        <v>0</v>
      </c>
      <c r="M7631">
        <v>75.47</v>
      </c>
      <c r="N7631" t="s">
        <v>10236</v>
      </c>
    </row>
    <row r="7632" spans="1:14">
      <c r="A7632" t="s">
        <v>25</v>
      </c>
      <c r="B7632" t="s">
        <v>7629</v>
      </c>
      <c r="C7632">
        <f>"ZVP2256"</f>
        <v>0</v>
      </c>
      <c r="D7632">
        <v>0</v>
      </c>
      <c r="E7632">
        <v>0</v>
      </c>
      <c r="F7632" s="2">
        <v>0</v>
      </c>
      <c r="H7632">
        <v>0</v>
      </c>
      <c r="I7632">
        <v>0.1741125760648204</v>
      </c>
      <c r="J7632">
        <v>0</v>
      </c>
      <c r="K7632">
        <v>0</v>
      </c>
      <c r="L7632" s="2">
        <v>0</v>
      </c>
      <c r="M7632">
        <v>75.48</v>
      </c>
      <c r="N7632" t="s">
        <v>10236</v>
      </c>
    </row>
    <row r="7633" spans="1:14">
      <c r="A7633" t="s">
        <v>35</v>
      </c>
      <c r="B7633" t="s">
        <v>7630</v>
      </c>
      <c r="C7633">
        <f>"7011246"</f>
        <v>0</v>
      </c>
      <c r="D7633">
        <v>0</v>
      </c>
      <c r="E7633">
        <v>2</v>
      </c>
      <c r="F7633" s="2">
        <v>25</v>
      </c>
      <c r="H7633">
        <v>0</v>
      </c>
      <c r="I7633">
        <v>0.1741125760648204</v>
      </c>
      <c r="J7633">
        <v>0</v>
      </c>
      <c r="K7633">
        <v>0</v>
      </c>
      <c r="L7633" s="2">
        <v>0</v>
      </c>
      <c r="M7633">
        <v>75.48999999999999</v>
      </c>
      <c r="N7633" t="s">
        <v>10236</v>
      </c>
    </row>
    <row r="7634" spans="1:14">
      <c r="A7634" t="s">
        <v>35</v>
      </c>
      <c r="B7634" t="s">
        <v>7631</v>
      </c>
      <c r="C7634">
        <f>"041C"</f>
        <v>0</v>
      </c>
      <c r="D7634">
        <v>0</v>
      </c>
      <c r="E7634">
        <v>0</v>
      </c>
      <c r="F7634" s="2">
        <v>0</v>
      </c>
      <c r="H7634">
        <v>0</v>
      </c>
      <c r="I7634">
        <v>0.1741125760648204</v>
      </c>
      <c r="J7634">
        <v>0</v>
      </c>
      <c r="K7634">
        <v>0</v>
      </c>
      <c r="L7634" s="2">
        <v>0</v>
      </c>
      <c r="M7634">
        <v>75.5</v>
      </c>
      <c r="N7634" t="s">
        <v>10236</v>
      </c>
    </row>
    <row r="7635" spans="1:14">
      <c r="A7635" t="s">
        <v>35</v>
      </c>
      <c r="B7635" t="s">
        <v>7632</v>
      </c>
      <c r="C7635">
        <f>"PT015XSFA"</f>
        <v>0</v>
      </c>
      <c r="D7635">
        <v>0</v>
      </c>
      <c r="E7635">
        <v>1</v>
      </c>
      <c r="F7635" s="2">
        <v>2</v>
      </c>
      <c r="H7635">
        <v>0</v>
      </c>
      <c r="I7635">
        <v>0.1741125760648204</v>
      </c>
      <c r="J7635">
        <v>0</v>
      </c>
      <c r="K7635">
        <v>0</v>
      </c>
      <c r="L7635" s="2">
        <v>0</v>
      </c>
      <c r="M7635">
        <v>75.5</v>
      </c>
      <c r="N7635" t="s">
        <v>10236</v>
      </c>
    </row>
    <row r="7636" spans="1:14">
      <c r="A7636" t="s">
        <v>35</v>
      </c>
      <c r="B7636" t="s">
        <v>7633</v>
      </c>
      <c r="C7636">
        <f>"PT015MFA"</f>
        <v>0</v>
      </c>
      <c r="D7636">
        <v>0</v>
      </c>
      <c r="E7636">
        <v>0</v>
      </c>
      <c r="F7636" s="2">
        <v>0</v>
      </c>
      <c r="H7636">
        <v>0</v>
      </c>
      <c r="I7636">
        <v>0.1741125760648204</v>
      </c>
      <c r="J7636">
        <v>0</v>
      </c>
      <c r="K7636">
        <v>0</v>
      </c>
      <c r="L7636" s="2">
        <v>0</v>
      </c>
      <c r="M7636">
        <v>75.51000000000001</v>
      </c>
      <c r="N7636" t="s">
        <v>10236</v>
      </c>
    </row>
    <row r="7637" spans="1:14">
      <c r="A7637" t="s">
        <v>35</v>
      </c>
      <c r="B7637" t="s">
        <v>7634</v>
      </c>
      <c r="C7637">
        <f>"AX0159S"</f>
        <v>0</v>
      </c>
      <c r="D7637">
        <v>0</v>
      </c>
      <c r="E7637">
        <v>0</v>
      </c>
      <c r="F7637" s="2">
        <v>0</v>
      </c>
      <c r="H7637">
        <v>0</v>
      </c>
      <c r="I7637">
        <v>0.1741125760648204</v>
      </c>
      <c r="J7637">
        <v>0</v>
      </c>
      <c r="K7637">
        <v>0</v>
      </c>
      <c r="L7637" s="2">
        <v>0</v>
      </c>
      <c r="M7637">
        <v>75.52</v>
      </c>
      <c r="N7637" t="s">
        <v>10236</v>
      </c>
    </row>
    <row r="7638" spans="1:14">
      <c r="A7638" t="s">
        <v>35</v>
      </c>
      <c r="B7638" t="s">
        <v>7635</v>
      </c>
      <c r="C7638">
        <f>"PT015LFA"</f>
        <v>0</v>
      </c>
      <c r="D7638">
        <v>0</v>
      </c>
      <c r="E7638">
        <v>0</v>
      </c>
      <c r="F7638" s="2">
        <v>0</v>
      </c>
      <c r="H7638">
        <v>0</v>
      </c>
      <c r="I7638">
        <v>0.1741125760648204</v>
      </c>
      <c r="J7638">
        <v>0</v>
      </c>
      <c r="K7638">
        <v>0</v>
      </c>
      <c r="L7638" s="2">
        <v>0</v>
      </c>
      <c r="M7638">
        <v>75.53</v>
      </c>
      <c r="N7638" t="s">
        <v>10236</v>
      </c>
    </row>
    <row r="7639" spans="1:14">
      <c r="A7639" t="s">
        <v>35</v>
      </c>
      <c r="B7639" t="s">
        <v>7636</v>
      </c>
      <c r="C7639">
        <f>"XB1813AZL"</f>
        <v>0</v>
      </c>
      <c r="D7639">
        <v>0</v>
      </c>
      <c r="E7639">
        <v>1</v>
      </c>
      <c r="F7639" s="2">
        <v>8</v>
      </c>
      <c r="H7639">
        <v>0</v>
      </c>
      <c r="I7639">
        <v>0.1741125760648204</v>
      </c>
      <c r="J7639">
        <v>0</v>
      </c>
      <c r="K7639">
        <v>0</v>
      </c>
      <c r="L7639" s="2">
        <v>0</v>
      </c>
      <c r="M7639">
        <v>75.54000000000001</v>
      </c>
      <c r="N7639" t="s">
        <v>10236</v>
      </c>
    </row>
    <row r="7640" spans="1:14">
      <c r="A7640" t="s">
        <v>35</v>
      </c>
      <c r="B7640" t="s">
        <v>7637</v>
      </c>
      <c r="C7640">
        <f>"XB1813AZM"</f>
        <v>0</v>
      </c>
      <c r="D7640">
        <v>0</v>
      </c>
      <c r="E7640">
        <v>1</v>
      </c>
      <c r="F7640" s="2">
        <v>8</v>
      </c>
      <c r="H7640">
        <v>0</v>
      </c>
      <c r="I7640">
        <v>0.1741125760648204</v>
      </c>
      <c r="J7640">
        <v>0</v>
      </c>
      <c r="K7640">
        <v>0</v>
      </c>
      <c r="L7640" s="2">
        <v>0</v>
      </c>
      <c r="M7640">
        <v>75.55</v>
      </c>
      <c r="N7640" t="s">
        <v>10236</v>
      </c>
    </row>
    <row r="7641" spans="1:14">
      <c r="A7641" t="s">
        <v>35</v>
      </c>
      <c r="B7641" t="s">
        <v>7638</v>
      </c>
      <c r="C7641">
        <f>"XB1813AZS"</f>
        <v>0</v>
      </c>
      <c r="D7641">
        <v>0</v>
      </c>
      <c r="E7641">
        <v>2</v>
      </c>
      <c r="F7641" s="2">
        <v>8</v>
      </c>
      <c r="H7641">
        <v>0</v>
      </c>
      <c r="I7641">
        <v>0.1741125760648204</v>
      </c>
      <c r="J7641">
        <v>0</v>
      </c>
      <c r="K7641">
        <v>0</v>
      </c>
      <c r="L7641" s="2">
        <v>0</v>
      </c>
      <c r="M7641">
        <v>75.56</v>
      </c>
      <c r="N7641" t="s">
        <v>10236</v>
      </c>
    </row>
    <row r="7642" spans="1:14">
      <c r="A7642" t="s">
        <v>35</v>
      </c>
      <c r="B7642" t="s">
        <v>7639</v>
      </c>
      <c r="C7642">
        <f>"XB1813AZXS"</f>
        <v>0</v>
      </c>
      <c r="D7642">
        <v>0</v>
      </c>
      <c r="E7642">
        <v>1</v>
      </c>
      <c r="F7642" s="2">
        <v>8</v>
      </c>
      <c r="H7642">
        <v>0</v>
      </c>
      <c r="I7642">
        <v>0.1741125760648204</v>
      </c>
      <c r="J7642">
        <v>0</v>
      </c>
      <c r="K7642">
        <v>0</v>
      </c>
      <c r="L7642" s="2">
        <v>0</v>
      </c>
      <c r="M7642">
        <v>75.56999999999999</v>
      </c>
      <c r="N7642" t="s">
        <v>10236</v>
      </c>
    </row>
    <row r="7643" spans="1:14">
      <c r="A7643" t="s">
        <v>35</v>
      </c>
      <c r="B7643" t="s">
        <v>7640</v>
      </c>
      <c r="C7643">
        <f>"XB1813AXL"</f>
        <v>0</v>
      </c>
      <c r="D7643">
        <v>0</v>
      </c>
      <c r="E7643">
        <v>7</v>
      </c>
      <c r="F7643" s="2">
        <v>8</v>
      </c>
      <c r="H7643">
        <v>0</v>
      </c>
      <c r="I7643">
        <v>0.1741125760648204</v>
      </c>
      <c r="J7643">
        <v>0</v>
      </c>
      <c r="K7643">
        <v>0</v>
      </c>
      <c r="L7643" s="2">
        <v>0</v>
      </c>
      <c r="M7643">
        <v>75.58</v>
      </c>
      <c r="N7643" t="s">
        <v>10236</v>
      </c>
    </row>
    <row r="7644" spans="1:14">
      <c r="A7644" t="s">
        <v>35</v>
      </c>
      <c r="B7644" t="s">
        <v>7641</v>
      </c>
      <c r="C7644">
        <f>"XB1813AL"</f>
        <v>0</v>
      </c>
      <c r="D7644">
        <v>0</v>
      </c>
      <c r="E7644">
        <v>2</v>
      </c>
      <c r="F7644" s="2">
        <v>8</v>
      </c>
      <c r="H7644">
        <v>0</v>
      </c>
      <c r="I7644">
        <v>0.1741125760648204</v>
      </c>
      <c r="J7644">
        <v>0</v>
      </c>
      <c r="K7644">
        <v>0</v>
      </c>
      <c r="L7644" s="2">
        <v>0</v>
      </c>
      <c r="M7644">
        <v>75.59</v>
      </c>
      <c r="N7644" t="s">
        <v>10236</v>
      </c>
    </row>
    <row r="7645" spans="1:14">
      <c r="A7645" t="s">
        <v>35</v>
      </c>
      <c r="B7645" t="s">
        <v>7642</v>
      </c>
      <c r="C7645">
        <f>"XB1813AM"</f>
        <v>0</v>
      </c>
      <c r="D7645">
        <v>0</v>
      </c>
      <c r="E7645">
        <v>2</v>
      </c>
      <c r="F7645" s="2">
        <v>8</v>
      </c>
      <c r="H7645">
        <v>0</v>
      </c>
      <c r="I7645">
        <v>0.1741125760648204</v>
      </c>
      <c r="J7645">
        <v>0</v>
      </c>
      <c r="K7645">
        <v>0</v>
      </c>
      <c r="L7645" s="2">
        <v>0</v>
      </c>
      <c r="M7645">
        <v>75.59999999999999</v>
      </c>
      <c r="N7645" t="s">
        <v>10236</v>
      </c>
    </row>
    <row r="7646" spans="1:14">
      <c r="A7646" t="s">
        <v>35</v>
      </c>
      <c r="B7646" t="s">
        <v>7643</v>
      </c>
      <c r="C7646">
        <f>"XB1813AXS"</f>
        <v>0</v>
      </c>
      <c r="D7646">
        <v>0</v>
      </c>
      <c r="E7646">
        <v>3</v>
      </c>
      <c r="F7646" s="2">
        <v>8</v>
      </c>
      <c r="H7646">
        <v>0</v>
      </c>
      <c r="I7646">
        <v>0.1741125760648204</v>
      </c>
      <c r="J7646">
        <v>0</v>
      </c>
      <c r="K7646">
        <v>0</v>
      </c>
      <c r="L7646" s="2">
        <v>0</v>
      </c>
      <c r="M7646">
        <v>75.61</v>
      </c>
      <c r="N7646" t="s">
        <v>10236</v>
      </c>
    </row>
    <row r="7647" spans="1:14">
      <c r="A7647" t="s">
        <v>35</v>
      </c>
      <c r="B7647" t="s">
        <v>7644</v>
      </c>
      <c r="C7647">
        <f>"XB09071NE"</f>
        <v>0</v>
      </c>
      <c r="D7647">
        <v>0</v>
      </c>
      <c r="E7647">
        <v>0</v>
      </c>
      <c r="F7647" s="2">
        <v>0</v>
      </c>
      <c r="H7647">
        <v>0</v>
      </c>
      <c r="I7647">
        <v>0.1741125760648204</v>
      </c>
      <c r="J7647">
        <v>0</v>
      </c>
      <c r="K7647">
        <v>0</v>
      </c>
      <c r="L7647" s="2">
        <v>0</v>
      </c>
      <c r="M7647">
        <v>75.61</v>
      </c>
      <c r="N7647" t="s">
        <v>10236</v>
      </c>
    </row>
    <row r="7648" spans="1:14">
      <c r="A7648" t="s">
        <v>196</v>
      </c>
      <c r="B7648" t="s">
        <v>7645</v>
      </c>
      <c r="C7648">
        <f>"2200"</f>
        <v>0</v>
      </c>
      <c r="D7648">
        <v>0</v>
      </c>
      <c r="E7648">
        <v>1</v>
      </c>
      <c r="F7648" s="2">
        <v>4</v>
      </c>
      <c r="H7648">
        <v>0</v>
      </c>
      <c r="I7648">
        <v>0.1741125760648204</v>
      </c>
      <c r="J7648">
        <v>0</v>
      </c>
      <c r="K7648">
        <v>0</v>
      </c>
      <c r="L7648" s="2">
        <v>0</v>
      </c>
      <c r="M7648">
        <v>75.62</v>
      </c>
      <c r="N7648" t="s">
        <v>10236</v>
      </c>
    </row>
    <row r="7649" spans="1:14">
      <c r="A7649" t="s">
        <v>35</v>
      </c>
      <c r="B7649" t="s">
        <v>7646</v>
      </c>
      <c r="C7649">
        <f>"XB1813AS"</f>
        <v>0</v>
      </c>
      <c r="D7649">
        <v>0</v>
      </c>
      <c r="E7649">
        <v>2</v>
      </c>
      <c r="F7649" s="2">
        <v>8</v>
      </c>
      <c r="H7649">
        <v>0</v>
      </c>
      <c r="I7649">
        <v>0.1741125760648204</v>
      </c>
      <c r="J7649">
        <v>0</v>
      </c>
      <c r="K7649">
        <v>0</v>
      </c>
      <c r="L7649" s="2">
        <v>0</v>
      </c>
      <c r="M7649">
        <v>75.63</v>
      </c>
      <c r="N7649" t="s">
        <v>10236</v>
      </c>
    </row>
    <row r="7650" spans="1:14">
      <c r="A7650" t="s">
        <v>35</v>
      </c>
      <c r="B7650" t="s">
        <v>7647</v>
      </c>
      <c r="C7650">
        <f>"3025V"</f>
        <v>0</v>
      </c>
      <c r="D7650">
        <v>0</v>
      </c>
      <c r="E7650">
        <v>0</v>
      </c>
      <c r="F7650" s="2">
        <v>0</v>
      </c>
      <c r="H7650">
        <v>0</v>
      </c>
      <c r="I7650">
        <v>0.1741125760648204</v>
      </c>
      <c r="J7650">
        <v>0</v>
      </c>
      <c r="K7650">
        <v>0</v>
      </c>
      <c r="L7650" s="2">
        <v>0</v>
      </c>
      <c r="M7650">
        <v>75.64</v>
      </c>
      <c r="N7650" t="s">
        <v>10236</v>
      </c>
    </row>
    <row r="7651" spans="1:14">
      <c r="A7651" t="s">
        <v>35</v>
      </c>
      <c r="B7651" t="s">
        <v>7648</v>
      </c>
      <c r="C7651">
        <f>"311M"</f>
        <v>0</v>
      </c>
      <c r="D7651">
        <v>0</v>
      </c>
      <c r="E7651">
        <v>0</v>
      </c>
      <c r="F7651" s="2">
        <v>0</v>
      </c>
      <c r="H7651">
        <v>0</v>
      </c>
      <c r="I7651">
        <v>0.1741125760648204</v>
      </c>
      <c r="J7651">
        <v>0</v>
      </c>
      <c r="K7651">
        <v>0</v>
      </c>
      <c r="L7651" s="2">
        <v>0</v>
      </c>
      <c r="M7651">
        <v>75.65000000000001</v>
      </c>
      <c r="N7651" t="s">
        <v>10236</v>
      </c>
    </row>
    <row r="7652" spans="1:14">
      <c r="A7652" t="s">
        <v>35</v>
      </c>
      <c r="B7652" t="s">
        <v>7649</v>
      </c>
      <c r="C7652">
        <f>"X1341SV"</f>
        <v>0</v>
      </c>
      <c r="D7652">
        <v>0</v>
      </c>
      <c r="E7652">
        <v>2</v>
      </c>
      <c r="F7652" s="2">
        <v>3</v>
      </c>
      <c r="H7652">
        <v>0</v>
      </c>
      <c r="I7652">
        <v>0.1741125760648204</v>
      </c>
      <c r="J7652">
        <v>0</v>
      </c>
      <c r="K7652">
        <v>0</v>
      </c>
      <c r="L7652" s="2">
        <v>0</v>
      </c>
      <c r="M7652">
        <v>75.66</v>
      </c>
      <c r="N7652" t="s">
        <v>10236</v>
      </c>
    </row>
    <row r="7653" spans="1:14">
      <c r="A7653" t="s">
        <v>35</v>
      </c>
      <c r="B7653" t="s">
        <v>7650</v>
      </c>
      <c r="C7653">
        <f>"PT015MCCEL"</f>
        <v>0</v>
      </c>
      <c r="D7653">
        <v>0</v>
      </c>
      <c r="E7653">
        <v>1</v>
      </c>
      <c r="F7653" s="2">
        <v>3</v>
      </c>
      <c r="H7653">
        <v>0</v>
      </c>
      <c r="I7653">
        <v>0.1741125760648204</v>
      </c>
      <c r="J7653">
        <v>0</v>
      </c>
      <c r="K7653">
        <v>0</v>
      </c>
      <c r="L7653" s="2">
        <v>0</v>
      </c>
      <c r="M7653">
        <v>75.67</v>
      </c>
      <c r="N7653" t="s">
        <v>10236</v>
      </c>
    </row>
    <row r="7654" spans="1:14">
      <c r="A7654" t="s">
        <v>35</v>
      </c>
      <c r="B7654" t="s">
        <v>7651</v>
      </c>
      <c r="C7654">
        <f>"AX0159M"</f>
        <v>0</v>
      </c>
      <c r="D7654">
        <v>0</v>
      </c>
      <c r="E7654">
        <v>0</v>
      </c>
      <c r="F7654" s="2">
        <v>0</v>
      </c>
      <c r="H7654">
        <v>0</v>
      </c>
      <c r="I7654">
        <v>0.1741125760648204</v>
      </c>
      <c r="J7654">
        <v>0</v>
      </c>
      <c r="K7654">
        <v>0</v>
      </c>
      <c r="L7654" s="2">
        <v>0</v>
      </c>
      <c r="M7654">
        <v>75.68000000000001</v>
      </c>
      <c r="N7654" t="s">
        <v>10236</v>
      </c>
    </row>
    <row r="7655" spans="1:14">
      <c r="A7655" t="s">
        <v>35</v>
      </c>
      <c r="B7655" t="s">
        <v>7652</v>
      </c>
      <c r="C7655">
        <f>"8414S"</f>
        <v>0</v>
      </c>
      <c r="D7655">
        <v>0</v>
      </c>
      <c r="E7655">
        <v>0</v>
      </c>
      <c r="F7655" s="2">
        <v>0</v>
      </c>
      <c r="H7655">
        <v>0</v>
      </c>
      <c r="I7655">
        <v>0.1741125760648204</v>
      </c>
      <c r="J7655">
        <v>0</v>
      </c>
      <c r="K7655">
        <v>0</v>
      </c>
      <c r="L7655" s="2">
        <v>0</v>
      </c>
      <c r="M7655">
        <v>75.69</v>
      </c>
      <c r="N7655" t="s">
        <v>10236</v>
      </c>
    </row>
    <row r="7656" spans="1:14">
      <c r="A7656" t="s">
        <v>35</v>
      </c>
      <c r="B7656" t="s">
        <v>7653</v>
      </c>
      <c r="C7656">
        <f>"8414M"</f>
        <v>0</v>
      </c>
      <c r="D7656">
        <v>0</v>
      </c>
      <c r="E7656">
        <v>0</v>
      </c>
      <c r="F7656" s="2">
        <v>0</v>
      </c>
      <c r="H7656">
        <v>0</v>
      </c>
      <c r="I7656">
        <v>0.1741125760648204</v>
      </c>
      <c r="J7656">
        <v>0</v>
      </c>
      <c r="K7656">
        <v>0</v>
      </c>
      <c r="L7656" s="2">
        <v>0</v>
      </c>
      <c r="M7656">
        <v>75.7</v>
      </c>
      <c r="N7656" t="s">
        <v>10236</v>
      </c>
    </row>
    <row r="7657" spans="1:14">
      <c r="A7657" t="s">
        <v>35</v>
      </c>
      <c r="B7657" t="s">
        <v>7654</v>
      </c>
      <c r="C7657">
        <f>"8414L"</f>
        <v>0</v>
      </c>
      <c r="D7657">
        <v>0</v>
      </c>
      <c r="E7657">
        <v>0</v>
      </c>
      <c r="F7657" s="2">
        <v>0</v>
      </c>
      <c r="H7657">
        <v>0</v>
      </c>
      <c r="I7657">
        <v>0.1741125760648204</v>
      </c>
      <c r="J7657">
        <v>0</v>
      </c>
      <c r="K7657">
        <v>0</v>
      </c>
      <c r="L7657" s="2">
        <v>0</v>
      </c>
      <c r="M7657">
        <v>75.70999999999999</v>
      </c>
      <c r="N7657" t="s">
        <v>10236</v>
      </c>
    </row>
    <row r="7658" spans="1:14">
      <c r="A7658" t="s">
        <v>35</v>
      </c>
      <c r="B7658" t="s">
        <v>7655</v>
      </c>
      <c r="C7658">
        <f>"CCCXL"</f>
        <v>0</v>
      </c>
      <c r="D7658">
        <v>0</v>
      </c>
      <c r="E7658">
        <v>1</v>
      </c>
      <c r="F7658" s="2">
        <v>17</v>
      </c>
      <c r="H7658">
        <v>0</v>
      </c>
      <c r="I7658">
        <v>0.1741125760648204</v>
      </c>
      <c r="J7658">
        <v>0</v>
      </c>
      <c r="K7658">
        <v>0</v>
      </c>
      <c r="L7658" s="2">
        <v>0</v>
      </c>
      <c r="M7658">
        <v>75.72</v>
      </c>
      <c r="N7658" t="s">
        <v>10236</v>
      </c>
    </row>
    <row r="7659" spans="1:14">
      <c r="A7659" t="s">
        <v>35</v>
      </c>
      <c r="B7659" t="s">
        <v>7656</v>
      </c>
      <c r="C7659">
        <f>"CCCL"</f>
        <v>0</v>
      </c>
      <c r="D7659">
        <v>0</v>
      </c>
      <c r="E7659">
        <v>0</v>
      </c>
      <c r="F7659" s="2">
        <v>0</v>
      </c>
      <c r="H7659">
        <v>0</v>
      </c>
      <c r="I7659">
        <v>0.1741125760648204</v>
      </c>
      <c r="J7659">
        <v>0</v>
      </c>
      <c r="K7659">
        <v>0</v>
      </c>
      <c r="L7659" s="2">
        <v>0</v>
      </c>
      <c r="M7659">
        <v>75.73</v>
      </c>
      <c r="N7659" t="s">
        <v>10236</v>
      </c>
    </row>
    <row r="7660" spans="1:14">
      <c r="A7660" t="s">
        <v>35</v>
      </c>
      <c r="B7660" t="s">
        <v>7657</v>
      </c>
      <c r="C7660">
        <f>"8319MGV"</f>
        <v>0</v>
      </c>
      <c r="D7660">
        <v>0</v>
      </c>
      <c r="E7660">
        <v>0</v>
      </c>
      <c r="F7660" s="2">
        <v>0</v>
      </c>
      <c r="H7660">
        <v>0</v>
      </c>
      <c r="I7660">
        <v>0.1741125760648204</v>
      </c>
      <c r="J7660">
        <v>0</v>
      </c>
      <c r="K7660">
        <v>0</v>
      </c>
      <c r="L7660" s="2">
        <v>0</v>
      </c>
      <c r="M7660">
        <v>75.73</v>
      </c>
      <c r="N7660" t="s">
        <v>10236</v>
      </c>
    </row>
    <row r="7661" spans="1:14">
      <c r="A7661" t="s">
        <v>35</v>
      </c>
      <c r="B7661" t="s">
        <v>7658</v>
      </c>
      <c r="C7661">
        <f>"8322MAR"</f>
        <v>0</v>
      </c>
      <c r="D7661">
        <v>0</v>
      </c>
      <c r="E7661">
        <v>1</v>
      </c>
      <c r="F7661" s="2">
        <v>18</v>
      </c>
      <c r="H7661">
        <v>0</v>
      </c>
      <c r="I7661">
        <v>0.1741125760648204</v>
      </c>
      <c r="J7661">
        <v>0</v>
      </c>
      <c r="K7661">
        <v>0</v>
      </c>
      <c r="L7661" s="2">
        <v>0</v>
      </c>
      <c r="M7661">
        <v>75.73999999999999</v>
      </c>
      <c r="N7661" t="s">
        <v>10236</v>
      </c>
    </row>
    <row r="7662" spans="1:14">
      <c r="A7662" t="s">
        <v>35</v>
      </c>
      <c r="B7662" t="s">
        <v>7659</v>
      </c>
      <c r="C7662">
        <f>"8330MAG"</f>
        <v>0</v>
      </c>
      <c r="D7662">
        <v>0</v>
      </c>
      <c r="E7662">
        <v>0</v>
      </c>
      <c r="F7662" s="2">
        <v>0</v>
      </c>
      <c r="H7662">
        <v>0</v>
      </c>
      <c r="I7662">
        <v>0.1741125760648204</v>
      </c>
      <c r="J7662">
        <v>0</v>
      </c>
      <c r="K7662">
        <v>0</v>
      </c>
      <c r="L7662" s="2">
        <v>0</v>
      </c>
      <c r="M7662">
        <v>75.75</v>
      </c>
      <c r="N7662" t="s">
        <v>10236</v>
      </c>
    </row>
    <row r="7663" spans="1:14">
      <c r="A7663" t="s">
        <v>35</v>
      </c>
      <c r="B7663" t="s">
        <v>7660</v>
      </c>
      <c r="C7663">
        <f>"8328LNG"</f>
        <v>0</v>
      </c>
      <c r="D7663">
        <v>0</v>
      </c>
      <c r="E7663">
        <v>0</v>
      </c>
      <c r="F7663" s="2">
        <v>0</v>
      </c>
      <c r="H7663">
        <v>0</v>
      </c>
      <c r="I7663">
        <v>0.1741125760648204</v>
      </c>
      <c r="J7663">
        <v>0</v>
      </c>
      <c r="K7663">
        <v>0</v>
      </c>
      <c r="L7663" s="2">
        <v>0</v>
      </c>
      <c r="M7663">
        <v>75.76000000000001</v>
      </c>
      <c r="N7663" t="s">
        <v>10236</v>
      </c>
    </row>
    <row r="7664" spans="1:14">
      <c r="A7664" t="s">
        <v>35</v>
      </c>
      <c r="B7664" t="s">
        <v>7661</v>
      </c>
      <c r="C7664">
        <f>"8323LAR"</f>
        <v>0</v>
      </c>
      <c r="D7664">
        <v>0</v>
      </c>
      <c r="E7664">
        <v>0</v>
      </c>
      <c r="F7664" s="2">
        <v>0</v>
      </c>
      <c r="H7664">
        <v>0</v>
      </c>
      <c r="I7664">
        <v>0.1741125760648204</v>
      </c>
      <c r="J7664">
        <v>0</v>
      </c>
      <c r="K7664">
        <v>0</v>
      </c>
      <c r="L7664" s="2">
        <v>0</v>
      </c>
      <c r="M7664">
        <v>75.77</v>
      </c>
      <c r="N7664" t="s">
        <v>10236</v>
      </c>
    </row>
    <row r="7665" spans="1:14">
      <c r="A7665" t="s">
        <v>35</v>
      </c>
      <c r="B7665" t="s">
        <v>7662</v>
      </c>
      <c r="C7665">
        <f>"8265LA"</f>
        <v>0</v>
      </c>
      <c r="D7665">
        <v>0</v>
      </c>
      <c r="E7665">
        <v>0</v>
      </c>
      <c r="F7665" s="2">
        <v>0</v>
      </c>
      <c r="H7665">
        <v>0</v>
      </c>
      <c r="I7665">
        <v>0.1741125760648204</v>
      </c>
      <c r="J7665">
        <v>0</v>
      </c>
      <c r="K7665">
        <v>0</v>
      </c>
      <c r="L7665" s="2">
        <v>0</v>
      </c>
      <c r="M7665">
        <v>75.78</v>
      </c>
      <c r="N7665" t="s">
        <v>10236</v>
      </c>
    </row>
    <row r="7666" spans="1:14">
      <c r="A7666" t="s">
        <v>35</v>
      </c>
      <c r="B7666" t="s">
        <v>7663</v>
      </c>
      <c r="C7666">
        <f>"KW6005SG"</f>
        <v>0</v>
      </c>
      <c r="D7666">
        <v>0</v>
      </c>
      <c r="E7666">
        <v>1</v>
      </c>
      <c r="F7666" s="2">
        <v>4</v>
      </c>
      <c r="H7666">
        <v>0</v>
      </c>
      <c r="I7666">
        <v>0.1741125760648204</v>
      </c>
      <c r="J7666">
        <v>0</v>
      </c>
      <c r="K7666">
        <v>0</v>
      </c>
      <c r="L7666" s="2">
        <v>0</v>
      </c>
      <c r="M7666">
        <v>75.79000000000001</v>
      </c>
      <c r="N7666" t="s">
        <v>10236</v>
      </c>
    </row>
    <row r="7667" spans="1:14">
      <c r="A7667" t="s">
        <v>35</v>
      </c>
      <c r="B7667" t="s">
        <v>7664</v>
      </c>
      <c r="C7667">
        <f>"KW6005MR"</f>
        <v>0</v>
      </c>
      <c r="D7667">
        <v>0</v>
      </c>
      <c r="E7667">
        <v>0</v>
      </c>
      <c r="F7667" s="2">
        <v>0</v>
      </c>
      <c r="H7667">
        <v>0</v>
      </c>
      <c r="I7667">
        <v>0.1741125760648204</v>
      </c>
      <c r="J7667">
        <v>0</v>
      </c>
      <c r="K7667">
        <v>0</v>
      </c>
      <c r="L7667" s="2">
        <v>0</v>
      </c>
      <c r="M7667">
        <v>75.8</v>
      </c>
      <c r="N7667" t="s">
        <v>10236</v>
      </c>
    </row>
    <row r="7668" spans="1:14">
      <c r="A7668" t="s">
        <v>35</v>
      </c>
      <c r="B7668" t="s">
        <v>7665</v>
      </c>
      <c r="C7668">
        <f>"1592509330550"</f>
        <v>0</v>
      </c>
      <c r="D7668">
        <v>0</v>
      </c>
      <c r="E7668">
        <v>0</v>
      </c>
      <c r="F7668" s="2">
        <v>0</v>
      </c>
      <c r="H7668">
        <v>0</v>
      </c>
      <c r="I7668">
        <v>0.1741125760648204</v>
      </c>
      <c r="J7668">
        <v>0</v>
      </c>
      <c r="K7668">
        <v>0</v>
      </c>
      <c r="L7668" s="2">
        <v>0</v>
      </c>
      <c r="M7668">
        <v>75.81</v>
      </c>
      <c r="N7668" t="s">
        <v>10236</v>
      </c>
    </row>
    <row r="7669" spans="1:14">
      <c r="A7669" t="s">
        <v>35</v>
      </c>
      <c r="B7669" t="s">
        <v>7666</v>
      </c>
      <c r="C7669">
        <f>"JXV1806XL"</f>
        <v>0</v>
      </c>
      <c r="D7669">
        <v>0</v>
      </c>
      <c r="E7669">
        <v>0</v>
      </c>
      <c r="F7669" s="2">
        <v>0</v>
      </c>
      <c r="H7669">
        <v>0</v>
      </c>
      <c r="I7669">
        <v>0.1741125760648204</v>
      </c>
      <c r="J7669">
        <v>0</v>
      </c>
      <c r="K7669">
        <v>0</v>
      </c>
      <c r="L7669" s="2">
        <v>0</v>
      </c>
      <c r="M7669">
        <v>75.81999999999999</v>
      </c>
      <c r="N7669" t="s">
        <v>10236</v>
      </c>
    </row>
    <row r="7670" spans="1:14">
      <c r="A7670" t="s">
        <v>35</v>
      </c>
      <c r="B7670" t="s">
        <v>7667</v>
      </c>
      <c r="C7670">
        <f>"JXV1806S"</f>
        <v>0</v>
      </c>
      <c r="D7670">
        <v>0</v>
      </c>
      <c r="E7670">
        <v>0</v>
      </c>
      <c r="F7670" s="2">
        <v>0</v>
      </c>
      <c r="H7670">
        <v>0</v>
      </c>
      <c r="I7670">
        <v>0.1741125760648204</v>
      </c>
      <c r="J7670">
        <v>0</v>
      </c>
      <c r="K7670">
        <v>0</v>
      </c>
      <c r="L7670" s="2">
        <v>0</v>
      </c>
      <c r="M7670">
        <v>75.83</v>
      </c>
      <c r="N7670" t="s">
        <v>10236</v>
      </c>
    </row>
    <row r="7671" spans="1:14">
      <c r="A7671" t="s">
        <v>35</v>
      </c>
      <c r="B7671" t="s">
        <v>7668</v>
      </c>
      <c r="C7671">
        <f>"AX0515NS"</f>
        <v>0</v>
      </c>
      <c r="D7671">
        <v>0</v>
      </c>
      <c r="E7671">
        <v>0</v>
      </c>
      <c r="F7671" s="2">
        <v>0</v>
      </c>
      <c r="H7671">
        <v>0</v>
      </c>
      <c r="I7671">
        <v>0.1741125760648204</v>
      </c>
      <c r="J7671">
        <v>0</v>
      </c>
      <c r="K7671">
        <v>0</v>
      </c>
      <c r="L7671" s="2">
        <v>0</v>
      </c>
      <c r="M7671">
        <v>75.84</v>
      </c>
      <c r="N7671" t="s">
        <v>10236</v>
      </c>
    </row>
    <row r="7672" spans="1:14">
      <c r="A7672" t="s">
        <v>35</v>
      </c>
      <c r="B7672" t="s">
        <v>7669</v>
      </c>
      <c r="C7672">
        <f>"KW6005LG"</f>
        <v>0</v>
      </c>
      <c r="D7672">
        <v>0</v>
      </c>
      <c r="E7672">
        <v>0</v>
      </c>
      <c r="F7672" s="2">
        <v>0</v>
      </c>
      <c r="H7672">
        <v>0</v>
      </c>
      <c r="I7672">
        <v>0.1741125760648204</v>
      </c>
      <c r="J7672">
        <v>0</v>
      </c>
      <c r="K7672">
        <v>0</v>
      </c>
      <c r="L7672" s="2">
        <v>0</v>
      </c>
      <c r="M7672">
        <v>75.84999999999999</v>
      </c>
      <c r="N7672" t="s">
        <v>10236</v>
      </c>
    </row>
    <row r="7673" spans="1:14">
      <c r="A7673" t="s">
        <v>35</v>
      </c>
      <c r="B7673" t="s">
        <v>7670</v>
      </c>
      <c r="C7673">
        <f>"KW6005L"</f>
        <v>0</v>
      </c>
      <c r="D7673">
        <v>0</v>
      </c>
      <c r="E7673">
        <v>0</v>
      </c>
      <c r="F7673" s="2">
        <v>0</v>
      </c>
      <c r="H7673">
        <v>0</v>
      </c>
      <c r="I7673">
        <v>0.1741125760648204</v>
      </c>
      <c r="J7673">
        <v>0</v>
      </c>
      <c r="K7673">
        <v>0</v>
      </c>
      <c r="L7673" s="2">
        <v>0</v>
      </c>
      <c r="M7673">
        <v>75.84999999999999</v>
      </c>
      <c r="N7673" t="s">
        <v>10236</v>
      </c>
    </row>
    <row r="7674" spans="1:14">
      <c r="A7674" t="s">
        <v>35</v>
      </c>
      <c r="B7674" t="s">
        <v>7671</v>
      </c>
      <c r="C7674">
        <f>"KW6017S"</f>
        <v>0</v>
      </c>
      <c r="D7674">
        <v>0</v>
      </c>
      <c r="E7674">
        <v>4</v>
      </c>
      <c r="F7674" s="2">
        <v>3</v>
      </c>
      <c r="H7674">
        <v>0</v>
      </c>
      <c r="I7674">
        <v>0.1741125760648204</v>
      </c>
      <c r="J7674">
        <v>0</v>
      </c>
      <c r="K7674">
        <v>0</v>
      </c>
      <c r="L7674" s="2">
        <v>0</v>
      </c>
      <c r="M7674">
        <v>75.86</v>
      </c>
      <c r="N7674" t="s">
        <v>10236</v>
      </c>
    </row>
    <row r="7675" spans="1:14">
      <c r="A7675" t="s">
        <v>35</v>
      </c>
      <c r="B7675" t="s">
        <v>7672</v>
      </c>
      <c r="C7675">
        <f>"KW6017M"</f>
        <v>0</v>
      </c>
      <c r="D7675">
        <v>0</v>
      </c>
      <c r="E7675">
        <v>0</v>
      </c>
      <c r="F7675" s="2">
        <v>0</v>
      </c>
      <c r="H7675">
        <v>0</v>
      </c>
      <c r="I7675">
        <v>0.1741125760648204</v>
      </c>
      <c r="J7675">
        <v>0</v>
      </c>
      <c r="K7675">
        <v>0</v>
      </c>
      <c r="L7675" s="2">
        <v>0</v>
      </c>
      <c r="M7675">
        <v>75.87</v>
      </c>
      <c r="N7675" t="s">
        <v>10236</v>
      </c>
    </row>
    <row r="7676" spans="1:14">
      <c r="A7676" t="s">
        <v>35</v>
      </c>
      <c r="B7676" t="s">
        <v>7673</v>
      </c>
      <c r="C7676">
        <f>"KW6017L"</f>
        <v>0</v>
      </c>
      <c r="D7676">
        <v>0</v>
      </c>
      <c r="E7676">
        <v>0</v>
      </c>
      <c r="F7676" s="2">
        <v>0</v>
      </c>
      <c r="H7676">
        <v>0</v>
      </c>
      <c r="I7676">
        <v>0.1741125760648204</v>
      </c>
      <c r="J7676">
        <v>0</v>
      </c>
      <c r="K7676">
        <v>0</v>
      </c>
      <c r="L7676" s="2">
        <v>0</v>
      </c>
      <c r="M7676">
        <v>75.88</v>
      </c>
      <c r="N7676" t="s">
        <v>10236</v>
      </c>
    </row>
    <row r="7677" spans="1:14">
      <c r="A7677" t="s">
        <v>35</v>
      </c>
      <c r="B7677" t="s">
        <v>7674</v>
      </c>
      <c r="C7677">
        <f>"KW6003S"</f>
        <v>0</v>
      </c>
      <c r="D7677">
        <v>0</v>
      </c>
      <c r="E7677">
        <v>0</v>
      </c>
      <c r="F7677" s="2">
        <v>0</v>
      </c>
      <c r="H7677">
        <v>0</v>
      </c>
      <c r="I7677">
        <v>0.1741125760648204</v>
      </c>
      <c r="J7677">
        <v>0</v>
      </c>
      <c r="K7677">
        <v>0</v>
      </c>
      <c r="L7677" s="2">
        <v>0</v>
      </c>
      <c r="M7677">
        <v>75.89</v>
      </c>
      <c r="N7677" t="s">
        <v>10236</v>
      </c>
    </row>
    <row r="7678" spans="1:14">
      <c r="A7678" t="s">
        <v>35</v>
      </c>
      <c r="B7678" t="s">
        <v>7675</v>
      </c>
      <c r="C7678">
        <f>"KW6003M"</f>
        <v>0</v>
      </c>
      <c r="D7678">
        <v>0</v>
      </c>
      <c r="E7678">
        <v>0</v>
      </c>
      <c r="F7678" s="2">
        <v>0</v>
      </c>
      <c r="H7678">
        <v>0</v>
      </c>
      <c r="I7678">
        <v>0.1741125760648204</v>
      </c>
      <c r="J7678">
        <v>0</v>
      </c>
      <c r="K7678">
        <v>0</v>
      </c>
      <c r="L7678" s="2">
        <v>0</v>
      </c>
      <c r="M7678">
        <v>75.90000000000001</v>
      </c>
      <c r="N7678" t="s">
        <v>10236</v>
      </c>
    </row>
    <row r="7679" spans="1:14">
      <c r="A7679" t="s">
        <v>35</v>
      </c>
      <c r="B7679" t="s">
        <v>7676</v>
      </c>
      <c r="C7679">
        <f>"KW6003L"</f>
        <v>0</v>
      </c>
      <c r="D7679">
        <v>0</v>
      </c>
      <c r="E7679">
        <v>0</v>
      </c>
      <c r="F7679" s="2">
        <v>0</v>
      </c>
      <c r="H7679">
        <v>0</v>
      </c>
      <c r="I7679">
        <v>0.1741125760648204</v>
      </c>
      <c r="J7679">
        <v>0</v>
      </c>
      <c r="K7679">
        <v>0</v>
      </c>
      <c r="L7679" s="2">
        <v>0</v>
      </c>
      <c r="M7679">
        <v>75.91</v>
      </c>
      <c r="N7679" t="s">
        <v>10236</v>
      </c>
    </row>
    <row r="7680" spans="1:14">
      <c r="A7680" t="s">
        <v>35</v>
      </c>
      <c r="B7680" t="s">
        <v>7677</v>
      </c>
      <c r="C7680">
        <f>"8403"</f>
        <v>0</v>
      </c>
      <c r="D7680">
        <v>0</v>
      </c>
      <c r="E7680">
        <v>1</v>
      </c>
      <c r="F7680" s="2">
        <v>11</v>
      </c>
      <c r="H7680">
        <v>0</v>
      </c>
      <c r="I7680">
        <v>0.1741125760648204</v>
      </c>
      <c r="J7680">
        <v>0</v>
      </c>
      <c r="K7680">
        <v>0</v>
      </c>
      <c r="L7680" s="2">
        <v>0</v>
      </c>
      <c r="M7680">
        <v>75.92</v>
      </c>
      <c r="N7680" t="s">
        <v>10236</v>
      </c>
    </row>
    <row r="7681" spans="1:14">
      <c r="A7681" t="s">
        <v>35</v>
      </c>
      <c r="B7681" t="s">
        <v>7678</v>
      </c>
      <c r="C7681">
        <f>"8441"</f>
        <v>0</v>
      </c>
      <c r="D7681">
        <v>0</v>
      </c>
      <c r="E7681">
        <v>2</v>
      </c>
      <c r="F7681" s="2">
        <v>12</v>
      </c>
      <c r="H7681">
        <v>0</v>
      </c>
      <c r="I7681">
        <v>0.1741125760648204</v>
      </c>
      <c r="J7681">
        <v>0</v>
      </c>
      <c r="K7681">
        <v>0</v>
      </c>
      <c r="L7681" s="2">
        <v>0</v>
      </c>
      <c r="M7681">
        <v>75.93000000000001</v>
      </c>
      <c r="N7681" t="s">
        <v>10236</v>
      </c>
    </row>
    <row r="7682" spans="1:14">
      <c r="A7682" t="s">
        <v>35</v>
      </c>
      <c r="B7682" t="s">
        <v>7679</v>
      </c>
      <c r="C7682">
        <f>"8377M"</f>
        <v>0</v>
      </c>
      <c r="D7682">
        <v>0</v>
      </c>
      <c r="E7682">
        <v>1</v>
      </c>
      <c r="F7682" s="2">
        <v>12</v>
      </c>
      <c r="H7682">
        <v>0</v>
      </c>
      <c r="I7682">
        <v>0.1741125760648204</v>
      </c>
      <c r="J7682">
        <v>0</v>
      </c>
      <c r="K7682">
        <v>0</v>
      </c>
      <c r="L7682" s="2">
        <v>0</v>
      </c>
      <c r="M7682">
        <v>75.94</v>
      </c>
      <c r="N7682" t="s">
        <v>10236</v>
      </c>
    </row>
    <row r="7683" spans="1:14">
      <c r="A7683" t="s">
        <v>35</v>
      </c>
      <c r="B7683" t="s">
        <v>7680</v>
      </c>
      <c r="C7683">
        <f>"AX0509S"</f>
        <v>0</v>
      </c>
      <c r="D7683">
        <v>0</v>
      </c>
      <c r="E7683">
        <v>0</v>
      </c>
      <c r="F7683" s="2">
        <v>0</v>
      </c>
      <c r="H7683">
        <v>0</v>
      </c>
      <c r="I7683">
        <v>0.1741125760648204</v>
      </c>
      <c r="J7683">
        <v>0</v>
      </c>
      <c r="K7683">
        <v>0</v>
      </c>
      <c r="L7683" s="2">
        <v>0</v>
      </c>
      <c r="M7683">
        <v>75.95</v>
      </c>
      <c r="N7683" t="s">
        <v>10236</v>
      </c>
    </row>
    <row r="7684" spans="1:14">
      <c r="A7684" t="s">
        <v>35</v>
      </c>
      <c r="B7684" t="s">
        <v>7681</v>
      </c>
      <c r="C7684">
        <f>"KR1001S"</f>
        <v>0</v>
      </c>
      <c r="D7684">
        <v>0</v>
      </c>
      <c r="E7684">
        <v>0</v>
      </c>
      <c r="F7684" s="2">
        <v>0</v>
      </c>
      <c r="H7684">
        <v>0</v>
      </c>
      <c r="I7684">
        <v>0.1741125760648204</v>
      </c>
      <c r="J7684">
        <v>0</v>
      </c>
      <c r="K7684">
        <v>0</v>
      </c>
      <c r="L7684" s="2">
        <v>0</v>
      </c>
      <c r="M7684">
        <v>75.95999999999999</v>
      </c>
      <c r="N7684" t="s">
        <v>10236</v>
      </c>
    </row>
    <row r="7685" spans="1:14">
      <c r="A7685" t="s">
        <v>35</v>
      </c>
      <c r="B7685" t="s">
        <v>7682</v>
      </c>
      <c r="C7685">
        <f>"B1919XXLR"</f>
        <v>0</v>
      </c>
      <c r="D7685">
        <v>0</v>
      </c>
      <c r="E7685">
        <v>26</v>
      </c>
      <c r="F7685" s="2">
        <v>9</v>
      </c>
      <c r="H7685">
        <v>0</v>
      </c>
      <c r="I7685">
        <v>0.1741125760648204</v>
      </c>
      <c r="J7685">
        <v>0</v>
      </c>
      <c r="K7685">
        <v>0</v>
      </c>
      <c r="L7685" s="2">
        <v>0</v>
      </c>
      <c r="M7685">
        <v>75.97</v>
      </c>
      <c r="N7685" t="s">
        <v>10236</v>
      </c>
    </row>
    <row r="7686" spans="1:14">
      <c r="A7686" t="s">
        <v>35</v>
      </c>
      <c r="B7686" t="s">
        <v>7683</v>
      </c>
      <c r="C7686">
        <f>"B1919XLR"</f>
        <v>0</v>
      </c>
      <c r="D7686">
        <v>0</v>
      </c>
      <c r="E7686">
        <v>16</v>
      </c>
      <c r="F7686" s="2">
        <v>9</v>
      </c>
      <c r="H7686">
        <v>0</v>
      </c>
      <c r="I7686">
        <v>0.1741125760648204</v>
      </c>
      <c r="J7686">
        <v>0</v>
      </c>
      <c r="K7686">
        <v>0</v>
      </c>
      <c r="L7686" s="2">
        <v>0</v>
      </c>
      <c r="M7686">
        <v>75.97</v>
      </c>
      <c r="N7686" t="s">
        <v>10236</v>
      </c>
    </row>
    <row r="7687" spans="1:14">
      <c r="A7687" t="s">
        <v>35</v>
      </c>
      <c r="B7687" t="s">
        <v>7684</v>
      </c>
      <c r="C7687">
        <f>"B1919SR"</f>
        <v>0</v>
      </c>
      <c r="D7687">
        <v>0</v>
      </c>
      <c r="E7687">
        <v>16</v>
      </c>
      <c r="F7687" s="2">
        <v>5</v>
      </c>
      <c r="H7687">
        <v>0</v>
      </c>
      <c r="I7687">
        <v>0.1741125760648204</v>
      </c>
      <c r="J7687">
        <v>0</v>
      </c>
      <c r="K7687">
        <v>0</v>
      </c>
      <c r="L7687" s="2">
        <v>0</v>
      </c>
      <c r="M7687">
        <v>75.98</v>
      </c>
      <c r="N7687" t="s">
        <v>10236</v>
      </c>
    </row>
    <row r="7688" spans="1:14">
      <c r="A7688" t="s">
        <v>35</v>
      </c>
      <c r="B7688" t="s">
        <v>7685</v>
      </c>
      <c r="C7688">
        <f>"B1919MR"</f>
        <v>0</v>
      </c>
      <c r="D7688">
        <v>0</v>
      </c>
      <c r="E7688">
        <v>14</v>
      </c>
      <c r="F7688" s="2">
        <v>7</v>
      </c>
      <c r="H7688">
        <v>0</v>
      </c>
      <c r="I7688">
        <v>0.1741125760648204</v>
      </c>
      <c r="J7688">
        <v>0</v>
      </c>
      <c r="K7688">
        <v>0</v>
      </c>
      <c r="L7688" s="2">
        <v>0</v>
      </c>
      <c r="M7688">
        <v>75.98999999999999</v>
      </c>
      <c r="N7688" t="s">
        <v>10236</v>
      </c>
    </row>
    <row r="7689" spans="1:14">
      <c r="A7689" t="s">
        <v>29</v>
      </c>
      <c r="B7689" t="s">
        <v>7686</v>
      </c>
      <c r="C7689">
        <f>"MC916"</f>
        <v>0</v>
      </c>
      <c r="D7689">
        <v>0</v>
      </c>
      <c r="E7689">
        <v>0</v>
      </c>
      <c r="F7689" s="2">
        <v>0</v>
      </c>
      <c r="H7689">
        <v>0</v>
      </c>
      <c r="I7689">
        <v>0.1741125760648204</v>
      </c>
      <c r="J7689">
        <v>0</v>
      </c>
      <c r="K7689">
        <v>0</v>
      </c>
      <c r="L7689" s="2">
        <v>0</v>
      </c>
      <c r="M7689">
        <v>76</v>
      </c>
      <c r="N7689" t="s">
        <v>10236</v>
      </c>
    </row>
    <row r="7690" spans="1:14">
      <c r="A7690" t="s">
        <v>24</v>
      </c>
      <c r="B7690" t="s">
        <v>7687</v>
      </c>
      <c r="C7690">
        <f>"1110181"</f>
        <v>0</v>
      </c>
      <c r="D7690">
        <v>0</v>
      </c>
      <c r="E7690">
        <v>9</v>
      </c>
      <c r="F7690" s="2">
        <v>2</v>
      </c>
      <c r="H7690">
        <v>0</v>
      </c>
      <c r="I7690">
        <v>0.1741125760648204</v>
      </c>
      <c r="J7690">
        <v>0</v>
      </c>
      <c r="K7690">
        <v>0</v>
      </c>
      <c r="L7690" s="2">
        <v>0</v>
      </c>
      <c r="M7690">
        <v>76.01000000000001</v>
      </c>
      <c r="N7690" t="s">
        <v>10236</v>
      </c>
    </row>
    <row r="7691" spans="1:14">
      <c r="A7691" t="s">
        <v>35</v>
      </c>
      <c r="B7691" t="s">
        <v>7688</v>
      </c>
      <c r="C7691">
        <f>"B1919LN"</f>
        <v>0</v>
      </c>
      <c r="D7691">
        <v>0</v>
      </c>
      <c r="E7691">
        <v>20</v>
      </c>
      <c r="F7691" s="2">
        <v>8</v>
      </c>
      <c r="H7691">
        <v>0</v>
      </c>
      <c r="I7691">
        <v>0.1741125760648204</v>
      </c>
      <c r="J7691">
        <v>0</v>
      </c>
      <c r="K7691">
        <v>0</v>
      </c>
      <c r="L7691" s="2">
        <v>0</v>
      </c>
      <c r="M7691">
        <v>76.02</v>
      </c>
      <c r="N7691" t="s">
        <v>10236</v>
      </c>
    </row>
    <row r="7692" spans="1:14">
      <c r="A7692" t="s">
        <v>35</v>
      </c>
      <c r="B7692" t="s">
        <v>7689</v>
      </c>
      <c r="C7692">
        <f>"B1919XXLA"</f>
        <v>0</v>
      </c>
      <c r="D7692">
        <v>0</v>
      </c>
      <c r="E7692">
        <v>6</v>
      </c>
      <c r="F7692" s="2">
        <v>10</v>
      </c>
      <c r="H7692">
        <v>0</v>
      </c>
      <c r="I7692">
        <v>0.1741125760648204</v>
      </c>
      <c r="J7692">
        <v>0</v>
      </c>
      <c r="K7692">
        <v>0</v>
      </c>
      <c r="L7692" s="2">
        <v>0</v>
      </c>
      <c r="M7692">
        <v>76.03</v>
      </c>
      <c r="N7692" t="s">
        <v>10236</v>
      </c>
    </row>
    <row r="7693" spans="1:14">
      <c r="A7693" t="s">
        <v>35</v>
      </c>
      <c r="B7693" t="s">
        <v>7690</v>
      </c>
      <c r="C7693">
        <f>"B1919XLA"</f>
        <v>0</v>
      </c>
      <c r="D7693">
        <v>0</v>
      </c>
      <c r="E7693">
        <v>6</v>
      </c>
      <c r="F7693" s="2">
        <v>8</v>
      </c>
      <c r="H7693">
        <v>0</v>
      </c>
      <c r="I7693">
        <v>0.1741125760648204</v>
      </c>
      <c r="J7693">
        <v>0</v>
      </c>
      <c r="K7693">
        <v>0</v>
      </c>
      <c r="L7693" s="2">
        <v>0</v>
      </c>
      <c r="M7693">
        <v>76.04000000000001</v>
      </c>
      <c r="N7693" t="s">
        <v>10236</v>
      </c>
    </row>
    <row r="7694" spans="1:14">
      <c r="A7694" t="s">
        <v>35</v>
      </c>
      <c r="B7694" t="s">
        <v>7691</v>
      </c>
      <c r="C7694">
        <f>"B1919SA"</f>
        <v>0</v>
      </c>
      <c r="D7694">
        <v>0</v>
      </c>
      <c r="E7694">
        <v>16</v>
      </c>
      <c r="F7694" s="2">
        <v>6</v>
      </c>
      <c r="H7694">
        <v>0</v>
      </c>
      <c r="I7694">
        <v>0.1741125760648204</v>
      </c>
      <c r="J7694">
        <v>0</v>
      </c>
      <c r="K7694">
        <v>0</v>
      </c>
      <c r="L7694" s="2">
        <v>0</v>
      </c>
      <c r="M7694">
        <v>76.05</v>
      </c>
      <c r="N7694" t="s">
        <v>10236</v>
      </c>
    </row>
    <row r="7695" spans="1:14">
      <c r="A7695" t="s">
        <v>207</v>
      </c>
      <c r="B7695" t="s">
        <v>7692</v>
      </c>
      <c r="C7695">
        <f>"1760206090276"</f>
        <v>0</v>
      </c>
      <c r="D7695">
        <v>0</v>
      </c>
      <c r="E7695">
        <v>6</v>
      </c>
      <c r="F7695" s="2">
        <v>8</v>
      </c>
      <c r="H7695">
        <v>0</v>
      </c>
      <c r="I7695">
        <v>0.1741125760648204</v>
      </c>
      <c r="J7695">
        <v>0</v>
      </c>
      <c r="K7695">
        <v>0</v>
      </c>
      <c r="L7695" s="2">
        <v>0</v>
      </c>
      <c r="M7695">
        <v>76.06</v>
      </c>
      <c r="N7695" t="s">
        <v>10236</v>
      </c>
    </row>
    <row r="7696" spans="1:14">
      <c r="A7696" t="s">
        <v>207</v>
      </c>
      <c r="B7696" t="s">
        <v>7693</v>
      </c>
      <c r="C7696">
        <f>"DD01288M"</f>
        <v>0</v>
      </c>
      <c r="D7696">
        <v>0</v>
      </c>
      <c r="E7696">
        <v>5</v>
      </c>
      <c r="F7696" s="2">
        <v>11</v>
      </c>
      <c r="H7696">
        <v>0</v>
      </c>
      <c r="I7696">
        <v>0.1741125760648204</v>
      </c>
      <c r="J7696">
        <v>0</v>
      </c>
      <c r="K7696">
        <v>0</v>
      </c>
      <c r="L7696" s="2">
        <v>0</v>
      </c>
      <c r="M7696">
        <v>76.06999999999999</v>
      </c>
      <c r="N7696" t="s">
        <v>10236</v>
      </c>
    </row>
    <row r="7697" spans="1:14">
      <c r="A7697" t="s">
        <v>35</v>
      </c>
      <c r="B7697" t="s">
        <v>7694</v>
      </c>
      <c r="C7697">
        <f>"FB6735XLV"</f>
        <v>0</v>
      </c>
      <c r="D7697">
        <v>0</v>
      </c>
      <c r="E7697">
        <v>2</v>
      </c>
      <c r="F7697" s="2">
        <v>7</v>
      </c>
      <c r="H7697">
        <v>0</v>
      </c>
      <c r="I7697">
        <v>0.1741125760648204</v>
      </c>
      <c r="J7697">
        <v>0</v>
      </c>
      <c r="K7697">
        <v>0</v>
      </c>
      <c r="L7697" s="2">
        <v>0</v>
      </c>
      <c r="M7697">
        <v>76.08</v>
      </c>
      <c r="N7697" t="s">
        <v>10236</v>
      </c>
    </row>
    <row r="7698" spans="1:14">
      <c r="A7698" t="s">
        <v>35</v>
      </c>
      <c r="B7698" t="s">
        <v>7695</v>
      </c>
      <c r="C7698">
        <f>"FB6735XLR"</f>
        <v>0</v>
      </c>
      <c r="D7698">
        <v>0</v>
      </c>
      <c r="E7698">
        <v>4</v>
      </c>
      <c r="F7698" s="2">
        <v>7</v>
      </c>
      <c r="H7698">
        <v>0</v>
      </c>
      <c r="I7698">
        <v>0.1741125760648204</v>
      </c>
      <c r="J7698">
        <v>0</v>
      </c>
      <c r="K7698">
        <v>0</v>
      </c>
      <c r="L7698" s="2">
        <v>0</v>
      </c>
      <c r="M7698">
        <v>76.09</v>
      </c>
      <c r="N7698" t="s">
        <v>10236</v>
      </c>
    </row>
    <row r="7699" spans="1:14">
      <c r="A7699" t="s">
        <v>25</v>
      </c>
      <c r="B7699" t="s">
        <v>7696</v>
      </c>
      <c r="C7699">
        <f>"RY29SAC"</f>
        <v>0</v>
      </c>
      <c r="D7699">
        <v>0</v>
      </c>
      <c r="E7699">
        <v>2</v>
      </c>
      <c r="F7699" s="2">
        <v>2</v>
      </c>
      <c r="H7699">
        <v>0</v>
      </c>
      <c r="I7699">
        <v>0.1741125760648204</v>
      </c>
      <c r="J7699">
        <v>0</v>
      </c>
      <c r="K7699">
        <v>0</v>
      </c>
      <c r="L7699" s="2">
        <v>0</v>
      </c>
      <c r="M7699">
        <v>76.09</v>
      </c>
      <c r="N7699" t="s">
        <v>10236</v>
      </c>
    </row>
    <row r="7700" spans="1:14">
      <c r="A7700" t="s">
        <v>24</v>
      </c>
      <c r="B7700" t="s">
        <v>7697</v>
      </c>
      <c r="C7700">
        <f>"1510001"</f>
        <v>0</v>
      </c>
      <c r="D7700">
        <v>0</v>
      </c>
      <c r="E7700">
        <v>12</v>
      </c>
      <c r="F7700" s="2">
        <v>5</v>
      </c>
      <c r="H7700">
        <v>0</v>
      </c>
      <c r="I7700">
        <v>0.1741125760648204</v>
      </c>
      <c r="J7700">
        <v>0</v>
      </c>
      <c r="K7700">
        <v>0</v>
      </c>
      <c r="L7700" s="2">
        <v>0</v>
      </c>
      <c r="M7700">
        <v>76.09999999999999</v>
      </c>
      <c r="N7700" t="s">
        <v>10236</v>
      </c>
    </row>
    <row r="7701" spans="1:14">
      <c r="A7701" t="s">
        <v>35</v>
      </c>
      <c r="B7701" t="s">
        <v>7698</v>
      </c>
      <c r="C7701">
        <f>"HC0103"</f>
        <v>0</v>
      </c>
      <c r="D7701">
        <v>0</v>
      </c>
      <c r="E7701">
        <v>0</v>
      </c>
      <c r="F7701" s="2">
        <v>0</v>
      </c>
      <c r="H7701">
        <v>0</v>
      </c>
      <c r="I7701">
        <v>0.1741125760648204</v>
      </c>
      <c r="J7701">
        <v>0</v>
      </c>
      <c r="K7701">
        <v>0</v>
      </c>
      <c r="L7701" s="2">
        <v>0</v>
      </c>
      <c r="M7701">
        <v>76.11</v>
      </c>
      <c r="N7701" t="s">
        <v>10236</v>
      </c>
    </row>
    <row r="7702" spans="1:14">
      <c r="A7702" t="s">
        <v>35</v>
      </c>
      <c r="B7702" t="s">
        <v>7699</v>
      </c>
      <c r="C7702">
        <f>"D311XL"</f>
        <v>0</v>
      </c>
      <c r="D7702">
        <v>0</v>
      </c>
      <c r="E7702">
        <v>12</v>
      </c>
      <c r="F7702" s="2">
        <v>1</v>
      </c>
      <c r="H7702">
        <v>0</v>
      </c>
      <c r="I7702">
        <v>0.1741125760648204</v>
      </c>
      <c r="J7702">
        <v>0</v>
      </c>
      <c r="K7702">
        <v>0</v>
      </c>
      <c r="L7702" s="2">
        <v>0</v>
      </c>
      <c r="M7702">
        <v>76.12</v>
      </c>
      <c r="N7702" t="s">
        <v>10236</v>
      </c>
    </row>
    <row r="7703" spans="1:14">
      <c r="A7703" t="s">
        <v>35</v>
      </c>
      <c r="B7703" t="s">
        <v>7700</v>
      </c>
      <c r="C7703">
        <f>"FB6733XLG"</f>
        <v>0</v>
      </c>
      <c r="D7703">
        <v>0</v>
      </c>
      <c r="E7703">
        <v>0</v>
      </c>
      <c r="F7703" s="2">
        <v>0</v>
      </c>
      <c r="H7703">
        <v>0</v>
      </c>
      <c r="I7703">
        <v>0.1741125760648204</v>
      </c>
      <c r="J7703">
        <v>0</v>
      </c>
      <c r="K7703">
        <v>0</v>
      </c>
      <c r="L7703" s="2">
        <v>0</v>
      </c>
      <c r="M7703">
        <v>76.13</v>
      </c>
      <c r="N7703" t="s">
        <v>10236</v>
      </c>
    </row>
    <row r="7704" spans="1:14">
      <c r="A7704" t="s">
        <v>35</v>
      </c>
      <c r="B7704" t="s">
        <v>7701</v>
      </c>
      <c r="C7704">
        <f>"FB6733XLA"</f>
        <v>0</v>
      </c>
      <c r="D7704">
        <v>0</v>
      </c>
      <c r="E7704">
        <v>5</v>
      </c>
      <c r="F7704" s="2">
        <v>6</v>
      </c>
      <c r="H7704">
        <v>0</v>
      </c>
      <c r="I7704">
        <v>0.1741125760648204</v>
      </c>
      <c r="J7704">
        <v>0</v>
      </c>
      <c r="K7704">
        <v>0</v>
      </c>
      <c r="L7704" s="2">
        <v>0</v>
      </c>
      <c r="M7704">
        <v>76.14</v>
      </c>
      <c r="N7704" t="s">
        <v>10236</v>
      </c>
    </row>
    <row r="7705" spans="1:14">
      <c r="A7705" t="s">
        <v>35</v>
      </c>
      <c r="B7705" t="s">
        <v>7702</v>
      </c>
      <c r="C7705">
        <f>"FB6732XLV"</f>
        <v>0</v>
      </c>
      <c r="D7705">
        <v>0</v>
      </c>
      <c r="E7705">
        <v>4</v>
      </c>
      <c r="F7705" s="2">
        <v>6</v>
      </c>
      <c r="H7705">
        <v>0</v>
      </c>
      <c r="I7705">
        <v>0.1741125760648204</v>
      </c>
      <c r="J7705">
        <v>0</v>
      </c>
      <c r="K7705">
        <v>0</v>
      </c>
      <c r="L7705" s="2">
        <v>0</v>
      </c>
      <c r="M7705">
        <v>76.15000000000001</v>
      </c>
      <c r="N7705" t="s">
        <v>10236</v>
      </c>
    </row>
    <row r="7706" spans="1:14">
      <c r="A7706" t="s">
        <v>35</v>
      </c>
      <c r="B7706" t="s">
        <v>7703</v>
      </c>
      <c r="C7706">
        <f>"FB6732XLR"</f>
        <v>0</v>
      </c>
      <c r="D7706">
        <v>0</v>
      </c>
      <c r="E7706">
        <v>0</v>
      </c>
      <c r="F7706" s="2">
        <v>0</v>
      </c>
      <c r="H7706">
        <v>0</v>
      </c>
      <c r="I7706">
        <v>0.1741125760648204</v>
      </c>
      <c r="J7706">
        <v>0</v>
      </c>
      <c r="K7706">
        <v>0</v>
      </c>
      <c r="L7706" s="2">
        <v>0</v>
      </c>
      <c r="M7706">
        <v>76.16</v>
      </c>
      <c r="N7706" t="s">
        <v>10236</v>
      </c>
    </row>
    <row r="7707" spans="1:14">
      <c r="A7707" t="s">
        <v>35</v>
      </c>
      <c r="B7707" t="s">
        <v>7704</v>
      </c>
      <c r="C7707">
        <f>"FB6732XLG"</f>
        <v>0</v>
      </c>
      <c r="D7707">
        <v>0</v>
      </c>
      <c r="E7707">
        <v>0</v>
      </c>
      <c r="F7707" s="2">
        <v>0</v>
      </c>
      <c r="H7707">
        <v>0</v>
      </c>
      <c r="I7707">
        <v>0.1741125760648204</v>
      </c>
      <c r="J7707">
        <v>0</v>
      </c>
      <c r="K7707">
        <v>0</v>
      </c>
      <c r="L7707" s="2">
        <v>0</v>
      </c>
      <c r="M7707">
        <v>76.17</v>
      </c>
      <c r="N7707" t="s">
        <v>10236</v>
      </c>
    </row>
    <row r="7708" spans="1:14">
      <c r="A7708" t="s">
        <v>35</v>
      </c>
      <c r="B7708" t="s">
        <v>7705</v>
      </c>
      <c r="C7708">
        <f>"FB6732XLA"</f>
        <v>0</v>
      </c>
      <c r="D7708">
        <v>0</v>
      </c>
      <c r="E7708">
        <v>0</v>
      </c>
      <c r="F7708" s="2">
        <v>0</v>
      </c>
      <c r="H7708">
        <v>0</v>
      </c>
      <c r="I7708">
        <v>0.1741125760648204</v>
      </c>
      <c r="J7708">
        <v>0</v>
      </c>
      <c r="K7708">
        <v>0</v>
      </c>
      <c r="L7708" s="2">
        <v>0</v>
      </c>
      <c r="M7708">
        <v>76.18000000000001</v>
      </c>
      <c r="N7708" t="s">
        <v>10236</v>
      </c>
    </row>
    <row r="7709" spans="1:14">
      <c r="A7709" t="s">
        <v>30</v>
      </c>
      <c r="B7709" t="s">
        <v>7706</v>
      </c>
      <c r="C7709">
        <f>"100501"</f>
        <v>0</v>
      </c>
      <c r="D7709">
        <v>0</v>
      </c>
      <c r="E7709">
        <v>0</v>
      </c>
      <c r="F7709" s="2">
        <v>0</v>
      </c>
      <c r="H7709">
        <v>0</v>
      </c>
      <c r="I7709">
        <v>0.1741125760648204</v>
      </c>
      <c r="J7709">
        <v>0</v>
      </c>
      <c r="K7709">
        <v>0</v>
      </c>
      <c r="L7709" s="2">
        <v>0</v>
      </c>
      <c r="M7709">
        <v>76.19</v>
      </c>
      <c r="N7709" t="s">
        <v>10236</v>
      </c>
    </row>
    <row r="7710" spans="1:14">
      <c r="A7710" t="s">
        <v>35</v>
      </c>
      <c r="B7710" t="s">
        <v>7707</v>
      </c>
      <c r="C7710">
        <f>"1805L"</f>
        <v>0</v>
      </c>
      <c r="D7710">
        <v>0</v>
      </c>
      <c r="E7710">
        <v>1</v>
      </c>
      <c r="F7710" s="2">
        <v>2</v>
      </c>
      <c r="H7710">
        <v>0</v>
      </c>
      <c r="I7710">
        <v>0.1741125760648204</v>
      </c>
      <c r="J7710">
        <v>0</v>
      </c>
      <c r="K7710">
        <v>0</v>
      </c>
      <c r="L7710" s="2">
        <v>0</v>
      </c>
      <c r="M7710">
        <v>76.2</v>
      </c>
      <c r="N7710" t="s">
        <v>10236</v>
      </c>
    </row>
    <row r="7711" spans="1:14">
      <c r="A7711" t="s">
        <v>35</v>
      </c>
      <c r="B7711" t="s">
        <v>7708</v>
      </c>
      <c r="C7711">
        <f>"1806TXXL"</f>
        <v>0</v>
      </c>
      <c r="D7711">
        <v>0</v>
      </c>
      <c r="E7711">
        <v>30</v>
      </c>
      <c r="F7711" s="2">
        <v>3</v>
      </c>
      <c r="H7711">
        <v>0</v>
      </c>
      <c r="I7711">
        <v>0.1741125760648204</v>
      </c>
      <c r="J7711">
        <v>0</v>
      </c>
      <c r="K7711">
        <v>0</v>
      </c>
      <c r="L7711" s="2">
        <v>0</v>
      </c>
      <c r="M7711">
        <v>76.2</v>
      </c>
      <c r="N7711" t="s">
        <v>10236</v>
      </c>
    </row>
    <row r="7712" spans="1:14">
      <c r="A7712" t="s">
        <v>35</v>
      </c>
      <c r="B7712" t="s">
        <v>7709</v>
      </c>
      <c r="C7712">
        <f>"1806TS"</f>
        <v>0</v>
      </c>
      <c r="D7712">
        <v>0</v>
      </c>
      <c r="E7712">
        <v>0</v>
      </c>
      <c r="F7712" s="2">
        <v>0</v>
      </c>
      <c r="H7712">
        <v>0</v>
      </c>
      <c r="I7712">
        <v>0.1741125760648204</v>
      </c>
      <c r="J7712">
        <v>0</v>
      </c>
      <c r="K7712">
        <v>0</v>
      </c>
      <c r="L7712" s="2">
        <v>0</v>
      </c>
      <c r="M7712">
        <v>76.20999999999999</v>
      </c>
      <c r="N7712" t="s">
        <v>10236</v>
      </c>
    </row>
    <row r="7713" spans="1:14">
      <c r="A7713" t="s">
        <v>35</v>
      </c>
      <c r="B7713" t="s">
        <v>7710</v>
      </c>
      <c r="C7713">
        <f>"QSSF2463"</f>
        <v>0</v>
      </c>
      <c r="D7713">
        <v>0</v>
      </c>
      <c r="E7713">
        <v>1</v>
      </c>
      <c r="F7713" s="2">
        <v>24</v>
      </c>
      <c r="H7713">
        <v>0</v>
      </c>
      <c r="I7713">
        <v>0.1741125760648204</v>
      </c>
      <c r="J7713">
        <v>0</v>
      </c>
      <c r="K7713">
        <v>0</v>
      </c>
      <c r="L7713" s="2">
        <v>0</v>
      </c>
      <c r="M7713">
        <v>76.22</v>
      </c>
      <c r="N7713" t="s">
        <v>10236</v>
      </c>
    </row>
    <row r="7714" spans="1:14">
      <c r="A7714" t="s">
        <v>35</v>
      </c>
      <c r="B7714" t="s">
        <v>7711</v>
      </c>
      <c r="C7714">
        <f>"KR1001XL"</f>
        <v>0</v>
      </c>
      <c r="D7714">
        <v>0</v>
      </c>
      <c r="E7714">
        <v>0</v>
      </c>
      <c r="F7714" s="2">
        <v>0</v>
      </c>
      <c r="H7714">
        <v>0</v>
      </c>
      <c r="I7714">
        <v>0.1741125760648204</v>
      </c>
      <c r="J7714">
        <v>0</v>
      </c>
      <c r="K7714">
        <v>0</v>
      </c>
      <c r="L7714" s="2">
        <v>0</v>
      </c>
      <c r="M7714">
        <v>76.23</v>
      </c>
      <c r="N7714" t="s">
        <v>10236</v>
      </c>
    </row>
    <row r="7715" spans="1:14">
      <c r="A7715" t="s">
        <v>35</v>
      </c>
      <c r="B7715" t="s">
        <v>7712</v>
      </c>
      <c r="C7715">
        <f>"FB6735XLG"</f>
        <v>0</v>
      </c>
      <c r="D7715">
        <v>0</v>
      </c>
      <c r="E7715">
        <v>0</v>
      </c>
      <c r="F7715" s="2">
        <v>0</v>
      </c>
      <c r="H7715">
        <v>0</v>
      </c>
      <c r="I7715">
        <v>0.1741125760648204</v>
      </c>
      <c r="J7715">
        <v>0</v>
      </c>
      <c r="K7715">
        <v>0</v>
      </c>
      <c r="L7715" s="2">
        <v>0</v>
      </c>
      <c r="M7715">
        <v>76.23999999999999</v>
      </c>
      <c r="N7715" t="s">
        <v>10236</v>
      </c>
    </row>
    <row r="7716" spans="1:14">
      <c r="A7716" t="s">
        <v>35</v>
      </c>
      <c r="B7716" t="s">
        <v>7713</v>
      </c>
      <c r="C7716">
        <f>"FB673XLA"</f>
        <v>0</v>
      </c>
      <c r="D7716">
        <v>0</v>
      </c>
      <c r="E7716">
        <v>0</v>
      </c>
      <c r="F7716" s="2">
        <v>0</v>
      </c>
      <c r="H7716">
        <v>0</v>
      </c>
      <c r="I7716">
        <v>0.1741125760648204</v>
      </c>
      <c r="J7716">
        <v>0</v>
      </c>
      <c r="K7716">
        <v>0</v>
      </c>
      <c r="L7716" s="2">
        <v>0</v>
      </c>
      <c r="M7716">
        <v>76.25</v>
      </c>
      <c r="N7716" t="s">
        <v>10236</v>
      </c>
    </row>
    <row r="7717" spans="1:14">
      <c r="A7717" t="s">
        <v>35</v>
      </c>
      <c r="B7717" t="s">
        <v>7714</v>
      </c>
      <c r="C7717">
        <f>"FB673SV"</f>
        <v>0</v>
      </c>
      <c r="D7717">
        <v>0</v>
      </c>
      <c r="E7717">
        <v>2</v>
      </c>
      <c r="F7717" s="2">
        <v>4</v>
      </c>
      <c r="H7717">
        <v>0</v>
      </c>
      <c r="I7717">
        <v>0.1741125760648204</v>
      </c>
      <c r="J7717">
        <v>0</v>
      </c>
      <c r="K7717">
        <v>0</v>
      </c>
      <c r="L7717" s="2">
        <v>0</v>
      </c>
      <c r="M7717">
        <v>76.26000000000001</v>
      </c>
      <c r="N7717" t="s">
        <v>10236</v>
      </c>
    </row>
    <row r="7718" spans="1:14">
      <c r="A7718" t="s">
        <v>35</v>
      </c>
      <c r="B7718" t="s">
        <v>7715</v>
      </c>
      <c r="C7718">
        <f>"FB673SR"</f>
        <v>0</v>
      </c>
      <c r="D7718">
        <v>0</v>
      </c>
      <c r="E7718">
        <v>1</v>
      </c>
      <c r="F7718" s="2">
        <v>4</v>
      </c>
      <c r="H7718">
        <v>0</v>
      </c>
      <c r="I7718">
        <v>0.1741125760648204</v>
      </c>
      <c r="J7718">
        <v>0</v>
      </c>
      <c r="K7718">
        <v>0</v>
      </c>
      <c r="L7718" s="2">
        <v>0</v>
      </c>
      <c r="M7718">
        <v>76.27</v>
      </c>
      <c r="N7718" t="s">
        <v>10236</v>
      </c>
    </row>
    <row r="7719" spans="1:14">
      <c r="A7719" t="s">
        <v>35</v>
      </c>
      <c r="B7719" t="s">
        <v>7716</v>
      </c>
      <c r="C7719">
        <f>"FB673SG"</f>
        <v>0</v>
      </c>
      <c r="D7719">
        <v>0</v>
      </c>
      <c r="E7719">
        <v>5</v>
      </c>
      <c r="F7719" s="2">
        <v>4</v>
      </c>
      <c r="H7719">
        <v>0</v>
      </c>
      <c r="I7719">
        <v>0.1741125760648204</v>
      </c>
      <c r="J7719">
        <v>0</v>
      </c>
      <c r="K7719">
        <v>0</v>
      </c>
      <c r="L7719" s="2">
        <v>0</v>
      </c>
      <c r="M7719">
        <v>76.28</v>
      </c>
      <c r="N7719" t="s">
        <v>10236</v>
      </c>
    </row>
    <row r="7720" spans="1:14">
      <c r="A7720" t="s">
        <v>35</v>
      </c>
      <c r="B7720" t="s">
        <v>7717</v>
      </c>
      <c r="C7720">
        <f>"B1919LR"</f>
        <v>0</v>
      </c>
      <c r="D7720">
        <v>0</v>
      </c>
      <c r="E7720">
        <v>13</v>
      </c>
      <c r="F7720" s="2">
        <v>7</v>
      </c>
      <c r="H7720">
        <v>0</v>
      </c>
      <c r="I7720">
        <v>0.1741125760648204</v>
      </c>
      <c r="J7720">
        <v>0</v>
      </c>
      <c r="K7720">
        <v>0</v>
      </c>
      <c r="L7720" s="2">
        <v>0</v>
      </c>
      <c r="M7720">
        <v>76.29000000000001</v>
      </c>
      <c r="N7720" t="s">
        <v>10236</v>
      </c>
    </row>
    <row r="7721" spans="1:14">
      <c r="A7721" t="s">
        <v>35</v>
      </c>
      <c r="B7721" t="s">
        <v>7718</v>
      </c>
      <c r="C7721">
        <f>"B1919XLN"</f>
        <v>0</v>
      </c>
      <c r="D7721">
        <v>0</v>
      </c>
      <c r="E7721">
        <v>15</v>
      </c>
      <c r="F7721" s="2">
        <v>7</v>
      </c>
      <c r="H7721">
        <v>0</v>
      </c>
      <c r="I7721">
        <v>0.1741125760648204</v>
      </c>
      <c r="J7721">
        <v>0</v>
      </c>
      <c r="K7721">
        <v>0</v>
      </c>
      <c r="L7721" s="2">
        <v>0</v>
      </c>
      <c r="M7721">
        <v>76.3</v>
      </c>
      <c r="N7721" t="s">
        <v>10236</v>
      </c>
    </row>
    <row r="7722" spans="1:14">
      <c r="A7722" t="s">
        <v>35</v>
      </c>
      <c r="B7722" t="s">
        <v>7719</v>
      </c>
      <c r="C7722">
        <f>"B1919SN"</f>
        <v>0</v>
      </c>
      <c r="D7722">
        <v>0</v>
      </c>
      <c r="E7722">
        <v>13</v>
      </c>
      <c r="F7722" s="2">
        <v>7</v>
      </c>
      <c r="H7722">
        <v>0</v>
      </c>
      <c r="I7722">
        <v>0.1741125760648204</v>
      </c>
      <c r="J7722">
        <v>0</v>
      </c>
      <c r="K7722">
        <v>0</v>
      </c>
      <c r="L7722" s="2">
        <v>0</v>
      </c>
      <c r="M7722">
        <v>76.31</v>
      </c>
      <c r="N7722" t="s">
        <v>10236</v>
      </c>
    </row>
    <row r="7723" spans="1:14">
      <c r="A7723" t="s">
        <v>35</v>
      </c>
      <c r="B7723" t="s">
        <v>7720</v>
      </c>
      <c r="C7723">
        <f>"B1919MN"</f>
        <v>0</v>
      </c>
      <c r="D7723">
        <v>0</v>
      </c>
      <c r="E7723">
        <v>16</v>
      </c>
      <c r="F7723" s="2">
        <v>6</v>
      </c>
      <c r="H7723">
        <v>0</v>
      </c>
      <c r="I7723">
        <v>0.1741125760648204</v>
      </c>
      <c r="J7723">
        <v>0</v>
      </c>
      <c r="K7723">
        <v>0</v>
      </c>
      <c r="L7723" s="2">
        <v>0</v>
      </c>
      <c r="M7723">
        <v>76.31999999999999</v>
      </c>
      <c r="N7723" t="s">
        <v>10236</v>
      </c>
    </row>
    <row r="7724" spans="1:14">
      <c r="A7724" t="s">
        <v>35</v>
      </c>
      <c r="B7724" t="s">
        <v>7721</v>
      </c>
      <c r="C7724">
        <f>"FB673MA"</f>
        <v>0</v>
      </c>
      <c r="D7724">
        <v>0</v>
      </c>
      <c r="E7724">
        <v>1</v>
      </c>
      <c r="F7724" s="2">
        <v>5</v>
      </c>
      <c r="H7724">
        <v>0</v>
      </c>
      <c r="I7724">
        <v>0.1741125760648204</v>
      </c>
      <c r="J7724">
        <v>0</v>
      </c>
      <c r="K7724">
        <v>0</v>
      </c>
      <c r="L7724" s="2">
        <v>0</v>
      </c>
      <c r="M7724">
        <v>76.31999999999999</v>
      </c>
      <c r="N7724" t="s">
        <v>10236</v>
      </c>
    </row>
    <row r="7725" spans="1:14">
      <c r="A7725" t="s">
        <v>35</v>
      </c>
      <c r="B7725" t="s">
        <v>7722</v>
      </c>
      <c r="C7725">
        <f>"FB673LV"</f>
        <v>0</v>
      </c>
      <c r="D7725">
        <v>0</v>
      </c>
      <c r="E7725">
        <v>1</v>
      </c>
      <c r="F7725" s="2">
        <v>5</v>
      </c>
      <c r="H7725">
        <v>0</v>
      </c>
      <c r="I7725">
        <v>0.1741125760648204</v>
      </c>
      <c r="J7725">
        <v>0</v>
      </c>
      <c r="K7725">
        <v>0</v>
      </c>
      <c r="L7725" s="2">
        <v>0</v>
      </c>
      <c r="M7725">
        <v>76.33</v>
      </c>
      <c r="N7725" t="s">
        <v>10236</v>
      </c>
    </row>
    <row r="7726" spans="1:14">
      <c r="A7726" t="s">
        <v>35</v>
      </c>
      <c r="B7726" t="s">
        <v>7723</v>
      </c>
      <c r="C7726">
        <f>"FB673LR"</f>
        <v>0</v>
      </c>
      <c r="D7726">
        <v>0</v>
      </c>
      <c r="E7726">
        <v>0</v>
      </c>
      <c r="F7726" s="2">
        <v>0</v>
      </c>
      <c r="H7726">
        <v>0</v>
      </c>
      <c r="I7726">
        <v>0.1741125760648204</v>
      </c>
      <c r="J7726">
        <v>0</v>
      </c>
      <c r="K7726">
        <v>0</v>
      </c>
      <c r="L7726" s="2">
        <v>0</v>
      </c>
      <c r="M7726">
        <v>76.34</v>
      </c>
      <c r="N7726" t="s">
        <v>10236</v>
      </c>
    </row>
    <row r="7727" spans="1:14">
      <c r="A7727" t="s">
        <v>35</v>
      </c>
      <c r="B7727" t="s">
        <v>7724</v>
      </c>
      <c r="C7727">
        <f>"FB673LG"</f>
        <v>0</v>
      </c>
      <c r="D7727">
        <v>0</v>
      </c>
      <c r="E7727">
        <v>0</v>
      </c>
      <c r="F7727" s="2">
        <v>0</v>
      </c>
      <c r="H7727">
        <v>0</v>
      </c>
      <c r="I7727">
        <v>0.1741125760648204</v>
      </c>
      <c r="J7727">
        <v>0</v>
      </c>
      <c r="K7727">
        <v>0</v>
      </c>
      <c r="L7727" s="2">
        <v>0</v>
      </c>
      <c r="M7727">
        <v>76.34999999999999</v>
      </c>
      <c r="N7727" t="s">
        <v>10236</v>
      </c>
    </row>
    <row r="7728" spans="1:14">
      <c r="A7728" t="s">
        <v>35</v>
      </c>
      <c r="B7728" t="s">
        <v>7725</v>
      </c>
      <c r="C7728">
        <f>"FB673LA"</f>
        <v>0</v>
      </c>
      <c r="D7728">
        <v>0</v>
      </c>
      <c r="E7728">
        <v>0</v>
      </c>
      <c r="F7728" s="2">
        <v>0</v>
      </c>
      <c r="H7728">
        <v>0</v>
      </c>
      <c r="I7728">
        <v>0.1741125760648204</v>
      </c>
      <c r="J7728">
        <v>0</v>
      </c>
      <c r="K7728">
        <v>0</v>
      </c>
      <c r="L7728" s="2">
        <v>0</v>
      </c>
      <c r="M7728">
        <v>76.36</v>
      </c>
      <c r="N7728" t="s">
        <v>10236</v>
      </c>
    </row>
    <row r="7729" spans="1:14">
      <c r="A7729" t="s">
        <v>35</v>
      </c>
      <c r="B7729" t="s">
        <v>7726</v>
      </c>
      <c r="C7729">
        <f>"B1922XSRO"</f>
        <v>0</v>
      </c>
      <c r="D7729">
        <v>0</v>
      </c>
      <c r="E7729">
        <v>9</v>
      </c>
      <c r="F7729" s="2">
        <v>6</v>
      </c>
      <c r="H7729">
        <v>0</v>
      </c>
      <c r="I7729">
        <v>0.1741125760648204</v>
      </c>
      <c r="J7729">
        <v>0</v>
      </c>
      <c r="K7729">
        <v>0</v>
      </c>
      <c r="L7729" s="2">
        <v>0</v>
      </c>
      <c r="M7729">
        <v>76.37</v>
      </c>
      <c r="N7729" t="s">
        <v>10236</v>
      </c>
    </row>
    <row r="7730" spans="1:14">
      <c r="A7730" t="s">
        <v>35</v>
      </c>
      <c r="B7730" t="s">
        <v>7727</v>
      </c>
      <c r="C7730">
        <f>"B19222XLN"</f>
        <v>0</v>
      </c>
      <c r="D7730">
        <v>0</v>
      </c>
      <c r="E7730">
        <v>5</v>
      </c>
      <c r="F7730" s="2">
        <v>10</v>
      </c>
      <c r="H7730">
        <v>0</v>
      </c>
      <c r="I7730">
        <v>0.1741125760648204</v>
      </c>
      <c r="J7730">
        <v>0</v>
      </c>
      <c r="K7730">
        <v>0</v>
      </c>
      <c r="L7730" s="2">
        <v>0</v>
      </c>
      <c r="M7730">
        <v>76.38</v>
      </c>
      <c r="N7730" t="s">
        <v>10236</v>
      </c>
    </row>
    <row r="7731" spans="1:14">
      <c r="A7731" t="s">
        <v>35</v>
      </c>
      <c r="B7731" t="s">
        <v>7728</v>
      </c>
      <c r="C7731">
        <f>"B1922XSN"</f>
        <v>0</v>
      </c>
      <c r="D7731">
        <v>0</v>
      </c>
      <c r="E7731">
        <v>6</v>
      </c>
      <c r="F7731" s="2">
        <v>6</v>
      </c>
      <c r="H7731">
        <v>0</v>
      </c>
      <c r="I7731">
        <v>0.1741125760648204</v>
      </c>
      <c r="J7731">
        <v>0</v>
      </c>
      <c r="K7731">
        <v>0</v>
      </c>
      <c r="L7731" s="2">
        <v>0</v>
      </c>
      <c r="M7731">
        <v>76.39</v>
      </c>
      <c r="N7731" t="s">
        <v>10236</v>
      </c>
    </row>
    <row r="7732" spans="1:14">
      <c r="A7732" t="s">
        <v>35</v>
      </c>
      <c r="B7732" t="s">
        <v>7729</v>
      </c>
      <c r="C7732">
        <f>"B1922XLRO"</f>
        <v>0</v>
      </c>
      <c r="D7732">
        <v>0</v>
      </c>
      <c r="E7732">
        <v>4</v>
      </c>
      <c r="F7732" s="2">
        <v>10</v>
      </c>
      <c r="H7732">
        <v>0</v>
      </c>
      <c r="I7732">
        <v>0.1741125760648204</v>
      </c>
      <c r="J7732">
        <v>0</v>
      </c>
      <c r="K7732">
        <v>0</v>
      </c>
      <c r="L7732" s="2">
        <v>0</v>
      </c>
      <c r="M7732">
        <v>76.40000000000001</v>
      </c>
      <c r="N7732" t="s">
        <v>10236</v>
      </c>
    </row>
    <row r="7733" spans="1:14">
      <c r="A7733" t="s">
        <v>35</v>
      </c>
      <c r="B7733" t="s">
        <v>7730</v>
      </c>
      <c r="C7733">
        <f>"B1922XLR"</f>
        <v>0</v>
      </c>
      <c r="D7733">
        <v>0</v>
      </c>
      <c r="E7733">
        <v>0</v>
      </c>
      <c r="F7733" s="2">
        <v>0</v>
      </c>
      <c r="H7733">
        <v>0</v>
      </c>
      <c r="I7733">
        <v>0.1741125760648204</v>
      </c>
      <c r="J7733">
        <v>0</v>
      </c>
      <c r="K7733">
        <v>0</v>
      </c>
      <c r="L7733" s="2">
        <v>0</v>
      </c>
      <c r="M7733">
        <v>76.41</v>
      </c>
      <c r="N7733" t="s">
        <v>10236</v>
      </c>
    </row>
    <row r="7734" spans="1:14">
      <c r="A7734" t="s">
        <v>35</v>
      </c>
      <c r="B7734" t="s">
        <v>7731</v>
      </c>
      <c r="C7734">
        <f>"B1922XLN"</f>
        <v>0</v>
      </c>
      <c r="D7734">
        <v>0</v>
      </c>
      <c r="E7734">
        <v>0</v>
      </c>
      <c r="F7734" s="2">
        <v>0</v>
      </c>
      <c r="H7734">
        <v>0</v>
      </c>
      <c r="I7734">
        <v>0.1741125760648204</v>
      </c>
      <c r="J7734">
        <v>0</v>
      </c>
      <c r="K7734">
        <v>0</v>
      </c>
      <c r="L7734" s="2">
        <v>0</v>
      </c>
      <c r="M7734">
        <v>76.42</v>
      </c>
      <c r="N7734" t="s">
        <v>10236</v>
      </c>
    </row>
    <row r="7735" spans="1:14">
      <c r="A7735" t="s">
        <v>35</v>
      </c>
      <c r="B7735" t="s">
        <v>7732</v>
      </c>
      <c r="C7735">
        <f>"FB6735XLA"</f>
        <v>0</v>
      </c>
      <c r="D7735">
        <v>0</v>
      </c>
      <c r="E7735">
        <v>0</v>
      </c>
      <c r="F7735" s="2">
        <v>0</v>
      </c>
      <c r="H7735">
        <v>0</v>
      </c>
      <c r="I7735">
        <v>0.1741125760648204</v>
      </c>
      <c r="J7735">
        <v>0</v>
      </c>
      <c r="K7735">
        <v>0</v>
      </c>
      <c r="L7735" s="2">
        <v>0</v>
      </c>
      <c r="M7735">
        <v>76.43000000000001</v>
      </c>
      <c r="N7735" t="s">
        <v>10236</v>
      </c>
    </row>
    <row r="7736" spans="1:14">
      <c r="A7736" t="s">
        <v>35</v>
      </c>
      <c r="B7736" t="s">
        <v>7733</v>
      </c>
      <c r="C7736">
        <f>"FB6734XLV"</f>
        <v>0</v>
      </c>
      <c r="D7736">
        <v>0</v>
      </c>
      <c r="E7736">
        <v>4</v>
      </c>
      <c r="F7736" s="2">
        <v>6</v>
      </c>
      <c r="H7736">
        <v>0</v>
      </c>
      <c r="I7736">
        <v>0.1741125760648204</v>
      </c>
      <c r="J7736">
        <v>0</v>
      </c>
      <c r="K7736">
        <v>0</v>
      </c>
      <c r="L7736" s="2">
        <v>0</v>
      </c>
      <c r="M7736">
        <v>76.44</v>
      </c>
      <c r="N7736" t="s">
        <v>10236</v>
      </c>
    </row>
    <row r="7737" spans="1:14">
      <c r="A7737" t="s">
        <v>35</v>
      </c>
      <c r="B7737" t="s">
        <v>7734</v>
      </c>
      <c r="C7737">
        <f>"FB6734XLR"</f>
        <v>0</v>
      </c>
      <c r="D7737">
        <v>0</v>
      </c>
      <c r="E7737">
        <v>0</v>
      </c>
      <c r="F7737" s="2">
        <v>0</v>
      </c>
      <c r="H7737">
        <v>0</v>
      </c>
      <c r="I7737">
        <v>0.1741125760648204</v>
      </c>
      <c r="J7737">
        <v>0</v>
      </c>
      <c r="K7737">
        <v>0</v>
      </c>
      <c r="L7737" s="2">
        <v>0</v>
      </c>
      <c r="M7737">
        <v>76.44</v>
      </c>
      <c r="N7737" t="s">
        <v>10236</v>
      </c>
    </row>
    <row r="7738" spans="1:14">
      <c r="A7738" t="s">
        <v>35</v>
      </c>
      <c r="B7738" t="s">
        <v>7735</v>
      </c>
      <c r="C7738">
        <f>"FB6734XLG"</f>
        <v>0</v>
      </c>
      <c r="D7738">
        <v>0</v>
      </c>
      <c r="E7738">
        <v>0</v>
      </c>
      <c r="F7738" s="2">
        <v>0</v>
      </c>
      <c r="H7738">
        <v>0</v>
      </c>
      <c r="I7738">
        <v>0.1741125760648204</v>
      </c>
      <c r="J7738">
        <v>0</v>
      </c>
      <c r="K7738">
        <v>0</v>
      </c>
      <c r="L7738" s="2">
        <v>0</v>
      </c>
      <c r="M7738">
        <v>76.45</v>
      </c>
      <c r="N7738" t="s">
        <v>10236</v>
      </c>
    </row>
    <row r="7739" spans="1:14">
      <c r="A7739" t="s">
        <v>35</v>
      </c>
      <c r="B7739" t="s">
        <v>7736</v>
      </c>
      <c r="C7739">
        <f>"FB6734XLA"</f>
        <v>0</v>
      </c>
      <c r="D7739">
        <v>0</v>
      </c>
      <c r="E7739">
        <v>1</v>
      </c>
      <c r="F7739" s="2">
        <v>6</v>
      </c>
      <c r="H7739">
        <v>0</v>
      </c>
      <c r="I7739">
        <v>0.1741125760648204</v>
      </c>
      <c r="J7739">
        <v>0</v>
      </c>
      <c r="K7739">
        <v>0</v>
      </c>
      <c r="L7739" s="2">
        <v>0</v>
      </c>
      <c r="M7739">
        <v>76.45999999999999</v>
      </c>
      <c r="N7739" t="s">
        <v>10236</v>
      </c>
    </row>
    <row r="7740" spans="1:14">
      <c r="A7740" t="s">
        <v>35</v>
      </c>
      <c r="B7740" t="s">
        <v>7737</v>
      </c>
      <c r="C7740">
        <f>"B1922MN"</f>
        <v>0</v>
      </c>
      <c r="D7740">
        <v>0</v>
      </c>
      <c r="E7740">
        <v>0</v>
      </c>
      <c r="F7740" s="2">
        <v>0</v>
      </c>
      <c r="H7740">
        <v>0</v>
      </c>
      <c r="I7740">
        <v>0.1741125760648204</v>
      </c>
      <c r="J7740">
        <v>0</v>
      </c>
      <c r="K7740">
        <v>0</v>
      </c>
      <c r="L7740" s="2">
        <v>0</v>
      </c>
      <c r="M7740">
        <v>76.47</v>
      </c>
      <c r="N7740" t="s">
        <v>10236</v>
      </c>
    </row>
    <row r="7741" spans="1:14">
      <c r="A7741" t="s">
        <v>35</v>
      </c>
      <c r="B7741" t="s">
        <v>7738</v>
      </c>
      <c r="C7741">
        <f>"B1922LRO"</f>
        <v>0</v>
      </c>
      <c r="D7741">
        <v>0</v>
      </c>
      <c r="E7741">
        <v>0</v>
      </c>
      <c r="F7741" s="2">
        <v>0</v>
      </c>
      <c r="H7741">
        <v>0</v>
      </c>
      <c r="I7741">
        <v>0.1741125760648204</v>
      </c>
      <c r="J7741">
        <v>0</v>
      </c>
      <c r="K7741">
        <v>0</v>
      </c>
      <c r="L7741" s="2">
        <v>0</v>
      </c>
      <c r="M7741">
        <v>76.48</v>
      </c>
      <c r="N7741" t="s">
        <v>10236</v>
      </c>
    </row>
    <row r="7742" spans="1:14">
      <c r="A7742" t="s">
        <v>35</v>
      </c>
      <c r="B7742" t="s">
        <v>7739</v>
      </c>
      <c r="C7742">
        <f>"B1922LR"</f>
        <v>0</v>
      </c>
      <c r="D7742">
        <v>0</v>
      </c>
      <c r="E7742">
        <v>0</v>
      </c>
      <c r="F7742" s="2">
        <v>0</v>
      </c>
      <c r="H7742">
        <v>0</v>
      </c>
      <c r="I7742">
        <v>0.1741125760648204</v>
      </c>
      <c r="J7742">
        <v>0</v>
      </c>
      <c r="K7742">
        <v>0</v>
      </c>
      <c r="L7742" s="2">
        <v>0</v>
      </c>
      <c r="M7742">
        <v>76.48999999999999</v>
      </c>
      <c r="N7742" t="s">
        <v>10236</v>
      </c>
    </row>
    <row r="7743" spans="1:14">
      <c r="A7743" t="s">
        <v>35</v>
      </c>
      <c r="B7743" t="s">
        <v>7740</v>
      </c>
      <c r="C7743">
        <f>"B1922LN"</f>
        <v>0</v>
      </c>
      <c r="D7743">
        <v>0</v>
      </c>
      <c r="E7743">
        <v>0</v>
      </c>
      <c r="F7743" s="2">
        <v>0</v>
      </c>
      <c r="H7743">
        <v>0</v>
      </c>
      <c r="I7743">
        <v>0.1741125760648204</v>
      </c>
      <c r="J7743">
        <v>0</v>
      </c>
      <c r="K7743">
        <v>0</v>
      </c>
      <c r="L7743" s="2">
        <v>0</v>
      </c>
      <c r="M7743">
        <v>76.5</v>
      </c>
      <c r="N7743" t="s">
        <v>10236</v>
      </c>
    </row>
    <row r="7744" spans="1:14">
      <c r="A7744" t="s">
        <v>35</v>
      </c>
      <c r="B7744" t="s">
        <v>7741</v>
      </c>
      <c r="C7744">
        <f>"B19222XLRO"</f>
        <v>0</v>
      </c>
      <c r="D7744">
        <v>0</v>
      </c>
      <c r="E7744">
        <v>6</v>
      </c>
      <c r="F7744" s="2">
        <v>10</v>
      </c>
      <c r="H7744">
        <v>0</v>
      </c>
      <c r="I7744">
        <v>0.1741125760648204</v>
      </c>
      <c r="J7744">
        <v>0</v>
      </c>
      <c r="K7744">
        <v>0</v>
      </c>
      <c r="L7744" s="2">
        <v>0</v>
      </c>
      <c r="M7744">
        <v>76.51000000000001</v>
      </c>
      <c r="N7744" t="s">
        <v>10236</v>
      </c>
    </row>
    <row r="7745" spans="1:14">
      <c r="A7745" t="s">
        <v>35</v>
      </c>
      <c r="B7745" t="s">
        <v>7742</v>
      </c>
      <c r="C7745">
        <f>"B19222XLR"</f>
        <v>0</v>
      </c>
      <c r="D7745">
        <v>0</v>
      </c>
      <c r="E7745">
        <v>2</v>
      </c>
      <c r="F7745" s="2">
        <v>10</v>
      </c>
      <c r="H7745">
        <v>0</v>
      </c>
      <c r="I7745">
        <v>0.1741125760648204</v>
      </c>
      <c r="J7745">
        <v>0</v>
      </c>
      <c r="K7745">
        <v>0</v>
      </c>
      <c r="L7745" s="2">
        <v>0</v>
      </c>
      <c r="M7745">
        <v>76.52</v>
      </c>
      <c r="N7745" t="s">
        <v>10236</v>
      </c>
    </row>
    <row r="7746" spans="1:14">
      <c r="A7746" t="s">
        <v>35</v>
      </c>
      <c r="B7746" t="s">
        <v>7743</v>
      </c>
      <c r="C7746">
        <f>"B1922XSR"</f>
        <v>0</v>
      </c>
      <c r="D7746">
        <v>0</v>
      </c>
      <c r="E7746">
        <v>7</v>
      </c>
      <c r="F7746" s="2">
        <v>6</v>
      </c>
      <c r="H7746">
        <v>0</v>
      </c>
      <c r="I7746">
        <v>0.1741125760648204</v>
      </c>
      <c r="J7746">
        <v>0</v>
      </c>
      <c r="K7746">
        <v>0</v>
      </c>
      <c r="L7746" s="2">
        <v>0</v>
      </c>
      <c r="M7746">
        <v>76.53</v>
      </c>
      <c r="N7746" t="s">
        <v>10236</v>
      </c>
    </row>
    <row r="7747" spans="1:14">
      <c r="A7747" t="s">
        <v>35</v>
      </c>
      <c r="B7747" t="s">
        <v>7744</v>
      </c>
      <c r="C7747">
        <f>"1805M"</f>
        <v>0</v>
      </c>
      <c r="D7747">
        <v>0</v>
      </c>
      <c r="E7747">
        <v>0</v>
      </c>
      <c r="F7747" s="2">
        <v>0</v>
      </c>
      <c r="H7747">
        <v>0</v>
      </c>
      <c r="I7747">
        <v>0.1741125760648204</v>
      </c>
      <c r="J7747">
        <v>0</v>
      </c>
      <c r="K7747">
        <v>0</v>
      </c>
      <c r="L7747" s="2">
        <v>0</v>
      </c>
      <c r="M7747">
        <v>76.54000000000001</v>
      </c>
      <c r="N7747" t="s">
        <v>10236</v>
      </c>
    </row>
    <row r="7748" spans="1:14">
      <c r="A7748" t="s">
        <v>35</v>
      </c>
      <c r="B7748" t="s">
        <v>7745</v>
      </c>
      <c r="C7748">
        <f>"18BLUEXL"</f>
        <v>0</v>
      </c>
      <c r="D7748">
        <v>0</v>
      </c>
      <c r="E7748">
        <v>14</v>
      </c>
      <c r="F7748" s="2">
        <v>3</v>
      </c>
      <c r="H7748">
        <v>0</v>
      </c>
      <c r="I7748">
        <v>0.1741125760648204</v>
      </c>
      <c r="J7748">
        <v>0</v>
      </c>
      <c r="K7748">
        <v>0</v>
      </c>
      <c r="L7748" s="2">
        <v>0</v>
      </c>
      <c r="M7748">
        <v>76.55</v>
      </c>
      <c r="N7748" t="s">
        <v>10236</v>
      </c>
    </row>
    <row r="7749" spans="1:14">
      <c r="A7749" t="s">
        <v>35</v>
      </c>
      <c r="B7749" t="s">
        <v>7746</v>
      </c>
      <c r="C7749">
        <f>"18BLUES"</f>
        <v>0</v>
      </c>
      <c r="D7749">
        <v>0</v>
      </c>
      <c r="E7749">
        <v>11</v>
      </c>
      <c r="F7749" s="2">
        <v>3</v>
      </c>
      <c r="H7749">
        <v>0</v>
      </c>
      <c r="I7749">
        <v>0.1741125760648204</v>
      </c>
      <c r="J7749">
        <v>0</v>
      </c>
      <c r="K7749">
        <v>0</v>
      </c>
      <c r="L7749" s="2">
        <v>0</v>
      </c>
      <c r="M7749">
        <v>76.56</v>
      </c>
      <c r="N7749" t="s">
        <v>10236</v>
      </c>
    </row>
    <row r="7750" spans="1:14">
      <c r="A7750" t="s">
        <v>35</v>
      </c>
      <c r="B7750" t="s">
        <v>7747</v>
      </c>
      <c r="C7750">
        <f>"18BLUEM"</f>
        <v>0</v>
      </c>
      <c r="D7750">
        <v>0</v>
      </c>
      <c r="E7750">
        <v>15</v>
      </c>
      <c r="F7750" s="2">
        <v>3</v>
      </c>
      <c r="H7750">
        <v>0</v>
      </c>
      <c r="I7750">
        <v>0.1741125760648204</v>
      </c>
      <c r="J7750">
        <v>0</v>
      </c>
      <c r="K7750">
        <v>0</v>
      </c>
      <c r="L7750" s="2">
        <v>0</v>
      </c>
      <c r="M7750">
        <v>76.56</v>
      </c>
      <c r="N7750" t="s">
        <v>10236</v>
      </c>
    </row>
    <row r="7751" spans="1:14">
      <c r="A7751" t="s">
        <v>35</v>
      </c>
      <c r="B7751" t="s">
        <v>7748</v>
      </c>
      <c r="C7751">
        <f>"18BLUEL"</f>
        <v>0</v>
      </c>
      <c r="D7751">
        <v>0</v>
      </c>
      <c r="E7751">
        <v>15</v>
      </c>
      <c r="F7751" s="2">
        <v>3</v>
      </c>
      <c r="H7751">
        <v>0</v>
      </c>
      <c r="I7751">
        <v>0.1741125760648204</v>
      </c>
      <c r="J7751">
        <v>0</v>
      </c>
      <c r="K7751">
        <v>0</v>
      </c>
      <c r="L7751" s="2">
        <v>0</v>
      </c>
      <c r="M7751">
        <v>76.56999999999999</v>
      </c>
      <c r="N7751" t="s">
        <v>10236</v>
      </c>
    </row>
    <row r="7752" spans="1:14">
      <c r="A7752" t="s">
        <v>35</v>
      </c>
      <c r="B7752" t="s">
        <v>7749</v>
      </c>
      <c r="C7752">
        <f>"JXV18050"</f>
        <v>0</v>
      </c>
      <c r="D7752">
        <v>0</v>
      </c>
      <c r="E7752">
        <v>0</v>
      </c>
      <c r="F7752" s="2">
        <v>0</v>
      </c>
      <c r="H7752">
        <v>0</v>
      </c>
      <c r="I7752">
        <v>0.1741125760648204</v>
      </c>
      <c r="J7752">
        <v>0</v>
      </c>
      <c r="K7752">
        <v>0</v>
      </c>
      <c r="L7752" s="2">
        <v>0</v>
      </c>
      <c r="M7752">
        <v>76.58</v>
      </c>
      <c r="N7752" t="s">
        <v>10236</v>
      </c>
    </row>
    <row r="7753" spans="1:14">
      <c r="A7753" t="s">
        <v>35</v>
      </c>
      <c r="B7753" t="s">
        <v>7750</v>
      </c>
      <c r="C7753">
        <f>"187A54XXLROS"</f>
        <v>0</v>
      </c>
      <c r="D7753">
        <v>0</v>
      </c>
      <c r="E7753">
        <v>1</v>
      </c>
      <c r="F7753" s="2">
        <v>2</v>
      </c>
      <c r="H7753">
        <v>0</v>
      </c>
      <c r="I7753">
        <v>0.1741125760648204</v>
      </c>
      <c r="J7753">
        <v>0</v>
      </c>
      <c r="K7753">
        <v>0</v>
      </c>
      <c r="L7753" s="2">
        <v>0</v>
      </c>
      <c r="M7753">
        <v>76.59</v>
      </c>
      <c r="N7753" t="s">
        <v>10236</v>
      </c>
    </row>
    <row r="7754" spans="1:14">
      <c r="A7754" t="s">
        <v>35</v>
      </c>
      <c r="B7754" t="s">
        <v>7751</v>
      </c>
      <c r="C7754">
        <f>"187A54XXLBL"</f>
        <v>0</v>
      </c>
      <c r="D7754">
        <v>0</v>
      </c>
      <c r="E7754">
        <v>0</v>
      </c>
      <c r="F7754" s="2">
        <v>0</v>
      </c>
      <c r="H7754">
        <v>0</v>
      </c>
      <c r="I7754">
        <v>0.1741125760648204</v>
      </c>
      <c r="J7754">
        <v>0</v>
      </c>
      <c r="K7754">
        <v>0</v>
      </c>
      <c r="L7754" s="2">
        <v>0</v>
      </c>
      <c r="M7754">
        <v>76.59999999999999</v>
      </c>
      <c r="N7754" t="s">
        <v>10236</v>
      </c>
    </row>
    <row r="7755" spans="1:14">
      <c r="A7755" t="s">
        <v>35</v>
      </c>
      <c r="B7755" t="s">
        <v>7752</v>
      </c>
      <c r="C7755">
        <f>"187A54XXLAZ"</f>
        <v>0</v>
      </c>
      <c r="D7755">
        <v>0</v>
      </c>
      <c r="E7755">
        <v>0</v>
      </c>
      <c r="F7755" s="2">
        <v>0</v>
      </c>
      <c r="H7755">
        <v>0</v>
      </c>
      <c r="I7755">
        <v>0.1741125760648204</v>
      </c>
      <c r="J7755">
        <v>0</v>
      </c>
      <c r="K7755">
        <v>0</v>
      </c>
      <c r="L7755" s="2">
        <v>0</v>
      </c>
      <c r="M7755">
        <v>76.61</v>
      </c>
      <c r="N7755" t="s">
        <v>10236</v>
      </c>
    </row>
    <row r="7756" spans="1:14">
      <c r="A7756" t="s">
        <v>35</v>
      </c>
      <c r="B7756" t="s">
        <v>7753</v>
      </c>
      <c r="C7756">
        <f>"187A54XSROS"</f>
        <v>0</v>
      </c>
      <c r="D7756">
        <v>0</v>
      </c>
      <c r="E7756">
        <v>0</v>
      </c>
      <c r="F7756" s="2">
        <v>0</v>
      </c>
      <c r="H7756">
        <v>0</v>
      </c>
      <c r="I7756">
        <v>0.1741125760648204</v>
      </c>
      <c r="J7756">
        <v>0</v>
      </c>
      <c r="K7756">
        <v>0</v>
      </c>
      <c r="L7756" s="2">
        <v>0</v>
      </c>
      <c r="M7756">
        <v>76.62</v>
      </c>
      <c r="N7756" t="s">
        <v>10236</v>
      </c>
    </row>
    <row r="7757" spans="1:14">
      <c r="A7757" t="s">
        <v>35</v>
      </c>
      <c r="B7757" t="s">
        <v>7754</v>
      </c>
      <c r="C7757">
        <f>"187A54XSBL"</f>
        <v>0</v>
      </c>
      <c r="D7757">
        <v>0</v>
      </c>
      <c r="E7757">
        <v>1</v>
      </c>
      <c r="F7757" s="2">
        <v>1</v>
      </c>
      <c r="H7757">
        <v>0</v>
      </c>
      <c r="I7757">
        <v>0.1741125760648204</v>
      </c>
      <c r="J7757">
        <v>0</v>
      </c>
      <c r="K7757">
        <v>0</v>
      </c>
      <c r="L7757" s="2">
        <v>0</v>
      </c>
      <c r="M7757">
        <v>76.63</v>
      </c>
      <c r="N7757" t="s">
        <v>10236</v>
      </c>
    </row>
    <row r="7758" spans="1:14">
      <c r="A7758" t="s">
        <v>35</v>
      </c>
      <c r="B7758" t="s">
        <v>7755</v>
      </c>
      <c r="C7758">
        <f>"187A54XSAZ"</f>
        <v>0</v>
      </c>
      <c r="D7758">
        <v>0</v>
      </c>
      <c r="E7758">
        <v>0</v>
      </c>
      <c r="F7758" s="2">
        <v>0</v>
      </c>
      <c r="H7758">
        <v>0</v>
      </c>
      <c r="I7758">
        <v>0.1741125760648204</v>
      </c>
      <c r="J7758">
        <v>0</v>
      </c>
      <c r="K7758">
        <v>0</v>
      </c>
      <c r="L7758" s="2">
        <v>0</v>
      </c>
      <c r="M7758">
        <v>76.64</v>
      </c>
      <c r="N7758" t="s">
        <v>10236</v>
      </c>
    </row>
    <row r="7759" spans="1:14">
      <c r="A7759" t="s">
        <v>35</v>
      </c>
      <c r="B7759" t="s">
        <v>7756</v>
      </c>
      <c r="C7759">
        <f>"187A54XLROS"</f>
        <v>0</v>
      </c>
      <c r="D7759">
        <v>0</v>
      </c>
      <c r="E7759">
        <v>0</v>
      </c>
      <c r="F7759" s="2">
        <v>0</v>
      </c>
      <c r="H7759">
        <v>0</v>
      </c>
      <c r="I7759">
        <v>0.1741125760648204</v>
      </c>
      <c r="J7759">
        <v>0</v>
      </c>
      <c r="K7759">
        <v>0</v>
      </c>
      <c r="L7759" s="2">
        <v>0</v>
      </c>
      <c r="M7759">
        <v>76.65000000000001</v>
      </c>
      <c r="N7759" t="s">
        <v>10236</v>
      </c>
    </row>
    <row r="7760" spans="1:14">
      <c r="A7760" t="s">
        <v>35</v>
      </c>
      <c r="B7760" t="s">
        <v>7757</v>
      </c>
      <c r="C7760">
        <f>"187A54XLAZ"</f>
        <v>0</v>
      </c>
      <c r="D7760">
        <v>0</v>
      </c>
      <c r="E7760">
        <v>0</v>
      </c>
      <c r="F7760" s="2">
        <v>0</v>
      </c>
      <c r="H7760">
        <v>0</v>
      </c>
      <c r="I7760">
        <v>0.1741125760648204</v>
      </c>
      <c r="J7760">
        <v>0</v>
      </c>
      <c r="K7760">
        <v>0</v>
      </c>
      <c r="L7760" s="2">
        <v>0</v>
      </c>
      <c r="M7760">
        <v>76.66</v>
      </c>
      <c r="N7760" t="s">
        <v>10236</v>
      </c>
    </row>
    <row r="7761" spans="1:14">
      <c r="A7761" t="s">
        <v>35</v>
      </c>
      <c r="B7761" t="s">
        <v>7758</v>
      </c>
      <c r="C7761">
        <f>"KR1001M"</f>
        <v>0</v>
      </c>
      <c r="D7761">
        <v>0</v>
      </c>
      <c r="E7761">
        <v>0</v>
      </c>
      <c r="F7761" s="2">
        <v>0</v>
      </c>
      <c r="H7761">
        <v>0</v>
      </c>
      <c r="I7761">
        <v>0.1741125760648204</v>
      </c>
      <c r="J7761">
        <v>0</v>
      </c>
      <c r="K7761">
        <v>0</v>
      </c>
      <c r="L7761" s="2">
        <v>0</v>
      </c>
      <c r="M7761">
        <v>76.67</v>
      </c>
      <c r="N7761" t="s">
        <v>10236</v>
      </c>
    </row>
    <row r="7762" spans="1:14">
      <c r="A7762" t="s">
        <v>35</v>
      </c>
      <c r="B7762" t="s">
        <v>7759</v>
      </c>
      <c r="C7762">
        <f>"KM4050GR"</f>
        <v>0</v>
      </c>
      <c r="D7762">
        <v>0</v>
      </c>
      <c r="E7762">
        <v>0</v>
      </c>
      <c r="F7762" s="2">
        <v>0</v>
      </c>
      <c r="H7762">
        <v>0</v>
      </c>
      <c r="I7762">
        <v>0.1741125760648204</v>
      </c>
      <c r="J7762">
        <v>0</v>
      </c>
      <c r="K7762">
        <v>0</v>
      </c>
      <c r="L7762" s="2">
        <v>0</v>
      </c>
      <c r="M7762">
        <v>76.67</v>
      </c>
      <c r="N7762" t="s">
        <v>10236</v>
      </c>
    </row>
    <row r="7763" spans="1:14">
      <c r="A7763" t="s">
        <v>35</v>
      </c>
      <c r="B7763" t="s">
        <v>7760</v>
      </c>
      <c r="C7763">
        <f>"KM4050BE"</f>
        <v>0</v>
      </c>
      <c r="D7763">
        <v>0</v>
      </c>
      <c r="E7763">
        <v>1</v>
      </c>
      <c r="F7763" s="2">
        <v>6</v>
      </c>
      <c r="H7763">
        <v>0</v>
      </c>
      <c r="I7763">
        <v>0.1741125760648204</v>
      </c>
      <c r="J7763">
        <v>0</v>
      </c>
      <c r="K7763">
        <v>0</v>
      </c>
      <c r="L7763" s="2">
        <v>0</v>
      </c>
      <c r="M7763">
        <v>76.68000000000001</v>
      </c>
      <c r="N7763" t="s">
        <v>10236</v>
      </c>
    </row>
    <row r="7764" spans="1:14">
      <c r="A7764" t="s">
        <v>35</v>
      </c>
      <c r="B7764" t="s">
        <v>7761</v>
      </c>
      <c r="C7764">
        <f>"W1402"</f>
        <v>0</v>
      </c>
      <c r="D7764">
        <v>0</v>
      </c>
      <c r="E7764">
        <v>1</v>
      </c>
      <c r="F7764" s="2">
        <v>2</v>
      </c>
      <c r="H7764">
        <v>0</v>
      </c>
      <c r="I7764">
        <v>0.1741125760648204</v>
      </c>
      <c r="J7764">
        <v>0</v>
      </c>
      <c r="K7764">
        <v>0</v>
      </c>
      <c r="L7764" s="2">
        <v>0</v>
      </c>
      <c r="M7764">
        <v>76.69</v>
      </c>
      <c r="N7764" t="s">
        <v>10236</v>
      </c>
    </row>
    <row r="7765" spans="1:14">
      <c r="A7765" t="s">
        <v>35</v>
      </c>
      <c r="B7765" t="s">
        <v>7762</v>
      </c>
      <c r="C7765">
        <f>"7656XL"</f>
        <v>0</v>
      </c>
      <c r="D7765">
        <v>0</v>
      </c>
      <c r="E7765">
        <v>0</v>
      </c>
      <c r="F7765" s="2">
        <v>0</v>
      </c>
      <c r="H7765">
        <v>0</v>
      </c>
      <c r="I7765">
        <v>0.1741125760648204</v>
      </c>
      <c r="J7765">
        <v>0</v>
      </c>
      <c r="K7765">
        <v>0</v>
      </c>
      <c r="L7765" s="2">
        <v>0</v>
      </c>
      <c r="M7765">
        <v>76.7</v>
      </c>
      <c r="N7765" t="s">
        <v>10236</v>
      </c>
    </row>
    <row r="7766" spans="1:14">
      <c r="A7766" t="s">
        <v>35</v>
      </c>
      <c r="B7766" t="s">
        <v>7763</v>
      </c>
      <c r="C7766">
        <f>"187A54LBL"</f>
        <v>0</v>
      </c>
      <c r="D7766">
        <v>0</v>
      </c>
      <c r="E7766">
        <v>1</v>
      </c>
      <c r="F7766" s="2">
        <v>1</v>
      </c>
      <c r="H7766">
        <v>0</v>
      </c>
      <c r="I7766">
        <v>0.1741125760648204</v>
      </c>
      <c r="J7766">
        <v>0</v>
      </c>
      <c r="K7766">
        <v>0</v>
      </c>
      <c r="L7766" s="2">
        <v>0</v>
      </c>
      <c r="M7766">
        <v>76.70999999999999</v>
      </c>
      <c r="N7766" t="s">
        <v>10236</v>
      </c>
    </row>
    <row r="7767" spans="1:14">
      <c r="A7767" t="s">
        <v>35</v>
      </c>
      <c r="B7767" t="s">
        <v>7764</v>
      </c>
      <c r="C7767">
        <f>"187A545XLROS"</f>
        <v>0</v>
      </c>
      <c r="D7767">
        <v>0</v>
      </c>
      <c r="E7767">
        <v>0</v>
      </c>
      <c r="F7767" s="2">
        <v>0</v>
      </c>
      <c r="H7767">
        <v>0</v>
      </c>
      <c r="I7767">
        <v>0.1741125760648204</v>
      </c>
      <c r="J7767">
        <v>0</v>
      </c>
      <c r="K7767">
        <v>0</v>
      </c>
      <c r="L7767" s="2">
        <v>0</v>
      </c>
      <c r="M7767">
        <v>76.72</v>
      </c>
      <c r="N7767" t="s">
        <v>10236</v>
      </c>
    </row>
    <row r="7768" spans="1:14">
      <c r="A7768" t="s">
        <v>35</v>
      </c>
      <c r="B7768" t="s">
        <v>7765</v>
      </c>
      <c r="C7768">
        <f>"187A545XLBUR"</f>
        <v>0</v>
      </c>
      <c r="D7768">
        <v>0</v>
      </c>
      <c r="E7768">
        <v>1</v>
      </c>
      <c r="F7768" s="2">
        <v>3</v>
      </c>
      <c r="H7768">
        <v>0</v>
      </c>
      <c r="I7768">
        <v>0.1741125760648204</v>
      </c>
      <c r="J7768">
        <v>0</v>
      </c>
      <c r="K7768">
        <v>0</v>
      </c>
      <c r="L7768" s="2">
        <v>0</v>
      </c>
      <c r="M7768">
        <v>76.73</v>
      </c>
      <c r="N7768" t="s">
        <v>10236</v>
      </c>
    </row>
    <row r="7769" spans="1:14">
      <c r="A7769" t="s">
        <v>35</v>
      </c>
      <c r="B7769" t="s">
        <v>7766</v>
      </c>
      <c r="C7769">
        <f>"187A545XLBL"</f>
        <v>0</v>
      </c>
      <c r="D7769">
        <v>0</v>
      </c>
      <c r="E7769">
        <v>0</v>
      </c>
      <c r="F7769" s="2">
        <v>0</v>
      </c>
      <c r="H7769">
        <v>0</v>
      </c>
      <c r="I7769">
        <v>0.1741125760648204</v>
      </c>
      <c r="J7769">
        <v>0</v>
      </c>
      <c r="K7769">
        <v>0</v>
      </c>
      <c r="L7769" s="2">
        <v>0</v>
      </c>
      <c r="M7769">
        <v>76.73999999999999</v>
      </c>
      <c r="N7769" t="s">
        <v>10236</v>
      </c>
    </row>
    <row r="7770" spans="1:14">
      <c r="A7770" t="s">
        <v>35</v>
      </c>
      <c r="B7770" t="s">
        <v>7767</v>
      </c>
      <c r="C7770">
        <f>"187A544XLROS"</f>
        <v>0</v>
      </c>
      <c r="D7770">
        <v>0</v>
      </c>
      <c r="E7770">
        <v>0</v>
      </c>
      <c r="F7770" s="2">
        <v>0</v>
      </c>
      <c r="H7770">
        <v>0</v>
      </c>
      <c r="I7770">
        <v>0.1741125760648204</v>
      </c>
      <c r="J7770">
        <v>0</v>
      </c>
      <c r="K7770">
        <v>0</v>
      </c>
      <c r="L7770" s="2">
        <v>0</v>
      </c>
      <c r="M7770">
        <v>76.75</v>
      </c>
      <c r="N7770" t="s">
        <v>10236</v>
      </c>
    </row>
    <row r="7771" spans="1:14">
      <c r="A7771" t="s">
        <v>35</v>
      </c>
      <c r="B7771" t="s">
        <v>7768</v>
      </c>
      <c r="C7771">
        <f>"187A544XLBUR"</f>
        <v>0</v>
      </c>
      <c r="D7771">
        <v>0</v>
      </c>
      <c r="E7771">
        <v>0</v>
      </c>
      <c r="F7771" s="2">
        <v>0</v>
      </c>
      <c r="H7771">
        <v>0</v>
      </c>
      <c r="I7771">
        <v>0.1741125760648204</v>
      </c>
      <c r="J7771">
        <v>0</v>
      </c>
      <c r="K7771">
        <v>0</v>
      </c>
      <c r="L7771" s="2">
        <v>0</v>
      </c>
      <c r="M7771">
        <v>76.76000000000001</v>
      </c>
      <c r="N7771" t="s">
        <v>10236</v>
      </c>
    </row>
    <row r="7772" spans="1:14">
      <c r="A7772" t="s">
        <v>35</v>
      </c>
      <c r="B7772" t="s">
        <v>7769</v>
      </c>
      <c r="C7772">
        <f>"187A544XLAZ"</f>
        <v>0</v>
      </c>
      <c r="D7772">
        <v>0</v>
      </c>
      <c r="E7772">
        <v>1</v>
      </c>
      <c r="F7772" s="2">
        <v>2</v>
      </c>
      <c r="H7772">
        <v>0</v>
      </c>
      <c r="I7772">
        <v>0.1741125760648204</v>
      </c>
      <c r="J7772">
        <v>0</v>
      </c>
      <c r="K7772">
        <v>0</v>
      </c>
      <c r="L7772" s="2">
        <v>0</v>
      </c>
      <c r="M7772">
        <v>76.77</v>
      </c>
      <c r="N7772" t="s">
        <v>10236</v>
      </c>
    </row>
    <row r="7773" spans="1:14">
      <c r="A7773" t="s">
        <v>35</v>
      </c>
      <c r="B7773" t="s">
        <v>7770</v>
      </c>
      <c r="C7773">
        <f>"187A543XLROS"</f>
        <v>0</v>
      </c>
      <c r="D7773">
        <v>0</v>
      </c>
      <c r="E7773">
        <v>1</v>
      </c>
      <c r="F7773" s="2">
        <v>2</v>
      </c>
      <c r="H7773">
        <v>0</v>
      </c>
      <c r="I7773">
        <v>0.1741125760648204</v>
      </c>
      <c r="J7773">
        <v>0</v>
      </c>
      <c r="K7773">
        <v>0</v>
      </c>
      <c r="L7773" s="2">
        <v>0</v>
      </c>
      <c r="M7773">
        <v>76.78</v>
      </c>
      <c r="N7773" t="s">
        <v>10236</v>
      </c>
    </row>
    <row r="7774" spans="1:14">
      <c r="A7774" t="s">
        <v>35</v>
      </c>
      <c r="B7774" t="s">
        <v>7771</v>
      </c>
      <c r="C7774">
        <f>"187A543XLBL"</f>
        <v>0</v>
      </c>
      <c r="D7774">
        <v>0</v>
      </c>
      <c r="E7774">
        <v>0</v>
      </c>
      <c r="F7774" s="2">
        <v>0</v>
      </c>
      <c r="H7774">
        <v>0</v>
      </c>
      <c r="I7774">
        <v>0.1741125760648204</v>
      </c>
      <c r="J7774">
        <v>0</v>
      </c>
      <c r="K7774">
        <v>0</v>
      </c>
      <c r="L7774" s="2">
        <v>0</v>
      </c>
      <c r="M7774">
        <v>76.79000000000001</v>
      </c>
      <c r="N7774" t="s">
        <v>10236</v>
      </c>
    </row>
    <row r="7775" spans="1:14">
      <c r="A7775" t="s">
        <v>35</v>
      </c>
      <c r="B7775" t="s">
        <v>7772</v>
      </c>
      <c r="C7775">
        <f>"187A543XLAZ"</f>
        <v>0</v>
      </c>
      <c r="D7775">
        <v>0</v>
      </c>
      <c r="E7775">
        <v>1</v>
      </c>
      <c r="F7775" s="2">
        <v>2</v>
      </c>
      <c r="H7775">
        <v>0</v>
      </c>
      <c r="I7775">
        <v>0.1741125760648204</v>
      </c>
      <c r="J7775">
        <v>0</v>
      </c>
      <c r="K7775">
        <v>0</v>
      </c>
      <c r="L7775" s="2">
        <v>0</v>
      </c>
      <c r="M7775">
        <v>76.79000000000001</v>
      </c>
      <c r="N7775" t="s">
        <v>10236</v>
      </c>
    </row>
    <row r="7776" spans="1:14">
      <c r="A7776" t="s">
        <v>35</v>
      </c>
      <c r="B7776" t="s">
        <v>7773</v>
      </c>
      <c r="C7776">
        <f>"18BLUEXXL"</f>
        <v>0</v>
      </c>
      <c r="D7776">
        <v>0</v>
      </c>
      <c r="E7776">
        <v>15</v>
      </c>
      <c r="F7776" s="2">
        <v>3</v>
      </c>
      <c r="H7776">
        <v>0</v>
      </c>
      <c r="I7776">
        <v>0.1741125760648204</v>
      </c>
      <c r="J7776">
        <v>0</v>
      </c>
      <c r="K7776">
        <v>0</v>
      </c>
      <c r="L7776" s="2">
        <v>0</v>
      </c>
      <c r="M7776">
        <v>76.8</v>
      </c>
      <c r="N7776" t="s">
        <v>10236</v>
      </c>
    </row>
    <row r="7777" spans="1:14">
      <c r="A7777" t="s">
        <v>35</v>
      </c>
      <c r="B7777" t="s">
        <v>7774</v>
      </c>
      <c r="C7777">
        <f>"187A54SBL"</f>
        <v>0</v>
      </c>
      <c r="D7777">
        <v>0</v>
      </c>
      <c r="E7777">
        <v>1</v>
      </c>
      <c r="F7777" s="2">
        <v>1</v>
      </c>
      <c r="H7777">
        <v>0</v>
      </c>
      <c r="I7777">
        <v>0.1741125760648204</v>
      </c>
      <c r="J7777">
        <v>0</v>
      </c>
      <c r="K7777">
        <v>0</v>
      </c>
      <c r="L7777" s="2">
        <v>0</v>
      </c>
      <c r="M7777">
        <v>76.81</v>
      </c>
      <c r="N7777" t="s">
        <v>10236</v>
      </c>
    </row>
    <row r="7778" spans="1:14">
      <c r="A7778" t="s">
        <v>35</v>
      </c>
      <c r="B7778" t="s">
        <v>7775</v>
      </c>
      <c r="C7778">
        <f>"KR1001L"</f>
        <v>0</v>
      </c>
      <c r="D7778">
        <v>0</v>
      </c>
      <c r="E7778">
        <v>0</v>
      </c>
      <c r="F7778" s="2">
        <v>0</v>
      </c>
      <c r="H7778">
        <v>0</v>
      </c>
      <c r="I7778">
        <v>0.1741125760648204</v>
      </c>
      <c r="J7778">
        <v>0</v>
      </c>
      <c r="K7778">
        <v>0</v>
      </c>
      <c r="L7778" s="2">
        <v>0</v>
      </c>
      <c r="M7778">
        <v>76.81999999999999</v>
      </c>
      <c r="N7778" t="s">
        <v>10236</v>
      </c>
    </row>
    <row r="7779" spans="1:14">
      <c r="A7779" t="s">
        <v>35</v>
      </c>
      <c r="B7779" t="s">
        <v>7776</v>
      </c>
      <c r="C7779">
        <f>"COO2841L"</f>
        <v>0</v>
      </c>
      <c r="D7779">
        <v>0</v>
      </c>
      <c r="E7779">
        <v>6</v>
      </c>
      <c r="F7779" s="2">
        <v>23</v>
      </c>
      <c r="H7779">
        <v>0</v>
      </c>
      <c r="I7779">
        <v>0.1741125760648204</v>
      </c>
      <c r="J7779">
        <v>0</v>
      </c>
      <c r="K7779">
        <v>0</v>
      </c>
      <c r="L7779" s="2">
        <v>0</v>
      </c>
      <c r="M7779">
        <v>76.83</v>
      </c>
      <c r="N7779" t="s">
        <v>10236</v>
      </c>
    </row>
    <row r="7780" spans="1:14">
      <c r="A7780" t="s">
        <v>35</v>
      </c>
      <c r="B7780" t="s">
        <v>7777</v>
      </c>
      <c r="C7780">
        <f>"QSMW2476S"</f>
        <v>0</v>
      </c>
      <c r="D7780">
        <v>0</v>
      </c>
      <c r="E7780">
        <v>0</v>
      </c>
      <c r="F7780" s="2">
        <v>0</v>
      </c>
      <c r="H7780">
        <v>0</v>
      </c>
      <c r="I7780">
        <v>0.1741125760648204</v>
      </c>
      <c r="J7780">
        <v>0</v>
      </c>
      <c r="K7780">
        <v>0</v>
      </c>
      <c r="L7780" s="2">
        <v>0</v>
      </c>
      <c r="M7780">
        <v>76.84</v>
      </c>
      <c r="N7780" t="s">
        <v>10236</v>
      </c>
    </row>
    <row r="7781" spans="1:14">
      <c r="A7781" t="s">
        <v>35</v>
      </c>
      <c r="B7781" t="s">
        <v>7778</v>
      </c>
      <c r="C7781">
        <f>"QSMW2476H"</f>
        <v>0</v>
      </c>
      <c r="D7781">
        <v>0</v>
      </c>
      <c r="E7781">
        <v>0</v>
      </c>
      <c r="F7781" s="2">
        <v>0</v>
      </c>
      <c r="H7781">
        <v>0</v>
      </c>
      <c r="I7781">
        <v>0.1741125760648204</v>
      </c>
      <c r="J7781">
        <v>0</v>
      </c>
      <c r="K7781">
        <v>0</v>
      </c>
      <c r="L7781" s="2">
        <v>0</v>
      </c>
      <c r="M7781">
        <v>76.84999999999999</v>
      </c>
      <c r="N7781" t="s">
        <v>10236</v>
      </c>
    </row>
    <row r="7782" spans="1:14">
      <c r="A7782" t="s">
        <v>35</v>
      </c>
      <c r="B7782" t="s">
        <v>7779</v>
      </c>
      <c r="C7782">
        <f>"1905S"</f>
        <v>0</v>
      </c>
      <c r="D7782">
        <v>0</v>
      </c>
      <c r="E7782">
        <v>0</v>
      </c>
      <c r="F7782" s="2">
        <v>0</v>
      </c>
      <c r="H7782">
        <v>0</v>
      </c>
      <c r="I7782">
        <v>0.1741125760648204</v>
      </c>
      <c r="J7782">
        <v>0</v>
      </c>
      <c r="K7782">
        <v>0</v>
      </c>
      <c r="L7782" s="2">
        <v>0</v>
      </c>
      <c r="M7782">
        <v>76.86</v>
      </c>
      <c r="N7782" t="s">
        <v>10236</v>
      </c>
    </row>
    <row r="7783" spans="1:14">
      <c r="A7783" t="s">
        <v>35</v>
      </c>
      <c r="B7783" t="s">
        <v>7780</v>
      </c>
      <c r="C7783">
        <f>"AX0515NM"</f>
        <v>0</v>
      </c>
      <c r="D7783">
        <v>0</v>
      </c>
      <c r="E7783">
        <v>0</v>
      </c>
      <c r="F7783" s="2">
        <v>0</v>
      </c>
      <c r="H7783">
        <v>0</v>
      </c>
      <c r="I7783">
        <v>0.1741125760648204</v>
      </c>
      <c r="J7783">
        <v>0</v>
      </c>
      <c r="K7783">
        <v>0</v>
      </c>
      <c r="L7783" s="2">
        <v>0</v>
      </c>
      <c r="M7783">
        <v>76.87</v>
      </c>
      <c r="N7783" t="s">
        <v>10236</v>
      </c>
    </row>
    <row r="7784" spans="1:14">
      <c r="A7784" t="s">
        <v>35</v>
      </c>
      <c r="B7784" t="s">
        <v>7781</v>
      </c>
      <c r="C7784">
        <f>"AX0515NL"</f>
        <v>0</v>
      </c>
      <c r="D7784">
        <v>0</v>
      </c>
      <c r="E7784">
        <v>0</v>
      </c>
      <c r="F7784" s="2">
        <v>0</v>
      </c>
      <c r="H7784">
        <v>0</v>
      </c>
      <c r="I7784">
        <v>0.1741125760648204</v>
      </c>
      <c r="J7784">
        <v>0</v>
      </c>
      <c r="K7784">
        <v>0</v>
      </c>
      <c r="L7784" s="2">
        <v>0</v>
      </c>
      <c r="M7784">
        <v>76.88</v>
      </c>
      <c r="N7784" t="s">
        <v>10236</v>
      </c>
    </row>
    <row r="7785" spans="1:14">
      <c r="A7785" t="s">
        <v>35</v>
      </c>
      <c r="B7785" t="s">
        <v>7782</v>
      </c>
      <c r="C7785">
        <f>"AX0515AS"</f>
        <v>0</v>
      </c>
      <c r="D7785">
        <v>0</v>
      </c>
      <c r="E7785">
        <v>0</v>
      </c>
      <c r="F7785" s="2">
        <v>0</v>
      </c>
      <c r="H7785">
        <v>0</v>
      </c>
      <c r="I7785">
        <v>0.1741125760648204</v>
      </c>
      <c r="J7785">
        <v>0</v>
      </c>
      <c r="K7785">
        <v>0</v>
      </c>
      <c r="L7785" s="2">
        <v>0</v>
      </c>
      <c r="M7785">
        <v>76.89</v>
      </c>
      <c r="N7785" t="s">
        <v>10236</v>
      </c>
    </row>
    <row r="7786" spans="1:14">
      <c r="A7786" t="s">
        <v>35</v>
      </c>
      <c r="B7786" t="s">
        <v>7783</v>
      </c>
      <c r="C7786">
        <f>"AX0515AM"</f>
        <v>0</v>
      </c>
      <c r="D7786">
        <v>0</v>
      </c>
      <c r="E7786">
        <v>0</v>
      </c>
      <c r="F7786" s="2">
        <v>0</v>
      </c>
      <c r="H7786">
        <v>0</v>
      </c>
      <c r="I7786">
        <v>0.1741125760648204</v>
      </c>
      <c r="J7786">
        <v>0</v>
      </c>
      <c r="K7786">
        <v>0</v>
      </c>
      <c r="L7786" s="2">
        <v>0</v>
      </c>
      <c r="M7786">
        <v>76.90000000000001</v>
      </c>
      <c r="N7786" t="s">
        <v>10236</v>
      </c>
    </row>
    <row r="7787" spans="1:14">
      <c r="A7787" t="s">
        <v>35</v>
      </c>
      <c r="B7787" t="s">
        <v>7784</v>
      </c>
      <c r="C7787">
        <f>"AX0515AL"</f>
        <v>0</v>
      </c>
      <c r="D7787">
        <v>0</v>
      </c>
      <c r="E7787">
        <v>0</v>
      </c>
      <c r="F7787" s="2">
        <v>0</v>
      </c>
      <c r="H7787">
        <v>0</v>
      </c>
      <c r="I7787">
        <v>0.1741125760648204</v>
      </c>
      <c r="J7787">
        <v>0</v>
      </c>
      <c r="K7787">
        <v>0</v>
      </c>
      <c r="L7787" s="2">
        <v>0</v>
      </c>
      <c r="M7787">
        <v>76.91</v>
      </c>
      <c r="N7787" t="s">
        <v>10236</v>
      </c>
    </row>
    <row r="7788" spans="1:14">
      <c r="A7788" t="s">
        <v>35</v>
      </c>
      <c r="B7788" t="s">
        <v>7785</v>
      </c>
      <c r="C7788">
        <f>"JXW18020L"</f>
        <v>0</v>
      </c>
      <c r="D7788">
        <v>0</v>
      </c>
      <c r="E7788">
        <v>6</v>
      </c>
      <c r="F7788" s="2">
        <v>13</v>
      </c>
      <c r="H7788">
        <v>0</v>
      </c>
      <c r="I7788">
        <v>0.1741125760648204</v>
      </c>
      <c r="J7788">
        <v>0</v>
      </c>
      <c r="K7788">
        <v>0</v>
      </c>
      <c r="L7788" s="2">
        <v>0</v>
      </c>
      <c r="M7788">
        <v>76.91</v>
      </c>
      <c r="N7788" t="s">
        <v>10236</v>
      </c>
    </row>
    <row r="7789" spans="1:14">
      <c r="A7789" t="s">
        <v>24</v>
      </c>
      <c r="B7789" t="s">
        <v>7786</v>
      </c>
      <c r="C7789">
        <f>"1110151"</f>
        <v>0</v>
      </c>
      <c r="D7789">
        <v>0</v>
      </c>
      <c r="E7789">
        <v>2</v>
      </c>
      <c r="F7789" s="2">
        <v>3</v>
      </c>
      <c r="H7789">
        <v>0</v>
      </c>
      <c r="I7789">
        <v>0.1741125760648204</v>
      </c>
      <c r="J7789">
        <v>0</v>
      </c>
      <c r="K7789">
        <v>0</v>
      </c>
      <c r="L7789" s="2">
        <v>0</v>
      </c>
      <c r="M7789">
        <v>76.92</v>
      </c>
      <c r="N7789" t="s">
        <v>10236</v>
      </c>
    </row>
    <row r="7790" spans="1:14">
      <c r="A7790" t="s">
        <v>32</v>
      </c>
      <c r="B7790" t="s">
        <v>7787</v>
      </c>
      <c r="C7790">
        <f>"Z015003954"</f>
        <v>0</v>
      </c>
      <c r="D7790">
        <v>0</v>
      </c>
      <c r="E7790">
        <v>0</v>
      </c>
      <c r="F7790" s="2">
        <v>0</v>
      </c>
      <c r="H7790">
        <v>0</v>
      </c>
      <c r="I7790">
        <v>0.1741125760648204</v>
      </c>
      <c r="J7790">
        <v>0</v>
      </c>
      <c r="K7790">
        <v>0</v>
      </c>
      <c r="L7790" s="2">
        <v>0</v>
      </c>
      <c r="M7790">
        <v>76.93000000000001</v>
      </c>
      <c r="N7790" t="s">
        <v>10236</v>
      </c>
    </row>
    <row r="7791" spans="1:14">
      <c r="A7791" t="s">
        <v>32</v>
      </c>
      <c r="B7791" t="s">
        <v>7788</v>
      </c>
      <c r="C7791">
        <f>"Z015004005"</f>
        <v>0</v>
      </c>
      <c r="D7791">
        <v>0</v>
      </c>
      <c r="E7791">
        <v>0</v>
      </c>
      <c r="F7791" s="2">
        <v>0</v>
      </c>
      <c r="H7791">
        <v>0</v>
      </c>
      <c r="I7791">
        <v>0.1741125760648204</v>
      </c>
      <c r="J7791">
        <v>0</v>
      </c>
      <c r="K7791">
        <v>0</v>
      </c>
      <c r="L7791" s="2">
        <v>0</v>
      </c>
      <c r="M7791">
        <v>76.94</v>
      </c>
      <c r="N7791" t="s">
        <v>10236</v>
      </c>
    </row>
    <row r="7792" spans="1:14">
      <c r="A7792" t="s">
        <v>35</v>
      </c>
      <c r="B7792" t="s">
        <v>7789</v>
      </c>
      <c r="C7792">
        <f>"1805S"</f>
        <v>0</v>
      </c>
      <c r="D7792">
        <v>0</v>
      </c>
      <c r="E7792">
        <v>1</v>
      </c>
      <c r="F7792" s="2">
        <v>2</v>
      </c>
      <c r="H7792">
        <v>0</v>
      </c>
      <c r="I7792">
        <v>0.1741125760648204</v>
      </c>
      <c r="J7792">
        <v>0</v>
      </c>
      <c r="K7792">
        <v>0</v>
      </c>
      <c r="L7792" s="2">
        <v>0</v>
      </c>
      <c r="M7792">
        <v>76.95</v>
      </c>
      <c r="N7792" t="s">
        <v>10236</v>
      </c>
    </row>
    <row r="7793" spans="1:14">
      <c r="A7793" t="s">
        <v>213</v>
      </c>
      <c r="B7793" t="s">
        <v>7790</v>
      </c>
      <c r="C7793">
        <f>"500965"</f>
        <v>0</v>
      </c>
      <c r="D7793">
        <v>0</v>
      </c>
      <c r="E7793">
        <v>3</v>
      </c>
      <c r="F7793" s="2">
        <v>11</v>
      </c>
      <c r="H7793">
        <v>0</v>
      </c>
      <c r="I7793">
        <v>0.1741125760648204</v>
      </c>
      <c r="J7793">
        <v>0</v>
      </c>
      <c r="K7793">
        <v>0</v>
      </c>
      <c r="L7793" s="2">
        <v>0</v>
      </c>
      <c r="M7793">
        <v>76.95999999999999</v>
      </c>
      <c r="N7793" t="s">
        <v>10236</v>
      </c>
    </row>
    <row r="7794" spans="1:14">
      <c r="A7794" t="s">
        <v>213</v>
      </c>
      <c r="B7794" t="s">
        <v>7791</v>
      </c>
      <c r="C7794">
        <f>"500966"</f>
        <v>0</v>
      </c>
      <c r="D7794">
        <v>0</v>
      </c>
      <c r="E7794">
        <v>2</v>
      </c>
      <c r="F7794" s="2">
        <v>17</v>
      </c>
      <c r="H7794">
        <v>0</v>
      </c>
      <c r="I7794">
        <v>0.1741125760648204</v>
      </c>
      <c r="J7794">
        <v>0</v>
      </c>
      <c r="K7794">
        <v>0</v>
      </c>
      <c r="L7794" s="2">
        <v>0</v>
      </c>
      <c r="M7794">
        <v>76.97</v>
      </c>
      <c r="N7794" t="s">
        <v>10236</v>
      </c>
    </row>
    <row r="7795" spans="1:14">
      <c r="A7795" t="s">
        <v>195</v>
      </c>
      <c r="B7795" t="s">
        <v>7792</v>
      </c>
      <c r="C7795">
        <f>"25395871"</f>
        <v>0</v>
      </c>
      <c r="D7795">
        <v>0</v>
      </c>
      <c r="E7795">
        <v>1</v>
      </c>
      <c r="F7795" s="2">
        <v>6</v>
      </c>
      <c r="H7795">
        <v>0</v>
      </c>
      <c r="I7795">
        <v>0.1741125760648204</v>
      </c>
      <c r="J7795">
        <v>0</v>
      </c>
      <c r="K7795">
        <v>0</v>
      </c>
      <c r="L7795" s="2">
        <v>0</v>
      </c>
      <c r="M7795">
        <v>76.98</v>
      </c>
      <c r="N7795" t="s">
        <v>10236</v>
      </c>
    </row>
    <row r="7796" spans="1:14">
      <c r="A7796" t="s">
        <v>207</v>
      </c>
      <c r="B7796" t="s">
        <v>7793</v>
      </c>
      <c r="C7796">
        <f>"CanarioAve"</f>
        <v>0</v>
      </c>
      <c r="D7796">
        <v>0</v>
      </c>
      <c r="E7796">
        <v>0</v>
      </c>
      <c r="F7796" s="2">
        <v>0</v>
      </c>
      <c r="H7796">
        <v>0</v>
      </c>
      <c r="I7796">
        <v>0.1741125760648204</v>
      </c>
      <c r="J7796">
        <v>0</v>
      </c>
      <c r="K7796">
        <v>0</v>
      </c>
      <c r="L7796" s="2">
        <v>0</v>
      </c>
      <c r="M7796">
        <v>76.98999999999999</v>
      </c>
      <c r="N7796" t="s">
        <v>10236</v>
      </c>
    </row>
    <row r="7797" spans="1:14">
      <c r="A7797" t="s">
        <v>35</v>
      </c>
      <c r="B7797" t="s">
        <v>7794</v>
      </c>
      <c r="C7797">
        <f>"187A54SAZ"</f>
        <v>0</v>
      </c>
      <c r="D7797">
        <v>0</v>
      </c>
      <c r="E7797">
        <v>1</v>
      </c>
      <c r="F7797" s="2">
        <v>1</v>
      </c>
      <c r="H7797">
        <v>0</v>
      </c>
      <c r="I7797">
        <v>0.1741125760648204</v>
      </c>
      <c r="J7797">
        <v>0</v>
      </c>
      <c r="K7797">
        <v>0</v>
      </c>
      <c r="L7797" s="2">
        <v>0</v>
      </c>
      <c r="M7797">
        <v>77</v>
      </c>
      <c r="N7797" t="s">
        <v>10236</v>
      </c>
    </row>
    <row r="7798" spans="1:14">
      <c r="A7798" t="s">
        <v>35</v>
      </c>
      <c r="B7798" t="s">
        <v>7795</v>
      </c>
      <c r="C7798">
        <f>"187A54MROS"</f>
        <v>0</v>
      </c>
      <c r="D7798">
        <v>0</v>
      </c>
      <c r="E7798">
        <v>0</v>
      </c>
      <c r="F7798" s="2">
        <v>0</v>
      </c>
      <c r="H7798">
        <v>0</v>
      </c>
      <c r="I7798">
        <v>0.1741125760648204</v>
      </c>
      <c r="J7798">
        <v>0</v>
      </c>
      <c r="K7798">
        <v>0</v>
      </c>
      <c r="L7798" s="2">
        <v>0</v>
      </c>
      <c r="M7798">
        <v>77.01000000000001</v>
      </c>
      <c r="N7798" t="s">
        <v>10236</v>
      </c>
    </row>
    <row r="7799" spans="1:14">
      <c r="A7799" t="s">
        <v>35</v>
      </c>
      <c r="B7799" t="s">
        <v>7796</v>
      </c>
      <c r="C7799">
        <f>"187A54MBL"</f>
        <v>0</v>
      </c>
      <c r="D7799">
        <v>0</v>
      </c>
      <c r="E7799">
        <v>1</v>
      </c>
      <c r="F7799" s="2">
        <v>1</v>
      </c>
      <c r="H7799">
        <v>0</v>
      </c>
      <c r="I7799">
        <v>0.1741125760648204</v>
      </c>
      <c r="J7799">
        <v>0</v>
      </c>
      <c r="K7799">
        <v>0</v>
      </c>
      <c r="L7799" s="2">
        <v>0</v>
      </c>
      <c r="M7799">
        <v>77.02</v>
      </c>
      <c r="N7799" t="s">
        <v>10236</v>
      </c>
    </row>
    <row r="7800" spans="1:14">
      <c r="A7800" t="s">
        <v>35</v>
      </c>
      <c r="B7800" t="s">
        <v>7797</v>
      </c>
      <c r="C7800">
        <f>"187A54MAZ"</f>
        <v>0</v>
      </c>
      <c r="D7800">
        <v>0</v>
      </c>
      <c r="E7800">
        <v>0</v>
      </c>
      <c r="F7800" s="2">
        <v>0</v>
      </c>
      <c r="H7800">
        <v>0</v>
      </c>
      <c r="I7800">
        <v>0.1741125760648204</v>
      </c>
      <c r="J7800">
        <v>0</v>
      </c>
      <c r="K7800">
        <v>0</v>
      </c>
      <c r="L7800" s="2">
        <v>0</v>
      </c>
      <c r="M7800">
        <v>77.03</v>
      </c>
      <c r="N7800" t="s">
        <v>10236</v>
      </c>
    </row>
    <row r="7801" spans="1:14">
      <c r="A7801" t="s">
        <v>35</v>
      </c>
      <c r="B7801" t="s">
        <v>7798</v>
      </c>
      <c r="C7801">
        <f>"187A54LROS"</f>
        <v>0</v>
      </c>
      <c r="D7801">
        <v>0</v>
      </c>
      <c r="E7801">
        <v>0</v>
      </c>
      <c r="F7801" s="2">
        <v>0</v>
      </c>
      <c r="H7801">
        <v>0</v>
      </c>
      <c r="I7801">
        <v>0.1741125760648204</v>
      </c>
      <c r="J7801">
        <v>0</v>
      </c>
      <c r="K7801">
        <v>0</v>
      </c>
      <c r="L7801" s="2">
        <v>0</v>
      </c>
      <c r="M7801">
        <v>77.03</v>
      </c>
      <c r="N7801" t="s">
        <v>10236</v>
      </c>
    </row>
    <row r="7802" spans="1:14">
      <c r="A7802" t="s">
        <v>35</v>
      </c>
      <c r="B7802" t="s">
        <v>7799</v>
      </c>
      <c r="C7802">
        <f>"D311M"</f>
        <v>0</v>
      </c>
      <c r="D7802">
        <v>0</v>
      </c>
      <c r="E7802">
        <v>0</v>
      </c>
      <c r="F7802" s="2">
        <v>0</v>
      </c>
      <c r="H7802">
        <v>0</v>
      </c>
      <c r="I7802">
        <v>0.1741125760648204</v>
      </c>
      <c r="J7802">
        <v>0</v>
      </c>
      <c r="K7802">
        <v>0</v>
      </c>
      <c r="L7802" s="2">
        <v>0</v>
      </c>
      <c r="M7802">
        <v>77.04000000000001</v>
      </c>
      <c r="N7802" t="s">
        <v>10236</v>
      </c>
    </row>
    <row r="7803" spans="1:14">
      <c r="A7803" t="s">
        <v>35</v>
      </c>
      <c r="B7803" t="s">
        <v>7800</v>
      </c>
      <c r="C7803">
        <f>"D311L"</f>
        <v>0</v>
      </c>
      <c r="D7803">
        <v>0</v>
      </c>
      <c r="E7803">
        <v>3</v>
      </c>
      <c r="F7803" s="2">
        <v>1</v>
      </c>
      <c r="H7803">
        <v>0</v>
      </c>
      <c r="I7803">
        <v>0.1741125760648204</v>
      </c>
      <c r="J7803">
        <v>0</v>
      </c>
      <c r="K7803">
        <v>0</v>
      </c>
      <c r="L7803" s="2">
        <v>0</v>
      </c>
      <c r="M7803">
        <v>77.05</v>
      </c>
      <c r="N7803" t="s">
        <v>10236</v>
      </c>
    </row>
    <row r="7804" spans="1:14">
      <c r="A7804" t="s">
        <v>35</v>
      </c>
      <c r="B7804" t="s">
        <v>7801</v>
      </c>
      <c r="C7804">
        <f>"D42S"</f>
        <v>0</v>
      </c>
      <c r="D7804">
        <v>0</v>
      </c>
      <c r="E7804">
        <v>0</v>
      </c>
      <c r="F7804" s="2">
        <v>0</v>
      </c>
      <c r="H7804">
        <v>0</v>
      </c>
      <c r="I7804">
        <v>0.1741125760648204</v>
      </c>
      <c r="J7804">
        <v>0</v>
      </c>
      <c r="K7804">
        <v>0</v>
      </c>
      <c r="L7804" s="2">
        <v>0</v>
      </c>
      <c r="M7804">
        <v>77.06</v>
      </c>
      <c r="N7804" t="s">
        <v>10236</v>
      </c>
    </row>
    <row r="7805" spans="1:14">
      <c r="A7805" t="s">
        <v>35</v>
      </c>
      <c r="B7805" t="s">
        <v>7802</v>
      </c>
      <c r="C7805">
        <f>"D42M"</f>
        <v>0</v>
      </c>
      <c r="D7805">
        <v>0</v>
      </c>
      <c r="E7805">
        <v>0</v>
      </c>
      <c r="F7805" s="2">
        <v>0</v>
      </c>
      <c r="H7805">
        <v>0</v>
      </c>
      <c r="I7805">
        <v>0.1741125760648204</v>
      </c>
      <c r="J7805">
        <v>0</v>
      </c>
      <c r="K7805">
        <v>0</v>
      </c>
      <c r="L7805" s="2">
        <v>0</v>
      </c>
      <c r="M7805">
        <v>77.06999999999999</v>
      </c>
      <c r="N7805" t="s">
        <v>10236</v>
      </c>
    </row>
    <row r="7806" spans="1:14">
      <c r="A7806" t="s">
        <v>35</v>
      </c>
      <c r="B7806" t="s">
        <v>7803</v>
      </c>
      <c r="C7806">
        <f>"D42L"</f>
        <v>0</v>
      </c>
      <c r="D7806">
        <v>0</v>
      </c>
      <c r="E7806">
        <v>6</v>
      </c>
      <c r="F7806" s="2">
        <v>2</v>
      </c>
      <c r="H7806">
        <v>0</v>
      </c>
      <c r="I7806">
        <v>0.1741125760648204</v>
      </c>
      <c r="J7806">
        <v>0</v>
      </c>
      <c r="K7806">
        <v>0</v>
      </c>
      <c r="L7806" s="2">
        <v>0</v>
      </c>
      <c r="M7806">
        <v>77.08</v>
      </c>
      <c r="N7806" t="s">
        <v>10236</v>
      </c>
    </row>
    <row r="7807" spans="1:14">
      <c r="A7807" t="s">
        <v>35</v>
      </c>
      <c r="B7807" t="s">
        <v>7804</v>
      </c>
      <c r="C7807">
        <f>"1805XXL"</f>
        <v>0</v>
      </c>
      <c r="D7807">
        <v>0</v>
      </c>
      <c r="E7807">
        <v>12</v>
      </c>
      <c r="F7807" s="2">
        <v>2</v>
      </c>
      <c r="H7807">
        <v>0</v>
      </c>
      <c r="I7807">
        <v>0.1741125760648204</v>
      </c>
      <c r="J7807">
        <v>0</v>
      </c>
      <c r="K7807">
        <v>0</v>
      </c>
      <c r="L7807" s="2">
        <v>0</v>
      </c>
      <c r="M7807">
        <v>77.09</v>
      </c>
      <c r="N7807" t="s">
        <v>10236</v>
      </c>
    </row>
    <row r="7808" spans="1:14">
      <c r="A7808" t="s">
        <v>213</v>
      </c>
      <c r="B7808" t="s">
        <v>7805</v>
      </c>
      <c r="C7808">
        <f>"501023"</f>
        <v>0</v>
      </c>
      <c r="D7808">
        <v>0</v>
      </c>
      <c r="E7808">
        <v>0</v>
      </c>
      <c r="F7808" s="2">
        <v>0</v>
      </c>
      <c r="H7808">
        <v>0</v>
      </c>
      <c r="I7808">
        <v>0.1741125760648204</v>
      </c>
      <c r="J7808">
        <v>0</v>
      </c>
      <c r="K7808">
        <v>0</v>
      </c>
      <c r="L7808" s="2">
        <v>0</v>
      </c>
      <c r="M7808">
        <v>77.09999999999999</v>
      </c>
      <c r="N7808" t="s">
        <v>10236</v>
      </c>
    </row>
    <row r="7809" spans="1:14">
      <c r="A7809" t="s">
        <v>34</v>
      </c>
      <c r="B7809" t="s">
        <v>7806</v>
      </c>
      <c r="C7809">
        <f>"14000161"</f>
        <v>0</v>
      </c>
      <c r="D7809">
        <v>0</v>
      </c>
      <c r="E7809">
        <v>0</v>
      </c>
      <c r="F7809" s="2">
        <v>0</v>
      </c>
      <c r="H7809">
        <v>0</v>
      </c>
      <c r="I7809">
        <v>0.1741125760648204</v>
      </c>
      <c r="J7809">
        <v>0</v>
      </c>
      <c r="K7809">
        <v>0</v>
      </c>
      <c r="L7809" s="2">
        <v>0</v>
      </c>
      <c r="M7809">
        <v>77.11</v>
      </c>
      <c r="N7809" t="s">
        <v>10236</v>
      </c>
    </row>
    <row r="7810" spans="1:14">
      <c r="A7810" t="s">
        <v>34</v>
      </c>
      <c r="B7810" t="s">
        <v>7807</v>
      </c>
      <c r="C7810">
        <f>"14000160"</f>
        <v>0</v>
      </c>
      <c r="D7810">
        <v>0</v>
      </c>
      <c r="E7810">
        <v>0</v>
      </c>
      <c r="F7810" s="2">
        <v>0</v>
      </c>
      <c r="H7810">
        <v>0</v>
      </c>
      <c r="I7810">
        <v>0.1741125760648204</v>
      </c>
      <c r="J7810">
        <v>0</v>
      </c>
      <c r="K7810">
        <v>0</v>
      </c>
      <c r="L7810" s="2">
        <v>0</v>
      </c>
      <c r="M7810">
        <v>77.12</v>
      </c>
      <c r="N7810" t="s">
        <v>10236</v>
      </c>
    </row>
    <row r="7811" spans="1:14">
      <c r="A7811" t="s">
        <v>34</v>
      </c>
      <c r="B7811" t="s">
        <v>7808</v>
      </c>
      <c r="C7811">
        <f>"14000159"</f>
        <v>0</v>
      </c>
      <c r="D7811">
        <v>0</v>
      </c>
      <c r="E7811">
        <v>0</v>
      </c>
      <c r="F7811" s="2">
        <v>0</v>
      </c>
      <c r="H7811">
        <v>0</v>
      </c>
      <c r="I7811">
        <v>0.1741125760648204</v>
      </c>
      <c r="J7811">
        <v>0</v>
      </c>
      <c r="K7811">
        <v>0</v>
      </c>
      <c r="L7811" s="2">
        <v>0</v>
      </c>
      <c r="M7811">
        <v>77.13</v>
      </c>
      <c r="N7811" t="s">
        <v>10236</v>
      </c>
    </row>
    <row r="7812" spans="1:14">
      <c r="A7812" t="s">
        <v>35</v>
      </c>
      <c r="B7812" t="s">
        <v>7809</v>
      </c>
      <c r="C7812">
        <f>"WD907"</f>
        <v>0</v>
      </c>
      <c r="D7812">
        <v>0</v>
      </c>
      <c r="E7812">
        <v>1</v>
      </c>
      <c r="F7812" s="2">
        <v>3</v>
      </c>
      <c r="H7812">
        <v>0</v>
      </c>
      <c r="I7812">
        <v>0.1741125760648204</v>
      </c>
      <c r="J7812">
        <v>0</v>
      </c>
      <c r="K7812">
        <v>0</v>
      </c>
      <c r="L7812" s="2">
        <v>0</v>
      </c>
      <c r="M7812">
        <v>77.14</v>
      </c>
      <c r="N7812" t="s">
        <v>10236</v>
      </c>
    </row>
    <row r="7813" spans="1:14">
      <c r="A7813" t="s">
        <v>29</v>
      </c>
      <c r="B7813" t="s">
        <v>7810</v>
      </c>
      <c r="C7813">
        <f>"60954"</f>
        <v>0</v>
      </c>
      <c r="D7813">
        <v>0</v>
      </c>
      <c r="E7813">
        <v>0</v>
      </c>
      <c r="F7813" s="2">
        <v>0</v>
      </c>
      <c r="H7813">
        <v>0</v>
      </c>
      <c r="I7813">
        <v>0.1741125760648204</v>
      </c>
      <c r="J7813">
        <v>0</v>
      </c>
      <c r="K7813">
        <v>0</v>
      </c>
      <c r="L7813" s="2">
        <v>0</v>
      </c>
      <c r="M7813">
        <v>77.14</v>
      </c>
      <c r="N7813" t="s">
        <v>10236</v>
      </c>
    </row>
    <row r="7814" spans="1:14">
      <c r="A7814" t="s">
        <v>29</v>
      </c>
      <c r="B7814" t="s">
        <v>7811</v>
      </c>
      <c r="C7814">
        <f>"60854"</f>
        <v>0</v>
      </c>
      <c r="D7814">
        <v>0</v>
      </c>
      <c r="E7814">
        <v>4</v>
      </c>
      <c r="F7814" s="2">
        <v>3</v>
      </c>
      <c r="H7814">
        <v>0</v>
      </c>
      <c r="I7814">
        <v>0.1741125760648204</v>
      </c>
      <c r="J7814">
        <v>0</v>
      </c>
      <c r="K7814">
        <v>0</v>
      </c>
      <c r="L7814" s="2">
        <v>0</v>
      </c>
      <c r="M7814">
        <v>77.15000000000001</v>
      </c>
      <c r="N7814" t="s">
        <v>10236</v>
      </c>
    </row>
    <row r="7815" spans="1:14">
      <c r="A7815" t="s">
        <v>35</v>
      </c>
      <c r="B7815" t="s">
        <v>7812</v>
      </c>
      <c r="C7815">
        <f>"Q5ALM"</f>
        <v>0</v>
      </c>
      <c r="D7815">
        <v>0</v>
      </c>
      <c r="E7815">
        <v>2</v>
      </c>
      <c r="F7815" s="2">
        <v>4</v>
      </c>
      <c r="H7815">
        <v>0</v>
      </c>
      <c r="I7815">
        <v>0.1741125760648204</v>
      </c>
      <c r="J7815">
        <v>0</v>
      </c>
      <c r="K7815">
        <v>0</v>
      </c>
      <c r="L7815" s="2">
        <v>0</v>
      </c>
      <c r="M7815">
        <v>77.16</v>
      </c>
      <c r="N7815" t="s">
        <v>10236</v>
      </c>
    </row>
    <row r="7816" spans="1:14">
      <c r="A7816" t="s">
        <v>35</v>
      </c>
      <c r="B7816" t="s">
        <v>7813</v>
      </c>
      <c r="C7816">
        <f>"Q5ALCH"</f>
        <v>0</v>
      </c>
      <c r="D7816">
        <v>0</v>
      </c>
      <c r="E7816">
        <v>0</v>
      </c>
      <c r="F7816" s="2">
        <v>0</v>
      </c>
      <c r="H7816">
        <v>0</v>
      </c>
      <c r="I7816">
        <v>0.1741125760648204</v>
      </c>
      <c r="J7816">
        <v>0</v>
      </c>
      <c r="K7816">
        <v>0</v>
      </c>
      <c r="L7816" s="2">
        <v>0</v>
      </c>
      <c r="M7816">
        <v>77.17</v>
      </c>
      <c r="N7816" t="s">
        <v>10236</v>
      </c>
    </row>
    <row r="7817" spans="1:14">
      <c r="A7817" t="s">
        <v>35</v>
      </c>
      <c r="B7817" t="s">
        <v>7814</v>
      </c>
      <c r="C7817">
        <f>"Q5ALCN"</f>
        <v>0</v>
      </c>
      <c r="D7817">
        <v>0</v>
      </c>
      <c r="E7817">
        <v>2</v>
      </c>
      <c r="F7817" s="2">
        <v>4</v>
      </c>
      <c r="H7817">
        <v>0</v>
      </c>
      <c r="I7817">
        <v>0.1741125760648204</v>
      </c>
      <c r="J7817">
        <v>0</v>
      </c>
      <c r="K7817">
        <v>0</v>
      </c>
      <c r="L7817" s="2">
        <v>0</v>
      </c>
      <c r="M7817">
        <v>77.18000000000001</v>
      </c>
      <c r="N7817" t="s">
        <v>10236</v>
      </c>
    </row>
    <row r="7818" spans="1:14">
      <c r="A7818" t="s">
        <v>35</v>
      </c>
      <c r="B7818" t="s">
        <v>6793</v>
      </c>
      <c r="C7818">
        <f>"HP152SCV"</f>
        <v>0</v>
      </c>
      <c r="D7818">
        <v>0</v>
      </c>
      <c r="E7818">
        <v>1</v>
      </c>
      <c r="F7818" s="2">
        <v>4</v>
      </c>
      <c r="H7818">
        <v>0</v>
      </c>
      <c r="I7818">
        <v>0.1741125760648204</v>
      </c>
      <c r="J7818">
        <v>0</v>
      </c>
      <c r="K7818">
        <v>0</v>
      </c>
      <c r="L7818" s="2">
        <v>0</v>
      </c>
      <c r="M7818">
        <v>77.19</v>
      </c>
      <c r="N7818" t="s">
        <v>10236</v>
      </c>
    </row>
    <row r="7819" spans="1:14">
      <c r="A7819" t="s">
        <v>35</v>
      </c>
      <c r="B7819" t="s">
        <v>6793</v>
      </c>
      <c r="C7819">
        <f>"HP152SCR"</f>
        <v>0</v>
      </c>
      <c r="D7819">
        <v>0</v>
      </c>
      <c r="E7819">
        <v>2</v>
      </c>
      <c r="F7819" s="2">
        <v>4</v>
      </c>
      <c r="H7819">
        <v>0</v>
      </c>
      <c r="I7819">
        <v>0.1741125760648204</v>
      </c>
      <c r="J7819">
        <v>0</v>
      </c>
      <c r="K7819">
        <v>0</v>
      </c>
      <c r="L7819" s="2">
        <v>0</v>
      </c>
      <c r="M7819">
        <v>77.2</v>
      </c>
      <c r="N7819" t="s">
        <v>10236</v>
      </c>
    </row>
    <row r="7820" spans="1:14">
      <c r="A7820" t="s">
        <v>35</v>
      </c>
      <c r="B7820" t="s">
        <v>6793</v>
      </c>
      <c r="C7820">
        <f>"HP152SCC"</f>
        <v>0</v>
      </c>
      <c r="D7820">
        <v>0</v>
      </c>
      <c r="E7820">
        <v>1</v>
      </c>
      <c r="F7820" s="2">
        <v>4</v>
      </c>
      <c r="H7820">
        <v>0</v>
      </c>
      <c r="I7820">
        <v>0.1741125760648204</v>
      </c>
      <c r="J7820">
        <v>0</v>
      </c>
      <c r="K7820">
        <v>0</v>
      </c>
      <c r="L7820" s="2">
        <v>0</v>
      </c>
      <c r="M7820">
        <v>77.20999999999999</v>
      </c>
      <c r="N7820" t="s">
        <v>10236</v>
      </c>
    </row>
    <row r="7821" spans="1:14">
      <c r="A7821" t="s">
        <v>35</v>
      </c>
      <c r="B7821" t="s">
        <v>6793</v>
      </c>
      <c r="C7821">
        <f>"HP152SCA"</f>
        <v>0</v>
      </c>
      <c r="D7821">
        <v>0</v>
      </c>
      <c r="E7821">
        <v>0</v>
      </c>
      <c r="F7821" s="2">
        <v>0</v>
      </c>
      <c r="H7821">
        <v>0</v>
      </c>
      <c r="I7821">
        <v>0.1741125760648204</v>
      </c>
      <c r="J7821">
        <v>0</v>
      </c>
      <c r="K7821">
        <v>0</v>
      </c>
      <c r="L7821" s="2">
        <v>0</v>
      </c>
      <c r="M7821">
        <v>77.22</v>
      </c>
      <c r="N7821" t="s">
        <v>10236</v>
      </c>
    </row>
    <row r="7822" spans="1:14">
      <c r="A7822" t="s">
        <v>35</v>
      </c>
      <c r="B7822" t="s">
        <v>6793</v>
      </c>
      <c r="C7822">
        <f>"HP152SC"</f>
        <v>0</v>
      </c>
      <c r="D7822">
        <v>0</v>
      </c>
      <c r="E7822">
        <v>0</v>
      </c>
      <c r="F7822" s="2">
        <v>0</v>
      </c>
      <c r="H7822">
        <v>0</v>
      </c>
      <c r="I7822">
        <v>0.1741125760648204</v>
      </c>
      <c r="J7822">
        <v>0</v>
      </c>
      <c r="K7822">
        <v>0</v>
      </c>
      <c r="L7822" s="2">
        <v>0</v>
      </c>
      <c r="M7822">
        <v>77.23</v>
      </c>
      <c r="N7822" t="s">
        <v>10236</v>
      </c>
    </row>
    <row r="7823" spans="1:14">
      <c r="A7823" t="s">
        <v>218</v>
      </c>
      <c r="B7823" t="s">
        <v>7815</v>
      </c>
      <c r="C7823">
        <f>"1019591"</f>
        <v>0</v>
      </c>
      <c r="D7823">
        <v>0</v>
      </c>
      <c r="E7823">
        <v>0</v>
      </c>
      <c r="F7823" s="2">
        <v>0</v>
      </c>
      <c r="H7823">
        <v>0</v>
      </c>
      <c r="I7823">
        <v>0.1741125760648204</v>
      </c>
      <c r="J7823">
        <v>0</v>
      </c>
      <c r="K7823">
        <v>0</v>
      </c>
      <c r="L7823" s="2">
        <v>0</v>
      </c>
      <c r="M7823">
        <v>77.23999999999999</v>
      </c>
      <c r="N7823" t="s">
        <v>10236</v>
      </c>
    </row>
    <row r="7824" spans="1:14">
      <c r="A7824" t="s">
        <v>35</v>
      </c>
      <c r="B7824" t="s">
        <v>2303</v>
      </c>
      <c r="C7824">
        <f>"HP152MG"</f>
        <v>0</v>
      </c>
      <c r="D7824">
        <v>0</v>
      </c>
      <c r="E7824">
        <v>0</v>
      </c>
      <c r="F7824" s="2">
        <v>0</v>
      </c>
      <c r="H7824">
        <v>0</v>
      </c>
      <c r="I7824">
        <v>0.1741125760648204</v>
      </c>
      <c r="J7824">
        <v>0</v>
      </c>
      <c r="K7824">
        <v>0</v>
      </c>
      <c r="L7824" s="2">
        <v>0</v>
      </c>
      <c r="M7824">
        <v>77.25</v>
      </c>
      <c r="N7824" t="s">
        <v>10236</v>
      </c>
    </row>
    <row r="7825" spans="1:14">
      <c r="A7825" t="s">
        <v>35</v>
      </c>
      <c r="B7825" t="s">
        <v>2303</v>
      </c>
      <c r="C7825">
        <f>"HP152MCV"</f>
        <v>0</v>
      </c>
      <c r="D7825">
        <v>0</v>
      </c>
      <c r="E7825">
        <v>0</v>
      </c>
      <c r="F7825" s="2">
        <v>0</v>
      </c>
      <c r="H7825">
        <v>0</v>
      </c>
      <c r="I7825">
        <v>0.1741125760648204</v>
      </c>
      <c r="J7825">
        <v>0</v>
      </c>
      <c r="K7825">
        <v>0</v>
      </c>
      <c r="L7825" s="2">
        <v>0</v>
      </c>
      <c r="M7825">
        <v>77.26000000000001</v>
      </c>
      <c r="N7825" t="s">
        <v>10236</v>
      </c>
    </row>
    <row r="7826" spans="1:14">
      <c r="A7826" t="s">
        <v>35</v>
      </c>
      <c r="B7826" t="s">
        <v>7816</v>
      </c>
      <c r="C7826">
        <f>"FB09SABN"</f>
        <v>0</v>
      </c>
      <c r="D7826">
        <v>0</v>
      </c>
      <c r="E7826">
        <v>22</v>
      </c>
      <c r="F7826" s="2">
        <v>3</v>
      </c>
      <c r="H7826">
        <v>0</v>
      </c>
      <c r="I7826">
        <v>0.1741125760648204</v>
      </c>
      <c r="J7826">
        <v>0</v>
      </c>
      <c r="K7826">
        <v>0</v>
      </c>
      <c r="L7826" s="2">
        <v>0</v>
      </c>
      <c r="M7826">
        <v>77.26000000000001</v>
      </c>
      <c r="N7826" t="s">
        <v>10236</v>
      </c>
    </row>
    <row r="7827" spans="1:14">
      <c r="A7827" t="s">
        <v>35</v>
      </c>
      <c r="B7827" t="s">
        <v>7817</v>
      </c>
      <c r="C7827">
        <f>"FB010MCBN"</f>
        <v>0</v>
      </c>
      <c r="D7827">
        <v>0</v>
      </c>
      <c r="E7827">
        <v>9</v>
      </c>
      <c r="F7827" s="2">
        <v>3</v>
      </c>
      <c r="H7827">
        <v>0</v>
      </c>
      <c r="I7827">
        <v>0.1741125760648204</v>
      </c>
      <c r="J7827">
        <v>0</v>
      </c>
      <c r="K7827">
        <v>0</v>
      </c>
      <c r="L7827" s="2">
        <v>0</v>
      </c>
      <c r="M7827">
        <v>77.27</v>
      </c>
      <c r="N7827" t="s">
        <v>10236</v>
      </c>
    </row>
    <row r="7828" spans="1:14">
      <c r="A7828" t="s">
        <v>35</v>
      </c>
      <c r="B7828" t="s">
        <v>7818</v>
      </c>
      <c r="C7828">
        <f>"FB010MABN"</f>
        <v>0</v>
      </c>
      <c r="D7828">
        <v>0</v>
      </c>
      <c r="E7828">
        <v>27</v>
      </c>
      <c r="F7828" s="2">
        <v>3</v>
      </c>
      <c r="H7828">
        <v>0</v>
      </c>
      <c r="I7828">
        <v>0.1741125760648204</v>
      </c>
      <c r="J7828">
        <v>0</v>
      </c>
      <c r="K7828">
        <v>0</v>
      </c>
      <c r="L7828" s="2">
        <v>0</v>
      </c>
      <c r="M7828">
        <v>77.28</v>
      </c>
      <c r="N7828" t="s">
        <v>10236</v>
      </c>
    </row>
    <row r="7829" spans="1:14">
      <c r="A7829" t="s">
        <v>29</v>
      </c>
      <c r="B7829" t="s">
        <v>7819</v>
      </c>
      <c r="C7829">
        <f>"60454"</f>
        <v>0</v>
      </c>
      <c r="D7829">
        <v>0</v>
      </c>
      <c r="E7829">
        <v>0</v>
      </c>
      <c r="F7829" s="2">
        <v>0</v>
      </c>
      <c r="H7829">
        <v>0</v>
      </c>
      <c r="I7829">
        <v>0.1741125760648204</v>
      </c>
      <c r="J7829">
        <v>0</v>
      </c>
      <c r="K7829">
        <v>0</v>
      </c>
      <c r="L7829" s="2">
        <v>0</v>
      </c>
      <c r="M7829">
        <v>77.29000000000001</v>
      </c>
      <c r="N7829" t="s">
        <v>10236</v>
      </c>
    </row>
    <row r="7830" spans="1:14">
      <c r="A7830" t="s">
        <v>29</v>
      </c>
      <c r="B7830" t="s">
        <v>7820</v>
      </c>
      <c r="C7830">
        <f>"63524"</f>
        <v>0</v>
      </c>
      <c r="D7830">
        <v>0</v>
      </c>
      <c r="E7830">
        <v>0</v>
      </c>
      <c r="F7830" s="2">
        <v>0</v>
      </c>
      <c r="H7830">
        <v>0</v>
      </c>
      <c r="I7830">
        <v>0.1741125760648204</v>
      </c>
      <c r="J7830">
        <v>0</v>
      </c>
      <c r="K7830">
        <v>0</v>
      </c>
      <c r="L7830" s="2">
        <v>0</v>
      </c>
      <c r="M7830">
        <v>77.3</v>
      </c>
      <c r="N7830" t="s">
        <v>10236</v>
      </c>
    </row>
    <row r="7831" spans="1:14">
      <c r="A7831" t="s">
        <v>29</v>
      </c>
      <c r="B7831" t="s">
        <v>7821</v>
      </c>
      <c r="C7831">
        <f>"63526"</f>
        <v>0</v>
      </c>
      <c r="D7831">
        <v>0</v>
      </c>
      <c r="E7831">
        <v>0</v>
      </c>
      <c r="F7831" s="2">
        <v>0</v>
      </c>
      <c r="H7831">
        <v>0</v>
      </c>
      <c r="I7831">
        <v>0.1741125760648204</v>
      </c>
      <c r="J7831">
        <v>0</v>
      </c>
      <c r="K7831">
        <v>0</v>
      </c>
      <c r="L7831" s="2">
        <v>0</v>
      </c>
      <c r="M7831">
        <v>77.31</v>
      </c>
      <c r="N7831" t="s">
        <v>10236</v>
      </c>
    </row>
    <row r="7832" spans="1:14">
      <c r="A7832" t="s">
        <v>35</v>
      </c>
      <c r="B7832" t="s">
        <v>7822</v>
      </c>
      <c r="C7832">
        <f>"8443M"</f>
        <v>0</v>
      </c>
      <c r="D7832">
        <v>0</v>
      </c>
      <c r="E7832">
        <v>3</v>
      </c>
      <c r="F7832" s="2">
        <v>13</v>
      </c>
      <c r="H7832">
        <v>0</v>
      </c>
      <c r="I7832">
        <v>0.1741125760648204</v>
      </c>
      <c r="J7832">
        <v>0</v>
      </c>
      <c r="K7832">
        <v>0</v>
      </c>
      <c r="L7832" s="2">
        <v>0</v>
      </c>
      <c r="M7832">
        <v>77.31999999999999</v>
      </c>
      <c r="N7832" t="s">
        <v>10236</v>
      </c>
    </row>
    <row r="7833" spans="1:14">
      <c r="A7833" t="s">
        <v>35</v>
      </c>
      <c r="B7833" t="s">
        <v>7823</v>
      </c>
      <c r="C7833">
        <f>"8443L"</f>
        <v>0</v>
      </c>
      <c r="D7833">
        <v>0</v>
      </c>
      <c r="E7833">
        <v>4</v>
      </c>
      <c r="F7833" s="2">
        <v>19</v>
      </c>
      <c r="H7833">
        <v>0</v>
      </c>
      <c r="I7833">
        <v>0.1741125760648204</v>
      </c>
      <c r="J7833">
        <v>0</v>
      </c>
      <c r="K7833">
        <v>0</v>
      </c>
      <c r="L7833" s="2">
        <v>0</v>
      </c>
      <c r="M7833">
        <v>77.33</v>
      </c>
      <c r="N7833" t="s">
        <v>10236</v>
      </c>
    </row>
    <row r="7834" spans="1:14">
      <c r="A7834" t="s">
        <v>35</v>
      </c>
      <c r="B7834" t="s">
        <v>7824</v>
      </c>
      <c r="C7834">
        <f>"XQ22LRO"</f>
        <v>0</v>
      </c>
      <c r="D7834">
        <v>0</v>
      </c>
      <c r="E7834">
        <v>0</v>
      </c>
      <c r="F7834" s="2">
        <v>0</v>
      </c>
      <c r="H7834">
        <v>0</v>
      </c>
      <c r="I7834">
        <v>0.1741125760648204</v>
      </c>
      <c r="J7834">
        <v>0</v>
      </c>
      <c r="K7834">
        <v>0</v>
      </c>
      <c r="L7834" s="2">
        <v>0</v>
      </c>
      <c r="M7834">
        <v>77.34</v>
      </c>
      <c r="N7834" t="s">
        <v>10236</v>
      </c>
    </row>
    <row r="7835" spans="1:14">
      <c r="A7835" t="s">
        <v>35</v>
      </c>
      <c r="B7835" t="s">
        <v>7825</v>
      </c>
      <c r="C7835">
        <f>"XQ22LMO"</f>
        <v>0</v>
      </c>
      <c r="D7835">
        <v>0</v>
      </c>
      <c r="E7835">
        <v>2</v>
      </c>
      <c r="F7835" s="2">
        <v>3</v>
      </c>
      <c r="H7835">
        <v>0</v>
      </c>
      <c r="I7835">
        <v>0.1741125760648204</v>
      </c>
      <c r="J7835">
        <v>0</v>
      </c>
      <c r="K7835">
        <v>0</v>
      </c>
      <c r="L7835" s="2">
        <v>0</v>
      </c>
      <c r="M7835">
        <v>77.34999999999999</v>
      </c>
      <c r="N7835" t="s">
        <v>10236</v>
      </c>
    </row>
    <row r="7836" spans="1:14">
      <c r="A7836" t="s">
        <v>213</v>
      </c>
      <c r="B7836" t="s">
        <v>7826</v>
      </c>
      <c r="C7836">
        <f>"402049"</f>
        <v>0</v>
      </c>
      <c r="D7836">
        <v>0</v>
      </c>
      <c r="E7836">
        <v>0</v>
      </c>
      <c r="F7836" s="2">
        <v>0</v>
      </c>
      <c r="H7836">
        <v>0</v>
      </c>
      <c r="I7836">
        <v>0.1741125760648204</v>
      </c>
      <c r="J7836">
        <v>0</v>
      </c>
      <c r="K7836">
        <v>0</v>
      </c>
      <c r="L7836" s="2">
        <v>0</v>
      </c>
      <c r="M7836">
        <v>77.36</v>
      </c>
      <c r="N7836" t="s">
        <v>10236</v>
      </c>
    </row>
    <row r="7837" spans="1:14">
      <c r="A7837" t="s">
        <v>213</v>
      </c>
      <c r="B7837" t="s">
        <v>7827</v>
      </c>
      <c r="C7837">
        <f>"401766"</f>
        <v>0</v>
      </c>
      <c r="D7837">
        <v>0</v>
      </c>
      <c r="E7837">
        <v>0</v>
      </c>
      <c r="F7837" s="2">
        <v>0</v>
      </c>
      <c r="H7837">
        <v>0</v>
      </c>
      <c r="I7837">
        <v>0.1741125760648204</v>
      </c>
      <c r="J7837">
        <v>0</v>
      </c>
      <c r="K7837">
        <v>0</v>
      </c>
      <c r="L7837" s="2">
        <v>0</v>
      </c>
      <c r="M7837">
        <v>77.37</v>
      </c>
      <c r="N7837" t="s">
        <v>10236</v>
      </c>
    </row>
    <row r="7838" spans="1:14">
      <c r="A7838" t="s">
        <v>35</v>
      </c>
      <c r="B7838" t="s">
        <v>2303</v>
      </c>
      <c r="C7838">
        <f>"HP152MN"</f>
        <v>0</v>
      </c>
      <c r="D7838">
        <v>0</v>
      </c>
      <c r="E7838">
        <v>0</v>
      </c>
      <c r="F7838" s="2">
        <v>0</v>
      </c>
      <c r="H7838">
        <v>0</v>
      </c>
      <c r="I7838">
        <v>0.1741125760648204</v>
      </c>
      <c r="J7838">
        <v>0</v>
      </c>
      <c r="K7838">
        <v>0</v>
      </c>
      <c r="L7838" s="2">
        <v>0</v>
      </c>
      <c r="M7838">
        <v>77.38</v>
      </c>
      <c r="N7838" t="s">
        <v>10236</v>
      </c>
    </row>
    <row r="7839" spans="1:14">
      <c r="A7839" t="s">
        <v>35</v>
      </c>
      <c r="B7839" t="s">
        <v>7828</v>
      </c>
      <c r="C7839">
        <f>"FEP70VIN"</f>
        <v>0</v>
      </c>
      <c r="D7839">
        <v>0</v>
      </c>
      <c r="E7839">
        <v>0</v>
      </c>
      <c r="F7839" s="2">
        <v>0</v>
      </c>
      <c r="H7839">
        <v>0</v>
      </c>
      <c r="I7839">
        <v>0.1741125760648204</v>
      </c>
      <c r="J7839">
        <v>0</v>
      </c>
      <c r="K7839">
        <v>0</v>
      </c>
      <c r="L7839" s="2">
        <v>0</v>
      </c>
      <c r="M7839">
        <v>77.38</v>
      </c>
      <c r="N7839" t="s">
        <v>10236</v>
      </c>
    </row>
    <row r="7840" spans="1:14">
      <c r="A7840" t="s">
        <v>35</v>
      </c>
      <c r="B7840" t="s">
        <v>7829</v>
      </c>
      <c r="C7840">
        <f>"FEP70VO"</f>
        <v>0</v>
      </c>
      <c r="D7840">
        <v>0</v>
      </c>
      <c r="E7840">
        <v>0</v>
      </c>
      <c r="F7840" s="2">
        <v>0</v>
      </c>
      <c r="H7840">
        <v>0</v>
      </c>
      <c r="I7840">
        <v>0.1741125760648204</v>
      </c>
      <c r="J7840">
        <v>0</v>
      </c>
      <c r="K7840">
        <v>0</v>
      </c>
      <c r="L7840" s="2">
        <v>0</v>
      </c>
      <c r="M7840">
        <v>77.39</v>
      </c>
      <c r="N7840" t="s">
        <v>10236</v>
      </c>
    </row>
    <row r="7841" spans="1:14">
      <c r="A7841" t="s">
        <v>218</v>
      </c>
      <c r="B7841" t="s">
        <v>7830</v>
      </c>
      <c r="C7841">
        <f>"is099df"</f>
        <v>0</v>
      </c>
      <c r="D7841">
        <v>0</v>
      </c>
      <c r="E7841">
        <v>0</v>
      </c>
      <c r="F7841" s="2">
        <v>0</v>
      </c>
      <c r="H7841">
        <v>0</v>
      </c>
      <c r="I7841">
        <v>0.1741125760648204</v>
      </c>
      <c r="J7841">
        <v>0</v>
      </c>
      <c r="K7841">
        <v>0</v>
      </c>
      <c r="L7841" s="2">
        <v>0</v>
      </c>
      <c r="M7841">
        <v>77.40000000000001</v>
      </c>
      <c r="N7841" t="s">
        <v>10236</v>
      </c>
    </row>
    <row r="7842" spans="1:14">
      <c r="A7842" t="s">
        <v>35</v>
      </c>
      <c r="B7842" t="s">
        <v>7831</v>
      </c>
      <c r="C7842">
        <f>"FEP70RO"</f>
        <v>0</v>
      </c>
      <c r="D7842">
        <v>0</v>
      </c>
      <c r="E7842">
        <v>7</v>
      </c>
      <c r="F7842" s="2">
        <v>12</v>
      </c>
      <c r="H7842">
        <v>0</v>
      </c>
      <c r="I7842">
        <v>0.1741125760648204</v>
      </c>
      <c r="J7842">
        <v>0</v>
      </c>
      <c r="K7842">
        <v>0</v>
      </c>
      <c r="L7842" s="2">
        <v>0</v>
      </c>
      <c r="M7842">
        <v>77.41</v>
      </c>
      <c r="N7842" t="s">
        <v>10236</v>
      </c>
    </row>
    <row r="7843" spans="1:14">
      <c r="A7843" t="s">
        <v>35</v>
      </c>
      <c r="B7843" t="s">
        <v>7832</v>
      </c>
      <c r="C7843">
        <f>"FEP70P"</f>
        <v>0</v>
      </c>
      <c r="D7843">
        <v>0</v>
      </c>
      <c r="E7843">
        <v>7</v>
      </c>
      <c r="F7843" s="2">
        <v>12</v>
      </c>
      <c r="H7843">
        <v>0</v>
      </c>
      <c r="I7843">
        <v>0.1741125760648204</v>
      </c>
      <c r="J7843">
        <v>0</v>
      </c>
      <c r="K7843">
        <v>0</v>
      </c>
      <c r="L7843" s="2">
        <v>0</v>
      </c>
      <c r="M7843">
        <v>77.42</v>
      </c>
      <c r="N7843" t="s">
        <v>10236</v>
      </c>
    </row>
    <row r="7844" spans="1:14">
      <c r="A7844" t="s">
        <v>35</v>
      </c>
      <c r="B7844" t="s">
        <v>7833</v>
      </c>
      <c r="C7844">
        <f>"FEP70GO"</f>
        <v>0</v>
      </c>
      <c r="D7844">
        <v>0</v>
      </c>
      <c r="E7844">
        <v>0</v>
      </c>
      <c r="F7844" s="2">
        <v>0</v>
      </c>
      <c r="H7844">
        <v>0</v>
      </c>
      <c r="I7844">
        <v>0.1741125760648204</v>
      </c>
      <c r="J7844">
        <v>0</v>
      </c>
      <c r="K7844">
        <v>0</v>
      </c>
      <c r="L7844" s="2">
        <v>0</v>
      </c>
      <c r="M7844">
        <v>77.43000000000001</v>
      </c>
      <c r="N7844" t="s">
        <v>10236</v>
      </c>
    </row>
    <row r="7845" spans="1:14">
      <c r="A7845" t="s">
        <v>35</v>
      </c>
      <c r="B7845" t="s">
        <v>7834</v>
      </c>
      <c r="C7845">
        <f>"FEP70GC"</f>
        <v>0</v>
      </c>
      <c r="D7845">
        <v>0</v>
      </c>
      <c r="E7845">
        <v>0</v>
      </c>
      <c r="F7845" s="2">
        <v>0</v>
      </c>
      <c r="H7845">
        <v>0</v>
      </c>
      <c r="I7845">
        <v>0.1741125760648204</v>
      </c>
      <c r="J7845">
        <v>0</v>
      </c>
      <c r="K7845">
        <v>0</v>
      </c>
      <c r="L7845" s="2">
        <v>0</v>
      </c>
      <c r="M7845">
        <v>77.44</v>
      </c>
      <c r="N7845" t="s">
        <v>10236</v>
      </c>
    </row>
    <row r="7846" spans="1:14">
      <c r="A7846" t="s">
        <v>35</v>
      </c>
      <c r="B7846" t="s">
        <v>7835</v>
      </c>
      <c r="C7846">
        <f>"FEP70C"</f>
        <v>0</v>
      </c>
      <c r="D7846">
        <v>0</v>
      </c>
      <c r="E7846">
        <v>0</v>
      </c>
      <c r="F7846" s="2">
        <v>0</v>
      </c>
      <c r="H7846">
        <v>0</v>
      </c>
      <c r="I7846">
        <v>0.1741125760648204</v>
      </c>
      <c r="J7846">
        <v>0</v>
      </c>
      <c r="K7846">
        <v>0</v>
      </c>
      <c r="L7846" s="2">
        <v>0</v>
      </c>
      <c r="M7846">
        <v>77.45</v>
      </c>
      <c r="N7846" t="s">
        <v>10236</v>
      </c>
    </row>
    <row r="7847" spans="1:14">
      <c r="A7847" t="s">
        <v>35</v>
      </c>
      <c r="B7847" t="s">
        <v>7836</v>
      </c>
      <c r="C7847">
        <f>"FEP70AD"</f>
        <v>0</v>
      </c>
      <c r="D7847">
        <v>0</v>
      </c>
      <c r="E7847">
        <v>0</v>
      </c>
      <c r="F7847" s="2">
        <v>0</v>
      </c>
      <c r="H7847">
        <v>0</v>
      </c>
      <c r="I7847">
        <v>0.1741125760648204</v>
      </c>
      <c r="J7847">
        <v>0</v>
      </c>
      <c r="K7847">
        <v>0</v>
      </c>
      <c r="L7847" s="2">
        <v>0</v>
      </c>
      <c r="M7847">
        <v>77.45999999999999</v>
      </c>
      <c r="N7847" t="s">
        <v>10236</v>
      </c>
    </row>
    <row r="7848" spans="1:14">
      <c r="A7848" t="s">
        <v>35</v>
      </c>
      <c r="B7848" t="s">
        <v>7837</v>
      </c>
      <c r="C7848">
        <f>"FEP40VI"</f>
        <v>0</v>
      </c>
      <c r="D7848">
        <v>0</v>
      </c>
      <c r="E7848">
        <v>4</v>
      </c>
      <c r="F7848" s="2">
        <v>4</v>
      </c>
      <c r="H7848">
        <v>0</v>
      </c>
      <c r="I7848">
        <v>0.1741125760648204</v>
      </c>
      <c r="J7848">
        <v>0</v>
      </c>
      <c r="K7848">
        <v>0</v>
      </c>
      <c r="L7848" s="2">
        <v>0</v>
      </c>
      <c r="M7848">
        <v>77.47</v>
      </c>
      <c r="N7848" t="s">
        <v>10236</v>
      </c>
    </row>
    <row r="7849" spans="1:14">
      <c r="A7849" t="s">
        <v>35</v>
      </c>
      <c r="B7849" t="s">
        <v>7838</v>
      </c>
      <c r="C7849">
        <f>"FEP40VT"</f>
        <v>0</v>
      </c>
      <c r="D7849">
        <v>0</v>
      </c>
      <c r="E7849">
        <v>1</v>
      </c>
      <c r="F7849" s="2">
        <v>4</v>
      </c>
      <c r="H7849">
        <v>0</v>
      </c>
      <c r="I7849">
        <v>0.1741125760648204</v>
      </c>
      <c r="J7849">
        <v>0</v>
      </c>
      <c r="K7849">
        <v>0</v>
      </c>
      <c r="L7849" s="2">
        <v>0</v>
      </c>
      <c r="M7849">
        <v>77.48</v>
      </c>
      <c r="N7849" t="s">
        <v>10236</v>
      </c>
    </row>
    <row r="7850" spans="1:14">
      <c r="A7850" t="s">
        <v>35</v>
      </c>
      <c r="B7850" t="s">
        <v>7839</v>
      </c>
      <c r="C7850">
        <f>"FEP40VC"</f>
        <v>0</v>
      </c>
      <c r="D7850">
        <v>0</v>
      </c>
      <c r="E7850">
        <v>0</v>
      </c>
      <c r="F7850" s="2">
        <v>0</v>
      </c>
      <c r="H7850">
        <v>0</v>
      </c>
      <c r="I7850">
        <v>0.1741125760648204</v>
      </c>
      <c r="J7850">
        <v>0</v>
      </c>
      <c r="K7850">
        <v>0</v>
      </c>
      <c r="L7850" s="2">
        <v>0</v>
      </c>
      <c r="M7850">
        <v>77.48999999999999</v>
      </c>
      <c r="N7850" t="s">
        <v>10236</v>
      </c>
    </row>
    <row r="7851" spans="1:14">
      <c r="A7851" t="s">
        <v>35</v>
      </c>
      <c r="B7851" t="s">
        <v>7840</v>
      </c>
      <c r="C7851">
        <f>"FEP40GC"</f>
        <v>0</v>
      </c>
      <c r="D7851">
        <v>0</v>
      </c>
      <c r="E7851">
        <v>2</v>
      </c>
      <c r="F7851" s="2">
        <v>4</v>
      </c>
      <c r="H7851">
        <v>0</v>
      </c>
      <c r="I7851">
        <v>0.1741125760648204</v>
      </c>
      <c r="J7851">
        <v>0</v>
      </c>
      <c r="K7851">
        <v>0</v>
      </c>
      <c r="L7851" s="2">
        <v>0</v>
      </c>
      <c r="M7851">
        <v>77.5</v>
      </c>
      <c r="N7851" t="s">
        <v>10236</v>
      </c>
    </row>
    <row r="7852" spans="1:14">
      <c r="A7852" t="s">
        <v>35</v>
      </c>
      <c r="B7852" t="s">
        <v>7841</v>
      </c>
      <c r="C7852">
        <f>"FEP40VO"</f>
        <v>0</v>
      </c>
      <c r="D7852">
        <v>0</v>
      </c>
      <c r="E7852">
        <v>1</v>
      </c>
      <c r="F7852" s="2">
        <v>4</v>
      </c>
      <c r="H7852">
        <v>0</v>
      </c>
      <c r="I7852">
        <v>0.1741125760648204</v>
      </c>
      <c r="J7852">
        <v>0</v>
      </c>
      <c r="K7852">
        <v>0</v>
      </c>
      <c r="L7852" s="2">
        <v>0</v>
      </c>
      <c r="M7852">
        <v>77.5</v>
      </c>
      <c r="N7852" t="s">
        <v>10236</v>
      </c>
    </row>
    <row r="7853" spans="1:14">
      <c r="A7853" t="s">
        <v>34</v>
      </c>
      <c r="B7853" t="s">
        <v>7842</v>
      </c>
      <c r="C7853">
        <f>"14000158"</f>
        <v>0</v>
      </c>
      <c r="D7853">
        <v>0</v>
      </c>
      <c r="E7853">
        <v>0</v>
      </c>
      <c r="F7853" s="2">
        <v>0</v>
      </c>
      <c r="H7853">
        <v>0</v>
      </c>
      <c r="I7853">
        <v>0.1741125760648204</v>
      </c>
      <c r="J7853">
        <v>0</v>
      </c>
      <c r="K7853">
        <v>0</v>
      </c>
      <c r="L7853" s="2">
        <v>0</v>
      </c>
      <c r="M7853">
        <v>77.51000000000001</v>
      </c>
      <c r="N7853" t="s">
        <v>10236</v>
      </c>
    </row>
    <row r="7854" spans="1:14">
      <c r="A7854" t="s">
        <v>35</v>
      </c>
      <c r="B7854" t="s">
        <v>7843</v>
      </c>
      <c r="C7854">
        <f>"CTBS"</f>
        <v>0</v>
      </c>
      <c r="D7854">
        <v>0</v>
      </c>
      <c r="E7854">
        <v>3</v>
      </c>
      <c r="F7854" s="2">
        <v>4</v>
      </c>
      <c r="H7854">
        <v>0</v>
      </c>
      <c r="I7854">
        <v>0.1741125760648204</v>
      </c>
      <c r="J7854">
        <v>0</v>
      </c>
      <c r="K7854">
        <v>0</v>
      </c>
      <c r="L7854" s="2">
        <v>0</v>
      </c>
      <c r="M7854">
        <v>77.52</v>
      </c>
      <c r="N7854" t="s">
        <v>10236</v>
      </c>
    </row>
    <row r="7855" spans="1:14">
      <c r="A7855" t="s">
        <v>35</v>
      </c>
      <c r="B7855" t="s">
        <v>7844</v>
      </c>
      <c r="C7855">
        <f>"CAB"</f>
        <v>0</v>
      </c>
      <c r="D7855">
        <v>0</v>
      </c>
      <c r="E7855">
        <v>4</v>
      </c>
      <c r="F7855" s="2">
        <v>7</v>
      </c>
      <c r="H7855">
        <v>0</v>
      </c>
      <c r="I7855">
        <v>0.1741125760648204</v>
      </c>
      <c r="J7855">
        <v>0</v>
      </c>
      <c r="K7855">
        <v>0</v>
      </c>
      <c r="L7855" s="2">
        <v>0</v>
      </c>
      <c r="M7855">
        <v>77.53</v>
      </c>
      <c r="N7855" t="s">
        <v>10236</v>
      </c>
    </row>
    <row r="7856" spans="1:14">
      <c r="A7856" t="s">
        <v>35</v>
      </c>
      <c r="B7856" t="s">
        <v>7845</v>
      </c>
      <c r="C7856">
        <f>"FEP40CC"</f>
        <v>0</v>
      </c>
      <c r="D7856">
        <v>0</v>
      </c>
      <c r="E7856">
        <v>2</v>
      </c>
      <c r="F7856" s="2">
        <v>4</v>
      </c>
      <c r="H7856">
        <v>0</v>
      </c>
      <c r="I7856">
        <v>0.1741125760648204</v>
      </c>
      <c r="J7856">
        <v>0</v>
      </c>
      <c r="K7856">
        <v>0</v>
      </c>
      <c r="L7856" s="2">
        <v>0</v>
      </c>
      <c r="M7856">
        <v>77.54000000000001</v>
      </c>
      <c r="N7856" t="s">
        <v>10236</v>
      </c>
    </row>
    <row r="7857" spans="1:14">
      <c r="A7857" t="s">
        <v>35</v>
      </c>
      <c r="B7857" t="s">
        <v>7846</v>
      </c>
      <c r="C7857">
        <f>"FEP40BE"</f>
        <v>0</v>
      </c>
      <c r="D7857">
        <v>0</v>
      </c>
      <c r="E7857">
        <v>7</v>
      </c>
      <c r="F7857" s="2">
        <v>4</v>
      </c>
      <c r="H7857">
        <v>0</v>
      </c>
      <c r="I7857">
        <v>0.1741125760648204</v>
      </c>
      <c r="J7857">
        <v>0</v>
      </c>
      <c r="K7857">
        <v>0</v>
      </c>
      <c r="L7857" s="2">
        <v>0</v>
      </c>
      <c r="M7857">
        <v>77.55</v>
      </c>
      <c r="N7857" t="s">
        <v>10236</v>
      </c>
    </row>
    <row r="7858" spans="1:14">
      <c r="A7858" t="s">
        <v>35</v>
      </c>
      <c r="B7858" t="s">
        <v>7847</v>
      </c>
      <c r="C7858">
        <f>"PS7009"</f>
        <v>0</v>
      </c>
      <c r="D7858">
        <v>0</v>
      </c>
      <c r="E7858">
        <v>1</v>
      </c>
      <c r="F7858" s="2">
        <v>3</v>
      </c>
      <c r="H7858">
        <v>0</v>
      </c>
      <c r="I7858">
        <v>0.1741125760648204</v>
      </c>
      <c r="J7858">
        <v>0</v>
      </c>
      <c r="K7858">
        <v>0</v>
      </c>
      <c r="L7858" s="2">
        <v>0</v>
      </c>
      <c r="M7858">
        <v>77.56</v>
      </c>
      <c r="N7858" t="s">
        <v>10236</v>
      </c>
    </row>
    <row r="7859" spans="1:14">
      <c r="A7859" t="s">
        <v>41</v>
      </c>
      <c r="B7859" t="s">
        <v>7848</v>
      </c>
      <c r="C7859">
        <f>"LEGCOGN01"</f>
        <v>0</v>
      </c>
      <c r="D7859">
        <v>0</v>
      </c>
      <c r="E7859">
        <v>2</v>
      </c>
      <c r="F7859" s="2">
        <v>22</v>
      </c>
      <c r="H7859">
        <v>0</v>
      </c>
      <c r="I7859">
        <v>0.1741125760648204</v>
      </c>
      <c r="J7859">
        <v>0</v>
      </c>
      <c r="K7859">
        <v>0</v>
      </c>
      <c r="L7859" s="2">
        <v>0</v>
      </c>
      <c r="M7859">
        <v>77.56999999999999</v>
      </c>
      <c r="N7859" t="s">
        <v>10236</v>
      </c>
    </row>
    <row r="7860" spans="1:14">
      <c r="A7860" t="s">
        <v>25</v>
      </c>
      <c r="B7860" t="s">
        <v>7849</v>
      </c>
      <c r="C7860">
        <f>"82004"</f>
        <v>0</v>
      </c>
      <c r="D7860">
        <v>0</v>
      </c>
      <c r="E7860">
        <v>0</v>
      </c>
      <c r="F7860" s="2">
        <v>0</v>
      </c>
      <c r="H7860">
        <v>0</v>
      </c>
      <c r="I7860">
        <v>0.1741125760648204</v>
      </c>
      <c r="J7860">
        <v>0</v>
      </c>
      <c r="K7860">
        <v>0</v>
      </c>
      <c r="L7860" s="2">
        <v>0</v>
      </c>
      <c r="M7860">
        <v>77.58</v>
      </c>
      <c r="N7860" t="s">
        <v>10236</v>
      </c>
    </row>
    <row r="7861" spans="1:14">
      <c r="A7861" t="s">
        <v>25</v>
      </c>
      <c r="B7861" t="s">
        <v>7850</v>
      </c>
      <c r="C7861">
        <f>"zvp1151"</f>
        <v>0</v>
      </c>
      <c r="D7861">
        <v>0</v>
      </c>
      <c r="E7861">
        <v>0</v>
      </c>
      <c r="F7861" s="2">
        <v>0</v>
      </c>
      <c r="H7861">
        <v>0</v>
      </c>
      <c r="I7861">
        <v>0.1741125760648204</v>
      </c>
      <c r="J7861">
        <v>0</v>
      </c>
      <c r="K7861">
        <v>0</v>
      </c>
      <c r="L7861" s="2">
        <v>0</v>
      </c>
      <c r="M7861">
        <v>77.59</v>
      </c>
      <c r="N7861" t="s">
        <v>10236</v>
      </c>
    </row>
    <row r="7862" spans="1:14">
      <c r="A7862" t="s">
        <v>35</v>
      </c>
      <c r="B7862" t="s">
        <v>7851</v>
      </c>
      <c r="C7862">
        <f>"DTC804A"</f>
        <v>0</v>
      </c>
      <c r="D7862">
        <v>0</v>
      </c>
      <c r="E7862">
        <v>0</v>
      </c>
      <c r="F7862" s="2">
        <v>0</v>
      </c>
      <c r="H7862">
        <v>0</v>
      </c>
      <c r="I7862">
        <v>0.1741125760648204</v>
      </c>
      <c r="J7862">
        <v>0</v>
      </c>
      <c r="K7862">
        <v>0</v>
      </c>
      <c r="L7862" s="2">
        <v>0</v>
      </c>
      <c r="M7862">
        <v>77.59999999999999</v>
      </c>
      <c r="N7862" t="s">
        <v>10236</v>
      </c>
    </row>
    <row r="7863" spans="1:14">
      <c r="A7863" t="s">
        <v>35</v>
      </c>
      <c r="B7863" t="s">
        <v>7852</v>
      </c>
      <c r="C7863">
        <f>"DTC803R"</f>
        <v>0</v>
      </c>
      <c r="D7863">
        <v>0</v>
      </c>
      <c r="E7863">
        <v>1</v>
      </c>
      <c r="F7863" s="2">
        <v>36</v>
      </c>
      <c r="H7863">
        <v>0</v>
      </c>
      <c r="I7863">
        <v>0.1741125760648204</v>
      </c>
      <c r="J7863">
        <v>0</v>
      </c>
      <c r="K7863">
        <v>0</v>
      </c>
      <c r="L7863" s="2">
        <v>0</v>
      </c>
      <c r="M7863">
        <v>77.61</v>
      </c>
      <c r="N7863" t="s">
        <v>10236</v>
      </c>
    </row>
    <row r="7864" spans="1:14">
      <c r="A7864" t="s">
        <v>35</v>
      </c>
      <c r="B7864" t="s">
        <v>7853</v>
      </c>
      <c r="C7864">
        <f>"DTC803AZO"</f>
        <v>0</v>
      </c>
      <c r="D7864">
        <v>0</v>
      </c>
      <c r="E7864">
        <v>1</v>
      </c>
      <c r="F7864" s="2">
        <v>36</v>
      </c>
      <c r="H7864">
        <v>0</v>
      </c>
      <c r="I7864">
        <v>0.1741125760648204</v>
      </c>
      <c r="J7864">
        <v>0</v>
      </c>
      <c r="K7864">
        <v>0</v>
      </c>
      <c r="L7864" s="2">
        <v>0</v>
      </c>
      <c r="M7864">
        <v>77.62</v>
      </c>
      <c r="N7864" t="s">
        <v>10236</v>
      </c>
    </row>
    <row r="7865" spans="1:14">
      <c r="A7865" t="s">
        <v>192</v>
      </c>
      <c r="B7865" t="s">
        <v>7854</v>
      </c>
      <c r="C7865">
        <f>"6737"</f>
        <v>0</v>
      </c>
      <c r="D7865">
        <v>0</v>
      </c>
      <c r="E7865">
        <v>0</v>
      </c>
      <c r="F7865" s="2">
        <v>0</v>
      </c>
      <c r="H7865">
        <v>0</v>
      </c>
      <c r="I7865">
        <v>0.1741125760648204</v>
      </c>
      <c r="J7865">
        <v>0</v>
      </c>
      <c r="K7865">
        <v>0</v>
      </c>
      <c r="L7865" s="2">
        <v>0</v>
      </c>
      <c r="M7865">
        <v>77.62</v>
      </c>
      <c r="N7865" t="s">
        <v>10236</v>
      </c>
    </row>
    <row r="7866" spans="1:14">
      <c r="A7866" t="s">
        <v>192</v>
      </c>
      <c r="B7866" t="s">
        <v>7855</v>
      </c>
      <c r="C7866">
        <f>"6736"</f>
        <v>0</v>
      </c>
      <c r="D7866">
        <v>0</v>
      </c>
      <c r="E7866">
        <v>0</v>
      </c>
      <c r="F7866" s="2">
        <v>0</v>
      </c>
      <c r="H7866">
        <v>0</v>
      </c>
      <c r="I7866">
        <v>0.1741125760648204</v>
      </c>
      <c r="J7866">
        <v>0</v>
      </c>
      <c r="K7866">
        <v>0</v>
      </c>
      <c r="L7866" s="2">
        <v>0</v>
      </c>
      <c r="M7866">
        <v>77.63</v>
      </c>
      <c r="N7866" t="s">
        <v>10236</v>
      </c>
    </row>
    <row r="7867" spans="1:14">
      <c r="A7867" t="s">
        <v>29</v>
      </c>
      <c r="B7867" t="s">
        <v>7856</v>
      </c>
      <c r="C7867">
        <f>"32182"</f>
        <v>0</v>
      </c>
      <c r="D7867">
        <v>0</v>
      </c>
      <c r="E7867">
        <v>0</v>
      </c>
      <c r="F7867" s="2">
        <v>0</v>
      </c>
      <c r="H7867">
        <v>0</v>
      </c>
      <c r="I7867">
        <v>0.1741125760648204</v>
      </c>
      <c r="J7867">
        <v>0</v>
      </c>
      <c r="K7867">
        <v>0</v>
      </c>
      <c r="L7867" s="2">
        <v>0</v>
      </c>
      <c r="M7867">
        <v>77.64</v>
      </c>
      <c r="N7867" t="s">
        <v>10236</v>
      </c>
    </row>
    <row r="7868" spans="1:14">
      <c r="A7868" t="s">
        <v>35</v>
      </c>
      <c r="B7868" t="s">
        <v>7857</v>
      </c>
      <c r="C7868">
        <f>"citycat4kg"</f>
        <v>0</v>
      </c>
      <c r="D7868">
        <v>0</v>
      </c>
      <c r="E7868">
        <v>2</v>
      </c>
      <c r="F7868" s="2">
        <v>0</v>
      </c>
      <c r="H7868">
        <v>0</v>
      </c>
      <c r="I7868">
        <v>0.1741125760648204</v>
      </c>
      <c r="J7868">
        <v>0</v>
      </c>
      <c r="K7868">
        <v>0</v>
      </c>
      <c r="L7868" s="2">
        <v>0</v>
      </c>
      <c r="M7868">
        <v>77.65000000000001</v>
      </c>
      <c r="N7868" t="s">
        <v>10236</v>
      </c>
    </row>
    <row r="7869" spans="1:14">
      <c r="A7869" t="s">
        <v>35</v>
      </c>
      <c r="B7869" t="s">
        <v>7858</v>
      </c>
      <c r="C7869">
        <f>"FEP40RO"</f>
        <v>0</v>
      </c>
      <c r="D7869">
        <v>0</v>
      </c>
      <c r="E7869">
        <v>0</v>
      </c>
      <c r="F7869" s="2">
        <v>0</v>
      </c>
      <c r="H7869">
        <v>0</v>
      </c>
      <c r="I7869">
        <v>0.1741125760648204</v>
      </c>
      <c r="J7869">
        <v>0</v>
      </c>
      <c r="K7869">
        <v>0</v>
      </c>
      <c r="L7869" s="2">
        <v>0</v>
      </c>
      <c r="M7869">
        <v>77.66</v>
      </c>
      <c r="N7869" t="s">
        <v>10236</v>
      </c>
    </row>
    <row r="7870" spans="1:14">
      <c r="A7870" t="s">
        <v>35</v>
      </c>
      <c r="B7870" t="s">
        <v>7859</v>
      </c>
      <c r="C7870">
        <f>"Q5ALAR"</f>
        <v>0</v>
      </c>
      <c r="D7870">
        <v>0</v>
      </c>
      <c r="E7870">
        <v>3</v>
      </c>
      <c r="F7870" s="2">
        <v>4</v>
      </c>
      <c r="H7870">
        <v>0</v>
      </c>
      <c r="I7870">
        <v>0.1741125760648204</v>
      </c>
      <c r="J7870">
        <v>0</v>
      </c>
      <c r="K7870">
        <v>0</v>
      </c>
      <c r="L7870" s="2">
        <v>0</v>
      </c>
      <c r="M7870">
        <v>77.67</v>
      </c>
      <c r="N7870" t="s">
        <v>10236</v>
      </c>
    </row>
    <row r="7871" spans="1:14">
      <c r="A7871" t="s">
        <v>35</v>
      </c>
      <c r="B7871" t="s">
        <v>7860</v>
      </c>
      <c r="C7871">
        <f>"Q5AL"</f>
        <v>0</v>
      </c>
      <c r="D7871">
        <v>0</v>
      </c>
      <c r="E7871">
        <v>0</v>
      </c>
      <c r="F7871" s="2">
        <v>0</v>
      </c>
      <c r="H7871">
        <v>0</v>
      </c>
      <c r="I7871">
        <v>0.1741125760648204</v>
      </c>
      <c r="J7871">
        <v>0</v>
      </c>
      <c r="K7871">
        <v>0</v>
      </c>
      <c r="L7871" s="2">
        <v>0</v>
      </c>
      <c r="M7871">
        <v>77.68000000000001</v>
      </c>
      <c r="N7871" t="s">
        <v>10236</v>
      </c>
    </row>
    <row r="7872" spans="1:14">
      <c r="A7872" t="s">
        <v>35</v>
      </c>
      <c r="B7872" t="s">
        <v>7861</v>
      </c>
      <c r="C7872">
        <f>"18372XS"</f>
        <v>0</v>
      </c>
      <c r="D7872">
        <v>0</v>
      </c>
      <c r="E7872">
        <v>0</v>
      </c>
      <c r="F7872" s="2">
        <v>0</v>
      </c>
      <c r="H7872">
        <v>0</v>
      </c>
      <c r="I7872">
        <v>0.1741125760648204</v>
      </c>
      <c r="J7872">
        <v>0</v>
      </c>
      <c r="K7872">
        <v>0</v>
      </c>
      <c r="L7872" s="2">
        <v>0</v>
      </c>
      <c r="M7872">
        <v>77.69</v>
      </c>
      <c r="N7872" t="s">
        <v>10236</v>
      </c>
    </row>
    <row r="7873" spans="1:14">
      <c r="A7873" t="s">
        <v>35</v>
      </c>
      <c r="B7873" t="s">
        <v>7862</v>
      </c>
      <c r="C7873">
        <f>"1837XS"</f>
        <v>0</v>
      </c>
      <c r="D7873">
        <v>0</v>
      </c>
      <c r="E7873">
        <v>0</v>
      </c>
      <c r="F7873" s="2">
        <v>0</v>
      </c>
      <c r="H7873">
        <v>0</v>
      </c>
      <c r="I7873">
        <v>0.1741125760648204</v>
      </c>
      <c r="J7873">
        <v>0</v>
      </c>
      <c r="K7873">
        <v>0</v>
      </c>
      <c r="L7873" s="2">
        <v>0</v>
      </c>
      <c r="M7873">
        <v>77.7</v>
      </c>
      <c r="N7873" t="s">
        <v>10236</v>
      </c>
    </row>
    <row r="7874" spans="1:14">
      <c r="A7874" t="s">
        <v>35</v>
      </c>
      <c r="B7874" t="s">
        <v>7863</v>
      </c>
      <c r="C7874">
        <f>"1837S"</f>
        <v>0</v>
      </c>
      <c r="D7874">
        <v>0</v>
      </c>
      <c r="E7874">
        <v>1</v>
      </c>
      <c r="F7874" s="2">
        <v>3</v>
      </c>
      <c r="H7874">
        <v>0</v>
      </c>
      <c r="I7874">
        <v>0.1741125760648204</v>
      </c>
      <c r="J7874">
        <v>0</v>
      </c>
      <c r="K7874">
        <v>0</v>
      </c>
      <c r="L7874" s="2">
        <v>0</v>
      </c>
      <c r="M7874">
        <v>77.70999999999999</v>
      </c>
      <c r="N7874" t="s">
        <v>10236</v>
      </c>
    </row>
    <row r="7875" spans="1:14">
      <c r="A7875" t="s">
        <v>35</v>
      </c>
      <c r="B7875" t="s">
        <v>7864</v>
      </c>
      <c r="C7875">
        <f>"1837M"</f>
        <v>0</v>
      </c>
      <c r="D7875">
        <v>0</v>
      </c>
      <c r="E7875">
        <v>0</v>
      </c>
      <c r="F7875" s="2">
        <v>0</v>
      </c>
      <c r="H7875">
        <v>0</v>
      </c>
      <c r="I7875">
        <v>0.1741125760648204</v>
      </c>
      <c r="J7875">
        <v>0</v>
      </c>
      <c r="K7875">
        <v>0</v>
      </c>
      <c r="L7875" s="2">
        <v>0</v>
      </c>
      <c r="M7875">
        <v>77.72</v>
      </c>
      <c r="N7875" t="s">
        <v>10236</v>
      </c>
    </row>
    <row r="7876" spans="1:14">
      <c r="A7876" t="s">
        <v>35</v>
      </c>
      <c r="B7876" t="s">
        <v>7865</v>
      </c>
      <c r="C7876">
        <f>"1837L"</f>
        <v>0</v>
      </c>
      <c r="D7876">
        <v>0</v>
      </c>
      <c r="E7876">
        <v>0</v>
      </c>
      <c r="F7876" s="2">
        <v>0</v>
      </c>
      <c r="H7876">
        <v>0</v>
      </c>
      <c r="I7876">
        <v>0.1741125760648204</v>
      </c>
      <c r="J7876">
        <v>0</v>
      </c>
      <c r="K7876">
        <v>0</v>
      </c>
      <c r="L7876" s="2">
        <v>0</v>
      </c>
      <c r="M7876">
        <v>77.73</v>
      </c>
      <c r="N7876" t="s">
        <v>10236</v>
      </c>
    </row>
    <row r="7877" spans="1:14">
      <c r="A7877" t="s">
        <v>35</v>
      </c>
      <c r="B7877" t="s">
        <v>7866</v>
      </c>
      <c r="C7877">
        <f>"COO2843L"</f>
        <v>0</v>
      </c>
      <c r="D7877">
        <v>0</v>
      </c>
      <c r="E7877">
        <v>8</v>
      </c>
      <c r="F7877" s="2">
        <v>26</v>
      </c>
      <c r="H7877">
        <v>0</v>
      </c>
      <c r="I7877">
        <v>0.1741125760648204</v>
      </c>
      <c r="J7877">
        <v>0</v>
      </c>
      <c r="K7877">
        <v>0</v>
      </c>
      <c r="L7877" s="2">
        <v>0</v>
      </c>
      <c r="M7877">
        <v>77.73</v>
      </c>
      <c r="N7877" t="s">
        <v>10236</v>
      </c>
    </row>
    <row r="7878" spans="1:14">
      <c r="A7878" t="s">
        <v>35</v>
      </c>
      <c r="B7878" t="s">
        <v>7867</v>
      </c>
      <c r="C7878">
        <f>"COO2841M"</f>
        <v>0</v>
      </c>
      <c r="D7878">
        <v>0</v>
      </c>
      <c r="E7878">
        <v>1</v>
      </c>
      <c r="F7878" s="2">
        <v>18</v>
      </c>
      <c r="H7878">
        <v>0</v>
      </c>
      <c r="I7878">
        <v>0.1741125760648204</v>
      </c>
      <c r="J7878">
        <v>0</v>
      </c>
      <c r="K7878">
        <v>0</v>
      </c>
      <c r="L7878" s="2">
        <v>0</v>
      </c>
      <c r="M7878">
        <v>77.73999999999999</v>
      </c>
      <c r="N7878" t="s">
        <v>10236</v>
      </c>
    </row>
    <row r="7879" spans="1:14">
      <c r="A7879" t="s">
        <v>35</v>
      </c>
      <c r="B7879" t="s">
        <v>7868</v>
      </c>
      <c r="C7879">
        <f>"KW6021LCG"</f>
        <v>0</v>
      </c>
      <c r="D7879">
        <v>0</v>
      </c>
      <c r="E7879">
        <v>0</v>
      </c>
      <c r="F7879" s="2">
        <v>0</v>
      </c>
      <c r="H7879">
        <v>0</v>
      </c>
      <c r="I7879">
        <v>0.1741125760648204</v>
      </c>
      <c r="J7879">
        <v>0</v>
      </c>
      <c r="K7879">
        <v>0</v>
      </c>
      <c r="L7879" s="2">
        <v>0</v>
      </c>
      <c r="M7879">
        <v>77.75</v>
      </c>
      <c r="N7879" t="s">
        <v>10236</v>
      </c>
    </row>
    <row r="7880" spans="1:14">
      <c r="A7880" t="s">
        <v>35</v>
      </c>
      <c r="B7880" t="s">
        <v>7869</v>
      </c>
      <c r="C7880">
        <f>"KW6021XLBG"</f>
        <v>0</v>
      </c>
      <c r="D7880">
        <v>0</v>
      </c>
      <c r="E7880">
        <v>0</v>
      </c>
      <c r="F7880" s="2">
        <v>0</v>
      </c>
      <c r="H7880">
        <v>0</v>
      </c>
      <c r="I7880">
        <v>0.1741125760648204</v>
      </c>
      <c r="J7880">
        <v>0</v>
      </c>
      <c r="K7880">
        <v>0</v>
      </c>
      <c r="L7880" s="2">
        <v>0</v>
      </c>
      <c r="M7880">
        <v>77.76000000000001</v>
      </c>
      <c r="N7880" t="s">
        <v>10236</v>
      </c>
    </row>
    <row r="7881" spans="1:14">
      <c r="A7881" t="s">
        <v>35</v>
      </c>
      <c r="B7881" t="s">
        <v>7870</v>
      </c>
      <c r="C7881">
        <f>"KW6021SBG"</f>
        <v>0</v>
      </c>
      <c r="D7881">
        <v>0</v>
      </c>
      <c r="E7881">
        <v>0</v>
      </c>
      <c r="F7881" s="2">
        <v>0</v>
      </c>
      <c r="H7881">
        <v>0</v>
      </c>
      <c r="I7881">
        <v>0.1741125760648204</v>
      </c>
      <c r="J7881">
        <v>0</v>
      </c>
      <c r="K7881">
        <v>0</v>
      </c>
      <c r="L7881" s="2">
        <v>0</v>
      </c>
      <c r="M7881">
        <v>77.77</v>
      </c>
      <c r="N7881" t="s">
        <v>10236</v>
      </c>
    </row>
    <row r="7882" spans="1:14">
      <c r="A7882" t="s">
        <v>35</v>
      </c>
      <c r="B7882" t="s">
        <v>7871</v>
      </c>
      <c r="C7882">
        <f>"KW6021MBG"</f>
        <v>0</v>
      </c>
      <c r="D7882">
        <v>0</v>
      </c>
      <c r="E7882">
        <v>0</v>
      </c>
      <c r="F7882" s="2">
        <v>0</v>
      </c>
      <c r="H7882">
        <v>0</v>
      </c>
      <c r="I7882">
        <v>0.1741125760648204</v>
      </c>
      <c r="J7882">
        <v>0</v>
      </c>
      <c r="K7882">
        <v>0</v>
      </c>
      <c r="L7882" s="2">
        <v>0</v>
      </c>
      <c r="M7882">
        <v>77.78</v>
      </c>
      <c r="N7882" t="s">
        <v>10236</v>
      </c>
    </row>
    <row r="7883" spans="1:14">
      <c r="A7883" t="s">
        <v>35</v>
      </c>
      <c r="B7883" t="s">
        <v>7872</v>
      </c>
      <c r="C7883">
        <f>"KW6021LBG"</f>
        <v>0</v>
      </c>
      <c r="D7883">
        <v>0</v>
      </c>
      <c r="E7883">
        <v>0</v>
      </c>
      <c r="F7883" s="2">
        <v>0</v>
      </c>
      <c r="H7883">
        <v>0</v>
      </c>
      <c r="I7883">
        <v>0.1741125760648204</v>
      </c>
      <c r="J7883">
        <v>0</v>
      </c>
      <c r="K7883">
        <v>0</v>
      </c>
      <c r="L7883" s="2">
        <v>0</v>
      </c>
      <c r="M7883">
        <v>77.79000000000001</v>
      </c>
      <c r="N7883" t="s">
        <v>10236</v>
      </c>
    </row>
    <row r="7884" spans="1:14">
      <c r="A7884" t="s">
        <v>35</v>
      </c>
      <c r="B7884" t="s">
        <v>7873</v>
      </c>
      <c r="C7884">
        <f>"JXV18015S"</f>
        <v>0</v>
      </c>
      <c r="D7884">
        <v>0</v>
      </c>
      <c r="E7884">
        <v>0</v>
      </c>
      <c r="F7884" s="2">
        <v>0</v>
      </c>
      <c r="H7884">
        <v>0</v>
      </c>
      <c r="I7884">
        <v>0.1741125760648204</v>
      </c>
      <c r="J7884">
        <v>0</v>
      </c>
      <c r="K7884">
        <v>0</v>
      </c>
      <c r="L7884" s="2">
        <v>0</v>
      </c>
      <c r="M7884">
        <v>77.8</v>
      </c>
      <c r="N7884" t="s">
        <v>10236</v>
      </c>
    </row>
    <row r="7885" spans="1:14">
      <c r="A7885" t="s">
        <v>35</v>
      </c>
      <c r="B7885" t="s">
        <v>7874</v>
      </c>
      <c r="C7885">
        <f>"QSYW2393MG"</f>
        <v>0</v>
      </c>
      <c r="D7885">
        <v>0</v>
      </c>
      <c r="E7885">
        <v>0</v>
      </c>
      <c r="F7885" s="2">
        <v>0</v>
      </c>
      <c r="H7885">
        <v>0</v>
      </c>
      <c r="I7885">
        <v>0.1741125760648204</v>
      </c>
      <c r="J7885">
        <v>0</v>
      </c>
      <c r="K7885">
        <v>0</v>
      </c>
      <c r="L7885" s="2">
        <v>0</v>
      </c>
      <c r="M7885">
        <v>77.81</v>
      </c>
      <c r="N7885" t="s">
        <v>10236</v>
      </c>
    </row>
    <row r="7886" spans="1:14">
      <c r="A7886" t="s">
        <v>35</v>
      </c>
      <c r="B7886" t="s">
        <v>7875</v>
      </c>
      <c r="C7886">
        <f>"QSYW2393LG"</f>
        <v>0</v>
      </c>
      <c r="D7886">
        <v>0</v>
      </c>
      <c r="E7886">
        <v>0</v>
      </c>
      <c r="F7886" s="2">
        <v>0</v>
      </c>
      <c r="H7886">
        <v>0</v>
      </c>
      <c r="I7886">
        <v>0.1741125760648204</v>
      </c>
      <c r="J7886">
        <v>0</v>
      </c>
      <c r="K7886">
        <v>0</v>
      </c>
      <c r="L7886" s="2">
        <v>0</v>
      </c>
      <c r="M7886">
        <v>77.81999999999999</v>
      </c>
      <c r="N7886" t="s">
        <v>10236</v>
      </c>
    </row>
    <row r="7887" spans="1:14">
      <c r="A7887" t="s">
        <v>35</v>
      </c>
      <c r="B7887" t="s">
        <v>7876</v>
      </c>
      <c r="C7887">
        <f>"QSYW2393SB"</f>
        <v>0</v>
      </c>
      <c r="D7887">
        <v>0</v>
      </c>
      <c r="E7887">
        <v>0</v>
      </c>
      <c r="F7887" s="2">
        <v>0</v>
      </c>
      <c r="H7887">
        <v>0</v>
      </c>
      <c r="I7887">
        <v>0.1741125760648204</v>
      </c>
      <c r="J7887">
        <v>0</v>
      </c>
      <c r="K7887">
        <v>0</v>
      </c>
      <c r="L7887" s="2">
        <v>0</v>
      </c>
      <c r="M7887">
        <v>77.83</v>
      </c>
      <c r="N7887" t="s">
        <v>10236</v>
      </c>
    </row>
    <row r="7888" spans="1:14">
      <c r="A7888" t="s">
        <v>35</v>
      </c>
      <c r="B7888" t="s">
        <v>7877</v>
      </c>
      <c r="C7888">
        <f>"QSYW2393MB"</f>
        <v>0</v>
      </c>
      <c r="D7888">
        <v>0</v>
      </c>
      <c r="E7888">
        <v>0</v>
      </c>
      <c r="F7888" s="2">
        <v>0</v>
      </c>
      <c r="H7888">
        <v>0</v>
      </c>
      <c r="I7888">
        <v>0.1741125760648204</v>
      </c>
      <c r="J7888">
        <v>0</v>
      </c>
      <c r="K7888">
        <v>0</v>
      </c>
      <c r="L7888" s="2">
        <v>0</v>
      </c>
      <c r="M7888">
        <v>77.84</v>
      </c>
      <c r="N7888" t="s">
        <v>10236</v>
      </c>
    </row>
    <row r="7889" spans="1:14">
      <c r="A7889" t="s">
        <v>35</v>
      </c>
      <c r="B7889" t="s">
        <v>7878</v>
      </c>
      <c r="C7889">
        <f>"QSYW2393LB"</f>
        <v>0</v>
      </c>
      <c r="D7889">
        <v>0</v>
      </c>
      <c r="E7889">
        <v>0</v>
      </c>
      <c r="F7889" s="2">
        <v>0</v>
      </c>
      <c r="H7889">
        <v>0</v>
      </c>
      <c r="I7889">
        <v>0.1741125760648204</v>
      </c>
      <c r="J7889">
        <v>0</v>
      </c>
      <c r="K7889">
        <v>0</v>
      </c>
      <c r="L7889" s="2">
        <v>0</v>
      </c>
      <c r="M7889">
        <v>77.84999999999999</v>
      </c>
      <c r="N7889" t="s">
        <v>10236</v>
      </c>
    </row>
    <row r="7890" spans="1:14">
      <c r="A7890" t="s">
        <v>35</v>
      </c>
      <c r="B7890" t="s">
        <v>7879</v>
      </c>
      <c r="C7890">
        <f>"JXN18011"</f>
        <v>0</v>
      </c>
      <c r="D7890">
        <v>0</v>
      </c>
      <c r="E7890">
        <v>0</v>
      </c>
      <c r="F7890" s="2">
        <v>0</v>
      </c>
      <c r="H7890">
        <v>0</v>
      </c>
      <c r="I7890">
        <v>0.1741125760648204</v>
      </c>
      <c r="J7890">
        <v>0</v>
      </c>
      <c r="K7890">
        <v>0</v>
      </c>
      <c r="L7890" s="2">
        <v>0</v>
      </c>
      <c r="M7890">
        <v>77.84999999999999</v>
      </c>
      <c r="N7890" t="s">
        <v>10236</v>
      </c>
    </row>
    <row r="7891" spans="1:14">
      <c r="A7891" t="s">
        <v>35</v>
      </c>
      <c r="B7891" t="s">
        <v>7880</v>
      </c>
      <c r="C7891">
        <f>"8443S"</f>
        <v>0</v>
      </c>
      <c r="D7891">
        <v>0</v>
      </c>
      <c r="E7891">
        <v>7</v>
      </c>
      <c r="F7891" s="2">
        <v>9</v>
      </c>
      <c r="H7891">
        <v>0</v>
      </c>
      <c r="I7891">
        <v>0.1741125760648204</v>
      </c>
      <c r="J7891">
        <v>0</v>
      </c>
      <c r="K7891">
        <v>0</v>
      </c>
      <c r="L7891" s="2">
        <v>0</v>
      </c>
      <c r="M7891">
        <v>77.86</v>
      </c>
      <c r="N7891" t="s">
        <v>10236</v>
      </c>
    </row>
    <row r="7892" spans="1:14">
      <c r="A7892" t="s">
        <v>35</v>
      </c>
      <c r="B7892" t="s">
        <v>7881</v>
      </c>
      <c r="C7892">
        <f>"FB09SNB"</f>
        <v>0</v>
      </c>
      <c r="D7892">
        <v>0</v>
      </c>
      <c r="E7892">
        <v>5</v>
      </c>
      <c r="F7892" s="2">
        <v>3</v>
      </c>
      <c r="H7892">
        <v>0</v>
      </c>
      <c r="I7892">
        <v>0.1741125760648204</v>
      </c>
      <c r="J7892">
        <v>0</v>
      </c>
      <c r="K7892">
        <v>0</v>
      </c>
      <c r="L7892" s="2">
        <v>0</v>
      </c>
      <c r="M7892">
        <v>77.87</v>
      </c>
      <c r="N7892" t="s">
        <v>10236</v>
      </c>
    </row>
    <row r="7893" spans="1:14">
      <c r="A7893" t="s">
        <v>35</v>
      </c>
      <c r="B7893" t="s">
        <v>7882</v>
      </c>
      <c r="C7893">
        <f>"FB09SCBN"</f>
        <v>0</v>
      </c>
      <c r="D7893">
        <v>0</v>
      </c>
      <c r="E7893">
        <v>23</v>
      </c>
      <c r="F7893" s="2">
        <v>3</v>
      </c>
      <c r="H7893">
        <v>0</v>
      </c>
      <c r="I7893">
        <v>0.1741125760648204</v>
      </c>
      <c r="J7893">
        <v>0</v>
      </c>
      <c r="K7893">
        <v>0</v>
      </c>
      <c r="L7893" s="2">
        <v>0</v>
      </c>
      <c r="M7893">
        <v>77.88</v>
      </c>
      <c r="N7893" t="s">
        <v>10236</v>
      </c>
    </row>
    <row r="7894" spans="1:14">
      <c r="A7894" t="s">
        <v>35</v>
      </c>
      <c r="B7894" t="s">
        <v>7883</v>
      </c>
      <c r="C7894">
        <f>"Q5AXXLM"</f>
        <v>0</v>
      </c>
      <c r="D7894">
        <v>0</v>
      </c>
      <c r="E7894">
        <v>2</v>
      </c>
      <c r="F7894" s="2">
        <v>5</v>
      </c>
      <c r="H7894">
        <v>0</v>
      </c>
      <c r="I7894">
        <v>0.1741125760648204</v>
      </c>
      <c r="J7894">
        <v>0</v>
      </c>
      <c r="K7894">
        <v>0</v>
      </c>
      <c r="L7894" s="2">
        <v>0</v>
      </c>
      <c r="M7894">
        <v>77.89</v>
      </c>
      <c r="N7894" t="s">
        <v>10236</v>
      </c>
    </row>
    <row r="7895" spans="1:14">
      <c r="A7895" t="s">
        <v>35</v>
      </c>
      <c r="B7895" t="s">
        <v>7884</v>
      </c>
      <c r="C7895">
        <f>"Q5AXXLCH"</f>
        <v>0</v>
      </c>
      <c r="D7895">
        <v>0</v>
      </c>
      <c r="E7895">
        <v>1</v>
      </c>
      <c r="F7895" s="2">
        <v>5</v>
      </c>
      <c r="H7895">
        <v>0</v>
      </c>
      <c r="I7895">
        <v>0.1741125760648204</v>
      </c>
      <c r="J7895">
        <v>0</v>
      </c>
      <c r="K7895">
        <v>0</v>
      </c>
      <c r="L7895" s="2">
        <v>0</v>
      </c>
      <c r="M7895">
        <v>77.90000000000001</v>
      </c>
      <c r="N7895" t="s">
        <v>10236</v>
      </c>
    </row>
    <row r="7896" spans="1:14">
      <c r="A7896" t="s">
        <v>35</v>
      </c>
      <c r="B7896" t="s">
        <v>7885</v>
      </c>
      <c r="C7896">
        <f>"Q5AXXLCN"</f>
        <v>0</v>
      </c>
      <c r="D7896">
        <v>0</v>
      </c>
      <c r="E7896">
        <v>1</v>
      </c>
      <c r="F7896" s="2">
        <v>5</v>
      </c>
      <c r="H7896">
        <v>0</v>
      </c>
      <c r="I7896">
        <v>0.1741125760648204</v>
      </c>
      <c r="J7896">
        <v>0</v>
      </c>
      <c r="K7896">
        <v>0</v>
      </c>
      <c r="L7896" s="2">
        <v>0</v>
      </c>
      <c r="M7896">
        <v>77.91</v>
      </c>
      <c r="N7896" t="s">
        <v>10236</v>
      </c>
    </row>
    <row r="7897" spans="1:14">
      <c r="A7897" t="s">
        <v>35</v>
      </c>
      <c r="B7897" t="s">
        <v>7886</v>
      </c>
      <c r="C7897">
        <f>"Q5AXXLAR"</f>
        <v>0</v>
      </c>
      <c r="D7897">
        <v>0</v>
      </c>
      <c r="E7897">
        <v>2</v>
      </c>
      <c r="F7897" s="2">
        <v>5</v>
      </c>
      <c r="H7897">
        <v>0</v>
      </c>
      <c r="I7897">
        <v>0.1741125760648204</v>
      </c>
      <c r="J7897">
        <v>0</v>
      </c>
      <c r="K7897">
        <v>0</v>
      </c>
      <c r="L7897" s="2">
        <v>0</v>
      </c>
      <c r="M7897">
        <v>77.92</v>
      </c>
      <c r="N7897" t="s">
        <v>10236</v>
      </c>
    </row>
    <row r="7898" spans="1:14">
      <c r="A7898" t="s">
        <v>29</v>
      </c>
      <c r="B7898" t="s">
        <v>7887</v>
      </c>
      <c r="C7898">
        <f>"HYH025DD"</f>
        <v>0</v>
      </c>
      <c r="D7898">
        <v>0</v>
      </c>
      <c r="E7898">
        <v>0</v>
      </c>
      <c r="F7898" s="2">
        <v>0</v>
      </c>
      <c r="H7898">
        <v>0</v>
      </c>
      <c r="I7898">
        <v>0.1741125760648204</v>
      </c>
      <c r="J7898">
        <v>0</v>
      </c>
      <c r="K7898">
        <v>0</v>
      </c>
      <c r="L7898" s="2">
        <v>0</v>
      </c>
      <c r="M7898">
        <v>77.93000000000001</v>
      </c>
      <c r="N7898" t="s">
        <v>10236</v>
      </c>
    </row>
    <row r="7899" spans="1:14">
      <c r="A7899" t="s">
        <v>28</v>
      </c>
      <c r="B7899" t="s">
        <v>7888</v>
      </c>
      <c r="C7899">
        <f>"CCLLA01"</f>
        <v>0</v>
      </c>
      <c r="D7899">
        <v>0</v>
      </c>
      <c r="E7899">
        <v>0</v>
      </c>
      <c r="F7899" s="2">
        <v>0</v>
      </c>
      <c r="H7899">
        <v>0</v>
      </c>
      <c r="I7899">
        <v>0.1741125760648204</v>
      </c>
      <c r="J7899">
        <v>0</v>
      </c>
      <c r="K7899">
        <v>0</v>
      </c>
      <c r="L7899" s="2">
        <v>0</v>
      </c>
      <c r="M7899">
        <v>77.94</v>
      </c>
      <c r="N7899" t="s">
        <v>10236</v>
      </c>
    </row>
    <row r="7900" spans="1:14">
      <c r="A7900" t="s">
        <v>35</v>
      </c>
      <c r="B7900" t="s">
        <v>7889</v>
      </c>
      <c r="C7900">
        <f>"QSYW2393SG"</f>
        <v>0</v>
      </c>
      <c r="D7900">
        <v>0</v>
      </c>
      <c r="E7900">
        <v>0</v>
      </c>
      <c r="F7900" s="2">
        <v>0</v>
      </c>
      <c r="H7900">
        <v>0</v>
      </c>
      <c r="I7900">
        <v>0.1741125760648204</v>
      </c>
      <c r="J7900">
        <v>0</v>
      </c>
      <c r="K7900">
        <v>0</v>
      </c>
      <c r="L7900" s="2">
        <v>0</v>
      </c>
      <c r="M7900">
        <v>77.95</v>
      </c>
      <c r="N7900" t="s">
        <v>10236</v>
      </c>
    </row>
    <row r="7901" spans="1:14">
      <c r="A7901" t="s">
        <v>35</v>
      </c>
      <c r="B7901" t="s">
        <v>7890</v>
      </c>
      <c r="C7901">
        <f>"JXV1808"</f>
        <v>0</v>
      </c>
      <c r="D7901">
        <v>0</v>
      </c>
      <c r="E7901">
        <v>1</v>
      </c>
      <c r="F7901" s="2">
        <v>13</v>
      </c>
      <c r="H7901">
        <v>0</v>
      </c>
      <c r="I7901">
        <v>0.1741125760648204</v>
      </c>
      <c r="J7901">
        <v>0</v>
      </c>
      <c r="K7901">
        <v>0</v>
      </c>
      <c r="L7901" s="2">
        <v>0</v>
      </c>
      <c r="M7901">
        <v>77.95999999999999</v>
      </c>
      <c r="N7901" t="s">
        <v>10236</v>
      </c>
    </row>
    <row r="7902" spans="1:14">
      <c r="A7902" t="s">
        <v>35</v>
      </c>
      <c r="B7902" t="s">
        <v>7891</v>
      </c>
      <c r="C7902">
        <f>"KW6019SGB"</f>
        <v>0</v>
      </c>
      <c r="D7902">
        <v>0</v>
      </c>
      <c r="E7902">
        <v>0</v>
      </c>
      <c r="F7902" s="2">
        <v>0</v>
      </c>
      <c r="H7902">
        <v>0</v>
      </c>
      <c r="I7902">
        <v>0.1741125760648204</v>
      </c>
      <c r="J7902">
        <v>0</v>
      </c>
      <c r="K7902">
        <v>0</v>
      </c>
      <c r="L7902" s="2">
        <v>0</v>
      </c>
      <c r="M7902">
        <v>77.97</v>
      </c>
      <c r="N7902" t="s">
        <v>10236</v>
      </c>
    </row>
    <row r="7903" spans="1:14">
      <c r="A7903" t="s">
        <v>35</v>
      </c>
      <c r="B7903" t="s">
        <v>7892</v>
      </c>
      <c r="C7903">
        <f>"KW6019MGB"</f>
        <v>0</v>
      </c>
      <c r="D7903">
        <v>0</v>
      </c>
      <c r="E7903">
        <v>0</v>
      </c>
      <c r="F7903" s="2">
        <v>0</v>
      </c>
      <c r="H7903">
        <v>0</v>
      </c>
      <c r="I7903">
        <v>0.1741125760648204</v>
      </c>
      <c r="J7903">
        <v>0</v>
      </c>
      <c r="K7903">
        <v>0</v>
      </c>
      <c r="L7903" s="2">
        <v>0</v>
      </c>
      <c r="M7903">
        <v>77.97</v>
      </c>
      <c r="N7903" t="s">
        <v>10236</v>
      </c>
    </row>
    <row r="7904" spans="1:14">
      <c r="A7904" t="s">
        <v>35</v>
      </c>
      <c r="B7904" t="s">
        <v>7893</v>
      </c>
      <c r="C7904">
        <f>"KW6019LGB"</f>
        <v>0</v>
      </c>
      <c r="D7904">
        <v>0</v>
      </c>
      <c r="E7904">
        <v>0</v>
      </c>
      <c r="F7904" s="2">
        <v>0</v>
      </c>
      <c r="H7904">
        <v>0</v>
      </c>
      <c r="I7904">
        <v>0.1741125760648204</v>
      </c>
      <c r="J7904">
        <v>0</v>
      </c>
      <c r="K7904">
        <v>0</v>
      </c>
      <c r="L7904" s="2">
        <v>0</v>
      </c>
      <c r="M7904">
        <v>77.98</v>
      </c>
      <c r="N7904" t="s">
        <v>10236</v>
      </c>
    </row>
    <row r="7905" spans="1:14">
      <c r="A7905" t="s">
        <v>35</v>
      </c>
      <c r="B7905" t="s">
        <v>7894</v>
      </c>
      <c r="C7905">
        <f>"KW6037MA"</f>
        <v>0</v>
      </c>
      <c r="D7905">
        <v>0</v>
      </c>
      <c r="E7905">
        <v>0</v>
      </c>
      <c r="F7905" s="2">
        <v>0</v>
      </c>
      <c r="H7905">
        <v>0</v>
      </c>
      <c r="I7905">
        <v>0.1741125760648204</v>
      </c>
      <c r="J7905">
        <v>0</v>
      </c>
      <c r="K7905">
        <v>0</v>
      </c>
      <c r="L7905" s="2">
        <v>0</v>
      </c>
      <c r="M7905">
        <v>77.98999999999999</v>
      </c>
      <c r="N7905" t="s">
        <v>10236</v>
      </c>
    </row>
    <row r="7906" spans="1:14">
      <c r="A7906" t="s">
        <v>35</v>
      </c>
      <c r="B7906" t="s">
        <v>7895</v>
      </c>
      <c r="C7906">
        <f>"KW6037LA"</f>
        <v>0</v>
      </c>
      <c r="D7906">
        <v>0</v>
      </c>
      <c r="E7906">
        <v>1</v>
      </c>
      <c r="F7906" s="2">
        <v>13</v>
      </c>
      <c r="H7906">
        <v>0</v>
      </c>
      <c r="I7906">
        <v>0.1741125760648204</v>
      </c>
      <c r="J7906">
        <v>0</v>
      </c>
      <c r="K7906">
        <v>0</v>
      </c>
      <c r="L7906" s="2">
        <v>0</v>
      </c>
      <c r="M7906">
        <v>78</v>
      </c>
      <c r="N7906" t="s">
        <v>10236</v>
      </c>
    </row>
    <row r="7907" spans="1:14">
      <c r="A7907" t="s">
        <v>35</v>
      </c>
      <c r="B7907" t="s">
        <v>7896</v>
      </c>
      <c r="C7907">
        <f>"KW6021XLCG"</f>
        <v>0</v>
      </c>
      <c r="D7907">
        <v>0</v>
      </c>
      <c r="E7907">
        <v>0</v>
      </c>
      <c r="F7907" s="2">
        <v>0</v>
      </c>
      <c r="H7907">
        <v>0</v>
      </c>
      <c r="I7907">
        <v>0.1741125760648204</v>
      </c>
      <c r="J7907">
        <v>0</v>
      </c>
      <c r="K7907">
        <v>0</v>
      </c>
      <c r="L7907" s="2">
        <v>0</v>
      </c>
      <c r="M7907">
        <v>78.01000000000001</v>
      </c>
      <c r="N7907" t="s">
        <v>10236</v>
      </c>
    </row>
    <row r="7908" spans="1:14">
      <c r="A7908" t="s">
        <v>35</v>
      </c>
      <c r="B7908" t="s">
        <v>7897</v>
      </c>
      <c r="C7908">
        <f>"KW6021SCG"</f>
        <v>0</v>
      </c>
      <c r="D7908">
        <v>0</v>
      </c>
      <c r="E7908">
        <v>0</v>
      </c>
      <c r="F7908" s="2">
        <v>0</v>
      </c>
      <c r="H7908">
        <v>0</v>
      </c>
      <c r="I7908">
        <v>0.1741125760648204</v>
      </c>
      <c r="J7908">
        <v>0</v>
      </c>
      <c r="K7908">
        <v>0</v>
      </c>
      <c r="L7908" s="2">
        <v>0</v>
      </c>
      <c r="M7908">
        <v>78.02</v>
      </c>
      <c r="N7908" t="s">
        <v>10236</v>
      </c>
    </row>
    <row r="7909" spans="1:14">
      <c r="A7909" t="s">
        <v>27</v>
      </c>
      <c r="B7909" t="s">
        <v>7898</v>
      </c>
      <c r="C7909">
        <f>"USD741"</f>
        <v>0</v>
      </c>
      <c r="D7909">
        <v>0</v>
      </c>
      <c r="E7909">
        <v>6</v>
      </c>
      <c r="F7909" s="2">
        <v>4</v>
      </c>
      <c r="H7909">
        <v>0</v>
      </c>
      <c r="I7909">
        <v>0.1741125760648204</v>
      </c>
      <c r="J7909">
        <v>0</v>
      </c>
      <c r="K7909">
        <v>0</v>
      </c>
      <c r="L7909" s="2">
        <v>0</v>
      </c>
      <c r="M7909">
        <v>78.03</v>
      </c>
      <c r="N7909" t="s">
        <v>10236</v>
      </c>
    </row>
    <row r="7910" spans="1:14">
      <c r="A7910" t="s">
        <v>40</v>
      </c>
      <c r="B7910" t="s">
        <v>7899</v>
      </c>
      <c r="C7910">
        <f>"V100856"</f>
        <v>0</v>
      </c>
      <c r="D7910">
        <v>0</v>
      </c>
      <c r="E7910">
        <v>10</v>
      </c>
      <c r="F7910" s="2">
        <v>2</v>
      </c>
      <c r="H7910">
        <v>0</v>
      </c>
      <c r="I7910">
        <v>0.1741125760648204</v>
      </c>
      <c r="J7910">
        <v>0</v>
      </c>
      <c r="K7910">
        <v>0</v>
      </c>
      <c r="L7910" s="2">
        <v>0</v>
      </c>
      <c r="M7910">
        <v>78.04000000000001</v>
      </c>
      <c r="N7910" t="s">
        <v>10236</v>
      </c>
    </row>
    <row r="7911" spans="1:14">
      <c r="A7911" t="s">
        <v>35</v>
      </c>
      <c r="B7911" t="s">
        <v>7900</v>
      </c>
      <c r="C7911">
        <f>"Q5AXXL"</f>
        <v>0</v>
      </c>
      <c r="D7911">
        <v>0</v>
      </c>
      <c r="E7911">
        <v>0</v>
      </c>
      <c r="F7911" s="2">
        <v>0</v>
      </c>
      <c r="H7911">
        <v>0</v>
      </c>
      <c r="I7911">
        <v>0.1741125760648204</v>
      </c>
      <c r="J7911">
        <v>0</v>
      </c>
      <c r="K7911">
        <v>0</v>
      </c>
      <c r="L7911" s="2">
        <v>0</v>
      </c>
      <c r="M7911">
        <v>78.05</v>
      </c>
      <c r="N7911" t="s">
        <v>10236</v>
      </c>
    </row>
    <row r="7912" spans="1:14">
      <c r="A7912" t="s">
        <v>35</v>
      </c>
      <c r="B7912" t="s">
        <v>7901</v>
      </c>
      <c r="C7912">
        <f>"Q5AXLR"</f>
        <v>0</v>
      </c>
      <c r="D7912">
        <v>0</v>
      </c>
      <c r="E7912">
        <v>1</v>
      </c>
      <c r="F7912" s="2">
        <v>4</v>
      </c>
      <c r="H7912">
        <v>0</v>
      </c>
      <c r="I7912">
        <v>0.1741125760648204</v>
      </c>
      <c r="J7912">
        <v>0</v>
      </c>
      <c r="K7912">
        <v>0</v>
      </c>
      <c r="L7912" s="2">
        <v>0</v>
      </c>
      <c r="M7912">
        <v>78.06</v>
      </c>
      <c r="N7912" t="s">
        <v>10236</v>
      </c>
    </row>
    <row r="7913" spans="1:14">
      <c r="A7913" t="s">
        <v>35</v>
      </c>
      <c r="B7913" t="s">
        <v>7902</v>
      </c>
      <c r="C7913">
        <f>"Q5AXLM"</f>
        <v>0</v>
      </c>
      <c r="D7913">
        <v>0</v>
      </c>
      <c r="E7913">
        <v>5</v>
      </c>
      <c r="F7913" s="2">
        <v>4</v>
      </c>
      <c r="H7913">
        <v>0</v>
      </c>
      <c r="I7913">
        <v>0.1741125760648204</v>
      </c>
      <c r="J7913">
        <v>0</v>
      </c>
      <c r="K7913">
        <v>0</v>
      </c>
      <c r="L7913" s="2">
        <v>0</v>
      </c>
      <c r="M7913">
        <v>78.06999999999999</v>
      </c>
      <c r="N7913" t="s">
        <v>10236</v>
      </c>
    </row>
    <row r="7914" spans="1:14">
      <c r="A7914" t="s">
        <v>35</v>
      </c>
      <c r="B7914" t="s">
        <v>7903</v>
      </c>
      <c r="C7914">
        <f>"DN179"</f>
        <v>0</v>
      </c>
      <c r="D7914">
        <v>0</v>
      </c>
      <c r="E7914">
        <v>6</v>
      </c>
      <c r="F7914" s="2">
        <v>2</v>
      </c>
      <c r="H7914">
        <v>0</v>
      </c>
      <c r="I7914">
        <v>0.1741125760648204</v>
      </c>
      <c r="J7914">
        <v>0</v>
      </c>
      <c r="K7914">
        <v>0</v>
      </c>
      <c r="L7914" s="2">
        <v>0</v>
      </c>
      <c r="M7914">
        <v>78.08</v>
      </c>
      <c r="N7914" t="s">
        <v>10236</v>
      </c>
    </row>
    <row r="7915" spans="1:14">
      <c r="A7915" t="s">
        <v>35</v>
      </c>
      <c r="B7915" t="s">
        <v>7904</v>
      </c>
      <c r="C7915">
        <f>"FB517LVM"</f>
        <v>0</v>
      </c>
      <c r="D7915">
        <v>0</v>
      </c>
      <c r="E7915">
        <v>0</v>
      </c>
      <c r="F7915" s="2">
        <v>0</v>
      </c>
      <c r="H7915">
        <v>0</v>
      </c>
      <c r="I7915">
        <v>0.1741125760648204</v>
      </c>
      <c r="J7915">
        <v>0</v>
      </c>
      <c r="K7915">
        <v>0</v>
      </c>
      <c r="L7915" s="2">
        <v>0</v>
      </c>
      <c r="M7915">
        <v>78.09</v>
      </c>
      <c r="N7915" t="s">
        <v>10236</v>
      </c>
    </row>
    <row r="7916" spans="1:14">
      <c r="A7916" t="s">
        <v>35</v>
      </c>
      <c r="B7916" t="s">
        <v>7905</v>
      </c>
      <c r="C7916">
        <f>"FB011MA"</f>
        <v>0</v>
      </c>
      <c r="D7916">
        <v>0</v>
      </c>
      <c r="E7916">
        <v>0</v>
      </c>
      <c r="F7916" s="2">
        <v>0</v>
      </c>
      <c r="H7916">
        <v>0</v>
      </c>
      <c r="I7916">
        <v>0.1741125760648204</v>
      </c>
      <c r="J7916">
        <v>0</v>
      </c>
      <c r="K7916">
        <v>0</v>
      </c>
      <c r="L7916" s="2">
        <v>0</v>
      </c>
      <c r="M7916">
        <v>78.09</v>
      </c>
      <c r="N7916" t="s">
        <v>10236</v>
      </c>
    </row>
    <row r="7917" spans="1:14">
      <c r="A7917" t="s">
        <v>35</v>
      </c>
      <c r="B7917" t="s">
        <v>7906</v>
      </c>
      <c r="C7917">
        <f>"FB011LC"</f>
        <v>0</v>
      </c>
      <c r="D7917">
        <v>0</v>
      </c>
      <c r="E7917">
        <v>3</v>
      </c>
      <c r="F7917" s="2">
        <v>2</v>
      </c>
      <c r="H7917">
        <v>0</v>
      </c>
      <c r="I7917">
        <v>0.1741125760648204</v>
      </c>
      <c r="J7917">
        <v>0</v>
      </c>
      <c r="K7917">
        <v>0</v>
      </c>
      <c r="L7917" s="2">
        <v>0</v>
      </c>
      <c r="M7917">
        <v>78.09999999999999</v>
      </c>
      <c r="N7917" t="s">
        <v>10236</v>
      </c>
    </row>
    <row r="7918" spans="1:14">
      <c r="A7918" t="s">
        <v>35</v>
      </c>
      <c r="B7918" t="s">
        <v>7907</v>
      </c>
      <c r="C7918">
        <f>"FB011LA"</f>
        <v>0</v>
      </c>
      <c r="D7918">
        <v>0</v>
      </c>
      <c r="E7918">
        <v>2</v>
      </c>
      <c r="F7918" s="2">
        <v>2</v>
      </c>
      <c r="H7918">
        <v>0</v>
      </c>
      <c r="I7918">
        <v>0.1741125760648204</v>
      </c>
      <c r="J7918">
        <v>0</v>
      </c>
      <c r="K7918">
        <v>0</v>
      </c>
      <c r="L7918" s="2">
        <v>0</v>
      </c>
      <c r="M7918">
        <v>78.11</v>
      </c>
      <c r="N7918" t="s">
        <v>10236</v>
      </c>
    </row>
    <row r="7919" spans="1:14">
      <c r="A7919" t="s">
        <v>35</v>
      </c>
      <c r="B7919" t="s">
        <v>2447</v>
      </c>
      <c r="C7919">
        <f>"HP152XLR"</f>
        <v>0</v>
      </c>
      <c r="D7919">
        <v>0</v>
      </c>
      <c r="E7919">
        <v>1</v>
      </c>
      <c r="F7919" s="2">
        <v>5</v>
      </c>
      <c r="H7919">
        <v>0</v>
      </c>
      <c r="I7919">
        <v>0.1741125760648204</v>
      </c>
      <c r="J7919">
        <v>0</v>
      </c>
      <c r="K7919">
        <v>0</v>
      </c>
      <c r="L7919" s="2">
        <v>0</v>
      </c>
      <c r="M7919">
        <v>78.12</v>
      </c>
      <c r="N7919" t="s">
        <v>10236</v>
      </c>
    </row>
    <row r="7920" spans="1:14">
      <c r="A7920" t="s">
        <v>35</v>
      </c>
      <c r="B7920" t="s">
        <v>2447</v>
      </c>
      <c r="C7920">
        <f>"HP152XLN"</f>
        <v>0</v>
      </c>
      <c r="D7920">
        <v>0</v>
      </c>
      <c r="E7920">
        <v>0</v>
      </c>
      <c r="F7920" s="2">
        <v>0</v>
      </c>
      <c r="H7920">
        <v>0</v>
      </c>
      <c r="I7920">
        <v>0.1741125760648204</v>
      </c>
      <c r="J7920">
        <v>0</v>
      </c>
      <c r="K7920">
        <v>0</v>
      </c>
      <c r="L7920" s="2">
        <v>0</v>
      </c>
      <c r="M7920">
        <v>78.13</v>
      </c>
      <c r="N7920" t="s">
        <v>10236</v>
      </c>
    </row>
    <row r="7921" spans="1:14">
      <c r="A7921" t="s">
        <v>35</v>
      </c>
      <c r="B7921" t="s">
        <v>2447</v>
      </c>
      <c r="C7921">
        <f>"HP152XLG"</f>
        <v>0</v>
      </c>
      <c r="D7921">
        <v>0</v>
      </c>
      <c r="E7921">
        <v>0</v>
      </c>
      <c r="F7921" s="2">
        <v>0</v>
      </c>
      <c r="H7921">
        <v>0</v>
      </c>
      <c r="I7921">
        <v>0.1741125760648204</v>
      </c>
      <c r="J7921">
        <v>0</v>
      </c>
      <c r="K7921">
        <v>0</v>
      </c>
      <c r="L7921" s="2">
        <v>0</v>
      </c>
      <c r="M7921">
        <v>78.14</v>
      </c>
      <c r="N7921" t="s">
        <v>10236</v>
      </c>
    </row>
    <row r="7922" spans="1:14">
      <c r="A7922" t="s">
        <v>35</v>
      </c>
      <c r="B7922" t="s">
        <v>2447</v>
      </c>
      <c r="C7922">
        <f>"HP152XLCV"</f>
        <v>0</v>
      </c>
      <c r="D7922">
        <v>0</v>
      </c>
      <c r="E7922">
        <v>0</v>
      </c>
      <c r="F7922" s="2">
        <v>0</v>
      </c>
      <c r="H7922">
        <v>0</v>
      </c>
      <c r="I7922">
        <v>0.1741125760648204</v>
      </c>
      <c r="J7922">
        <v>0</v>
      </c>
      <c r="K7922">
        <v>0</v>
      </c>
      <c r="L7922" s="2">
        <v>0</v>
      </c>
      <c r="M7922">
        <v>78.15000000000001</v>
      </c>
      <c r="N7922" t="s">
        <v>10236</v>
      </c>
    </row>
    <row r="7923" spans="1:14">
      <c r="A7923" t="s">
        <v>35</v>
      </c>
      <c r="B7923" t="s">
        <v>7908</v>
      </c>
      <c r="C7923">
        <f>"Q5AMM"</f>
        <v>0</v>
      </c>
      <c r="D7923">
        <v>0</v>
      </c>
      <c r="E7923">
        <v>2</v>
      </c>
      <c r="F7923" s="2">
        <v>4</v>
      </c>
      <c r="H7923">
        <v>0</v>
      </c>
      <c r="I7923">
        <v>0.1741125760648204</v>
      </c>
      <c r="J7923">
        <v>0</v>
      </c>
      <c r="K7923">
        <v>0</v>
      </c>
      <c r="L7923" s="2">
        <v>0</v>
      </c>
      <c r="M7923">
        <v>78.16</v>
      </c>
      <c r="N7923" t="s">
        <v>10236</v>
      </c>
    </row>
    <row r="7924" spans="1:14">
      <c r="A7924" t="s">
        <v>35</v>
      </c>
      <c r="B7924" t="s">
        <v>7909</v>
      </c>
      <c r="C7924">
        <f>"Q5AMCH"</f>
        <v>0</v>
      </c>
      <c r="D7924">
        <v>0</v>
      </c>
      <c r="E7924">
        <v>0</v>
      </c>
      <c r="F7924" s="2">
        <v>0</v>
      </c>
      <c r="H7924">
        <v>0</v>
      </c>
      <c r="I7924">
        <v>0.1741125760648204</v>
      </c>
      <c r="J7924">
        <v>0</v>
      </c>
      <c r="K7924">
        <v>0</v>
      </c>
      <c r="L7924" s="2">
        <v>0</v>
      </c>
      <c r="M7924">
        <v>78.17</v>
      </c>
      <c r="N7924" t="s">
        <v>10236</v>
      </c>
    </row>
    <row r="7925" spans="1:14">
      <c r="A7925" t="s">
        <v>35</v>
      </c>
      <c r="B7925" t="s">
        <v>7910</v>
      </c>
      <c r="C7925">
        <f>"Q5AMAR"</f>
        <v>0</v>
      </c>
      <c r="D7925">
        <v>0</v>
      </c>
      <c r="E7925">
        <v>1</v>
      </c>
      <c r="F7925" s="2">
        <v>4</v>
      </c>
      <c r="H7925">
        <v>0</v>
      </c>
      <c r="I7925">
        <v>0.1741125760648204</v>
      </c>
      <c r="J7925">
        <v>0</v>
      </c>
      <c r="K7925">
        <v>0</v>
      </c>
      <c r="L7925" s="2">
        <v>0</v>
      </c>
      <c r="M7925">
        <v>78.18000000000001</v>
      </c>
      <c r="N7925" t="s">
        <v>10236</v>
      </c>
    </row>
    <row r="7926" spans="1:14">
      <c r="A7926" t="s">
        <v>35</v>
      </c>
      <c r="B7926" t="s">
        <v>7911</v>
      </c>
      <c r="C7926">
        <f>"Q5AM"</f>
        <v>0</v>
      </c>
      <c r="D7926">
        <v>0</v>
      </c>
      <c r="E7926">
        <v>0</v>
      </c>
      <c r="F7926" s="2">
        <v>0</v>
      </c>
      <c r="H7926">
        <v>0</v>
      </c>
      <c r="I7926">
        <v>0.1741125760648204</v>
      </c>
      <c r="J7926">
        <v>0</v>
      </c>
      <c r="K7926">
        <v>0</v>
      </c>
      <c r="L7926" s="2">
        <v>0</v>
      </c>
      <c r="M7926">
        <v>78.19</v>
      </c>
      <c r="N7926" t="s">
        <v>10236</v>
      </c>
    </row>
    <row r="7927" spans="1:14">
      <c r="A7927" t="s">
        <v>27</v>
      </c>
      <c r="B7927" t="s">
        <v>7912</v>
      </c>
      <c r="C7927">
        <f>"USA670"</f>
        <v>0</v>
      </c>
      <c r="D7927">
        <v>0</v>
      </c>
      <c r="E7927">
        <v>3</v>
      </c>
      <c r="F7927" s="2">
        <v>1</v>
      </c>
      <c r="H7927">
        <v>0</v>
      </c>
      <c r="I7927">
        <v>0.1741125760648204</v>
      </c>
      <c r="J7927">
        <v>0</v>
      </c>
      <c r="K7927">
        <v>0</v>
      </c>
      <c r="L7927" s="2">
        <v>0</v>
      </c>
      <c r="M7927">
        <v>78.2</v>
      </c>
      <c r="N7927" t="s">
        <v>10236</v>
      </c>
    </row>
    <row r="7928" spans="1:14">
      <c r="A7928" t="s">
        <v>27</v>
      </c>
      <c r="B7928" t="s">
        <v>7913</v>
      </c>
      <c r="C7928">
        <f>"USA662"</f>
        <v>0</v>
      </c>
      <c r="D7928">
        <v>0</v>
      </c>
      <c r="E7928">
        <v>13</v>
      </c>
      <c r="F7928" s="2">
        <v>1</v>
      </c>
      <c r="H7928">
        <v>0</v>
      </c>
      <c r="I7928">
        <v>0.1741125760648204</v>
      </c>
      <c r="J7928">
        <v>0</v>
      </c>
      <c r="K7928">
        <v>0</v>
      </c>
      <c r="L7928" s="2">
        <v>0</v>
      </c>
      <c r="M7928">
        <v>78.2</v>
      </c>
      <c r="N7928" t="s">
        <v>10236</v>
      </c>
    </row>
    <row r="7929" spans="1:14">
      <c r="A7929" t="s">
        <v>35</v>
      </c>
      <c r="B7929" t="s">
        <v>7914</v>
      </c>
      <c r="C7929">
        <f>"FB517MM"</f>
        <v>0</v>
      </c>
      <c r="D7929">
        <v>0</v>
      </c>
      <c r="E7929">
        <v>0</v>
      </c>
      <c r="F7929" s="2">
        <v>0</v>
      </c>
      <c r="H7929">
        <v>0</v>
      </c>
      <c r="I7929">
        <v>0.1741125760648204</v>
      </c>
      <c r="J7929">
        <v>0</v>
      </c>
      <c r="K7929">
        <v>0</v>
      </c>
      <c r="L7929" s="2">
        <v>0</v>
      </c>
      <c r="M7929">
        <v>78.20999999999999</v>
      </c>
      <c r="N7929" t="s">
        <v>10236</v>
      </c>
    </row>
    <row r="7930" spans="1:14">
      <c r="A7930" t="s">
        <v>35</v>
      </c>
      <c r="B7930" t="s">
        <v>7915</v>
      </c>
      <c r="C7930">
        <f>"FB517MA"</f>
        <v>0</v>
      </c>
      <c r="D7930">
        <v>0</v>
      </c>
      <c r="E7930">
        <v>0</v>
      </c>
      <c r="F7930" s="2">
        <v>0</v>
      </c>
      <c r="H7930">
        <v>0</v>
      </c>
      <c r="I7930">
        <v>0.1741125760648204</v>
      </c>
      <c r="J7930">
        <v>0</v>
      </c>
      <c r="K7930">
        <v>0</v>
      </c>
      <c r="L7930" s="2">
        <v>0</v>
      </c>
      <c r="M7930">
        <v>78.22</v>
      </c>
      <c r="N7930" t="s">
        <v>10236</v>
      </c>
    </row>
    <row r="7931" spans="1:14">
      <c r="A7931" t="s">
        <v>35</v>
      </c>
      <c r="B7931" t="s">
        <v>7916</v>
      </c>
      <c r="C7931">
        <f>"DN178"</f>
        <v>0</v>
      </c>
      <c r="D7931">
        <v>0</v>
      </c>
      <c r="E7931">
        <v>3</v>
      </c>
      <c r="F7931" s="2">
        <v>1</v>
      </c>
      <c r="H7931">
        <v>0</v>
      </c>
      <c r="I7931">
        <v>0.1741125760648204</v>
      </c>
      <c r="J7931">
        <v>0</v>
      </c>
      <c r="K7931">
        <v>0</v>
      </c>
      <c r="L7931" s="2">
        <v>0</v>
      </c>
      <c r="M7931">
        <v>78.23</v>
      </c>
      <c r="N7931" t="s">
        <v>10236</v>
      </c>
    </row>
    <row r="7932" spans="1:14">
      <c r="A7932" t="s">
        <v>35</v>
      </c>
      <c r="B7932" t="s">
        <v>7917</v>
      </c>
      <c r="C7932">
        <f>"JW2607AM"</f>
        <v>0</v>
      </c>
      <c r="D7932">
        <v>0</v>
      </c>
      <c r="E7932">
        <v>0</v>
      </c>
      <c r="F7932" s="2">
        <v>0</v>
      </c>
      <c r="H7932">
        <v>0</v>
      </c>
      <c r="I7932">
        <v>0.1741125760648204</v>
      </c>
      <c r="J7932">
        <v>0</v>
      </c>
      <c r="K7932">
        <v>0</v>
      </c>
      <c r="L7932" s="2">
        <v>0</v>
      </c>
      <c r="M7932">
        <v>78.23999999999999</v>
      </c>
      <c r="N7932" t="s">
        <v>10236</v>
      </c>
    </row>
    <row r="7933" spans="1:14">
      <c r="A7933" t="s">
        <v>35</v>
      </c>
      <c r="B7933" t="s">
        <v>7918</v>
      </c>
      <c r="C7933">
        <f>"FN110H"</f>
        <v>0</v>
      </c>
      <c r="D7933">
        <v>0</v>
      </c>
      <c r="E7933">
        <v>1</v>
      </c>
      <c r="F7933" s="2">
        <v>18</v>
      </c>
      <c r="H7933">
        <v>0</v>
      </c>
      <c r="I7933">
        <v>0.1741125760648204</v>
      </c>
      <c r="J7933">
        <v>0</v>
      </c>
      <c r="K7933">
        <v>0</v>
      </c>
      <c r="L7933" s="2">
        <v>0</v>
      </c>
      <c r="M7933">
        <v>78.25</v>
      </c>
      <c r="N7933" t="s">
        <v>10236</v>
      </c>
    </row>
    <row r="7934" spans="1:14">
      <c r="A7934" t="s">
        <v>192</v>
      </c>
      <c r="B7934" t="s">
        <v>7919</v>
      </c>
      <c r="C7934">
        <f>"1564524630806"</f>
        <v>0</v>
      </c>
      <c r="D7934">
        <v>0</v>
      </c>
      <c r="E7934">
        <v>0</v>
      </c>
      <c r="F7934" s="2">
        <v>0</v>
      </c>
      <c r="H7934">
        <v>0</v>
      </c>
      <c r="I7934">
        <v>0.1741125760648204</v>
      </c>
      <c r="J7934">
        <v>0</v>
      </c>
      <c r="K7934">
        <v>0</v>
      </c>
      <c r="L7934" s="2">
        <v>0</v>
      </c>
      <c r="M7934">
        <v>78.26000000000001</v>
      </c>
      <c r="N7934" t="s">
        <v>10236</v>
      </c>
    </row>
    <row r="7935" spans="1:14">
      <c r="A7935" t="s">
        <v>192</v>
      </c>
      <c r="B7935" t="s">
        <v>7920</v>
      </c>
      <c r="C7935">
        <f>"1564611769293"</f>
        <v>0</v>
      </c>
      <c r="D7935">
        <v>0</v>
      </c>
      <c r="E7935">
        <v>0</v>
      </c>
      <c r="F7935" s="2">
        <v>0</v>
      </c>
      <c r="H7935">
        <v>0</v>
      </c>
      <c r="I7935">
        <v>0.1741125760648204</v>
      </c>
      <c r="J7935">
        <v>0</v>
      </c>
      <c r="K7935">
        <v>0</v>
      </c>
      <c r="L7935" s="2">
        <v>0</v>
      </c>
      <c r="M7935">
        <v>78.27</v>
      </c>
      <c r="N7935" t="s">
        <v>10236</v>
      </c>
    </row>
    <row r="7936" spans="1:14">
      <c r="A7936" t="s">
        <v>35</v>
      </c>
      <c r="B7936" t="s">
        <v>7921</v>
      </c>
      <c r="C7936">
        <f>"LQC17V"</f>
        <v>0</v>
      </c>
      <c r="D7936">
        <v>0</v>
      </c>
      <c r="E7936">
        <v>11</v>
      </c>
      <c r="F7936" s="2">
        <v>1</v>
      </c>
      <c r="H7936">
        <v>0</v>
      </c>
      <c r="I7936">
        <v>0.1741125760648204</v>
      </c>
      <c r="J7936">
        <v>0</v>
      </c>
      <c r="K7936">
        <v>0</v>
      </c>
      <c r="L7936" s="2">
        <v>0</v>
      </c>
      <c r="M7936">
        <v>78.28</v>
      </c>
      <c r="N7936" t="s">
        <v>10236</v>
      </c>
    </row>
    <row r="7937" spans="1:14">
      <c r="A7937" t="s">
        <v>35</v>
      </c>
      <c r="B7937" t="s">
        <v>7922</v>
      </c>
      <c r="C7937">
        <f>"LQC05ROJ"</f>
        <v>0</v>
      </c>
      <c r="D7937">
        <v>0</v>
      </c>
      <c r="E7937">
        <v>0</v>
      </c>
      <c r="F7937" s="2">
        <v>0</v>
      </c>
      <c r="H7937">
        <v>0</v>
      </c>
      <c r="I7937">
        <v>0.1741125760648204</v>
      </c>
      <c r="J7937">
        <v>0</v>
      </c>
      <c r="K7937">
        <v>0</v>
      </c>
      <c r="L7937" s="2">
        <v>0</v>
      </c>
      <c r="M7937">
        <v>78.29000000000001</v>
      </c>
      <c r="N7937" t="s">
        <v>10236</v>
      </c>
    </row>
    <row r="7938" spans="1:14">
      <c r="A7938" t="s">
        <v>192</v>
      </c>
      <c r="B7938" t="s">
        <v>7923</v>
      </c>
      <c r="C7938">
        <f>"1564525918002"</f>
        <v>0</v>
      </c>
      <c r="D7938">
        <v>0</v>
      </c>
      <c r="E7938">
        <v>0</v>
      </c>
      <c r="F7938" s="2">
        <v>0</v>
      </c>
      <c r="H7938">
        <v>0</v>
      </c>
      <c r="I7938">
        <v>0.1741125760648204</v>
      </c>
      <c r="J7938">
        <v>0</v>
      </c>
      <c r="K7938">
        <v>0</v>
      </c>
      <c r="L7938" s="2">
        <v>0</v>
      </c>
      <c r="M7938">
        <v>78.3</v>
      </c>
      <c r="N7938" t="s">
        <v>10236</v>
      </c>
    </row>
    <row r="7939" spans="1:14">
      <c r="A7939" t="s">
        <v>192</v>
      </c>
      <c r="B7939" t="s">
        <v>7924</v>
      </c>
      <c r="C7939">
        <f>"1564528842637"</f>
        <v>0</v>
      </c>
      <c r="D7939">
        <v>0</v>
      </c>
      <c r="E7939">
        <v>0</v>
      </c>
      <c r="F7939" s="2">
        <v>0</v>
      </c>
      <c r="H7939">
        <v>0</v>
      </c>
      <c r="I7939">
        <v>0.1741125760648204</v>
      </c>
      <c r="J7939">
        <v>0</v>
      </c>
      <c r="K7939">
        <v>0</v>
      </c>
      <c r="L7939" s="2">
        <v>0</v>
      </c>
      <c r="M7939">
        <v>78.31</v>
      </c>
      <c r="N7939" t="s">
        <v>10236</v>
      </c>
    </row>
    <row r="7940" spans="1:14">
      <c r="A7940" t="s">
        <v>192</v>
      </c>
      <c r="B7940" t="s">
        <v>7925</v>
      </c>
      <c r="C7940">
        <f>"1564524702138"</f>
        <v>0</v>
      </c>
      <c r="D7940">
        <v>0</v>
      </c>
      <c r="E7940">
        <v>0</v>
      </c>
      <c r="F7940" s="2">
        <v>0</v>
      </c>
      <c r="H7940">
        <v>0</v>
      </c>
      <c r="I7940">
        <v>0.1741125760648204</v>
      </c>
      <c r="J7940">
        <v>0</v>
      </c>
      <c r="K7940">
        <v>0</v>
      </c>
      <c r="L7940" s="2">
        <v>0</v>
      </c>
      <c r="M7940">
        <v>78.31999999999999</v>
      </c>
      <c r="N7940" t="s">
        <v>10236</v>
      </c>
    </row>
    <row r="7941" spans="1:14">
      <c r="A7941" t="s">
        <v>192</v>
      </c>
      <c r="B7941" t="s">
        <v>7926</v>
      </c>
      <c r="C7941">
        <f>"1564524519198"</f>
        <v>0</v>
      </c>
      <c r="D7941">
        <v>0</v>
      </c>
      <c r="E7941">
        <v>0</v>
      </c>
      <c r="F7941" s="2">
        <v>0</v>
      </c>
      <c r="H7941">
        <v>0</v>
      </c>
      <c r="I7941">
        <v>0.1741125760648204</v>
      </c>
      <c r="J7941">
        <v>0</v>
      </c>
      <c r="K7941">
        <v>0</v>
      </c>
      <c r="L7941" s="2">
        <v>0</v>
      </c>
      <c r="M7941">
        <v>78.31999999999999</v>
      </c>
      <c r="N7941" t="s">
        <v>10236</v>
      </c>
    </row>
    <row r="7942" spans="1:14">
      <c r="A7942" t="s">
        <v>192</v>
      </c>
      <c r="B7942" t="s">
        <v>7927</v>
      </c>
      <c r="C7942">
        <f>"1564523855924"</f>
        <v>0</v>
      </c>
      <c r="D7942">
        <v>0</v>
      </c>
      <c r="E7942">
        <v>0</v>
      </c>
      <c r="F7942" s="2">
        <v>0</v>
      </c>
      <c r="H7942">
        <v>0</v>
      </c>
      <c r="I7942">
        <v>0.1741125760648204</v>
      </c>
      <c r="J7942">
        <v>0</v>
      </c>
      <c r="K7942">
        <v>0</v>
      </c>
      <c r="L7942" s="2">
        <v>0</v>
      </c>
      <c r="M7942">
        <v>78.33</v>
      </c>
      <c r="N7942" t="s">
        <v>10236</v>
      </c>
    </row>
    <row r="7943" spans="1:14">
      <c r="A7943" t="s">
        <v>35</v>
      </c>
      <c r="B7943" t="s">
        <v>7928</v>
      </c>
      <c r="C7943">
        <f>"ZS1069L"</f>
        <v>0</v>
      </c>
      <c r="D7943">
        <v>0</v>
      </c>
      <c r="E7943">
        <v>0</v>
      </c>
      <c r="F7943" s="2">
        <v>0</v>
      </c>
      <c r="H7943">
        <v>0</v>
      </c>
      <c r="I7943">
        <v>0.1741125760648204</v>
      </c>
      <c r="J7943">
        <v>0</v>
      </c>
      <c r="K7943">
        <v>0</v>
      </c>
      <c r="L7943" s="2">
        <v>0</v>
      </c>
      <c r="M7943">
        <v>78.34</v>
      </c>
      <c r="N7943" t="s">
        <v>10236</v>
      </c>
    </row>
    <row r="7944" spans="1:14">
      <c r="A7944" t="s">
        <v>35</v>
      </c>
      <c r="B7944" t="s">
        <v>7929</v>
      </c>
      <c r="C7944">
        <f>"ZS1069S"</f>
        <v>0</v>
      </c>
      <c r="D7944">
        <v>0</v>
      </c>
      <c r="E7944">
        <v>0</v>
      </c>
      <c r="F7944" s="2">
        <v>0</v>
      </c>
      <c r="H7944">
        <v>0</v>
      </c>
      <c r="I7944">
        <v>0.1741125760648204</v>
      </c>
      <c r="J7944">
        <v>0</v>
      </c>
      <c r="K7944">
        <v>0</v>
      </c>
      <c r="L7944" s="2">
        <v>0</v>
      </c>
      <c r="M7944">
        <v>78.34999999999999</v>
      </c>
      <c r="N7944" t="s">
        <v>10236</v>
      </c>
    </row>
    <row r="7945" spans="1:14">
      <c r="A7945" t="s">
        <v>35</v>
      </c>
      <c r="B7945" t="s">
        <v>7930</v>
      </c>
      <c r="C7945">
        <f>"FEP100V"</f>
        <v>0</v>
      </c>
      <c r="D7945">
        <v>0</v>
      </c>
      <c r="E7945">
        <v>0</v>
      </c>
      <c r="F7945" s="2">
        <v>0</v>
      </c>
      <c r="H7945">
        <v>0</v>
      </c>
      <c r="I7945">
        <v>0.1741125760648204</v>
      </c>
      <c r="J7945">
        <v>0</v>
      </c>
      <c r="K7945">
        <v>0</v>
      </c>
      <c r="L7945" s="2">
        <v>0</v>
      </c>
      <c r="M7945">
        <v>78.36</v>
      </c>
      <c r="N7945" t="s">
        <v>10236</v>
      </c>
    </row>
    <row r="7946" spans="1:14">
      <c r="A7946" t="s">
        <v>35</v>
      </c>
      <c r="B7946" t="s">
        <v>7931</v>
      </c>
      <c r="C7946">
        <f>"FEP60AD"</f>
        <v>0</v>
      </c>
      <c r="D7946">
        <v>0</v>
      </c>
      <c r="E7946">
        <v>0</v>
      </c>
      <c r="F7946" s="2">
        <v>0</v>
      </c>
      <c r="H7946">
        <v>0</v>
      </c>
      <c r="I7946">
        <v>0.1741125760648204</v>
      </c>
      <c r="J7946">
        <v>0</v>
      </c>
      <c r="K7946">
        <v>0</v>
      </c>
      <c r="L7946" s="2">
        <v>0</v>
      </c>
      <c r="M7946">
        <v>78.37</v>
      </c>
      <c r="N7946" t="s">
        <v>10236</v>
      </c>
    </row>
    <row r="7947" spans="1:14">
      <c r="A7947" t="s">
        <v>35</v>
      </c>
      <c r="B7947" t="s">
        <v>7932</v>
      </c>
      <c r="C7947">
        <f>"8339"</f>
        <v>0</v>
      </c>
      <c r="D7947">
        <v>0</v>
      </c>
      <c r="E7947">
        <v>0</v>
      </c>
      <c r="F7947" s="2">
        <v>0</v>
      </c>
      <c r="H7947">
        <v>0</v>
      </c>
      <c r="I7947">
        <v>0.1741125760648204</v>
      </c>
      <c r="J7947">
        <v>0</v>
      </c>
      <c r="K7947">
        <v>0</v>
      </c>
      <c r="L7947" s="2">
        <v>0</v>
      </c>
      <c r="M7947">
        <v>78.38</v>
      </c>
      <c r="N7947" t="s">
        <v>10236</v>
      </c>
    </row>
    <row r="7948" spans="1:14">
      <c r="A7948" t="s">
        <v>35</v>
      </c>
      <c r="B7948" t="s">
        <v>7933</v>
      </c>
      <c r="C7948">
        <f>"AX003S"</f>
        <v>0</v>
      </c>
      <c r="D7948">
        <v>0</v>
      </c>
      <c r="E7948">
        <v>8</v>
      </c>
      <c r="F7948" s="2">
        <v>5</v>
      </c>
      <c r="H7948">
        <v>0</v>
      </c>
      <c r="I7948">
        <v>0.1741125760648204</v>
      </c>
      <c r="J7948">
        <v>0</v>
      </c>
      <c r="K7948">
        <v>0</v>
      </c>
      <c r="L7948" s="2">
        <v>0</v>
      </c>
      <c r="M7948">
        <v>78.39</v>
      </c>
      <c r="N7948" t="s">
        <v>10236</v>
      </c>
    </row>
    <row r="7949" spans="1:14">
      <c r="A7949" t="s">
        <v>35</v>
      </c>
      <c r="B7949" t="s">
        <v>7934</v>
      </c>
      <c r="C7949">
        <f>"CLCMX1"</f>
        <v>0</v>
      </c>
      <c r="D7949">
        <v>0</v>
      </c>
      <c r="E7949">
        <v>24</v>
      </c>
      <c r="F7949" s="2">
        <v>1</v>
      </c>
      <c r="H7949">
        <v>0</v>
      </c>
      <c r="I7949">
        <v>0.1741125760648204</v>
      </c>
      <c r="J7949">
        <v>0</v>
      </c>
      <c r="K7949">
        <v>0</v>
      </c>
      <c r="L7949" s="2">
        <v>0</v>
      </c>
      <c r="M7949">
        <v>78.40000000000001</v>
      </c>
      <c r="N7949" t="s">
        <v>10236</v>
      </c>
    </row>
    <row r="7950" spans="1:14">
      <c r="A7950" t="s">
        <v>35</v>
      </c>
      <c r="B7950" t="s">
        <v>7935</v>
      </c>
      <c r="C7950">
        <f>"CLCM"</f>
        <v>0</v>
      </c>
      <c r="D7950">
        <v>0</v>
      </c>
      <c r="E7950">
        <v>0</v>
      </c>
      <c r="F7950" s="2">
        <v>0</v>
      </c>
      <c r="H7950">
        <v>0</v>
      </c>
      <c r="I7950">
        <v>0.1741125760648204</v>
      </c>
      <c r="J7950">
        <v>0</v>
      </c>
      <c r="K7950">
        <v>0</v>
      </c>
      <c r="L7950" s="2">
        <v>0</v>
      </c>
      <c r="M7950">
        <v>78.41</v>
      </c>
      <c r="N7950" t="s">
        <v>10236</v>
      </c>
    </row>
    <row r="7951" spans="1:14">
      <c r="A7951" t="s">
        <v>35</v>
      </c>
      <c r="B7951" t="s">
        <v>7936</v>
      </c>
      <c r="C7951">
        <f>"CLDM"</f>
        <v>0</v>
      </c>
      <c r="D7951">
        <v>0</v>
      </c>
      <c r="E7951">
        <v>0</v>
      </c>
      <c r="F7951" s="2">
        <v>0</v>
      </c>
      <c r="H7951">
        <v>0</v>
      </c>
      <c r="I7951">
        <v>0.1741125760648204</v>
      </c>
      <c r="J7951">
        <v>0</v>
      </c>
      <c r="K7951">
        <v>0</v>
      </c>
      <c r="L7951" s="2">
        <v>0</v>
      </c>
      <c r="M7951">
        <v>78.42</v>
      </c>
      <c r="N7951" t="s">
        <v>10236</v>
      </c>
    </row>
    <row r="7952" spans="1:14">
      <c r="A7952" t="s">
        <v>35</v>
      </c>
      <c r="B7952" t="s">
        <v>7937</v>
      </c>
      <c r="C7952">
        <f>"CLDD"</f>
        <v>0</v>
      </c>
      <c r="D7952">
        <v>0</v>
      </c>
      <c r="E7952">
        <v>1</v>
      </c>
      <c r="F7952" s="2">
        <v>15</v>
      </c>
      <c r="H7952">
        <v>0</v>
      </c>
      <c r="I7952">
        <v>0.1741125760648204</v>
      </c>
      <c r="J7952">
        <v>0</v>
      </c>
      <c r="K7952">
        <v>0</v>
      </c>
      <c r="L7952" s="2">
        <v>0</v>
      </c>
      <c r="M7952">
        <v>78.43000000000001</v>
      </c>
      <c r="N7952" t="s">
        <v>10236</v>
      </c>
    </row>
    <row r="7953" spans="1:14">
      <c r="A7953" t="s">
        <v>35</v>
      </c>
      <c r="B7953" t="s">
        <v>7938</v>
      </c>
      <c r="C7953">
        <f>"CLPM"</f>
        <v>0</v>
      </c>
      <c r="D7953">
        <v>0</v>
      </c>
      <c r="E7953">
        <v>0</v>
      </c>
      <c r="F7953" s="2">
        <v>0</v>
      </c>
      <c r="H7953">
        <v>0</v>
      </c>
      <c r="I7953">
        <v>0.1741125760648204</v>
      </c>
      <c r="J7953">
        <v>0</v>
      </c>
      <c r="K7953">
        <v>0</v>
      </c>
      <c r="L7953" s="2">
        <v>0</v>
      </c>
      <c r="M7953">
        <v>78.44</v>
      </c>
      <c r="N7953" t="s">
        <v>10236</v>
      </c>
    </row>
    <row r="7954" spans="1:14">
      <c r="A7954" t="s">
        <v>35</v>
      </c>
      <c r="B7954" t="s">
        <v>7939</v>
      </c>
      <c r="C7954">
        <f>"CLBXS"</f>
        <v>0</v>
      </c>
      <c r="D7954">
        <v>0</v>
      </c>
      <c r="E7954">
        <v>0</v>
      </c>
      <c r="F7954" s="2">
        <v>0</v>
      </c>
      <c r="H7954">
        <v>0</v>
      </c>
      <c r="I7954">
        <v>0.1741125760648204</v>
      </c>
      <c r="J7954">
        <v>0</v>
      </c>
      <c r="K7954">
        <v>0</v>
      </c>
      <c r="L7954" s="2">
        <v>0</v>
      </c>
      <c r="M7954">
        <v>78.44</v>
      </c>
      <c r="N7954" t="s">
        <v>10236</v>
      </c>
    </row>
    <row r="7955" spans="1:14">
      <c r="A7955" t="s">
        <v>35</v>
      </c>
      <c r="B7955" t="s">
        <v>7940</v>
      </c>
      <c r="C7955">
        <f>"CLBM"</f>
        <v>0</v>
      </c>
      <c r="D7955">
        <v>0</v>
      </c>
      <c r="E7955">
        <v>0</v>
      </c>
      <c r="F7955" s="2">
        <v>0</v>
      </c>
      <c r="H7955">
        <v>0</v>
      </c>
      <c r="I7955">
        <v>0.1741125760648204</v>
      </c>
      <c r="J7955">
        <v>0</v>
      </c>
      <c r="K7955">
        <v>0</v>
      </c>
      <c r="L7955" s="2">
        <v>0</v>
      </c>
      <c r="M7955">
        <v>78.45</v>
      </c>
      <c r="N7955" t="s">
        <v>10236</v>
      </c>
    </row>
    <row r="7956" spans="1:14">
      <c r="A7956" t="s">
        <v>35</v>
      </c>
      <c r="B7956" t="s">
        <v>7941</v>
      </c>
      <c r="C7956">
        <f>"CLCL"</f>
        <v>0</v>
      </c>
      <c r="D7956">
        <v>0</v>
      </c>
      <c r="E7956">
        <v>1</v>
      </c>
      <c r="F7956" s="2">
        <v>20</v>
      </c>
      <c r="H7956">
        <v>0</v>
      </c>
      <c r="I7956">
        <v>0.1741125760648204</v>
      </c>
      <c r="J7956">
        <v>0</v>
      </c>
      <c r="K7956">
        <v>0</v>
      </c>
      <c r="L7956" s="2">
        <v>0</v>
      </c>
      <c r="M7956">
        <v>78.45999999999999</v>
      </c>
      <c r="N7956" t="s">
        <v>10236</v>
      </c>
    </row>
    <row r="7957" spans="1:14">
      <c r="A7957" t="s">
        <v>35</v>
      </c>
      <c r="B7957" t="s">
        <v>7942</v>
      </c>
      <c r="C7957">
        <f>"FB09LNB"</f>
        <v>0</v>
      </c>
      <c r="D7957">
        <v>0</v>
      </c>
      <c r="E7957">
        <v>22</v>
      </c>
      <c r="F7957" s="2">
        <v>3</v>
      </c>
      <c r="H7957">
        <v>0</v>
      </c>
      <c r="I7957">
        <v>0.1741125760648204</v>
      </c>
      <c r="J7957">
        <v>0</v>
      </c>
      <c r="K7957">
        <v>0</v>
      </c>
      <c r="L7957" s="2">
        <v>0</v>
      </c>
      <c r="M7957">
        <v>78.47</v>
      </c>
      <c r="N7957" t="s">
        <v>10236</v>
      </c>
    </row>
    <row r="7958" spans="1:14">
      <c r="A7958" t="s">
        <v>35</v>
      </c>
      <c r="B7958" t="s">
        <v>7943</v>
      </c>
      <c r="C7958">
        <f>"FB09LCBN"</f>
        <v>0</v>
      </c>
      <c r="D7958">
        <v>0</v>
      </c>
      <c r="E7958">
        <v>21</v>
      </c>
      <c r="F7958" s="2">
        <v>3</v>
      </c>
      <c r="H7958">
        <v>0</v>
      </c>
      <c r="I7958">
        <v>0.1741125760648204</v>
      </c>
      <c r="J7958">
        <v>0</v>
      </c>
      <c r="K7958">
        <v>0</v>
      </c>
      <c r="L7958" s="2">
        <v>0</v>
      </c>
      <c r="M7958">
        <v>78.48</v>
      </c>
      <c r="N7958" t="s">
        <v>10236</v>
      </c>
    </row>
    <row r="7959" spans="1:14">
      <c r="A7959" t="s">
        <v>35</v>
      </c>
      <c r="B7959" t="s">
        <v>7944</v>
      </c>
      <c r="C7959">
        <f>"FB09LABN"</f>
        <v>0</v>
      </c>
      <c r="D7959">
        <v>0</v>
      </c>
      <c r="E7959">
        <v>22</v>
      </c>
      <c r="F7959" s="2">
        <v>3</v>
      </c>
      <c r="H7959">
        <v>0</v>
      </c>
      <c r="I7959">
        <v>0.1741125760648204</v>
      </c>
      <c r="J7959">
        <v>0</v>
      </c>
      <c r="K7959">
        <v>0</v>
      </c>
      <c r="L7959" s="2">
        <v>0</v>
      </c>
      <c r="M7959">
        <v>78.48999999999999</v>
      </c>
      <c r="N7959" t="s">
        <v>10236</v>
      </c>
    </row>
    <row r="7960" spans="1:14">
      <c r="A7960" t="s">
        <v>35</v>
      </c>
      <c r="B7960" t="s">
        <v>6530</v>
      </c>
      <c r="C7960">
        <f>"HP152LCV"</f>
        <v>0</v>
      </c>
      <c r="D7960">
        <v>0</v>
      </c>
      <c r="E7960">
        <v>6</v>
      </c>
      <c r="F7960" s="2">
        <v>5</v>
      </c>
      <c r="H7960">
        <v>0</v>
      </c>
      <c r="I7960">
        <v>0.1741125760648204</v>
      </c>
      <c r="J7960">
        <v>0</v>
      </c>
      <c r="K7960">
        <v>0</v>
      </c>
      <c r="L7960" s="2">
        <v>0</v>
      </c>
      <c r="M7960">
        <v>78.5</v>
      </c>
      <c r="N7960" t="s">
        <v>10236</v>
      </c>
    </row>
    <row r="7961" spans="1:14">
      <c r="A7961" t="s">
        <v>35</v>
      </c>
      <c r="B7961" t="s">
        <v>7945</v>
      </c>
      <c r="C7961">
        <f>"8332"</f>
        <v>0</v>
      </c>
      <c r="D7961">
        <v>0</v>
      </c>
      <c r="E7961">
        <v>0</v>
      </c>
      <c r="F7961" s="2">
        <v>0</v>
      </c>
      <c r="H7961">
        <v>0</v>
      </c>
      <c r="I7961">
        <v>0.1741125760648204</v>
      </c>
      <c r="J7961">
        <v>0</v>
      </c>
      <c r="K7961">
        <v>0</v>
      </c>
      <c r="L7961" s="2">
        <v>0</v>
      </c>
      <c r="M7961">
        <v>78.51000000000001</v>
      </c>
      <c r="N7961" t="s">
        <v>10236</v>
      </c>
    </row>
    <row r="7962" spans="1:14">
      <c r="A7962" t="s">
        <v>35</v>
      </c>
      <c r="B7962" t="s">
        <v>7946</v>
      </c>
      <c r="C7962">
        <f>"ACH35"</f>
        <v>0</v>
      </c>
      <c r="D7962">
        <v>0</v>
      </c>
      <c r="E7962">
        <v>0</v>
      </c>
      <c r="F7962" s="2">
        <v>0</v>
      </c>
      <c r="H7962">
        <v>0</v>
      </c>
      <c r="I7962">
        <v>0.1741125760648204</v>
      </c>
      <c r="J7962">
        <v>0</v>
      </c>
      <c r="K7962">
        <v>0</v>
      </c>
      <c r="L7962" s="2">
        <v>0</v>
      </c>
      <c r="M7962">
        <v>78.52</v>
      </c>
      <c r="N7962" t="s">
        <v>10236</v>
      </c>
    </row>
    <row r="7963" spans="1:14">
      <c r="A7963" t="s">
        <v>35</v>
      </c>
      <c r="B7963" t="s">
        <v>7947</v>
      </c>
      <c r="C7963">
        <f>"ACH30"</f>
        <v>0</v>
      </c>
      <c r="D7963">
        <v>0</v>
      </c>
      <c r="E7963">
        <v>0</v>
      </c>
      <c r="F7963" s="2">
        <v>0</v>
      </c>
      <c r="H7963">
        <v>0</v>
      </c>
      <c r="I7963">
        <v>0.1741125760648204</v>
      </c>
      <c r="J7963">
        <v>0</v>
      </c>
      <c r="K7963">
        <v>0</v>
      </c>
      <c r="L7963" s="2">
        <v>0</v>
      </c>
      <c r="M7963">
        <v>78.53</v>
      </c>
      <c r="N7963" t="s">
        <v>10236</v>
      </c>
    </row>
    <row r="7964" spans="1:14">
      <c r="A7964" t="s">
        <v>35</v>
      </c>
      <c r="B7964" t="s">
        <v>7948</v>
      </c>
      <c r="C7964">
        <f>"ACH"</f>
        <v>0</v>
      </c>
      <c r="D7964">
        <v>0</v>
      </c>
      <c r="E7964">
        <v>0</v>
      </c>
      <c r="F7964" s="2">
        <v>0</v>
      </c>
      <c r="H7964">
        <v>0</v>
      </c>
      <c r="I7964">
        <v>0.1741125760648204</v>
      </c>
      <c r="J7964">
        <v>0</v>
      </c>
      <c r="K7964">
        <v>0</v>
      </c>
      <c r="L7964" s="2">
        <v>0</v>
      </c>
      <c r="M7964">
        <v>78.54000000000001</v>
      </c>
      <c r="N7964" t="s">
        <v>10236</v>
      </c>
    </row>
    <row r="7965" spans="1:14">
      <c r="A7965" t="s">
        <v>35</v>
      </c>
      <c r="B7965" t="s">
        <v>7949</v>
      </c>
      <c r="C7965">
        <f>"JW2607"</f>
        <v>0</v>
      </c>
      <c r="D7965">
        <v>0</v>
      </c>
      <c r="E7965">
        <v>0</v>
      </c>
      <c r="F7965" s="2">
        <v>0</v>
      </c>
      <c r="H7965">
        <v>0</v>
      </c>
      <c r="I7965">
        <v>0.1741125760648204</v>
      </c>
      <c r="J7965">
        <v>0</v>
      </c>
      <c r="K7965">
        <v>0</v>
      </c>
      <c r="L7965" s="2">
        <v>0</v>
      </c>
      <c r="M7965">
        <v>78.55</v>
      </c>
      <c r="N7965" t="s">
        <v>10236</v>
      </c>
    </row>
    <row r="7966" spans="1:14">
      <c r="A7966" t="s">
        <v>35</v>
      </c>
      <c r="B7966" t="s">
        <v>7950</v>
      </c>
      <c r="C7966">
        <f>"SL209B"</f>
        <v>0</v>
      </c>
      <c r="D7966">
        <v>0</v>
      </c>
      <c r="E7966">
        <v>2</v>
      </c>
      <c r="F7966" s="2">
        <v>4</v>
      </c>
      <c r="H7966">
        <v>0</v>
      </c>
      <c r="I7966">
        <v>0.1741125760648204</v>
      </c>
      <c r="J7966">
        <v>0</v>
      </c>
      <c r="K7966">
        <v>0</v>
      </c>
      <c r="L7966" s="2">
        <v>0</v>
      </c>
      <c r="M7966">
        <v>78.56</v>
      </c>
      <c r="N7966" t="s">
        <v>10236</v>
      </c>
    </row>
    <row r="7967" spans="1:14">
      <c r="A7967" t="s">
        <v>35</v>
      </c>
      <c r="B7967" t="s">
        <v>7951</v>
      </c>
      <c r="C7967">
        <f>"19S"</f>
        <v>0</v>
      </c>
      <c r="D7967">
        <v>0</v>
      </c>
      <c r="E7967">
        <v>0</v>
      </c>
      <c r="F7967" s="2">
        <v>0</v>
      </c>
      <c r="H7967">
        <v>0</v>
      </c>
      <c r="I7967">
        <v>0.1741125760648204</v>
      </c>
      <c r="J7967">
        <v>0</v>
      </c>
      <c r="K7967">
        <v>0</v>
      </c>
      <c r="L7967" s="2">
        <v>0</v>
      </c>
      <c r="M7967">
        <v>78.56</v>
      </c>
      <c r="N7967" t="s">
        <v>10236</v>
      </c>
    </row>
    <row r="7968" spans="1:14">
      <c r="A7968" t="s">
        <v>35</v>
      </c>
      <c r="B7968" t="s">
        <v>7952</v>
      </c>
      <c r="C7968">
        <f>"19M"</f>
        <v>0</v>
      </c>
      <c r="D7968">
        <v>0</v>
      </c>
      <c r="E7968">
        <v>0</v>
      </c>
      <c r="F7968" s="2">
        <v>0</v>
      </c>
      <c r="H7968">
        <v>0</v>
      </c>
      <c r="I7968">
        <v>0.1741125760648204</v>
      </c>
      <c r="J7968">
        <v>0</v>
      </c>
      <c r="K7968">
        <v>0</v>
      </c>
      <c r="L7968" s="2">
        <v>0</v>
      </c>
      <c r="M7968">
        <v>78.56999999999999</v>
      </c>
      <c r="N7968" t="s">
        <v>10236</v>
      </c>
    </row>
    <row r="7969" spans="1:14">
      <c r="A7969" t="s">
        <v>35</v>
      </c>
      <c r="B7969" t="s">
        <v>7953</v>
      </c>
      <c r="C7969">
        <f>"ACD2"</f>
        <v>0</v>
      </c>
      <c r="D7969">
        <v>0</v>
      </c>
      <c r="E7969">
        <v>0</v>
      </c>
      <c r="F7969" s="2">
        <v>0</v>
      </c>
      <c r="H7969">
        <v>0</v>
      </c>
      <c r="I7969">
        <v>0.1741125760648204</v>
      </c>
      <c r="J7969">
        <v>0</v>
      </c>
      <c r="K7969">
        <v>0</v>
      </c>
      <c r="L7969" s="2">
        <v>0</v>
      </c>
      <c r="M7969">
        <v>78.58</v>
      </c>
      <c r="N7969" t="s">
        <v>10236</v>
      </c>
    </row>
    <row r="7970" spans="1:14">
      <c r="A7970" t="s">
        <v>32</v>
      </c>
      <c r="B7970" t="s">
        <v>7954</v>
      </c>
      <c r="C7970">
        <f>"1021008"</f>
        <v>0</v>
      </c>
      <c r="D7970">
        <v>0</v>
      </c>
      <c r="E7970">
        <v>0</v>
      </c>
      <c r="F7970" s="2">
        <v>0</v>
      </c>
      <c r="H7970">
        <v>0</v>
      </c>
      <c r="I7970">
        <v>0.1741125760648204</v>
      </c>
      <c r="J7970">
        <v>0</v>
      </c>
      <c r="K7970">
        <v>0</v>
      </c>
      <c r="L7970" s="2">
        <v>0</v>
      </c>
      <c r="M7970">
        <v>78.59</v>
      </c>
      <c r="N7970" t="s">
        <v>10236</v>
      </c>
    </row>
    <row r="7971" spans="1:14">
      <c r="A7971" t="s">
        <v>35</v>
      </c>
      <c r="B7971" t="s">
        <v>7955</v>
      </c>
      <c r="C7971">
        <f>"ZJ325004S"</f>
        <v>0</v>
      </c>
      <c r="D7971">
        <v>0</v>
      </c>
      <c r="E7971">
        <v>4</v>
      </c>
      <c r="F7971" s="2">
        <v>1</v>
      </c>
      <c r="H7971">
        <v>0</v>
      </c>
      <c r="I7971">
        <v>0.1741125760648204</v>
      </c>
      <c r="J7971">
        <v>0</v>
      </c>
      <c r="K7971">
        <v>0</v>
      </c>
      <c r="L7971" s="2">
        <v>0</v>
      </c>
      <c r="M7971">
        <v>78.59999999999999</v>
      </c>
      <c r="N7971" t="s">
        <v>10236</v>
      </c>
    </row>
    <row r="7972" spans="1:14">
      <c r="A7972" t="s">
        <v>35</v>
      </c>
      <c r="B7972" t="s">
        <v>7956</v>
      </c>
      <c r="C7972">
        <f>"ZJ325004M"</f>
        <v>0</v>
      </c>
      <c r="D7972">
        <v>0</v>
      </c>
      <c r="E7972">
        <v>16</v>
      </c>
      <c r="F7972" s="2">
        <v>0</v>
      </c>
      <c r="H7972">
        <v>0</v>
      </c>
      <c r="I7972">
        <v>0.1741125760648204</v>
      </c>
      <c r="J7972">
        <v>0</v>
      </c>
      <c r="K7972">
        <v>0</v>
      </c>
      <c r="L7972" s="2">
        <v>0</v>
      </c>
      <c r="M7972">
        <v>78.61</v>
      </c>
      <c r="N7972" t="s">
        <v>10236</v>
      </c>
    </row>
    <row r="7973" spans="1:14">
      <c r="A7973" t="s">
        <v>35</v>
      </c>
      <c r="B7973" t="s">
        <v>7957</v>
      </c>
      <c r="C7973">
        <f>"JW2610VE"</f>
        <v>0</v>
      </c>
      <c r="D7973">
        <v>0</v>
      </c>
      <c r="E7973">
        <v>1</v>
      </c>
      <c r="F7973" s="2">
        <v>1</v>
      </c>
      <c r="H7973">
        <v>0</v>
      </c>
      <c r="I7973">
        <v>0.1741125760648204</v>
      </c>
      <c r="J7973">
        <v>0</v>
      </c>
      <c r="K7973">
        <v>0</v>
      </c>
      <c r="L7973" s="2">
        <v>0</v>
      </c>
      <c r="M7973">
        <v>78.62</v>
      </c>
      <c r="N7973" t="s">
        <v>10236</v>
      </c>
    </row>
    <row r="7974" spans="1:14">
      <c r="A7974" t="s">
        <v>35</v>
      </c>
      <c r="B7974" t="s">
        <v>7958</v>
      </c>
      <c r="C7974">
        <f>"JW2610ROS"</f>
        <v>0</v>
      </c>
      <c r="D7974">
        <v>0</v>
      </c>
      <c r="E7974">
        <v>2</v>
      </c>
      <c r="F7974" s="2">
        <v>1</v>
      </c>
      <c r="H7974">
        <v>0</v>
      </c>
      <c r="I7974">
        <v>0.1741125760648204</v>
      </c>
      <c r="J7974">
        <v>0</v>
      </c>
      <c r="K7974">
        <v>0</v>
      </c>
      <c r="L7974" s="2">
        <v>0</v>
      </c>
      <c r="M7974">
        <v>78.63</v>
      </c>
      <c r="N7974" t="s">
        <v>10236</v>
      </c>
    </row>
    <row r="7975" spans="1:14">
      <c r="A7975" t="s">
        <v>35</v>
      </c>
      <c r="B7975" t="s">
        <v>7959</v>
      </c>
      <c r="C7975">
        <f>"JW2610MO"</f>
        <v>0</v>
      </c>
      <c r="D7975">
        <v>0</v>
      </c>
      <c r="E7975">
        <v>1</v>
      </c>
      <c r="F7975" s="2">
        <v>1</v>
      </c>
      <c r="H7975">
        <v>0</v>
      </c>
      <c r="I7975">
        <v>0.1741125760648204</v>
      </c>
      <c r="J7975">
        <v>0</v>
      </c>
      <c r="K7975">
        <v>0</v>
      </c>
      <c r="L7975" s="2">
        <v>0</v>
      </c>
      <c r="M7975">
        <v>78.64</v>
      </c>
      <c r="N7975" t="s">
        <v>10236</v>
      </c>
    </row>
    <row r="7976" spans="1:14">
      <c r="A7976" t="s">
        <v>35</v>
      </c>
      <c r="B7976" t="s">
        <v>7960</v>
      </c>
      <c r="C7976">
        <f>"JW2607CE"</f>
        <v>0</v>
      </c>
      <c r="D7976">
        <v>0</v>
      </c>
      <c r="E7976">
        <v>0</v>
      </c>
      <c r="F7976" s="2">
        <v>0</v>
      </c>
      <c r="H7976">
        <v>0</v>
      </c>
      <c r="I7976">
        <v>0.1741125760648204</v>
      </c>
      <c r="J7976">
        <v>0</v>
      </c>
      <c r="K7976">
        <v>0</v>
      </c>
      <c r="L7976" s="2">
        <v>0</v>
      </c>
      <c r="M7976">
        <v>78.65000000000001</v>
      </c>
      <c r="N7976" t="s">
        <v>10236</v>
      </c>
    </row>
    <row r="7977" spans="1:14">
      <c r="A7977" t="s">
        <v>35</v>
      </c>
      <c r="B7977" t="s">
        <v>7961</v>
      </c>
      <c r="C7977">
        <f>"JW2610"</f>
        <v>0</v>
      </c>
      <c r="D7977">
        <v>0</v>
      </c>
      <c r="E7977">
        <v>1</v>
      </c>
      <c r="F7977" s="2">
        <v>981</v>
      </c>
      <c r="H7977">
        <v>0</v>
      </c>
      <c r="I7977">
        <v>0.1741125760648204</v>
      </c>
      <c r="J7977">
        <v>0</v>
      </c>
      <c r="K7977">
        <v>0</v>
      </c>
      <c r="L7977" s="2">
        <v>0</v>
      </c>
      <c r="M7977">
        <v>78.66</v>
      </c>
      <c r="N7977" t="s">
        <v>10236</v>
      </c>
    </row>
    <row r="7978" spans="1:14">
      <c r="A7978" t="s">
        <v>35</v>
      </c>
      <c r="B7978" t="s">
        <v>7962</v>
      </c>
      <c r="C7978">
        <f>"JW50545"</f>
        <v>0</v>
      </c>
      <c r="D7978">
        <v>0</v>
      </c>
      <c r="E7978">
        <v>21</v>
      </c>
      <c r="F7978" s="2">
        <v>2</v>
      </c>
      <c r="H7978">
        <v>0</v>
      </c>
      <c r="I7978">
        <v>0.1741125760648204</v>
      </c>
      <c r="J7978">
        <v>0</v>
      </c>
      <c r="K7978">
        <v>0</v>
      </c>
      <c r="L7978" s="2">
        <v>0</v>
      </c>
      <c r="M7978">
        <v>78.67</v>
      </c>
      <c r="N7978" t="s">
        <v>10236</v>
      </c>
    </row>
    <row r="7979" spans="1:14">
      <c r="A7979" t="s">
        <v>25</v>
      </c>
      <c r="B7979" t="s">
        <v>7963</v>
      </c>
      <c r="C7979">
        <f>"NFF44"</f>
        <v>0</v>
      </c>
      <c r="D7979">
        <v>0</v>
      </c>
      <c r="E7979">
        <v>16</v>
      </c>
      <c r="F7979" s="2">
        <v>4</v>
      </c>
      <c r="H7979">
        <v>0</v>
      </c>
      <c r="I7979">
        <v>0.1741125760648204</v>
      </c>
      <c r="J7979">
        <v>0</v>
      </c>
      <c r="K7979">
        <v>0</v>
      </c>
      <c r="L7979" s="2">
        <v>0</v>
      </c>
      <c r="M7979">
        <v>78.68000000000001</v>
      </c>
      <c r="N7979" t="s">
        <v>10236</v>
      </c>
    </row>
    <row r="7980" spans="1:14">
      <c r="A7980" t="s">
        <v>35</v>
      </c>
      <c r="B7980" t="s">
        <v>7964</v>
      </c>
      <c r="C7980">
        <f>"JW2609AM"</f>
        <v>0</v>
      </c>
      <c r="D7980">
        <v>0</v>
      </c>
      <c r="E7980">
        <v>0</v>
      </c>
      <c r="F7980" s="2">
        <v>0</v>
      </c>
      <c r="H7980">
        <v>0</v>
      </c>
      <c r="I7980">
        <v>0.1741125760648204</v>
      </c>
      <c r="J7980">
        <v>0</v>
      </c>
      <c r="K7980">
        <v>0</v>
      </c>
      <c r="L7980" s="2">
        <v>0</v>
      </c>
      <c r="M7980">
        <v>78.68000000000001</v>
      </c>
      <c r="N7980" t="s">
        <v>10236</v>
      </c>
    </row>
    <row r="7981" spans="1:14">
      <c r="A7981" t="s">
        <v>35</v>
      </c>
      <c r="B7981" t="s">
        <v>7965</v>
      </c>
      <c r="C7981">
        <f>"JW2609"</f>
        <v>0</v>
      </c>
      <c r="D7981">
        <v>0</v>
      </c>
      <c r="E7981">
        <v>0</v>
      </c>
      <c r="F7981" s="2">
        <v>0</v>
      </c>
      <c r="H7981">
        <v>0</v>
      </c>
      <c r="I7981">
        <v>0.1741125760648204</v>
      </c>
      <c r="J7981">
        <v>0</v>
      </c>
      <c r="K7981">
        <v>0</v>
      </c>
      <c r="L7981" s="2">
        <v>0</v>
      </c>
      <c r="M7981">
        <v>78.69</v>
      </c>
      <c r="N7981" t="s">
        <v>10236</v>
      </c>
    </row>
    <row r="7982" spans="1:14">
      <c r="A7982" t="s">
        <v>35</v>
      </c>
      <c r="B7982" t="s">
        <v>7966</v>
      </c>
      <c r="C7982">
        <f>"JW2608VE"</f>
        <v>0</v>
      </c>
      <c r="D7982">
        <v>0</v>
      </c>
      <c r="E7982">
        <v>2</v>
      </c>
      <c r="F7982" s="2">
        <v>1</v>
      </c>
      <c r="H7982">
        <v>0</v>
      </c>
      <c r="I7982">
        <v>0.1741125760648204</v>
      </c>
      <c r="J7982">
        <v>0</v>
      </c>
      <c r="K7982">
        <v>0</v>
      </c>
      <c r="L7982" s="2">
        <v>0</v>
      </c>
      <c r="M7982">
        <v>78.7</v>
      </c>
      <c r="N7982" t="s">
        <v>10236</v>
      </c>
    </row>
    <row r="7983" spans="1:14">
      <c r="A7983" t="s">
        <v>35</v>
      </c>
      <c r="B7983" t="s">
        <v>7967</v>
      </c>
      <c r="C7983">
        <f>"JW2608ROS"</f>
        <v>0</v>
      </c>
      <c r="D7983">
        <v>0</v>
      </c>
      <c r="E7983">
        <v>1</v>
      </c>
      <c r="F7983" s="2">
        <v>810</v>
      </c>
      <c r="H7983">
        <v>0</v>
      </c>
      <c r="I7983">
        <v>0.1741125760648204</v>
      </c>
      <c r="J7983">
        <v>0</v>
      </c>
      <c r="K7983">
        <v>0</v>
      </c>
      <c r="L7983" s="2">
        <v>0</v>
      </c>
      <c r="M7983">
        <v>78.70999999999999</v>
      </c>
      <c r="N7983" t="s">
        <v>10236</v>
      </c>
    </row>
    <row r="7984" spans="1:14">
      <c r="A7984" t="s">
        <v>35</v>
      </c>
      <c r="B7984" t="s">
        <v>7968</v>
      </c>
      <c r="C7984">
        <f>"JW2608MO"</f>
        <v>0</v>
      </c>
      <c r="D7984">
        <v>0</v>
      </c>
      <c r="E7984">
        <v>2</v>
      </c>
      <c r="F7984" s="2">
        <v>1</v>
      </c>
      <c r="H7984">
        <v>0</v>
      </c>
      <c r="I7984">
        <v>0.1741125760648204</v>
      </c>
      <c r="J7984">
        <v>0</v>
      </c>
      <c r="K7984">
        <v>0</v>
      </c>
      <c r="L7984" s="2">
        <v>0</v>
      </c>
      <c r="M7984">
        <v>78.72</v>
      </c>
      <c r="N7984" t="s">
        <v>10236</v>
      </c>
    </row>
    <row r="7985" spans="1:14">
      <c r="A7985" t="s">
        <v>35</v>
      </c>
      <c r="B7985" t="s">
        <v>7969</v>
      </c>
      <c r="C7985">
        <f>"JW2608CE"</f>
        <v>0</v>
      </c>
      <c r="D7985">
        <v>0</v>
      </c>
      <c r="E7985">
        <v>3</v>
      </c>
      <c r="F7985" s="2">
        <v>1</v>
      </c>
      <c r="H7985">
        <v>0</v>
      </c>
      <c r="I7985">
        <v>0.1741125760648204</v>
      </c>
      <c r="J7985">
        <v>0</v>
      </c>
      <c r="K7985">
        <v>0</v>
      </c>
      <c r="L7985" s="2">
        <v>0</v>
      </c>
      <c r="M7985">
        <v>78.73</v>
      </c>
      <c r="N7985" t="s">
        <v>10236</v>
      </c>
    </row>
    <row r="7986" spans="1:14">
      <c r="A7986" t="s">
        <v>35</v>
      </c>
      <c r="B7986" t="s">
        <v>7970</v>
      </c>
      <c r="C7986">
        <f>"JW2608AM"</f>
        <v>0</v>
      </c>
      <c r="D7986">
        <v>0</v>
      </c>
      <c r="E7986">
        <v>3</v>
      </c>
      <c r="F7986" s="2">
        <v>1</v>
      </c>
      <c r="H7986">
        <v>0</v>
      </c>
      <c r="I7986">
        <v>0.1741125760648204</v>
      </c>
      <c r="J7986">
        <v>0</v>
      </c>
      <c r="K7986">
        <v>0</v>
      </c>
      <c r="L7986" s="2">
        <v>0</v>
      </c>
      <c r="M7986">
        <v>78.73999999999999</v>
      </c>
      <c r="N7986" t="s">
        <v>10236</v>
      </c>
    </row>
    <row r="7987" spans="1:14">
      <c r="A7987" t="s">
        <v>35</v>
      </c>
      <c r="B7987" t="s">
        <v>7971</v>
      </c>
      <c r="C7987">
        <f>"JW2608"</f>
        <v>0</v>
      </c>
      <c r="D7987">
        <v>0</v>
      </c>
      <c r="E7987">
        <v>3</v>
      </c>
      <c r="F7987" s="2">
        <v>1</v>
      </c>
      <c r="H7987">
        <v>0</v>
      </c>
      <c r="I7987">
        <v>0.1741125760648204</v>
      </c>
      <c r="J7987">
        <v>0</v>
      </c>
      <c r="K7987">
        <v>0</v>
      </c>
      <c r="L7987" s="2">
        <v>0</v>
      </c>
      <c r="M7987">
        <v>78.75</v>
      </c>
      <c r="N7987" t="s">
        <v>10236</v>
      </c>
    </row>
    <row r="7988" spans="1:14">
      <c r="A7988" t="s">
        <v>35</v>
      </c>
      <c r="B7988" t="s">
        <v>7972</v>
      </c>
      <c r="C7988">
        <f>"JW50542"</f>
        <v>0</v>
      </c>
      <c r="D7988">
        <v>0</v>
      </c>
      <c r="E7988">
        <v>35</v>
      </c>
      <c r="F7988" s="2">
        <v>1</v>
      </c>
      <c r="H7988">
        <v>0</v>
      </c>
      <c r="I7988">
        <v>0.1741125760648204</v>
      </c>
      <c r="J7988">
        <v>0</v>
      </c>
      <c r="K7988">
        <v>0</v>
      </c>
      <c r="L7988" s="2">
        <v>0</v>
      </c>
      <c r="M7988">
        <v>78.76000000000001</v>
      </c>
      <c r="N7988" t="s">
        <v>10236</v>
      </c>
    </row>
    <row r="7989" spans="1:14">
      <c r="A7989" t="s">
        <v>35</v>
      </c>
      <c r="B7989" t="s">
        <v>7973</v>
      </c>
      <c r="C7989">
        <f>"JW2607VE"</f>
        <v>0</v>
      </c>
      <c r="D7989">
        <v>0</v>
      </c>
      <c r="E7989">
        <v>0</v>
      </c>
      <c r="F7989" s="2">
        <v>0</v>
      </c>
      <c r="H7989">
        <v>0</v>
      </c>
      <c r="I7989">
        <v>0.1741125760648204</v>
      </c>
      <c r="J7989">
        <v>0</v>
      </c>
      <c r="K7989">
        <v>0</v>
      </c>
      <c r="L7989" s="2">
        <v>0</v>
      </c>
      <c r="M7989">
        <v>78.77</v>
      </c>
      <c r="N7989" t="s">
        <v>10236</v>
      </c>
    </row>
    <row r="7990" spans="1:14">
      <c r="A7990" t="s">
        <v>35</v>
      </c>
      <c r="B7990" t="s">
        <v>7974</v>
      </c>
      <c r="C7990">
        <f>"JW2607ROS"</f>
        <v>0</v>
      </c>
      <c r="D7990">
        <v>0</v>
      </c>
      <c r="E7990">
        <v>0</v>
      </c>
      <c r="F7990" s="2">
        <v>0</v>
      </c>
      <c r="H7990">
        <v>0</v>
      </c>
      <c r="I7990">
        <v>0.1741125760648204</v>
      </c>
      <c r="J7990">
        <v>0</v>
      </c>
      <c r="K7990">
        <v>0</v>
      </c>
      <c r="L7990" s="2">
        <v>0</v>
      </c>
      <c r="M7990">
        <v>78.78</v>
      </c>
      <c r="N7990" t="s">
        <v>10236</v>
      </c>
    </row>
    <row r="7991" spans="1:14">
      <c r="A7991" t="s">
        <v>35</v>
      </c>
      <c r="B7991" t="s">
        <v>7975</v>
      </c>
      <c r="C7991">
        <f>"JW2607MO"</f>
        <v>0</v>
      </c>
      <c r="D7991">
        <v>0</v>
      </c>
      <c r="E7991">
        <v>0</v>
      </c>
      <c r="F7991" s="2">
        <v>0</v>
      </c>
      <c r="H7991">
        <v>0</v>
      </c>
      <c r="I7991">
        <v>0.1741125760648204</v>
      </c>
      <c r="J7991">
        <v>0</v>
      </c>
      <c r="K7991">
        <v>0</v>
      </c>
      <c r="L7991" s="2">
        <v>0</v>
      </c>
      <c r="M7991">
        <v>78.79000000000001</v>
      </c>
      <c r="N7991" t="s">
        <v>10236</v>
      </c>
    </row>
    <row r="7992" spans="1:14">
      <c r="A7992" t="s">
        <v>35</v>
      </c>
      <c r="B7992" t="s">
        <v>7976</v>
      </c>
      <c r="C7992">
        <f>"JW2610AM"</f>
        <v>0</v>
      </c>
      <c r="D7992">
        <v>0</v>
      </c>
      <c r="E7992">
        <v>0</v>
      </c>
      <c r="F7992" s="2">
        <v>0</v>
      </c>
      <c r="H7992">
        <v>0</v>
      </c>
      <c r="I7992">
        <v>0.1741125760648204</v>
      </c>
      <c r="J7992">
        <v>0</v>
      </c>
      <c r="K7992">
        <v>0</v>
      </c>
      <c r="L7992" s="2">
        <v>0</v>
      </c>
      <c r="M7992">
        <v>78.79000000000001</v>
      </c>
      <c r="N7992" t="s">
        <v>10236</v>
      </c>
    </row>
    <row r="7993" spans="1:14">
      <c r="A7993" t="s">
        <v>35</v>
      </c>
      <c r="B7993" t="s">
        <v>7977</v>
      </c>
      <c r="C7993">
        <f>"FEP100RC"</f>
        <v>0</v>
      </c>
      <c r="D7993">
        <v>0</v>
      </c>
      <c r="E7993">
        <v>0</v>
      </c>
      <c r="F7993" s="2">
        <v>0</v>
      </c>
      <c r="H7993">
        <v>0</v>
      </c>
      <c r="I7993">
        <v>0.1741125760648204</v>
      </c>
      <c r="J7993">
        <v>0</v>
      </c>
      <c r="K7993">
        <v>0</v>
      </c>
      <c r="L7993" s="2">
        <v>0</v>
      </c>
      <c r="M7993">
        <v>78.8</v>
      </c>
      <c r="N7993" t="s">
        <v>10236</v>
      </c>
    </row>
    <row r="7994" spans="1:14">
      <c r="A7994" t="s">
        <v>35</v>
      </c>
      <c r="B7994" t="s">
        <v>7978</v>
      </c>
      <c r="C7994">
        <f>"FEP100RA"</f>
        <v>0</v>
      </c>
      <c r="D7994">
        <v>0</v>
      </c>
      <c r="E7994">
        <v>0</v>
      </c>
      <c r="F7994" s="2">
        <v>0</v>
      </c>
      <c r="H7994">
        <v>0</v>
      </c>
      <c r="I7994">
        <v>0.1741125760648204</v>
      </c>
      <c r="J7994">
        <v>0</v>
      </c>
      <c r="K7994">
        <v>0</v>
      </c>
      <c r="L7994" s="2">
        <v>0</v>
      </c>
      <c r="M7994">
        <v>78.81</v>
      </c>
      <c r="N7994" t="s">
        <v>10236</v>
      </c>
    </row>
    <row r="7995" spans="1:14">
      <c r="A7995" t="s">
        <v>35</v>
      </c>
      <c r="B7995" t="s">
        <v>7979</v>
      </c>
      <c r="C7995">
        <f>"FEP100P"</f>
        <v>0</v>
      </c>
      <c r="D7995">
        <v>0</v>
      </c>
      <c r="E7995">
        <v>0</v>
      </c>
      <c r="F7995" s="2">
        <v>0</v>
      </c>
      <c r="H7995">
        <v>0</v>
      </c>
      <c r="I7995">
        <v>0.1741125760648204</v>
      </c>
      <c r="J7995">
        <v>0</v>
      </c>
      <c r="K7995">
        <v>0</v>
      </c>
      <c r="L7995" s="2">
        <v>0</v>
      </c>
      <c r="M7995">
        <v>78.81999999999999</v>
      </c>
      <c r="N7995" t="s">
        <v>10236</v>
      </c>
    </row>
    <row r="7996" spans="1:14">
      <c r="A7996" t="s">
        <v>35</v>
      </c>
      <c r="B7996" t="s">
        <v>7980</v>
      </c>
      <c r="C7996">
        <f>"FEP100GO"</f>
        <v>0</v>
      </c>
      <c r="D7996">
        <v>0</v>
      </c>
      <c r="E7996">
        <v>0</v>
      </c>
      <c r="F7996" s="2">
        <v>0</v>
      </c>
      <c r="H7996">
        <v>0</v>
      </c>
      <c r="I7996">
        <v>0.1741125760648204</v>
      </c>
      <c r="J7996">
        <v>0</v>
      </c>
      <c r="K7996">
        <v>0</v>
      </c>
      <c r="L7996" s="2">
        <v>0</v>
      </c>
      <c r="M7996">
        <v>78.83</v>
      </c>
      <c r="N7996" t="s">
        <v>10236</v>
      </c>
    </row>
    <row r="7997" spans="1:14">
      <c r="A7997" t="s">
        <v>35</v>
      </c>
      <c r="B7997" t="s">
        <v>7981</v>
      </c>
      <c r="C7997">
        <f>"FEP100GC"</f>
        <v>0</v>
      </c>
      <c r="D7997">
        <v>0</v>
      </c>
      <c r="E7997">
        <v>0</v>
      </c>
      <c r="F7997" s="2">
        <v>0</v>
      </c>
      <c r="H7997">
        <v>0</v>
      </c>
      <c r="I7997">
        <v>0.1741125760648204</v>
      </c>
      <c r="J7997">
        <v>0</v>
      </c>
      <c r="K7997">
        <v>0</v>
      </c>
      <c r="L7997" s="2">
        <v>0</v>
      </c>
      <c r="M7997">
        <v>78.84</v>
      </c>
      <c r="N7997" t="s">
        <v>10236</v>
      </c>
    </row>
    <row r="7998" spans="1:14">
      <c r="A7998" t="s">
        <v>35</v>
      </c>
      <c r="B7998" t="s">
        <v>7982</v>
      </c>
      <c r="C7998">
        <f>"FEP100C"</f>
        <v>0</v>
      </c>
      <c r="D7998">
        <v>0</v>
      </c>
      <c r="E7998">
        <v>0</v>
      </c>
      <c r="F7998" s="2">
        <v>0</v>
      </c>
      <c r="H7998">
        <v>0</v>
      </c>
      <c r="I7998">
        <v>0.1741125760648204</v>
      </c>
      <c r="J7998">
        <v>0</v>
      </c>
      <c r="K7998">
        <v>0</v>
      </c>
      <c r="L7998" s="2">
        <v>0</v>
      </c>
      <c r="M7998">
        <v>78.84999999999999</v>
      </c>
      <c r="N7998" t="s">
        <v>10236</v>
      </c>
    </row>
    <row r="7999" spans="1:14">
      <c r="A7999" t="s">
        <v>35</v>
      </c>
      <c r="B7999" t="s">
        <v>7983</v>
      </c>
      <c r="C7999">
        <f>"FEP100AD"</f>
        <v>0</v>
      </c>
      <c r="D7999">
        <v>0</v>
      </c>
      <c r="E7999">
        <v>0</v>
      </c>
      <c r="F7999" s="2">
        <v>0</v>
      </c>
      <c r="H7999">
        <v>0</v>
      </c>
      <c r="I7999">
        <v>0.1741125760648204</v>
      </c>
      <c r="J7999">
        <v>0</v>
      </c>
      <c r="K7999">
        <v>0</v>
      </c>
      <c r="L7999" s="2">
        <v>0</v>
      </c>
      <c r="M7999">
        <v>78.86</v>
      </c>
      <c r="N7999" t="s">
        <v>10236</v>
      </c>
    </row>
    <row r="8000" spans="1:14">
      <c r="A8000" t="s">
        <v>35</v>
      </c>
      <c r="B8000" t="s">
        <v>7984</v>
      </c>
      <c r="C8000">
        <f>"FEP80VI"</f>
        <v>0</v>
      </c>
      <c r="D8000">
        <v>0</v>
      </c>
      <c r="E8000">
        <v>3</v>
      </c>
      <c r="F8000" s="2">
        <v>14</v>
      </c>
      <c r="H8000">
        <v>0</v>
      </c>
      <c r="I8000">
        <v>0.1741125760648204</v>
      </c>
      <c r="J8000">
        <v>0</v>
      </c>
      <c r="K8000">
        <v>0</v>
      </c>
      <c r="L8000" s="2">
        <v>0</v>
      </c>
      <c r="M8000">
        <v>78.87</v>
      </c>
      <c r="N8000" t="s">
        <v>10236</v>
      </c>
    </row>
    <row r="8001" spans="1:14">
      <c r="A8001" t="s">
        <v>35</v>
      </c>
      <c r="B8001" t="s">
        <v>7985</v>
      </c>
      <c r="C8001">
        <f>"FEP80VO"</f>
        <v>0</v>
      </c>
      <c r="D8001">
        <v>0</v>
      </c>
      <c r="E8001">
        <v>0</v>
      </c>
      <c r="F8001" s="2">
        <v>0</v>
      </c>
      <c r="H8001">
        <v>0</v>
      </c>
      <c r="I8001">
        <v>0.1741125760648204</v>
      </c>
      <c r="J8001">
        <v>0</v>
      </c>
      <c r="K8001">
        <v>0</v>
      </c>
      <c r="L8001" s="2">
        <v>0</v>
      </c>
      <c r="M8001">
        <v>78.88</v>
      </c>
      <c r="N8001" t="s">
        <v>10236</v>
      </c>
    </row>
    <row r="8002" spans="1:14">
      <c r="A8002" t="s">
        <v>35</v>
      </c>
      <c r="B8002" t="s">
        <v>7986</v>
      </c>
      <c r="C8002">
        <f>"FEP80V"</f>
        <v>0</v>
      </c>
      <c r="D8002">
        <v>0</v>
      </c>
      <c r="E8002">
        <v>4</v>
      </c>
      <c r="F8002" s="2">
        <v>14</v>
      </c>
      <c r="H8002">
        <v>0</v>
      </c>
      <c r="I8002">
        <v>0.1741125760648204</v>
      </c>
      <c r="J8002">
        <v>0</v>
      </c>
      <c r="K8002">
        <v>0</v>
      </c>
      <c r="L8002" s="2">
        <v>0</v>
      </c>
      <c r="M8002">
        <v>78.89</v>
      </c>
      <c r="N8002" t="s">
        <v>10236</v>
      </c>
    </row>
    <row r="8003" spans="1:14">
      <c r="A8003" t="s">
        <v>35</v>
      </c>
      <c r="B8003" t="s">
        <v>7987</v>
      </c>
      <c r="C8003">
        <f>"FEP80P"</f>
        <v>0</v>
      </c>
      <c r="D8003">
        <v>0</v>
      </c>
      <c r="E8003">
        <v>2</v>
      </c>
      <c r="F8003" s="2">
        <v>14</v>
      </c>
      <c r="H8003">
        <v>0</v>
      </c>
      <c r="I8003">
        <v>0.1741125760648204</v>
      </c>
      <c r="J8003">
        <v>0</v>
      </c>
      <c r="K8003">
        <v>0</v>
      </c>
      <c r="L8003" s="2">
        <v>0</v>
      </c>
      <c r="M8003">
        <v>78.90000000000001</v>
      </c>
      <c r="N8003" t="s">
        <v>10236</v>
      </c>
    </row>
    <row r="8004" spans="1:14">
      <c r="A8004" t="s">
        <v>35</v>
      </c>
      <c r="B8004" t="s">
        <v>7988</v>
      </c>
      <c r="C8004">
        <f>"FEP70V"</f>
        <v>0</v>
      </c>
      <c r="D8004">
        <v>0</v>
      </c>
      <c r="E8004">
        <v>7</v>
      </c>
      <c r="F8004" s="2">
        <v>9</v>
      </c>
      <c r="H8004">
        <v>0</v>
      </c>
      <c r="I8004">
        <v>0.1741125760648204</v>
      </c>
      <c r="J8004">
        <v>0</v>
      </c>
      <c r="K8004">
        <v>0</v>
      </c>
      <c r="L8004" s="2">
        <v>0</v>
      </c>
      <c r="M8004">
        <v>78.91</v>
      </c>
      <c r="N8004" t="s">
        <v>10236</v>
      </c>
    </row>
    <row r="8005" spans="1:14">
      <c r="A8005" t="s">
        <v>35</v>
      </c>
      <c r="B8005" t="s">
        <v>7989</v>
      </c>
      <c r="C8005">
        <f>"FEP80C"</f>
        <v>0</v>
      </c>
      <c r="D8005">
        <v>0</v>
      </c>
      <c r="E8005">
        <v>0</v>
      </c>
      <c r="F8005" s="2">
        <v>0</v>
      </c>
      <c r="H8005">
        <v>0</v>
      </c>
      <c r="I8005">
        <v>0.1741125760648204</v>
      </c>
      <c r="J8005">
        <v>0</v>
      </c>
      <c r="K8005">
        <v>0</v>
      </c>
      <c r="L8005" s="2">
        <v>0</v>
      </c>
      <c r="M8005">
        <v>78.91</v>
      </c>
      <c r="N8005" t="s">
        <v>10236</v>
      </c>
    </row>
    <row r="8006" spans="1:14">
      <c r="A8006" t="s">
        <v>35</v>
      </c>
      <c r="B8006" t="s">
        <v>7990</v>
      </c>
      <c r="C8006">
        <f>"FEP80B"</f>
        <v>0</v>
      </c>
      <c r="D8006">
        <v>0</v>
      </c>
      <c r="E8006">
        <v>7</v>
      </c>
      <c r="F8006" s="2">
        <v>15</v>
      </c>
      <c r="H8006">
        <v>0</v>
      </c>
      <c r="I8006">
        <v>0.1741125760648204</v>
      </c>
      <c r="J8006">
        <v>0</v>
      </c>
      <c r="K8006">
        <v>0</v>
      </c>
      <c r="L8006" s="2">
        <v>0</v>
      </c>
      <c r="M8006">
        <v>78.92</v>
      </c>
      <c r="N8006" t="s">
        <v>10236</v>
      </c>
    </row>
    <row r="8007" spans="1:14">
      <c r="A8007" t="s">
        <v>35</v>
      </c>
      <c r="B8007" t="s">
        <v>6530</v>
      </c>
      <c r="C8007">
        <f>"HP152LCR"</f>
        <v>0</v>
      </c>
      <c r="D8007">
        <v>0</v>
      </c>
      <c r="E8007">
        <v>2</v>
      </c>
      <c r="F8007" s="2">
        <v>0</v>
      </c>
      <c r="H8007">
        <v>0</v>
      </c>
      <c r="I8007">
        <v>0.1741125760648204</v>
      </c>
      <c r="J8007">
        <v>0</v>
      </c>
      <c r="K8007">
        <v>0</v>
      </c>
      <c r="L8007" s="2">
        <v>0</v>
      </c>
      <c r="M8007">
        <v>78.93000000000001</v>
      </c>
      <c r="N8007" t="s">
        <v>10236</v>
      </c>
    </row>
    <row r="8008" spans="1:14">
      <c r="A8008" t="s">
        <v>35</v>
      </c>
      <c r="B8008" t="s">
        <v>7991</v>
      </c>
      <c r="C8008">
        <f>"FEP50VI"</f>
        <v>0</v>
      </c>
      <c r="D8008">
        <v>0</v>
      </c>
      <c r="E8008">
        <v>0</v>
      </c>
      <c r="F8008" s="2">
        <v>0</v>
      </c>
      <c r="H8008">
        <v>0</v>
      </c>
      <c r="I8008">
        <v>0.1741125760648204</v>
      </c>
      <c r="J8008">
        <v>0</v>
      </c>
      <c r="K8008">
        <v>0</v>
      </c>
      <c r="L8008" s="2">
        <v>0</v>
      </c>
      <c r="M8008">
        <v>78.94</v>
      </c>
      <c r="N8008" t="s">
        <v>10236</v>
      </c>
    </row>
    <row r="8009" spans="1:14">
      <c r="A8009" t="s">
        <v>35</v>
      </c>
      <c r="B8009" t="s">
        <v>7992</v>
      </c>
      <c r="C8009">
        <f>"FEP50VIN"</f>
        <v>0</v>
      </c>
      <c r="D8009">
        <v>0</v>
      </c>
      <c r="E8009">
        <v>0</v>
      </c>
      <c r="F8009" s="2">
        <v>0</v>
      </c>
      <c r="H8009">
        <v>0</v>
      </c>
      <c r="I8009">
        <v>0.1741125760648204</v>
      </c>
      <c r="J8009">
        <v>0</v>
      </c>
      <c r="K8009">
        <v>0</v>
      </c>
      <c r="L8009" s="2">
        <v>0</v>
      </c>
      <c r="M8009">
        <v>78.95</v>
      </c>
      <c r="N8009" t="s">
        <v>10236</v>
      </c>
    </row>
    <row r="8010" spans="1:14">
      <c r="A8010" t="s">
        <v>35</v>
      </c>
      <c r="B8010" t="s">
        <v>7993</v>
      </c>
      <c r="C8010">
        <f>"FEP50VO"</f>
        <v>0</v>
      </c>
      <c r="D8010">
        <v>0</v>
      </c>
      <c r="E8010">
        <v>0</v>
      </c>
      <c r="F8010" s="2">
        <v>0</v>
      </c>
      <c r="H8010">
        <v>0</v>
      </c>
      <c r="I8010">
        <v>0.1741125760648204</v>
      </c>
      <c r="J8010">
        <v>0</v>
      </c>
      <c r="K8010">
        <v>0</v>
      </c>
      <c r="L8010" s="2">
        <v>0</v>
      </c>
      <c r="M8010">
        <v>78.95999999999999</v>
      </c>
      <c r="N8010" t="s">
        <v>10236</v>
      </c>
    </row>
    <row r="8011" spans="1:14">
      <c r="A8011" t="s">
        <v>35</v>
      </c>
      <c r="B8011" t="s">
        <v>7994</v>
      </c>
      <c r="C8011">
        <f>"FEP50RC"</f>
        <v>0</v>
      </c>
      <c r="D8011">
        <v>0</v>
      </c>
      <c r="E8011">
        <v>0</v>
      </c>
      <c r="F8011" s="2">
        <v>0</v>
      </c>
      <c r="H8011">
        <v>0</v>
      </c>
      <c r="I8011">
        <v>0.1741125760648204</v>
      </c>
      <c r="J8011">
        <v>0</v>
      </c>
      <c r="K8011">
        <v>0</v>
      </c>
      <c r="L8011" s="2">
        <v>0</v>
      </c>
      <c r="M8011">
        <v>78.97</v>
      </c>
      <c r="N8011" t="s">
        <v>10236</v>
      </c>
    </row>
    <row r="8012" spans="1:14">
      <c r="A8012" t="s">
        <v>35</v>
      </c>
      <c r="B8012" t="s">
        <v>7995</v>
      </c>
      <c r="C8012">
        <f>"FEP50RA"</f>
        <v>0</v>
      </c>
      <c r="D8012">
        <v>0</v>
      </c>
      <c r="E8012">
        <v>0</v>
      </c>
      <c r="F8012" s="2">
        <v>0</v>
      </c>
      <c r="H8012">
        <v>0</v>
      </c>
      <c r="I8012">
        <v>0.1741125760648204</v>
      </c>
      <c r="J8012">
        <v>0</v>
      </c>
      <c r="K8012">
        <v>0</v>
      </c>
      <c r="L8012" s="2">
        <v>0</v>
      </c>
      <c r="M8012">
        <v>78.98</v>
      </c>
      <c r="N8012" t="s">
        <v>10236</v>
      </c>
    </row>
    <row r="8013" spans="1:14">
      <c r="A8013" t="s">
        <v>35</v>
      </c>
      <c r="B8013" t="s">
        <v>7996</v>
      </c>
      <c r="C8013">
        <f>"FEP50P"</f>
        <v>0</v>
      </c>
      <c r="D8013">
        <v>0</v>
      </c>
      <c r="E8013">
        <v>0</v>
      </c>
      <c r="F8013" s="2">
        <v>0</v>
      </c>
      <c r="H8013">
        <v>0</v>
      </c>
      <c r="I8013">
        <v>0.1741125760648204</v>
      </c>
      <c r="J8013">
        <v>0</v>
      </c>
      <c r="K8013">
        <v>0</v>
      </c>
      <c r="L8013" s="2">
        <v>0</v>
      </c>
      <c r="M8013">
        <v>78.98999999999999</v>
      </c>
      <c r="N8013" t="s">
        <v>10236</v>
      </c>
    </row>
    <row r="8014" spans="1:14">
      <c r="A8014" t="s">
        <v>35</v>
      </c>
      <c r="B8014" t="s">
        <v>7997</v>
      </c>
      <c r="C8014">
        <f>"FEP40RC"</f>
        <v>0</v>
      </c>
      <c r="D8014">
        <v>0</v>
      </c>
      <c r="E8014">
        <v>2</v>
      </c>
      <c r="F8014" s="2">
        <v>4</v>
      </c>
      <c r="H8014">
        <v>0</v>
      </c>
      <c r="I8014">
        <v>0.1741125760648204</v>
      </c>
      <c r="J8014">
        <v>0</v>
      </c>
      <c r="K8014">
        <v>0</v>
      </c>
      <c r="L8014" s="2">
        <v>0</v>
      </c>
      <c r="M8014">
        <v>79</v>
      </c>
      <c r="N8014" t="s">
        <v>10236</v>
      </c>
    </row>
    <row r="8015" spans="1:14">
      <c r="A8015" t="s">
        <v>35</v>
      </c>
      <c r="B8015" t="s">
        <v>7998</v>
      </c>
      <c r="C8015">
        <f>"FEP40P"</f>
        <v>0</v>
      </c>
      <c r="D8015">
        <v>0</v>
      </c>
      <c r="E8015">
        <v>0</v>
      </c>
      <c r="F8015" s="2">
        <v>0</v>
      </c>
      <c r="H8015">
        <v>0</v>
      </c>
      <c r="I8015">
        <v>0.1741125760648204</v>
      </c>
      <c r="J8015">
        <v>0</v>
      </c>
      <c r="K8015">
        <v>0</v>
      </c>
      <c r="L8015" s="2">
        <v>0</v>
      </c>
      <c r="M8015">
        <v>79.01000000000001</v>
      </c>
      <c r="N8015" t="s">
        <v>10236</v>
      </c>
    </row>
    <row r="8016" spans="1:14">
      <c r="A8016" t="s">
        <v>35</v>
      </c>
      <c r="B8016" t="s">
        <v>7999</v>
      </c>
      <c r="C8016">
        <f>"FEP60VI"</f>
        <v>0</v>
      </c>
      <c r="D8016">
        <v>0</v>
      </c>
      <c r="E8016">
        <v>0</v>
      </c>
      <c r="F8016" s="2">
        <v>0</v>
      </c>
      <c r="H8016">
        <v>0</v>
      </c>
      <c r="I8016">
        <v>0.1741125760648204</v>
      </c>
      <c r="J8016">
        <v>0</v>
      </c>
      <c r="K8016">
        <v>0</v>
      </c>
      <c r="L8016" s="2">
        <v>0</v>
      </c>
      <c r="M8016">
        <v>79.02</v>
      </c>
      <c r="N8016" t="s">
        <v>10236</v>
      </c>
    </row>
    <row r="8017" spans="1:14">
      <c r="A8017" t="s">
        <v>35</v>
      </c>
      <c r="B8017" t="s">
        <v>8000</v>
      </c>
      <c r="C8017">
        <f>"FEP60VIN"</f>
        <v>0</v>
      </c>
      <c r="D8017">
        <v>0</v>
      </c>
      <c r="E8017">
        <v>0</v>
      </c>
      <c r="F8017" s="2">
        <v>0</v>
      </c>
      <c r="H8017">
        <v>0</v>
      </c>
      <c r="I8017">
        <v>0.1741125760648204</v>
      </c>
      <c r="J8017">
        <v>0</v>
      </c>
      <c r="K8017">
        <v>0</v>
      </c>
      <c r="L8017" s="2">
        <v>0</v>
      </c>
      <c r="M8017">
        <v>79.03</v>
      </c>
      <c r="N8017" t="s">
        <v>10236</v>
      </c>
    </row>
    <row r="8018" spans="1:14">
      <c r="A8018" t="s">
        <v>35</v>
      </c>
      <c r="B8018" t="s">
        <v>8001</v>
      </c>
      <c r="C8018">
        <f>"FEP60V"</f>
        <v>0</v>
      </c>
      <c r="D8018">
        <v>0</v>
      </c>
      <c r="E8018">
        <v>0</v>
      </c>
      <c r="F8018" s="2">
        <v>0</v>
      </c>
      <c r="H8018">
        <v>0</v>
      </c>
      <c r="I8018">
        <v>0.1741125760648204</v>
      </c>
      <c r="J8018">
        <v>0</v>
      </c>
      <c r="K8018">
        <v>0</v>
      </c>
      <c r="L8018" s="2">
        <v>0</v>
      </c>
      <c r="M8018">
        <v>79.03</v>
      </c>
      <c r="N8018" t="s">
        <v>10236</v>
      </c>
    </row>
    <row r="8019" spans="1:14">
      <c r="A8019" t="s">
        <v>35</v>
      </c>
      <c r="B8019" t="s">
        <v>8002</v>
      </c>
      <c r="C8019">
        <f>"FEP60RO"</f>
        <v>0</v>
      </c>
      <c r="D8019">
        <v>0</v>
      </c>
      <c r="E8019">
        <v>0</v>
      </c>
      <c r="F8019" s="2">
        <v>0</v>
      </c>
      <c r="H8019">
        <v>0</v>
      </c>
      <c r="I8019">
        <v>0.1741125760648204</v>
      </c>
      <c r="J8019">
        <v>0</v>
      </c>
      <c r="K8019">
        <v>0</v>
      </c>
      <c r="L8019" s="2">
        <v>0</v>
      </c>
      <c r="M8019">
        <v>79.04000000000001</v>
      </c>
      <c r="N8019" t="s">
        <v>10236</v>
      </c>
    </row>
    <row r="8020" spans="1:14">
      <c r="A8020" t="s">
        <v>35</v>
      </c>
      <c r="B8020" t="s">
        <v>8003</v>
      </c>
      <c r="C8020">
        <f>"FEP60GO"</f>
        <v>0</v>
      </c>
      <c r="D8020">
        <v>0</v>
      </c>
      <c r="E8020">
        <v>0</v>
      </c>
      <c r="F8020" s="2">
        <v>0</v>
      </c>
      <c r="H8020">
        <v>0</v>
      </c>
      <c r="I8020">
        <v>0.1741125760648204</v>
      </c>
      <c r="J8020">
        <v>0</v>
      </c>
      <c r="K8020">
        <v>0</v>
      </c>
      <c r="L8020" s="2">
        <v>0</v>
      </c>
      <c r="M8020">
        <v>79.05</v>
      </c>
      <c r="N8020" t="s">
        <v>10236</v>
      </c>
    </row>
    <row r="8021" spans="1:14">
      <c r="A8021" t="s">
        <v>35</v>
      </c>
      <c r="B8021" t="s">
        <v>8004</v>
      </c>
      <c r="C8021">
        <f>"FEP60C"</f>
        <v>0</v>
      </c>
      <c r="D8021">
        <v>0</v>
      </c>
      <c r="E8021">
        <v>0</v>
      </c>
      <c r="F8021" s="2">
        <v>0</v>
      </c>
      <c r="H8021">
        <v>0</v>
      </c>
      <c r="I8021">
        <v>0.1741125760648204</v>
      </c>
      <c r="J8021">
        <v>0</v>
      </c>
      <c r="K8021">
        <v>0</v>
      </c>
      <c r="L8021" s="2">
        <v>0</v>
      </c>
      <c r="M8021">
        <v>79.06</v>
      </c>
      <c r="N8021" t="s">
        <v>10236</v>
      </c>
    </row>
    <row r="8022" spans="1:14">
      <c r="A8022" t="s">
        <v>35</v>
      </c>
      <c r="B8022" t="s">
        <v>8005</v>
      </c>
      <c r="C8022">
        <f>"FEP60B"</f>
        <v>0</v>
      </c>
      <c r="D8022">
        <v>0</v>
      </c>
      <c r="E8022">
        <v>0</v>
      </c>
      <c r="F8022" s="2">
        <v>0</v>
      </c>
      <c r="H8022">
        <v>0</v>
      </c>
      <c r="I8022">
        <v>0.1741125760648204</v>
      </c>
      <c r="J8022">
        <v>0</v>
      </c>
      <c r="K8022">
        <v>0</v>
      </c>
      <c r="L8022" s="2">
        <v>0</v>
      </c>
      <c r="M8022">
        <v>79.06999999999999</v>
      </c>
      <c r="N8022" t="s">
        <v>10236</v>
      </c>
    </row>
    <row r="8023" spans="1:14">
      <c r="A8023" t="s">
        <v>35</v>
      </c>
      <c r="B8023" t="s">
        <v>8006</v>
      </c>
      <c r="C8023">
        <f>"FEP80AD"</f>
        <v>0</v>
      </c>
      <c r="D8023">
        <v>0</v>
      </c>
      <c r="E8023">
        <v>0</v>
      </c>
      <c r="F8023" s="2">
        <v>0</v>
      </c>
      <c r="H8023">
        <v>0</v>
      </c>
      <c r="I8023">
        <v>0.1741125760648204</v>
      </c>
      <c r="J8023">
        <v>0</v>
      </c>
      <c r="K8023">
        <v>0</v>
      </c>
      <c r="L8023" s="2">
        <v>0</v>
      </c>
      <c r="M8023">
        <v>79.08</v>
      </c>
      <c r="N8023" t="s">
        <v>10236</v>
      </c>
    </row>
    <row r="8024" spans="1:14">
      <c r="A8024" t="s">
        <v>35</v>
      </c>
      <c r="B8024" t="s">
        <v>6530</v>
      </c>
      <c r="C8024">
        <f>"HP152LCC"</f>
        <v>0</v>
      </c>
      <c r="D8024">
        <v>0</v>
      </c>
      <c r="E8024">
        <v>0</v>
      </c>
      <c r="F8024" s="2">
        <v>0</v>
      </c>
      <c r="H8024">
        <v>0</v>
      </c>
      <c r="I8024">
        <v>0.1741125760648204</v>
      </c>
      <c r="J8024">
        <v>0</v>
      </c>
      <c r="K8024">
        <v>0</v>
      </c>
      <c r="L8024" s="2">
        <v>0</v>
      </c>
      <c r="M8024">
        <v>79.09</v>
      </c>
      <c r="N8024" t="s">
        <v>10236</v>
      </c>
    </row>
    <row r="8025" spans="1:14">
      <c r="A8025" t="s">
        <v>35</v>
      </c>
      <c r="B8025" t="s">
        <v>6530</v>
      </c>
      <c r="C8025">
        <f>"HP152LCA"</f>
        <v>0</v>
      </c>
      <c r="D8025">
        <v>0</v>
      </c>
      <c r="E8025">
        <v>1</v>
      </c>
      <c r="F8025" s="2">
        <v>0</v>
      </c>
      <c r="H8025">
        <v>0</v>
      </c>
      <c r="I8025">
        <v>0.1741125760648204</v>
      </c>
      <c r="J8025">
        <v>0</v>
      </c>
      <c r="K8025">
        <v>0</v>
      </c>
      <c r="L8025" s="2">
        <v>0</v>
      </c>
      <c r="M8025">
        <v>79.09999999999999</v>
      </c>
      <c r="N8025" t="s">
        <v>10236</v>
      </c>
    </row>
    <row r="8026" spans="1:14">
      <c r="A8026" t="s">
        <v>35</v>
      </c>
      <c r="B8026" t="s">
        <v>6530</v>
      </c>
      <c r="C8026">
        <f>"HP152LC"</f>
        <v>0</v>
      </c>
      <c r="D8026">
        <v>0</v>
      </c>
      <c r="E8026">
        <v>1</v>
      </c>
      <c r="F8026" s="2">
        <v>0</v>
      </c>
      <c r="H8026">
        <v>0</v>
      </c>
      <c r="I8026">
        <v>0.1741125760648204</v>
      </c>
      <c r="J8026">
        <v>0</v>
      </c>
      <c r="K8026">
        <v>0</v>
      </c>
      <c r="L8026" s="2">
        <v>0</v>
      </c>
      <c r="M8026">
        <v>79.11</v>
      </c>
      <c r="N8026" t="s">
        <v>10236</v>
      </c>
    </row>
    <row r="8027" spans="1:14">
      <c r="A8027" t="s">
        <v>35</v>
      </c>
      <c r="B8027" t="s">
        <v>8007</v>
      </c>
      <c r="C8027">
        <f>"FB511SV"</f>
        <v>0</v>
      </c>
      <c r="D8027">
        <v>0</v>
      </c>
      <c r="E8027">
        <v>1</v>
      </c>
      <c r="F8027" s="2">
        <v>7</v>
      </c>
      <c r="H8027">
        <v>0</v>
      </c>
      <c r="I8027">
        <v>0.1741125760648204</v>
      </c>
      <c r="J8027">
        <v>0</v>
      </c>
      <c r="K8027">
        <v>0</v>
      </c>
      <c r="L8027" s="2">
        <v>0</v>
      </c>
      <c r="M8027">
        <v>79.12</v>
      </c>
      <c r="N8027" t="s">
        <v>10236</v>
      </c>
    </row>
    <row r="8028" spans="1:14">
      <c r="A8028" t="s">
        <v>35</v>
      </c>
      <c r="B8028" t="s">
        <v>8008</v>
      </c>
      <c r="C8028">
        <f>"FB511SN"</f>
        <v>0</v>
      </c>
      <c r="D8028">
        <v>0</v>
      </c>
      <c r="E8028">
        <v>0</v>
      </c>
      <c r="F8028" s="2">
        <v>0</v>
      </c>
      <c r="H8028">
        <v>0</v>
      </c>
      <c r="I8028">
        <v>0.1741125760648204</v>
      </c>
      <c r="J8028">
        <v>0</v>
      </c>
      <c r="K8028">
        <v>0</v>
      </c>
      <c r="L8028" s="2">
        <v>0</v>
      </c>
      <c r="M8028">
        <v>79.13</v>
      </c>
      <c r="N8028" t="s">
        <v>10236</v>
      </c>
    </row>
    <row r="8029" spans="1:14">
      <c r="A8029" t="s">
        <v>35</v>
      </c>
      <c r="B8029" t="s">
        <v>8009</v>
      </c>
      <c r="C8029">
        <f>"FB511SG"</f>
        <v>0</v>
      </c>
      <c r="D8029">
        <v>0</v>
      </c>
      <c r="E8029">
        <v>2</v>
      </c>
      <c r="F8029" s="2">
        <v>7</v>
      </c>
      <c r="H8029">
        <v>0</v>
      </c>
      <c r="I8029">
        <v>0.1741125760648204</v>
      </c>
      <c r="J8029">
        <v>0</v>
      </c>
      <c r="K8029">
        <v>0</v>
      </c>
      <c r="L8029" s="2">
        <v>0</v>
      </c>
      <c r="M8029">
        <v>79.14</v>
      </c>
      <c r="N8029" t="s">
        <v>10236</v>
      </c>
    </row>
    <row r="8030" spans="1:14">
      <c r="A8030" t="s">
        <v>35</v>
      </c>
      <c r="B8030" t="s">
        <v>8010</v>
      </c>
      <c r="C8030">
        <f>"FB511MV"</f>
        <v>0</v>
      </c>
      <c r="D8030">
        <v>0</v>
      </c>
      <c r="E8030">
        <v>1</v>
      </c>
      <c r="F8030" s="2">
        <v>7</v>
      </c>
      <c r="H8030">
        <v>0</v>
      </c>
      <c r="I8030">
        <v>0.1741125760648204</v>
      </c>
      <c r="J8030">
        <v>0</v>
      </c>
      <c r="K8030">
        <v>0</v>
      </c>
      <c r="L8030" s="2">
        <v>0</v>
      </c>
      <c r="M8030">
        <v>79.15000000000001</v>
      </c>
      <c r="N8030" t="s">
        <v>10236</v>
      </c>
    </row>
    <row r="8031" spans="1:14">
      <c r="A8031" t="s">
        <v>35</v>
      </c>
      <c r="B8031" t="s">
        <v>2447</v>
      </c>
      <c r="C8031">
        <f>"HP152XLCC"</f>
        <v>0</v>
      </c>
      <c r="D8031">
        <v>0</v>
      </c>
      <c r="E8031">
        <v>0</v>
      </c>
      <c r="F8031" s="2">
        <v>0</v>
      </c>
      <c r="H8031">
        <v>0</v>
      </c>
      <c r="I8031">
        <v>0.1741125760648204</v>
      </c>
      <c r="J8031">
        <v>0</v>
      </c>
      <c r="K8031">
        <v>0</v>
      </c>
      <c r="L8031" s="2">
        <v>0</v>
      </c>
      <c r="M8031">
        <v>79.15000000000001</v>
      </c>
      <c r="N8031" t="s">
        <v>10236</v>
      </c>
    </row>
    <row r="8032" spans="1:14">
      <c r="A8032" t="s">
        <v>35</v>
      </c>
      <c r="B8032" t="s">
        <v>2447</v>
      </c>
      <c r="C8032">
        <f>"HP152XLCA"</f>
        <v>0</v>
      </c>
      <c r="D8032">
        <v>0</v>
      </c>
      <c r="E8032">
        <v>6</v>
      </c>
      <c r="F8032" s="2">
        <v>5</v>
      </c>
      <c r="H8032">
        <v>0</v>
      </c>
      <c r="I8032">
        <v>0.1741125760648204</v>
      </c>
      <c r="J8032">
        <v>0</v>
      </c>
      <c r="K8032">
        <v>0</v>
      </c>
      <c r="L8032" s="2">
        <v>0</v>
      </c>
      <c r="M8032">
        <v>79.16</v>
      </c>
      <c r="N8032" t="s">
        <v>10236</v>
      </c>
    </row>
    <row r="8033" spans="1:14">
      <c r="A8033" t="s">
        <v>35</v>
      </c>
      <c r="B8033" t="s">
        <v>2447</v>
      </c>
      <c r="C8033">
        <f>"HP152XLC"</f>
        <v>0</v>
      </c>
      <c r="D8033">
        <v>0</v>
      </c>
      <c r="E8033">
        <v>1</v>
      </c>
      <c r="F8033" s="2">
        <v>5</v>
      </c>
      <c r="H8033">
        <v>0</v>
      </c>
      <c r="I8033">
        <v>0.1741125760648204</v>
      </c>
      <c r="J8033">
        <v>0</v>
      </c>
      <c r="K8033">
        <v>0</v>
      </c>
      <c r="L8033" s="2">
        <v>0</v>
      </c>
      <c r="M8033">
        <v>79.17</v>
      </c>
      <c r="N8033" t="s">
        <v>10236</v>
      </c>
    </row>
    <row r="8034" spans="1:14">
      <c r="A8034" t="s">
        <v>35</v>
      </c>
      <c r="B8034" t="s">
        <v>8011</v>
      </c>
      <c r="C8034">
        <f>"CLBS"</f>
        <v>0</v>
      </c>
      <c r="D8034">
        <v>0</v>
      </c>
      <c r="E8034">
        <v>0</v>
      </c>
      <c r="F8034" s="2">
        <v>0</v>
      </c>
      <c r="H8034">
        <v>0</v>
      </c>
      <c r="I8034">
        <v>0.1741125760648204</v>
      </c>
      <c r="J8034">
        <v>0</v>
      </c>
      <c r="K8034">
        <v>0</v>
      </c>
      <c r="L8034" s="2">
        <v>0</v>
      </c>
      <c r="M8034">
        <v>79.18000000000001</v>
      </c>
      <c r="N8034" t="s">
        <v>10236</v>
      </c>
    </row>
    <row r="8035" spans="1:14">
      <c r="A8035" t="s">
        <v>35</v>
      </c>
      <c r="B8035" t="s">
        <v>8012</v>
      </c>
      <c r="C8035">
        <f>"FN70H"</f>
        <v>0</v>
      </c>
      <c r="D8035">
        <v>0</v>
      </c>
      <c r="E8035">
        <v>1</v>
      </c>
      <c r="F8035" s="2">
        <v>7</v>
      </c>
      <c r="H8035">
        <v>0</v>
      </c>
      <c r="I8035">
        <v>0.1741125760648204</v>
      </c>
      <c r="J8035">
        <v>0</v>
      </c>
      <c r="K8035">
        <v>0</v>
      </c>
      <c r="L8035" s="2">
        <v>0</v>
      </c>
      <c r="M8035">
        <v>79.19</v>
      </c>
      <c r="N8035" t="s">
        <v>10236</v>
      </c>
    </row>
    <row r="8036" spans="1:14">
      <c r="A8036" t="s">
        <v>35</v>
      </c>
      <c r="B8036" t="s">
        <v>8013</v>
      </c>
      <c r="C8036">
        <f>"FN50H"</f>
        <v>0</v>
      </c>
      <c r="D8036">
        <v>0</v>
      </c>
      <c r="E8036">
        <v>0</v>
      </c>
      <c r="F8036" s="2">
        <v>0</v>
      </c>
      <c r="H8036">
        <v>0</v>
      </c>
      <c r="I8036">
        <v>0.1741125760648204</v>
      </c>
      <c r="J8036">
        <v>0</v>
      </c>
      <c r="K8036">
        <v>0</v>
      </c>
      <c r="L8036" s="2">
        <v>0</v>
      </c>
      <c r="M8036">
        <v>79.2</v>
      </c>
      <c r="N8036" t="s">
        <v>10236</v>
      </c>
    </row>
    <row r="8037" spans="1:14">
      <c r="A8037" t="s">
        <v>35</v>
      </c>
      <c r="B8037" t="s">
        <v>8014</v>
      </c>
      <c r="C8037">
        <f>"FEP80GC"</f>
        <v>0</v>
      </c>
      <c r="D8037">
        <v>0</v>
      </c>
      <c r="E8037">
        <v>0</v>
      </c>
      <c r="F8037" s="2">
        <v>0</v>
      </c>
      <c r="H8037">
        <v>0</v>
      </c>
      <c r="I8037">
        <v>0.1741125760648204</v>
      </c>
      <c r="J8037">
        <v>0</v>
      </c>
      <c r="K8037">
        <v>0</v>
      </c>
      <c r="L8037" s="2">
        <v>0</v>
      </c>
      <c r="M8037">
        <v>79.20999999999999</v>
      </c>
      <c r="N8037" t="s">
        <v>10236</v>
      </c>
    </row>
    <row r="8038" spans="1:14">
      <c r="A8038" t="s">
        <v>35</v>
      </c>
      <c r="B8038" t="s">
        <v>8015</v>
      </c>
      <c r="C8038">
        <f>"FEP100RO"</f>
        <v>0</v>
      </c>
      <c r="D8038">
        <v>0</v>
      </c>
      <c r="E8038">
        <v>1</v>
      </c>
      <c r="F8038" s="2">
        <v>16</v>
      </c>
      <c r="H8038">
        <v>0</v>
      </c>
      <c r="I8038">
        <v>0.1741125760648204</v>
      </c>
      <c r="J8038">
        <v>0</v>
      </c>
      <c r="K8038">
        <v>0</v>
      </c>
      <c r="L8038" s="2">
        <v>0</v>
      </c>
      <c r="M8038">
        <v>79.22</v>
      </c>
      <c r="N8038" t="s">
        <v>10236</v>
      </c>
    </row>
    <row r="8039" spans="1:14">
      <c r="A8039" t="s">
        <v>35</v>
      </c>
      <c r="B8039" t="s">
        <v>8016</v>
      </c>
      <c r="C8039">
        <f>"FEP120VEOS"</f>
        <v>0</v>
      </c>
      <c r="D8039">
        <v>0</v>
      </c>
      <c r="E8039">
        <v>0</v>
      </c>
      <c r="F8039" s="2">
        <v>0</v>
      </c>
      <c r="H8039">
        <v>0</v>
      </c>
      <c r="I8039">
        <v>0.1741125760648204</v>
      </c>
      <c r="J8039">
        <v>0</v>
      </c>
      <c r="K8039">
        <v>0</v>
      </c>
      <c r="L8039" s="2">
        <v>0</v>
      </c>
      <c r="M8039">
        <v>79.23</v>
      </c>
      <c r="N8039" t="s">
        <v>10236</v>
      </c>
    </row>
    <row r="8040" spans="1:14">
      <c r="A8040" t="s">
        <v>35</v>
      </c>
      <c r="B8040" t="s">
        <v>8017</v>
      </c>
      <c r="C8040">
        <f>"FEP120V"</f>
        <v>0</v>
      </c>
      <c r="D8040">
        <v>0</v>
      </c>
      <c r="E8040">
        <v>3</v>
      </c>
      <c r="F8040" s="2">
        <v>27</v>
      </c>
      <c r="H8040">
        <v>0</v>
      </c>
      <c r="I8040">
        <v>0.1741125760648204</v>
      </c>
      <c r="J8040">
        <v>0</v>
      </c>
      <c r="K8040">
        <v>0</v>
      </c>
      <c r="L8040" s="2">
        <v>0</v>
      </c>
      <c r="M8040">
        <v>79.23999999999999</v>
      </c>
      <c r="N8040" t="s">
        <v>10236</v>
      </c>
    </row>
    <row r="8041" spans="1:14">
      <c r="A8041" t="s">
        <v>35</v>
      </c>
      <c r="B8041" t="s">
        <v>8018</v>
      </c>
      <c r="C8041">
        <f>"FEP120ROSO"</f>
        <v>0</v>
      </c>
      <c r="D8041">
        <v>0</v>
      </c>
      <c r="E8041">
        <v>0</v>
      </c>
      <c r="F8041" s="2">
        <v>0</v>
      </c>
      <c r="H8041">
        <v>0</v>
      </c>
      <c r="I8041">
        <v>0.1741125760648204</v>
      </c>
      <c r="J8041">
        <v>0</v>
      </c>
      <c r="K8041">
        <v>0</v>
      </c>
      <c r="L8041" s="2">
        <v>0</v>
      </c>
      <c r="M8041">
        <v>79.25</v>
      </c>
      <c r="N8041" t="s">
        <v>10236</v>
      </c>
    </row>
    <row r="8042" spans="1:14">
      <c r="A8042" t="s">
        <v>35</v>
      </c>
      <c r="B8042" t="s">
        <v>8019</v>
      </c>
      <c r="C8042">
        <f>"FEP120RO"</f>
        <v>0</v>
      </c>
      <c r="D8042">
        <v>0</v>
      </c>
      <c r="E8042">
        <v>2</v>
      </c>
      <c r="F8042" s="2">
        <v>24</v>
      </c>
      <c r="H8042">
        <v>0</v>
      </c>
      <c r="I8042">
        <v>0.1741125760648204</v>
      </c>
      <c r="J8042">
        <v>0</v>
      </c>
      <c r="K8042">
        <v>0</v>
      </c>
      <c r="L8042" s="2">
        <v>0</v>
      </c>
      <c r="M8042">
        <v>79.26000000000001</v>
      </c>
      <c r="N8042" t="s">
        <v>10236</v>
      </c>
    </row>
    <row r="8043" spans="1:14">
      <c r="A8043" t="s">
        <v>35</v>
      </c>
      <c r="B8043" t="s">
        <v>8020</v>
      </c>
      <c r="C8043">
        <f>"FEP120RA"</f>
        <v>0</v>
      </c>
      <c r="D8043">
        <v>0</v>
      </c>
      <c r="E8043">
        <v>1</v>
      </c>
      <c r="F8043" s="2">
        <v>27</v>
      </c>
      <c r="H8043">
        <v>0</v>
      </c>
      <c r="I8043">
        <v>0.1741125760648204</v>
      </c>
      <c r="J8043">
        <v>0</v>
      </c>
      <c r="K8043">
        <v>0</v>
      </c>
      <c r="L8043" s="2">
        <v>0</v>
      </c>
      <c r="M8043">
        <v>79.26000000000001</v>
      </c>
      <c r="N8043" t="s">
        <v>10236</v>
      </c>
    </row>
    <row r="8044" spans="1:14">
      <c r="A8044" t="s">
        <v>35</v>
      </c>
      <c r="B8044" t="s">
        <v>8021</v>
      </c>
      <c r="C8044">
        <f>"FEP120P"</f>
        <v>0</v>
      </c>
      <c r="D8044">
        <v>0</v>
      </c>
      <c r="E8044">
        <v>1</v>
      </c>
      <c r="F8044" s="2">
        <v>27</v>
      </c>
      <c r="H8044">
        <v>0</v>
      </c>
      <c r="I8044">
        <v>0.1741125760648204</v>
      </c>
      <c r="J8044">
        <v>0</v>
      </c>
      <c r="K8044">
        <v>0</v>
      </c>
      <c r="L8044" s="2">
        <v>0</v>
      </c>
      <c r="M8044">
        <v>79.27</v>
      </c>
      <c r="N8044" t="s">
        <v>10236</v>
      </c>
    </row>
    <row r="8045" spans="1:14">
      <c r="A8045" t="s">
        <v>35</v>
      </c>
      <c r="B8045" t="s">
        <v>8022</v>
      </c>
      <c r="C8045">
        <f>"FEP120GO"</f>
        <v>0</v>
      </c>
      <c r="D8045">
        <v>0</v>
      </c>
      <c r="E8045">
        <v>0</v>
      </c>
      <c r="F8045" s="2">
        <v>0</v>
      </c>
      <c r="H8045">
        <v>0</v>
      </c>
      <c r="I8045">
        <v>0.1741125760648204</v>
      </c>
      <c r="J8045">
        <v>0</v>
      </c>
      <c r="K8045">
        <v>0</v>
      </c>
      <c r="L8045" s="2">
        <v>0</v>
      </c>
      <c r="M8045">
        <v>79.28</v>
      </c>
      <c r="N8045" t="s">
        <v>10236</v>
      </c>
    </row>
    <row r="8046" spans="1:14">
      <c r="A8046" t="s">
        <v>35</v>
      </c>
      <c r="B8046" t="s">
        <v>8023</v>
      </c>
      <c r="C8046">
        <f>"FEP120GC"</f>
        <v>0</v>
      </c>
      <c r="D8046">
        <v>0</v>
      </c>
      <c r="E8046">
        <v>0</v>
      </c>
      <c r="F8046" s="2">
        <v>0</v>
      </c>
      <c r="H8046">
        <v>0</v>
      </c>
      <c r="I8046">
        <v>0.1741125760648204</v>
      </c>
      <c r="J8046">
        <v>0</v>
      </c>
      <c r="K8046">
        <v>0</v>
      </c>
      <c r="L8046" s="2">
        <v>0</v>
      </c>
      <c r="M8046">
        <v>79.29000000000001</v>
      </c>
      <c r="N8046" t="s">
        <v>10236</v>
      </c>
    </row>
    <row r="8047" spans="1:14">
      <c r="A8047" t="s">
        <v>35</v>
      </c>
      <c r="B8047" t="s">
        <v>8024</v>
      </c>
      <c r="C8047">
        <f>"FEP120C"</f>
        <v>0</v>
      </c>
      <c r="D8047">
        <v>0</v>
      </c>
      <c r="E8047">
        <v>1</v>
      </c>
      <c r="F8047" s="2">
        <v>22</v>
      </c>
      <c r="H8047">
        <v>0</v>
      </c>
      <c r="I8047">
        <v>0.1741125760648204</v>
      </c>
      <c r="J8047">
        <v>0</v>
      </c>
      <c r="K8047">
        <v>0</v>
      </c>
      <c r="L8047" s="2">
        <v>0</v>
      </c>
      <c r="M8047">
        <v>79.3</v>
      </c>
      <c r="N8047" t="s">
        <v>10236</v>
      </c>
    </row>
    <row r="8048" spans="1:14">
      <c r="A8048" t="s">
        <v>35</v>
      </c>
      <c r="B8048" t="s">
        <v>8025</v>
      </c>
      <c r="C8048">
        <f>"FEP120B"</f>
        <v>0</v>
      </c>
      <c r="D8048">
        <v>0</v>
      </c>
      <c r="E8048">
        <v>5</v>
      </c>
      <c r="F8048" s="2">
        <v>27</v>
      </c>
      <c r="H8048">
        <v>0</v>
      </c>
      <c r="I8048">
        <v>0.1741125760648204</v>
      </c>
      <c r="J8048">
        <v>0</v>
      </c>
      <c r="K8048">
        <v>0</v>
      </c>
      <c r="L8048" s="2">
        <v>0</v>
      </c>
      <c r="M8048">
        <v>79.31</v>
      </c>
      <c r="N8048" t="s">
        <v>10236</v>
      </c>
    </row>
    <row r="8049" spans="1:14">
      <c r="A8049" t="s">
        <v>35</v>
      </c>
      <c r="B8049" t="s">
        <v>8026</v>
      </c>
      <c r="C8049">
        <f>"FEP120AD"</f>
        <v>0</v>
      </c>
      <c r="D8049">
        <v>0</v>
      </c>
      <c r="E8049">
        <v>4</v>
      </c>
      <c r="F8049" s="2">
        <v>27</v>
      </c>
      <c r="H8049">
        <v>0</v>
      </c>
      <c r="I8049">
        <v>0.1741125760648204</v>
      </c>
      <c r="J8049">
        <v>0</v>
      </c>
      <c r="K8049">
        <v>0</v>
      </c>
      <c r="L8049" s="2">
        <v>0</v>
      </c>
      <c r="M8049">
        <v>79.31999999999999</v>
      </c>
      <c r="N8049" t="s">
        <v>10236</v>
      </c>
    </row>
    <row r="8050" spans="1:14">
      <c r="A8050" t="s">
        <v>35</v>
      </c>
      <c r="B8050" t="s">
        <v>8027</v>
      </c>
      <c r="C8050">
        <f>"FEP100VI"</f>
        <v>0</v>
      </c>
      <c r="D8050">
        <v>0</v>
      </c>
      <c r="E8050">
        <v>0</v>
      </c>
      <c r="F8050" s="2">
        <v>0</v>
      </c>
      <c r="H8050">
        <v>0</v>
      </c>
      <c r="I8050">
        <v>0.1741125760648204</v>
      </c>
      <c r="J8050">
        <v>0</v>
      </c>
      <c r="K8050">
        <v>0</v>
      </c>
      <c r="L8050" s="2">
        <v>0</v>
      </c>
      <c r="M8050">
        <v>79.33</v>
      </c>
      <c r="N8050" t="s">
        <v>10236</v>
      </c>
    </row>
    <row r="8051" spans="1:14">
      <c r="A8051" t="s">
        <v>35</v>
      </c>
      <c r="B8051" t="s">
        <v>8028</v>
      </c>
      <c r="C8051">
        <f>"FEP100VIN"</f>
        <v>0</v>
      </c>
      <c r="D8051">
        <v>0</v>
      </c>
      <c r="E8051">
        <v>1</v>
      </c>
      <c r="F8051" s="2">
        <v>16</v>
      </c>
      <c r="H8051">
        <v>0</v>
      </c>
      <c r="I8051">
        <v>0.1741125760648204</v>
      </c>
      <c r="J8051">
        <v>0</v>
      </c>
      <c r="K8051">
        <v>0</v>
      </c>
      <c r="L8051" s="2">
        <v>0</v>
      </c>
      <c r="M8051">
        <v>79.34</v>
      </c>
      <c r="N8051" t="s">
        <v>10236</v>
      </c>
    </row>
    <row r="8052" spans="1:14">
      <c r="A8052" t="s">
        <v>35</v>
      </c>
      <c r="B8052" t="s">
        <v>8029</v>
      </c>
      <c r="C8052">
        <f>"FEP100VO"</f>
        <v>0</v>
      </c>
      <c r="D8052">
        <v>0</v>
      </c>
      <c r="E8052">
        <v>0</v>
      </c>
      <c r="F8052" s="2">
        <v>0</v>
      </c>
      <c r="H8052">
        <v>0</v>
      </c>
      <c r="I8052">
        <v>0.1741125760648204</v>
      </c>
      <c r="J8052">
        <v>0</v>
      </c>
      <c r="K8052">
        <v>0</v>
      </c>
      <c r="L8052" s="2">
        <v>0</v>
      </c>
      <c r="M8052">
        <v>79.34999999999999</v>
      </c>
      <c r="N8052" t="s">
        <v>10236</v>
      </c>
    </row>
    <row r="8053" spans="1:14">
      <c r="A8053" t="s">
        <v>35</v>
      </c>
      <c r="B8053" t="s">
        <v>8030</v>
      </c>
      <c r="C8053">
        <f>"FEP50AD"</f>
        <v>0</v>
      </c>
      <c r="D8053">
        <v>0</v>
      </c>
      <c r="E8053">
        <v>0</v>
      </c>
      <c r="F8053" s="2">
        <v>0</v>
      </c>
      <c r="H8053">
        <v>0</v>
      </c>
      <c r="I8053">
        <v>0.1741125760648204</v>
      </c>
      <c r="J8053">
        <v>0</v>
      </c>
      <c r="K8053">
        <v>0</v>
      </c>
      <c r="L8053" s="2">
        <v>0</v>
      </c>
      <c r="M8053">
        <v>79.36</v>
      </c>
      <c r="N8053" t="s">
        <v>10236</v>
      </c>
    </row>
    <row r="8054" spans="1:14">
      <c r="A8054" t="s">
        <v>35</v>
      </c>
      <c r="B8054" t="s">
        <v>8031</v>
      </c>
      <c r="C8054">
        <f>"FEP120VI"</f>
        <v>0</v>
      </c>
      <c r="D8054">
        <v>0</v>
      </c>
      <c r="E8054">
        <v>1</v>
      </c>
      <c r="F8054" s="2">
        <v>27</v>
      </c>
      <c r="H8054">
        <v>0</v>
      </c>
      <c r="I8054">
        <v>0.1741125760648204</v>
      </c>
      <c r="J8054">
        <v>0</v>
      </c>
      <c r="K8054">
        <v>0</v>
      </c>
      <c r="L8054" s="2">
        <v>0</v>
      </c>
      <c r="M8054">
        <v>79.37</v>
      </c>
      <c r="N8054" t="s">
        <v>10236</v>
      </c>
    </row>
    <row r="8055" spans="1:14">
      <c r="A8055" t="s">
        <v>35</v>
      </c>
      <c r="B8055" t="s">
        <v>8032</v>
      </c>
      <c r="C8055">
        <f>"KLA13M"</f>
        <v>0</v>
      </c>
      <c r="D8055">
        <v>0</v>
      </c>
      <c r="E8055">
        <v>9</v>
      </c>
      <c r="F8055" s="2">
        <v>3</v>
      </c>
      <c r="H8055">
        <v>0</v>
      </c>
      <c r="I8055">
        <v>0.1741125760648204</v>
      </c>
      <c r="J8055">
        <v>0</v>
      </c>
      <c r="K8055">
        <v>0</v>
      </c>
      <c r="L8055" s="2">
        <v>0</v>
      </c>
      <c r="M8055">
        <v>79.38</v>
      </c>
      <c r="N8055" t="s">
        <v>10236</v>
      </c>
    </row>
    <row r="8056" spans="1:14">
      <c r="A8056" t="s">
        <v>35</v>
      </c>
      <c r="B8056" t="s">
        <v>8033</v>
      </c>
      <c r="C8056">
        <f>"KLA13L"</f>
        <v>0</v>
      </c>
      <c r="D8056">
        <v>0</v>
      </c>
      <c r="E8056">
        <v>5</v>
      </c>
      <c r="F8056" s="2">
        <v>4</v>
      </c>
      <c r="H8056">
        <v>0</v>
      </c>
      <c r="I8056">
        <v>0.1741125760648204</v>
      </c>
      <c r="J8056">
        <v>0</v>
      </c>
      <c r="K8056">
        <v>0</v>
      </c>
      <c r="L8056" s="2">
        <v>0</v>
      </c>
      <c r="M8056">
        <v>79.38</v>
      </c>
      <c r="N8056" t="s">
        <v>10236</v>
      </c>
    </row>
    <row r="8057" spans="1:14">
      <c r="A8057" t="s">
        <v>35</v>
      </c>
      <c r="B8057" t="s">
        <v>8034</v>
      </c>
      <c r="C8057">
        <f>"MQ080807XLC"</f>
        <v>0</v>
      </c>
      <c r="D8057">
        <v>0</v>
      </c>
      <c r="E8057">
        <v>19</v>
      </c>
      <c r="F8057" s="2">
        <v>9</v>
      </c>
      <c r="H8057">
        <v>0</v>
      </c>
      <c r="I8057">
        <v>0.1741125760648204</v>
      </c>
      <c r="J8057">
        <v>0</v>
      </c>
      <c r="K8057">
        <v>0</v>
      </c>
      <c r="L8057" s="2">
        <v>0</v>
      </c>
      <c r="M8057">
        <v>79.39</v>
      </c>
      <c r="N8057" t="s">
        <v>10236</v>
      </c>
    </row>
    <row r="8058" spans="1:14">
      <c r="A8058" t="s">
        <v>35</v>
      </c>
      <c r="B8058" t="s">
        <v>8035</v>
      </c>
      <c r="C8058">
        <f>"MQ080807MV"</f>
        <v>0</v>
      </c>
      <c r="D8058">
        <v>0</v>
      </c>
      <c r="E8058">
        <v>19</v>
      </c>
      <c r="F8058" s="2">
        <v>8</v>
      </c>
      <c r="H8058">
        <v>0</v>
      </c>
      <c r="I8058">
        <v>0.1741125760648204</v>
      </c>
      <c r="J8058">
        <v>0</v>
      </c>
      <c r="K8058">
        <v>0</v>
      </c>
      <c r="L8058" s="2">
        <v>0</v>
      </c>
      <c r="M8058">
        <v>79.40000000000001</v>
      </c>
      <c r="N8058" t="s">
        <v>10236</v>
      </c>
    </row>
    <row r="8059" spans="1:14">
      <c r="A8059" t="s">
        <v>35</v>
      </c>
      <c r="B8059" t="s">
        <v>8036</v>
      </c>
      <c r="C8059">
        <f>"54B109032S"</f>
        <v>0</v>
      </c>
      <c r="D8059">
        <v>0</v>
      </c>
      <c r="E8059">
        <v>1</v>
      </c>
      <c r="F8059" s="2">
        <v>6</v>
      </c>
      <c r="H8059">
        <v>0</v>
      </c>
      <c r="I8059">
        <v>0.1741125760648204</v>
      </c>
      <c r="J8059">
        <v>0</v>
      </c>
      <c r="K8059">
        <v>0</v>
      </c>
      <c r="L8059" s="2">
        <v>0</v>
      </c>
      <c r="M8059">
        <v>79.41</v>
      </c>
      <c r="N8059" t="s">
        <v>10236</v>
      </c>
    </row>
    <row r="8060" spans="1:14">
      <c r="A8060" t="s">
        <v>35</v>
      </c>
      <c r="B8060" t="s">
        <v>8037</v>
      </c>
      <c r="C8060">
        <f>"54B109032M"</f>
        <v>0</v>
      </c>
      <c r="D8060">
        <v>0</v>
      </c>
      <c r="E8060">
        <v>1</v>
      </c>
      <c r="F8060" s="2">
        <v>7</v>
      </c>
      <c r="H8060">
        <v>0</v>
      </c>
      <c r="I8060">
        <v>0.1741125760648204</v>
      </c>
      <c r="J8060">
        <v>0</v>
      </c>
      <c r="K8060">
        <v>0</v>
      </c>
      <c r="L8060" s="2">
        <v>0</v>
      </c>
      <c r="M8060">
        <v>79.42</v>
      </c>
      <c r="N8060" t="s">
        <v>10236</v>
      </c>
    </row>
    <row r="8061" spans="1:14">
      <c r="A8061" t="s">
        <v>35</v>
      </c>
      <c r="B8061" t="s">
        <v>8038</v>
      </c>
      <c r="C8061">
        <f>"54B109032L"</f>
        <v>0</v>
      </c>
      <c r="D8061">
        <v>0</v>
      </c>
      <c r="E8061">
        <v>1</v>
      </c>
      <c r="F8061" s="2">
        <v>7</v>
      </c>
      <c r="H8061">
        <v>0</v>
      </c>
      <c r="I8061">
        <v>0.1741125760648204</v>
      </c>
      <c r="J8061">
        <v>0</v>
      </c>
      <c r="K8061">
        <v>0</v>
      </c>
      <c r="L8061" s="2">
        <v>0</v>
      </c>
      <c r="M8061">
        <v>79.43000000000001</v>
      </c>
      <c r="N8061" t="s">
        <v>10236</v>
      </c>
    </row>
    <row r="8062" spans="1:14">
      <c r="A8062" t="s">
        <v>35</v>
      </c>
      <c r="B8062" t="s">
        <v>8039</v>
      </c>
      <c r="C8062">
        <f>"54B1090323XL"</f>
        <v>0</v>
      </c>
      <c r="D8062">
        <v>0</v>
      </c>
      <c r="E8062">
        <v>1</v>
      </c>
      <c r="F8062" s="2">
        <v>10</v>
      </c>
      <c r="H8062">
        <v>0</v>
      </c>
      <c r="I8062">
        <v>0.1741125760648204</v>
      </c>
      <c r="J8062">
        <v>0</v>
      </c>
      <c r="K8062">
        <v>0</v>
      </c>
      <c r="L8062" s="2">
        <v>0</v>
      </c>
      <c r="M8062">
        <v>79.44</v>
      </c>
      <c r="N8062" t="s">
        <v>10236</v>
      </c>
    </row>
    <row r="8063" spans="1:14">
      <c r="A8063" t="s">
        <v>35</v>
      </c>
      <c r="B8063" t="s">
        <v>8040</v>
      </c>
      <c r="C8063">
        <f>"8025XXS"</f>
        <v>0</v>
      </c>
      <c r="D8063">
        <v>0</v>
      </c>
      <c r="E8063">
        <v>9</v>
      </c>
      <c r="F8063" s="2">
        <v>4</v>
      </c>
      <c r="H8063">
        <v>0</v>
      </c>
      <c r="I8063">
        <v>0.1741125760648204</v>
      </c>
      <c r="J8063">
        <v>0</v>
      </c>
      <c r="K8063">
        <v>0</v>
      </c>
      <c r="L8063" s="2">
        <v>0</v>
      </c>
      <c r="M8063">
        <v>79.45</v>
      </c>
      <c r="N8063" t="s">
        <v>10236</v>
      </c>
    </row>
    <row r="8064" spans="1:14">
      <c r="A8064" t="s">
        <v>35</v>
      </c>
      <c r="B8064" t="s">
        <v>8041</v>
      </c>
      <c r="C8064">
        <f>"8025XS"</f>
        <v>0</v>
      </c>
      <c r="D8064">
        <v>0</v>
      </c>
      <c r="E8064">
        <v>11</v>
      </c>
      <c r="F8064" s="2">
        <v>5</v>
      </c>
      <c r="H8064">
        <v>0</v>
      </c>
      <c r="I8064">
        <v>0.1741125760648204</v>
      </c>
      <c r="J8064">
        <v>0</v>
      </c>
      <c r="K8064">
        <v>0</v>
      </c>
      <c r="L8064" s="2">
        <v>0</v>
      </c>
      <c r="M8064">
        <v>79.45999999999999</v>
      </c>
      <c r="N8064" t="s">
        <v>10236</v>
      </c>
    </row>
    <row r="8065" spans="1:14">
      <c r="A8065" t="s">
        <v>35</v>
      </c>
      <c r="B8065" t="s">
        <v>8042</v>
      </c>
      <c r="C8065">
        <f>"8025S"</f>
        <v>0</v>
      </c>
      <c r="D8065">
        <v>0</v>
      </c>
      <c r="E8065">
        <v>10</v>
      </c>
      <c r="F8065" s="2">
        <v>5</v>
      </c>
      <c r="H8065">
        <v>0</v>
      </c>
      <c r="I8065">
        <v>0.1741125760648204</v>
      </c>
      <c r="J8065">
        <v>0</v>
      </c>
      <c r="K8065">
        <v>0</v>
      </c>
      <c r="L8065" s="2">
        <v>0</v>
      </c>
      <c r="M8065">
        <v>79.47</v>
      </c>
      <c r="N8065" t="s">
        <v>10236</v>
      </c>
    </row>
    <row r="8066" spans="1:14">
      <c r="A8066" t="s">
        <v>35</v>
      </c>
      <c r="B8066" t="s">
        <v>8043</v>
      </c>
      <c r="C8066">
        <f>"8025M"</f>
        <v>0</v>
      </c>
      <c r="D8066">
        <v>0</v>
      </c>
      <c r="E8066">
        <v>8</v>
      </c>
      <c r="F8066" s="2">
        <v>6</v>
      </c>
      <c r="H8066">
        <v>0</v>
      </c>
      <c r="I8066">
        <v>0.1741125760648204</v>
      </c>
      <c r="J8066">
        <v>0</v>
      </c>
      <c r="K8066">
        <v>0</v>
      </c>
      <c r="L8066" s="2">
        <v>0</v>
      </c>
      <c r="M8066">
        <v>79.48</v>
      </c>
      <c r="N8066" t="s">
        <v>10236</v>
      </c>
    </row>
    <row r="8067" spans="1:14">
      <c r="A8067" t="s">
        <v>35</v>
      </c>
      <c r="B8067" t="s">
        <v>8044</v>
      </c>
      <c r="C8067">
        <f>"KLA2XXL"</f>
        <v>0</v>
      </c>
      <c r="D8067">
        <v>0</v>
      </c>
      <c r="E8067">
        <v>3</v>
      </c>
      <c r="F8067" s="2">
        <v>4</v>
      </c>
      <c r="H8067">
        <v>0</v>
      </c>
      <c r="I8067">
        <v>0.1741125760648204</v>
      </c>
      <c r="J8067">
        <v>0</v>
      </c>
      <c r="K8067">
        <v>0</v>
      </c>
      <c r="L8067" s="2">
        <v>0</v>
      </c>
      <c r="M8067">
        <v>79.48999999999999</v>
      </c>
      <c r="N8067" t="s">
        <v>10236</v>
      </c>
    </row>
    <row r="8068" spans="1:14">
      <c r="A8068" t="s">
        <v>35</v>
      </c>
      <c r="B8068" t="s">
        <v>8045</v>
      </c>
      <c r="C8068">
        <f>"KLA2XS"</f>
        <v>0</v>
      </c>
      <c r="D8068">
        <v>0</v>
      </c>
      <c r="E8068">
        <v>5</v>
      </c>
      <c r="F8068" s="2">
        <v>3</v>
      </c>
      <c r="H8068">
        <v>0</v>
      </c>
      <c r="I8068">
        <v>0.1741125760648204</v>
      </c>
      <c r="J8068">
        <v>0</v>
      </c>
      <c r="K8068">
        <v>0</v>
      </c>
      <c r="L8068" s="2">
        <v>0</v>
      </c>
      <c r="M8068">
        <v>79.5</v>
      </c>
      <c r="N8068" t="s">
        <v>10236</v>
      </c>
    </row>
    <row r="8069" spans="1:14">
      <c r="A8069" t="s">
        <v>223</v>
      </c>
      <c r="B8069" t="s">
        <v>8046</v>
      </c>
      <c r="C8069">
        <f>"3746010"</f>
        <v>0</v>
      </c>
      <c r="D8069">
        <v>0</v>
      </c>
      <c r="E8069">
        <v>0</v>
      </c>
      <c r="F8069" s="2">
        <v>0</v>
      </c>
      <c r="H8069">
        <v>0</v>
      </c>
      <c r="I8069">
        <v>0.1741125760648204</v>
      </c>
      <c r="J8069">
        <v>0</v>
      </c>
      <c r="K8069">
        <v>0</v>
      </c>
      <c r="L8069" s="2">
        <v>0</v>
      </c>
      <c r="M8069">
        <v>79.5</v>
      </c>
      <c r="N8069" t="s">
        <v>10236</v>
      </c>
    </row>
    <row r="8070" spans="1:14">
      <c r="A8070" t="s">
        <v>35</v>
      </c>
      <c r="B8070" t="s">
        <v>8047</v>
      </c>
      <c r="C8070">
        <f>"KLA2S"</f>
        <v>0</v>
      </c>
      <c r="D8070">
        <v>0</v>
      </c>
      <c r="E8070">
        <v>8</v>
      </c>
      <c r="F8070" s="2">
        <v>3</v>
      </c>
      <c r="H8070">
        <v>0</v>
      </c>
      <c r="I8070">
        <v>0.1741125760648204</v>
      </c>
      <c r="J8070">
        <v>0</v>
      </c>
      <c r="K8070">
        <v>0</v>
      </c>
      <c r="L8070" s="2">
        <v>0</v>
      </c>
      <c r="M8070">
        <v>79.51000000000001</v>
      </c>
      <c r="N8070" t="s">
        <v>10236</v>
      </c>
    </row>
    <row r="8071" spans="1:14">
      <c r="A8071" t="s">
        <v>35</v>
      </c>
      <c r="B8071" t="s">
        <v>8048</v>
      </c>
      <c r="C8071">
        <f>"KLA2M"</f>
        <v>0</v>
      </c>
      <c r="D8071">
        <v>0</v>
      </c>
      <c r="E8071">
        <v>1</v>
      </c>
      <c r="F8071" s="2">
        <v>3</v>
      </c>
      <c r="H8071">
        <v>0</v>
      </c>
      <c r="I8071">
        <v>0.1741125760648204</v>
      </c>
      <c r="J8071">
        <v>0</v>
      </c>
      <c r="K8071">
        <v>0</v>
      </c>
      <c r="L8071" s="2">
        <v>0</v>
      </c>
      <c r="M8071">
        <v>79.52</v>
      </c>
      <c r="N8071" t="s">
        <v>10236</v>
      </c>
    </row>
    <row r="8072" spans="1:14">
      <c r="A8072" t="s">
        <v>35</v>
      </c>
      <c r="B8072" t="s">
        <v>8049</v>
      </c>
      <c r="C8072">
        <f>"KLA2L"</f>
        <v>0</v>
      </c>
      <c r="D8072">
        <v>0</v>
      </c>
      <c r="E8072">
        <v>5</v>
      </c>
      <c r="F8072" s="2">
        <v>4</v>
      </c>
      <c r="H8072">
        <v>0</v>
      </c>
      <c r="I8072">
        <v>0.1741125760648204</v>
      </c>
      <c r="J8072">
        <v>0</v>
      </c>
      <c r="K8072">
        <v>0</v>
      </c>
      <c r="L8072" s="2">
        <v>0</v>
      </c>
      <c r="M8072">
        <v>79.53</v>
      </c>
      <c r="N8072" t="s">
        <v>10236</v>
      </c>
    </row>
    <row r="8073" spans="1:14">
      <c r="A8073" t="s">
        <v>35</v>
      </c>
      <c r="B8073" t="s">
        <v>8050</v>
      </c>
      <c r="C8073">
        <f>"HD34XXXL"</f>
        <v>0</v>
      </c>
      <c r="D8073">
        <v>0</v>
      </c>
      <c r="E8073">
        <v>3</v>
      </c>
      <c r="F8073" s="2">
        <v>5</v>
      </c>
      <c r="H8073">
        <v>0</v>
      </c>
      <c r="I8073">
        <v>0.1741125760648204</v>
      </c>
      <c r="J8073">
        <v>0</v>
      </c>
      <c r="K8073">
        <v>0</v>
      </c>
      <c r="L8073" s="2">
        <v>0</v>
      </c>
      <c r="M8073">
        <v>79.54000000000001</v>
      </c>
      <c r="N8073" t="s">
        <v>10236</v>
      </c>
    </row>
    <row r="8074" spans="1:14">
      <c r="A8074" t="s">
        <v>35</v>
      </c>
      <c r="B8074" t="s">
        <v>8051</v>
      </c>
      <c r="C8074">
        <f>"HD34XXS"</f>
        <v>0</v>
      </c>
      <c r="D8074">
        <v>0</v>
      </c>
      <c r="E8074">
        <v>1</v>
      </c>
      <c r="F8074" s="2">
        <v>2</v>
      </c>
      <c r="H8074">
        <v>0</v>
      </c>
      <c r="I8074">
        <v>0.1741125760648204</v>
      </c>
      <c r="J8074">
        <v>0</v>
      </c>
      <c r="K8074">
        <v>0</v>
      </c>
      <c r="L8074" s="2">
        <v>0</v>
      </c>
      <c r="M8074">
        <v>79.55</v>
      </c>
      <c r="N8074" t="s">
        <v>10236</v>
      </c>
    </row>
    <row r="8075" spans="1:14">
      <c r="A8075" t="s">
        <v>35</v>
      </c>
      <c r="B8075" t="s">
        <v>8052</v>
      </c>
      <c r="C8075">
        <f>"HD23XS"</f>
        <v>0</v>
      </c>
      <c r="D8075">
        <v>0</v>
      </c>
      <c r="E8075">
        <v>0</v>
      </c>
      <c r="F8075" s="2">
        <v>0</v>
      </c>
      <c r="H8075">
        <v>0</v>
      </c>
      <c r="I8075">
        <v>0.1741125760648204</v>
      </c>
      <c r="J8075">
        <v>0</v>
      </c>
      <c r="K8075">
        <v>0</v>
      </c>
      <c r="L8075" s="2">
        <v>0</v>
      </c>
      <c r="M8075">
        <v>79.56</v>
      </c>
      <c r="N8075" t="s">
        <v>10236</v>
      </c>
    </row>
    <row r="8076" spans="1:14">
      <c r="A8076" t="s">
        <v>35</v>
      </c>
      <c r="B8076" t="s">
        <v>8053</v>
      </c>
      <c r="C8076">
        <f>"HD23XL"</f>
        <v>0</v>
      </c>
      <c r="D8076">
        <v>0</v>
      </c>
      <c r="E8076">
        <v>9</v>
      </c>
      <c r="F8076" s="2">
        <v>4</v>
      </c>
      <c r="H8076">
        <v>0</v>
      </c>
      <c r="I8076">
        <v>0.1741125760648204</v>
      </c>
      <c r="J8076">
        <v>0</v>
      </c>
      <c r="K8076">
        <v>0</v>
      </c>
      <c r="L8076" s="2">
        <v>0</v>
      </c>
      <c r="M8076">
        <v>79.56999999999999</v>
      </c>
      <c r="N8076" t="s">
        <v>10236</v>
      </c>
    </row>
    <row r="8077" spans="1:14">
      <c r="A8077" t="s">
        <v>35</v>
      </c>
      <c r="B8077" t="s">
        <v>8054</v>
      </c>
      <c r="C8077">
        <f>"HD23M"</f>
        <v>0</v>
      </c>
      <c r="D8077">
        <v>0</v>
      </c>
      <c r="E8077">
        <v>1</v>
      </c>
      <c r="F8077" s="2">
        <v>3</v>
      </c>
      <c r="H8077">
        <v>0</v>
      </c>
      <c r="I8077">
        <v>0.1741125760648204</v>
      </c>
      <c r="J8077">
        <v>0</v>
      </c>
      <c r="K8077">
        <v>0</v>
      </c>
      <c r="L8077" s="2">
        <v>0</v>
      </c>
      <c r="M8077">
        <v>79.58</v>
      </c>
      <c r="N8077" t="s">
        <v>10236</v>
      </c>
    </row>
    <row r="8078" spans="1:14">
      <c r="A8078" t="s">
        <v>35</v>
      </c>
      <c r="B8078" t="s">
        <v>8055</v>
      </c>
      <c r="C8078">
        <f>"HD34M"</f>
        <v>0</v>
      </c>
      <c r="D8078">
        <v>0</v>
      </c>
      <c r="E8078">
        <v>0</v>
      </c>
      <c r="F8078" s="2">
        <v>0</v>
      </c>
      <c r="H8078">
        <v>0</v>
      </c>
      <c r="I8078">
        <v>0.1741125760648204</v>
      </c>
      <c r="J8078">
        <v>0</v>
      </c>
      <c r="K8078">
        <v>0</v>
      </c>
      <c r="L8078" s="2">
        <v>0</v>
      </c>
      <c r="M8078">
        <v>79.59</v>
      </c>
      <c r="N8078" t="s">
        <v>10236</v>
      </c>
    </row>
    <row r="8079" spans="1:14">
      <c r="A8079" t="s">
        <v>35</v>
      </c>
      <c r="B8079" t="s">
        <v>8056</v>
      </c>
      <c r="C8079">
        <f>"HD34L"</f>
        <v>0</v>
      </c>
      <c r="D8079">
        <v>0</v>
      </c>
      <c r="E8079">
        <v>1</v>
      </c>
      <c r="F8079" s="2">
        <v>4</v>
      </c>
      <c r="H8079">
        <v>0</v>
      </c>
      <c r="I8079">
        <v>0.1741125760648204</v>
      </c>
      <c r="J8079">
        <v>0</v>
      </c>
      <c r="K8079">
        <v>0</v>
      </c>
      <c r="L8079" s="2">
        <v>0</v>
      </c>
      <c r="M8079">
        <v>79.59999999999999</v>
      </c>
      <c r="N8079" t="s">
        <v>10236</v>
      </c>
    </row>
    <row r="8080" spans="1:14">
      <c r="A8080" t="s">
        <v>35</v>
      </c>
      <c r="B8080" t="s">
        <v>8057</v>
      </c>
      <c r="C8080">
        <f>"HD38XXXL"</f>
        <v>0</v>
      </c>
      <c r="D8080">
        <v>0</v>
      </c>
      <c r="E8080">
        <v>6</v>
      </c>
      <c r="F8080" s="2">
        <v>5</v>
      </c>
      <c r="H8080">
        <v>0</v>
      </c>
      <c r="I8080">
        <v>0.1741125760648204</v>
      </c>
      <c r="J8080">
        <v>0</v>
      </c>
      <c r="K8080">
        <v>0</v>
      </c>
      <c r="L8080" s="2">
        <v>0</v>
      </c>
      <c r="M8080">
        <v>79.61</v>
      </c>
      <c r="N8080" t="s">
        <v>10236</v>
      </c>
    </row>
    <row r="8081" spans="1:14">
      <c r="A8081" t="s">
        <v>35</v>
      </c>
      <c r="B8081" t="s">
        <v>8058</v>
      </c>
      <c r="C8081">
        <f>"HD38XXS"</f>
        <v>0</v>
      </c>
      <c r="D8081">
        <v>0</v>
      </c>
      <c r="E8081">
        <v>4</v>
      </c>
      <c r="F8081" s="2">
        <v>2</v>
      </c>
      <c r="H8081">
        <v>0</v>
      </c>
      <c r="I8081">
        <v>0.1741125760648204</v>
      </c>
      <c r="J8081">
        <v>0</v>
      </c>
      <c r="K8081">
        <v>0</v>
      </c>
      <c r="L8081" s="2">
        <v>0</v>
      </c>
      <c r="M8081">
        <v>79.62</v>
      </c>
      <c r="N8081" t="s">
        <v>10236</v>
      </c>
    </row>
    <row r="8082" spans="1:14">
      <c r="A8082" t="s">
        <v>35</v>
      </c>
      <c r="B8082" t="s">
        <v>8059</v>
      </c>
      <c r="C8082">
        <f>"HD38XXL"</f>
        <v>0</v>
      </c>
      <c r="D8082">
        <v>0</v>
      </c>
      <c r="E8082">
        <v>10</v>
      </c>
      <c r="F8082" s="2">
        <v>4</v>
      </c>
      <c r="H8082">
        <v>0</v>
      </c>
      <c r="I8082">
        <v>0.1741125760648204</v>
      </c>
      <c r="J8082">
        <v>0</v>
      </c>
      <c r="K8082">
        <v>0</v>
      </c>
      <c r="L8082" s="2">
        <v>0</v>
      </c>
      <c r="M8082">
        <v>79.62</v>
      </c>
      <c r="N8082" t="s">
        <v>10236</v>
      </c>
    </row>
    <row r="8083" spans="1:14">
      <c r="A8083" t="s">
        <v>35</v>
      </c>
      <c r="B8083" t="s">
        <v>8060</v>
      </c>
      <c r="C8083">
        <f>"HD38XS"</f>
        <v>0</v>
      </c>
      <c r="D8083">
        <v>0</v>
      </c>
      <c r="E8083">
        <v>5</v>
      </c>
      <c r="F8083" s="2">
        <v>2</v>
      </c>
      <c r="H8083">
        <v>0</v>
      </c>
      <c r="I8083">
        <v>0.1741125760648204</v>
      </c>
      <c r="J8083">
        <v>0</v>
      </c>
      <c r="K8083">
        <v>0</v>
      </c>
      <c r="L8083" s="2">
        <v>0</v>
      </c>
      <c r="M8083">
        <v>79.63</v>
      </c>
      <c r="N8083" t="s">
        <v>10236</v>
      </c>
    </row>
    <row r="8084" spans="1:14">
      <c r="A8084" t="s">
        <v>35</v>
      </c>
      <c r="B8084" t="s">
        <v>8061</v>
      </c>
      <c r="C8084">
        <f>"KLA2XL"</f>
        <v>0</v>
      </c>
      <c r="D8084">
        <v>0</v>
      </c>
      <c r="E8084">
        <v>6</v>
      </c>
      <c r="F8084" s="2">
        <v>4</v>
      </c>
      <c r="H8084">
        <v>0</v>
      </c>
      <c r="I8084">
        <v>0.1741125760648204</v>
      </c>
      <c r="J8084">
        <v>0</v>
      </c>
      <c r="K8084">
        <v>0</v>
      </c>
      <c r="L8084" s="2">
        <v>0</v>
      </c>
      <c r="M8084">
        <v>79.64</v>
      </c>
      <c r="N8084" t="s">
        <v>10236</v>
      </c>
    </row>
    <row r="8085" spans="1:14">
      <c r="A8085" t="s">
        <v>35</v>
      </c>
      <c r="B8085" t="s">
        <v>8062</v>
      </c>
      <c r="C8085">
        <f>"PT090V"</f>
        <v>0</v>
      </c>
      <c r="D8085">
        <v>0</v>
      </c>
      <c r="E8085">
        <v>0</v>
      </c>
      <c r="F8085" s="2">
        <v>0</v>
      </c>
      <c r="H8085">
        <v>0</v>
      </c>
      <c r="I8085">
        <v>0.1741125760648204</v>
      </c>
      <c r="J8085">
        <v>0</v>
      </c>
      <c r="K8085">
        <v>0</v>
      </c>
      <c r="L8085" s="2">
        <v>0</v>
      </c>
      <c r="M8085">
        <v>79.65000000000001</v>
      </c>
      <c r="N8085" t="s">
        <v>10236</v>
      </c>
    </row>
    <row r="8086" spans="1:14">
      <c r="A8086" t="s">
        <v>35</v>
      </c>
      <c r="B8086" t="s">
        <v>8063</v>
      </c>
      <c r="C8086">
        <f>"PT090L"</f>
        <v>0</v>
      </c>
      <c r="D8086">
        <v>0</v>
      </c>
      <c r="E8086">
        <v>0</v>
      </c>
      <c r="F8086" s="2">
        <v>0</v>
      </c>
      <c r="H8086">
        <v>0</v>
      </c>
      <c r="I8086">
        <v>0.1741125760648204</v>
      </c>
      <c r="J8086">
        <v>0</v>
      </c>
      <c r="K8086">
        <v>0</v>
      </c>
      <c r="L8086" s="2">
        <v>0</v>
      </c>
      <c r="M8086">
        <v>79.66</v>
      </c>
      <c r="N8086" t="s">
        <v>10236</v>
      </c>
    </row>
    <row r="8087" spans="1:14">
      <c r="A8087" t="s">
        <v>35</v>
      </c>
      <c r="B8087" t="s">
        <v>8064</v>
      </c>
      <c r="C8087">
        <f>"pt090"</f>
        <v>0</v>
      </c>
      <c r="D8087">
        <v>0</v>
      </c>
      <c r="E8087">
        <v>0</v>
      </c>
      <c r="F8087" s="2">
        <v>0</v>
      </c>
      <c r="H8087">
        <v>0</v>
      </c>
      <c r="I8087">
        <v>0.1741125760648204</v>
      </c>
      <c r="J8087">
        <v>0</v>
      </c>
      <c r="K8087">
        <v>0</v>
      </c>
      <c r="L8087" s="2">
        <v>0</v>
      </c>
      <c r="M8087">
        <v>79.67</v>
      </c>
      <c r="N8087" t="s">
        <v>10236</v>
      </c>
    </row>
    <row r="8088" spans="1:14">
      <c r="A8088" t="s">
        <v>35</v>
      </c>
      <c r="B8088" t="s">
        <v>8065</v>
      </c>
      <c r="C8088">
        <f>"pt089"</f>
        <v>0</v>
      </c>
      <c r="D8088">
        <v>0</v>
      </c>
      <c r="E8088">
        <v>0</v>
      </c>
      <c r="F8088" s="2">
        <v>0</v>
      </c>
      <c r="H8088">
        <v>0</v>
      </c>
      <c r="I8088">
        <v>0.1741125760648204</v>
      </c>
      <c r="J8088">
        <v>0</v>
      </c>
      <c r="K8088">
        <v>0</v>
      </c>
      <c r="L8088" s="2">
        <v>0</v>
      </c>
      <c r="M8088">
        <v>79.68000000000001</v>
      </c>
      <c r="N8088" t="s">
        <v>10236</v>
      </c>
    </row>
    <row r="8089" spans="1:14">
      <c r="A8089" t="s">
        <v>35</v>
      </c>
      <c r="B8089" t="s">
        <v>8066</v>
      </c>
      <c r="C8089">
        <f>"pt088"</f>
        <v>0</v>
      </c>
      <c r="D8089">
        <v>0</v>
      </c>
      <c r="E8089">
        <v>0</v>
      </c>
      <c r="F8089" s="2">
        <v>0</v>
      </c>
      <c r="H8089">
        <v>0</v>
      </c>
      <c r="I8089">
        <v>0.1741125760648204</v>
      </c>
      <c r="J8089">
        <v>0</v>
      </c>
      <c r="K8089">
        <v>0</v>
      </c>
      <c r="L8089" s="2">
        <v>0</v>
      </c>
      <c r="M8089">
        <v>79.69</v>
      </c>
      <c r="N8089" t="s">
        <v>10236</v>
      </c>
    </row>
    <row r="8090" spans="1:14">
      <c r="A8090" t="s">
        <v>35</v>
      </c>
      <c r="B8090" t="s">
        <v>8067</v>
      </c>
      <c r="C8090">
        <f>"pt087"</f>
        <v>0</v>
      </c>
      <c r="D8090">
        <v>0</v>
      </c>
      <c r="E8090">
        <v>0</v>
      </c>
      <c r="F8090" s="2">
        <v>0</v>
      </c>
      <c r="H8090">
        <v>0</v>
      </c>
      <c r="I8090">
        <v>0.1741125760648204</v>
      </c>
      <c r="J8090">
        <v>0</v>
      </c>
      <c r="K8090">
        <v>0</v>
      </c>
      <c r="L8090" s="2">
        <v>0</v>
      </c>
      <c r="M8090">
        <v>79.7</v>
      </c>
      <c r="N8090" t="s">
        <v>10236</v>
      </c>
    </row>
    <row r="8091" spans="1:14">
      <c r="A8091" t="s">
        <v>35</v>
      </c>
      <c r="B8091" t="s">
        <v>8068</v>
      </c>
      <c r="C8091">
        <f>"pt086"</f>
        <v>0</v>
      </c>
      <c r="D8091">
        <v>0</v>
      </c>
      <c r="E8091">
        <v>0</v>
      </c>
      <c r="F8091" s="2">
        <v>0</v>
      </c>
      <c r="H8091">
        <v>0</v>
      </c>
      <c r="I8091">
        <v>0.1741125760648204</v>
      </c>
      <c r="J8091">
        <v>0</v>
      </c>
      <c r="K8091">
        <v>0</v>
      </c>
      <c r="L8091" s="2">
        <v>0</v>
      </c>
      <c r="M8091">
        <v>79.70999999999999</v>
      </c>
      <c r="N8091" t="s">
        <v>10236</v>
      </c>
    </row>
    <row r="8092" spans="1:14">
      <c r="A8092" t="s">
        <v>35</v>
      </c>
      <c r="B8092" t="s">
        <v>8069</v>
      </c>
      <c r="C8092">
        <f>"pt085"</f>
        <v>0</v>
      </c>
      <c r="D8092">
        <v>0</v>
      </c>
      <c r="E8092">
        <v>0</v>
      </c>
      <c r="F8092" s="2">
        <v>0</v>
      </c>
      <c r="H8092">
        <v>0</v>
      </c>
      <c r="I8092">
        <v>0.1741125760648204</v>
      </c>
      <c r="J8092">
        <v>0</v>
      </c>
      <c r="K8092">
        <v>0</v>
      </c>
      <c r="L8092" s="2">
        <v>0</v>
      </c>
      <c r="M8092">
        <v>79.72</v>
      </c>
      <c r="N8092" t="s">
        <v>10236</v>
      </c>
    </row>
    <row r="8093" spans="1:14">
      <c r="A8093" t="s">
        <v>35</v>
      </c>
      <c r="B8093" t="s">
        <v>8070</v>
      </c>
      <c r="C8093">
        <f>"pt071"</f>
        <v>0</v>
      </c>
      <c r="D8093">
        <v>0</v>
      </c>
      <c r="E8093">
        <v>0</v>
      </c>
      <c r="F8093" s="2">
        <v>0</v>
      </c>
      <c r="H8093">
        <v>0</v>
      </c>
      <c r="I8093">
        <v>0.1741125760648204</v>
      </c>
      <c r="J8093">
        <v>0</v>
      </c>
      <c r="K8093">
        <v>0</v>
      </c>
      <c r="L8093" s="2">
        <v>0</v>
      </c>
      <c r="M8093">
        <v>79.73</v>
      </c>
      <c r="N8093" t="s">
        <v>10236</v>
      </c>
    </row>
    <row r="8094" spans="1:14">
      <c r="A8094" t="s">
        <v>35</v>
      </c>
      <c r="B8094" t="s">
        <v>8071</v>
      </c>
      <c r="C8094">
        <f>"pt070"</f>
        <v>0</v>
      </c>
      <c r="D8094">
        <v>0</v>
      </c>
      <c r="E8094">
        <v>0</v>
      </c>
      <c r="F8094" s="2">
        <v>0</v>
      </c>
      <c r="H8094">
        <v>0</v>
      </c>
      <c r="I8094">
        <v>0.1741125760648204</v>
      </c>
      <c r="J8094">
        <v>0</v>
      </c>
      <c r="K8094">
        <v>0</v>
      </c>
      <c r="L8094" s="2">
        <v>0</v>
      </c>
      <c r="M8094">
        <v>79.73</v>
      </c>
      <c r="N8094" t="s">
        <v>10236</v>
      </c>
    </row>
    <row r="8095" spans="1:14">
      <c r="A8095" t="s">
        <v>35</v>
      </c>
      <c r="B8095" t="s">
        <v>8072</v>
      </c>
      <c r="C8095">
        <f>"pt069"</f>
        <v>0</v>
      </c>
      <c r="D8095">
        <v>0</v>
      </c>
      <c r="E8095">
        <v>0</v>
      </c>
      <c r="F8095" s="2">
        <v>0</v>
      </c>
      <c r="H8095">
        <v>0</v>
      </c>
      <c r="I8095">
        <v>0.1741125760648204</v>
      </c>
      <c r="J8095">
        <v>0</v>
      </c>
      <c r="K8095">
        <v>0</v>
      </c>
      <c r="L8095" s="2">
        <v>0</v>
      </c>
      <c r="M8095">
        <v>79.73999999999999</v>
      </c>
      <c r="N8095" t="s">
        <v>10236</v>
      </c>
    </row>
    <row r="8096" spans="1:14">
      <c r="A8096" t="s">
        <v>196</v>
      </c>
      <c r="B8096" t="s">
        <v>8073</v>
      </c>
      <c r="C8096">
        <f>"2140"</f>
        <v>0</v>
      </c>
      <c r="D8096">
        <v>0</v>
      </c>
      <c r="E8096">
        <v>1</v>
      </c>
      <c r="F8096" s="2">
        <v>3</v>
      </c>
      <c r="H8096">
        <v>0</v>
      </c>
      <c r="I8096">
        <v>0.1741125760648204</v>
      </c>
      <c r="J8096">
        <v>0</v>
      </c>
      <c r="K8096">
        <v>0</v>
      </c>
      <c r="L8096" s="2">
        <v>0</v>
      </c>
      <c r="M8096">
        <v>79.75</v>
      </c>
      <c r="N8096" t="s">
        <v>10236</v>
      </c>
    </row>
    <row r="8097" spans="1:14">
      <c r="A8097" t="s">
        <v>196</v>
      </c>
      <c r="B8097" t="s">
        <v>8074</v>
      </c>
      <c r="C8097">
        <f>"2388"</f>
        <v>0</v>
      </c>
      <c r="D8097">
        <v>0</v>
      </c>
      <c r="E8097">
        <v>2</v>
      </c>
      <c r="F8097" s="2">
        <v>2</v>
      </c>
      <c r="H8097">
        <v>0</v>
      </c>
      <c r="I8097">
        <v>0.1741125760648204</v>
      </c>
      <c r="J8097">
        <v>0</v>
      </c>
      <c r="K8097">
        <v>0</v>
      </c>
      <c r="L8097" s="2">
        <v>0</v>
      </c>
      <c r="M8097">
        <v>79.76000000000001</v>
      </c>
      <c r="N8097" t="s">
        <v>10236</v>
      </c>
    </row>
    <row r="8098" spans="1:14">
      <c r="A8098" t="s">
        <v>196</v>
      </c>
      <c r="B8098" t="s">
        <v>8075</v>
      </c>
      <c r="C8098">
        <f>"2387"</f>
        <v>0</v>
      </c>
      <c r="D8098">
        <v>0</v>
      </c>
      <c r="E8098">
        <v>1</v>
      </c>
      <c r="F8098" s="2">
        <v>2</v>
      </c>
      <c r="H8098">
        <v>0</v>
      </c>
      <c r="I8098">
        <v>0.1741125760648204</v>
      </c>
      <c r="J8098">
        <v>0</v>
      </c>
      <c r="K8098">
        <v>0</v>
      </c>
      <c r="L8098" s="2">
        <v>0</v>
      </c>
      <c r="M8098">
        <v>79.77</v>
      </c>
      <c r="N8098" t="s">
        <v>10236</v>
      </c>
    </row>
    <row r="8099" spans="1:14">
      <c r="A8099" t="s">
        <v>35</v>
      </c>
      <c r="B8099" t="s">
        <v>8076</v>
      </c>
      <c r="C8099">
        <f>"KLA13S"</f>
        <v>0</v>
      </c>
      <c r="D8099">
        <v>0</v>
      </c>
      <c r="E8099">
        <v>9</v>
      </c>
      <c r="F8099" s="2">
        <v>3</v>
      </c>
      <c r="H8099">
        <v>0</v>
      </c>
      <c r="I8099">
        <v>0.1741125760648204</v>
      </c>
      <c r="J8099">
        <v>0</v>
      </c>
      <c r="K8099">
        <v>0</v>
      </c>
      <c r="L8099" s="2">
        <v>0</v>
      </c>
      <c r="M8099">
        <v>79.78</v>
      </c>
      <c r="N8099" t="s">
        <v>10236</v>
      </c>
    </row>
    <row r="8100" spans="1:14">
      <c r="A8100" t="s">
        <v>194</v>
      </c>
      <c r="B8100" t="s">
        <v>8077</v>
      </c>
      <c r="C8100">
        <f>"10625"</f>
        <v>0</v>
      </c>
      <c r="D8100">
        <v>0</v>
      </c>
      <c r="E8100">
        <v>0</v>
      </c>
      <c r="F8100" s="2">
        <v>0</v>
      </c>
      <c r="H8100">
        <v>0</v>
      </c>
      <c r="I8100">
        <v>0.1741125760648204</v>
      </c>
      <c r="J8100">
        <v>0</v>
      </c>
      <c r="K8100">
        <v>0</v>
      </c>
      <c r="L8100" s="2">
        <v>0</v>
      </c>
      <c r="M8100">
        <v>79.79000000000001</v>
      </c>
      <c r="N8100" t="s">
        <v>10236</v>
      </c>
    </row>
    <row r="8101" spans="1:14">
      <c r="A8101" t="s">
        <v>194</v>
      </c>
      <c r="B8101" t="s">
        <v>8078</v>
      </c>
      <c r="C8101">
        <f>"10600"</f>
        <v>0</v>
      </c>
      <c r="D8101">
        <v>0</v>
      </c>
      <c r="E8101">
        <v>0</v>
      </c>
      <c r="F8101" s="2">
        <v>0</v>
      </c>
      <c r="H8101">
        <v>0</v>
      </c>
      <c r="I8101">
        <v>0.1741125760648204</v>
      </c>
      <c r="J8101">
        <v>0</v>
      </c>
      <c r="K8101">
        <v>0</v>
      </c>
      <c r="L8101" s="2">
        <v>0</v>
      </c>
      <c r="M8101">
        <v>79.8</v>
      </c>
      <c r="N8101" t="s">
        <v>10236</v>
      </c>
    </row>
    <row r="8102" spans="1:14">
      <c r="A8102" t="s">
        <v>194</v>
      </c>
      <c r="B8102" t="s">
        <v>8079</v>
      </c>
      <c r="C8102">
        <f>"10627"</f>
        <v>0</v>
      </c>
      <c r="D8102">
        <v>0</v>
      </c>
      <c r="E8102">
        <v>0</v>
      </c>
      <c r="F8102" s="2">
        <v>0</v>
      </c>
      <c r="H8102">
        <v>0</v>
      </c>
      <c r="I8102">
        <v>0.1741125760648204</v>
      </c>
      <c r="J8102">
        <v>0</v>
      </c>
      <c r="K8102">
        <v>0</v>
      </c>
      <c r="L8102" s="2">
        <v>0</v>
      </c>
      <c r="M8102">
        <v>79.81</v>
      </c>
      <c r="N8102" t="s">
        <v>10236</v>
      </c>
    </row>
    <row r="8103" spans="1:14">
      <c r="A8103" t="s">
        <v>194</v>
      </c>
      <c r="B8103" t="s">
        <v>8080</v>
      </c>
      <c r="C8103">
        <f>"10629"</f>
        <v>0</v>
      </c>
      <c r="D8103">
        <v>0</v>
      </c>
      <c r="E8103">
        <v>0</v>
      </c>
      <c r="F8103" s="2">
        <v>0</v>
      </c>
      <c r="H8103">
        <v>0</v>
      </c>
      <c r="I8103">
        <v>0.1741125760648204</v>
      </c>
      <c r="J8103">
        <v>0</v>
      </c>
      <c r="K8103">
        <v>0</v>
      </c>
      <c r="L8103" s="2">
        <v>0</v>
      </c>
      <c r="M8103">
        <v>79.81999999999999</v>
      </c>
      <c r="N8103" t="s">
        <v>10236</v>
      </c>
    </row>
    <row r="8104" spans="1:14">
      <c r="A8104" t="s">
        <v>194</v>
      </c>
      <c r="B8104" t="s">
        <v>8081</v>
      </c>
      <c r="C8104">
        <f>"10607"</f>
        <v>0</v>
      </c>
      <c r="D8104">
        <v>0</v>
      </c>
      <c r="E8104">
        <v>0</v>
      </c>
      <c r="F8104" s="2">
        <v>0</v>
      </c>
      <c r="H8104">
        <v>0</v>
      </c>
      <c r="I8104">
        <v>0.1741125760648204</v>
      </c>
      <c r="J8104">
        <v>0</v>
      </c>
      <c r="K8104">
        <v>0</v>
      </c>
      <c r="L8104" s="2">
        <v>0</v>
      </c>
      <c r="M8104">
        <v>79.83</v>
      </c>
      <c r="N8104" t="s">
        <v>10236</v>
      </c>
    </row>
    <row r="8105" spans="1:14">
      <c r="A8105" t="s">
        <v>194</v>
      </c>
      <c r="B8105" t="s">
        <v>8082</v>
      </c>
      <c r="C8105">
        <f>"10626"</f>
        <v>0</v>
      </c>
      <c r="D8105">
        <v>0</v>
      </c>
      <c r="E8105">
        <v>0</v>
      </c>
      <c r="F8105" s="2">
        <v>0</v>
      </c>
      <c r="H8105">
        <v>0</v>
      </c>
      <c r="I8105">
        <v>0.1741125760648204</v>
      </c>
      <c r="J8105">
        <v>0</v>
      </c>
      <c r="K8105">
        <v>0</v>
      </c>
      <c r="L8105" s="2">
        <v>0</v>
      </c>
      <c r="M8105">
        <v>79.84</v>
      </c>
      <c r="N8105" t="s">
        <v>10236</v>
      </c>
    </row>
    <row r="8106" spans="1:14">
      <c r="A8106" t="s">
        <v>196</v>
      </c>
      <c r="B8106" t="s">
        <v>8083</v>
      </c>
      <c r="C8106">
        <f>"2389"</f>
        <v>0</v>
      </c>
      <c r="D8106">
        <v>0</v>
      </c>
      <c r="E8106">
        <v>1</v>
      </c>
      <c r="F8106" s="2">
        <v>1</v>
      </c>
      <c r="H8106">
        <v>0</v>
      </c>
      <c r="I8106">
        <v>0.1741125760648204</v>
      </c>
      <c r="J8106">
        <v>0</v>
      </c>
      <c r="K8106">
        <v>0</v>
      </c>
      <c r="L8106" s="2">
        <v>0</v>
      </c>
      <c r="M8106">
        <v>79.84999999999999</v>
      </c>
      <c r="N8106" t="s">
        <v>10236</v>
      </c>
    </row>
    <row r="8107" spans="1:14">
      <c r="A8107" t="s">
        <v>35</v>
      </c>
      <c r="B8107" t="s">
        <v>8084</v>
      </c>
      <c r="C8107">
        <f>"HD34XXL"</f>
        <v>0</v>
      </c>
      <c r="D8107">
        <v>0</v>
      </c>
      <c r="E8107">
        <v>8</v>
      </c>
      <c r="F8107" s="2">
        <v>4</v>
      </c>
      <c r="H8107">
        <v>0</v>
      </c>
      <c r="I8107">
        <v>0.1741125760648204</v>
      </c>
      <c r="J8107">
        <v>0</v>
      </c>
      <c r="K8107">
        <v>0</v>
      </c>
      <c r="L8107" s="2">
        <v>0</v>
      </c>
      <c r="M8107">
        <v>79.84999999999999</v>
      </c>
      <c r="N8107" t="s">
        <v>10236</v>
      </c>
    </row>
    <row r="8108" spans="1:14">
      <c r="A8108" t="s">
        <v>35</v>
      </c>
      <c r="B8108" t="s">
        <v>8085</v>
      </c>
      <c r="C8108">
        <f>"HD34XS"</f>
        <v>0</v>
      </c>
      <c r="D8108">
        <v>0</v>
      </c>
      <c r="E8108">
        <v>9</v>
      </c>
      <c r="F8108" s="2">
        <v>3</v>
      </c>
      <c r="H8108">
        <v>0</v>
      </c>
      <c r="I8108">
        <v>0.1741125760648204</v>
      </c>
      <c r="J8108">
        <v>0</v>
      </c>
      <c r="K8108">
        <v>0</v>
      </c>
      <c r="L8108" s="2">
        <v>0</v>
      </c>
      <c r="M8108">
        <v>79.86</v>
      </c>
      <c r="N8108" t="s">
        <v>10236</v>
      </c>
    </row>
    <row r="8109" spans="1:14">
      <c r="A8109" t="s">
        <v>35</v>
      </c>
      <c r="B8109" t="s">
        <v>8086</v>
      </c>
      <c r="C8109">
        <f>"HD34XL"</f>
        <v>0</v>
      </c>
      <c r="D8109">
        <v>0</v>
      </c>
      <c r="E8109">
        <v>2</v>
      </c>
      <c r="F8109" s="2">
        <v>4</v>
      </c>
      <c r="H8109">
        <v>0</v>
      </c>
      <c r="I8109">
        <v>0.1741125760648204</v>
      </c>
      <c r="J8109">
        <v>0</v>
      </c>
      <c r="K8109">
        <v>0</v>
      </c>
      <c r="L8109" s="2">
        <v>0</v>
      </c>
      <c r="M8109">
        <v>79.87</v>
      </c>
      <c r="N8109" t="s">
        <v>10236</v>
      </c>
    </row>
    <row r="8110" spans="1:14">
      <c r="A8110" t="s">
        <v>35</v>
      </c>
      <c r="B8110" t="s">
        <v>8087</v>
      </c>
      <c r="C8110">
        <f>"HD34S"</f>
        <v>0</v>
      </c>
      <c r="D8110">
        <v>0</v>
      </c>
      <c r="E8110">
        <v>7</v>
      </c>
      <c r="F8110" s="2">
        <v>3</v>
      </c>
      <c r="H8110">
        <v>0</v>
      </c>
      <c r="I8110">
        <v>0.1741125760648204</v>
      </c>
      <c r="J8110">
        <v>0</v>
      </c>
      <c r="K8110">
        <v>0</v>
      </c>
      <c r="L8110" s="2">
        <v>0</v>
      </c>
      <c r="M8110">
        <v>79.88</v>
      </c>
      <c r="N8110" t="s">
        <v>10236</v>
      </c>
    </row>
    <row r="8111" spans="1:14">
      <c r="A8111" t="s">
        <v>194</v>
      </c>
      <c r="B8111" t="s">
        <v>8088</v>
      </c>
      <c r="C8111">
        <f>"10603"</f>
        <v>0</v>
      </c>
      <c r="D8111">
        <v>0</v>
      </c>
      <c r="E8111">
        <v>0</v>
      </c>
      <c r="F8111" s="2">
        <v>0</v>
      </c>
      <c r="H8111">
        <v>0</v>
      </c>
      <c r="I8111">
        <v>0.1741125760648204</v>
      </c>
      <c r="J8111">
        <v>0</v>
      </c>
      <c r="K8111">
        <v>0</v>
      </c>
      <c r="L8111" s="2">
        <v>0</v>
      </c>
      <c r="M8111">
        <v>79.89</v>
      </c>
      <c r="N8111" t="s">
        <v>10236</v>
      </c>
    </row>
    <row r="8112" spans="1:14">
      <c r="A8112" t="s">
        <v>35</v>
      </c>
      <c r="B8112" t="s">
        <v>8089</v>
      </c>
      <c r="C8112">
        <f>"KLA13XXL"</f>
        <v>0</v>
      </c>
      <c r="D8112">
        <v>0</v>
      </c>
      <c r="E8112">
        <v>4</v>
      </c>
      <c r="F8112" s="2">
        <v>4</v>
      </c>
      <c r="H8112">
        <v>0</v>
      </c>
      <c r="I8112">
        <v>0.1741125760648204</v>
      </c>
      <c r="J8112">
        <v>0</v>
      </c>
      <c r="K8112">
        <v>0</v>
      </c>
      <c r="L8112" s="2">
        <v>0</v>
      </c>
      <c r="M8112">
        <v>79.90000000000001</v>
      </c>
      <c r="N8112" t="s">
        <v>10236</v>
      </c>
    </row>
    <row r="8113" spans="1:14">
      <c r="A8113" t="s">
        <v>35</v>
      </c>
      <c r="B8113" t="s">
        <v>8090</v>
      </c>
      <c r="C8113">
        <f>"KLA13XS"</f>
        <v>0</v>
      </c>
      <c r="D8113">
        <v>0</v>
      </c>
      <c r="E8113">
        <v>8</v>
      </c>
      <c r="F8113" s="2">
        <v>3</v>
      </c>
      <c r="H8113">
        <v>0</v>
      </c>
      <c r="I8113">
        <v>0.1741125760648204</v>
      </c>
      <c r="J8113">
        <v>0</v>
      </c>
      <c r="K8113">
        <v>0</v>
      </c>
      <c r="L8113" s="2">
        <v>0</v>
      </c>
      <c r="M8113">
        <v>79.91</v>
      </c>
      <c r="N8113" t="s">
        <v>10236</v>
      </c>
    </row>
    <row r="8114" spans="1:14">
      <c r="A8114" t="s">
        <v>35</v>
      </c>
      <c r="B8114" t="s">
        <v>8091</v>
      </c>
      <c r="C8114">
        <f>"KLA13XL"</f>
        <v>0</v>
      </c>
      <c r="D8114">
        <v>0</v>
      </c>
      <c r="E8114">
        <v>4</v>
      </c>
      <c r="F8114" s="2">
        <v>4</v>
      </c>
      <c r="H8114">
        <v>0</v>
      </c>
      <c r="I8114">
        <v>0.1741125760648204</v>
      </c>
      <c r="J8114">
        <v>0</v>
      </c>
      <c r="K8114">
        <v>0</v>
      </c>
      <c r="L8114" s="2">
        <v>0</v>
      </c>
      <c r="M8114">
        <v>79.92</v>
      </c>
      <c r="N8114" t="s">
        <v>10236</v>
      </c>
    </row>
    <row r="8115" spans="1:14">
      <c r="A8115" t="s">
        <v>196</v>
      </c>
      <c r="B8115" t="s">
        <v>8092</v>
      </c>
      <c r="C8115">
        <f>"2385"</f>
        <v>0</v>
      </c>
      <c r="D8115">
        <v>0</v>
      </c>
      <c r="E8115">
        <v>0</v>
      </c>
      <c r="F8115" s="2">
        <v>0</v>
      </c>
      <c r="H8115">
        <v>0</v>
      </c>
      <c r="I8115">
        <v>0.1741125760648204</v>
      </c>
      <c r="J8115">
        <v>0</v>
      </c>
      <c r="K8115">
        <v>0</v>
      </c>
      <c r="L8115" s="2">
        <v>0</v>
      </c>
      <c r="M8115">
        <v>79.93000000000001</v>
      </c>
      <c r="N8115" t="s">
        <v>10236</v>
      </c>
    </row>
    <row r="8116" spans="1:14">
      <c r="A8116" t="s">
        <v>35</v>
      </c>
      <c r="B8116" t="s">
        <v>8093</v>
      </c>
      <c r="C8116">
        <f>"ELI121A"</f>
        <v>0</v>
      </c>
      <c r="D8116">
        <v>0</v>
      </c>
      <c r="E8116">
        <v>2</v>
      </c>
      <c r="F8116" s="2">
        <v>3</v>
      </c>
      <c r="H8116">
        <v>0</v>
      </c>
      <c r="I8116">
        <v>0.1741125760648204</v>
      </c>
      <c r="J8116">
        <v>0</v>
      </c>
      <c r="K8116">
        <v>0</v>
      </c>
      <c r="L8116" s="2">
        <v>0</v>
      </c>
      <c r="M8116">
        <v>79.94</v>
      </c>
      <c r="N8116" t="s">
        <v>10236</v>
      </c>
    </row>
    <row r="8117" spans="1:14">
      <c r="A8117" t="s">
        <v>35</v>
      </c>
      <c r="B8117" t="s">
        <v>8094</v>
      </c>
      <c r="C8117">
        <f>"S0107004"</f>
        <v>0</v>
      </c>
      <c r="D8117">
        <v>0</v>
      </c>
      <c r="E8117">
        <v>20</v>
      </c>
      <c r="F8117" s="2">
        <v>13</v>
      </c>
      <c r="H8117">
        <v>0</v>
      </c>
      <c r="I8117">
        <v>0.1741125760648204</v>
      </c>
      <c r="J8117">
        <v>0</v>
      </c>
      <c r="K8117">
        <v>0</v>
      </c>
      <c r="L8117" s="2">
        <v>0</v>
      </c>
      <c r="M8117">
        <v>79.95</v>
      </c>
      <c r="N8117" t="s">
        <v>10236</v>
      </c>
    </row>
    <row r="8118" spans="1:14">
      <c r="A8118" t="s">
        <v>35</v>
      </c>
      <c r="B8118" t="s">
        <v>8095</v>
      </c>
      <c r="C8118">
        <f>"HD28XL"</f>
        <v>0</v>
      </c>
      <c r="D8118">
        <v>0</v>
      </c>
      <c r="E8118">
        <v>0</v>
      </c>
      <c r="F8118" s="2">
        <v>0</v>
      </c>
      <c r="H8118">
        <v>0</v>
      </c>
      <c r="I8118">
        <v>0.1741125760648204</v>
      </c>
      <c r="J8118">
        <v>0</v>
      </c>
      <c r="K8118">
        <v>0</v>
      </c>
      <c r="L8118" s="2">
        <v>0</v>
      </c>
      <c r="M8118">
        <v>79.95999999999999</v>
      </c>
      <c r="N8118" t="s">
        <v>10236</v>
      </c>
    </row>
    <row r="8119" spans="1:14">
      <c r="A8119" t="s">
        <v>35</v>
      </c>
      <c r="B8119" t="s">
        <v>8096</v>
      </c>
      <c r="C8119">
        <f>"HD28S"</f>
        <v>0</v>
      </c>
      <c r="D8119">
        <v>0</v>
      </c>
      <c r="E8119">
        <v>0</v>
      </c>
      <c r="F8119" s="2">
        <v>0</v>
      </c>
      <c r="H8119">
        <v>0</v>
      </c>
      <c r="I8119">
        <v>0.1741125760648204</v>
      </c>
      <c r="J8119">
        <v>0</v>
      </c>
      <c r="K8119">
        <v>0</v>
      </c>
      <c r="L8119" s="2">
        <v>0</v>
      </c>
      <c r="M8119">
        <v>79.97</v>
      </c>
      <c r="N8119" t="s">
        <v>10236</v>
      </c>
    </row>
    <row r="8120" spans="1:14">
      <c r="A8120" t="s">
        <v>35</v>
      </c>
      <c r="B8120" t="s">
        <v>8097</v>
      </c>
      <c r="C8120">
        <f>"HD28M"</f>
        <v>0</v>
      </c>
      <c r="D8120">
        <v>0</v>
      </c>
      <c r="E8120">
        <v>0</v>
      </c>
      <c r="F8120" s="2">
        <v>0</v>
      </c>
      <c r="H8120">
        <v>0</v>
      </c>
      <c r="I8120">
        <v>0.1741125760648204</v>
      </c>
      <c r="J8120">
        <v>0</v>
      </c>
      <c r="K8120">
        <v>0</v>
      </c>
      <c r="L8120" s="2">
        <v>0</v>
      </c>
      <c r="M8120">
        <v>79.97</v>
      </c>
      <c r="N8120" t="s">
        <v>10236</v>
      </c>
    </row>
    <row r="8121" spans="1:14">
      <c r="A8121" t="s">
        <v>35</v>
      </c>
      <c r="B8121" t="s">
        <v>8098</v>
      </c>
      <c r="C8121">
        <f>"HD28L"</f>
        <v>0</v>
      </c>
      <c r="D8121">
        <v>0</v>
      </c>
      <c r="E8121">
        <v>0</v>
      </c>
      <c r="F8121" s="2">
        <v>0</v>
      </c>
      <c r="H8121">
        <v>0</v>
      </c>
      <c r="I8121">
        <v>0.1741125760648204</v>
      </c>
      <c r="J8121">
        <v>0</v>
      </c>
      <c r="K8121">
        <v>0</v>
      </c>
      <c r="L8121" s="2">
        <v>0</v>
      </c>
      <c r="M8121">
        <v>79.98</v>
      </c>
      <c r="N8121" t="s">
        <v>10236</v>
      </c>
    </row>
    <row r="8122" spans="1:14">
      <c r="A8122" t="s">
        <v>35</v>
      </c>
      <c r="B8122" t="s">
        <v>8099</v>
      </c>
      <c r="C8122">
        <f>"JXW18035XL"</f>
        <v>0</v>
      </c>
      <c r="D8122">
        <v>0</v>
      </c>
      <c r="E8122">
        <v>0</v>
      </c>
      <c r="F8122" s="2">
        <v>0</v>
      </c>
      <c r="H8122">
        <v>0</v>
      </c>
      <c r="I8122">
        <v>0.1741125760648204</v>
      </c>
      <c r="J8122">
        <v>0</v>
      </c>
      <c r="K8122">
        <v>0</v>
      </c>
      <c r="L8122" s="2">
        <v>0</v>
      </c>
      <c r="M8122">
        <v>79.98999999999999</v>
      </c>
      <c r="N8122" t="s">
        <v>10236</v>
      </c>
    </row>
    <row r="8123" spans="1:14">
      <c r="A8123" t="s">
        <v>35</v>
      </c>
      <c r="B8123" t="s">
        <v>8100</v>
      </c>
      <c r="C8123">
        <f>"JXW18035S"</f>
        <v>0</v>
      </c>
      <c r="D8123">
        <v>0</v>
      </c>
      <c r="E8123">
        <v>1</v>
      </c>
      <c r="F8123" s="2">
        <v>6</v>
      </c>
      <c r="H8123">
        <v>0</v>
      </c>
      <c r="I8123">
        <v>0.1741125760648204</v>
      </c>
      <c r="J8123">
        <v>0</v>
      </c>
      <c r="K8123">
        <v>0</v>
      </c>
      <c r="L8123" s="2">
        <v>0</v>
      </c>
      <c r="M8123">
        <v>80</v>
      </c>
      <c r="N8123" t="s">
        <v>10236</v>
      </c>
    </row>
    <row r="8124" spans="1:14">
      <c r="A8124" t="s">
        <v>35</v>
      </c>
      <c r="B8124" t="s">
        <v>8101</v>
      </c>
      <c r="C8124">
        <f>"8331SGR"</f>
        <v>0</v>
      </c>
      <c r="D8124">
        <v>0</v>
      </c>
      <c r="E8124">
        <v>3</v>
      </c>
      <c r="F8124" s="2">
        <v>18</v>
      </c>
      <c r="H8124">
        <v>0</v>
      </c>
      <c r="I8124">
        <v>0.1741125760648204</v>
      </c>
      <c r="J8124">
        <v>0</v>
      </c>
      <c r="K8124">
        <v>0</v>
      </c>
      <c r="L8124" s="2">
        <v>0</v>
      </c>
      <c r="M8124">
        <v>80.01000000000001</v>
      </c>
      <c r="N8124" t="s">
        <v>10236</v>
      </c>
    </row>
    <row r="8125" spans="1:14">
      <c r="A8125" t="s">
        <v>35</v>
      </c>
      <c r="B8125" t="s">
        <v>8102</v>
      </c>
      <c r="C8125">
        <f>"8332LGR"</f>
        <v>0</v>
      </c>
      <c r="D8125">
        <v>0</v>
      </c>
      <c r="E8125">
        <v>0</v>
      </c>
      <c r="F8125" s="2">
        <v>0</v>
      </c>
      <c r="H8125">
        <v>0</v>
      </c>
      <c r="I8125">
        <v>0.1741125760648204</v>
      </c>
      <c r="J8125">
        <v>0</v>
      </c>
      <c r="K8125">
        <v>0</v>
      </c>
      <c r="L8125" s="2">
        <v>0</v>
      </c>
      <c r="M8125">
        <v>80.02</v>
      </c>
      <c r="N8125" t="s">
        <v>10236</v>
      </c>
    </row>
    <row r="8126" spans="1:14">
      <c r="A8126" t="s">
        <v>35</v>
      </c>
      <c r="B8126" t="s">
        <v>8103</v>
      </c>
      <c r="C8126">
        <f>"8334LGA"</f>
        <v>0</v>
      </c>
      <c r="D8126">
        <v>0</v>
      </c>
      <c r="E8126">
        <v>0</v>
      </c>
      <c r="F8126" s="2">
        <v>0</v>
      </c>
      <c r="H8126">
        <v>0</v>
      </c>
      <c r="I8126">
        <v>0.1741125760648204</v>
      </c>
      <c r="J8126">
        <v>0</v>
      </c>
      <c r="K8126">
        <v>0</v>
      </c>
      <c r="L8126" s="2">
        <v>0</v>
      </c>
      <c r="M8126">
        <v>80.03</v>
      </c>
      <c r="N8126" t="s">
        <v>10236</v>
      </c>
    </row>
    <row r="8127" spans="1:14">
      <c r="A8127" t="s">
        <v>35</v>
      </c>
      <c r="B8127" t="s">
        <v>8104</v>
      </c>
      <c r="C8127">
        <f>"JXV18015XL"</f>
        <v>0</v>
      </c>
      <c r="D8127">
        <v>0</v>
      </c>
      <c r="E8127">
        <v>0</v>
      </c>
      <c r="F8127" s="2">
        <v>0</v>
      </c>
      <c r="H8127">
        <v>0</v>
      </c>
      <c r="I8127">
        <v>0.1741125760648204</v>
      </c>
      <c r="J8127">
        <v>0</v>
      </c>
      <c r="K8127">
        <v>0</v>
      </c>
      <c r="L8127" s="2">
        <v>0</v>
      </c>
      <c r="M8127">
        <v>80.04000000000001</v>
      </c>
      <c r="N8127" t="s">
        <v>10236</v>
      </c>
    </row>
    <row r="8128" spans="1:14">
      <c r="A8128" t="s">
        <v>35</v>
      </c>
      <c r="B8128" t="s">
        <v>8105</v>
      </c>
      <c r="C8128">
        <f>"AX0509L"</f>
        <v>0</v>
      </c>
      <c r="D8128">
        <v>0</v>
      </c>
      <c r="E8128">
        <v>0</v>
      </c>
      <c r="F8128" s="2">
        <v>0</v>
      </c>
      <c r="H8128">
        <v>0</v>
      </c>
      <c r="I8128">
        <v>0.1741125760648204</v>
      </c>
      <c r="J8128">
        <v>0</v>
      </c>
      <c r="K8128">
        <v>0</v>
      </c>
      <c r="L8128" s="2">
        <v>0</v>
      </c>
      <c r="M8128">
        <v>80.05</v>
      </c>
      <c r="N8128" t="s">
        <v>10236</v>
      </c>
    </row>
    <row r="8129" spans="1:14">
      <c r="A8129" t="s">
        <v>35</v>
      </c>
      <c r="B8129" t="s">
        <v>8106</v>
      </c>
      <c r="C8129">
        <f>"COO2825S"</f>
        <v>0</v>
      </c>
      <c r="D8129">
        <v>0</v>
      </c>
      <c r="E8129">
        <v>6</v>
      </c>
      <c r="F8129" s="2">
        <v>9</v>
      </c>
      <c r="H8129">
        <v>0</v>
      </c>
      <c r="I8129">
        <v>0.1741125760648204</v>
      </c>
      <c r="J8129">
        <v>0</v>
      </c>
      <c r="K8129">
        <v>0</v>
      </c>
      <c r="L8129" s="2">
        <v>0</v>
      </c>
      <c r="M8129">
        <v>80.06</v>
      </c>
      <c r="N8129" t="s">
        <v>10236</v>
      </c>
    </row>
    <row r="8130" spans="1:14">
      <c r="A8130" t="s">
        <v>35</v>
      </c>
      <c r="B8130" t="s">
        <v>8107</v>
      </c>
      <c r="C8130">
        <f>"HD38S"</f>
        <v>0</v>
      </c>
      <c r="D8130">
        <v>0</v>
      </c>
      <c r="E8130">
        <v>7</v>
      </c>
      <c r="F8130" s="2">
        <v>3</v>
      </c>
      <c r="H8130">
        <v>0</v>
      </c>
      <c r="I8130">
        <v>0.1741125760648204</v>
      </c>
      <c r="J8130">
        <v>0</v>
      </c>
      <c r="K8130">
        <v>0</v>
      </c>
      <c r="L8130" s="2">
        <v>0</v>
      </c>
      <c r="M8130">
        <v>80.06999999999999</v>
      </c>
      <c r="N8130" t="s">
        <v>10236</v>
      </c>
    </row>
    <row r="8131" spans="1:14">
      <c r="A8131" t="s">
        <v>35</v>
      </c>
      <c r="B8131" t="s">
        <v>8108</v>
      </c>
      <c r="C8131">
        <f>"COO2834M"</f>
        <v>0</v>
      </c>
      <c r="D8131">
        <v>0</v>
      </c>
      <c r="E8131">
        <v>3</v>
      </c>
      <c r="F8131" s="2">
        <v>16</v>
      </c>
      <c r="H8131">
        <v>0</v>
      </c>
      <c r="I8131">
        <v>0.1741125760648204</v>
      </c>
      <c r="J8131">
        <v>0</v>
      </c>
      <c r="K8131">
        <v>0</v>
      </c>
      <c r="L8131" s="2">
        <v>0</v>
      </c>
      <c r="M8131">
        <v>80.08</v>
      </c>
      <c r="N8131" t="s">
        <v>10236</v>
      </c>
    </row>
    <row r="8132" spans="1:14">
      <c r="A8132" t="s">
        <v>35</v>
      </c>
      <c r="B8132" t="s">
        <v>8109</v>
      </c>
      <c r="C8132">
        <f>"COO2834L"</f>
        <v>0</v>
      </c>
      <c r="D8132">
        <v>0</v>
      </c>
      <c r="E8132">
        <v>10</v>
      </c>
      <c r="F8132" s="2">
        <v>22</v>
      </c>
      <c r="H8132">
        <v>0</v>
      </c>
      <c r="I8132">
        <v>0.1741125760648204</v>
      </c>
      <c r="J8132">
        <v>0</v>
      </c>
      <c r="K8132">
        <v>0</v>
      </c>
      <c r="L8132" s="2">
        <v>0</v>
      </c>
      <c r="M8132">
        <v>80.09</v>
      </c>
      <c r="N8132" t="s">
        <v>10236</v>
      </c>
    </row>
    <row r="8133" spans="1:14">
      <c r="A8133" t="s">
        <v>35</v>
      </c>
      <c r="B8133" t="s">
        <v>8110</v>
      </c>
      <c r="C8133">
        <f>"COO2843S"</f>
        <v>0</v>
      </c>
      <c r="D8133">
        <v>0</v>
      </c>
      <c r="E8133">
        <v>5</v>
      </c>
      <c r="F8133" s="2">
        <v>9</v>
      </c>
      <c r="H8133">
        <v>0</v>
      </c>
      <c r="I8133">
        <v>0.1741125760648204</v>
      </c>
      <c r="J8133">
        <v>0</v>
      </c>
      <c r="K8133">
        <v>0</v>
      </c>
      <c r="L8133" s="2">
        <v>0</v>
      </c>
      <c r="M8133">
        <v>80.09</v>
      </c>
      <c r="N8133" t="s">
        <v>10236</v>
      </c>
    </row>
    <row r="8134" spans="1:14">
      <c r="A8134" t="s">
        <v>35</v>
      </c>
      <c r="B8134" t="s">
        <v>8111</v>
      </c>
      <c r="C8134">
        <f>"COO2843M"</f>
        <v>0</v>
      </c>
      <c r="D8134">
        <v>0</v>
      </c>
      <c r="E8134">
        <v>0</v>
      </c>
      <c r="F8134" s="2">
        <v>0</v>
      </c>
      <c r="H8134">
        <v>0</v>
      </c>
      <c r="I8134">
        <v>0.1741125760648204</v>
      </c>
      <c r="J8134">
        <v>0</v>
      </c>
      <c r="K8134">
        <v>0</v>
      </c>
      <c r="L8134" s="2">
        <v>0</v>
      </c>
      <c r="M8134">
        <v>80.09999999999999</v>
      </c>
      <c r="N8134" t="s">
        <v>10236</v>
      </c>
    </row>
    <row r="8135" spans="1:14">
      <c r="A8135" t="s">
        <v>35</v>
      </c>
      <c r="B8135" t="s">
        <v>8112</v>
      </c>
      <c r="C8135">
        <f>"HD21XXXL"</f>
        <v>0</v>
      </c>
      <c r="D8135">
        <v>0</v>
      </c>
      <c r="E8135">
        <v>4</v>
      </c>
      <c r="F8135" s="2">
        <v>5</v>
      </c>
      <c r="H8135">
        <v>0</v>
      </c>
      <c r="I8135">
        <v>0.1741125760648204</v>
      </c>
      <c r="J8135">
        <v>0</v>
      </c>
      <c r="K8135">
        <v>0</v>
      </c>
      <c r="L8135" s="2">
        <v>0</v>
      </c>
      <c r="M8135">
        <v>80.11</v>
      </c>
      <c r="N8135" t="s">
        <v>10236</v>
      </c>
    </row>
    <row r="8136" spans="1:14">
      <c r="A8136" t="s">
        <v>35</v>
      </c>
      <c r="B8136" t="s">
        <v>8113</v>
      </c>
      <c r="C8136">
        <f>"HD21XXS"</f>
        <v>0</v>
      </c>
      <c r="D8136">
        <v>0</v>
      </c>
      <c r="E8136">
        <v>0</v>
      </c>
      <c r="F8136" s="2">
        <v>0</v>
      </c>
      <c r="H8136">
        <v>0</v>
      </c>
      <c r="I8136">
        <v>0.1741125760648204</v>
      </c>
      <c r="J8136">
        <v>0</v>
      </c>
      <c r="K8136">
        <v>0</v>
      </c>
      <c r="L8136" s="2">
        <v>0</v>
      </c>
      <c r="M8136">
        <v>80.12</v>
      </c>
      <c r="N8136" t="s">
        <v>10236</v>
      </c>
    </row>
    <row r="8137" spans="1:14">
      <c r="A8137" t="s">
        <v>35</v>
      </c>
      <c r="B8137" t="s">
        <v>8114</v>
      </c>
      <c r="C8137">
        <f>"HD21XXL"</f>
        <v>0</v>
      </c>
      <c r="D8137">
        <v>0</v>
      </c>
      <c r="E8137">
        <v>1</v>
      </c>
      <c r="F8137" s="2">
        <v>4</v>
      </c>
      <c r="H8137">
        <v>0</v>
      </c>
      <c r="I8137">
        <v>0.1741125760648204</v>
      </c>
      <c r="J8137">
        <v>0</v>
      </c>
      <c r="K8137">
        <v>0</v>
      </c>
      <c r="L8137" s="2">
        <v>0</v>
      </c>
      <c r="M8137">
        <v>80.13</v>
      </c>
      <c r="N8137" t="s">
        <v>10236</v>
      </c>
    </row>
    <row r="8138" spans="1:14">
      <c r="A8138" t="s">
        <v>35</v>
      </c>
      <c r="B8138" t="s">
        <v>8115</v>
      </c>
      <c r="C8138">
        <f>"HD21XS"</f>
        <v>0</v>
      </c>
      <c r="D8138">
        <v>0</v>
      </c>
      <c r="E8138">
        <v>6</v>
      </c>
      <c r="F8138" s="2">
        <v>3</v>
      </c>
      <c r="H8138">
        <v>0</v>
      </c>
      <c r="I8138">
        <v>0.1741125760648204</v>
      </c>
      <c r="J8138">
        <v>0</v>
      </c>
      <c r="K8138">
        <v>0</v>
      </c>
      <c r="L8138" s="2">
        <v>0</v>
      </c>
      <c r="M8138">
        <v>80.14</v>
      </c>
      <c r="N8138" t="s">
        <v>10236</v>
      </c>
    </row>
    <row r="8139" spans="1:14">
      <c r="A8139" t="s">
        <v>35</v>
      </c>
      <c r="B8139" t="s">
        <v>8116</v>
      </c>
      <c r="C8139">
        <f>"HD21XL"</f>
        <v>0</v>
      </c>
      <c r="D8139">
        <v>0</v>
      </c>
      <c r="E8139">
        <v>4</v>
      </c>
      <c r="F8139" s="2">
        <v>4</v>
      </c>
      <c r="H8139">
        <v>0</v>
      </c>
      <c r="I8139">
        <v>0.1741125760648204</v>
      </c>
      <c r="J8139">
        <v>0</v>
      </c>
      <c r="K8139">
        <v>0</v>
      </c>
      <c r="L8139" s="2">
        <v>0</v>
      </c>
      <c r="M8139">
        <v>80.15000000000001</v>
      </c>
      <c r="N8139" t="s">
        <v>10236</v>
      </c>
    </row>
    <row r="8140" spans="1:14">
      <c r="A8140" t="s">
        <v>35</v>
      </c>
      <c r="B8140" t="s">
        <v>8117</v>
      </c>
      <c r="C8140">
        <f>"HD21S"</f>
        <v>0</v>
      </c>
      <c r="D8140">
        <v>0</v>
      </c>
      <c r="E8140">
        <v>3</v>
      </c>
      <c r="F8140" s="2">
        <v>3</v>
      </c>
      <c r="H8140">
        <v>0</v>
      </c>
      <c r="I8140">
        <v>0.1741125760648204</v>
      </c>
      <c r="J8140">
        <v>0</v>
      </c>
      <c r="K8140">
        <v>0</v>
      </c>
      <c r="L8140" s="2">
        <v>0</v>
      </c>
      <c r="M8140">
        <v>80.16</v>
      </c>
      <c r="N8140" t="s">
        <v>10236</v>
      </c>
    </row>
    <row r="8141" spans="1:14">
      <c r="A8141" t="s">
        <v>35</v>
      </c>
      <c r="B8141" t="s">
        <v>8118</v>
      </c>
      <c r="C8141">
        <f>"HD21M"</f>
        <v>0</v>
      </c>
      <c r="D8141">
        <v>0</v>
      </c>
      <c r="E8141">
        <v>0</v>
      </c>
      <c r="F8141" s="2">
        <v>0</v>
      </c>
      <c r="H8141">
        <v>0</v>
      </c>
      <c r="I8141">
        <v>0.1741125760648204</v>
      </c>
      <c r="J8141">
        <v>0</v>
      </c>
      <c r="K8141">
        <v>0</v>
      </c>
      <c r="L8141" s="2">
        <v>0</v>
      </c>
      <c r="M8141">
        <v>80.17</v>
      </c>
      <c r="N8141" t="s">
        <v>10236</v>
      </c>
    </row>
    <row r="8142" spans="1:14">
      <c r="A8142" t="s">
        <v>35</v>
      </c>
      <c r="B8142" t="s">
        <v>8119</v>
      </c>
      <c r="C8142">
        <f>"HD21L"</f>
        <v>0</v>
      </c>
      <c r="D8142">
        <v>0</v>
      </c>
      <c r="E8142">
        <v>2</v>
      </c>
      <c r="F8142" s="2">
        <v>4</v>
      </c>
      <c r="H8142">
        <v>0</v>
      </c>
      <c r="I8142">
        <v>0.1741125760648204</v>
      </c>
      <c r="J8142">
        <v>0</v>
      </c>
      <c r="K8142">
        <v>0</v>
      </c>
      <c r="L8142" s="2">
        <v>0</v>
      </c>
      <c r="M8142">
        <v>80.18000000000001</v>
      </c>
      <c r="N8142" t="s">
        <v>10236</v>
      </c>
    </row>
    <row r="8143" spans="1:14">
      <c r="A8143" t="s">
        <v>35</v>
      </c>
      <c r="B8143" t="s">
        <v>8120</v>
      </c>
      <c r="C8143">
        <f>"i090002"</f>
        <v>0</v>
      </c>
      <c r="D8143">
        <v>0</v>
      </c>
      <c r="E8143">
        <v>0</v>
      </c>
      <c r="F8143" s="2">
        <v>0</v>
      </c>
      <c r="H8143">
        <v>0</v>
      </c>
      <c r="I8143">
        <v>0.1741125760648204</v>
      </c>
      <c r="J8143">
        <v>0</v>
      </c>
      <c r="K8143">
        <v>0</v>
      </c>
      <c r="L8143" s="2">
        <v>0</v>
      </c>
      <c r="M8143">
        <v>80.19</v>
      </c>
      <c r="N8143" t="s">
        <v>10236</v>
      </c>
    </row>
    <row r="8144" spans="1:14">
      <c r="A8144" t="s">
        <v>35</v>
      </c>
      <c r="B8144" t="s">
        <v>8121</v>
      </c>
      <c r="C8144">
        <f>"JN005"</f>
        <v>0</v>
      </c>
      <c r="D8144">
        <v>0</v>
      </c>
      <c r="E8144">
        <v>0</v>
      </c>
      <c r="F8144" s="2">
        <v>0</v>
      </c>
      <c r="H8144">
        <v>0</v>
      </c>
      <c r="I8144">
        <v>0.1741125760648204</v>
      </c>
      <c r="J8144">
        <v>0</v>
      </c>
      <c r="K8144">
        <v>0</v>
      </c>
      <c r="L8144" s="2">
        <v>0</v>
      </c>
      <c r="M8144">
        <v>80.2</v>
      </c>
      <c r="N8144" t="s">
        <v>10236</v>
      </c>
    </row>
    <row r="8145" spans="1:14">
      <c r="A8145" t="s">
        <v>35</v>
      </c>
      <c r="B8145" t="s">
        <v>8122</v>
      </c>
      <c r="C8145">
        <f>"QSPT010"</f>
        <v>0</v>
      </c>
      <c r="D8145">
        <v>0</v>
      </c>
      <c r="E8145">
        <v>1</v>
      </c>
      <c r="F8145" s="2">
        <v>10</v>
      </c>
      <c r="H8145">
        <v>0</v>
      </c>
      <c r="I8145">
        <v>0.1741125760648204</v>
      </c>
      <c r="J8145">
        <v>0</v>
      </c>
      <c r="K8145">
        <v>0</v>
      </c>
      <c r="L8145" s="2">
        <v>0</v>
      </c>
      <c r="M8145">
        <v>80.20999999999999</v>
      </c>
      <c r="N8145" t="s">
        <v>10236</v>
      </c>
    </row>
    <row r="8146" spans="1:14">
      <c r="A8146" t="s">
        <v>35</v>
      </c>
      <c r="B8146" t="s">
        <v>8123</v>
      </c>
      <c r="C8146">
        <f>"COO2825M"</f>
        <v>0</v>
      </c>
      <c r="D8146">
        <v>0</v>
      </c>
      <c r="E8146">
        <v>3</v>
      </c>
      <c r="F8146" s="2">
        <v>14</v>
      </c>
      <c r="H8146">
        <v>0</v>
      </c>
      <c r="I8146">
        <v>0.1741125760648204</v>
      </c>
      <c r="J8146">
        <v>0</v>
      </c>
      <c r="K8146">
        <v>0</v>
      </c>
      <c r="L8146" s="2">
        <v>0</v>
      </c>
      <c r="M8146">
        <v>80.20999999999999</v>
      </c>
      <c r="N8146" t="s">
        <v>10236</v>
      </c>
    </row>
    <row r="8147" spans="1:14">
      <c r="A8147" t="s">
        <v>35</v>
      </c>
      <c r="B8147" t="s">
        <v>8124</v>
      </c>
      <c r="C8147">
        <f>"HD38M"</f>
        <v>0</v>
      </c>
      <c r="D8147">
        <v>0</v>
      </c>
      <c r="E8147">
        <v>0</v>
      </c>
      <c r="F8147" s="2">
        <v>0</v>
      </c>
      <c r="H8147">
        <v>0</v>
      </c>
      <c r="I8147">
        <v>0.1741125760648204</v>
      </c>
      <c r="J8147">
        <v>0</v>
      </c>
      <c r="K8147">
        <v>0</v>
      </c>
      <c r="L8147" s="2">
        <v>0</v>
      </c>
      <c r="M8147">
        <v>80.22</v>
      </c>
      <c r="N8147" t="s">
        <v>10236</v>
      </c>
    </row>
    <row r="8148" spans="1:14">
      <c r="A8148" t="s">
        <v>35</v>
      </c>
      <c r="B8148" t="s">
        <v>8125</v>
      </c>
      <c r="C8148">
        <f>"HD38L"</f>
        <v>0</v>
      </c>
      <c r="D8148">
        <v>0</v>
      </c>
      <c r="E8148">
        <v>0</v>
      </c>
      <c r="F8148" s="2">
        <v>0</v>
      </c>
      <c r="H8148">
        <v>0</v>
      </c>
      <c r="I8148">
        <v>0.1741125760648204</v>
      </c>
      <c r="J8148">
        <v>0</v>
      </c>
      <c r="K8148">
        <v>0</v>
      </c>
      <c r="L8148" s="2">
        <v>0</v>
      </c>
      <c r="M8148">
        <v>80.23</v>
      </c>
      <c r="N8148" t="s">
        <v>10236</v>
      </c>
    </row>
    <row r="8149" spans="1:14">
      <c r="A8149" t="s">
        <v>35</v>
      </c>
      <c r="B8149" t="s">
        <v>8126</v>
      </c>
      <c r="C8149">
        <f>"54B109032XS"</f>
        <v>0</v>
      </c>
      <c r="D8149">
        <v>0</v>
      </c>
      <c r="E8149">
        <v>1</v>
      </c>
      <c r="F8149" s="2">
        <v>6</v>
      </c>
      <c r="H8149">
        <v>0</v>
      </c>
      <c r="I8149">
        <v>0.1741125760648204</v>
      </c>
      <c r="J8149">
        <v>0</v>
      </c>
      <c r="K8149">
        <v>0</v>
      </c>
      <c r="L8149" s="2">
        <v>0</v>
      </c>
      <c r="M8149">
        <v>80.23999999999999</v>
      </c>
      <c r="N8149" t="s">
        <v>10236</v>
      </c>
    </row>
    <row r="8150" spans="1:14">
      <c r="A8150" t="s">
        <v>35</v>
      </c>
      <c r="B8150" t="s">
        <v>8127</v>
      </c>
      <c r="C8150">
        <f>"54B109032XL"</f>
        <v>0</v>
      </c>
      <c r="D8150">
        <v>0</v>
      </c>
      <c r="E8150">
        <v>2</v>
      </c>
      <c r="F8150" s="2">
        <v>8</v>
      </c>
      <c r="H8150">
        <v>0</v>
      </c>
      <c r="I8150">
        <v>0.1741125760648204</v>
      </c>
      <c r="J8150">
        <v>0</v>
      </c>
      <c r="K8150">
        <v>0</v>
      </c>
      <c r="L8150" s="2">
        <v>0</v>
      </c>
      <c r="M8150">
        <v>80.25</v>
      </c>
      <c r="N8150" t="s">
        <v>10236</v>
      </c>
    </row>
    <row r="8151" spans="1:14">
      <c r="A8151" t="s">
        <v>35</v>
      </c>
      <c r="B8151" t="s">
        <v>8128</v>
      </c>
      <c r="C8151">
        <f>"HD28XXXL"</f>
        <v>0</v>
      </c>
      <c r="D8151">
        <v>0</v>
      </c>
      <c r="E8151">
        <v>7</v>
      </c>
      <c r="F8151" s="2">
        <v>5</v>
      </c>
      <c r="H8151">
        <v>0</v>
      </c>
      <c r="I8151">
        <v>0.1741125760648204</v>
      </c>
      <c r="J8151">
        <v>0</v>
      </c>
      <c r="K8151">
        <v>0</v>
      </c>
      <c r="L8151" s="2">
        <v>0</v>
      </c>
      <c r="M8151">
        <v>80.26000000000001</v>
      </c>
      <c r="N8151" t="s">
        <v>10236</v>
      </c>
    </row>
    <row r="8152" spans="1:14">
      <c r="A8152" t="s">
        <v>35</v>
      </c>
      <c r="B8152" t="s">
        <v>8129</v>
      </c>
      <c r="C8152">
        <f>"HD28XXS"</f>
        <v>0</v>
      </c>
      <c r="D8152">
        <v>0</v>
      </c>
      <c r="E8152">
        <v>0</v>
      </c>
      <c r="F8152" s="2">
        <v>0</v>
      </c>
      <c r="H8152">
        <v>0</v>
      </c>
      <c r="I8152">
        <v>0.1741125760648204</v>
      </c>
      <c r="J8152">
        <v>0</v>
      </c>
      <c r="K8152">
        <v>0</v>
      </c>
      <c r="L8152" s="2">
        <v>0</v>
      </c>
      <c r="M8152">
        <v>80.27</v>
      </c>
      <c r="N8152" t="s">
        <v>10236</v>
      </c>
    </row>
    <row r="8153" spans="1:14">
      <c r="A8153" t="s">
        <v>35</v>
      </c>
      <c r="B8153" t="s">
        <v>8130</v>
      </c>
      <c r="C8153">
        <f>"HD28XXL"</f>
        <v>0</v>
      </c>
      <c r="D8153">
        <v>0</v>
      </c>
      <c r="E8153">
        <v>6</v>
      </c>
      <c r="F8153" s="2">
        <v>4</v>
      </c>
      <c r="H8153">
        <v>0</v>
      </c>
      <c r="I8153">
        <v>0.1741125760648204</v>
      </c>
      <c r="J8153">
        <v>0</v>
      </c>
      <c r="K8153">
        <v>0</v>
      </c>
      <c r="L8153" s="2">
        <v>0</v>
      </c>
      <c r="M8153">
        <v>80.28</v>
      </c>
      <c r="N8153" t="s">
        <v>10236</v>
      </c>
    </row>
    <row r="8154" spans="1:14">
      <c r="A8154" t="s">
        <v>35</v>
      </c>
      <c r="B8154" t="s">
        <v>8131</v>
      </c>
      <c r="C8154">
        <f>"HD28XS"</f>
        <v>0</v>
      </c>
      <c r="D8154">
        <v>0</v>
      </c>
      <c r="E8154">
        <v>1</v>
      </c>
      <c r="F8154" s="2">
        <v>2</v>
      </c>
      <c r="H8154">
        <v>0</v>
      </c>
      <c r="I8154">
        <v>0.1741125760648204</v>
      </c>
      <c r="J8154">
        <v>0</v>
      </c>
      <c r="K8154">
        <v>0</v>
      </c>
      <c r="L8154" s="2">
        <v>0</v>
      </c>
      <c r="M8154">
        <v>80.29000000000001</v>
      </c>
      <c r="N8154" t="s">
        <v>10236</v>
      </c>
    </row>
    <row r="8155" spans="1:14">
      <c r="A8155" t="s">
        <v>35</v>
      </c>
      <c r="B8155" t="s">
        <v>8132</v>
      </c>
      <c r="C8155">
        <f>"54B1090322XL"</f>
        <v>0</v>
      </c>
      <c r="D8155">
        <v>0</v>
      </c>
      <c r="E8155">
        <v>1</v>
      </c>
      <c r="F8155" s="2">
        <v>9</v>
      </c>
      <c r="H8155">
        <v>0</v>
      </c>
      <c r="I8155">
        <v>0.1741125760648204</v>
      </c>
      <c r="J8155">
        <v>0</v>
      </c>
      <c r="K8155">
        <v>0</v>
      </c>
      <c r="L8155" s="2">
        <v>0</v>
      </c>
      <c r="M8155">
        <v>80.3</v>
      </c>
      <c r="N8155" t="s">
        <v>10236</v>
      </c>
    </row>
    <row r="8156" spans="1:14">
      <c r="A8156" t="s">
        <v>35</v>
      </c>
      <c r="B8156" t="s">
        <v>8133</v>
      </c>
      <c r="C8156">
        <f>"34XSR"</f>
        <v>0</v>
      </c>
      <c r="D8156">
        <v>0</v>
      </c>
      <c r="E8156">
        <v>0</v>
      </c>
      <c r="F8156" s="2">
        <v>0</v>
      </c>
      <c r="H8156">
        <v>0</v>
      </c>
      <c r="I8156">
        <v>0.1741125760648204</v>
      </c>
      <c r="J8156">
        <v>0</v>
      </c>
      <c r="K8156">
        <v>0</v>
      </c>
      <c r="L8156" s="2">
        <v>0</v>
      </c>
      <c r="M8156">
        <v>80.31</v>
      </c>
      <c r="N8156" t="s">
        <v>10236</v>
      </c>
    </row>
    <row r="8157" spans="1:14">
      <c r="A8157" t="s">
        <v>35</v>
      </c>
      <c r="B8157" t="s">
        <v>8134</v>
      </c>
      <c r="C8157">
        <f>"34SR"</f>
        <v>0</v>
      </c>
      <c r="D8157">
        <v>0</v>
      </c>
      <c r="E8157">
        <v>0</v>
      </c>
      <c r="F8157" s="2">
        <v>0</v>
      </c>
      <c r="H8157">
        <v>0</v>
      </c>
      <c r="I8157">
        <v>0.1741125760648204</v>
      </c>
      <c r="J8157">
        <v>0</v>
      </c>
      <c r="K8157">
        <v>0</v>
      </c>
      <c r="L8157" s="2">
        <v>0</v>
      </c>
      <c r="M8157">
        <v>80.31999999999999</v>
      </c>
      <c r="N8157" t="s">
        <v>10236</v>
      </c>
    </row>
    <row r="8158" spans="1:14">
      <c r="A8158" t="s">
        <v>35</v>
      </c>
      <c r="B8158" t="s">
        <v>8135</v>
      </c>
      <c r="C8158">
        <f>"34MR"</f>
        <v>0</v>
      </c>
      <c r="D8158">
        <v>0</v>
      </c>
      <c r="E8158">
        <v>1</v>
      </c>
      <c r="F8158" s="2">
        <v>3</v>
      </c>
      <c r="H8158">
        <v>0</v>
      </c>
      <c r="I8158">
        <v>0.1741125760648204</v>
      </c>
      <c r="J8158">
        <v>0</v>
      </c>
      <c r="K8158">
        <v>0</v>
      </c>
      <c r="L8158" s="2">
        <v>0</v>
      </c>
      <c r="M8158">
        <v>80.31999999999999</v>
      </c>
      <c r="N8158" t="s">
        <v>10236</v>
      </c>
    </row>
    <row r="8159" spans="1:14">
      <c r="A8159" t="s">
        <v>35</v>
      </c>
      <c r="B8159" t="s">
        <v>8136</v>
      </c>
      <c r="C8159">
        <f>"XQ35XS"</f>
        <v>0</v>
      </c>
      <c r="D8159">
        <v>0</v>
      </c>
      <c r="E8159">
        <v>4</v>
      </c>
      <c r="F8159" s="2">
        <v>3</v>
      </c>
      <c r="H8159">
        <v>0</v>
      </c>
      <c r="I8159">
        <v>0.1741125760648204</v>
      </c>
      <c r="J8159">
        <v>0</v>
      </c>
      <c r="K8159">
        <v>0</v>
      </c>
      <c r="L8159" s="2">
        <v>0</v>
      </c>
      <c r="M8159">
        <v>80.33</v>
      </c>
      <c r="N8159" t="s">
        <v>10236</v>
      </c>
    </row>
    <row r="8160" spans="1:14">
      <c r="A8160" t="s">
        <v>35</v>
      </c>
      <c r="B8160" t="s">
        <v>8137</v>
      </c>
      <c r="C8160">
        <f>"XQ35XL"</f>
        <v>0</v>
      </c>
      <c r="D8160">
        <v>0</v>
      </c>
      <c r="E8160">
        <v>2</v>
      </c>
      <c r="F8160" s="2">
        <v>3</v>
      </c>
      <c r="H8160">
        <v>0</v>
      </c>
      <c r="I8160">
        <v>0.1741125760648204</v>
      </c>
      <c r="J8160">
        <v>0</v>
      </c>
      <c r="K8160">
        <v>0</v>
      </c>
      <c r="L8160" s="2">
        <v>0</v>
      </c>
      <c r="M8160">
        <v>80.34</v>
      </c>
      <c r="N8160" t="s">
        <v>10236</v>
      </c>
    </row>
    <row r="8161" spans="1:14">
      <c r="A8161" t="s">
        <v>35</v>
      </c>
      <c r="B8161" t="s">
        <v>8138</v>
      </c>
      <c r="C8161">
        <f>"ELI121C"</f>
        <v>0</v>
      </c>
      <c r="D8161">
        <v>0</v>
      </c>
      <c r="E8161">
        <v>1</v>
      </c>
      <c r="F8161" s="2">
        <v>3</v>
      </c>
      <c r="H8161">
        <v>0</v>
      </c>
      <c r="I8161">
        <v>0.1741125760648204</v>
      </c>
      <c r="J8161">
        <v>0</v>
      </c>
      <c r="K8161">
        <v>0</v>
      </c>
      <c r="L8161" s="2">
        <v>0</v>
      </c>
      <c r="M8161">
        <v>80.34999999999999</v>
      </c>
      <c r="N8161" t="s">
        <v>10236</v>
      </c>
    </row>
    <row r="8162" spans="1:14">
      <c r="A8162" t="s">
        <v>35</v>
      </c>
      <c r="B8162" t="s">
        <v>8139</v>
      </c>
      <c r="C8162">
        <f>"XQ35M"</f>
        <v>0</v>
      </c>
      <c r="D8162">
        <v>0</v>
      </c>
      <c r="E8162">
        <v>3</v>
      </c>
      <c r="F8162" s="2">
        <v>3</v>
      </c>
      <c r="H8162">
        <v>0</v>
      </c>
      <c r="I8162">
        <v>0.1741125760648204</v>
      </c>
      <c r="J8162">
        <v>0</v>
      </c>
      <c r="K8162">
        <v>0</v>
      </c>
      <c r="L8162" s="2">
        <v>0</v>
      </c>
      <c r="M8162">
        <v>80.36</v>
      </c>
      <c r="N8162" t="s">
        <v>10236</v>
      </c>
    </row>
    <row r="8163" spans="1:14">
      <c r="A8163" t="s">
        <v>35</v>
      </c>
      <c r="B8163" t="s">
        <v>8140</v>
      </c>
      <c r="C8163">
        <f>"XQ35L"</f>
        <v>0</v>
      </c>
      <c r="D8163">
        <v>0</v>
      </c>
      <c r="E8163">
        <v>3</v>
      </c>
      <c r="F8163" s="2">
        <v>3</v>
      </c>
      <c r="H8163">
        <v>0</v>
      </c>
      <c r="I8163">
        <v>0.1741125760648204</v>
      </c>
      <c r="J8163">
        <v>0</v>
      </c>
      <c r="K8163">
        <v>0</v>
      </c>
      <c r="L8163" s="2">
        <v>0</v>
      </c>
      <c r="M8163">
        <v>80.37</v>
      </c>
      <c r="N8163" t="s">
        <v>10236</v>
      </c>
    </row>
    <row r="8164" spans="1:14">
      <c r="A8164" t="s">
        <v>35</v>
      </c>
      <c r="B8164" t="s">
        <v>8141</v>
      </c>
      <c r="C8164">
        <f>"HD23XXXL"</f>
        <v>0</v>
      </c>
      <c r="D8164">
        <v>0</v>
      </c>
      <c r="E8164">
        <v>8</v>
      </c>
      <c r="F8164" s="2">
        <v>5</v>
      </c>
      <c r="H8164">
        <v>0</v>
      </c>
      <c r="I8164">
        <v>0.1741125760648204</v>
      </c>
      <c r="J8164">
        <v>0</v>
      </c>
      <c r="K8164">
        <v>0</v>
      </c>
      <c r="L8164" s="2">
        <v>0</v>
      </c>
      <c r="M8164">
        <v>80.38</v>
      </c>
      <c r="N8164" t="s">
        <v>10236</v>
      </c>
    </row>
    <row r="8165" spans="1:14">
      <c r="A8165" t="s">
        <v>35</v>
      </c>
      <c r="B8165" t="s">
        <v>8142</v>
      </c>
      <c r="C8165">
        <f>"HD23XXS"</f>
        <v>0</v>
      </c>
      <c r="D8165">
        <v>0</v>
      </c>
      <c r="E8165">
        <v>0</v>
      </c>
      <c r="F8165" s="2">
        <v>0</v>
      </c>
      <c r="H8165">
        <v>0</v>
      </c>
      <c r="I8165">
        <v>0.1741125760648204</v>
      </c>
      <c r="J8165">
        <v>0</v>
      </c>
      <c r="K8165">
        <v>0</v>
      </c>
      <c r="L8165" s="2">
        <v>0</v>
      </c>
      <c r="M8165">
        <v>80.39</v>
      </c>
      <c r="N8165" t="s">
        <v>10236</v>
      </c>
    </row>
    <row r="8166" spans="1:14">
      <c r="A8166" t="s">
        <v>35</v>
      </c>
      <c r="B8166" t="s">
        <v>8143</v>
      </c>
      <c r="C8166">
        <f>"HD23XXL"</f>
        <v>0</v>
      </c>
      <c r="D8166">
        <v>0</v>
      </c>
      <c r="E8166">
        <v>6</v>
      </c>
      <c r="F8166" s="2">
        <v>4</v>
      </c>
      <c r="H8166">
        <v>0</v>
      </c>
      <c r="I8166">
        <v>0.1741125760648204</v>
      </c>
      <c r="J8166">
        <v>0</v>
      </c>
      <c r="K8166">
        <v>0</v>
      </c>
      <c r="L8166" s="2">
        <v>0</v>
      </c>
      <c r="M8166">
        <v>80.40000000000001</v>
      </c>
      <c r="N8166" t="s">
        <v>10236</v>
      </c>
    </row>
    <row r="8167" spans="1:14">
      <c r="A8167" t="s">
        <v>35</v>
      </c>
      <c r="B8167" t="s">
        <v>8144</v>
      </c>
      <c r="C8167">
        <f>"A79XXL"</f>
        <v>0</v>
      </c>
      <c r="D8167">
        <v>0</v>
      </c>
      <c r="E8167">
        <v>0</v>
      </c>
      <c r="F8167" s="2">
        <v>0</v>
      </c>
      <c r="H8167">
        <v>0</v>
      </c>
      <c r="I8167">
        <v>0.1741125760648204</v>
      </c>
      <c r="J8167">
        <v>0</v>
      </c>
      <c r="K8167">
        <v>0</v>
      </c>
      <c r="L8167" s="2">
        <v>0</v>
      </c>
      <c r="M8167">
        <v>80.41</v>
      </c>
      <c r="N8167" t="s">
        <v>10236</v>
      </c>
    </row>
    <row r="8168" spans="1:14">
      <c r="A8168" t="s">
        <v>35</v>
      </c>
      <c r="B8168" t="s">
        <v>8145</v>
      </c>
      <c r="C8168">
        <f>"A79XL"</f>
        <v>0</v>
      </c>
      <c r="D8168">
        <v>0</v>
      </c>
      <c r="E8168">
        <v>0</v>
      </c>
      <c r="F8168" s="2">
        <v>0</v>
      </c>
      <c r="H8168">
        <v>0</v>
      </c>
      <c r="I8168">
        <v>0.1741125760648204</v>
      </c>
      <c r="J8168">
        <v>0</v>
      </c>
      <c r="K8168">
        <v>0</v>
      </c>
      <c r="L8168" s="2">
        <v>0</v>
      </c>
      <c r="M8168">
        <v>80.42</v>
      </c>
      <c r="N8168" t="s">
        <v>10236</v>
      </c>
    </row>
    <row r="8169" spans="1:14">
      <c r="A8169" t="s">
        <v>35</v>
      </c>
      <c r="B8169" t="s">
        <v>8146</v>
      </c>
      <c r="C8169">
        <f>"A79S"</f>
        <v>0</v>
      </c>
      <c r="D8169">
        <v>0</v>
      </c>
      <c r="E8169">
        <v>0</v>
      </c>
      <c r="F8169" s="2">
        <v>0</v>
      </c>
      <c r="H8169">
        <v>0</v>
      </c>
      <c r="I8169">
        <v>0.1741125760648204</v>
      </c>
      <c r="J8169">
        <v>0</v>
      </c>
      <c r="K8169">
        <v>0</v>
      </c>
      <c r="L8169" s="2">
        <v>0</v>
      </c>
      <c r="M8169">
        <v>80.43000000000001</v>
      </c>
      <c r="N8169" t="s">
        <v>10236</v>
      </c>
    </row>
    <row r="8170" spans="1:14">
      <c r="A8170" t="s">
        <v>35</v>
      </c>
      <c r="B8170" t="s">
        <v>8147</v>
      </c>
      <c r="C8170">
        <f>"A79M"</f>
        <v>0</v>
      </c>
      <c r="D8170">
        <v>0</v>
      </c>
      <c r="E8170">
        <v>0</v>
      </c>
      <c r="F8170" s="2">
        <v>0</v>
      </c>
      <c r="H8170">
        <v>0</v>
      </c>
      <c r="I8170">
        <v>0.1741125760648204</v>
      </c>
      <c r="J8170">
        <v>0</v>
      </c>
      <c r="K8170">
        <v>0</v>
      </c>
      <c r="L8170" s="2">
        <v>0</v>
      </c>
      <c r="M8170">
        <v>80.44</v>
      </c>
      <c r="N8170" t="s">
        <v>10236</v>
      </c>
    </row>
    <row r="8171" spans="1:14">
      <c r="A8171" t="s">
        <v>35</v>
      </c>
      <c r="B8171" t="s">
        <v>8148</v>
      </c>
      <c r="C8171">
        <f>"HD23L"</f>
        <v>0</v>
      </c>
      <c r="D8171">
        <v>0</v>
      </c>
      <c r="E8171">
        <v>4</v>
      </c>
      <c r="F8171" s="2">
        <v>3</v>
      </c>
      <c r="H8171">
        <v>0</v>
      </c>
      <c r="I8171">
        <v>0.1741125760648204</v>
      </c>
      <c r="J8171">
        <v>0</v>
      </c>
      <c r="K8171">
        <v>0</v>
      </c>
      <c r="L8171" s="2">
        <v>0</v>
      </c>
      <c r="M8171">
        <v>80.44</v>
      </c>
      <c r="N8171" t="s">
        <v>10236</v>
      </c>
    </row>
    <row r="8172" spans="1:14">
      <c r="A8172" t="s">
        <v>35</v>
      </c>
      <c r="B8172" t="s">
        <v>8149</v>
      </c>
      <c r="C8172">
        <f>"8013XS"</f>
        <v>0</v>
      </c>
      <c r="D8172">
        <v>0</v>
      </c>
      <c r="E8172">
        <v>10</v>
      </c>
      <c r="F8172" s="2">
        <v>3</v>
      </c>
      <c r="H8172">
        <v>0</v>
      </c>
      <c r="I8172">
        <v>0.1741125760648204</v>
      </c>
      <c r="J8172">
        <v>0</v>
      </c>
      <c r="K8172">
        <v>0</v>
      </c>
      <c r="L8172" s="2">
        <v>0</v>
      </c>
      <c r="M8172">
        <v>80.45</v>
      </c>
      <c r="N8172" t="s">
        <v>10236</v>
      </c>
    </row>
    <row r="8173" spans="1:14">
      <c r="A8173" t="s">
        <v>35</v>
      </c>
      <c r="B8173" t="s">
        <v>8150</v>
      </c>
      <c r="C8173">
        <f>"8013S"</f>
        <v>0</v>
      </c>
      <c r="D8173">
        <v>0</v>
      </c>
      <c r="E8173">
        <v>6</v>
      </c>
      <c r="F8173" s="2">
        <v>3</v>
      </c>
      <c r="H8173">
        <v>0</v>
      </c>
      <c r="I8173">
        <v>0.1741125760648204</v>
      </c>
      <c r="J8173">
        <v>0</v>
      </c>
      <c r="K8173">
        <v>0</v>
      </c>
      <c r="L8173" s="2">
        <v>0</v>
      </c>
      <c r="M8173">
        <v>80.45999999999999</v>
      </c>
      <c r="N8173" t="s">
        <v>10236</v>
      </c>
    </row>
    <row r="8174" spans="1:14">
      <c r="A8174" t="s">
        <v>35</v>
      </c>
      <c r="B8174" t="s">
        <v>8151</v>
      </c>
      <c r="C8174">
        <f>"8013M"</f>
        <v>0</v>
      </c>
      <c r="D8174">
        <v>0</v>
      </c>
      <c r="E8174">
        <v>13</v>
      </c>
      <c r="F8174" s="2">
        <v>4</v>
      </c>
      <c r="H8174">
        <v>0</v>
      </c>
      <c r="I8174">
        <v>0.1741125760648204</v>
      </c>
      <c r="J8174">
        <v>0</v>
      </c>
      <c r="K8174">
        <v>0</v>
      </c>
      <c r="L8174" s="2">
        <v>0</v>
      </c>
      <c r="M8174">
        <v>80.47</v>
      </c>
      <c r="N8174" t="s">
        <v>10236</v>
      </c>
    </row>
    <row r="8175" spans="1:14">
      <c r="A8175" t="s">
        <v>35</v>
      </c>
      <c r="B8175" t="s">
        <v>8152</v>
      </c>
      <c r="C8175">
        <f>"HD25XXXL"</f>
        <v>0</v>
      </c>
      <c r="D8175">
        <v>0</v>
      </c>
      <c r="E8175">
        <v>14</v>
      </c>
      <c r="F8175" s="2">
        <v>5</v>
      </c>
      <c r="H8175">
        <v>0</v>
      </c>
      <c r="I8175">
        <v>0.1741125760648204</v>
      </c>
      <c r="J8175">
        <v>0</v>
      </c>
      <c r="K8175">
        <v>0</v>
      </c>
      <c r="L8175" s="2">
        <v>0</v>
      </c>
      <c r="M8175">
        <v>80.48</v>
      </c>
      <c r="N8175" t="s">
        <v>10236</v>
      </c>
    </row>
    <row r="8176" spans="1:14">
      <c r="A8176" t="s">
        <v>35</v>
      </c>
      <c r="B8176" t="s">
        <v>8153</v>
      </c>
      <c r="C8176">
        <f>"HD25XXL"</f>
        <v>0</v>
      </c>
      <c r="D8176">
        <v>0</v>
      </c>
      <c r="E8176">
        <v>8</v>
      </c>
      <c r="F8176" s="2">
        <v>4</v>
      </c>
      <c r="H8176">
        <v>0</v>
      </c>
      <c r="I8176">
        <v>0.1741125760648204</v>
      </c>
      <c r="J8176">
        <v>0</v>
      </c>
      <c r="K8176">
        <v>0</v>
      </c>
      <c r="L8176" s="2">
        <v>0</v>
      </c>
      <c r="M8176">
        <v>80.48999999999999</v>
      </c>
      <c r="N8176" t="s">
        <v>10236</v>
      </c>
    </row>
    <row r="8177" spans="1:14">
      <c r="A8177" t="s">
        <v>35</v>
      </c>
      <c r="B8177" t="s">
        <v>8154</v>
      </c>
      <c r="C8177">
        <f>"XQ35S"</f>
        <v>0</v>
      </c>
      <c r="D8177">
        <v>0</v>
      </c>
      <c r="E8177">
        <v>3</v>
      </c>
      <c r="F8177" s="2">
        <v>3</v>
      </c>
      <c r="H8177">
        <v>0</v>
      </c>
      <c r="I8177">
        <v>0.1741125760648204</v>
      </c>
      <c r="J8177">
        <v>0</v>
      </c>
      <c r="K8177">
        <v>0</v>
      </c>
      <c r="L8177" s="2">
        <v>0</v>
      </c>
      <c r="M8177">
        <v>80.5</v>
      </c>
      <c r="N8177" t="s">
        <v>10236</v>
      </c>
    </row>
    <row r="8178" spans="1:14">
      <c r="A8178" t="s">
        <v>35</v>
      </c>
      <c r="B8178" t="s">
        <v>8155</v>
      </c>
      <c r="C8178">
        <f>"1818xxl"</f>
        <v>0</v>
      </c>
      <c r="D8178">
        <v>0</v>
      </c>
      <c r="E8178">
        <v>0</v>
      </c>
      <c r="F8178" s="2">
        <v>0</v>
      </c>
      <c r="H8178">
        <v>0</v>
      </c>
      <c r="I8178">
        <v>0.1741125760648204</v>
      </c>
      <c r="J8178">
        <v>0</v>
      </c>
      <c r="K8178">
        <v>0</v>
      </c>
      <c r="L8178" s="2">
        <v>0</v>
      </c>
      <c r="M8178">
        <v>80.51000000000001</v>
      </c>
      <c r="N8178" t="s">
        <v>10236</v>
      </c>
    </row>
    <row r="8179" spans="1:14">
      <c r="A8179" t="s">
        <v>35</v>
      </c>
      <c r="B8179" t="s">
        <v>8156</v>
      </c>
      <c r="C8179">
        <f>"1818xl"</f>
        <v>0</v>
      </c>
      <c r="D8179">
        <v>0</v>
      </c>
      <c r="E8179">
        <v>0</v>
      </c>
      <c r="F8179" s="2">
        <v>0</v>
      </c>
      <c r="H8179">
        <v>0</v>
      </c>
      <c r="I8179">
        <v>0.1741125760648204</v>
      </c>
      <c r="J8179">
        <v>0</v>
      </c>
      <c r="K8179">
        <v>0</v>
      </c>
      <c r="L8179" s="2">
        <v>0</v>
      </c>
      <c r="M8179">
        <v>80.52</v>
      </c>
      <c r="N8179" t="s">
        <v>10236</v>
      </c>
    </row>
    <row r="8180" spans="1:14">
      <c r="A8180" t="s">
        <v>35</v>
      </c>
      <c r="B8180" t="s">
        <v>8157</v>
      </c>
      <c r="C8180">
        <f>"1818S"</f>
        <v>0</v>
      </c>
      <c r="D8180">
        <v>0</v>
      </c>
      <c r="E8180">
        <v>0</v>
      </c>
      <c r="F8180" s="2">
        <v>0</v>
      </c>
      <c r="H8180">
        <v>0</v>
      </c>
      <c r="I8180">
        <v>0.1741125760648204</v>
      </c>
      <c r="J8180">
        <v>0</v>
      </c>
      <c r="K8180">
        <v>0</v>
      </c>
      <c r="L8180" s="2">
        <v>0</v>
      </c>
      <c r="M8180">
        <v>80.53</v>
      </c>
      <c r="N8180" t="s">
        <v>10236</v>
      </c>
    </row>
    <row r="8181" spans="1:14">
      <c r="A8181" t="s">
        <v>35</v>
      </c>
      <c r="B8181" t="s">
        <v>8158</v>
      </c>
      <c r="C8181">
        <f>"1818m"</f>
        <v>0</v>
      </c>
      <c r="D8181">
        <v>0</v>
      </c>
      <c r="E8181">
        <v>0</v>
      </c>
      <c r="F8181" s="2">
        <v>0</v>
      </c>
      <c r="H8181">
        <v>0</v>
      </c>
      <c r="I8181">
        <v>0.1741125760648204</v>
      </c>
      <c r="J8181">
        <v>0</v>
      </c>
      <c r="K8181">
        <v>0</v>
      </c>
      <c r="L8181" s="2">
        <v>0</v>
      </c>
      <c r="M8181">
        <v>80.54000000000001</v>
      </c>
      <c r="N8181" t="s">
        <v>10236</v>
      </c>
    </row>
    <row r="8182" spans="1:14">
      <c r="A8182" t="s">
        <v>35</v>
      </c>
      <c r="B8182" t="s">
        <v>8159</v>
      </c>
      <c r="C8182">
        <f>"1818l"</f>
        <v>0</v>
      </c>
      <c r="D8182">
        <v>0</v>
      </c>
      <c r="E8182">
        <v>0</v>
      </c>
      <c r="F8182" s="2">
        <v>0</v>
      </c>
      <c r="H8182">
        <v>0</v>
      </c>
      <c r="I8182">
        <v>0.1741125760648204</v>
      </c>
      <c r="J8182">
        <v>0</v>
      </c>
      <c r="K8182">
        <v>0</v>
      </c>
      <c r="L8182" s="2">
        <v>0</v>
      </c>
      <c r="M8182">
        <v>80.55</v>
      </c>
      <c r="N8182" t="s">
        <v>10236</v>
      </c>
    </row>
    <row r="8183" spans="1:14">
      <c r="A8183" t="s">
        <v>35</v>
      </c>
      <c r="B8183" t="s">
        <v>8160</v>
      </c>
      <c r="C8183">
        <f>"1873XXL"</f>
        <v>0</v>
      </c>
      <c r="D8183">
        <v>0</v>
      </c>
      <c r="E8183">
        <v>0</v>
      </c>
      <c r="F8183" s="2">
        <v>0</v>
      </c>
      <c r="H8183">
        <v>0</v>
      </c>
      <c r="I8183">
        <v>0.1741125760648204</v>
      </c>
      <c r="J8183">
        <v>0</v>
      </c>
      <c r="K8183">
        <v>0</v>
      </c>
      <c r="L8183" s="2">
        <v>0</v>
      </c>
      <c r="M8183">
        <v>80.56</v>
      </c>
      <c r="N8183" t="s">
        <v>10236</v>
      </c>
    </row>
    <row r="8184" spans="1:14">
      <c r="A8184" t="s">
        <v>35</v>
      </c>
      <c r="B8184" t="s">
        <v>8161</v>
      </c>
      <c r="C8184">
        <f>"1873XL"</f>
        <v>0</v>
      </c>
      <c r="D8184">
        <v>0</v>
      </c>
      <c r="E8184">
        <v>0</v>
      </c>
      <c r="F8184" s="2">
        <v>0</v>
      </c>
      <c r="H8184">
        <v>0</v>
      </c>
      <c r="I8184">
        <v>0.1741125760648204</v>
      </c>
      <c r="J8184">
        <v>0</v>
      </c>
      <c r="K8184">
        <v>0</v>
      </c>
      <c r="L8184" s="2">
        <v>0</v>
      </c>
      <c r="M8184">
        <v>80.56</v>
      </c>
      <c r="N8184" t="s">
        <v>10236</v>
      </c>
    </row>
    <row r="8185" spans="1:14">
      <c r="A8185" t="s">
        <v>35</v>
      </c>
      <c r="B8185" t="s">
        <v>8162</v>
      </c>
      <c r="C8185">
        <f>"1873S"</f>
        <v>0</v>
      </c>
      <c r="D8185">
        <v>0</v>
      </c>
      <c r="E8185">
        <v>0</v>
      </c>
      <c r="F8185" s="2">
        <v>0</v>
      </c>
      <c r="H8185">
        <v>0</v>
      </c>
      <c r="I8185">
        <v>0.1741125760648204</v>
      </c>
      <c r="J8185">
        <v>0</v>
      </c>
      <c r="K8185">
        <v>0</v>
      </c>
      <c r="L8185" s="2">
        <v>0</v>
      </c>
      <c r="M8185">
        <v>80.56999999999999</v>
      </c>
      <c r="N8185" t="s">
        <v>10236</v>
      </c>
    </row>
    <row r="8186" spans="1:14">
      <c r="A8186" t="s">
        <v>35</v>
      </c>
      <c r="B8186" t="s">
        <v>8163</v>
      </c>
      <c r="C8186">
        <f>"1873M"</f>
        <v>0</v>
      </c>
      <c r="D8186">
        <v>0</v>
      </c>
      <c r="E8186">
        <v>0</v>
      </c>
      <c r="F8186" s="2">
        <v>0</v>
      </c>
      <c r="H8186">
        <v>0</v>
      </c>
      <c r="I8186">
        <v>0.1741125760648204</v>
      </c>
      <c r="J8186">
        <v>0</v>
      </c>
      <c r="K8186">
        <v>0</v>
      </c>
      <c r="L8186" s="2">
        <v>0</v>
      </c>
      <c r="M8186">
        <v>80.58</v>
      </c>
      <c r="N8186" t="s">
        <v>10236</v>
      </c>
    </row>
    <row r="8187" spans="1:14">
      <c r="A8187" t="s">
        <v>35</v>
      </c>
      <c r="B8187" t="s">
        <v>8164</v>
      </c>
      <c r="C8187">
        <f>"1873L"</f>
        <v>0</v>
      </c>
      <c r="D8187">
        <v>0</v>
      </c>
      <c r="E8187">
        <v>0</v>
      </c>
      <c r="F8187" s="2">
        <v>0</v>
      </c>
      <c r="H8187">
        <v>0</v>
      </c>
      <c r="I8187">
        <v>0.1741125760648204</v>
      </c>
      <c r="J8187">
        <v>0</v>
      </c>
      <c r="K8187">
        <v>0</v>
      </c>
      <c r="L8187" s="2">
        <v>0</v>
      </c>
      <c r="M8187">
        <v>80.59</v>
      </c>
      <c r="N8187" t="s">
        <v>10236</v>
      </c>
    </row>
    <row r="8188" spans="1:14">
      <c r="A8188" t="s">
        <v>35</v>
      </c>
      <c r="B8188" t="s">
        <v>8165</v>
      </c>
      <c r="C8188">
        <f>"D14XXL"</f>
        <v>0</v>
      </c>
      <c r="D8188">
        <v>0</v>
      </c>
      <c r="E8188">
        <v>0</v>
      </c>
      <c r="F8188" s="2">
        <v>0</v>
      </c>
      <c r="H8188">
        <v>0</v>
      </c>
      <c r="I8188">
        <v>0.1741125760648204</v>
      </c>
      <c r="J8188">
        <v>0</v>
      </c>
      <c r="K8188">
        <v>0</v>
      </c>
      <c r="L8188" s="2">
        <v>0</v>
      </c>
      <c r="M8188">
        <v>80.59999999999999</v>
      </c>
      <c r="N8188" t="s">
        <v>10236</v>
      </c>
    </row>
    <row r="8189" spans="1:14">
      <c r="A8189" t="s">
        <v>35</v>
      </c>
      <c r="B8189" t="s">
        <v>8166</v>
      </c>
      <c r="C8189">
        <f>"D14XL"</f>
        <v>0</v>
      </c>
      <c r="D8189">
        <v>0</v>
      </c>
      <c r="E8189">
        <v>5</v>
      </c>
      <c r="F8189" s="2">
        <v>5</v>
      </c>
      <c r="H8189">
        <v>0</v>
      </c>
      <c r="I8189">
        <v>0.1741125760648204</v>
      </c>
      <c r="J8189">
        <v>0</v>
      </c>
      <c r="K8189">
        <v>0</v>
      </c>
      <c r="L8189" s="2">
        <v>0</v>
      </c>
      <c r="M8189">
        <v>80.61</v>
      </c>
      <c r="N8189" t="s">
        <v>10236</v>
      </c>
    </row>
    <row r="8190" spans="1:14">
      <c r="A8190" t="s">
        <v>35</v>
      </c>
      <c r="B8190" t="s">
        <v>8167</v>
      </c>
      <c r="C8190">
        <f>"54B1090833XLB"</f>
        <v>0</v>
      </c>
      <c r="D8190">
        <v>0</v>
      </c>
      <c r="E8190">
        <v>2</v>
      </c>
      <c r="F8190" s="2">
        <v>11</v>
      </c>
      <c r="H8190">
        <v>0</v>
      </c>
      <c r="I8190">
        <v>0.1741125760648204</v>
      </c>
      <c r="J8190">
        <v>0</v>
      </c>
      <c r="K8190">
        <v>0</v>
      </c>
      <c r="L8190" s="2">
        <v>0</v>
      </c>
      <c r="M8190">
        <v>80.62</v>
      </c>
      <c r="N8190" t="s">
        <v>10236</v>
      </c>
    </row>
    <row r="8191" spans="1:14">
      <c r="A8191" t="s">
        <v>35</v>
      </c>
      <c r="B8191" t="s">
        <v>8168</v>
      </c>
      <c r="C8191">
        <f>"54B1090832XLB"</f>
        <v>0</v>
      </c>
      <c r="D8191">
        <v>0</v>
      </c>
      <c r="E8191">
        <v>1</v>
      </c>
      <c r="F8191" s="2">
        <v>10</v>
      </c>
      <c r="H8191">
        <v>0</v>
      </c>
      <c r="I8191">
        <v>0.1741125760648204</v>
      </c>
      <c r="J8191">
        <v>0</v>
      </c>
      <c r="K8191">
        <v>0</v>
      </c>
      <c r="L8191" s="2">
        <v>0</v>
      </c>
      <c r="M8191">
        <v>80.63</v>
      </c>
      <c r="N8191" t="s">
        <v>10236</v>
      </c>
    </row>
    <row r="8192" spans="1:14">
      <c r="A8192" t="s">
        <v>35</v>
      </c>
      <c r="B8192" t="s">
        <v>8169</v>
      </c>
      <c r="C8192">
        <f>"pt091"</f>
        <v>0</v>
      </c>
      <c r="D8192">
        <v>0</v>
      </c>
      <c r="E8192">
        <v>0</v>
      </c>
      <c r="F8192" s="2">
        <v>0</v>
      </c>
      <c r="H8192">
        <v>0</v>
      </c>
      <c r="I8192">
        <v>0.1741125760648204</v>
      </c>
      <c r="J8192">
        <v>0</v>
      </c>
      <c r="K8192">
        <v>0</v>
      </c>
      <c r="L8192" s="2">
        <v>0</v>
      </c>
      <c r="M8192">
        <v>80.64</v>
      </c>
      <c r="N8192" t="s">
        <v>10236</v>
      </c>
    </row>
    <row r="8193" spans="1:14">
      <c r="A8193" t="s">
        <v>35</v>
      </c>
      <c r="B8193" t="s">
        <v>8170</v>
      </c>
      <c r="C8193">
        <f>"FP5117"</f>
        <v>0</v>
      </c>
      <c r="D8193">
        <v>0</v>
      </c>
      <c r="E8193">
        <v>4</v>
      </c>
      <c r="F8193" s="2">
        <v>7</v>
      </c>
      <c r="H8193">
        <v>0</v>
      </c>
      <c r="I8193">
        <v>0.1741125760648204</v>
      </c>
      <c r="J8193">
        <v>0</v>
      </c>
      <c r="K8193">
        <v>0</v>
      </c>
      <c r="L8193" s="2">
        <v>0</v>
      </c>
      <c r="M8193">
        <v>80.65000000000001</v>
      </c>
      <c r="N8193" t="s">
        <v>10236</v>
      </c>
    </row>
    <row r="8194" spans="1:14">
      <c r="A8194" t="s">
        <v>35</v>
      </c>
      <c r="B8194" t="s">
        <v>8171</v>
      </c>
      <c r="C8194">
        <f>"54B109073XLR"</f>
        <v>0</v>
      </c>
      <c r="D8194">
        <v>0</v>
      </c>
      <c r="E8194">
        <v>3</v>
      </c>
      <c r="F8194" s="2">
        <v>8</v>
      </c>
      <c r="H8194">
        <v>0</v>
      </c>
      <c r="I8194">
        <v>0.1741125760648204</v>
      </c>
      <c r="J8194">
        <v>0</v>
      </c>
      <c r="K8194">
        <v>0</v>
      </c>
      <c r="L8194" s="2">
        <v>0</v>
      </c>
      <c r="M8194">
        <v>80.66</v>
      </c>
      <c r="N8194" t="s">
        <v>10236</v>
      </c>
    </row>
    <row r="8195" spans="1:14">
      <c r="A8195" t="s">
        <v>35</v>
      </c>
      <c r="B8195" t="s">
        <v>8172</v>
      </c>
      <c r="C8195">
        <f>"54B109073SR"</f>
        <v>0</v>
      </c>
      <c r="D8195">
        <v>0</v>
      </c>
      <c r="E8195">
        <v>1</v>
      </c>
      <c r="F8195" s="2">
        <v>7</v>
      </c>
      <c r="H8195">
        <v>0</v>
      </c>
      <c r="I8195">
        <v>0.1741125760648204</v>
      </c>
      <c r="J8195">
        <v>0</v>
      </c>
      <c r="K8195">
        <v>0</v>
      </c>
      <c r="L8195" s="2">
        <v>0</v>
      </c>
      <c r="M8195">
        <v>80.67</v>
      </c>
      <c r="N8195" t="s">
        <v>10236</v>
      </c>
    </row>
    <row r="8196" spans="1:14">
      <c r="A8196" t="s">
        <v>35</v>
      </c>
      <c r="B8196" t="s">
        <v>8173</v>
      </c>
      <c r="C8196">
        <f>"54B109073MR"</f>
        <v>0</v>
      </c>
      <c r="D8196">
        <v>0</v>
      </c>
      <c r="E8196">
        <v>2</v>
      </c>
      <c r="F8196" s="2">
        <v>7</v>
      </c>
      <c r="H8196">
        <v>0</v>
      </c>
      <c r="I8196">
        <v>0.1741125760648204</v>
      </c>
      <c r="J8196">
        <v>0</v>
      </c>
      <c r="K8196">
        <v>0</v>
      </c>
      <c r="L8196" s="2">
        <v>0</v>
      </c>
      <c r="M8196">
        <v>80.68000000000001</v>
      </c>
      <c r="N8196" t="s">
        <v>10236</v>
      </c>
    </row>
    <row r="8197" spans="1:14">
      <c r="A8197" t="s">
        <v>35</v>
      </c>
      <c r="B8197" t="s">
        <v>8174</v>
      </c>
      <c r="C8197">
        <f>"54B109073LR"</f>
        <v>0</v>
      </c>
      <c r="D8197">
        <v>0</v>
      </c>
      <c r="E8197">
        <v>1</v>
      </c>
      <c r="F8197" s="2">
        <v>7</v>
      </c>
      <c r="H8197">
        <v>0</v>
      </c>
      <c r="I8197">
        <v>0.1741125760648204</v>
      </c>
      <c r="J8197">
        <v>0</v>
      </c>
      <c r="K8197">
        <v>0</v>
      </c>
      <c r="L8197" s="2">
        <v>0</v>
      </c>
      <c r="M8197">
        <v>80.68000000000001</v>
      </c>
      <c r="N8197" t="s">
        <v>10236</v>
      </c>
    </row>
    <row r="8198" spans="1:14">
      <c r="A8198" t="s">
        <v>35</v>
      </c>
      <c r="B8198" t="s">
        <v>8175</v>
      </c>
      <c r="C8198">
        <f>"54B1090734XLR"</f>
        <v>0</v>
      </c>
      <c r="D8198">
        <v>0</v>
      </c>
      <c r="E8198">
        <v>3</v>
      </c>
      <c r="F8198" s="2">
        <v>11</v>
      </c>
      <c r="H8198">
        <v>0</v>
      </c>
      <c r="I8198">
        <v>0.1741125760648204</v>
      </c>
      <c r="J8198">
        <v>0</v>
      </c>
      <c r="K8198">
        <v>0</v>
      </c>
      <c r="L8198" s="2">
        <v>0</v>
      </c>
      <c r="M8198">
        <v>80.69</v>
      </c>
      <c r="N8198" t="s">
        <v>10236</v>
      </c>
    </row>
    <row r="8199" spans="1:14">
      <c r="A8199" t="s">
        <v>35</v>
      </c>
      <c r="B8199" t="s">
        <v>8176</v>
      </c>
      <c r="C8199">
        <f>"54B1090733XLR"</f>
        <v>0</v>
      </c>
      <c r="D8199">
        <v>0</v>
      </c>
      <c r="E8199">
        <v>2</v>
      </c>
      <c r="F8199" s="2">
        <v>10</v>
      </c>
      <c r="H8199">
        <v>0</v>
      </c>
      <c r="I8199">
        <v>0.1741125760648204</v>
      </c>
      <c r="J8199">
        <v>0</v>
      </c>
      <c r="K8199">
        <v>0</v>
      </c>
      <c r="L8199" s="2">
        <v>0</v>
      </c>
      <c r="M8199">
        <v>80.7</v>
      </c>
      <c r="N8199" t="s">
        <v>10236</v>
      </c>
    </row>
    <row r="8200" spans="1:14">
      <c r="A8200" t="s">
        <v>35</v>
      </c>
      <c r="B8200" t="s">
        <v>8177</v>
      </c>
      <c r="C8200">
        <f>"54B1090732XLR"</f>
        <v>0</v>
      </c>
      <c r="D8200">
        <v>0</v>
      </c>
      <c r="E8200">
        <v>2</v>
      </c>
      <c r="F8200" s="2">
        <v>9</v>
      </c>
      <c r="H8200">
        <v>0</v>
      </c>
      <c r="I8200">
        <v>0.1741125760648204</v>
      </c>
      <c r="J8200">
        <v>0</v>
      </c>
      <c r="K8200">
        <v>0</v>
      </c>
      <c r="L8200" s="2">
        <v>0</v>
      </c>
      <c r="M8200">
        <v>80.70999999999999</v>
      </c>
      <c r="N8200" t="s">
        <v>10236</v>
      </c>
    </row>
    <row r="8201" spans="1:14">
      <c r="A8201" t="s">
        <v>35</v>
      </c>
      <c r="B8201" t="s">
        <v>8178</v>
      </c>
      <c r="C8201">
        <f>"54B109073XSG"</f>
        <v>0</v>
      </c>
      <c r="D8201">
        <v>0</v>
      </c>
      <c r="E8201">
        <v>1</v>
      </c>
      <c r="F8201" s="2">
        <v>6</v>
      </c>
      <c r="H8201">
        <v>0</v>
      </c>
      <c r="I8201">
        <v>0.1741125760648204</v>
      </c>
      <c r="J8201">
        <v>0</v>
      </c>
      <c r="K8201">
        <v>0</v>
      </c>
      <c r="L8201" s="2">
        <v>0</v>
      </c>
      <c r="M8201">
        <v>80.72</v>
      </c>
      <c r="N8201" t="s">
        <v>10236</v>
      </c>
    </row>
    <row r="8202" spans="1:14">
      <c r="A8202" t="s">
        <v>35</v>
      </c>
      <c r="B8202" t="s">
        <v>8179</v>
      </c>
      <c r="C8202">
        <f>"54B109073XLG"</f>
        <v>0</v>
      </c>
      <c r="D8202">
        <v>0</v>
      </c>
      <c r="E8202">
        <v>2</v>
      </c>
      <c r="F8202" s="2">
        <v>8</v>
      </c>
      <c r="H8202">
        <v>0</v>
      </c>
      <c r="I8202">
        <v>0.1741125760648204</v>
      </c>
      <c r="J8202">
        <v>0</v>
      </c>
      <c r="K8202">
        <v>0</v>
      </c>
      <c r="L8202" s="2">
        <v>0</v>
      </c>
      <c r="M8202">
        <v>80.73</v>
      </c>
      <c r="N8202" t="s">
        <v>10236</v>
      </c>
    </row>
    <row r="8203" spans="1:14">
      <c r="A8203" t="s">
        <v>35</v>
      </c>
      <c r="B8203" t="s">
        <v>8180</v>
      </c>
      <c r="C8203">
        <f>"54B109073SG"</f>
        <v>0</v>
      </c>
      <c r="D8203">
        <v>0</v>
      </c>
      <c r="E8203">
        <v>1</v>
      </c>
      <c r="F8203" s="2">
        <v>7</v>
      </c>
      <c r="H8203">
        <v>0</v>
      </c>
      <c r="I8203">
        <v>0.1741125760648204</v>
      </c>
      <c r="J8203">
        <v>0</v>
      </c>
      <c r="K8203">
        <v>0</v>
      </c>
      <c r="L8203" s="2">
        <v>0</v>
      </c>
      <c r="M8203">
        <v>80.73999999999999</v>
      </c>
      <c r="N8203" t="s">
        <v>10236</v>
      </c>
    </row>
    <row r="8204" spans="1:14">
      <c r="A8204" t="s">
        <v>35</v>
      </c>
      <c r="B8204" t="s">
        <v>8181</v>
      </c>
      <c r="C8204">
        <f>"54B109073MG"</f>
        <v>0</v>
      </c>
      <c r="D8204">
        <v>0</v>
      </c>
      <c r="E8204">
        <v>2</v>
      </c>
      <c r="F8204" s="2">
        <v>7</v>
      </c>
      <c r="H8204">
        <v>0</v>
      </c>
      <c r="I8204">
        <v>0.1741125760648204</v>
      </c>
      <c r="J8204">
        <v>0</v>
      </c>
      <c r="K8204">
        <v>0</v>
      </c>
      <c r="L8204" s="2">
        <v>0</v>
      </c>
      <c r="M8204">
        <v>80.75</v>
      </c>
      <c r="N8204" t="s">
        <v>10236</v>
      </c>
    </row>
    <row r="8205" spans="1:14">
      <c r="A8205" t="s">
        <v>35</v>
      </c>
      <c r="B8205" t="s">
        <v>8182</v>
      </c>
      <c r="C8205">
        <f>"54B109073LG"</f>
        <v>0</v>
      </c>
      <c r="D8205">
        <v>0</v>
      </c>
      <c r="E8205">
        <v>1</v>
      </c>
      <c r="F8205" s="2">
        <v>7</v>
      </c>
      <c r="H8205">
        <v>0</v>
      </c>
      <c r="I8205">
        <v>0.1741125760648204</v>
      </c>
      <c r="J8205">
        <v>0</v>
      </c>
      <c r="K8205">
        <v>0</v>
      </c>
      <c r="L8205" s="2">
        <v>0</v>
      </c>
      <c r="M8205">
        <v>80.76000000000001</v>
      </c>
      <c r="N8205" t="s">
        <v>10236</v>
      </c>
    </row>
    <row r="8206" spans="1:14">
      <c r="A8206" t="s">
        <v>35</v>
      </c>
      <c r="B8206" t="s">
        <v>8183</v>
      </c>
      <c r="C8206">
        <f>"PT152"</f>
        <v>0</v>
      </c>
      <c r="D8206">
        <v>0</v>
      </c>
      <c r="E8206">
        <v>0</v>
      </c>
      <c r="F8206" s="2">
        <v>0</v>
      </c>
      <c r="H8206">
        <v>0</v>
      </c>
      <c r="I8206">
        <v>0.1741125760648204</v>
      </c>
      <c r="J8206">
        <v>0</v>
      </c>
      <c r="K8206">
        <v>0</v>
      </c>
      <c r="L8206" s="2">
        <v>0</v>
      </c>
      <c r="M8206">
        <v>80.77</v>
      </c>
      <c r="N8206" t="s">
        <v>10236</v>
      </c>
    </row>
    <row r="8207" spans="1:14">
      <c r="A8207" t="s">
        <v>35</v>
      </c>
      <c r="B8207" t="s">
        <v>8184</v>
      </c>
      <c r="C8207">
        <f>"PT150"</f>
        <v>0</v>
      </c>
      <c r="D8207">
        <v>0</v>
      </c>
      <c r="E8207">
        <v>0</v>
      </c>
      <c r="F8207" s="2">
        <v>0</v>
      </c>
      <c r="H8207">
        <v>0</v>
      </c>
      <c r="I8207">
        <v>0.1741125760648204</v>
      </c>
      <c r="J8207">
        <v>0</v>
      </c>
      <c r="K8207">
        <v>0</v>
      </c>
      <c r="L8207" s="2">
        <v>0</v>
      </c>
      <c r="M8207">
        <v>80.78</v>
      </c>
      <c r="N8207" t="s">
        <v>10236</v>
      </c>
    </row>
    <row r="8208" spans="1:14">
      <c r="A8208" t="s">
        <v>35</v>
      </c>
      <c r="B8208" t="s">
        <v>8185</v>
      </c>
      <c r="C8208">
        <f>"lc0012"</f>
        <v>0</v>
      </c>
      <c r="D8208">
        <v>0</v>
      </c>
      <c r="E8208">
        <v>4</v>
      </c>
      <c r="F8208" s="2">
        <v>124</v>
      </c>
      <c r="H8208">
        <v>0</v>
      </c>
      <c r="I8208">
        <v>0.1741125760648204</v>
      </c>
      <c r="J8208">
        <v>0</v>
      </c>
      <c r="K8208">
        <v>0</v>
      </c>
      <c r="L8208" s="2">
        <v>0</v>
      </c>
      <c r="M8208">
        <v>80.79000000000001</v>
      </c>
      <c r="N8208" t="s">
        <v>10236</v>
      </c>
    </row>
    <row r="8209" spans="1:14">
      <c r="A8209" t="s">
        <v>202</v>
      </c>
      <c r="B8209" t="s">
        <v>8186</v>
      </c>
      <c r="C8209">
        <f>"21004003"</f>
        <v>0</v>
      </c>
      <c r="D8209">
        <v>0</v>
      </c>
      <c r="E8209">
        <v>0</v>
      </c>
      <c r="F8209" s="2">
        <v>0</v>
      </c>
      <c r="H8209">
        <v>0</v>
      </c>
      <c r="I8209">
        <v>0.1741125760648204</v>
      </c>
      <c r="J8209">
        <v>0</v>
      </c>
      <c r="K8209">
        <v>0</v>
      </c>
      <c r="L8209" s="2">
        <v>0</v>
      </c>
      <c r="M8209">
        <v>80.79000000000001</v>
      </c>
      <c r="N8209" t="s">
        <v>10236</v>
      </c>
    </row>
    <row r="8210" spans="1:14">
      <c r="A8210" t="s">
        <v>40</v>
      </c>
      <c r="B8210" t="s">
        <v>8187</v>
      </c>
      <c r="C8210">
        <f>"V100763"</f>
        <v>0</v>
      </c>
      <c r="D8210">
        <v>0</v>
      </c>
      <c r="E8210">
        <v>0</v>
      </c>
      <c r="F8210" s="2">
        <v>0</v>
      </c>
      <c r="H8210">
        <v>0</v>
      </c>
      <c r="I8210">
        <v>0.1741125760648204</v>
      </c>
      <c r="J8210">
        <v>0</v>
      </c>
      <c r="K8210">
        <v>0</v>
      </c>
      <c r="L8210" s="2">
        <v>0</v>
      </c>
      <c r="M8210">
        <v>80.8</v>
      </c>
      <c r="N8210" t="s">
        <v>10236</v>
      </c>
    </row>
    <row r="8211" spans="1:14">
      <c r="A8211" t="s">
        <v>35</v>
      </c>
      <c r="B8211" t="s">
        <v>8188</v>
      </c>
      <c r="C8211">
        <f>"D14M"</f>
        <v>0</v>
      </c>
      <c r="D8211">
        <v>0</v>
      </c>
      <c r="E8211">
        <v>1</v>
      </c>
      <c r="F8211" s="2">
        <v>4</v>
      </c>
      <c r="H8211">
        <v>0</v>
      </c>
      <c r="I8211">
        <v>0.1741125760648204</v>
      </c>
      <c r="J8211">
        <v>0</v>
      </c>
      <c r="K8211">
        <v>0</v>
      </c>
      <c r="L8211" s="2">
        <v>0</v>
      </c>
      <c r="M8211">
        <v>80.81</v>
      </c>
      <c r="N8211" t="s">
        <v>10236</v>
      </c>
    </row>
    <row r="8212" spans="1:14">
      <c r="A8212" t="s">
        <v>35</v>
      </c>
      <c r="B8212" t="s">
        <v>8189</v>
      </c>
      <c r="C8212">
        <f>"D14L"</f>
        <v>0</v>
      </c>
      <c r="D8212">
        <v>0</v>
      </c>
      <c r="E8212">
        <v>1</v>
      </c>
      <c r="F8212" s="2">
        <v>5</v>
      </c>
      <c r="H8212">
        <v>0</v>
      </c>
      <c r="I8212">
        <v>0.1741125760648204</v>
      </c>
      <c r="J8212">
        <v>0</v>
      </c>
      <c r="K8212">
        <v>0</v>
      </c>
      <c r="L8212" s="2">
        <v>0</v>
      </c>
      <c r="M8212">
        <v>80.81999999999999</v>
      </c>
      <c r="N8212" t="s">
        <v>10236</v>
      </c>
    </row>
    <row r="8213" spans="1:14">
      <c r="A8213" t="s">
        <v>35</v>
      </c>
      <c r="B8213" t="s">
        <v>8190</v>
      </c>
      <c r="C8213">
        <f>"54B109073XSR"</f>
        <v>0</v>
      </c>
      <c r="D8213">
        <v>0</v>
      </c>
      <c r="E8213">
        <v>2</v>
      </c>
      <c r="F8213" s="2">
        <v>6</v>
      </c>
      <c r="H8213">
        <v>0</v>
      </c>
      <c r="I8213">
        <v>0.1741125760648204</v>
      </c>
      <c r="J8213">
        <v>0</v>
      </c>
      <c r="K8213">
        <v>0</v>
      </c>
      <c r="L8213" s="2">
        <v>0</v>
      </c>
      <c r="M8213">
        <v>80.83</v>
      </c>
      <c r="N8213" t="s">
        <v>10236</v>
      </c>
    </row>
    <row r="8214" spans="1:14">
      <c r="A8214" t="s">
        <v>29</v>
      </c>
      <c r="B8214" t="s">
        <v>8191</v>
      </c>
      <c r="C8214">
        <f>"A007"</f>
        <v>0</v>
      </c>
      <c r="D8214">
        <v>0</v>
      </c>
      <c r="E8214">
        <v>0</v>
      </c>
      <c r="F8214" s="2">
        <v>0</v>
      </c>
      <c r="H8214">
        <v>0</v>
      </c>
      <c r="I8214">
        <v>0.1741125760648204</v>
      </c>
      <c r="J8214">
        <v>0</v>
      </c>
      <c r="K8214">
        <v>0</v>
      </c>
      <c r="L8214" s="2">
        <v>0</v>
      </c>
      <c r="M8214">
        <v>80.84</v>
      </c>
      <c r="N8214" t="s">
        <v>10236</v>
      </c>
    </row>
    <row r="8215" spans="1:14">
      <c r="A8215" t="s">
        <v>29</v>
      </c>
      <c r="B8215" t="s">
        <v>8192</v>
      </c>
      <c r="C8215">
        <f>"A005"</f>
        <v>0</v>
      </c>
      <c r="D8215">
        <v>0</v>
      </c>
      <c r="E8215">
        <v>0</v>
      </c>
      <c r="F8215" s="2">
        <v>0</v>
      </c>
      <c r="H8215">
        <v>0</v>
      </c>
      <c r="I8215">
        <v>0.1741125760648204</v>
      </c>
      <c r="J8215">
        <v>0</v>
      </c>
      <c r="K8215">
        <v>0</v>
      </c>
      <c r="L8215" s="2">
        <v>0</v>
      </c>
      <c r="M8215">
        <v>80.84999999999999</v>
      </c>
      <c r="N8215" t="s">
        <v>10236</v>
      </c>
    </row>
    <row r="8216" spans="1:14">
      <c r="A8216" t="s">
        <v>35</v>
      </c>
      <c r="B8216" t="s">
        <v>8193</v>
      </c>
      <c r="C8216">
        <f>"CTU"</f>
        <v>0</v>
      </c>
      <c r="D8216">
        <v>0</v>
      </c>
      <c r="E8216">
        <v>2</v>
      </c>
      <c r="F8216" s="2">
        <v>10</v>
      </c>
      <c r="H8216">
        <v>0</v>
      </c>
      <c r="I8216">
        <v>0.1741125760648204</v>
      </c>
      <c r="J8216">
        <v>0</v>
      </c>
      <c r="K8216">
        <v>0</v>
      </c>
      <c r="L8216" s="2">
        <v>0</v>
      </c>
      <c r="M8216">
        <v>80.86</v>
      </c>
      <c r="N8216" t="s">
        <v>10236</v>
      </c>
    </row>
    <row r="8217" spans="1:14">
      <c r="A8217" t="s">
        <v>25</v>
      </c>
      <c r="B8217" t="s">
        <v>8194</v>
      </c>
      <c r="C8217">
        <f>"S204MAIZ"</f>
        <v>0</v>
      </c>
      <c r="D8217">
        <v>0</v>
      </c>
      <c r="E8217">
        <v>0</v>
      </c>
      <c r="F8217" s="2">
        <v>0</v>
      </c>
      <c r="H8217">
        <v>0</v>
      </c>
      <c r="I8217">
        <v>0.1741125760648204</v>
      </c>
      <c r="J8217">
        <v>0</v>
      </c>
      <c r="K8217">
        <v>0</v>
      </c>
      <c r="L8217" s="2">
        <v>0</v>
      </c>
      <c r="M8217">
        <v>80.87</v>
      </c>
      <c r="N8217" t="s">
        <v>10236</v>
      </c>
    </row>
    <row r="8218" spans="1:14">
      <c r="A8218" t="s">
        <v>35</v>
      </c>
      <c r="B8218" t="s">
        <v>8195</v>
      </c>
      <c r="C8218">
        <f>"KG1480"</f>
        <v>0</v>
      </c>
      <c r="D8218">
        <v>0</v>
      </c>
      <c r="E8218">
        <v>1</v>
      </c>
      <c r="F8218" s="2">
        <v>1</v>
      </c>
      <c r="H8218">
        <v>0</v>
      </c>
      <c r="I8218">
        <v>0.1741125760648204</v>
      </c>
      <c r="J8218">
        <v>0</v>
      </c>
      <c r="K8218">
        <v>0</v>
      </c>
      <c r="L8218" s="2">
        <v>0</v>
      </c>
      <c r="M8218">
        <v>80.88</v>
      </c>
      <c r="N8218" t="s">
        <v>10236</v>
      </c>
    </row>
    <row r="8219" spans="1:14">
      <c r="A8219" t="s">
        <v>35</v>
      </c>
      <c r="B8219" t="s">
        <v>8196</v>
      </c>
      <c r="C8219">
        <f>"20180120"</f>
        <v>0</v>
      </c>
      <c r="D8219">
        <v>0</v>
      </c>
      <c r="E8219">
        <v>11</v>
      </c>
      <c r="F8219" s="2">
        <v>1</v>
      </c>
      <c r="H8219">
        <v>0</v>
      </c>
      <c r="I8219">
        <v>0.1741125760648204</v>
      </c>
      <c r="J8219">
        <v>0</v>
      </c>
      <c r="K8219">
        <v>0</v>
      </c>
      <c r="L8219" s="2">
        <v>0</v>
      </c>
      <c r="M8219">
        <v>80.89</v>
      </c>
      <c r="N8219" t="s">
        <v>10236</v>
      </c>
    </row>
    <row r="8220" spans="1:14">
      <c r="A8220" t="s">
        <v>35</v>
      </c>
      <c r="B8220" t="s">
        <v>8197</v>
      </c>
      <c r="C8220">
        <f>"WBC008L"</f>
        <v>0</v>
      </c>
      <c r="D8220">
        <v>0</v>
      </c>
      <c r="E8220">
        <v>1</v>
      </c>
      <c r="F8220" s="2">
        <v>3</v>
      </c>
      <c r="H8220">
        <v>0</v>
      </c>
      <c r="I8220">
        <v>0.1741125760648204</v>
      </c>
      <c r="J8220">
        <v>0</v>
      </c>
      <c r="K8220">
        <v>0</v>
      </c>
      <c r="L8220" s="2">
        <v>0</v>
      </c>
      <c r="M8220">
        <v>80.90000000000001</v>
      </c>
      <c r="N8220" t="s">
        <v>10236</v>
      </c>
    </row>
    <row r="8221" spans="1:14">
      <c r="A8221" t="s">
        <v>35</v>
      </c>
      <c r="B8221" t="s">
        <v>8198</v>
      </c>
      <c r="C8221">
        <f>"YXU1XL"</f>
        <v>0</v>
      </c>
      <c r="D8221">
        <v>0</v>
      </c>
      <c r="E8221">
        <v>12</v>
      </c>
      <c r="F8221" s="2">
        <v>7</v>
      </c>
      <c r="H8221">
        <v>0</v>
      </c>
      <c r="I8221">
        <v>0.1741125760648204</v>
      </c>
      <c r="J8221">
        <v>0</v>
      </c>
      <c r="K8221">
        <v>0</v>
      </c>
      <c r="L8221" s="2">
        <v>0</v>
      </c>
      <c r="M8221">
        <v>80.91</v>
      </c>
      <c r="N8221" t="s">
        <v>10236</v>
      </c>
    </row>
    <row r="8222" spans="1:14">
      <c r="A8222" t="s">
        <v>35</v>
      </c>
      <c r="B8222" t="s">
        <v>8199</v>
      </c>
      <c r="C8222">
        <f>"Q5AXLHG"</f>
        <v>0</v>
      </c>
      <c r="D8222">
        <v>0</v>
      </c>
      <c r="E8222">
        <v>2</v>
      </c>
      <c r="F8222" s="2">
        <v>4</v>
      </c>
      <c r="H8222">
        <v>0</v>
      </c>
      <c r="I8222">
        <v>0.1741125760648204</v>
      </c>
      <c r="J8222">
        <v>0</v>
      </c>
      <c r="K8222">
        <v>0</v>
      </c>
      <c r="L8222" s="2">
        <v>0</v>
      </c>
      <c r="M8222">
        <v>80.91</v>
      </c>
      <c r="N8222" t="s">
        <v>10236</v>
      </c>
    </row>
    <row r="8223" spans="1:14">
      <c r="A8223" t="s">
        <v>35</v>
      </c>
      <c r="B8223" t="s">
        <v>8200</v>
      </c>
      <c r="C8223">
        <f>"54B109083XLG"</f>
        <v>0</v>
      </c>
      <c r="D8223">
        <v>0</v>
      </c>
      <c r="E8223">
        <v>1</v>
      </c>
      <c r="F8223" s="2">
        <v>9</v>
      </c>
      <c r="H8223">
        <v>0</v>
      </c>
      <c r="I8223">
        <v>0.1741125760648204</v>
      </c>
      <c r="J8223">
        <v>0</v>
      </c>
      <c r="K8223">
        <v>0</v>
      </c>
      <c r="L8223" s="2">
        <v>0</v>
      </c>
      <c r="M8223">
        <v>80.92</v>
      </c>
      <c r="N8223" t="s">
        <v>10236</v>
      </c>
    </row>
    <row r="8224" spans="1:14">
      <c r="A8224" t="s">
        <v>35</v>
      </c>
      <c r="B8224" t="s">
        <v>8201</v>
      </c>
      <c r="C8224">
        <f>"Q5AXLAR"</f>
        <v>0</v>
      </c>
      <c r="D8224">
        <v>0</v>
      </c>
      <c r="E8224">
        <v>3</v>
      </c>
      <c r="F8224" s="2">
        <v>4</v>
      </c>
      <c r="H8224">
        <v>0</v>
      </c>
      <c r="I8224">
        <v>0.1741125760648204</v>
      </c>
      <c r="J8224">
        <v>0</v>
      </c>
      <c r="K8224">
        <v>0</v>
      </c>
      <c r="L8224" s="2">
        <v>0</v>
      </c>
      <c r="M8224">
        <v>80.93000000000001</v>
      </c>
      <c r="N8224" t="s">
        <v>10236</v>
      </c>
    </row>
    <row r="8225" spans="1:14">
      <c r="A8225" t="s">
        <v>35</v>
      </c>
      <c r="B8225" t="s">
        <v>8202</v>
      </c>
      <c r="C8225">
        <f>"Q5AXL"</f>
        <v>0</v>
      </c>
      <c r="D8225">
        <v>0</v>
      </c>
      <c r="E8225">
        <v>0</v>
      </c>
      <c r="F8225" s="2">
        <v>0</v>
      </c>
      <c r="H8225">
        <v>0</v>
      </c>
      <c r="I8225">
        <v>0.1741125760648204</v>
      </c>
      <c r="J8225">
        <v>0</v>
      </c>
      <c r="K8225">
        <v>0</v>
      </c>
      <c r="L8225" s="2">
        <v>0</v>
      </c>
      <c r="M8225">
        <v>80.94</v>
      </c>
      <c r="N8225" t="s">
        <v>10236</v>
      </c>
    </row>
    <row r="8226" spans="1:14">
      <c r="A8226" t="s">
        <v>35</v>
      </c>
      <c r="B8226" t="s">
        <v>8203</v>
      </c>
      <c r="C8226">
        <f>"Q5ASMA"</f>
        <v>0</v>
      </c>
      <c r="D8226">
        <v>0</v>
      </c>
      <c r="E8226">
        <v>1</v>
      </c>
      <c r="F8226" s="2">
        <v>3</v>
      </c>
      <c r="H8226">
        <v>0</v>
      </c>
      <c r="I8226">
        <v>0.1741125760648204</v>
      </c>
      <c r="J8226">
        <v>0</v>
      </c>
      <c r="K8226">
        <v>0</v>
      </c>
      <c r="L8226" s="2">
        <v>0</v>
      </c>
      <c r="M8226">
        <v>80.95</v>
      </c>
      <c r="N8226" t="s">
        <v>10236</v>
      </c>
    </row>
    <row r="8227" spans="1:14">
      <c r="A8227" t="s">
        <v>35</v>
      </c>
      <c r="B8227" t="s">
        <v>8204</v>
      </c>
      <c r="C8227">
        <f>"Q5ASCN"</f>
        <v>0</v>
      </c>
      <c r="D8227">
        <v>0</v>
      </c>
      <c r="E8227">
        <v>2</v>
      </c>
      <c r="F8227" s="2">
        <v>3</v>
      </c>
      <c r="H8227">
        <v>0</v>
      </c>
      <c r="I8227">
        <v>0.1741125760648204</v>
      </c>
      <c r="J8227">
        <v>0</v>
      </c>
      <c r="K8227">
        <v>0</v>
      </c>
      <c r="L8227" s="2">
        <v>0</v>
      </c>
      <c r="M8227">
        <v>80.95999999999999</v>
      </c>
      <c r="N8227" t="s">
        <v>10236</v>
      </c>
    </row>
    <row r="8228" spans="1:14">
      <c r="A8228" t="s">
        <v>35</v>
      </c>
      <c r="B8228" t="s">
        <v>8205</v>
      </c>
      <c r="C8228">
        <f>"Q5ASAR"</f>
        <v>0</v>
      </c>
      <c r="D8228">
        <v>0</v>
      </c>
      <c r="E8228">
        <v>0</v>
      </c>
      <c r="F8228" s="2">
        <v>0</v>
      </c>
      <c r="H8228">
        <v>0</v>
      </c>
      <c r="I8228">
        <v>0.1741125760648204</v>
      </c>
      <c r="J8228">
        <v>0</v>
      </c>
      <c r="K8228">
        <v>0</v>
      </c>
      <c r="L8228" s="2">
        <v>0</v>
      </c>
      <c r="M8228">
        <v>80.97</v>
      </c>
      <c r="N8228" t="s">
        <v>10236</v>
      </c>
    </row>
    <row r="8229" spans="1:14">
      <c r="A8229" t="s">
        <v>35</v>
      </c>
      <c r="B8229" t="s">
        <v>8206</v>
      </c>
      <c r="C8229">
        <f>"Q5AS"</f>
        <v>0</v>
      </c>
      <c r="D8229">
        <v>0</v>
      </c>
      <c r="E8229">
        <v>0</v>
      </c>
      <c r="F8229" s="2">
        <v>0</v>
      </c>
      <c r="H8229">
        <v>0</v>
      </c>
      <c r="I8229">
        <v>0.1741125760648204</v>
      </c>
      <c r="J8229">
        <v>0</v>
      </c>
      <c r="K8229">
        <v>0</v>
      </c>
      <c r="L8229" s="2">
        <v>0</v>
      </c>
      <c r="M8229">
        <v>80.98</v>
      </c>
      <c r="N8229" t="s">
        <v>10236</v>
      </c>
    </row>
    <row r="8230" spans="1:14">
      <c r="A8230" t="s">
        <v>35</v>
      </c>
      <c r="B8230" t="s">
        <v>8207</v>
      </c>
      <c r="C8230">
        <f>"FB517SA"</f>
        <v>0</v>
      </c>
      <c r="D8230">
        <v>0</v>
      </c>
      <c r="E8230">
        <v>0</v>
      </c>
      <c r="F8230" s="2">
        <v>0</v>
      </c>
      <c r="H8230">
        <v>0</v>
      </c>
      <c r="I8230">
        <v>0.1741125760648204</v>
      </c>
      <c r="J8230">
        <v>0</v>
      </c>
      <c r="K8230">
        <v>0</v>
      </c>
      <c r="L8230" s="2">
        <v>0</v>
      </c>
      <c r="M8230">
        <v>80.98999999999999</v>
      </c>
      <c r="N8230" t="s">
        <v>10236</v>
      </c>
    </row>
    <row r="8231" spans="1:14">
      <c r="A8231" t="s">
        <v>35</v>
      </c>
      <c r="B8231" t="s">
        <v>8208</v>
      </c>
      <c r="C8231">
        <f>"FB517MVM"</f>
        <v>0</v>
      </c>
      <c r="D8231">
        <v>0</v>
      </c>
      <c r="E8231">
        <v>0</v>
      </c>
      <c r="F8231" s="2">
        <v>0</v>
      </c>
      <c r="H8231">
        <v>0</v>
      </c>
      <c r="I8231">
        <v>0.1741125760648204</v>
      </c>
      <c r="J8231">
        <v>0</v>
      </c>
      <c r="K8231">
        <v>0</v>
      </c>
      <c r="L8231" s="2">
        <v>0</v>
      </c>
      <c r="M8231">
        <v>81</v>
      </c>
      <c r="N8231" t="s">
        <v>10236</v>
      </c>
    </row>
    <row r="8232" spans="1:14">
      <c r="A8232" t="s">
        <v>35</v>
      </c>
      <c r="B8232" t="s">
        <v>8209</v>
      </c>
      <c r="C8232">
        <f>"FB517MRN"</f>
        <v>0</v>
      </c>
      <c r="D8232">
        <v>0</v>
      </c>
      <c r="E8232">
        <v>0</v>
      </c>
      <c r="F8232" s="2">
        <v>0</v>
      </c>
      <c r="H8232">
        <v>0</v>
      </c>
      <c r="I8232">
        <v>0.1741125760648204</v>
      </c>
      <c r="J8232">
        <v>0</v>
      </c>
      <c r="K8232">
        <v>0</v>
      </c>
      <c r="L8232" s="2">
        <v>0</v>
      </c>
      <c r="M8232">
        <v>81.01000000000001</v>
      </c>
      <c r="N8232" t="s">
        <v>10236</v>
      </c>
    </row>
    <row r="8233" spans="1:14">
      <c r="A8233" t="s">
        <v>35</v>
      </c>
      <c r="B8233" t="s">
        <v>8210</v>
      </c>
      <c r="C8233">
        <f>"1018271"</f>
        <v>0</v>
      </c>
      <c r="D8233">
        <v>0</v>
      </c>
      <c r="E8233">
        <v>0</v>
      </c>
      <c r="F8233" s="2">
        <v>0</v>
      </c>
      <c r="H8233">
        <v>0</v>
      </c>
      <c r="I8233">
        <v>0.1741125760648204</v>
      </c>
      <c r="J8233">
        <v>0</v>
      </c>
      <c r="K8233">
        <v>0</v>
      </c>
      <c r="L8233" s="2">
        <v>0</v>
      </c>
      <c r="M8233">
        <v>81.02</v>
      </c>
      <c r="N8233" t="s">
        <v>10236</v>
      </c>
    </row>
    <row r="8234" spans="1:14">
      <c r="A8234" t="s">
        <v>25</v>
      </c>
      <c r="B8234" t="s">
        <v>8211</v>
      </c>
      <c r="C8234">
        <f>"53141"</f>
        <v>0</v>
      </c>
      <c r="D8234">
        <v>0</v>
      </c>
      <c r="E8234">
        <v>1</v>
      </c>
      <c r="F8234" s="2">
        <v>2</v>
      </c>
      <c r="H8234">
        <v>0</v>
      </c>
      <c r="I8234">
        <v>0.1741125760648204</v>
      </c>
      <c r="J8234">
        <v>0</v>
      </c>
      <c r="K8234">
        <v>0</v>
      </c>
      <c r="L8234" s="2">
        <v>0</v>
      </c>
      <c r="M8234">
        <v>81.03</v>
      </c>
      <c r="N8234" t="s">
        <v>10236</v>
      </c>
    </row>
    <row r="8235" spans="1:14">
      <c r="A8235" t="s">
        <v>25</v>
      </c>
      <c r="B8235" t="s">
        <v>8212</v>
      </c>
      <c r="C8235">
        <f>"53146"</f>
        <v>0</v>
      </c>
      <c r="D8235">
        <v>0</v>
      </c>
      <c r="E8235">
        <v>0</v>
      </c>
      <c r="F8235" s="2">
        <v>0</v>
      </c>
      <c r="H8235">
        <v>0</v>
      </c>
      <c r="I8235">
        <v>0.1741125760648204</v>
      </c>
      <c r="J8235">
        <v>0</v>
      </c>
      <c r="K8235">
        <v>0</v>
      </c>
      <c r="L8235" s="2">
        <v>0</v>
      </c>
      <c r="M8235">
        <v>81.03</v>
      </c>
      <c r="N8235" t="s">
        <v>10236</v>
      </c>
    </row>
    <row r="8236" spans="1:14">
      <c r="A8236" t="s">
        <v>35</v>
      </c>
      <c r="B8236" t="s">
        <v>8213</v>
      </c>
      <c r="C8236">
        <f>"54B1090733XLG"</f>
        <v>0</v>
      </c>
      <c r="D8236">
        <v>0</v>
      </c>
      <c r="E8236">
        <v>2</v>
      </c>
      <c r="F8236" s="2">
        <v>10</v>
      </c>
      <c r="H8236">
        <v>0</v>
      </c>
      <c r="I8236">
        <v>0.1741125760648204</v>
      </c>
      <c r="J8236">
        <v>0</v>
      </c>
      <c r="K8236">
        <v>0</v>
      </c>
      <c r="L8236" s="2">
        <v>0</v>
      </c>
      <c r="M8236">
        <v>81.04000000000001</v>
      </c>
      <c r="N8236" t="s">
        <v>10236</v>
      </c>
    </row>
    <row r="8237" spans="1:14">
      <c r="A8237" t="s">
        <v>35</v>
      </c>
      <c r="B8237" t="s">
        <v>8214</v>
      </c>
      <c r="C8237">
        <f>"54B1090732XLG"</f>
        <v>0</v>
      </c>
      <c r="D8237">
        <v>0</v>
      </c>
      <c r="E8237">
        <v>1</v>
      </c>
      <c r="F8237" s="2">
        <v>9</v>
      </c>
      <c r="H8237">
        <v>0</v>
      </c>
      <c r="I8237">
        <v>0.1741125760648204</v>
      </c>
      <c r="J8237">
        <v>0</v>
      </c>
      <c r="K8237">
        <v>0</v>
      </c>
      <c r="L8237" s="2">
        <v>0</v>
      </c>
      <c r="M8237">
        <v>81.05</v>
      </c>
      <c r="N8237" t="s">
        <v>10236</v>
      </c>
    </row>
    <row r="8238" spans="1:14">
      <c r="A8238" t="s">
        <v>35</v>
      </c>
      <c r="B8238" t="s">
        <v>8215</v>
      </c>
      <c r="C8238">
        <f>"54B109083XSG"</f>
        <v>0</v>
      </c>
      <c r="D8238">
        <v>0</v>
      </c>
      <c r="E8238">
        <v>1</v>
      </c>
      <c r="F8238" s="2">
        <v>7</v>
      </c>
      <c r="H8238">
        <v>0</v>
      </c>
      <c r="I8238">
        <v>0.1741125760648204</v>
      </c>
      <c r="J8238">
        <v>0</v>
      </c>
      <c r="K8238">
        <v>0</v>
      </c>
      <c r="L8238" s="2">
        <v>0</v>
      </c>
      <c r="M8238">
        <v>81.06</v>
      </c>
      <c r="N8238" t="s">
        <v>10236</v>
      </c>
    </row>
    <row r="8239" spans="1:14">
      <c r="A8239" t="s">
        <v>35</v>
      </c>
      <c r="B8239" t="s">
        <v>8216</v>
      </c>
      <c r="C8239">
        <f>"Q5AXLCN"</f>
        <v>0</v>
      </c>
      <c r="D8239">
        <v>0</v>
      </c>
      <c r="E8239">
        <v>2</v>
      </c>
      <c r="F8239" s="2">
        <v>4</v>
      </c>
      <c r="H8239">
        <v>0</v>
      </c>
      <c r="I8239">
        <v>0.1741125760648204</v>
      </c>
      <c r="J8239">
        <v>0</v>
      </c>
      <c r="K8239">
        <v>0</v>
      </c>
      <c r="L8239" s="2">
        <v>0</v>
      </c>
      <c r="M8239">
        <v>81.06999999999999</v>
      </c>
      <c r="N8239" t="s">
        <v>10236</v>
      </c>
    </row>
    <row r="8240" spans="1:14">
      <c r="A8240" t="s">
        <v>35</v>
      </c>
      <c r="B8240" t="s">
        <v>8217</v>
      </c>
      <c r="C8240">
        <f>"PT145"</f>
        <v>0</v>
      </c>
      <c r="D8240">
        <v>0</v>
      </c>
      <c r="E8240">
        <v>0</v>
      </c>
      <c r="F8240" s="2">
        <v>0</v>
      </c>
      <c r="H8240">
        <v>0</v>
      </c>
      <c r="I8240">
        <v>0.1741125760648204</v>
      </c>
      <c r="J8240">
        <v>0</v>
      </c>
      <c r="K8240">
        <v>0</v>
      </c>
      <c r="L8240" s="2">
        <v>0</v>
      </c>
      <c r="M8240">
        <v>81.08</v>
      </c>
      <c r="N8240" t="s">
        <v>10236</v>
      </c>
    </row>
    <row r="8241" spans="1:14">
      <c r="A8241" t="s">
        <v>35</v>
      </c>
      <c r="B8241" t="s">
        <v>8218</v>
      </c>
      <c r="C8241">
        <f>"PT142"</f>
        <v>0</v>
      </c>
      <c r="D8241">
        <v>0</v>
      </c>
      <c r="E8241">
        <v>1</v>
      </c>
      <c r="F8241" s="2">
        <v>2</v>
      </c>
      <c r="H8241">
        <v>0</v>
      </c>
      <c r="I8241">
        <v>0.1741125760648204</v>
      </c>
      <c r="J8241">
        <v>0</v>
      </c>
      <c r="K8241">
        <v>0</v>
      </c>
      <c r="L8241" s="2">
        <v>0</v>
      </c>
      <c r="M8241">
        <v>81.09</v>
      </c>
      <c r="N8241" t="s">
        <v>10236</v>
      </c>
    </row>
    <row r="8242" spans="1:14">
      <c r="A8242" t="s">
        <v>35</v>
      </c>
      <c r="B8242" t="s">
        <v>8219</v>
      </c>
      <c r="C8242">
        <f>"pt141"</f>
        <v>0</v>
      </c>
      <c r="D8242">
        <v>0</v>
      </c>
      <c r="E8242">
        <v>0</v>
      </c>
      <c r="F8242" s="2">
        <v>0</v>
      </c>
      <c r="H8242">
        <v>0</v>
      </c>
      <c r="I8242">
        <v>0.1741125760648204</v>
      </c>
      <c r="J8242">
        <v>0</v>
      </c>
      <c r="K8242">
        <v>0</v>
      </c>
      <c r="L8242" s="2">
        <v>0</v>
      </c>
      <c r="M8242">
        <v>81.09999999999999</v>
      </c>
      <c r="N8242" t="s">
        <v>10236</v>
      </c>
    </row>
    <row r="8243" spans="1:14">
      <c r="A8243" t="s">
        <v>35</v>
      </c>
      <c r="B8243" t="s">
        <v>8220</v>
      </c>
      <c r="C8243">
        <f>"pt138"</f>
        <v>0</v>
      </c>
      <c r="D8243">
        <v>0</v>
      </c>
      <c r="E8243">
        <v>5</v>
      </c>
      <c r="F8243" s="2">
        <v>2</v>
      </c>
      <c r="H8243">
        <v>0</v>
      </c>
      <c r="I8243">
        <v>0.1741125760648204</v>
      </c>
      <c r="J8243">
        <v>0</v>
      </c>
      <c r="K8243">
        <v>0</v>
      </c>
      <c r="L8243" s="2">
        <v>0</v>
      </c>
      <c r="M8243">
        <v>81.11</v>
      </c>
      <c r="N8243" t="s">
        <v>10236</v>
      </c>
    </row>
    <row r="8244" spans="1:14">
      <c r="A8244" t="s">
        <v>35</v>
      </c>
      <c r="B8244" t="s">
        <v>8221</v>
      </c>
      <c r="C8244">
        <f>"pt137"</f>
        <v>0</v>
      </c>
      <c r="D8244">
        <v>0</v>
      </c>
      <c r="E8244">
        <v>0</v>
      </c>
      <c r="F8244" s="2">
        <v>0</v>
      </c>
      <c r="H8244">
        <v>0</v>
      </c>
      <c r="I8244">
        <v>0.1741125760648204</v>
      </c>
      <c r="J8244">
        <v>0</v>
      </c>
      <c r="K8244">
        <v>0</v>
      </c>
      <c r="L8244" s="2">
        <v>0</v>
      </c>
      <c r="M8244">
        <v>81.12</v>
      </c>
      <c r="N8244" t="s">
        <v>10236</v>
      </c>
    </row>
    <row r="8245" spans="1:14">
      <c r="A8245" t="s">
        <v>35</v>
      </c>
      <c r="B8245" t="s">
        <v>8222</v>
      </c>
      <c r="C8245">
        <f>"pt136"</f>
        <v>0</v>
      </c>
      <c r="D8245">
        <v>0</v>
      </c>
      <c r="E8245">
        <v>1</v>
      </c>
      <c r="F8245" s="2">
        <v>2</v>
      </c>
      <c r="H8245">
        <v>0</v>
      </c>
      <c r="I8245">
        <v>0.1741125760648204</v>
      </c>
      <c r="J8245">
        <v>0</v>
      </c>
      <c r="K8245">
        <v>0</v>
      </c>
      <c r="L8245" s="2">
        <v>0</v>
      </c>
      <c r="M8245">
        <v>81.13</v>
      </c>
      <c r="N8245" t="s">
        <v>10236</v>
      </c>
    </row>
    <row r="8246" spans="1:14">
      <c r="A8246" t="s">
        <v>35</v>
      </c>
      <c r="B8246" t="s">
        <v>8223</v>
      </c>
      <c r="C8246">
        <f>"pt135"</f>
        <v>0</v>
      </c>
      <c r="D8246">
        <v>0</v>
      </c>
      <c r="E8246">
        <v>0</v>
      </c>
      <c r="F8246" s="2">
        <v>0</v>
      </c>
      <c r="H8246">
        <v>0</v>
      </c>
      <c r="I8246">
        <v>0.1741125760648204</v>
      </c>
      <c r="J8246">
        <v>0</v>
      </c>
      <c r="K8246">
        <v>0</v>
      </c>
      <c r="L8246" s="2">
        <v>0</v>
      </c>
      <c r="M8246">
        <v>81.14</v>
      </c>
      <c r="N8246" t="s">
        <v>10236</v>
      </c>
    </row>
    <row r="8247" spans="1:14">
      <c r="A8247" t="s">
        <v>35</v>
      </c>
      <c r="B8247" t="s">
        <v>8224</v>
      </c>
      <c r="C8247">
        <f>"pt133"</f>
        <v>0</v>
      </c>
      <c r="D8247">
        <v>0</v>
      </c>
      <c r="E8247">
        <v>0</v>
      </c>
      <c r="F8247" s="2">
        <v>0</v>
      </c>
      <c r="H8247">
        <v>0</v>
      </c>
      <c r="I8247">
        <v>0.1741125760648204</v>
      </c>
      <c r="J8247">
        <v>0</v>
      </c>
      <c r="K8247">
        <v>0</v>
      </c>
      <c r="L8247" s="2">
        <v>0</v>
      </c>
      <c r="M8247">
        <v>81.15000000000001</v>
      </c>
      <c r="N8247" t="s">
        <v>10236</v>
      </c>
    </row>
    <row r="8248" spans="1:14">
      <c r="A8248" t="s">
        <v>35</v>
      </c>
      <c r="B8248" t="s">
        <v>8225</v>
      </c>
      <c r="C8248">
        <f>"pt131"</f>
        <v>0</v>
      </c>
      <c r="D8248">
        <v>0</v>
      </c>
      <c r="E8248">
        <v>0</v>
      </c>
      <c r="F8248" s="2">
        <v>0</v>
      </c>
      <c r="H8248">
        <v>0</v>
      </c>
      <c r="I8248">
        <v>0.1741125760648204</v>
      </c>
      <c r="J8248">
        <v>0</v>
      </c>
      <c r="K8248">
        <v>0</v>
      </c>
      <c r="L8248" s="2">
        <v>0</v>
      </c>
      <c r="M8248">
        <v>81.15000000000001</v>
      </c>
      <c r="N8248" t="s">
        <v>10236</v>
      </c>
    </row>
    <row r="8249" spans="1:14">
      <c r="A8249" t="s">
        <v>35</v>
      </c>
      <c r="B8249" t="s">
        <v>8226</v>
      </c>
      <c r="C8249">
        <f>"pt129"</f>
        <v>0</v>
      </c>
      <c r="D8249">
        <v>0</v>
      </c>
      <c r="E8249">
        <v>5</v>
      </c>
      <c r="F8249" s="2">
        <v>2</v>
      </c>
      <c r="H8249">
        <v>0</v>
      </c>
      <c r="I8249">
        <v>0.1741125760648204</v>
      </c>
      <c r="J8249">
        <v>0</v>
      </c>
      <c r="K8249">
        <v>0</v>
      </c>
      <c r="L8249" s="2">
        <v>0</v>
      </c>
      <c r="M8249">
        <v>81.16</v>
      </c>
      <c r="N8249" t="s">
        <v>10236</v>
      </c>
    </row>
    <row r="8250" spans="1:14">
      <c r="A8250" t="s">
        <v>35</v>
      </c>
      <c r="B8250" t="s">
        <v>8227</v>
      </c>
      <c r="C8250">
        <f>"PT128"</f>
        <v>0</v>
      </c>
      <c r="D8250">
        <v>0</v>
      </c>
      <c r="E8250">
        <v>0</v>
      </c>
      <c r="F8250" s="2">
        <v>0</v>
      </c>
      <c r="H8250">
        <v>0</v>
      </c>
      <c r="I8250">
        <v>0.1741125760648204</v>
      </c>
      <c r="J8250">
        <v>0</v>
      </c>
      <c r="K8250">
        <v>0</v>
      </c>
      <c r="L8250" s="2">
        <v>0</v>
      </c>
      <c r="M8250">
        <v>81.17</v>
      </c>
      <c r="N8250" t="s">
        <v>10236</v>
      </c>
    </row>
    <row r="8251" spans="1:14">
      <c r="A8251" t="s">
        <v>35</v>
      </c>
      <c r="B8251" t="s">
        <v>8228</v>
      </c>
      <c r="C8251">
        <f>"pt068"</f>
        <v>0</v>
      </c>
      <c r="D8251">
        <v>0</v>
      </c>
      <c r="E8251">
        <v>0</v>
      </c>
      <c r="F8251" s="2">
        <v>0</v>
      </c>
      <c r="H8251">
        <v>0</v>
      </c>
      <c r="I8251">
        <v>0.1741125760648204</v>
      </c>
      <c r="J8251">
        <v>0</v>
      </c>
      <c r="K8251">
        <v>0</v>
      </c>
      <c r="L8251" s="2">
        <v>0</v>
      </c>
      <c r="M8251">
        <v>81.18000000000001</v>
      </c>
      <c r="N8251" t="s">
        <v>10236</v>
      </c>
    </row>
    <row r="8252" spans="1:14">
      <c r="A8252" t="s">
        <v>35</v>
      </c>
      <c r="B8252" t="s">
        <v>8229</v>
      </c>
      <c r="C8252">
        <f>"pt064"</f>
        <v>0</v>
      </c>
      <c r="D8252">
        <v>0</v>
      </c>
      <c r="E8252">
        <v>0</v>
      </c>
      <c r="F8252" s="2">
        <v>0</v>
      </c>
      <c r="H8252">
        <v>0</v>
      </c>
      <c r="I8252">
        <v>0.1741125760648204</v>
      </c>
      <c r="J8252">
        <v>0</v>
      </c>
      <c r="K8252">
        <v>0</v>
      </c>
      <c r="L8252" s="2">
        <v>0</v>
      </c>
      <c r="M8252">
        <v>81.19</v>
      </c>
      <c r="N8252" t="s">
        <v>10236</v>
      </c>
    </row>
    <row r="8253" spans="1:14">
      <c r="A8253" t="s">
        <v>35</v>
      </c>
      <c r="B8253" t="s">
        <v>8230</v>
      </c>
      <c r="C8253">
        <f>"pt063"</f>
        <v>0</v>
      </c>
      <c r="D8253">
        <v>0</v>
      </c>
      <c r="E8253">
        <v>0</v>
      </c>
      <c r="F8253" s="2">
        <v>0</v>
      </c>
      <c r="H8253">
        <v>0</v>
      </c>
      <c r="I8253">
        <v>0.1741125760648204</v>
      </c>
      <c r="J8253">
        <v>0</v>
      </c>
      <c r="K8253">
        <v>0</v>
      </c>
      <c r="L8253" s="2">
        <v>0</v>
      </c>
      <c r="M8253">
        <v>81.2</v>
      </c>
      <c r="N8253" t="s">
        <v>10236</v>
      </c>
    </row>
    <row r="8254" spans="1:14">
      <c r="A8254" t="s">
        <v>35</v>
      </c>
      <c r="B8254" t="s">
        <v>8231</v>
      </c>
      <c r="C8254">
        <f>"PT149"</f>
        <v>0</v>
      </c>
      <c r="D8254">
        <v>0</v>
      </c>
      <c r="E8254">
        <v>0</v>
      </c>
      <c r="F8254" s="2">
        <v>0</v>
      </c>
      <c r="H8254">
        <v>0</v>
      </c>
      <c r="I8254">
        <v>0.1741125760648204</v>
      </c>
      <c r="J8254">
        <v>0</v>
      </c>
      <c r="K8254">
        <v>0</v>
      </c>
      <c r="L8254" s="2">
        <v>0</v>
      </c>
      <c r="M8254">
        <v>81.20999999999999</v>
      </c>
      <c r="N8254" t="s">
        <v>10236</v>
      </c>
    </row>
    <row r="8255" spans="1:14">
      <c r="A8255" t="s">
        <v>35</v>
      </c>
      <c r="B8255" t="s">
        <v>8232</v>
      </c>
      <c r="C8255">
        <f>"PT116"</f>
        <v>0</v>
      </c>
      <c r="D8255">
        <v>0</v>
      </c>
      <c r="E8255">
        <v>0</v>
      </c>
      <c r="F8255" s="2">
        <v>0</v>
      </c>
      <c r="H8255">
        <v>0</v>
      </c>
      <c r="I8255">
        <v>0.1741125760648204</v>
      </c>
      <c r="J8255">
        <v>0</v>
      </c>
      <c r="K8255">
        <v>0</v>
      </c>
      <c r="L8255" s="2">
        <v>0</v>
      </c>
      <c r="M8255">
        <v>81.22</v>
      </c>
      <c r="N8255" t="s">
        <v>10236</v>
      </c>
    </row>
    <row r="8256" spans="1:14">
      <c r="A8256" t="s">
        <v>35</v>
      </c>
      <c r="B8256" t="s">
        <v>8233</v>
      </c>
      <c r="C8256">
        <f>"PT114"</f>
        <v>0</v>
      </c>
      <c r="D8256">
        <v>0</v>
      </c>
      <c r="E8256">
        <v>0</v>
      </c>
      <c r="F8256" s="2">
        <v>0</v>
      </c>
      <c r="H8256">
        <v>0</v>
      </c>
      <c r="I8256">
        <v>0.1741125760648204</v>
      </c>
      <c r="J8256">
        <v>0</v>
      </c>
      <c r="K8256">
        <v>0</v>
      </c>
      <c r="L8256" s="2">
        <v>0</v>
      </c>
      <c r="M8256">
        <v>81.23</v>
      </c>
      <c r="N8256" t="s">
        <v>10236</v>
      </c>
    </row>
    <row r="8257" spans="1:14">
      <c r="A8257" t="s">
        <v>35</v>
      </c>
      <c r="B8257" t="s">
        <v>8234</v>
      </c>
      <c r="C8257">
        <f>"pt113"</f>
        <v>0</v>
      </c>
      <c r="D8257">
        <v>0</v>
      </c>
      <c r="E8257">
        <v>1</v>
      </c>
      <c r="F8257" s="2">
        <v>2</v>
      </c>
      <c r="H8257">
        <v>0</v>
      </c>
      <c r="I8257">
        <v>0.1741125760648204</v>
      </c>
      <c r="J8257">
        <v>0</v>
      </c>
      <c r="K8257">
        <v>0</v>
      </c>
      <c r="L8257" s="2">
        <v>0</v>
      </c>
      <c r="M8257">
        <v>81.23999999999999</v>
      </c>
      <c r="N8257" t="s">
        <v>10236</v>
      </c>
    </row>
    <row r="8258" spans="1:14">
      <c r="A8258" t="s">
        <v>35</v>
      </c>
      <c r="B8258" t="s">
        <v>8235</v>
      </c>
      <c r="C8258">
        <f>"pt112"</f>
        <v>0</v>
      </c>
      <c r="D8258">
        <v>0</v>
      </c>
      <c r="E8258">
        <v>6</v>
      </c>
      <c r="F8258" s="2">
        <v>2</v>
      </c>
      <c r="H8258">
        <v>0</v>
      </c>
      <c r="I8258">
        <v>0.1741125760648204</v>
      </c>
      <c r="J8258">
        <v>0</v>
      </c>
      <c r="K8258">
        <v>0</v>
      </c>
      <c r="L8258" s="2">
        <v>0</v>
      </c>
      <c r="M8258">
        <v>81.25</v>
      </c>
      <c r="N8258" t="s">
        <v>10236</v>
      </c>
    </row>
    <row r="8259" spans="1:14">
      <c r="A8259" t="s">
        <v>35</v>
      </c>
      <c r="B8259" t="s">
        <v>8236</v>
      </c>
      <c r="C8259">
        <f>"PT110"</f>
        <v>0</v>
      </c>
      <c r="D8259">
        <v>0</v>
      </c>
      <c r="E8259">
        <v>0</v>
      </c>
      <c r="F8259" s="2">
        <v>0</v>
      </c>
      <c r="H8259">
        <v>0</v>
      </c>
      <c r="I8259">
        <v>0.1741125760648204</v>
      </c>
      <c r="J8259">
        <v>0</v>
      </c>
      <c r="K8259">
        <v>0</v>
      </c>
      <c r="L8259" s="2">
        <v>0</v>
      </c>
      <c r="M8259">
        <v>81.26000000000001</v>
      </c>
      <c r="N8259" t="s">
        <v>10236</v>
      </c>
    </row>
    <row r="8260" spans="1:14">
      <c r="A8260" t="s">
        <v>35</v>
      </c>
      <c r="B8260" t="s">
        <v>8237</v>
      </c>
      <c r="C8260">
        <f>"PT109"</f>
        <v>0</v>
      </c>
      <c r="D8260">
        <v>0</v>
      </c>
      <c r="E8260">
        <v>0</v>
      </c>
      <c r="F8260" s="2">
        <v>0</v>
      </c>
      <c r="H8260">
        <v>0</v>
      </c>
      <c r="I8260">
        <v>0.1741125760648204</v>
      </c>
      <c r="J8260">
        <v>0</v>
      </c>
      <c r="K8260">
        <v>0</v>
      </c>
      <c r="L8260" s="2">
        <v>0</v>
      </c>
      <c r="M8260">
        <v>81.27</v>
      </c>
      <c r="N8260" t="s">
        <v>10236</v>
      </c>
    </row>
    <row r="8261" spans="1:14">
      <c r="A8261" t="s">
        <v>35</v>
      </c>
      <c r="B8261" t="s">
        <v>8238</v>
      </c>
      <c r="C8261">
        <f>"PT108"</f>
        <v>0</v>
      </c>
      <c r="D8261">
        <v>0</v>
      </c>
      <c r="E8261">
        <v>0</v>
      </c>
      <c r="F8261" s="2">
        <v>0</v>
      </c>
      <c r="H8261">
        <v>0</v>
      </c>
      <c r="I8261">
        <v>0.1741125760648204</v>
      </c>
      <c r="J8261">
        <v>0</v>
      </c>
      <c r="K8261">
        <v>0</v>
      </c>
      <c r="L8261" s="2">
        <v>0</v>
      </c>
      <c r="M8261">
        <v>81.27</v>
      </c>
      <c r="N8261" t="s">
        <v>10236</v>
      </c>
    </row>
    <row r="8262" spans="1:14">
      <c r="A8262" t="s">
        <v>35</v>
      </c>
      <c r="B8262" t="s">
        <v>8239</v>
      </c>
      <c r="C8262">
        <f>"PT107"</f>
        <v>0</v>
      </c>
      <c r="D8262">
        <v>0</v>
      </c>
      <c r="E8262">
        <v>0</v>
      </c>
      <c r="F8262" s="2">
        <v>0</v>
      </c>
      <c r="H8262">
        <v>0</v>
      </c>
      <c r="I8262">
        <v>0.1741125760648204</v>
      </c>
      <c r="J8262">
        <v>0</v>
      </c>
      <c r="K8262">
        <v>0</v>
      </c>
      <c r="L8262" s="2">
        <v>0</v>
      </c>
      <c r="M8262">
        <v>81.28</v>
      </c>
      <c r="N8262" t="s">
        <v>10236</v>
      </c>
    </row>
    <row r="8263" spans="1:14">
      <c r="A8263" t="s">
        <v>35</v>
      </c>
      <c r="B8263" t="s">
        <v>8240</v>
      </c>
      <c r="C8263">
        <f>"PT106"</f>
        <v>0</v>
      </c>
      <c r="D8263">
        <v>0</v>
      </c>
      <c r="E8263">
        <v>0</v>
      </c>
      <c r="F8263" s="2">
        <v>0</v>
      </c>
      <c r="H8263">
        <v>0</v>
      </c>
      <c r="I8263">
        <v>0.1741125760648204</v>
      </c>
      <c r="J8263">
        <v>0</v>
      </c>
      <c r="K8263">
        <v>0</v>
      </c>
      <c r="L8263" s="2">
        <v>0</v>
      </c>
      <c r="M8263">
        <v>81.29000000000001</v>
      </c>
      <c r="N8263" t="s">
        <v>10236</v>
      </c>
    </row>
    <row r="8264" spans="1:14">
      <c r="A8264" t="s">
        <v>35</v>
      </c>
      <c r="B8264" t="s">
        <v>8241</v>
      </c>
      <c r="C8264">
        <f>"pt102"</f>
        <v>0</v>
      </c>
      <c r="D8264">
        <v>0</v>
      </c>
      <c r="E8264">
        <v>0</v>
      </c>
      <c r="F8264" s="2">
        <v>0</v>
      </c>
      <c r="H8264">
        <v>0</v>
      </c>
      <c r="I8264">
        <v>0.1741125760648204</v>
      </c>
      <c r="J8264">
        <v>0</v>
      </c>
      <c r="K8264">
        <v>0</v>
      </c>
      <c r="L8264" s="2">
        <v>0</v>
      </c>
      <c r="M8264">
        <v>81.3</v>
      </c>
      <c r="N8264" t="s">
        <v>10236</v>
      </c>
    </row>
    <row r="8265" spans="1:14">
      <c r="A8265" t="s">
        <v>35</v>
      </c>
      <c r="B8265" t="s">
        <v>8242</v>
      </c>
      <c r="C8265">
        <f>"pt101"</f>
        <v>0</v>
      </c>
      <c r="D8265">
        <v>0</v>
      </c>
      <c r="E8265">
        <v>0</v>
      </c>
      <c r="F8265" s="2">
        <v>0</v>
      </c>
      <c r="H8265">
        <v>0</v>
      </c>
      <c r="I8265">
        <v>0.1741125760648204</v>
      </c>
      <c r="J8265">
        <v>0</v>
      </c>
      <c r="K8265">
        <v>0</v>
      </c>
      <c r="L8265" s="2">
        <v>0</v>
      </c>
      <c r="M8265">
        <v>81.31</v>
      </c>
      <c r="N8265" t="s">
        <v>10236</v>
      </c>
    </row>
    <row r="8266" spans="1:14">
      <c r="A8266" t="s">
        <v>194</v>
      </c>
      <c r="B8266" t="s">
        <v>8243</v>
      </c>
      <c r="C8266">
        <f>"10604"</f>
        <v>0</v>
      </c>
      <c r="D8266">
        <v>0</v>
      </c>
      <c r="E8266">
        <v>0</v>
      </c>
      <c r="F8266" s="2">
        <v>0</v>
      </c>
      <c r="H8266">
        <v>0</v>
      </c>
      <c r="I8266">
        <v>0.1741125760648204</v>
      </c>
      <c r="J8266">
        <v>0</v>
      </c>
      <c r="K8266">
        <v>0</v>
      </c>
      <c r="L8266" s="2">
        <v>0</v>
      </c>
      <c r="M8266">
        <v>81.31999999999999</v>
      </c>
      <c r="N8266" t="s">
        <v>10236</v>
      </c>
    </row>
    <row r="8267" spans="1:14">
      <c r="A8267" t="s">
        <v>194</v>
      </c>
      <c r="B8267" t="s">
        <v>8244</v>
      </c>
      <c r="C8267">
        <f>"10602"</f>
        <v>0</v>
      </c>
      <c r="D8267">
        <v>0</v>
      </c>
      <c r="E8267">
        <v>0</v>
      </c>
      <c r="F8267" s="2">
        <v>0</v>
      </c>
      <c r="H8267">
        <v>0</v>
      </c>
      <c r="I8267">
        <v>0.1741125760648204</v>
      </c>
      <c r="J8267">
        <v>0</v>
      </c>
      <c r="K8267">
        <v>0</v>
      </c>
      <c r="L8267" s="2">
        <v>0</v>
      </c>
      <c r="M8267">
        <v>81.33</v>
      </c>
      <c r="N8267" t="s">
        <v>10236</v>
      </c>
    </row>
    <row r="8268" spans="1:14">
      <c r="A8268" t="s">
        <v>194</v>
      </c>
      <c r="B8268" t="s">
        <v>8245</v>
      </c>
      <c r="C8268">
        <f>"10605"</f>
        <v>0</v>
      </c>
      <c r="D8268">
        <v>0</v>
      </c>
      <c r="E8268">
        <v>0</v>
      </c>
      <c r="F8268" s="2">
        <v>0</v>
      </c>
      <c r="H8268">
        <v>0</v>
      </c>
      <c r="I8268">
        <v>0.1741125760648204</v>
      </c>
      <c r="J8268">
        <v>0</v>
      </c>
      <c r="K8268">
        <v>0</v>
      </c>
      <c r="L8268" s="2">
        <v>0</v>
      </c>
      <c r="M8268">
        <v>81.34</v>
      </c>
      <c r="N8268" t="s">
        <v>10236</v>
      </c>
    </row>
    <row r="8269" spans="1:14">
      <c r="A8269" t="s">
        <v>194</v>
      </c>
      <c r="B8269" t="s">
        <v>8246</v>
      </c>
      <c r="C8269">
        <f>"10601"</f>
        <v>0</v>
      </c>
      <c r="D8269">
        <v>0</v>
      </c>
      <c r="E8269">
        <v>0</v>
      </c>
      <c r="F8269" s="2">
        <v>0</v>
      </c>
      <c r="H8269">
        <v>0</v>
      </c>
      <c r="I8269">
        <v>0.1741125760648204</v>
      </c>
      <c r="J8269">
        <v>0</v>
      </c>
      <c r="K8269">
        <v>0</v>
      </c>
      <c r="L8269" s="2">
        <v>0</v>
      </c>
      <c r="M8269">
        <v>81.34999999999999</v>
      </c>
      <c r="N8269" t="s">
        <v>10236</v>
      </c>
    </row>
    <row r="8270" spans="1:14">
      <c r="A8270" t="s">
        <v>35</v>
      </c>
      <c r="B8270" t="s">
        <v>8247</v>
      </c>
      <c r="C8270">
        <f>"pt062"</f>
        <v>0</v>
      </c>
      <c r="D8270">
        <v>0</v>
      </c>
      <c r="E8270">
        <v>0</v>
      </c>
      <c r="F8270" s="2">
        <v>0</v>
      </c>
      <c r="H8270">
        <v>0</v>
      </c>
      <c r="I8270">
        <v>0.1741125760648204</v>
      </c>
      <c r="J8270">
        <v>0</v>
      </c>
      <c r="K8270">
        <v>0</v>
      </c>
      <c r="L8270" s="2">
        <v>0</v>
      </c>
      <c r="M8270">
        <v>81.36</v>
      </c>
      <c r="N8270" t="s">
        <v>10236</v>
      </c>
    </row>
    <row r="8271" spans="1:14">
      <c r="A8271" t="s">
        <v>35</v>
      </c>
      <c r="B8271" t="s">
        <v>8248</v>
      </c>
      <c r="C8271">
        <f>"PT147"</f>
        <v>0</v>
      </c>
      <c r="D8271">
        <v>0</v>
      </c>
      <c r="E8271">
        <v>0</v>
      </c>
      <c r="F8271" s="2">
        <v>0</v>
      </c>
      <c r="H8271">
        <v>0</v>
      </c>
      <c r="I8271">
        <v>0.1741125760648204</v>
      </c>
      <c r="J8271">
        <v>0</v>
      </c>
      <c r="K8271">
        <v>0</v>
      </c>
      <c r="L8271" s="2">
        <v>0</v>
      </c>
      <c r="M8271">
        <v>81.37</v>
      </c>
      <c r="N8271" t="s">
        <v>10236</v>
      </c>
    </row>
    <row r="8272" spans="1:14">
      <c r="A8272" t="s">
        <v>35</v>
      </c>
      <c r="B8272" t="s">
        <v>8249</v>
      </c>
      <c r="C8272">
        <f>"54B109083SG"</f>
        <v>0</v>
      </c>
      <c r="D8272">
        <v>0</v>
      </c>
      <c r="E8272">
        <v>1</v>
      </c>
      <c r="F8272" s="2">
        <v>7</v>
      </c>
      <c r="H8272">
        <v>0</v>
      </c>
      <c r="I8272">
        <v>0.1741125760648204</v>
      </c>
      <c r="J8272">
        <v>0</v>
      </c>
      <c r="K8272">
        <v>0</v>
      </c>
      <c r="L8272" s="2">
        <v>0</v>
      </c>
      <c r="M8272">
        <v>81.38</v>
      </c>
      <c r="N8272" t="s">
        <v>10236</v>
      </c>
    </row>
    <row r="8273" spans="1:14">
      <c r="A8273" t="s">
        <v>35</v>
      </c>
      <c r="B8273" t="s">
        <v>8250</v>
      </c>
      <c r="C8273">
        <f>"54B109083MG"</f>
        <v>0</v>
      </c>
      <c r="D8273">
        <v>0</v>
      </c>
      <c r="E8273">
        <v>0</v>
      </c>
      <c r="F8273" s="2">
        <v>0</v>
      </c>
      <c r="H8273">
        <v>0</v>
      </c>
      <c r="I8273">
        <v>0.1741125760648204</v>
      </c>
      <c r="J8273">
        <v>0</v>
      </c>
      <c r="K8273">
        <v>0</v>
      </c>
      <c r="L8273" s="2">
        <v>0</v>
      </c>
      <c r="M8273">
        <v>81.38</v>
      </c>
      <c r="N8273" t="s">
        <v>10236</v>
      </c>
    </row>
    <row r="8274" spans="1:14">
      <c r="A8274" t="s">
        <v>35</v>
      </c>
      <c r="B8274" t="s">
        <v>8251</v>
      </c>
      <c r="C8274">
        <f>"54B109083LG"</f>
        <v>0</v>
      </c>
      <c r="D8274">
        <v>0</v>
      </c>
      <c r="E8274">
        <v>1</v>
      </c>
      <c r="F8274" s="2">
        <v>8</v>
      </c>
      <c r="H8274">
        <v>0</v>
      </c>
      <c r="I8274">
        <v>0.1741125760648204</v>
      </c>
      <c r="J8274">
        <v>0</v>
      </c>
      <c r="K8274">
        <v>0</v>
      </c>
      <c r="L8274" s="2">
        <v>0</v>
      </c>
      <c r="M8274">
        <v>81.39</v>
      </c>
      <c r="N8274" t="s">
        <v>10236</v>
      </c>
    </row>
    <row r="8275" spans="1:14">
      <c r="A8275" t="s">
        <v>35</v>
      </c>
      <c r="B8275" t="s">
        <v>8252</v>
      </c>
      <c r="C8275">
        <f>"54B1090834XLG"</f>
        <v>0</v>
      </c>
      <c r="D8275">
        <v>0</v>
      </c>
      <c r="E8275">
        <v>1</v>
      </c>
      <c r="F8275" s="2">
        <v>12</v>
      </c>
      <c r="H8275">
        <v>0</v>
      </c>
      <c r="I8275">
        <v>0.1741125760648204</v>
      </c>
      <c r="J8275">
        <v>0</v>
      </c>
      <c r="K8275">
        <v>0</v>
      </c>
      <c r="L8275" s="2">
        <v>0</v>
      </c>
      <c r="M8275">
        <v>81.40000000000001</v>
      </c>
      <c r="N8275" t="s">
        <v>10236</v>
      </c>
    </row>
    <row r="8276" spans="1:14">
      <c r="A8276" t="s">
        <v>35</v>
      </c>
      <c r="B8276" t="s">
        <v>8253</v>
      </c>
      <c r="C8276">
        <f>"54B1090833XLG"</f>
        <v>0</v>
      </c>
      <c r="D8276">
        <v>0</v>
      </c>
      <c r="E8276">
        <v>2</v>
      </c>
      <c r="F8276" s="2">
        <v>11</v>
      </c>
      <c r="H8276">
        <v>0</v>
      </c>
      <c r="I8276">
        <v>0.1741125760648204</v>
      </c>
      <c r="J8276">
        <v>0</v>
      </c>
      <c r="K8276">
        <v>0</v>
      </c>
      <c r="L8276" s="2">
        <v>0</v>
      </c>
      <c r="M8276">
        <v>81.41</v>
      </c>
      <c r="N8276" t="s">
        <v>10236</v>
      </c>
    </row>
    <row r="8277" spans="1:14">
      <c r="A8277" t="s">
        <v>35</v>
      </c>
      <c r="B8277" t="s">
        <v>8254</v>
      </c>
      <c r="C8277">
        <f>"54B1090832XLG"</f>
        <v>0</v>
      </c>
      <c r="D8277">
        <v>0</v>
      </c>
      <c r="E8277">
        <v>1</v>
      </c>
      <c r="F8277" s="2">
        <v>10</v>
      </c>
      <c r="H8277">
        <v>0</v>
      </c>
      <c r="I8277">
        <v>0.1741125760648204</v>
      </c>
      <c r="J8277">
        <v>0</v>
      </c>
      <c r="K8277">
        <v>0</v>
      </c>
      <c r="L8277" s="2">
        <v>0</v>
      </c>
      <c r="M8277">
        <v>81.42</v>
      </c>
      <c r="N8277" t="s">
        <v>10236</v>
      </c>
    </row>
    <row r="8278" spans="1:14">
      <c r="A8278" t="s">
        <v>35</v>
      </c>
      <c r="B8278" t="s">
        <v>8255</v>
      </c>
      <c r="C8278">
        <f>"54B109083XSB"</f>
        <v>0</v>
      </c>
      <c r="D8278">
        <v>0</v>
      </c>
      <c r="E8278">
        <v>1</v>
      </c>
      <c r="F8278" s="2">
        <v>7</v>
      </c>
      <c r="H8278">
        <v>0</v>
      </c>
      <c r="I8278">
        <v>0.1741125760648204</v>
      </c>
      <c r="J8278">
        <v>0</v>
      </c>
      <c r="K8278">
        <v>0</v>
      </c>
      <c r="L8278" s="2">
        <v>0</v>
      </c>
      <c r="M8278">
        <v>81.43000000000001</v>
      </c>
      <c r="N8278" t="s">
        <v>10236</v>
      </c>
    </row>
    <row r="8279" spans="1:14">
      <c r="A8279" t="s">
        <v>35</v>
      </c>
      <c r="B8279" t="s">
        <v>8256</v>
      </c>
      <c r="C8279">
        <f>"54B109083XLB"</f>
        <v>0</v>
      </c>
      <c r="D8279">
        <v>0</v>
      </c>
      <c r="E8279">
        <v>2</v>
      </c>
      <c r="F8279" s="2">
        <v>9</v>
      </c>
      <c r="H8279">
        <v>0</v>
      </c>
      <c r="I8279">
        <v>0.1741125760648204</v>
      </c>
      <c r="J8279">
        <v>0</v>
      </c>
      <c r="K8279">
        <v>0</v>
      </c>
      <c r="L8279" s="2">
        <v>0</v>
      </c>
      <c r="M8279">
        <v>81.44</v>
      </c>
      <c r="N8279" t="s">
        <v>10236</v>
      </c>
    </row>
    <row r="8280" spans="1:14">
      <c r="A8280" t="s">
        <v>35</v>
      </c>
      <c r="B8280" t="s">
        <v>8257</v>
      </c>
      <c r="C8280">
        <f>"54B109083SB"</f>
        <v>0</v>
      </c>
      <c r="D8280">
        <v>0</v>
      </c>
      <c r="E8280">
        <v>1</v>
      </c>
      <c r="F8280" s="2">
        <v>7</v>
      </c>
      <c r="H8280">
        <v>0</v>
      </c>
      <c r="I8280">
        <v>0.1741125760648204</v>
      </c>
      <c r="J8280">
        <v>0</v>
      </c>
      <c r="K8280">
        <v>0</v>
      </c>
      <c r="L8280" s="2">
        <v>0</v>
      </c>
      <c r="M8280">
        <v>81.45</v>
      </c>
      <c r="N8280" t="s">
        <v>10236</v>
      </c>
    </row>
    <row r="8281" spans="1:14">
      <c r="A8281" t="s">
        <v>35</v>
      </c>
      <c r="B8281" t="s">
        <v>8258</v>
      </c>
      <c r="C8281">
        <f>"54B109083MB"</f>
        <v>0</v>
      </c>
      <c r="D8281">
        <v>0</v>
      </c>
      <c r="E8281">
        <v>1</v>
      </c>
      <c r="F8281" s="2">
        <v>7</v>
      </c>
      <c r="H8281">
        <v>0</v>
      </c>
      <c r="I8281">
        <v>0.1741125760648204</v>
      </c>
      <c r="J8281">
        <v>0</v>
      </c>
      <c r="K8281">
        <v>0</v>
      </c>
      <c r="L8281" s="2">
        <v>0</v>
      </c>
      <c r="M8281">
        <v>81.45999999999999</v>
      </c>
      <c r="N8281" t="s">
        <v>10236</v>
      </c>
    </row>
    <row r="8282" spans="1:14">
      <c r="A8282" t="s">
        <v>35</v>
      </c>
      <c r="B8282" t="s">
        <v>8259</v>
      </c>
      <c r="C8282">
        <f>"54B109083LB"</f>
        <v>0</v>
      </c>
      <c r="D8282">
        <v>0</v>
      </c>
      <c r="E8282">
        <v>1</v>
      </c>
      <c r="F8282" s="2">
        <v>8</v>
      </c>
      <c r="H8282">
        <v>0</v>
      </c>
      <c r="I8282">
        <v>0.1741125760648204</v>
      </c>
      <c r="J8282">
        <v>0</v>
      </c>
      <c r="K8282">
        <v>0</v>
      </c>
      <c r="L8282" s="2">
        <v>0</v>
      </c>
      <c r="M8282">
        <v>81.47</v>
      </c>
      <c r="N8282" t="s">
        <v>10236</v>
      </c>
    </row>
    <row r="8283" spans="1:14">
      <c r="A8283" t="s">
        <v>35</v>
      </c>
      <c r="B8283" t="s">
        <v>8260</v>
      </c>
      <c r="C8283">
        <f>"54B1090834XLB"</f>
        <v>0</v>
      </c>
      <c r="D8283">
        <v>0</v>
      </c>
      <c r="E8283">
        <v>2</v>
      </c>
      <c r="F8283" s="2">
        <v>12</v>
      </c>
      <c r="H8283">
        <v>0</v>
      </c>
      <c r="I8283">
        <v>0.1741125760648204</v>
      </c>
      <c r="J8283">
        <v>0</v>
      </c>
      <c r="K8283">
        <v>0</v>
      </c>
      <c r="L8283" s="2">
        <v>0</v>
      </c>
      <c r="M8283">
        <v>81.48</v>
      </c>
      <c r="N8283" t="s">
        <v>10236</v>
      </c>
    </row>
    <row r="8284" spans="1:14">
      <c r="A8284" t="s">
        <v>35</v>
      </c>
      <c r="B8284" t="s">
        <v>8261</v>
      </c>
      <c r="C8284">
        <f>"pt126"</f>
        <v>0</v>
      </c>
      <c r="D8284">
        <v>0</v>
      </c>
      <c r="E8284">
        <v>0</v>
      </c>
      <c r="F8284" s="2">
        <v>0</v>
      </c>
      <c r="H8284">
        <v>0</v>
      </c>
      <c r="I8284">
        <v>0.1741125760648204</v>
      </c>
      <c r="J8284">
        <v>0</v>
      </c>
      <c r="K8284">
        <v>0</v>
      </c>
      <c r="L8284" s="2">
        <v>0</v>
      </c>
      <c r="M8284">
        <v>81.48999999999999</v>
      </c>
      <c r="N8284" t="s">
        <v>10236</v>
      </c>
    </row>
    <row r="8285" spans="1:14">
      <c r="A8285" t="s">
        <v>35</v>
      </c>
      <c r="B8285" t="s">
        <v>8262</v>
      </c>
      <c r="C8285">
        <f>"pt092"</f>
        <v>0</v>
      </c>
      <c r="D8285">
        <v>0</v>
      </c>
      <c r="E8285">
        <v>0</v>
      </c>
      <c r="F8285" s="2">
        <v>0</v>
      </c>
      <c r="H8285">
        <v>0</v>
      </c>
      <c r="I8285">
        <v>0.1741125760648204</v>
      </c>
      <c r="J8285">
        <v>0</v>
      </c>
      <c r="K8285">
        <v>0</v>
      </c>
      <c r="L8285" s="2">
        <v>0</v>
      </c>
      <c r="M8285">
        <v>81.5</v>
      </c>
      <c r="N8285" t="s">
        <v>10236</v>
      </c>
    </row>
    <row r="8286" spans="1:14">
      <c r="A8286" t="s">
        <v>35</v>
      </c>
      <c r="B8286" t="s">
        <v>8263</v>
      </c>
      <c r="C8286">
        <f>"PT89"</f>
        <v>0</v>
      </c>
      <c r="D8286">
        <v>0</v>
      </c>
      <c r="E8286">
        <v>0</v>
      </c>
      <c r="F8286" s="2">
        <v>0</v>
      </c>
      <c r="H8286">
        <v>0</v>
      </c>
      <c r="I8286">
        <v>0.1741125760648204</v>
      </c>
      <c r="J8286">
        <v>0</v>
      </c>
      <c r="K8286">
        <v>0</v>
      </c>
      <c r="L8286" s="2">
        <v>0</v>
      </c>
      <c r="M8286">
        <v>81.5</v>
      </c>
      <c r="N8286" t="s">
        <v>10236</v>
      </c>
    </row>
    <row r="8287" spans="1:14">
      <c r="A8287" t="s">
        <v>35</v>
      </c>
      <c r="B8287" t="s">
        <v>8264</v>
      </c>
      <c r="C8287">
        <f>"PT84V"</f>
        <v>0</v>
      </c>
      <c r="D8287">
        <v>0</v>
      </c>
      <c r="E8287">
        <v>0</v>
      </c>
      <c r="F8287" s="2">
        <v>0</v>
      </c>
      <c r="H8287">
        <v>0</v>
      </c>
      <c r="I8287">
        <v>0.1741125760648204</v>
      </c>
      <c r="J8287">
        <v>0</v>
      </c>
      <c r="K8287">
        <v>0</v>
      </c>
      <c r="L8287" s="2">
        <v>0</v>
      </c>
      <c r="M8287">
        <v>81.51000000000001</v>
      </c>
      <c r="N8287" t="s">
        <v>10236</v>
      </c>
    </row>
    <row r="8288" spans="1:14">
      <c r="A8288" t="s">
        <v>35</v>
      </c>
      <c r="B8288" t="s">
        <v>8265</v>
      </c>
      <c r="C8288">
        <f>"PT84A"</f>
        <v>0</v>
      </c>
      <c r="D8288">
        <v>0</v>
      </c>
      <c r="E8288">
        <v>0</v>
      </c>
      <c r="F8288" s="2">
        <v>0</v>
      </c>
      <c r="H8288">
        <v>0</v>
      </c>
      <c r="I8288">
        <v>0.1741125760648204</v>
      </c>
      <c r="J8288">
        <v>0</v>
      </c>
      <c r="K8288">
        <v>0</v>
      </c>
      <c r="L8288" s="2">
        <v>0</v>
      </c>
      <c r="M8288">
        <v>81.52</v>
      </c>
      <c r="N8288" t="s">
        <v>10236</v>
      </c>
    </row>
    <row r="8289" spans="1:14">
      <c r="A8289" t="s">
        <v>35</v>
      </c>
      <c r="B8289" t="s">
        <v>8266</v>
      </c>
      <c r="C8289">
        <f>"PT84"</f>
        <v>0</v>
      </c>
      <c r="D8289">
        <v>0</v>
      </c>
      <c r="E8289">
        <v>0</v>
      </c>
      <c r="F8289" s="2">
        <v>0</v>
      </c>
      <c r="H8289">
        <v>0</v>
      </c>
      <c r="I8289">
        <v>0.1741125760648204</v>
      </c>
      <c r="J8289">
        <v>0</v>
      </c>
      <c r="K8289">
        <v>0</v>
      </c>
      <c r="L8289" s="2">
        <v>0</v>
      </c>
      <c r="M8289">
        <v>81.53</v>
      </c>
      <c r="N8289" t="s">
        <v>10236</v>
      </c>
    </row>
    <row r="8290" spans="1:14">
      <c r="A8290" t="s">
        <v>35</v>
      </c>
      <c r="B8290" t="s">
        <v>8267</v>
      </c>
      <c r="C8290">
        <f>"PT83"</f>
        <v>0</v>
      </c>
      <c r="D8290">
        <v>0</v>
      </c>
      <c r="E8290">
        <v>0</v>
      </c>
      <c r="F8290" s="2">
        <v>0</v>
      </c>
      <c r="H8290">
        <v>0</v>
      </c>
      <c r="I8290">
        <v>0.1741125760648204</v>
      </c>
      <c r="J8290">
        <v>0</v>
      </c>
      <c r="K8290">
        <v>0</v>
      </c>
      <c r="L8290" s="2">
        <v>0</v>
      </c>
      <c r="M8290">
        <v>81.54000000000001</v>
      </c>
      <c r="N8290" t="s">
        <v>10236</v>
      </c>
    </row>
    <row r="8291" spans="1:14">
      <c r="A8291" t="s">
        <v>35</v>
      </c>
      <c r="B8291" t="s">
        <v>8268</v>
      </c>
      <c r="C8291">
        <f>"PT68"</f>
        <v>0</v>
      </c>
      <c r="D8291">
        <v>0</v>
      </c>
      <c r="E8291">
        <v>0</v>
      </c>
      <c r="F8291" s="2">
        <v>0</v>
      </c>
      <c r="H8291">
        <v>0</v>
      </c>
      <c r="I8291">
        <v>0.1741125760648204</v>
      </c>
      <c r="J8291">
        <v>0</v>
      </c>
      <c r="K8291">
        <v>0</v>
      </c>
      <c r="L8291" s="2">
        <v>0</v>
      </c>
      <c r="M8291">
        <v>81.55</v>
      </c>
      <c r="N8291" t="s">
        <v>10236</v>
      </c>
    </row>
    <row r="8292" spans="1:14">
      <c r="A8292" t="s">
        <v>35</v>
      </c>
      <c r="B8292" t="s">
        <v>8269</v>
      </c>
      <c r="C8292">
        <f>"pt170"</f>
        <v>0</v>
      </c>
      <c r="D8292">
        <v>0</v>
      </c>
      <c r="E8292">
        <v>0</v>
      </c>
      <c r="F8292" s="2">
        <v>0</v>
      </c>
      <c r="H8292">
        <v>0</v>
      </c>
      <c r="I8292">
        <v>0.1741125760648204</v>
      </c>
      <c r="J8292">
        <v>0</v>
      </c>
      <c r="K8292">
        <v>0</v>
      </c>
      <c r="L8292" s="2">
        <v>0</v>
      </c>
      <c r="M8292">
        <v>81.56</v>
      </c>
      <c r="N8292" t="s">
        <v>10236</v>
      </c>
    </row>
    <row r="8293" spans="1:14">
      <c r="A8293" t="s">
        <v>35</v>
      </c>
      <c r="B8293" t="s">
        <v>8270</v>
      </c>
      <c r="C8293">
        <f>"PT168"</f>
        <v>0</v>
      </c>
      <c r="D8293">
        <v>0</v>
      </c>
      <c r="E8293">
        <v>0</v>
      </c>
      <c r="F8293" s="2">
        <v>0</v>
      </c>
      <c r="H8293">
        <v>0</v>
      </c>
      <c r="I8293">
        <v>0.1741125760648204</v>
      </c>
      <c r="J8293">
        <v>0</v>
      </c>
      <c r="K8293">
        <v>0</v>
      </c>
      <c r="L8293" s="2">
        <v>0</v>
      </c>
      <c r="M8293">
        <v>81.56999999999999</v>
      </c>
      <c r="N8293" t="s">
        <v>10236</v>
      </c>
    </row>
    <row r="8294" spans="1:14">
      <c r="A8294" t="s">
        <v>35</v>
      </c>
      <c r="B8294" t="s">
        <v>8271</v>
      </c>
      <c r="C8294">
        <f>"PT167"</f>
        <v>0</v>
      </c>
      <c r="D8294">
        <v>0</v>
      </c>
      <c r="E8294">
        <v>0</v>
      </c>
      <c r="F8294" s="2">
        <v>0</v>
      </c>
      <c r="H8294">
        <v>0</v>
      </c>
      <c r="I8294">
        <v>0.1741125760648204</v>
      </c>
      <c r="J8294">
        <v>0</v>
      </c>
      <c r="K8294">
        <v>0</v>
      </c>
      <c r="L8294" s="2">
        <v>0</v>
      </c>
      <c r="M8294">
        <v>81.58</v>
      </c>
      <c r="N8294" t="s">
        <v>10236</v>
      </c>
    </row>
    <row r="8295" spans="1:14">
      <c r="A8295" t="s">
        <v>35</v>
      </c>
      <c r="B8295" t="s">
        <v>8272</v>
      </c>
      <c r="C8295">
        <f>"PT165"</f>
        <v>0</v>
      </c>
      <c r="D8295">
        <v>0</v>
      </c>
      <c r="E8295">
        <v>4</v>
      </c>
      <c r="F8295" s="2">
        <v>2</v>
      </c>
      <c r="H8295">
        <v>0</v>
      </c>
      <c r="I8295">
        <v>0.1741125760648204</v>
      </c>
      <c r="J8295">
        <v>0</v>
      </c>
      <c r="K8295">
        <v>0</v>
      </c>
      <c r="L8295" s="2">
        <v>0</v>
      </c>
      <c r="M8295">
        <v>81.59</v>
      </c>
      <c r="N8295" t="s">
        <v>10236</v>
      </c>
    </row>
    <row r="8296" spans="1:14">
      <c r="A8296" t="s">
        <v>35</v>
      </c>
      <c r="B8296" t="s">
        <v>8273</v>
      </c>
      <c r="C8296">
        <f>"PT164"</f>
        <v>0</v>
      </c>
      <c r="D8296">
        <v>0</v>
      </c>
      <c r="E8296">
        <v>1</v>
      </c>
      <c r="F8296" s="2">
        <v>2</v>
      </c>
      <c r="H8296">
        <v>0</v>
      </c>
      <c r="I8296">
        <v>0.1741125760648204</v>
      </c>
      <c r="J8296">
        <v>0</v>
      </c>
      <c r="K8296">
        <v>0</v>
      </c>
      <c r="L8296" s="2">
        <v>0</v>
      </c>
      <c r="M8296">
        <v>81.59999999999999</v>
      </c>
      <c r="N8296" t="s">
        <v>10236</v>
      </c>
    </row>
    <row r="8297" spans="1:14">
      <c r="A8297" t="s">
        <v>35</v>
      </c>
      <c r="B8297" t="s">
        <v>8274</v>
      </c>
      <c r="C8297">
        <f>"PT154"</f>
        <v>0</v>
      </c>
      <c r="D8297">
        <v>0</v>
      </c>
      <c r="E8297">
        <v>0</v>
      </c>
      <c r="F8297" s="2">
        <v>0</v>
      </c>
      <c r="H8297">
        <v>0</v>
      </c>
      <c r="I8297">
        <v>0.1741125760648204</v>
      </c>
      <c r="J8297">
        <v>0</v>
      </c>
      <c r="K8297">
        <v>0</v>
      </c>
      <c r="L8297" s="2">
        <v>0</v>
      </c>
      <c r="M8297">
        <v>81.61</v>
      </c>
      <c r="N8297" t="s">
        <v>10236</v>
      </c>
    </row>
    <row r="8298" spans="1:14">
      <c r="A8298" t="s">
        <v>35</v>
      </c>
      <c r="B8298" t="s">
        <v>8275</v>
      </c>
      <c r="C8298">
        <f>"pt100"</f>
        <v>0</v>
      </c>
      <c r="D8298">
        <v>0</v>
      </c>
      <c r="E8298">
        <v>0</v>
      </c>
      <c r="F8298" s="2">
        <v>0</v>
      </c>
      <c r="H8298">
        <v>0</v>
      </c>
      <c r="I8298">
        <v>0.1741125760648204</v>
      </c>
      <c r="J8298">
        <v>0</v>
      </c>
      <c r="K8298">
        <v>0</v>
      </c>
      <c r="L8298" s="2">
        <v>0</v>
      </c>
      <c r="M8298">
        <v>81.62</v>
      </c>
      <c r="N8298" t="s">
        <v>10236</v>
      </c>
    </row>
    <row r="8299" spans="1:14">
      <c r="A8299" t="s">
        <v>35</v>
      </c>
      <c r="B8299" t="s">
        <v>8276</v>
      </c>
      <c r="C8299">
        <f>"PT095D"</f>
        <v>0</v>
      </c>
      <c r="D8299">
        <v>0</v>
      </c>
      <c r="E8299">
        <v>0</v>
      </c>
      <c r="F8299" s="2">
        <v>0</v>
      </c>
      <c r="H8299">
        <v>0</v>
      </c>
      <c r="I8299">
        <v>0.1741125760648204</v>
      </c>
      <c r="J8299">
        <v>0</v>
      </c>
      <c r="K8299">
        <v>0</v>
      </c>
      <c r="L8299" s="2">
        <v>0</v>
      </c>
      <c r="M8299">
        <v>81.62</v>
      </c>
      <c r="N8299" t="s">
        <v>10236</v>
      </c>
    </row>
    <row r="8300" spans="1:14">
      <c r="A8300" t="s">
        <v>35</v>
      </c>
      <c r="B8300" t="s">
        <v>8277</v>
      </c>
      <c r="C8300">
        <f>"pt093"</f>
        <v>0</v>
      </c>
      <c r="D8300">
        <v>0</v>
      </c>
      <c r="E8300">
        <v>0</v>
      </c>
      <c r="F8300" s="2">
        <v>0</v>
      </c>
      <c r="H8300">
        <v>0</v>
      </c>
      <c r="I8300">
        <v>0.1741125760648204</v>
      </c>
      <c r="J8300">
        <v>0</v>
      </c>
      <c r="K8300">
        <v>0</v>
      </c>
      <c r="L8300" s="2">
        <v>0</v>
      </c>
      <c r="M8300">
        <v>81.63</v>
      </c>
      <c r="N8300" t="s">
        <v>10236</v>
      </c>
    </row>
    <row r="8301" spans="1:14">
      <c r="A8301" t="s">
        <v>35</v>
      </c>
      <c r="B8301" t="s">
        <v>8278</v>
      </c>
      <c r="C8301">
        <f>"PT122"</f>
        <v>0</v>
      </c>
      <c r="D8301">
        <v>0</v>
      </c>
      <c r="E8301">
        <v>0</v>
      </c>
      <c r="F8301" s="2">
        <v>0</v>
      </c>
      <c r="H8301">
        <v>0</v>
      </c>
      <c r="I8301">
        <v>0.1741125760648204</v>
      </c>
      <c r="J8301">
        <v>0</v>
      </c>
      <c r="K8301">
        <v>0</v>
      </c>
      <c r="L8301" s="2">
        <v>0</v>
      </c>
      <c r="M8301">
        <v>81.64</v>
      </c>
      <c r="N8301" t="s">
        <v>10236</v>
      </c>
    </row>
    <row r="8302" spans="1:14">
      <c r="A8302" t="s">
        <v>35</v>
      </c>
      <c r="B8302" t="s">
        <v>8279</v>
      </c>
      <c r="C8302">
        <f>"RT3422B"</f>
        <v>0</v>
      </c>
      <c r="D8302">
        <v>0</v>
      </c>
      <c r="E8302">
        <v>0</v>
      </c>
      <c r="F8302" s="2">
        <v>0</v>
      </c>
      <c r="H8302">
        <v>0</v>
      </c>
      <c r="I8302">
        <v>0.1741125760648204</v>
      </c>
      <c r="J8302">
        <v>0</v>
      </c>
      <c r="K8302">
        <v>0</v>
      </c>
      <c r="L8302" s="2">
        <v>0</v>
      </c>
      <c r="M8302">
        <v>81.65000000000001</v>
      </c>
      <c r="N8302" t="s">
        <v>10236</v>
      </c>
    </row>
    <row r="8303" spans="1:14">
      <c r="A8303" t="s">
        <v>35</v>
      </c>
      <c r="B8303" t="s">
        <v>8280</v>
      </c>
      <c r="C8303">
        <f>"RT3421A"</f>
        <v>0</v>
      </c>
      <c r="D8303">
        <v>0</v>
      </c>
      <c r="E8303">
        <v>0</v>
      </c>
      <c r="F8303" s="2">
        <v>0</v>
      </c>
      <c r="H8303">
        <v>0</v>
      </c>
      <c r="I8303">
        <v>0.1741125760648204</v>
      </c>
      <c r="J8303">
        <v>0</v>
      </c>
      <c r="K8303">
        <v>0</v>
      </c>
      <c r="L8303" s="2">
        <v>0</v>
      </c>
      <c r="M8303">
        <v>81.66</v>
      </c>
      <c r="N8303" t="s">
        <v>10236</v>
      </c>
    </row>
    <row r="8304" spans="1:14">
      <c r="A8304" t="s">
        <v>35</v>
      </c>
      <c r="B8304" t="s">
        <v>8281</v>
      </c>
      <c r="C8304">
        <f>"RT3422C"</f>
        <v>0</v>
      </c>
      <c r="D8304">
        <v>0</v>
      </c>
      <c r="E8304">
        <v>0</v>
      </c>
      <c r="F8304" s="2">
        <v>0</v>
      </c>
      <c r="H8304">
        <v>0</v>
      </c>
      <c r="I8304">
        <v>0.1741125760648204</v>
      </c>
      <c r="J8304">
        <v>0</v>
      </c>
      <c r="K8304">
        <v>0</v>
      </c>
      <c r="L8304" s="2">
        <v>0</v>
      </c>
      <c r="M8304">
        <v>81.67</v>
      </c>
      <c r="N8304" t="s">
        <v>10236</v>
      </c>
    </row>
    <row r="8305" spans="1:14">
      <c r="A8305" t="s">
        <v>35</v>
      </c>
      <c r="B8305" t="s">
        <v>8282</v>
      </c>
      <c r="C8305">
        <f>"RTW04VE"</f>
        <v>0</v>
      </c>
      <c r="D8305">
        <v>0</v>
      </c>
      <c r="E8305">
        <v>2</v>
      </c>
      <c r="F8305" s="2">
        <v>4</v>
      </c>
      <c r="H8305">
        <v>0</v>
      </c>
      <c r="I8305">
        <v>0.1741125760648204</v>
      </c>
      <c r="J8305">
        <v>0</v>
      </c>
      <c r="K8305">
        <v>0</v>
      </c>
      <c r="L8305" s="2">
        <v>0</v>
      </c>
      <c r="M8305">
        <v>81.68000000000001</v>
      </c>
      <c r="N8305" t="s">
        <v>10236</v>
      </c>
    </row>
    <row r="8306" spans="1:14">
      <c r="A8306" t="s">
        <v>35</v>
      </c>
      <c r="B8306" t="s">
        <v>8283</v>
      </c>
      <c r="C8306">
        <f>"RTW04NA"</f>
        <v>0</v>
      </c>
      <c r="D8306">
        <v>0</v>
      </c>
      <c r="E8306">
        <v>1</v>
      </c>
      <c r="F8306" s="2">
        <v>4</v>
      </c>
      <c r="H8306">
        <v>0</v>
      </c>
      <c r="I8306">
        <v>0.1741125760648204</v>
      </c>
      <c r="J8306">
        <v>0</v>
      </c>
      <c r="K8306">
        <v>0</v>
      </c>
      <c r="L8306" s="2">
        <v>0</v>
      </c>
      <c r="M8306">
        <v>81.69</v>
      </c>
      <c r="N8306" t="s">
        <v>10236</v>
      </c>
    </row>
    <row r="8307" spans="1:14">
      <c r="A8307" t="s">
        <v>35</v>
      </c>
      <c r="B8307" t="s">
        <v>8284</v>
      </c>
      <c r="C8307">
        <f>"HDD166ROS"</f>
        <v>0</v>
      </c>
      <c r="D8307">
        <v>0</v>
      </c>
      <c r="E8307">
        <v>0</v>
      </c>
      <c r="F8307" s="2">
        <v>0</v>
      </c>
      <c r="H8307">
        <v>0</v>
      </c>
      <c r="I8307">
        <v>0.1741125760648204</v>
      </c>
      <c r="J8307">
        <v>0</v>
      </c>
      <c r="K8307">
        <v>0</v>
      </c>
      <c r="L8307" s="2">
        <v>0</v>
      </c>
      <c r="M8307">
        <v>81.7</v>
      </c>
      <c r="N8307" t="s">
        <v>10236</v>
      </c>
    </row>
    <row r="8308" spans="1:14">
      <c r="A8308" t="s">
        <v>35</v>
      </c>
      <c r="B8308" t="s">
        <v>8285</v>
      </c>
      <c r="C8308">
        <f>"PT192A"</f>
        <v>0</v>
      </c>
      <c r="D8308">
        <v>0</v>
      </c>
      <c r="E8308">
        <v>0</v>
      </c>
      <c r="F8308" s="2">
        <v>0</v>
      </c>
      <c r="H8308">
        <v>0</v>
      </c>
      <c r="I8308">
        <v>0.1741125760648204</v>
      </c>
      <c r="J8308">
        <v>0</v>
      </c>
      <c r="K8308">
        <v>0</v>
      </c>
      <c r="L8308" s="2">
        <v>0</v>
      </c>
      <c r="M8308">
        <v>81.70999999999999</v>
      </c>
      <c r="N8308" t="s">
        <v>10236</v>
      </c>
    </row>
    <row r="8309" spans="1:14">
      <c r="A8309" t="s">
        <v>35</v>
      </c>
      <c r="B8309" t="s">
        <v>8286</v>
      </c>
      <c r="C8309">
        <f>"DC3102B"</f>
        <v>0</v>
      </c>
      <c r="D8309">
        <v>0</v>
      </c>
      <c r="E8309">
        <v>0</v>
      </c>
      <c r="F8309" s="2">
        <v>0</v>
      </c>
      <c r="H8309">
        <v>0</v>
      </c>
      <c r="I8309">
        <v>0.1741125760648204</v>
      </c>
      <c r="J8309">
        <v>0</v>
      </c>
      <c r="K8309">
        <v>0</v>
      </c>
      <c r="L8309" s="2">
        <v>0</v>
      </c>
      <c r="M8309">
        <v>81.72</v>
      </c>
      <c r="N8309" t="s">
        <v>10236</v>
      </c>
    </row>
    <row r="8310" spans="1:14">
      <c r="A8310" t="s">
        <v>35</v>
      </c>
      <c r="B8310" t="s">
        <v>8287</v>
      </c>
      <c r="C8310">
        <f>"92804RM"</f>
        <v>0</v>
      </c>
      <c r="D8310">
        <v>0</v>
      </c>
      <c r="E8310">
        <v>0</v>
      </c>
      <c r="F8310" s="2">
        <v>0</v>
      </c>
      <c r="H8310">
        <v>0</v>
      </c>
      <c r="I8310">
        <v>0.1741125760648204</v>
      </c>
      <c r="J8310">
        <v>0</v>
      </c>
      <c r="K8310">
        <v>0</v>
      </c>
      <c r="L8310" s="2">
        <v>0</v>
      </c>
      <c r="M8310">
        <v>81.73</v>
      </c>
      <c r="N8310" t="s">
        <v>10236</v>
      </c>
    </row>
    <row r="8311" spans="1:14">
      <c r="A8311" t="s">
        <v>35</v>
      </c>
      <c r="B8311" t="s">
        <v>320</v>
      </c>
      <c r="C8311">
        <f>"BL816M"</f>
        <v>0</v>
      </c>
      <c r="D8311">
        <v>0</v>
      </c>
      <c r="E8311">
        <v>0</v>
      </c>
      <c r="F8311" s="2">
        <v>0</v>
      </c>
      <c r="H8311">
        <v>0</v>
      </c>
      <c r="I8311">
        <v>0.1741125760648204</v>
      </c>
      <c r="J8311">
        <v>0</v>
      </c>
      <c r="K8311">
        <v>0</v>
      </c>
      <c r="L8311" s="2">
        <v>0</v>
      </c>
      <c r="M8311">
        <v>81.73999999999999</v>
      </c>
      <c r="N8311" t="s">
        <v>10236</v>
      </c>
    </row>
    <row r="8312" spans="1:14">
      <c r="A8312" t="s">
        <v>35</v>
      </c>
      <c r="B8312" t="s">
        <v>8288</v>
      </c>
      <c r="C8312">
        <f>"ABT1GRROS"</f>
        <v>0</v>
      </c>
      <c r="D8312">
        <v>0</v>
      </c>
      <c r="E8312">
        <v>0</v>
      </c>
      <c r="F8312" s="2">
        <v>0</v>
      </c>
      <c r="H8312">
        <v>0</v>
      </c>
      <c r="I8312">
        <v>0.1741125760648204</v>
      </c>
      <c r="J8312">
        <v>0</v>
      </c>
      <c r="K8312">
        <v>0</v>
      </c>
      <c r="L8312" s="2">
        <v>0</v>
      </c>
      <c r="M8312">
        <v>81.73999999999999</v>
      </c>
      <c r="N8312" t="s">
        <v>10236</v>
      </c>
    </row>
    <row r="8313" spans="1:14">
      <c r="A8313" t="s">
        <v>35</v>
      </c>
      <c r="B8313" t="s">
        <v>8289</v>
      </c>
      <c r="C8313">
        <f>"ABT1AZBL"</f>
        <v>0</v>
      </c>
      <c r="D8313">
        <v>0</v>
      </c>
      <c r="E8313">
        <v>1</v>
      </c>
      <c r="F8313" s="2">
        <v>4</v>
      </c>
      <c r="H8313">
        <v>0</v>
      </c>
      <c r="I8313">
        <v>0.1741125760648204</v>
      </c>
      <c r="J8313">
        <v>0</v>
      </c>
      <c r="K8313">
        <v>0</v>
      </c>
      <c r="L8313" s="2">
        <v>0</v>
      </c>
      <c r="M8313">
        <v>81.75</v>
      </c>
      <c r="N8313" t="s">
        <v>10236</v>
      </c>
    </row>
    <row r="8314" spans="1:14">
      <c r="A8314" t="s">
        <v>35</v>
      </c>
      <c r="B8314" t="s">
        <v>8290</v>
      </c>
      <c r="C8314">
        <f>"ABT2ROJNE"</f>
        <v>0</v>
      </c>
      <c r="D8314">
        <v>0</v>
      </c>
      <c r="E8314">
        <v>1</v>
      </c>
      <c r="F8314" s="2">
        <v>3</v>
      </c>
      <c r="H8314">
        <v>0</v>
      </c>
      <c r="I8314">
        <v>0.1741125760648204</v>
      </c>
      <c r="J8314">
        <v>0</v>
      </c>
      <c r="K8314">
        <v>0</v>
      </c>
      <c r="L8314" s="2">
        <v>0</v>
      </c>
      <c r="M8314">
        <v>81.76000000000001</v>
      </c>
      <c r="N8314" t="s">
        <v>10236</v>
      </c>
    </row>
    <row r="8315" spans="1:14">
      <c r="A8315" t="s">
        <v>35</v>
      </c>
      <c r="B8315" t="s">
        <v>8291</v>
      </c>
      <c r="C8315">
        <f>"ABT2GRROS"</f>
        <v>0</v>
      </c>
      <c r="D8315">
        <v>0</v>
      </c>
      <c r="E8315">
        <v>0</v>
      </c>
      <c r="F8315" s="2">
        <v>0</v>
      </c>
      <c r="H8315">
        <v>0</v>
      </c>
      <c r="I8315">
        <v>0.1741125760648204</v>
      </c>
      <c r="J8315">
        <v>0</v>
      </c>
      <c r="K8315">
        <v>0</v>
      </c>
      <c r="L8315" s="2">
        <v>0</v>
      </c>
      <c r="M8315">
        <v>81.77</v>
      </c>
      <c r="N8315" t="s">
        <v>10236</v>
      </c>
    </row>
    <row r="8316" spans="1:14">
      <c r="A8316" t="s">
        <v>35</v>
      </c>
      <c r="B8316" t="s">
        <v>8292</v>
      </c>
      <c r="C8316">
        <f>"H014XL"</f>
        <v>0</v>
      </c>
      <c r="D8316">
        <v>0</v>
      </c>
      <c r="E8316">
        <v>0</v>
      </c>
      <c r="F8316" s="2">
        <v>0</v>
      </c>
      <c r="H8316">
        <v>0</v>
      </c>
      <c r="I8316">
        <v>0.1741125760648204</v>
      </c>
      <c r="J8316">
        <v>0</v>
      </c>
      <c r="K8316">
        <v>0</v>
      </c>
      <c r="L8316" s="2">
        <v>0</v>
      </c>
      <c r="M8316">
        <v>81.78</v>
      </c>
      <c r="N8316" t="s">
        <v>10236</v>
      </c>
    </row>
    <row r="8317" spans="1:14">
      <c r="A8317" t="s">
        <v>35</v>
      </c>
      <c r="B8317" t="s">
        <v>8293</v>
      </c>
      <c r="C8317">
        <f>"PD20008S"</f>
        <v>0</v>
      </c>
      <c r="D8317">
        <v>0</v>
      </c>
      <c r="E8317">
        <v>29</v>
      </c>
      <c r="F8317" s="2">
        <v>3</v>
      </c>
      <c r="H8317">
        <v>0</v>
      </c>
      <c r="I8317">
        <v>0.1741125760648204</v>
      </c>
      <c r="J8317">
        <v>0</v>
      </c>
      <c r="K8317">
        <v>0</v>
      </c>
      <c r="L8317" s="2">
        <v>0</v>
      </c>
      <c r="M8317">
        <v>81.79000000000001</v>
      </c>
      <c r="N8317" t="s">
        <v>10236</v>
      </c>
    </row>
    <row r="8318" spans="1:14">
      <c r="A8318" t="s">
        <v>35</v>
      </c>
      <c r="B8318" t="s">
        <v>8294</v>
      </c>
      <c r="C8318">
        <f>"DB821VCS"</f>
        <v>0</v>
      </c>
      <c r="D8318">
        <v>0</v>
      </c>
      <c r="E8318">
        <v>1</v>
      </c>
      <c r="F8318" s="2">
        <v>7</v>
      </c>
      <c r="H8318">
        <v>0</v>
      </c>
      <c r="I8318">
        <v>0.1741125760648204</v>
      </c>
      <c r="J8318">
        <v>0</v>
      </c>
      <c r="K8318">
        <v>0</v>
      </c>
      <c r="L8318" s="2">
        <v>0</v>
      </c>
      <c r="M8318">
        <v>81.8</v>
      </c>
      <c r="N8318" t="s">
        <v>10236</v>
      </c>
    </row>
    <row r="8319" spans="1:14">
      <c r="A8319" t="s">
        <v>35</v>
      </c>
      <c r="B8319" t="s">
        <v>8295</v>
      </c>
      <c r="C8319">
        <f>"DB821VCL"</f>
        <v>0</v>
      </c>
      <c r="D8319">
        <v>0</v>
      </c>
      <c r="E8319">
        <v>4</v>
      </c>
      <c r="F8319" s="2">
        <v>11</v>
      </c>
      <c r="H8319">
        <v>0</v>
      </c>
      <c r="I8319">
        <v>0.1741125760648204</v>
      </c>
      <c r="J8319">
        <v>0</v>
      </c>
      <c r="K8319">
        <v>0</v>
      </c>
      <c r="L8319" s="2">
        <v>0</v>
      </c>
      <c r="M8319">
        <v>81.81</v>
      </c>
      <c r="N8319" t="s">
        <v>10236</v>
      </c>
    </row>
    <row r="8320" spans="1:14">
      <c r="A8320" t="s">
        <v>35</v>
      </c>
      <c r="B8320" t="s">
        <v>8296</v>
      </c>
      <c r="C8320">
        <f>"DC3101B"</f>
        <v>0</v>
      </c>
      <c r="D8320">
        <v>0</v>
      </c>
      <c r="E8320">
        <v>0</v>
      </c>
      <c r="F8320" s="2">
        <v>0</v>
      </c>
      <c r="H8320">
        <v>0</v>
      </c>
      <c r="I8320">
        <v>0.1741125760648204</v>
      </c>
      <c r="J8320">
        <v>0</v>
      </c>
      <c r="K8320">
        <v>0</v>
      </c>
      <c r="L8320" s="2">
        <v>0</v>
      </c>
      <c r="M8320">
        <v>81.81999999999999</v>
      </c>
      <c r="N8320" t="s">
        <v>10236</v>
      </c>
    </row>
    <row r="8321" spans="1:14">
      <c r="A8321" t="s">
        <v>35</v>
      </c>
      <c r="B8321" t="s">
        <v>8297</v>
      </c>
      <c r="C8321">
        <f>"DC3100B"</f>
        <v>0</v>
      </c>
      <c r="D8321">
        <v>0</v>
      </c>
      <c r="E8321">
        <v>8</v>
      </c>
      <c r="F8321" s="2">
        <v>1</v>
      </c>
      <c r="H8321">
        <v>0</v>
      </c>
      <c r="I8321">
        <v>0.1741125760648204</v>
      </c>
      <c r="J8321">
        <v>0</v>
      </c>
      <c r="K8321">
        <v>0</v>
      </c>
      <c r="L8321" s="2">
        <v>0</v>
      </c>
      <c r="M8321">
        <v>81.83</v>
      </c>
      <c r="N8321" t="s">
        <v>10236</v>
      </c>
    </row>
    <row r="8322" spans="1:14">
      <c r="A8322" t="s">
        <v>25</v>
      </c>
      <c r="B8322" t="s">
        <v>8298</v>
      </c>
      <c r="C8322">
        <f>"MCW115"</f>
        <v>0</v>
      </c>
      <c r="D8322">
        <v>0</v>
      </c>
      <c r="E8322">
        <v>0</v>
      </c>
      <c r="F8322" s="2">
        <v>0</v>
      </c>
      <c r="H8322">
        <v>0</v>
      </c>
      <c r="I8322">
        <v>0.1741125760648204</v>
      </c>
      <c r="J8322">
        <v>0</v>
      </c>
      <c r="K8322">
        <v>0</v>
      </c>
      <c r="L8322" s="2">
        <v>0</v>
      </c>
      <c r="M8322">
        <v>81.84</v>
      </c>
      <c r="N8322" t="s">
        <v>10236</v>
      </c>
    </row>
    <row r="8323" spans="1:14">
      <c r="A8323" t="s">
        <v>35</v>
      </c>
      <c r="B8323" t="s">
        <v>8299</v>
      </c>
      <c r="C8323">
        <f>"CN04"</f>
        <v>0</v>
      </c>
      <c r="D8323">
        <v>0</v>
      </c>
      <c r="E8323">
        <v>0</v>
      </c>
      <c r="F8323" s="2">
        <v>0</v>
      </c>
      <c r="H8323">
        <v>0</v>
      </c>
      <c r="I8323">
        <v>0.1741125760648204</v>
      </c>
      <c r="J8323">
        <v>0</v>
      </c>
      <c r="K8323">
        <v>0</v>
      </c>
      <c r="L8323" s="2">
        <v>0</v>
      </c>
      <c r="M8323">
        <v>81.84999999999999</v>
      </c>
      <c r="N8323" t="s">
        <v>10236</v>
      </c>
    </row>
    <row r="8324" spans="1:14">
      <c r="A8324" t="s">
        <v>35</v>
      </c>
      <c r="B8324" t="s">
        <v>8300</v>
      </c>
      <c r="C8324">
        <f>"YSQ01VER"</f>
        <v>0</v>
      </c>
      <c r="D8324">
        <v>0</v>
      </c>
      <c r="E8324">
        <v>0</v>
      </c>
      <c r="F8324" s="2">
        <v>0</v>
      </c>
      <c r="H8324">
        <v>0</v>
      </c>
      <c r="I8324">
        <v>0.1741125760648204</v>
      </c>
      <c r="J8324">
        <v>0</v>
      </c>
      <c r="K8324">
        <v>0</v>
      </c>
      <c r="L8324" s="2">
        <v>0</v>
      </c>
      <c r="M8324">
        <v>81.84999999999999</v>
      </c>
      <c r="N8324" t="s">
        <v>10236</v>
      </c>
    </row>
    <row r="8325" spans="1:14">
      <c r="A8325" t="s">
        <v>35</v>
      </c>
      <c r="B8325" t="s">
        <v>8301</v>
      </c>
      <c r="C8325">
        <f>"YSQ01MO"</f>
        <v>0</v>
      </c>
      <c r="D8325">
        <v>0</v>
      </c>
      <c r="E8325">
        <v>1</v>
      </c>
      <c r="F8325" s="2">
        <v>18</v>
      </c>
      <c r="H8325">
        <v>0</v>
      </c>
      <c r="I8325">
        <v>0.1741125760648204</v>
      </c>
      <c r="J8325">
        <v>0</v>
      </c>
      <c r="K8325">
        <v>0</v>
      </c>
      <c r="L8325" s="2">
        <v>0</v>
      </c>
      <c r="M8325">
        <v>81.86</v>
      </c>
      <c r="N8325" t="s">
        <v>10236</v>
      </c>
    </row>
    <row r="8326" spans="1:14">
      <c r="A8326" t="s">
        <v>34</v>
      </c>
      <c r="B8326" t="s">
        <v>8302</v>
      </c>
      <c r="C8326">
        <f>"14000137"</f>
        <v>0</v>
      </c>
      <c r="D8326">
        <v>0</v>
      </c>
      <c r="E8326">
        <v>0</v>
      </c>
      <c r="F8326" s="2">
        <v>0</v>
      </c>
      <c r="H8326">
        <v>0</v>
      </c>
      <c r="I8326">
        <v>0.1741125760648204</v>
      </c>
      <c r="J8326">
        <v>0</v>
      </c>
      <c r="K8326">
        <v>0</v>
      </c>
      <c r="L8326" s="2">
        <v>0</v>
      </c>
      <c r="M8326">
        <v>81.87</v>
      </c>
      <c r="N8326" t="s">
        <v>10236</v>
      </c>
    </row>
    <row r="8327" spans="1:14">
      <c r="A8327" t="s">
        <v>34</v>
      </c>
      <c r="B8327" t="s">
        <v>8303</v>
      </c>
      <c r="C8327">
        <f>"14000208"</f>
        <v>0</v>
      </c>
      <c r="D8327">
        <v>0</v>
      </c>
      <c r="E8327">
        <v>0</v>
      </c>
      <c r="F8327" s="2">
        <v>0</v>
      </c>
      <c r="H8327">
        <v>0</v>
      </c>
      <c r="I8327">
        <v>0.1741125760648204</v>
      </c>
      <c r="J8327">
        <v>0</v>
      </c>
      <c r="K8327">
        <v>0</v>
      </c>
      <c r="L8327" s="2">
        <v>0</v>
      </c>
      <c r="M8327">
        <v>81.88</v>
      </c>
      <c r="N8327" t="s">
        <v>10236</v>
      </c>
    </row>
    <row r="8328" spans="1:14">
      <c r="A8328" t="s">
        <v>34</v>
      </c>
      <c r="B8328" t="s">
        <v>8304</v>
      </c>
      <c r="C8328">
        <f>"14000025"</f>
        <v>0</v>
      </c>
      <c r="D8328">
        <v>0</v>
      </c>
      <c r="E8328">
        <v>0</v>
      </c>
      <c r="F8328" s="2">
        <v>0</v>
      </c>
      <c r="H8328">
        <v>0</v>
      </c>
      <c r="I8328">
        <v>0.1741125760648204</v>
      </c>
      <c r="J8328">
        <v>0</v>
      </c>
      <c r="K8328">
        <v>0</v>
      </c>
      <c r="L8328" s="2">
        <v>0</v>
      </c>
      <c r="M8328">
        <v>81.89</v>
      </c>
      <c r="N8328" t="s">
        <v>10236</v>
      </c>
    </row>
    <row r="8329" spans="1:14">
      <c r="A8329" t="s">
        <v>35</v>
      </c>
      <c r="B8329" t="s">
        <v>8305</v>
      </c>
      <c r="C8329">
        <f>"DC3104C"</f>
        <v>0</v>
      </c>
      <c r="D8329">
        <v>0</v>
      </c>
      <c r="E8329">
        <v>0</v>
      </c>
      <c r="F8329" s="2">
        <v>0</v>
      </c>
      <c r="H8329">
        <v>0</v>
      </c>
      <c r="I8329">
        <v>0.1741125760648204</v>
      </c>
      <c r="J8329">
        <v>0</v>
      </c>
      <c r="K8329">
        <v>0</v>
      </c>
      <c r="L8329" s="2">
        <v>0</v>
      </c>
      <c r="M8329">
        <v>81.90000000000001</v>
      </c>
      <c r="N8329" t="s">
        <v>10236</v>
      </c>
    </row>
    <row r="8330" spans="1:14">
      <c r="A8330" t="s">
        <v>35</v>
      </c>
      <c r="B8330" t="s">
        <v>8306</v>
      </c>
      <c r="C8330">
        <f>"DC3104A"</f>
        <v>0</v>
      </c>
      <c r="D8330">
        <v>0</v>
      </c>
      <c r="E8330">
        <v>0</v>
      </c>
      <c r="F8330" s="2">
        <v>0</v>
      </c>
      <c r="H8330">
        <v>0</v>
      </c>
      <c r="I8330">
        <v>0.1741125760648204</v>
      </c>
      <c r="J8330">
        <v>0</v>
      </c>
      <c r="K8330">
        <v>0</v>
      </c>
      <c r="L8330" s="2">
        <v>0</v>
      </c>
      <c r="M8330">
        <v>81.91</v>
      </c>
      <c r="N8330" t="s">
        <v>10236</v>
      </c>
    </row>
    <row r="8331" spans="1:14">
      <c r="A8331" t="s">
        <v>35</v>
      </c>
      <c r="B8331" t="s">
        <v>8307</v>
      </c>
      <c r="C8331">
        <f>"PD20008XL"</f>
        <v>0</v>
      </c>
      <c r="D8331">
        <v>0</v>
      </c>
      <c r="E8331">
        <v>33</v>
      </c>
      <c r="F8331" s="2">
        <v>2</v>
      </c>
      <c r="H8331">
        <v>0</v>
      </c>
      <c r="I8331">
        <v>0.1741125760648204</v>
      </c>
      <c r="J8331">
        <v>0</v>
      </c>
      <c r="K8331">
        <v>0</v>
      </c>
      <c r="L8331" s="2">
        <v>0</v>
      </c>
      <c r="M8331">
        <v>81.92</v>
      </c>
      <c r="N8331" t="s">
        <v>10236</v>
      </c>
    </row>
    <row r="8332" spans="1:14">
      <c r="A8332" t="s">
        <v>209</v>
      </c>
      <c r="B8332" t="s">
        <v>8308</v>
      </c>
      <c r="C8332">
        <f>"4PE070005"</f>
        <v>0</v>
      </c>
      <c r="D8332">
        <v>0</v>
      </c>
      <c r="E8332">
        <v>0</v>
      </c>
      <c r="F8332" s="2">
        <v>0</v>
      </c>
      <c r="H8332">
        <v>0</v>
      </c>
      <c r="I8332">
        <v>0.1741125760648204</v>
      </c>
      <c r="J8332">
        <v>0</v>
      </c>
      <c r="K8332">
        <v>0</v>
      </c>
      <c r="L8332" s="2">
        <v>0</v>
      </c>
      <c r="M8332">
        <v>81.93000000000001</v>
      </c>
      <c r="N8332" t="s">
        <v>10236</v>
      </c>
    </row>
    <row r="8333" spans="1:14">
      <c r="A8333" t="s">
        <v>209</v>
      </c>
      <c r="B8333" t="s">
        <v>8309</v>
      </c>
      <c r="C8333">
        <f>"4PE020007"</f>
        <v>0</v>
      </c>
      <c r="D8333">
        <v>0</v>
      </c>
      <c r="E8333">
        <v>0</v>
      </c>
      <c r="F8333" s="2">
        <v>0</v>
      </c>
      <c r="H8333">
        <v>0</v>
      </c>
      <c r="I8333">
        <v>0.1741125760648204</v>
      </c>
      <c r="J8333">
        <v>0</v>
      </c>
      <c r="K8333">
        <v>0</v>
      </c>
      <c r="L8333" s="2">
        <v>0</v>
      </c>
      <c r="M8333">
        <v>81.94</v>
      </c>
      <c r="N8333" t="s">
        <v>10236</v>
      </c>
    </row>
    <row r="8334" spans="1:14">
      <c r="A8334" t="s">
        <v>209</v>
      </c>
      <c r="B8334" t="s">
        <v>8310</v>
      </c>
      <c r="C8334">
        <f>"4PE070003"</f>
        <v>0</v>
      </c>
      <c r="D8334">
        <v>0</v>
      </c>
      <c r="E8334">
        <v>0</v>
      </c>
      <c r="F8334" s="2">
        <v>0</v>
      </c>
      <c r="H8334">
        <v>0</v>
      </c>
      <c r="I8334">
        <v>0.1741125760648204</v>
      </c>
      <c r="J8334">
        <v>0</v>
      </c>
      <c r="K8334">
        <v>0</v>
      </c>
      <c r="L8334" s="2">
        <v>0</v>
      </c>
      <c r="M8334">
        <v>81.95</v>
      </c>
      <c r="N8334" t="s">
        <v>10236</v>
      </c>
    </row>
    <row r="8335" spans="1:14">
      <c r="A8335" t="s">
        <v>35</v>
      </c>
      <c r="B8335" t="s">
        <v>8311</v>
      </c>
      <c r="C8335">
        <f>"MCW113"</f>
        <v>0</v>
      </c>
      <c r="D8335">
        <v>0</v>
      </c>
      <c r="E8335">
        <v>0</v>
      </c>
      <c r="F8335" s="2">
        <v>0</v>
      </c>
      <c r="H8335">
        <v>0</v>
      </c>
      <c r="I8335">
        <v>0.1741125760648204</v>
      </c>
      <c r="J8335">
        <v>0</v>
      </c>
      <c r="K8335">
        <v>0</v>
      </c>
      <c r="L8335" s="2">
        <v>0</v>
      </c>
      <c r="M8335">
        <v>81.95999999999999</v>
      </c>
      <c r="N8335" t="s">
        <v>10236</v>
      </c>
    </row>
    <row r="8336" spans="1:14">
      <c r="A8336" t="s">
        <v>25</v>
      </c>
      <c r="B8336" t="s">
        <v>8312</v>
      </c>
      <c r="C8336">
        <f>"AYCS077"</f>
        <v>0</v>
      </c>
      <c r="D8336">
        <v>0</v>
      </c>
      <c r="E8336">
        <v>0</v>
      </c>
      <c r="F8336" s="2">
        <v>0</v>
      </c>
      <c r="H8336">
        <v>0</v>
      </c>
      <c r="I8336">
        <v>0.1741125760648204</v>
      </c>
      <c r="J8336">
        <v>0</v>
      </c>
      <c r="K8336">
        <v>0</v>
      </c>
      <c r="L8336" s="2">
        <v>0</v>
      </c>
      <c r="M8336">
        <v>81.97</v>
      </c>
      <c r="N8336" t="s">
        <v>10236</v>
      </c>
    </row>
    <row r="8337" spans="1:14">
      <c r="A8337" t="s">
        <v>35</v>
      </c>
      <c r="B8337" t="s">
        <v>8313</v>
      </c>
      <c r="C8337">
        <f>"WPS237"</f>
        <v>0</v>
      </c>
      <c r="D8337">
        <v>0</v>
      </c>
      <c r="E8337">
        <v>1</v>
      </c>
      <c r="F8337" s="2">
        <v>1</v>
      </c>
      <c r="H8337">
        <v>0</v>
      </c>
      <c r="I8337">
        <v>0.1741125760648204</v>
      </c>
      <c r="J8337">
        <v>0</v>
      </c>
      <c r="K8337">
        <v>0</v>
      </c>
      <c r="L8337" s="2">
        <v>0</v>
      </c>
      <c r="M8337">
        <v>81.97</v>
      </c>
      <c r="N8337" t="s">
        <v>10236</v>
      </c>
    </row>
    <row r="8338" spans="1:14">
      <c r="A8338" t="s">
        <v>25</v>
      </c>
      <c r="B8338" t="s">
        <v>8314</v>
      </c>
      <c r="C8338">
        <f>"LN1024"</f>
        <v>0</v>
      </c>
      <c r="D8338">
        <v>0</v>
      </c>
      <c r="E8338">
        <v>3</v>
      </c>
      <c r="F8338" s="2">
        <v>1</v>
      </c>
      <c r="H8338">
        <v>0</v>
      </c>
      <c r="I8338">
        <v>0.1741125760648204</v>
      </c>
      <c r="J8338">
        <v>0</v>
      </c>
      <c r="K8338">
        <v>0</v>
      </c>
      <c r="L8338" s="2">
        <v>0</v>
      </c>
      <c r="M8338">
        <v>81.98</v>
      </c>
      <c r="N8338" t="s">
        <v>10236</v>
      </c>
    </row>
    <row r="8339" spans="1:14">
      <c r="A8339" t="s">
        <v>25</v>
      </c>
      <c r="B8339" t="s">
        <v>8315</v>
      </c>
      <c r="C8339">
        <f>"6765088"</f>
        <v>0</v>
      </c>
      <c r="D8339">
        <v>0</v>
      </c>
      <c r="E8339">
        <v>0</v>
      </c>
      <c r="F8339" s="2">
        <v>0</v>
      </c>
      <c r="H8339">
        <v>0</v>
      </c>
      <c r="I8339">
        <v>0.1741125760648204</v>
      </c>
      <c r="J8339">
        <v>0</v>
      </c>
      <c r="K8339">
        <v>0</v>
      </c>
      <c r="L8339" s="2">
        <v>0</v>
      </c>
      <c r="M8339">
        <v>81.98999999999999</v>
      </c>
      <c r="N8339" t="s">
        <v>10236</v>
      </c>
    </row>
    <row r="8340" spans="1:14">
      <c r="A8340" t="s">
        <v>35</v>
      </c>
      <c r="B8340" t="s">
        <v>8316</v>
      </c>
      <c r="C8340">
        <f>"ZRD2018047"</f>
        <v>0</v>
      </c>
      <c r="D8340">
        <v>0</v>
      </c>
      <c r="E8340">
        <v>0</v>
      </c>
      <c r="F8340" s="2">
        <v>0</v>
      </c>
      <c r="H8340">
        <v>0</v>
      </c>
      <c r="I8340">
        <v>0.1741125760648204</v>
      </c>
      <c r="J8340">
        <v>0</v>
      </c>
      <c r="K8340">
        <v>0</v>
      </c>
      <c r="L8340" s="2">
        <v>0</v>
      </c>
      <c r="M8340">
        <v>82</v>
      </c>
      <c r="N8340" t="s">
        <v>10236</v>
      </c>
    </row>
    <row r="8341" spans="1:14">
      <c r="A8341" t="s">
        <v>200</v>
      </c>
      <c r="B8341" t="s">
        <v>8317</v>
      </c>
      <c r="C8341">
        <f>"ER003"</f>
        <v>0</v>
      </c>
      <c r="D8341">
        <v>0</v>
      </c>
      <c r="E8341">
        <v>0</v>
      </c>
      <c r="F8341" s="2">
        <v>0</v>
      </c>
      <c r="H8341">
        <v>0</v>
      </c>
      <c r="I8341">
        <v>0.1741125760648204</v>
      </c>
      <c r="J8341">
        <v>0</v>
      </c>
      <c r="K8341">
        <v>0</v>
      </c>
      <c r="L8341" s="2">
        <v>0</v>
      </c>
      <c r="M8341">
        <v>82.01000000000001</v>
      </c>
      <c r="N8341" t="s">
        <v>10236</v>
      </c>
    </row>
    <row r="8342" spans="1:14">
      <c r="A8342" t="s">
        <v>192</v>
      </c>
      <c r="B8342" t="s">
        <v>8318</v>
      </c>
      <c r="C8342">
        <f>"LN898"</f>
        <v>0</v>
      </c>
      <c r="D8342">
        <v>0</v>
      </c>
      <c r="E8342">
        <v>0</v>
      </c>
      <c r="F8342" s="2">
        <v>0</v>
      </c>
      <c r="H8342">
        <v>0</v>
      </c>
      <c r="I8342">
        <v>0.1741125760648204</v>
      </c>
      <c r="J8342">
        <v>0</v>
      </c>
      <c r="K8342">
        <v>0</v>
      </c>
      <c r="L8342" s="2">
        <v>0</v>
      </c>
      <c r="M8342">
        <v>82.02</v>
      </c>
      <c r="N8342" t="s">
        <v>10236</v>
      </c>
    </row>
    <row r="8343" spans="1:14">
      <c r="A8343" t="s">
        <v>35</v>
      </c>
      <c r="B8343" t="s">
        <v>8319</v>
      </c>
      <c r="C8343">
        <f>"PT257A"</f>
        <v>0</v>
      </c>
      <c r="D8343">
        <v>0</v>
      </c>
      <c r="E8343">
        <v>0</v>
      </c>
      <c r="F8343" s="2">
        <v>0</v>
      </c>
      <c r="H8343">
        <v>0</v>
      </c>
      <c r="I8343">
        <v>0.1741125760648204</v>
      </c>
      <c r="J8343">
        <v>0</v>
      </c>
      <c r="K8343">
        <v>0</v>
      </c>
      <c r="L8343" s="2">
        <v>0</v>
      </c>
      <c r="M8343">
        <v>82.03</v>
      </c>
      <c r="N8343" t="s">
        <v>10236</v>
      </c>
    </row>
    <row r="8344" spans="1:14">
      <c r="A8344" t="s">
        <v>35</v>
      </c>
      <c r="B8344" t="s">
        <v>8320</v>
      </c>
      <c r="C8344">
        <f>"HDD178GR"</f>
        <v>0</v>
      </c>
      <c r="D8344">
        <v>0</v>
      </c>
      <c r="E8344">
        <v>3</v>
      </c>
      <c r="F8344" s="2">
        <v>1</v>
      </c>
      <c r="H8344">
        <v>0</v>
      </c>
      <c r="I8344">
        <v>0.1741125760648204</v>
      </c>
      <c r="J8344">
        <v>0</v>
      </c>
      <c r="K8344">
        <v>0</v>
      </c>
      <c r="L8344" s="2">
        <v>0</v>
      </c>
      <c r="M8344">
        <v>82.04000000000001</v>
      </c>
      <c r="N8344" t="s">
        <v>10236</v>
      </c>
    </row>
    <row r="8345" spans="1:14">
      <c r="A8345" t="s">
        <v>35</v>
      </c>
      <c r="B8345" t="s">
        <v>8321</v>
      </c>
      <c r="C8345">
        <f>"HDD178A"</f>
        <v>0</v>
      </c>
      <c r="D8345">
        <v>0</v>
      </c>
      <c r="E8345">
        <v>0</v>
      </c>
      <c r="F8345" s="2">
        <v>0</v>
      </c>
      <c r="H8345">
        <v>0</v>
      </c>
      <c r="I8345">
        <v>0.1741125760648204</v>
      </c>
      <c r="J8345">
        <v>0</v>
      </c>
      <c r="K8345">
        <v>0</v>
      </c>
      <c r="L8345" s="2">
        <v>0</v>
      </c>
      <c r="M8345">
        <v>82.05</v>
      </c>
      <c r="N8345" t="s">
        <v>10236</v>
      </c>
    </row>
    <row r="8346" spans="1:14">
      <c r="A8346" t="s">
        <v>35</v>
      </c>
      <c r="B8346" t="s">
        <v>8322</v>
      </c>
      <c r="C8346">
        <f>"HDD177OR"</f>
        <v>0</v>
      </c>
      <c r="D8346">
        <v>0</v>
      </c>
      <c r="E8346">
        <v>2</v>
      </c>
      <c r="F8346" s="2">
        <v>1</v>
      </c>
      <c r="H8346">
        <v>0</v>
      </c>
      <c r="I8346">
        <v>0.1741125760648204</v>
      </c>
      <c r="J8346">
        <v>0</v>
      </c>
      <c r="K8346">
        <v>0</v>
      </c>
      <c r="L8346" s="2">
        <v>0</v>
      </c>
      <c r="M8346">
        <v>82.06</v>
      </c>
      <c r="N8346" t="s">
        <v>10236</v>
      </c>
    </row>
    <row r="8347" spans="1:14">
      <c r="A8347" t="s">
        <v>35</v>
      </c>
      <c r="B8347" t="s">
        <v>8323</v>
      </c>
      <c r="C8347">
        <f>"PT278B"</f>
        <v>0</v>
      </c>
      <c r="D8347">
        <v>0</v>
      </c>
      <c r="E8347">
        <v>1</v>
      </c>
      <c r="F8347" s="2">
        <v>2</v>
      </c>
      <c r="H8347">
        <v>0</v>
      </c>
      <c r="I8347">
        <v>0.1741125760648204</v>
      </c>
      <c r="J8347">
        <v>0</v>
      </c>
      <c r="K8347">
        <v>0</v>
      </c>
      <c r="L8347" s="2">
        <v>0</v>
      </c>
      <c r="M8347">
        <v>82.06999999999999</v>
      </c>
      <c r="N8347" t="s">
        <v>10236</v>
      </c>
    </row>
    <row r="8348" spans="1:14">
      <c r="A8348" t="s">
        <v>35</v>
      </c>
      <c r="B8348" t="s">
        <v>8324</v>
      </c>
      <c r="C8348">
        <f>"HDD180VE"</f>
        <v>0</v>
      </c>
      <c r="D8348">
        <v>0</v>
      </c>
      <c r="E8348">
        <v>2</v>
      </c>
      <c r="F8348" s="2">
        <v>495</v>
      </c>
      <c r="H8348">
        <v>0</v>
      </c>
      <c r="I8348">
        <v>0.1741125760648204</v>
      </c>
      <c r="J8348">
        <v>0</v>
      </c>
      <c r="K8348">
        <v>0</v>
      </c>
      <c r="L8348" s="2">
        <v>0</v>
      </c>
      <c r="M8348">
        <v>82.08</v>
      </c>
      <c r="N8348" t="s">
        <v>10236</v>
      </c>
    </row>
    <row r="8349" spans="1:14">
      <c r="A8349" t="s">
        <v>35</v>
      </c>
      <c r="B8349" t="s">
        <v>8325</v>
      </c>
      <c r="C8349">
        <f>"HDD180BG"</f>
        <v>0</v>
      </c>
      <c r="D8349">
        <v>0</v>
      </c>
      <c r="E8349">
        <v>2</v>
      </c>
      <c r="F8349" s="2">
        <v>495</v>
      </c>
      <c r="H8349">
        <v>0</v>
      </c>
      <c r="I8349">
        <v>0.1741125760648204</v>
      </c>
      <c r="J8349">
        <v>0</v>
      </c>
      <c r="K8349">
        <v>0</v>
      </c>
      <c r="L8349" s="2">
        <v>0</v>
      </c>
      <c r="M8349">
        <v>82.09</v>
      </c>
      <c r="N8349" t="s">
        <v>10236</v>
      </c>
    </row>
    <row r="8350" spans="1:14">
      <c r="A8350" t="s">
        <v>35</v>
      </c>
      <c r="B8350" t="s">
        <v>8326</v>
      </c>
      <c r="C8350">
        <f>"DC3101C"</f>
        <v>0</v>
      </c>
      <c r="D8350">
        <v>0</v>
      </c>
      <c r="E8350">
        <v>0</v>
      </c>
      <c r="F8350" s="2">
        <v>0</v>
      </c>
      <c r="H8350">
        <v>0</v>
      </c>
      <c r="I8350">
        <v>0.1741125760648204</v>
      </c>
      <c r="J8350">
        <v>0</v>
      </c>
      <c r="K8350">
        <v>0</v>
      </c>
      <c r="L8350" s="2">
        <v>0</v>
      </c>
      <c r="M8350">
        <v>82.09</v>
      </c>
      <c r="N8350" t="s">
        <v>10236</v>
      </c>
    </row>
    <row r="8351" spans="1:14">
      <c r="A8351" t="s">
        <v>35</v>
      </c>
      <c r="B8351" t="s">
        <v>8327</v>
      </c>
      <c r="C8351">
        <f>"DC3100C"</f>
        <v>0</v>
      </c>
      <c r="D8351">
        <v>0</v>
      </c>
      <c r="E8351">
        <v>1</v>
      </c>
      <c r="F8351" s="2">
        <v>1</v>
      </c>
      <c r="H8351">
        <v>0</v>
      </c>
      <c r="I8351">
        <v>0.1741125760648204</v>
      </c>
      <c r="J8351">
        <v>0</v>
      </c>
      <c r="K8351">
        <v>0</v>
      </c>
      <c r="L8351" s="2">
        <v>0</v>
      </c>
      <c r="M8351">
        <v>82.09999999999999</v>
      </c>
      <c r="N8351" t="s">
        <v>10236</v>
      </c>
    </row>
    <row r="8352" spans="1:14">
      <c r="A8352" t="s">
        <v>35</v>
      </c>
      <c r="B8352" t="s">
        <v>8328</v>
      </c>
      <c r="C8352">
        <f>"DC3101A"</f>
        <v>0</v>
      </c>
      <c r="D8352">
        <v>0</v>
      </c>
      <c r="E8352">
        <v>0</v>
      </c>
      <c r="F8352" s="2">
        <v>0</v>
      </c>
      <c r="H8352">
        <v>0</v>
      </c>
      <c r="I8352">
        <v>0.1741125760648204</v>
      </c>
      <c r="J8352">
        <v>0</v>
      </c>
      <c r="K8352">
        <v>0</v>
      </c>
      <c r="L8352" s="2">
        <v>0</v>
      </c>
      <c r="M8352">
        <v>82.11</v>
      </c>
      <c r="N8352" t="s">
        <v>10236</v>
      </c>
    </row>
    <row r="8353" spans="1:14">
      <c r="A8353" t="s">
        <v>35</v>
      </c>
      <c r="B8353" t="s">
        <v>8329</v>
      </c>
      <c r="C8353">
        <f>"DC3100A"</f>
        <v>0</v>
      </c>
      <c r="D8353">
        <v>0</v>
      </c>
      <c r="E8353">
        <v>2</v>
      </c>
      <c r="F8353" s="2">
        <v>0</v>
      </c>
      <c r="H8353">
        <v>0</v>
      </c>
      <c r="I8353">
        <v>0.1741125760648204</v>
      </c>
      <c r="J8353">
        <v>0</v>
      </c>
      <c r="K8353">
        <v>0</v>
      </c>
      <c r="L8353" s="2">
        <v>0</v>
      </c>
      <c r="M8353">
        <v>82.12</v>
      </c>
      <c r="N8353" t="s">
        <v>10236</v>
      </c>
    </row>
    <row r="8354" spans="1:14">
      <c r="A8354" t="s">
        <v>35</v>
      </c>
      <c r="B8354" t="s">
        <v>8330</v>
      </c>
      <c r="C8354">
        <f>"DC3105B"</f>
        <v>0</v>
      </c>
      <c r="D8354">
        <v>0</v>
      </c>
      <c r="E8354">
        <v>0</v>
      </c>
      <c r="F8354" s="2">
        <v>0</v>
      </c>
      <c r="H8354">
        <v>0</v>
      </c>
      <c r="I8354">
        <v>0.1741125760648204</v>
      </c>
      <c r="J8354">
        <v>0</v>
      </c>
      <c r="K8354">
        <v>0</v>
      </c>
      <c r="L8354" s="2">
        <v>0</v>
      </c>
      <c r="M8354">
        <v>82.13</v>
      </c>
      <c r="N8354" t="s">
        <v>10236</v>
      </c>
    </row>
    <row r="8355" spans="1:14">
      <c r="A8355" t="s">
        <v>35</v>
      </c>
      <c r="B8355" t="s">
        <v>8331</v>
      </c>
      <c r="C8355">
        <f>"DC3104B"</f>
        <v>0</v>
      </c>
      <c r="D8355">
        <v>0</v>
      </c>
      <c r="E8355">
        <v>4</v>
      </c>
      <c r="F8355" s="2">
        <v>1</v>
      </c>
      <c r="H8355">
        <v>0</v>
      </c>
      <c r="I8355">
        <v>0.1741125760648204</v>
      </c>
      <c r="J8355">
        <v>0</v>
      </c>
      <c r="K8355">
        <v>0</v>
      </c>
      <c r="L8355" s="2">
        <v>0</v>
      </c>
      <c r="M8355">
        <v>82.14</v>
      </c>
      <c r="N8355" t="s">
        <v>10236</v>
      </c>
    </row>
    <row r="8356" spans="1:14">
      <c r="A8356" t="s">
        <v>35</v>
      </c>
      <c r="B8356" t="s">
        <v>8332</v>
      </c>
      <c r="C8356">
        <f>"DC3106C"</f>
        <v>0</v>
      </c>
      <c r="D8356">
        <v>0</v>
      </c>
      <c r="E8356">
        <v>16</v>
      </c>
      <c r="F8356" s="2">
        <v>3</v>
      </c>
      <c r="H8356">
        <v>0</v>
      </c>
      <c r="I8356">
        <v>0.1741125760648204</v>
      </c>
      <c r="J8356">
        <v>0</v>
      </c>
      <c r="K8356">
        <v>0</v>
      </c>
      <c r="L8356" s="2">
        <v>0</v>
      </c>
      <c r="M8356">
        <v>82.15000000000001</v>
      </c>
      <c r="N8356" t="s">
        <v>10236</v>
      </c>
    </row>
    <row r="8357" spans="1:14">
      <c r="A8357" t="s">
        <v>35</v>
      </c>
      <c r="B8357" t="s">
        <v>8333</v>
      </c>
      <c r="C8357">
        <f>"W0054"</f>
        <v>0</v>
      </c>
      <c r="D8357">
        <v>0</v>
      </c>
      <c r="E8357">
        <v>0</v>
      </c>
      <c r="F8357" s="2">
        <v>0</v>
      </c>
      <c r="H8357">
        <v>0</v>
      </c>
      <c r="I8357">
        <v>0.1741125760648204</v>
      </c>
      <c r="J8357">
        <v>0</v>
      </c>
      <c r="K8357">
        <v>0</v>
      </c>
      <c r="L8357" s="2">
        <v>0</v>
      </c>
      <c r="M8357">
        <v>82.16</v>
      </c>
      <c r="N8357" t="s">
        <v>10236</v>
      </c>
    </row>
    <row r="8358" spans="1:14">
      <c r="A8358" t="s">
        <v>200</v>
      </c>
      <c r="B8358" t="s">
        <v>8334</v>
      </c>
      <c r="C8358">
        <f>"ER021"</f>
        <v>0</v>
      </c>
      <c r="D8358">
        <v>0</v>
      </c>
      <c r="E8358">
        <v>0</v>
      </c>
      <c r="F8358" s="2">
        <v>0</v>
      </c>
      <c r="H8358">
        <v>0</v>
      </c>
      <c r="I8358">
        <v>0.1741125760648204</v>
      </c>
      <c r="J8358">
        <v>0</v>
      </c>
      <c r="K8358">
        <v>0</v>
      </c>
      <c r="L8358" s="2">
        <v>0</v>
      </c>
      <c r="M8358">
        <v>82.17</v>
      </c>
      <c r="N8358" t="s">
        <v>10236</v>
      </c>
    </row>
    <row r="8359" spans="1:14">
      <c r="A8359" t="s">
        <v>35</v>
      </c>
      <c r="B8359" t="s">
        <v>8335</v>
      </c>
      <c r="C8359">
        <f>"830350"</f>
        <v>0</v>
      </c>
      <c r="D8359">
        <v>0</v>
      </c>
      <c r="E8359">
        <v>0</v>
      </c>
      <c r="F8359" s="2">
        <v>0</v>
      </c>
      <c r="H8359">
        <v>0</v>
      </c>
      <c r="I8359">
        <v>0.1741125760648204</v>
      </c>
      <c r="J8359">
        <v>0</v>
      </c>
      <c r="K8359">
        <v>0</v>
      </c>
      <c r="L8359" s="2">
        <v>0</v>
      </c>
      <c r="M8359">
        <v>82.18000000000001</v>
      </c>
      <c r="N8359" t="s">
        <v>10236</v>
      </c>
    </row>
    <row r="8360" spans="1:14">
      <c r="A8360" t="s">
        <v>35</v>
      </c>
      <c r="B8360" t="s">
        <v>8336</v>
      </c>
      <c r="C8360">
        <f>"HDD177PBL"</f>
        <v>0</v>
      </c>
      <c r="D8360">
        <v>0</v>
      </c>
      <c r="E8360">
        <v>2</v>
      </c>
      <c r="F8360" s="2">
        <v>270</v>
      </c>
      <c r="H8360">
        <v>0</v>
      </c>
      <c r="I8360">
        <v>0.1741125760648204</v>
      </c>
      <c r="J8360">
        <v>0</v>
      </c>
      <c r="K8360">
        <v>0</v>
      </c>
      <c r="L8360" s="2">
        <v>0</v>
      </c>
      <c r="M8360">
        <v>82.19</v>
      </c>
      <c r="N8360" t="s">
        <v>10236</v>
      </c>
    </row>
    <row r="8361" spans="1:14">
      <c r="A8361" t="s">
        <v>35</v>
      </c>
      <c r="B8361" t="s">
        <v>8337</v>
      </c>
      <c r="C8361">
        <f>"HDD177PLI"</f>
        <v>0</v>
      </c>
      <c r="D8361">
        <v>0</v>
      </c>
      <c r="E8361">
        <v>2</v>
      </c>
      <c r="F8361" s="2">
        <v>1</v>
      </c>
      <c r="H8361">
        <v>0</v>
      </c>
      <c r="I8361">
        <v>0.1741125760648204</v>
      </c>
      <c r="J8361">
        <v>0</v>
      </c>
      <c r="K8361">
        <v>0</v>
      </c>
      <c r="L8361" s="2">
        <v>0</v>
      </c>
      <c r="M8361">
        <v>82.2</v>
      </c>
      <c r="N8361" t="s">
        <v>10236</v>
      </c>
    </row>
    <row r="8362" spans="1:14">
      <c r="A8362" t="s">
        <v>35</v>
      </c>
      <c r="B8362" t="s">
        <v>8338</v>
      </c>
      <c r="C8362">
        <f>"PT278C"</f>
        <v>0</v>
      </c>
      <c r="D8362">
        <v>0</v>
      </c>
      <c r="E8362">
        <v>0</v>
      </c>
      <c r="F8362" s="2">
        <v>0</v>
      </c>
      <c r="H8362">
        <v>0</v>
      </c>
      <c r="I8362">
        <v>0.1741125760648204</v>
      </c>
      <c r="J8362">
        <v>0</v>
      </c>
      <c r="K8362">
        <v>0</v>
      </c>
      <c r="L8362" s="2">
        <v>0</v>
      </c>
      <c r="M8362">
        <v>82.20999999999999</v>
      </c>
      <c r="N8362" t="s">
        <v>10236</v>
      </c>
    </row>
    <row r="8363" spans="1:14">
      <c r="A8363" t="s">
        <v>209</v>
      </c>
      <c r="B8363" t="s">
        <v>8339</v>
      </c>
      <c r="C8363">
        <f>"4GA070007"</f>
        <v>0</v>
      </c>
      <c r="D8363">
        <v>0</v>
      </c>
      <c r="E8363">
        <v>0</v>
      </c>
      <c r="F8363" s="2">
        <v>0</v>
      </c>
      <c r="H8363">
        <v>0</v>
      </c>
      <c r="I8363">
        <v>0.1741125760648204</v>
      </c>
      <c r="J8363">
        <v>0</v>
      </c>
      <c r="K8363">
        <v>0</v>
      </c>
      <c r="L8363" s="2">
        <v>0</v>
      </c>
      <c r="M8363">
        <v>82.20999999999999</v>
      </c>
      <c r="N8363" t="s">
        <v>10236</v>
      </c>
    </row>
    <row r="8364" spans="1:14">
      <c r="A8364" t="s">
        <v>209</v>
      </c>
      <c r="B8364" t="s">
        <v>8340</v>
      </c>
      <c r="C8364">
        <f>"4GA070006"</f>
        <v>0</v>
      </c>
      <c r="D8364">
        <v>0</v>
      </c>
      <c r="E8364">
        <v>0</v>
      </c>
      <c r="F8364" s="2">
        <v>0</v>
      </c>
      <c r="H8364">
        <v>0</v>
      </c>
      <c r="I8364">
        <v>0.1741125760648204</v>
      </c>
      <c r="J8364">
        <v>0</v>
      </c>
      <c r="K8364">
        <v>0</v>
      </c>
      <c r="L8364" s="2">
        <v>0</v>
      </c>
      <c r="M8364">
        <v>82.22</v>
      </c>
      <c r="N8364" t="s">
        <v>10236</v>
      </c>
    </row>
    <row r="8365" spans="1:14">
      <c r="A8365" t="s">
        <v>209</v>
      </c>
      <c r="B8365" t="s">
        <v>8341</v>
      </c>
      <c r="C8365">
        <f>"4GA020034"</f>
        <v>0</v>
      </c>
      <c r="D8365">
        <v>0</v>
      </c>
      <c r="E8365">
        <v>0</v>
      </c>
      <c r="F8365" s="2">
        <v>0</v>
      </c>
      <c r="H8365">
        <v>0</v>
      </c>
      <c r="I8365">
        <v>0.1741125760648204</v>
      </c>
      <c r="J8365">
        <v>0</v>
      </c>
      <c r="K8365">
        <v>0</v>
      </c>
      <c r="L8365" s="2">
        <v>0</v>
      </c>
      <c r="M8365">
        <v>82.23</v>
      </c>
      <c r="N8365" t="s">
        <v>10236</v>
      </c>
    </row>
    <row r="8366" spans="1:14">
      <c r="A8366" t="s">
        <v>209</v>
      </c>
      <c r="B8366" t="s">
        <v>8342</v>
      </c>
      <c r="C8366">
        <f>"4PE120016"</f>
        <v>0</v>
      </c>
      <c r="D8366">
        <v>0</v>
      </c>
      <c r="E8366">
        <v>0</v>
      </c>
      <c r="F8366" s="2">
        <v>0</v>
      </c>
      <c r="H8366">
        <v>0</v>
      </c>
      <c r="I8366">
        <v>0.1741125760648204</v>
      </c>
      <c r="J8366">
        <v>0</v>
      </c>
      <c r="K8366">
        <v>0</v>
      </c>
      <c r="L8366" s="2">
        <v>0</v>
      </c>
      <c r="M8366">
        <v>82.23999999999999</v>
      </c>
      <c r="N8366" t="s">
        <v>10236</v>
      </c>
    </row>
    <row r="8367" spans="1:14">
      <c r="A8367" t="s">
        <v>209</v>
      </c>
      <c r="B8367" t="s">
        <v>8343</v>
      </c>
      <c r="C8367">
        <f>"4PE020012"</f>
        <v>0</v>
      </c>
      <c r="D8367">
        <v>0</v>
      </c>
      <c r="E8367">
        <v>0</v>
      </c>
      <c r="F8367" s="2">
        <v>0</v>
      </c>
      <c r="H8367">
        <v>0</v>
      </c>
      <c r="I8367">
        <v>0.1741125760648204</v>
      </c>
      <c r="J8367">
        <v>0</v>
      </c>
      <c r="K8367">
        <v>0</v>
      </c>
      <c r="L8367" s="2">
        <v>0</v>
      </c>
      <c r="M8367">
        <v>82.25</v>
      </c>
      <c r="N8367" t="s">
        <v>10236</v>
      </c>
    </row>
    <row r="8368" spans="1:14">
      <c r="A8368" t="s">
        <v>209</v>
      </c>
      <c r="B8368" t="s">
        <v>8344</v>
      </c>
      <c r="C8368">
        <f>"4PE070004"</f>
        <v>0</v>
      </c>
      <c r="D8368">
        <v>0</v>
      </c>
      <c r="E8368">
        <v>0</v>
      </c>
      <c r="F8368" s="2">
        <v>0</v>
      </c>
      <c r="H8368">
        <v>0</v>
      </c>
      <c r="I8368">
        <v>0.1741125760648204</v>
      </c>
      <c r="J8368">
        <v>0</v>
      </c>
      <c r="K8368">
        <v>0</v>
      </c>
      <c r="L8368" s="2">
        <v>0</v>
      </c>
      <c r="M8368">
        <v>82.26000000000001</v>
      </c>
      <c r="N8368" t="s">
        <v>10236</v>
      </c>
    </row>
    <row r="8369" spans="1:14">
      <c r="A8369" t="s">
        <v>32</v>
      </c>
      <c r="B8369" t="s">
        <v>8345</v>
      </c>
      <c r="C8369">
        <f>"1008134"</f>
        <v>0</v>
      </c>
      <c r="D8369">
        <v>0</v>
      </c>
      <c r="E8369">
        <v>0</v>
      </c>
      <c r="F8369" s="2">
        <v>0</v>
      </c>
      <c r="H8369">
        <v>0</v>
      </c>
      <c r="I8369">
        <v>0.1741125760648204</v>
      </c>
      <c r="J8369">
        <v>0</v>
      </c>
      <c r="K8369">
        <v>0</v>
      </c>
      <c r="L8369" s="2">
        <v>0</v>
      </c>
      <c r="M8369">
        <v>82.27</v>
      </c>
      <c r="N8369" t="s">
        <v>10236</v>
      </c>
    </row>
    <row r="8370" spans="1:14">
      <c r="A8370" t="s">
        <v>194</v>
      </c>
      <c r="B8370" t="s">
        <v>8346</v>
      </c>
      <c r="C8370">
        <f>"1110005"</f>
        <v>0</v>
      </c>
      <c r="D8370">
        <v>0</v>
      </c>
      <c r="E8370">
        <v>0</v>
      </c>
      <c r="F8370" s="2">
        <v>0</v>
      </c>
      <c r="H8370">
        <v>0</v>
      </c>
      <c r="I8370">
        <v>0.1741125760648204</v>
      </c>
      <c r="J8370">
        <v>0</v>
      </c>
      <c r="K8370">
        <v>0</v>
      </c>
      <c r="L8370" s="2">
        <v>0</v>
      </c>
      <c r="M8370">
        <v>82.28</v>
      </c>
      <c r="N8370" t="s">
        <v>10236</v>
      </c>
    </row>
    <row r="8371" spans="1:14">
      <c r="A8371" t="s">
        <v>32</v>
      </c>
      <c r="B8371" t="s">
        <v>8347</v>
      </c>
      <c r="C8371">
        <f>"1000142"</f>
        <v>0</v>
      </c>
      <c r="D8371">
        <v>0</v>
      </c>
      <c r="E8371">
        <v>0</v>
      </c>
      <c r="F8371" s="2">
        <v>0</v>
      </c>
      <c r="H8371">
        <v>0</v>
      </c>
      <c r="I8371">
        <v>0.1741125760648204</v>
      </c>
      <c r="J8371">
        <v>0</v>
      </c>
      <c r="K8371">
        <v>0</v>
      </c>
      <c r="L8371" s="2">
        <v>0</v>
      </c>
      <c r="M8371">
        <v>82.29000000000001</v>
      </c>
      <c r="N8371" t="s">
        <v>10236</v>
      </c>
    </row>
    <row r="8372" spans="1:14">
      <c r="A8372" t="s">
        <v>194</v>
      </c>
      <c r="B8372" t="s">
        <v>8348</v>
      </c>
      <c r="C8372">
        <f>"201200140"</f>
        <v>0</v>
      </c>
      <c r="D8372">
        <v>0</v>
      </c>
      <c r="E8372">
        <v>0</v>
      </c>
      <c r="F8372" s="2">
        <v>0</v>
      </c>
      <c r="H8372">
        <v>0</v>
      </c>
      <c r="I8372">
        <v>0.1741125760648204</v>
      </c>
      <c r="J8372">
        <v>0</v>
      </c>
      <c r="K8372">
        <v>0</v>
      </c>
      <c r="L8372" s="2">
        <v>0</v>
      </c>
      <c r="M8372">
        <v>82.3</v>
      </c>
      <c r="N8372" t="s">
        <v>10236</v>
      </c>
    </row>
    <row r="8373" spans="1:14">
      <c r="A8373" t="s">
        <v>35</v>
      </c>
      <c r="B8373" t="s">
        <v>8349</v>
      </c>
      <c r="C8373">
        <f>"1050AZ"</f>
        <v>0</v>
      </c>
      <c r="D8373">
        <v>0</v>
      </c>
      <c r="E8373">
        <v>0</v>
      </c>
      <c r="F8373" s="2">
        <v>0</v>
      </c>
      <c r="H8373">
        <v>0</v>
      </c>
      <c r="I8373">
        <v>0.1741125760648204</v>
      </c>
      <c r="J8373">
        <v>0</v>
      </c>
      <c r="K8373">
        <v>0</v>
      </c>
      <c r="L8373" s="2">
        <v>0</v>
      </c>
      <c r="M8373">
        <v>82.31</v>
      </c>
      <c r="N8373" t="s">
        <v>10236</v>
      </c>
    </row>
    <row r="8374" spans="1:14">
      <c r="A8374" t="s">
        <v>35</v>
      </c>
      <c r="B8374" t="s">
        <v>8350</v>
      </c>
      <c r="C8374">
        <f>"1055MA"</f>
        <v>0</v>
      </c>
      <c r="D8374">
        <v>0</v>
      </c>
      <c r="E8374">
        <v>5</v>
      </c>
      <c r="F8374" s="2">
        <v>14</v>
      </c>
      <c r="H8374">
        <v>0</v>
      </c>
      <c r="I8374">
        <v>0.1741125760648204</v>
      </c>
      <c r="J8374">
        <v>0</v>
      </c>
      <c r="K8374">
        <v>0</v>
      </c>
      <c r="L8374" s="2">
        <v>0</v>
      </c>
      <c r="M8374">
        <v>82.31999999999999</v>
      </c>
      <c r="N8374" t="s">
        <v>10236</v>
      </c>
    </row>
    <row r="8375" spans="1:14">
      <c r="A8375" t="s">
        <v>35</v>
      </c>
      <c r="B8375" t="s">
        <v>8351</v>
      </c>
      <c r="C8375">
        <f>"608XXXL"</f>
        <v>0</v>
      </c>
      <c r="D8375">
        <v>0</v>
      </c>
      <c r="E8375">
        <v>0</v>
      </c>
      <c r="F8375" s="2">
        <v>0</v>
      </c>
      <c r="H8375">
        <v>0</v>
      </c>
      <c r="I8375">
        <v>0.1741125760648204</v>
      </c>
      <c r="J8375">
        <v>0</v>
      </c>
      <c r="K8375">
        <v>0</v>
      </c>
      <c r="L8375" s="2">
        <v>0</v>
      </c>
      <c r="M8375">
        <v>82.31999999999999</v>
      </c>
      <c r="N8375" t="s">
        <v>10236</v>
      </c>
    </row>
    <row r="8376" spans="1:14">
      <c r="A8376" t="s">
        <v>35</v>
      </c>
      <c r="B8376" t="s">
        <v>8352</v>
      </c>
      <c r="C8376">
        <f>"1060111600022"</f>
        <v>0</v>
      </c>
      <c r="D8376">
        <v>0</v>
      </c>
      <c r="E8376">
        <v>5</v>
      </c>
      <c r="F8376" s="2">
        <v>0</v>
      </c>
      <c r="H8376">
        <v>0</v>
      </c>
      <c r="I8376">
        <v>0.1741125760648204</v>
      </c>
      <c r="J8376">
        <v>0</v>
      </c>
      <c r="K8376">
        <v>0</v>
      </c>
      <c r="L8376" s="2">
        <v>0</v>
      </c>
      <c r="M8376">
        <v>82.33</v>
      </c>
      <c r="N8376" t="s">
        <v>10236</v>
      </c>
    </row>
    <row r="8377" spans="1:14">
      <c r="A8377" t="s">
        <v>35</v>
      </c>
      <c r="B8377" t="s">
        <v>8353</v>
      </c>
      <c r="C8377">
        <f>"RT3423G"</f>
        <v>0</v>
      </c>
      <c r="D8377">
        <v>0</v>
      </c>
      <c r="E8377">
        <v>0</v>
      </c>
      <c r="F8377" s="2">
        <v>0</v>
      </c>
      <c r="H8377">
        <v>0</v>
      </c>
      <c r="I8377">
        <v>0.1741125760648204</v>
      </c>
      <c r="J8377">
        <v>0</v>
      </c>
      <c r="K8377">
        <v>0</v>
      </c>
      <c r="L8377" s="2">
        <v>0</v>
      </c>
      <c r="M8377">
        <v>82.34</v>
      </c>
      <c r="N8377" t="s">
        <v>10236</v>
      </c>
    </row>
    <row r="8378" spans="1:14">
      <c r="A8378" t="s">
        <v>35</v>
      </c>
      <c r="B8378" t="s">
        <v>8354</v>
      </c>
      <c r="C8378">
        <f>"ATLAS20R"</f>
        <v>0</v>
      </c>
      <c r="D8378">
        <v>0</v>
      </c>
      <c r="E8378">
        <v>0</v>
      </c>
      <c r="F8378" s="2">
        <v>0</v>
      </c>
      <c r="H8378">
        <v>0</v>
      </c>
      <c r="I8378">
        <v>0.1741125760648204</v>
      </c>
      <c r="J8378">
        <v>0</v>
      </c>
      <c r="K8378">
        <v>0</v>
      </c>
      <c r="L8378" s="2">
        <v>0</v>
      </c>
      <c r="M8378">
        <v>82.34999999999999</v>
      </c>
      <c r="N8378" t="s">
        <v>10236</v>
      </c>
    </row>
    <row r="8379" spans="1:14">
      <c r="A8379" t="s">
        <v>35</v>
      </c>
      <c r="B8379" t="s">
        <v>8355</v>
      </c>
      <c r="C8379">
        <f>"ATLAS20CE"</f>
        <v>0</v>
      </c>
      <c r="D8379">
        <v>0</v>
      </c>
      <c r="E8379">
        <v>1</v>
      </c>
      <c r="F8379" s="2">
        <v>16</v>
      </c>
      <c r="H8379">
        <v>0</v>
      </c>
      <c r="I8379">
        <v>0.1741125760648204</v>
      </c>
      <c r="J8379">
        <v>0</v>
      </c>
      <c r="K8379">
        <v>0</v>
      </c>
      <c r="L8379" s="2">
        <v>0</v>
      </c>
      <c r="M8379">
        <v>82.36</v>
      </c>
      <c r="N8379" t="s">
        <v>10236</v>
      </c>
    </row>
    <row r="8380" spans="1:14">
      <c r="A8380" t="s">
        <v>35</v>
      </c>
      <c r="B8380" t="s">
        <v>8356</v>
      </c>
      <c r="C8380">
        <f>"ATLAS20B"</f>
        <v>0</v>
      </c>
      <c r="D8380">
        <v>0</v>
      </c>
      <c r="E8380">
        <v>2</v>
      </c>
      <c r="F8380" s="2">
        <v>16</v>
      </c>
      <c r="H8380">
        <v>0</v>
      </c>
      <c r="I8380">
        <v>0.1741125760648204</v>
      </c>
      <c r="J8380">
        <v>0</v>
      </c>
      <c r="K8380">
        <v>0</v>
      </c>
      <c r="L8380" s="2">
        <v>0</v>
      </c>
      <c r="M8380">
        <v>82.37</v>
      </c>
      <c r="N8380" t="s">
        <v>10236</v>
      </c>
    </row>
    <row r="8381" spans="1:14">
      <c r="A8381" t="s">
        <v>35</v>
      </c>
      <c r="B8381" t="s">
        <v>8357</v>
      </c>
      <c r="C8381">
        <f>"ATLAS10R"</f>
        <v>0</v>
      </c>
      <c r="D8381">
        <v>0</v>
      </c>
      <c r="E8381">
        <v>0</v>
      </c>
      <c r="F8381" s="2">
        <v>0</v>
      </c>
      <c r="H8381">
        <v>0</v>
      </c>
      <c r="I8381">
        <v>0.1741125760648204</v>
      </c>
      <c r="J8381">
        <v>0</v>
      </c>
      <c r="K8381">
        <v>0</v>
      </c>
      <c r="L8381" s="2">
        <v>0</v>
      </c>
      <c r="M8381">
        <v>82.38</v>
      </c>
      <c r="N8381" t="s">
        <v>10236</v>
      </c>
    </row>
    <row r="8382" spans="1:14">
      <c r="A8382" t="s">
        <v>35</v>
      </c>
      <c r="B8382" t="s">
        <v>8358</v>
      </c>
      <c r="C8382">
        <f>"ATLAS10CE"</f>
        <v>0</v>
      </c>
      <c r="D8382">
        <v>0</v>
      </c>
      <c r="E8382">
        <v>1</v>
      </c>
      <c r="F8382" s="2">
        <v>12</v>
      </c>
      <c r="H8382">
        <v>0</v>
      </c>
      <c r="I8382">
        <v>0.1741125760648204</v>
      </c>
      <c r="J8382">
        <v>0</v>
      </c>
      <c r="K8382">
        <v>0</v>
      </c>
      <c r="L8382" s="2">
        <v>0</v>
      </c>
      <c r="M8382">
        <v>82.39</v>
      </c>
      <c r="N8382" t="s">
        <v>10236</v>
      </c>
    </row>
    <row r="8383" spans="1:14">
      <c r="A8383" t="s">
        <v>35</v>
      </c>
      <c r="B8383" t="s">
        <v>8359</v>
      </c>
      <c r="C8383">
        <f>"7011241"</f>
        <v>0</v>
      </c>
      <c r="D8383">
        <v>0</v>
      </c>
      <c r="E8383">
        <v>2</v>
      </c>
      <c r="F8383" s="2">
        <v>6</v>
      </c>
      <c r="H8383">
        <v>0</v>
      </c>
      <c r="I8383">
        <v>0.1741125760648204</v>
      </c>
      <c r="J8383">
        <v>0</v>
      </c>
      <c r="K8383">
        <v>0</v>
      </c>
      <c r="L8383" s="2">
        <v>0</v>
      </c>
      <c r="M8383">
        <v>82.40000000000001</v>
      </c>
      <c r="N8383" t="s">
        <v>10236</v>
      </c>
    </row>
    <row r="8384" spans="1:14">
      <c r="A8384" t="s">
        <v>35</v>
      </c>
      <c r="B8384" t="s">
        <v>8360</v>
      </c>
      <c r="C8384">
        <f>"042C"</f>
        <v>0</v>
      </c>
      <c r="D8384">
        <v>0</v>
      </c>
      <c r="E8384">
        <v>0</v>
      </c>
      <c r="F8384" s="2">
        <v>0</v>
      </c>
      <c r="H8384">
        <v>0</v>
      </c>
      <c r="I8384">
        <v>0.1741125760648204</v>
      </c>
      <c r="J8384">
        <v>0</v>
      </c>
      <c r="K8384">
        <v>0</v>
      </c>
      <c r="L8384" s="2">
        <v>0</v>
      </c>
      <c r="M8384">
        <v>82.41</v>
      </c>
      <c r="N8384" t="s">
        <v>10236</v>
      </c>
    </row>
    <row r="8385" spans="1:14">
      <c r="A8385" t="s">
        <v>35</v>
      </c>
      <c r="B8385" t="s">
        <v>8361</v>
      </c>
      <c r="C8385">
        <f>"044C"</f>
        <v>0</v>
      </c>
      <c r="D8385">
        <v>0</v>
      </c>
      <c r="E8385">
        <v>0</v>
      </c>
      <c r="F8385" s="2">
        <v>0</v>
      </c>
      <c r="H8385">
        <v>0</v>
      </c>
      <c r="I8385">
        <v>0.1741125760648204</v>
      </c>
      <c r="J8385">
        <v>0</v>
      </c>
      <c r="K8385">
        <v>0</v>
      </c>
      <c r="L8385" s="2">
        <v>0</v>
      </c>
      <c r="M8385">
        <v>82.42</v>
      </c>
      <c r="N8385" t="s">
        <v>10236</v>
      </c>
    </row>
    <row r="8386" spans="1:14">
      <c r="A8386" t="s">
        <v>35</v>
      </c>
      <c r="B8386" t="s">
        <v>8362</v>
      </c>
      <c r="C8386">
        <f>"043C"</f>
        <v>0</v>
      </c>
      <c r="D8386">
        <v>0</v>
      </c>
      <c r="E8386">
        <v>0</v>
      </c>
      <c r="F8386" s="2">
        <v>0</v>
      </c>
      <c r="H8386">
        <v>0</v>
      </c>
      <c r="I8386">
        <v>0.1741125760648204</v>
      </c>
      <c r="J8386">
        <v>0</v>
      </c>
      <c r="K8386">
        <v>0</v>
      </c>
      <c r="L8386" s="2">
        <v>0</v>
      </c>
      <c r="M8386">
        <v>82.43000000000001</v>
      </c>
      <c r="N8386" t="s">
        <v>10236</v>
      </c>
    </row>
    <row r="8387" spans="1:14">
      <c r="A8387" t="s">
        <v>35</v>
      </c>
      <c r="B8387" t="s">
        <v>8363</v>
      </c>
      <c r="C8387">
        <f>"KF6001"</f>
        <v>0</v>
      </c>
      <c r="D8387">
        <v>0</v>
      </c>
      <c r="E8387">
        <v>7</v>
      </c>
      <c r="F8387" s="2">
        <v>45</v>
      </c>
      <c r="H8387">
        <v>0</v>
      </c>
      <c r="I8387">
        <v>0.1741125760648204</v>
      </c>
      <c r="J8387">
        <v>0</v>
      </c>
      <c r="K8387">
        <v>0</v>
      </c>
      <c r="L8387" s="2">
        <v>0</v>
      </c>
      <c r="M8387">
        <v>82.44</v>
      </c>
      <c r="N8387" t="s">
        <v>10236</v>
      </c>
    </row>
    <row r="8388" spans="1:14">
      <c r="A8388" t="s">
        <v>35</v>
      </c>
      <c r="B8388" t="s">
        <v>8364</v>
      </c>
      <c r="C8388">
        <f>"1050SN"</f>
        <v>0</v>
      </c>
      <c r="D8388">
        <v>0</v>
      </c>
      <c r="E8388">
        <v>4</v>
      </c>
      <c r="F8388" s="2">
        <v>10</v>
      </c>
      <c r="H8388">
        <v>0</v>
      </c>
      <c r="I8388">
        <v>0.1741125760648204</v>
      </c>
      <c r="J8388">
        <v>0</v>
      </c>
      <c r="K8388">
        <v>0</v>
      </c>
      <c r="L8388" s="2">
        <v>0</v>
      </c>
      <c r="M8388">
        <v>82.44</v>
      </c>
      <c r="N8388" t="s">
        <v>10236</v>
      </c>
    </row>
    <row r="8389" spans="1:14">
      <c r="A8389" t="s">
        <v>35</v>
      </c>
      <c r="B8389" t="s">
        <v>8365</v>
      </c>
      <c r="C8389">
        <f>"PD20014XS"</f>
        <v>0</v>
      </c>
      <c r="D8389">
        <v>0</v>
      </c>
      <c r="E8389">
        <v>1</v>
      </c>
      <c r="F8389" s="2">
        <v>4</v>
      </c>
      <c r="H8389">
        <v>0</v>
      </c>
      <c r="I8389">
        <v>0.1741125760648204</v>
      </c>
      <c r="J8389">
        <v>0</v>
      </c>
      <c r="K8389">
        <v>0</v>
      </c>
      <c r="L8389" s="2">
        <v>0</v>
      </c>
      <c r="M8389">
        <v>82.45</v>
      </c>
      <c r="N8389" t="s">
        <v>10236</v>
      </c>
    </row>
    <row r="8390" spans="1:14">
      <c r="A8390" t="s">
        <v>35</v>
      </c>
      <c r="B8390" t="s">
        <v>8365</v>
      </c>
      <c r="C8390">
        <f>"PD20014S"</f>
        <v>0</v>
      </c>
      <c r="D8390">
        <v>0</v>
      </c>
      <c r="E8390">
        <v>1</v>
      </c>
      <c r="F8390" s="2">
        <v>6</v>
      </c>
      <c r="H8390">
        <v>0</v>
      </c>
      <c r="I8390">
        <v>0.1741125760648204</v>
      </c>
      <c r="J8390">
        <v>0</v>
      </c>
      <c r="K8390">
        <v>0</v>
      </c>
      <c r="L8390" s="2">
        <v>0</v>
      </c>
      <c r="M8390">
        <v>82.45999999999999</v>
      </c>
      <c r="N8390" t="s">
        <v>10236</v>
      </c>
    </row>
    <row r="8391" spans="1:14">
      <c r="A8391" t="s">
        <v>35</v>
      </c>
      <c r="B8391" t="s">
        <v>8365</v>
      </c>
      <c r="C8391">
        <f>"PD20014M"</f>
        <v>0</v>
      </c>
      <c r="D8391">
        <v>0</v>
      </c>
      <c r="E8391">
        <v>2</v>
      </c>
      <c r="F8391" s="2">
        <v>4</v>
      </c>
      <c r="H8391">
        <v>0</v>
      </c>
      <c r="I8391">
        <v>0.1741125760648204</v>
      </c>
      <c r="J8391">
        <v>0</v>
      </c>
      <c r="K8391">
        <v>0</v>
      </c>
      <c r="L8391" s="2">
        <v>0</v>
      </c>
      <c r="M8391">
        <v>82.47</v>
      </c>
      <c r="N8391" t="s">
        <v>10236</v>
      </c>
    </row>
    <row r="8392" spans="1:14">
      <c r="A8392" t="s">
        <v>35</v>
      </c>
      <c r="B8392" t="s">
        <v>8366</v>
      </c>
      <c r="C8392">
        <f>"DB821ROL"</f>
        <v>0</v>
      </c>
      <c r="D8392">
        <v>0</v>
      </c>
      <c r="E8392">
        <v>2</v>
      </c>
      <c r="F8392" s="2">
        <v>11</v>
      </c>
      <c r="H8392">
        <v>0</v>
      </c>
      <c r="I8392">
        <v>0.1741125760648204</v>
      </c>
      <c r="J8392">
        <v>0</v>
      </c>
      <c r="K8392">
        <v>0</v>
      </c>
      <c r="L8392" s="2">
        <v>0</v>
      </c>
      <c r="M8392">
        <v>82.48</v>
      </c>
      <c r="N8392" t="s">
        <v>10236</v>
      </c>
    </row>
    <row r="8393" spans="1:14">
      <c r="A8393" t="s">
        <v>35</v>
      </c>
      <c r="B8393" t="s">
        <v>8367</v>
      </c>
      <c r="C8393">
        <f>"ATLAS20V"</f>
        <v>0</v>
      </c>
      <c r="D8393">
        <v>0</v>
      </c>
      <c r="E8393">
        <v>1</v>
      </c>
      <c r="F8393" s="2">
        <v>10</v>
      </c>
      <c r="H8393">
        <v>0</v>
      </c>
      <c r="I8393">
        <v>0.1741125760648204</v>
      </c>
      <c r="J8393">
        <v>0</v>
      </c>
      <c r="K8393">
        <v>0</v>
      </c>
      <c r="L8393" s="2">
        <v>0</v>
      </c>
      <c r="M8393">
        <v>82.48999999999999</v>
      </c>
      <c r="N8393" t="s">
        <v>10236</v>
      </c>
    </row>
    <row r="8394" spans="1:14">
      <c r="A8394" t="s">
        <v>194</v>
      </c>
      <c r="B8394" t="s">
        <v>8368</v>
      </c>
      <c r="C8394">
        <f>"200600140"</f>
        <v>0</v>
      </c>
      <c r="D8394">
        <v>0</v>
      </c>
      <c r="E8394">
        <v>0</v>
      </c>
      <c r="F8394" s="2">
        <v>0</v>
      </c>
      <c r="H8394">
        <v>0</v>
      </c>
      <c r="I8394">
        <v>0.1741125760648204</v>
      </c>
      <c r="J8394">
        <v>0</v>
      </c>
      <c r="K8394">
        <v>0</v>
      </c>
      <c r="L8394" s="2">
        <v>0</v>
      </c>
      <c r="M8394">
        <v>82.5</v>
      </c>
      <c r="N8394" t="s">
        <v>10236</v>
      </c>
    </row>
    <row r="8395" spans="1:14">
      <c r="A8395" t="s">
        <v>221</v>
      </c>
      <c r="B8395" t="s">
        <v>8369</v>
      </c>
      <c r="C8395">
        <f>"11937"</f>
        <v>0</v>
      </c>
      <c r="D8395">
        <v>0</v>
      </c>
      <c r="E8395">
        <v>0</v>
      </c>
      <c r="F8395" s="2">
        <v>0</v>
      </c>
      <c r="H8395">
        <v>0</v>
      </c>
      <c r="I8395">
        <v>0.1741125760648204</v>
      </c>
      <c r="J8395">
        <v>0</v>
      </c>
      <c r="K8395">
        <v>0</v>
      </c>
      <c r="L8395" s="2">
        <v>0</v>
      </c>
      <c r="M8395">
        <v>82.51000000000001</v>
      </c>
      <c r="N8395" t="s">
        <v>10236</v>
      </c>
    </row>
    <row r="8396" spans="1:14">
      <c r="A8396" t="s">
        <v>218</v>
      </c>
      <c r="B8396" t="s">
        <v>8370</v>
      </c>
      <c r="C8396">
        <f>"is047vi"</f>
        <v>0</v>
      </c>
      <c r="D8396">
        <v>0</v>
      </c>
      <c r="E8396">
        <v>0</v>
      </c>
      <c r="F8396" s="2">
        <v>0</v>
      </c>
      <c r="H8396">
        <v>0</v>
      </c>
      <c r="I8396">
        <v>0.1741125760648204</v>
      </c>
      <c r="J8396">
        <v>0</v>
      </c>
      <c r="K8396">
        <v>0</v>
      </c>
      <c r="L8396" s="2">
        <v>0</v>
      </c>
      <c r="M8396">
        <v>82.52</v>
      </c>
      <c r="N8396" t="s">
        <v>10236</v>
      </c>
    </row>
    <row r="8397" spans="1:14">
      <c r="A8397" t="s">
        <v>218</v>
      </c>
      <c r="B8397" t="s">
        <v>8371</v>
      </c>
      <c r="C8397">
        <f>"is049vi"</f>
        <v>0</v>
      </c>
      <c r="D8397">
        <v>0</v>
      </c>
      <c r="E8397">
        <v>0</v>
      </c>
      <c r="F8397" s="2">
        <v>0</v>
      </c>
      <c r="H8397">
        <v>0</v>
      </c>
      <c r="I8397">
        <v>0.1741125760648204</v>
      </c>
      <c r="J8397">
        <v>0</v>
      </c>
      <c r="K8397">
        <v>0</v>
      </c>
      <c r="L8397" s="2">
        <v>0</v>
      </c>
      <c r="M8397">
        <v>82.53</v>
      </c>
      <c r="N8397" t="s">
        <v>10236</v>
      </c>
    </row>
    <row r="8398" spans="1:14">
      <c r="A8398" t="s">
        <v>29</v>
      </c>
      <c r="B8398" t="s">
        <v>8372</v>
      </c>
      <c r="C8398">
        <f>"34392"</f>
        <v>0</v>
      </c>
      <c r="D8398">
        <v>0</v>
      </c>
      <c r="E8398">
        <v>0</v>
      </c>
      <c r="F8398" s="2">
        <v>0</v>
      </c>
      <c r="H8398">
        <v>0</v>
      </c>
      <c r="I8398">
        <v>0.1741125760648204</v>
      </c>
      <c r="J8398">
        <v>0</v>
      </c>
      <c r="K8398">
        <v>0</v>
      </c>
      <c r="L8398" s="2">
        <v>0</v>
      </c>
      <c r="M8398">
        <v>82.54000000000001</v>
      </c>
      <c r="N8398" t="s">
        <v>10236</v>
      </c>
    </row>
    <row r="8399" spans="1:14">
      <c r="A8399" t="s">
        <v>209</v>
      </c>
      <c r="B8399" t="s">
        <v>8373</v>
      </c>
      <c r="C8399">
        <f>"4PE020006"</f>
        <v>0</v>
      </c>
      <c r="D8399">
        <v>0</v>
      </c>
      <c r="E8399">
        <v>0</v>
      </c>
      <c r="F8399" s="2">
        <v>0</v>
      </c>
      <c r="H8399">
        <v>0</v>
      </c>
      <c r="I8399">
        <v>0.1741125760648204</v>
      </c>
      <c r="J8399">
        <v>0</v>
      </c>
      <c r="K8399">
        <v>0</v>
      </c>
      <c r="L8399" s="2">
        <v>0</v>
      </c>
      <c r="M8399">
        <v>82.55</v>
      </c>
      <c r="N8399" t="s">
        <v>10236</v>
      </c>
    </row>
    <row r="8400" spans="1:14">
      <c r="A8400" t="s">
        <v>209</v>
      </c>
      <c r="B8400" t="s">
        <v>8374</v>
      </c>
      <c r="C8400">
        <f>"4PE040066"</f>
        <v>0</v>
      </c>
      <c r="D8400">
        <v>0</v>
      </c>
      <c r="E8400">
        <v>0</v>
      </c>
      <c r="F8400" s="2">
        <v>0</v>
      </c>
      <c r="H8400">
        <v>0</v>
      </c>
      <c r="I8400">
        <v>0.1741125760648204</v>
      </c>
      <c r="J8400">
        <v>0</v>
      </c>
      <c r="K8400">
        <v>0</v>
      </c>
      <c r="L8400" s="2">
        <v>0</v>
      </c>
      <c r="M8400">
        <v>82.56</v>
      </c>
      <c r="N8400" t="s">
        <v>10236</v>
      </c>
    </row>
    <row r="8401" spans="1:14">
      <c r="A8401" t="s">
        <v>209</v>
      </c>
      <c r="B8401" t="s">
        <v>8375</v>
      </c>
      <c r="C8401">
        <f>"4PE120008"</f>
        <v>0</v>
      </c>
      <c r="D8401">
        <v>0</v>
      </c>
      <c r="E8401">
        <v>0</v>
      </c>
      <c r="F8401" s="2">
        <v>0</v>
      </c>
      <c r="H8401">
        <v>0</v>
      </c>
      <c r="I8401">
        <v>0.1741125760648204</v>
      </c>
      <c r="J8401">
        <v>0</v>
      </c>
      <c r="K8401">
        <v>0</v>
      </c>
      <c r="L8401" s="2">
        <v>0</v>
      </c>
      <c r="M8401">
        <v>82.56</v>
      </c>
      <c r="N8401" t="s">
        <v>10236</v>
      </c>
    </row>
    <row r="8402" spans="1:14">
      <c r="A8402" t="s">
        <v>209</v>
      </c>
      <c r="B8402" t="s">
        <v>8376</v>
      </c>
      <c r="C8402">
        <f>"4GA020031"</f>
        <v>0</v>
      </c>
      <c r="D8402">
        <v>0</v>
      </c>
      <c r="E8402">
        <v>0</v>
      </c>
      <c r="F8402" s="2">
        <v>0</v>
      </c>
      <c r="H8402">
        <v>0</v>
      </c>
      <c r="I8402">
        <v>0.1741125760648204</v>
      </c>
      <c r="J8402">
        <v>0</v>
      </c>
      <c r="K8402">
        <v>0</v>
      </c>
      <c r="L8402" s="2">
        <v>0</v>
      </c>
      <c r="M8402">
        <v>82.56999999999999</v>
      </c>
      <c r="N8402" t="s">
        <v>10236</v>
      </c>
    </row>
    <row r="8403" spans="1:14">
      <c r="A8403" t="s">
        <v>209</v>
      </c>
      <c r="B8403" t="s">
        <v>8377</v>
      </c>
      <c r="C8403">
        <f>"5PE80001"</f>
        <v>0</v>
      </c>
      <c r="D8403">
        <v>0</v>
      </c>
      <c r="E8403">
        <v>5</v>
      </c>
      <c r="F8403" s="2">
        <v>1</v>
      </c>
      <c r="H8403">
        <v>0</v>
      </c>
      <c r="I8403">
        <v>0.1741125760648204</v>
      </c>
      <c r="J8403">
        <v>0</v>
      </c>
      <c r="K8403">
        <v>0</v>
      </c>
      <c r="L8403" s="2">
        <v>0</v>
      </c>
      <c r="M8403">
        <v>82.58</v>
      </c>
      <c r="N8403" t="s">
        <v>10236</v>
      </c>
    </row>
    <row r="8404" spans="1:14">
      <c r="A8404" t="s">
        <v>209</v>
      </c>
      <c r="B8404" t="s">
        <v>8378</v>
      </c>
      <c r="C8404">
        <f>"5GA70002"</f>
        <v>0</v>
      </c>
      <c r="D8404">
        <v>0</v>
      </c>
      <c r="E8404">
        <v>2</v>
      </c>
      <c r="F8404" s="2">
        <v>1</v>
      </c>
      <c r="H8404">
        <v>0</v>
      </c>
      <c r="I8404">
        <v>0.1741125760648204</v>
      </c>
      <c r="J8404">
        <v>0</v>
      </c>
      <c r="K8404">
        <v>0</v>
      </c>
      <c r="L8404" s="2">
        <v>0</v>
      </c>
      <c r="M8404">
        <v>82.59</v>
      </c>
      <c r="N8404" t="s">
        <v>10236</v>
      </c>
    </row>
    <row r="8405" spans="1:14">
      <c r="A8405" t="s">
        <v>209</v>
      </c>
      <c r="B8405" t="s">
        <v>8379</v>
      </c>
      <c r="C8405">
        <f>"5GA70001"</f>
        <v>0</v>
      </c>
      <c r="D8405">
        <v>0</v>
      </c>
      <c r="E8405">
        <v>0</v>
      </c>
      <c r="F8405" s="2">
        <v>0</v>
      </c>
      <c r="H8405">
        <v>0</v>
      </c>
      <c r="I8405">
        <v>0.1741125760648204</v>
      </c>
      <c r="J8405">
        <v>0</v>
      </c>
      <c r="K8405">
        <v>0</v>
      </c>
      <c r="L8405" s="2">
        <v>0</v>
      </c>
      <c r="M8405">
        <v>82.59999999999999</v>
      </c>
      <c r="N8405" t="s">
        <v>10236</v>
      </c>
    </row>
    <row r="8406" spans="1:14">
      <c r="A8406" t="s">
        <v>209</v>
      </c>
      <c r="B8406" t="s">
        <v>8380</v>
      </c>
      <c r="C8406">
        <f>"4PE040065"</f>
        <v>0</v>
      </c>
      <c r="D8406">
        <v>0</v>
      </c>
      <c r="E8406">
        <v>0</v>
      </c>
      <c r="F8406" s="2">
        <v>0</v>
      </c>
      <c r="H8406">
        <v>0</v>
      </c>
      <c r="I8406">
        <v>0.1741125760648204</v>
      </c>
      <c r="J8406">
        <v>0</v>
      </c>
      <c r="K8406">
        <v>0</v>
      </c>
      <c r="L8406" s="2">
        <v>0</v>
      </c>
      <c r="M8406">
        <v>82.61</v>
      </c>
      <c r="N8406" t="s">
        <v>10236</v>
      </c>
    </row>
    <row r="8407" spans="1:14">
      <c r="A8407" t="s">
        <v>34</v>
      </c>
      <c r="B8407" t="s">
        <v>8381</v>
      </c>
      <c r="C8407">
        <f>"14000163"</f>
        <v>0</v>
      </c>
      <c r="D8407">
        <v>0</v>
      </c>
      <c r="E8407">
        <v>0</v>
      </c>
      <c r="F8407" s="2">
        <v>0</v>
      </c>
      <c r="H8407">
        <v>0</v>
      </c>
      <c r="I8407">
        <v>0.1741125760648204</v>
      </c>
      <c r="J8407">
        <v>0</v>
      </c>
      <c r="K8407">
        <v>0</v>
      </c>
      <c r="L8407" s="2">
        <v>0</v>
      </c>
      <c r="M8407">
        <v>82.62</v>
      </c>
      <c r="N8407" t="s">
        <v>10236</v>
      </c>
    </row>
    <row r="8408" spans="1:14">
      <c r="A8408" t="s">
        <v>209</v>
      </c>
      <c r="B8408" t="s">
        <v>8382</v>
      </c>
      <c r="C8408">
        <f>"4PE040071"</f>
        <v>0</v>
      </c>
      <c r="D8408">
        <v>0</v>
      </c>
      <c r="E8408">
        <v>0</v>
      </c>
      <c r="F8408" s="2">
        <v>0</v>
      </c>
      <c r="H8408">
        <v>0</v>
      </c>
      <c r="I8408">
        <v>0.1741125760648204</v>
      </c>
      <c r="J8408">
        <v>0</v>
      </c>
      <c r="K8408">
        <v>0</v>
      </c>
      <c r="L8408" s="2">
        <v>0</v>
      </c>
      <c r="M8408">
        <v>82.63</v>
      </c>
      <c r="N8408" t="s">
        <v>10236</v>
      </c>
    </row>
    <row r="8409" spans="1:14">
      <c r="A8409" t="s">
        <v>35</v>
      </c>
      <c r="B8409" t="s">
        <v>8383</v>
      </c>
      <c r="C8409">
        <f>"HDD166C"</f>
        <v>0</v>
      </c>
      <c r="D8409">
        <v>0</v>
      </c>
      <c r="E8409">
        <v>0</v>
      </c>
      <c r="F8409" s="2">
        <v>0</v>
      </c>
      <c r="H8409">
        <v>0</v>
      </c>
      <c r="I8409">
        <v>0.1741125760648204</v>
      </c>
      <c r="J8409">
        <v>0</v>
      </c>
      <c r="K8409">
        <v>0</v>
      </c>
      <c r="L8409" s="2">
        <v>0</v>
      </c>
      <c r="M8409">
        <v>82.64</v>
      </c>
      <c r="N8409" t="s">
        <v>10236</v>
      </c>
    </row>
    <row r="8410" spans="1:14">
      <c r="A8410" t="s">
        <v>35</v>
      </c>
      <c r="B8410" t="s">
        <v>8384</v>
      </c>
      <c r="C8410">
        <f>"HDD166BL"</f>
        <v>0</v>
      </c>
      <c r="D8410">
        <v>0</v>
      </c>
      <c r="E8410">
        <v>3</v>
      </c>
      <c r="F8410" s="2">
        <v>1</v>
      </c>
      <c r="H8410">
        <v>0</v>
      </c>
      <c r="I8410">
        <v>0.1741125760648204</v>
      </c>
      <c r="J8410">
        <v>0</v>
      </c>
      <c r="K8410">
        <v>0</v>
      </c>
      <c r="L8410" s="2">
        <v>0</v>
      </c>
      <c r="M8410">
        <v>82.65000000000001</v>
      </c>
      <c r="N8410" t="s">
        <v>10236</v>
      </c>
    </row>
    <row r="8411" spans="1:14">
      <c r="A8411" t="s">
        <v>35</v>
      </c>
      <c r="B8411" t="s">
        <v>8385</v>
      </c>
      <c r="C8411">
        <f>"KHSG0019"</f>
        <v>0</v>
      </c>
      <c r="D8411">
        <v>0</v>
      </c>
      <c r="E8411">
        <v>0</v>
      </c>
      <c r="F8411" s="2">
        <v>0</v>
      </c>
      <c r="H8411">
        <v>0</v>
      </c>
      <c r="I8411">
        <v>0.1741125760648204</v>
      </c>
      <c r="J8411">
        <v>0</v>
      </c>
      <c r="K8411">
        <v>0</v>
      </c>
      <c r="L8411" s="2">
        <v>0</v>
      </c>
      <c r="M8411">
        <v>82.66</v>
      </c>
      <c r="N8411" t="s">
        <v>10236</v>
      </c>
    </row>
    <row r="8412" spans="1:14">
      <c r="A8412" t="s">
        <v>35</v>
      </c>
      <c r="B8412" t="s">
        <v>8386</v>
      </c>
      <c r="C8412">
        <f>"KHSG0013"</f>
        <v>0</v>
      </c>
      <c r="D8412">
        <v>0</v>
      </c>
      <c r="E8412">
        <v>0</v>
      </c>
      <c r="F8412" s="2">
        <v>0</v>
      </c>
      <c r="H8412">
        <v>0</v>
      </c>
      <c r="I8412">
        <v>0.1741125760648204</v>
      </c>
      <c r="J8412">
        <v>0</v>
      </c>
      <c r="K8412">
        <v>0</v>
      </c>
      <c r="L8412" s="2">
        <v>0</v>
      </c>
      <c r="M8412">
        <v>82.67</v>
      </c>
      <c r="N8412" t="s">
        <v>10236</v>
      </c>
    </row>
    <row r="8413" spans="1:14">
      <c r="A8413" t="s">
        <v>25</v>
      </c>
      <c r="B8413" t="s">
        <v>8387</v>
      </c>
      <c r="C8413">
        <f>"MCW101"</f>
        <v>0</v>
      </c>
      <c r="D8413">
        <v>0</v>
      </c>
      <c r="E8413">
        <v>0</v>
      </c>
      <c r="F8413" s="2">
        <v>0</v>
      </c>
      <c r="H8413">
        <v>0</v>
      </c>
      <c r="I8413">
        <v>0.1741125760648204</v>
      </c>
      <c r="J8413">
        <v>0</v>
      </c>
      <c r="K8413">
        <v>0</v>
      </c>
      <c r="L8413" s="2">
        <v>0</v>
      </c>
      <c r="M8413">
        <v>82.68000000000001</v>
      </c>
      <c r="N8413" t="s">
        <v>10236</v>
      </c>
    </row>
    <row r="8414" spans="1:14">
      <c r="A8414" t="s">
        <v>34</v>
      </c>
      <c r="B8414" t="s">
        <v>8388</v>
      </c>
      <c r="C8414">
        <f>"14000141"</f>
        <v>0</v>
      </c>
      <c r="D8414">
        <v>0</v>
      </c>
      <c r="E8414">
        <v>0</v>
      </c>
      <c r="F8414" s="2">
        <v>0</v>
      </c>
      <c r="H8414">
        <v>0</v>
      </c>
      <c r="I8414">
        <v>0.1741125760648204</v>
      </c>
      <c r="J8414">
        <v>0</v>
      </c>
      <c r="K8414">
        <v>0</v>
      </c>
      <c r="L8414" s="2">
        <v>0</v>
      </c>
      <c r="M8414">
        <v>82.68000000000001</v>
      </c>
      <c r="N8414" t="s">
        <v>10236</v>
      </c>
    </row>
    <row r="8415" spans="1:14">
      <c r="A8415" t="s">
        <v>218</v>
      </c>
      <c r="B8415" t="s">
        <v>8389</v>
      </c>
      <c r="C8415">
        <f>"BD020"</f>
        <v>0</v>
      </c>
      <c r="D8415">
        <v>0</v>
      </c>
      <c r="E8415">
        <v>0</v>
      </c>
      <c r="F8415" s="2">
        <v>0</v>
      </c>
      <c r="H8415">
        <v>0</v>
      </c>
      <c r="I8415">
        <v>0.1741125760648204</v>
      </c>
      <c r="J8415">
        <v>0</v>
      </c>
      <c r="K8415">
        <v>0</v>
      </c>
      <c r="L8415" s="2">
        <v>0</v>
      </c>
      <c r="M8415">
        <v>82.69</v>
      </c>
      <c r="N8415" t="s">
        <v>10236</v>
      </c>
    </row>
    <row r="8416" spans="1:14">
      <c r="A8416" t="s">
        <v>218</v>
      </c>
      <c r="B8416" t="s">
        <v>8390</v>
      </c>
      <c r="C8416">
        <f>"1013424"</f>
        <v>0</v>
      </c>
      <c r="D8416">
        <v>0</v>
      </c>
      <c r="E8416">
        <v>0</v>
      </c>
      <c r="F8416" s="2">
        <v>0</v>
      </c>
      <c r="H8416">
        <v>0</v>
      </c>
      <c r="I8416">
        <v>0.1741125760648204</v>
      </c>
      <c r="J8416">
        <v>0</v>
      </c>
      <c r="K8416">
        <v>0</v>
      </c>
      <c r="L8416" s="2">
        <v>0</v>
      </c>
      <c r="M8416">
        <v>82.7</v>
      </c>
      <c r="N8416" t="s">
        <v>10236</v>
      </c>
    </row>
    <row r="8417" spans="1:14">
      <c r="A8417" t="s">
        <v>218</v>
      </c>
      <c r="B8417" t="s">
        <v>8391</v>
      </c>
      <c r="C8417">
        <f>"1004948"</f>
        <v>0</v>
      </c>
      <c r="D8417">
        <v>0</v>
      </c>
      <c r="E8417">
        <v>0</v>
      </c>
      <c r="F8417" s="2">
        <v>0</v>
      </c>
      <c r="H8417">
        <v>0</v>
      </c>
      <c r="I8417">
        <v>0.1741125760648204</v>
      </c>
      <c r="J8417">
        <v>0</v>
      </c>
      <c r="K8417">
        <v>0</v>
      </c>
      <c r="L8417" s="2">
        <v>0</v>
      </c>
      <c r="M8417">
        <v>82.70999999999999</v>
      </c>
      <c r="N8417" t="s">
        <v>10236</v>
      </c>
    </row>
    <row r="8418" spans="1:14">
      <c r="A8418" t="s">
        <v>25</v>
      </c>
      <c r="B8418" t="s">
        <v>8392</v>
      </c>
      <c r="C8418">
        <f>"JERBO"</f>
        <v>0</v>
      </c>
      <c r="D8418">
        <v>0</v>
      </c>
      <c r="E8418">
        <v>0</v>
      </c>
      <c r="F8418" s="2">
        <v>0</v>
      </c>
      <c r="H8418">
        <v>0</v>
      </c>
      <c r="I8418">
        <v>0.1741125760648204</v>
      </c>
      <c r="J8418">
        <v>0</v>
      </c>
      <c r="K8418">
        <v>0</v>
      </c>
      <c r="L8418" s="2">
        <v>0</v>
      </c>
      <c r="M8418">
        <v>82.72</v>
      </c>
      <c r="N8418" t="s">
        <v>10236</v>
      </c>
    </row>
    <row r="8419" spans="1:14">
      <c r="A8419" t="s">
        <v>25</v>
      </c>
      <c r="B8419" t="s">
        <v>8393</v>
      </c>
      <c r="C8419">
        <f>"M021"</f>
        <v>0</v>
      </c>
      <c r="D8419">
        <v>0</v>
      </c>
      <c r="E8419">
        <v>0</v>
      </c>
      <c r="F8419" s="2">
        <v>0</v>
      </c>
      <c r="H8419">
        <v>0</v>
      </c>
      <c r="I8419">
        <v>0.1741125760648204</v>
      </c>
      <c r="J8419">
        <v>0</v>
      </c>
      <c r="K8419">
        <v>0</v>
      </c>
      <c r="L8419" s="2">
        <v>0</v>
      </c>
      <c r="M8419">
        <v>82.73</v>
      </c>
      <c r="N8419" t="s">
        <v>10236</v>
      </c>
    </row>
    <row r="8420" spans="1:14">
      <c r="A8420" t="s">
        <v>34</v>
      </c>
      <c r="B8420" t="s">
        <v>8394</v>
      </c>
      <c r="C8420">
        <f>"14000016"</f>
        <v>0</v>
      </c>
      <c r="D8420">
        <v>0</v>
      </c>
      <c r="E8420">
        <v>0</v>
      </c>
      <c r="F8420" s="2">
        <v>0</v>
      </c>
      <c r="H8420">
        <v>0</v>
      </c>
      <c r="I8420">
        <v>0.1741125760648204</v>
      </c>
      <c r="J8420">
        <v>0</v>
      </c>
      <c r="K8420">
        <v>0</v>
      </c>
      <c r="L8420" s="2">
        <v>0</v>
      </c>
      <c r="M8420">
        <v>82.73999999999999</v>
      </c>
      <c r="N8420" t="s">
        <v>10236</v>
      </c>
    </row>
    <row r="8421" spans="1:14">
      <c r="A8421" t="s">
        <v>34</v>
      </c>
      <c r="B8421" t="s">
        <v>8395</v>
      </c>
      <c r="C8421">
        <f>"140000666"</f>
        <v>0</v>
      </c>
      <c r="D8421">
        <v>0</v>
      </c>
      <c r="E8421">
        <v>0</v>
      </c>
      <c r="F8421" s="2">
        <v>0</v>
      </c>
      <c r="H8421">
        <v>0</v>
      </c>
      <c r="I8421">
        <v>0.1741125760648204</v>
      </c>
      <c r="J8421">
        <v>0</v>
      </c>
      <c r="K8421">
        <v>0</v>
      </c>
      <c r="L8421" s="2">
        <v>0</v>
      </c>
      <c r="M8421">
        <v>82.75</v>
      </c>
      <c r="N8421" t="s">
        <v>10236</v>
      </c>
    </row>
    <row r="8422" spans="1:14">
      <c r="A8422" t="s">
        <v>209</v>
      </c>
      <c r="B8422" t="s">
        <v>8396</v>
      </c>
      <c r="C8422">
        <f>"4GA070008"</f>
        <v>0</v>
      </c>
      <c r="D8422">
        <v>0</v>
      </c>
      <c r="E8422">
        <v>0</v>
      </c>
      <c r="F8422" s="2">
        <v>0</v>
      </c>
      <c r="H8422">
        <v>0</v>
      </c>
      <c r="I8422">
        <v>0.1741125760648204</v>
      </c>
      <c r="J8422">
        <v>0</v>
      </c>
      <c r="K8422">
        <v>0</v>
      </c>
      <c r="L8422" s="2">
        <v>0</v>
      </c>
      <c r="M8422">
        <v>82.76000000000001</v>
      </c>
      <c r="N8422" t="s">
        <v>10236</v>
      </c>
    </row>
    <row r="8423" spans="1:14">
      <c r="A8423" t="s">
        <v>209</v>
      </c>
      <c r="B8423" t="s">
        <v>8397</v>
      </c>
      <c r="C8423">
        <f>"4GA020037"</f>
        <v>0</v>
      </c>
      <c r="D8423">
        <v>0</v>
      </c>
      <c r="E8423">
        <v>0</v>
      </c>
      <c r="F8423" s="2">
        <v>0</v>
      </c>
      <c r="H8423">
        <v>0</v>
      </c>
      <c r="I8423">
        <v>0.1741125760648204</v>
      </c>
      <c r="J8423">
        <v>0</v>
      </c>
      <c r="K8423">
        <v>0</v>
      </c>
      <c r="L8423" s="2">
        <v>0</v>
      </c>
      <c r="M8423">
        <v>82.77</v>
      </c>
      <c r="N8423" t="s">
        <v>10236</v>
      </c>
    </row>
    <row r="8424" spans="1:14">
      <c r="A8424" t="s">
        <v>35</v>
      </c>
      <c r="B8424" t="s">
        <v>8398</v>
      </c>
      <c r="C8424">
        <f>"HDD166G"</f>
        <v>0</v>
      </c>
      <c r="D8424">
        <v>0</v>
      </c>
      <c r="E8424">
        <v>2</v>
      </c>
      <c r="F8424" s="2">
        <v>1</v>
      </c>
      <c r="H8424">
        <v>0</v>
      </c>
      <c r="I8424">
        <v>0.1741125760648204</v>
      </c>
      <c r="J8424">
        <v>0</v>
      </c>
      <c r="K8424">
        <v>0</v>
      </c>
      <c r="L8424" s="2">
        <v>0</v>
      </c>
      <c r="M8424">
        <v>82.78</v>
      </c>
      <c r="N8424" t="s">
        <v>10236</v>
      </c>
    </row>
    <row r="8425" spans="1:14">
      <c r="A8425" t="s">
        <v>35</v>
      </c>
      <c r="B8425" t="s">
        <v>8399</v>
      </c>
      <c r="C8425">
        <f>"WPS287ROS"</f>
        <v>0</v>
      </c>
      <c r="D8425">
        <v>0</v>
      </c>
      <c r="E8425">
        <v>0</v>
      </c>
      <c r="F8425" s="2">
        <v>0</v>
      </c>
      <c r="H8425">
        <v>0</v>
      </c>
      <c r="I8425">
        <v>0.1741125760648204</v>
      </c>
      <c r="J8425">
        <v>0</v>
      </c>
      <c r="K8425">
        <v>0</v>
      </c>
      <c r="L8425" s="2">
        <v>0</v>
      </c>
      <c r="M8425">
        <v>82.79000000000001</v>
      </c>
      <c r="N8425" t="s">
        <v>10236</v>
      </c>
    </row>
    <row r="8426" spans="1:14">
      <c r="A8426" t="s">
        <v>35</v>
      </c>
      <c r="B8426" t="s">
        <v>8400</v>
      </c>
      <c r="C8426">
        <f>"WPS287AZ"</f>
        <v>0</v>
      </c>
      <c r="D8426">
        <v>0</v>
      </c>
      <c r="E8426">
        <v>1</v>
      </c>
      <c r="F8426" s="2">
        <v>3</v>
      </c>
      <c r="H8426">
        <v>0</v>
      </c>
      <c r="I8426">
        <v>0.1741125760648204</v>
      </c>
      <c r="J8426">
        <v>0</v>
      </c>
      <c r="K8426">
        <v>0</v>
      </c>
      <c r="L8426" s="2">
        <v>0</v>
      </c>
      <c r="M8426">
        <v>82.8</v>
      </c>
      <c r="N8426" t="s">
        <v>10236</v>
      </c>
    </row>
    <row r="8427" spans="1:14">
      <c r="A8427" t="s">
        <v>200</v>
      </c>
      <c r="B8427" t="s">
        <v>8401</v>
      </c>
      <c r="C8427">
        <f>"PS04003"</f>
        <v>0</v>
      </c>
      <c r="D8427">
        <v>0</v>
      </c>
      <c r="E8427">
        <v>0</v>
      </c>
      <c r="F8427" s="2">
        <v>0</v>
      </c>
      <c r="H8427">
        <v>0</v>
      </c>
      <c r="I8427">
        <v>0.1741125760648204</v>
      </c>
      <c r="J8427">
        <v>0</v>
      </c>
      <c r="K8427">
        <v>0</v>
      </c>
      <c r="L8427" s="2">
        <v>0</v>
      </c>
      <c r="M8427">
        <v>82.8</v>
      </c>
      <c r="N8427" t="s">
        <v>10236</v>
      </c>
    </row>
    <row r="8428" spans="1:14">
      <c r="A8428" t="s">
        <v>35</v>
      </c>
      <c r="B8428" t="s">
        <v>8402</v>
      </c>
      <c r="C8428">
        <f>"PS06034"</f>
        <v>0</v>
      </c>
      <c r="D8428">
        <v>0</v>
      </c>
      <c r="E8428">
        <v>0</v>
      </c>
      <c r="F8428" s="2">
        <v>0</v>
      </c>
      <c r="H8428">
        <v>0</v>
      </c>
      <c r="I8428">
        <v>0.1741125760648204</v>
      </c>
      <c r="J8428">
        <v>0</v>
      </c>
      <c r="K8428">
        <v>0</v>
      </c>
      <c r="L8428" s="2">
        <v>0</v>
      </c>
      <c r="M8428">
        <v>82.81</v>
      </c>
      <c r="N8428" t="s">
        <v>10236</v>
      </c>
    </row>
    <row r="8429" spans="1:14">
      <c r="A8429" t="s">
        <v>35</v>
      </c>
      <c r="B8429" t="s">
        <v>8403</v>
      </c>
      <c r="C8429">
        <f>"PS05012"</f>
        <v>0</v>
      </c>
      <c r="D8429">
        <v>0</v>
      </c>
      <c r="E8429">
        <v>0</v>
      </c>
      <c r="F8429" s="2">
        <v>0</v>
      </c>
      <c r="H8429">
        <v>0</v>
      </c>
      <c r="I8429">
        <v>0.1741125760648204</v>
      </c>
      <c r="J8429">
        <v>0</v>
      </c>
      <c r="K8429">
        <v>0</v>
      </c>
      <c r="L8429" s="2">
        <v>0</v>
      </c>
      <c r="M8429">
        <v>82.81999999999999</v>
      </c>
      <c r="N8429" t="s">
        <v>10236</v>
      </c>
    </row>
    <row r="8430" spans="1:14">
      <c r="A8430" t="s">
        <v>35</v>
      </c>
      <c r="B8430" t="s">
        <v>8404</v>
      </c>
      <c r="C8430">
        <f>"ZRD2018079"</f>
        <v>0</v>
      </c>
      <c r="D8430">
        <v>0</v>
      </c>
      <c r="E8430">
        <v>0</v>
      </c>
      <c r="F8430" s="2">
        <v>0</v>
      </c>
      <c r="H8430">
        <v>0</v>
      </c>
      <c r="I8430">
        <v>0.1741125760648204</v>
      </c>
      <c r="J8430">
        <v>0</v>
      </c>
      <c r="K8430">
        <v>0</v>
      </c>
      <c r="L8430" s="2">
        <v>0</v>
      </c>
      <c r="M8430">
        <v>82.83</v>
      </c>
      <c r="N8430" t="s">
        <v>10236</v>
      </c>
    </row>
    <row r="8431" spans="1:14">
      <c r="A8431" t="s">
        <v>35</v>
      </c>
      <c r="B8431" t="s">
        <v>8405</v>
      </c>
      <c r="C8431">
        <f>"288001"</f>
        <v>0</v>
      </c>
      <c r="D8431">
        <v>0</v>
      </c>
      <c r="E8431">
        <v>0</v>
      </c>
      <c r="F8431" s="2">
        <v>0</v>
      </c>
      <c r="H8431">
        <v>0</v>
      </c>
      <c r="I8431">
        <v>0.1741125760648204</v>
      </c>
      <c r="J8431">
        <v>0</v>
      </c>
      <c r="K8431">
        <v>0</v>
      </c>
      <c r="L8431" s="2">
        <v>0</v>
      </c>
      <c r="M8431">
        <v>82.84</v>
      </c>
      <c r="N8431" t="s">
        <v>10236</v>
      </c>
    </row>
    <row r="8432" spans="1:14">
      <c r="A8432" t="s">
        <v>200</v>
      </c>
      <c r="B8432" t="s">
        <v>8406</v>
      </c>
      <c r="C8432">
        <f>"PS06062"</f>
        <v>0</v>
      </c>
      <c r="D8432">
        <v>0</v>
      </c>
      <c r="E8432">
        <v>0</v>
      </c>
      <c r="F8432" s="2">
        <v>0</v>
      </c>
      <c r="H8432">
        <v>0</v>
      </c>
      <c r="I8432">
        <v>0.1741125760648204</v>
      </c>
      <c r="J8432">
        <v>0</v>
      </c>
      <c r="K8432">
        <v>0</v>
      </c>
      <c r="L8432" s="2">
        <v>0</v>
      </c>
      <c r="M8432">
        <v>82.84999999999999</v>
      </c>
      <c r="N8432" t="s">
        <v>10236</v>
      </c>
    </row>
    <row r="8433" spans="1:14">
      <c r="A8433" t="s">
        <v>35</v>
      </c>
      <c r="B8433" t="s">
        <v>8407</v>
      </c>
      <c r="C8433">
        <f>"CN06"</f>
        <v>0</v>
      </c>
      <c r="D8433">
        <v>0</v>
      </c>
      <c r="E8433">
        <v>30</v>
      </c>
      <c r="F8433" s="2">
        <v>1</v>
      </c>
      <c r="H8433">
        <v>0</v>
      </c>
      <c r="I8433">
        <v>0.1741125760648204</v>
      </c>
      <c r="J8433">
        <v>0</v>
      </c>
      <c r="K8433">
        <v>0</v>
      </c>
      <c r="L8433" s="2">
        <v>0</v>
      </c>
      <c r="M8433">
        <v>82.86</v>
      </c>
      <c r="N8433" t="s">
        <v>10236</v>
      </c>
    </row>
    <row r="8434" spans="1:14">
      <c r="A8434" t="s">
        <v>35</v>
      </c>
      <c r="B8434" t="s">
        <v>8408</v>
      </c>
      <c r="C8434">
        <f>"YT96953"</f>
        <v>0</v>
      </c>
      <c r="D8434">
        <v>0</v>
      </c>
      <c r="E8434">
        <v>0</v>
      </c>
      <c r="F8434" s="2">
        <v>0</v>
      </c>
      <c r="H8434">
        <v>0</v>
      </c>
      <c r="I8434">
        <v>0.1741125760648204</v>
      </c>
      <c r="J8434">
        <v>0</v>
      </c>
      <c r="K8434">
        <v>0</v>
      </c>
      <c r="L8434" s="2">
        <v>0</v>
      </c>
      <c r="M8434">
        <v>82.87</v>
      </c>
      <c r="N8434" t="s">
        <v>10236</v>
      </c>
    </row>
    <row r="8435" spans="1:14">
      <c r="A8435" t="s">
        <v>35</v>
      </c>
      <c r="B8435" t="s">
        <v>8409</v>
      </c>
      <c r="C8435">
        <f>"LWT0106"</f>
        <v>0</v>
      </c>
      <c r="D8435">
        <v>0</v>
      </c>
      <c r="E8435">
        <v>0</v>
      </c>
      <c r="F8435" s="2">
        <v>0</v>
      </c>
      <c r="H8435">
        <v>0</v>
      </c>
      <c r="I8435">
        <v>0.1741125760648204</v>
      </c>
      <c r="J8435">
        <v>0</v>
      </c>
      <c r="K8435">
        <v>0</v>
      </c>
      <c r="L8435" s="2">
        <v>0</v>
      </c>
      <c r="M8435">
        <v>82.88</v>
      </c>
      <c r="N8435" t="s">
        <v>10236</v>
      </c>
    </row>
    <row r="8436" spans="1:14">
      <c r="A8436" t="s">
        <v>35</v>
      </c>
      <c r="B8436" t="s">
        <v>8410</v>
      </c>
      <c r="C8436">
        <f>"MCW144"</f>
        <v>0</v>
      </c>
      <c r="D8436">
        <v>0</v>
      </c>
      <c r="E8436">
        <v>0</v>
      </c>
      <c r="F8436" s="2">
        <v>0</v>
      </c>
      <c r="H8436">
        <v>0</v>
      </c>
      <c r="I8436">
        <v>0.1741125760648204</v>
      </c>
      <c r="J8436">
        <v>0</v>
      </c>
      <c r="K8436">
        <v>0</v>
      </c>
      <c r="L8436" s="2">
        <v>0</v>
      </c>
      <c r="M8436">
        <v>82.89</v>
      </c>
      <c r="N8436" t="s">
        <v>10236</v>
      </c>
    </row>
    <row r="8437" spans="1:14">
      <c r="A8437" t="s">
        <v>35</v>
      </c>
      <c r="B8437" t="s">
        <v>8411</v>
      </c>
      <c r="C8437">
        <f>"QZWJ020"</f>
        <v>0</v>
      </c>
      <c r="D8437">
        <v>0</v>
      </c>
      <c r="E8437">
        <v>1</v>
      </c>
      <c r="F8437" s="2">
        <v>4</v>
      </c>
      <c r="H8437">
        <v>0</v>
      </c>
      <c r="I8437">
        <v>0.1741125760648204</v>
      </c>
      <c r="J8437">
        <v>0</v>
      </c>
      <c r="K8437">
        <v>0</v>
      </c>
      <c r="L8437" s="2">
        <v>0</v>
      </c>
      <c r="M8437">
        <v>82.90000000000001</v>
      </c>
      <c r="N8437" t="s">
        <v>10236</v>
      </c>
    </row>
    <row r="8438" spans="1:14">
      <c r="A8438" t="s">
        <v>35</v>
      </c>
      <c r="B8438" t="s">
        <v>8412</v>
      </c>
      <c r="C8438">
        <f>"145084"</f>
        <v>0</v>
      </c>
      <c r="D8438">
        <v>0</v>
      </c>
      <c r="E8438">
        <v>0</v>
      </c>
      <c r="F8438" s="2">
        <v>0</v>
      </c>
      <c r="H8438">
        <v>0</v>
      </c>
      <c r="I8438">
        <v>0.1741125760648204</v>
      </c>
      <c r="J8438">
        <v>0</v>
      </c>
      <c r="K8438">
        <v>0</v>
      </c>
      <c r="L8438" s="2">
        <v>0</v>
      </c>
      <c r="M8438">
        <v>82.91</v>
      </c>
      <c r="N8438" t="s">
        <v>10236</v>
      </c>
    </row>
    <row r="8439" spans="1:14">
      <c r="A8439" t="s">
        <v>209</v>
      </c>
      <c r="B8439" t="s">
        <v>8413</v>
      </c>
      <c r="C8439">
        <f>"4PE120009"</f>
        <v>0</v>
      </c>
      <c r="D8439">
        <v>0</v>
      </c>
      <c r="E8439">
        <v>0</v>
      </c>
      <c r="F8439" s="2">
        <v>0</v>
      </c>
      <c r="H8439">
        <v>0</v>
      </c>
      <c r="I8439">
        <v>0.1741125760648204</v>
      </c>
      <c r="J8439">
        <v>0</v>
      </c>
      <c r="K8439">
        <v>0</v>
      </c>
      <c r="L8439" s="2">
        <v>0</v>
      </c>
      <c r="M8439">
        <v>82.91</v>
      </c>
      <c r="N8439" t="s">
        <v>10236</v>
      </c>
    </row>
    <row r="8440" spans="1:14">
      <c r="A8440" t="s">
        <v>35</v>
      </c>
      <c r="B8440" t="s">
        <v>8414</v>
      </c>
      <c r="C8440">
        <f>"JY01"</f>
        <v>0</v>
      </c>
      <c r="D8440">
        <v>0</v>
      </c>
      <c r="E8440">
        <v>0</v>
      </c>
      <c r="F8440" s="2">
        <v>0</v>
      </c>
      <c r="H8440">
        <v>0</v>
      </c>
      <c r="I8440">
        <v>0.1741125760648204</v>
      </c>
      <c r="J8440">
        <v>0</v>
      </c>
      <c r="K8440">
        <v>0</v>
      </c>
      <c r="L8440" s="2">
        <v>0</v>
      </c>
      <c r="M8440">
        <v>82.92</v>
      </c>
      <c r="N8440" t="s">
        <v>10236</v>
      </c>
    </row>
    <row r="8441" spans="1:14">
      <c r="A8441" t="s">
        <v>35</v>
      </c>
      <c r="B8441" t="s">
        <v>8415</v>
      </c>
      <c r="C8441">
        <f>"807704"</f>
        <v>0</v>
      </c>
      <c r="D8441">
        <v>0</v>
      </c>
      <c r="E8441">
        <v>0</v>
      </c>
      <c r="F8441" s="2">
        <v>0</v>
      </c>
      <c r="H8441">
        <v>0</v>
      </c>
      <c r="I8441">
        <v>0.1741125760648204</v>
      </c>
      <c r="J8441">
        <v>0</v>
      </c>
      <c r="K8441">
        <v>0</v>
      </c>
      <c r="L8441" s="2">
        <v>0</v>
      </c>
      <c r="M8441">
        <v>82.93000000000001</v>
      </c>
      <c r="N8441" t="s">
        <v>10236</v>
      </c>
    </row>
    <row r="8442" spans="1:14">
      <c r="A8442" t="s">
        <v>35</v>
      </c>
      <c r="B8442" t="s">
        <v>8416</v>
      </c>
      <c r="C8442">
        <f>"CT0852"</f>
        <v>0</v>
      </c>
      <c r="D8442">
        <v>0</v>
      </c>
      <c r="E8442">
        <v>0</v>
      </c>
      <c r="F8442" s="2">
        <v>0</v>
      </c>
      <c r="H8442">
        <v>0</v>
      </c>
      <c r="I8442">
        <v>0.1741125760648204</v>
      </c>
      <c r="J8442">
        <v>0</v>
      </c>
      <c r="K8442">
        <v>0</v>
      </c>
      <c r="L8442" s="2">
        <v>0</v>
      </c>
      <c r="M8442">
        <v>82.94</v>
      </c>
      <c r="N8442" t="s">
        <v>10236</v>
      </c>
    </row>
    <row r="8443" spans="1:14">
      <c r="A8443" t="s">
        <v>35</v>
      </c>
      <c r="B8443" t="s">
        <v>8417</v>
      </c>
      <c r="C8443">
        <f>"CT036"</f>
        <v>0</v>
      </c>
      <c r="D8443">
        <v>0</v>
      </c>
      <c r="E8443">
        <v>0</v>
      </c>
      <c r="F8443" s="2">
        <v>0</v>
      </c>
      <c r="H8443">
        <v>0</v>
      </c>
      <c r="I8443">
        <v>0.1741125760648204</v>
      </c>
      <c r="J8443">
        <v>0</v>
      </c>
      <c r="K8443">
        <v>0</v>
      </c>
      <c r="L8443" s="2">
        <v>0</v>
      </c>
      <c r="M8443">
        <v>82.95</v>
      </c>
      <c r="N8443" t="s">
        <v>10236</v>
      </c>
    </row>
    <row r="8444" spans="1:14">
      <c r="A8444" t="s">
        <v>35</v>
      </c>
      <c r="B8444" t="s">
        <v>8418</v>
      </c>
      <c r="C8444">
        <f>"CT3142"</f>
        <v>0</v>
      </c>
      <c r="D8444">
        <v>0</v>
      </c>
      <c r="E8444">
        <v>0</v>
      </c>
      <c r="F8444" s="2">
        <v>0</v>
      </c>
      <c r="H8444">
        <v>0</v>
      </c>
      <c r="I8444">
        <v>0.1741125760648204</v>
      </c>
      <c r="J8444">
        <v>0</v>
      </c>
      <c r="K8444">
        <v>0</v>
      </c>
      <c r="L8444" s="2">
        <v>0</v>
      </c>
      <c r="M8444">
        <v>82.95999999999999</v>
      </c>
      <c r="N8444" t="s">
        <v>10236</v>
      </c>
    </row>
    <row r="8445" spans="1:14">
      <c r="A8445" t="s">
        <v>35</v>
      </c>
      <c r="B8445" t="s">
        <v>8419</v>
      </c>
      <c r="C8445">
        <f>"YY201CUCA"</f>
        <v>0</v>
      </c>
      <c r="D8445">
        <v>0</v>
      </c>
      <c r="E8445">
        <v>2</v>
      </c>
      <c r="F8445" s="2">
        <v>1</v>
      </c>
      <c r="H8445">
        <v>0</v>
      </c>
      <c r="I8445">
        <v>0.1741125760648204</v>
      </c>
      <c r="J8445">
        <v>0</v>
      </c>
      <c r="K8445">
        <v>0</v>
      </c>
      <c r="L8445" s="2">
        <v>0</v>
      </c>
      <c r="M8445">
        <v>82.97</v>
      </c>
      <c r="N8445" t="s">
        <v>10236</v>
      </c>
    </row>
    <row r="8446" spans="1:14">
      <c r="A8446" t="s">
        <v>35</v>
      </c>
      <c r="B8446" t="s">
        <v>8420</v>
      </c>
      <c r="C8446">
        <f>"YY201CHINI"</f>
        <v>0</v>
      </c>
      <c r="D8446">
        <v>0</v>
      </c>
      <c r="E8446">
        <v>5</v>
      </c>
      <c r="F8446" s="2">
        <v>1</v>
      </c>
      <c r="H8446">
        <v>0</v>
      </c>
      <c r="I8446">
        <v>0.1741125760648204</v>
      </c>
      <c r="J8446">
        <v>0</v>
      </c>
      <c r="K8446">
        <v>0</v>
      </c>
      <c r="L8446" s="2">
        <v>0</v>
      </c>
      <c r="M8446">
        <v>82.98</v>
      </c>
      <c r="N8446" t="s">
        <v>10236</v>
      </c>
    </row>
    <row r="8447" spans="1:14">
      <c r="A8447" t="s">
        <v>35</v>
      </c>
      <c r="B8447" t="s">
        <v>8421</v>
      </c>
      <c r="C8447">
        <f>"084500119783"</f>
        <v>0</v>
      </c>
      <c r="D8447">
        <v>0</v>
      </c>
      <c r="E8447">
        <v>0</v>
      </c>
      <c r="F8447" s="2">
        <v>0</v>
      </c>
      <c r="H8447">
        <v>0</v>
      </c>
      <c r="I8447">
        <v>0.1741125760648204</v>
      </c>
      <c r="J8447">
        <v>0</v>
      </c>
      <c r="K8447">
        <v>0</v>
      </c>
      <c r="L8447" s="2">
        <v>0</v>
      </c>
      <c r="M8447">
        <v>82.98999999999999</v>
      </c>
      <c r="N8447" t="s">
        <v>10236</v>
      </c>
    </row>
    <row r="8448" spans="1:14">
      <c r="A8448" t="s">
        <v>35</v>
      </c>
      <c r="B8448" t="s">
        <v>8422</v>
      </c>
      <c r="C8448">
        <f>"X033"</f>
        <v>0</v>
      </c>
      <c r="D8448">
        <v>0</v>
      </c>
      <c r="E8448">
        <v>1</v>
      </c>
      <c r="F8448" s="2">
        <v>648</v>
      </c>
      <c r="H8448">
        <v>0</v>
      </c>
      <c r="I8448">
        <v>0.1741125760648204</v>
      </c>
      <c r="J8448">
        <v>0</v>
      </c>
      <c r="K8448">
        <v>0</v>
      </c>
      <c r="L8448" s="2">
        <v>0</v>
      </c>
      <c r="M8448">
        <v>83</v>
      </c>
      <c r="N8448" t="s">
        <v>10236</v>
      </c>
    </row>
    <row r="8449" spans="1:14">
      <c r="A8449" t="s">
        <v>35</v>
      </c>
      <c r="B8449" t="s">
        <v>8423</v>
      </c>
      <c r="C8449">
        <f>"LY999"</f>
        <v>0</v>
      </c>
      <c r="D8449">
        <v>0</v>
      </c>
      <c r="E8449">
        <v>0</v>
      </c>
      <c r="F8449" s="2">
        <v>0</v>
      </c>
      <c r="H8449">
        <v>0</v>
      </c>
      <c r="I8449">
        <v>0.1741125760648204</v>
      </c>
      <c r="J8449">
        <v>0</v>
      </c>
      <c r="K8449">
        <v>0</v>
      </c>
      <c r="L8449" s="2">
        <v>0</v>
      </c>
      <c r="M8449">
        <v>83.01000000000001</v>
      </c>
      <c r="N8449" t="s">
        <v>10236</v>
      </c>
    </row>
    <row r="8450" spans="1:14">
      <c r="A8450" t="s">
        <v>35</v>
      </c>
      <c r="B8450" t="s">
        <v>8424</v>
      </c>
      <c r="C8450">
        <f>"XG012"</f>
        <v>0</v>
      </c>
      <c r="D8450">
        <v>0</v>
      </c>
      <c r="E8450">
        <v>0</v>
      </c>
      <c r="F8450" s="2">
        <v>0</v>
      </c>
      <c r="H8450">
        <v>0</v>
      </c>
      <c r="I8450">
        <v>0.1741125760648204</v>
      </c>
      <c r="J8450">
        <v>0</v>
      </c>
      <c r="K8450">
        <v>0</v>
      </c>
      <c r="L8450" s="2">
        <v>0</v>
      </c>
      <c r="M8450">
        <v>83.02</v>
      </c>
      <c r="N8450" t="s">
        <v>10236</v>
      </c>
    </row>
    <row r="8451" spans="1:14">
      <c r="A8451" t="s">
        <v>25</v>
      </c>
      <c r="B8451" t="s">
        <v>8425</v>
      </c>
      <c r="C8451">
        <f>"AYCS003"</f>
        <v>0</v>
      </c>
      <c r="D8451">
        <v>0</v>
      </c>
      <c r="E8451">
        <v>0</v>
      </c>
      <c r="F8451" s="2">
        <v>0</v>
      </c>
      <c r="H8451">
        <v>0</v>
      </c>
      <c r="I8451">
        <v>0.1741125760648204</v>
      </c>
      <c r="J8451">
        <v>0</v>
      </c>
      <c r="K8451">
        <v>0</v>
      </c>
      <c r="L8451" s="2">
        <v>0</v>
      </c>
      <c r="M8451">
        <v>83.03</v>
      </c>
      <c r="N8451" t="s">
        <v>10236</v>
      </c>
    </row>
    <row r="8452" spans="1:14">
      <c r="A8452" t="s">
        <v>35</v>
      </c>
      <c r="B8452" t="s">
        <v>8426</v>
      </c>
      <c r="C8452">
        <f>"DB821ROS"</f>
        <v>0</v>
      </c>
      <c r="D8452">
        <v>0</v>
      </c>
      <c r="E8452">
        <v>2</v>
      </c>
      <c r="F8452" s="2">
        <v>7</v>
      </c>
      <c r="H8452">
        <v>0</v>
      </c>
      <c r="I8452">
        <v>0.1741125760648204</v>
      </c>
      <c r="J8452">
        <v>0</v>
      </c>
      <c r="K8452">
        <v>0</v>
      </c>
      <c r="L8452" s="2">
        <v>0</v>
      </c>
      <c r="M8452">
        <v>83.03</v>
      </c>
      <c r="N8452" t="s">
        <v>10236</v>
      </c>
    </row>
    <row r="8453" spans="1:14">
      <c r="A8453" t="s">
        <v>35</v>
      </c>
      <c r="B8453" t="s">
        <v>8366</v>
      </c>
      <c r="C8453">
        <f>"DB821ROXL"</f>
        <v>0</v>
      </c>
      <c r="D8453">
        <v>0</v>
      </c>
      <c r="E8453">
        <v>3</v>
      </c>
      <c r="F8453" s="2">
        <v>12</v>
      </c>
      <c r="H8453">
        <v>0</v>
      </c>
      <c r="I8453">
        <v>0.1741125760648204</v>
      </c>
      <c r="J8453">
        <v>0</v>
      </c>
      <c r="K8453">
        <v>0</v>
      </c>
      <c r="L8453" s="2">
        <v>0</v>
      </c>
      <c r="M8453">
        <v>83.04000000000001</v>
      </c>
      <c r="N8453" t="s">
        <v>10236</v>
      </c>
    </row>
    <row r="8454" spans="1:14">
      <c r="A8454" t="s">
        <v>35</v>
      </c>
      <c r="B8454" t="s">
        <v>8427</v>
      </c>
      <c r="C8454">
        <f>"W001AM"</f>
        <v>0</v>
      </c>
      <c r="D8454">
        <v>0</v>
      </c>
      <c r="E8454">
        <v>12</v>
      </c>
      <c r="F8454" s="2">
        <v>5</v>
      </c>
      <c r="H8454">
        <v>0</v>
      </c>
      <c r="I8454">
        <v>0.1741125760648204</v>
      </c>
      <c r="J8454">
        <v>0</v>
      </c>
      <c r="K8454">
        <v>0</v>
      </c>
      <c r="L8454" s="2">
        <v>0</v>
      </c>
      <c r="M8454">
        <v>83.05</v>
      </c>
      <c r="N8454" t="s">
        <v>10236</v>
      </c>
    </row>
    <row r="8455" spans="1:14">
      <c r="A8455" t="s">
        <v>35</v>
      </c>
      <c r="B8455" t="s">
        <v>8428</v>
      </c>
      <c r="C8455">
        <f>"WPS288NA"</f>
        <v>0</v>
      </c>
      <c r="D8455">
        <v>0</v>
      </c>
      <c r="E8455">
        <v>0</v>
      </c>
      <c r="F8455" s="2">
        <v>0</v>
      </c>
      <c r="H8455">
        <v>0</v>
      </c>
      <c r="I8455">
        <v>0.1741125760648204</v>
      </c>
      <c r="J8455">
        <v>0</v>
      </c>
      <c r="K8455">
        <v>0</v>
      </c>
      <c r="L8455" s="2">
        <v>0</v>
      </c>
      <c r="M8455">
        <v>83.06</v>
      </c>
      <c r="N8455" t="s">
        <v>10236</v>
      </c>
    </row>
    <row r="8456" spans="1:14">
      <c r="A8456" t="s">
        <v>35</v>
      </c>
      <c r="B8456" t="s">
        <v>8429</v>
      </c>
      <c r="C8456">
        <f>"WPS288AZ"</f>
        <v>0</v>
      </c>
      <c r="D8456">
        <v>0</v>
      </c>
      <c r="E8456">
        <v>0</v>
      </c>
      <c r="F8456" s="2">
        <v>0</v>
      </c>
      <c r="H8456">
        <v>0</v>
      </c>
      <c r="I8456">
        <v>0.1741125760648204</v>
      </c>
      <c r="J8456">
        <v>0</v>
      </c>
      <c r="K8456">
        <v>0</v>
      </c>
      <c r="L8456" s="2">
        <v>0</v>
      </c>
      <c r="M8456">
        <v>83.06999999999999</v>
      </c>
      <c r="N8456" t="s">
        <v>10236</v>
      </c>
    </row>
    <row r="8457" spans="1:14">
      <c r="A8457" t="s">
        <v>35</v>
      </c>
      <c r="B8457" t="s">
        <v>8430</v>
      </c>
      <c r="C8457">
        <f>"88004"</f>
        <v>0</v>
      </c>
      <c r="D8457">
        <v>0</v>
      </c>
      <c r="E8457">
        <v>1</v>
      </c>
      <c r="F8457" s="2">
        <v>2</v>
      </c>
      <c r="H8457">
        <v>0</v>
      </c>
      <c r="I8457">
        <v>0.1741125760648204</v>
      </c>
      <c r="J8457">
        <v>0</v>
      </c>
      <c r="K8457">
        <v>0</v>
      </c>
      <c r="L8457" s="2">
        <v>0</v>
      </c>
      <c r="M8457">
        <v>83.08</v>
      </c>
      <c r="N8457" t="s">
        <v>10236</v>
      </c>
    </row>
    <row r="8458" spans="1:14">
      <c r="A8458" t="s">
        <v>35</v>
      </c>
      <c r="B8458" t="s">
        <v>8431</v>
      </c>
      <c r="C8458">
        <f>"145075"</f>
        <v>0</v>
      </c>
      <c r="D8458">
        <v>0</v>
      </c>
      <c r="E8458">
        <v>1</v>
      </c>
      <c r="F8458" s="2">
        <v>4</v>
      </c>
      <c r="H8458">
        <v>0</v>
      </c>
      <c r="I8458">
        <v>0.1741125760648204</v>
      </c>
      <c r="J8458">
        <v>0</v>
      </c>
      <c r="K8458">
        <v>0</v>
      </c>
      <c r="L8458" s="2">
        <v>0</v>
      </c>
      <c r="M8458">
        <v>83.09</v>
      </c>
      <c r="N8458" t="s">
        <v>10236</v>
      </c>
    </row>
    <row r="8459" spans="1:14">
      <c r="A8459" t="s">
        <v>35</v>
      </c>
      <c r="B8459" t="s">
        <v>8432</v>
      </c>
      <c r="C8459">
        <f>"LWT0077"</f>
        <v>0</v>
      </c>
      <c r="D8459">
        <v>0</v>
      </c>
      <c r="E8459">
        <v>0</v>
      </c>
      <c r="F8459" s="2">
        <v>0</v>
      </c>
      <c r="H8459">
        <v>0</v>
      </c>
      <c r="I8459">
        <v>0.1741125760648204</v>
      </c>
      <c r="J8459">
        <v>0</v>
      </c>
      <c r="K8459">
        <v>0</v>
      </c>
      <c r="L8459" s="2">
        <v>0</v>
      </c>
      <c r="M8459">
        <v>83.09999999999999</v>
      </c>
      <c r="N8459" t="s">
        <v>10236</v>
      </c>
    </row>
    <row r="8460" spans="1:14">
      <c r="A8460" t="s">
        <v>35</v>
      </c>
      <c r="B8460" t="s">
        <v>8433</v>
      </c>
      <c r="C8460">
        <f>"145062"</f>
        <v>0</v>
      </c>
      <c r="D8460">
        <v>0</v>
      </c>
      <c r="E8460">
        <v>0</v>
      </c>
      <c r="F8460" s="2">
        <v>0</v>
      </c>
      <c r="H8460">
        <v>0</v>
      </c>
      <c r="I8460">
        <v>0.1741125760648204</v>
      </c>
      <c r="J8460">
        <v>0</v>
      </c>
      <c r="K8460">
        <v>0</v>
      </c>
      <c r="L8460" s="2">
        <v>0</v>
      </c>
      <c r="M8460">
        <v>83.11</v>
      </c>
      <c r="N8460" t="s">
        <v>10236</v>
      </c>
    </row>
    <row r="8461" spans="1:14">
      <c r="A8461" t="s">
        <v>35</v>
      </c>
      <c r="B8461" t="s">
        <v>8434</v>
      </c>
      <c r="C8461">
        <f>"ZRD2019037"</f>
        <v>0</v>
      </c>
      <c r="D8461">
        <v>0</v>
      </c>
      <c r="E8461">
        <v>0</v>
      </c>
      <c r="F8461" s="2">
        <v>0</v>
      </c>
      <c r="H8461">
        <v>0</v>
      </c>
      <c r="I8461">
        <v>0.1741125760648204</v>
      </c>
      <c r="J8461">
        <v>0</v>
      </c>
      <c r="K8461">
        <v>0</v>
      </c>
      <c r="L8461" s="2">
        <v>0</v>
      </c>
      <c r="M8461">
        <v>83.12</v>
      </c>
      <c r="N8461" t="s">
        <v>10236</v>
      </c>
    </row>
    <row r="8462" spans="1:14">
      <c r="A8462" t="s">
        <v>35</v>
      </c>
      <c r="B8462" t="s">
        <v>8435</v>
      </c>
      <c r="C8462">
        <f>"ZRD2019035"</f>
        <v>0</v>
      </c>
      <c r="D8462">
        <v>0</v>
      </c>
      <c r="E8462">
        <v>0</v>
      </c>
      <c r="F8462" s="2">
        <v>0</v>
      </c>
      <c r="H8462">
        <v>0</v>
      </c>
      <c r="I8462">
        <v>0.1741125760648204</v>
      </c>
      <c r="J8462">
        <v>0</v>
      </c>
      <c r="K8462">
        <v>0</v>
      </c>
      <c r="L8462" s="2">
        <v>0</v>
      </c>
      <c r="M8462">
        <v>83.13</v>
      </c>
      <c r="N8462" t="s">
        <v>10236</v>
      </c>
    </row>
    <row r="8463" spans="1:14">
      <c r="A8463" t="s">
        <v>35</v>
      </c>
      <c r="B8463" t="s">
        <v>8436</v>
      </c>
      <c r="C8463">
        <f>"W001V"</f>
        <v>0</v>
      </c>
      <c r="D8463">
        <v>0</v>
      </c>
      <c r="E8463">
        <v>10</v>
      </c>
      <c r="F8463" s="2">
        <v>5</v>
      </c>
      <c r="H8463">
        <v>0</v>
      </c>
      <c r="I8463">
        <v>0.1741125760648204</v>
      </c>
      <c r="J8463">
        <v>0</v>
      </c>
      <c r="K8463">
        <v>0</v>
      </c>
      <c r="L8463" s="2">
        <v>0</v>
      </c>
      <c r="M8463">
        <v>83.14</v>
      </c>
      <c r="N8463" t="s">
        <v>10236</v>
      </c>
    </row>
    <row r="8464" spans="1:14">
      <c r="A8464" t="s">
        <v>35</v>
      </c>
      <c r="B8464" t="s">
        <v>8437</v>
      </c>
      <c r="C8464">
        <f>"W001N"</f>
        <v>0</v>
      </c>
      <c r="D8464">
        <v>0</v>
      </c>
      <c r="E8464">
        <v>9</v>
      </c>
      <c r="F8464" s="2">
        <v>5</v>
      </c>
      <c r="H8464">
        <v>0</v>
      </c>
      <c r="I8464">
        <v>0.1741125760648204</v>
      </c>
      <c r="J8464">
        <v>0</v>
      </c>
      <c r="K8464">
        <v>0</v>
      </c>
      <c r="L8464" s="2">
        <v>0</v>
      </c>
      <c r="M8464">
        <v>83.15000000000001</v>
      </c>
      <c r="N8464" t="s">
        <v>10236</v>
      </c>
    </row>
    <row r="8465" spans="1:14">
      <c r="A8465" t="s">
        <v>35</v>
      </c>
      <c r="B8465" t="s">
        <v>8438</v>
      </c>
      <c r="C8465">
        <f>"W001AZ"</f>
        <v>0</v>
      </c>
      <c r="D8465">
        <v>0</v>
      </c>
      <c r="E8465">
        <v>10</v>
      </c>
      <c r="F8465" s="2">
        <v>5</v>
      </c>
      <c r="H8465">
        <v>0</v>
      </c>
      <c r="I8465">
        <v>0.1741125760648204</v>
      </c>
      <c r="J8465">
        <v>0</v>
      </c>
      <c r="K8465">
        <v>0</v>
      </c>
      <c r="L8465" s="2">
        <v>0</v>
      </c>
      <c r="M8465">
        <v>83.15000000000001</v>
      </c>
      <c r="N8465" t="s">
        <v>10236</v>
      </c>
    </row>
    <row r="8466" spans="1:14">
      <c r="A8466" t="s">
        <v>25</v>
      </c>
      <c r="B8466" t="s">
        <v>8439</v>
      </c>
      <c r="C8466">
        <f>"6765187"</f>
        <v>0</v>
      </c>
      <c r="D8466">
        <v>0</v>
      </c>
      <c r="E8466">
        <v>1</v>
      </c>
      <c r="F8466" s="2">
        <v>2</v>
      </c>
      <c r="H8466">
        <v>0</v>
      </c>
      <c r="I8466">
        <v>0.1741125760648204</v>
      </c>
      <c r="J8466">
        <v>0</v>
      </c>
      <c r="K8466">
        <v>0</v>
      </c>
      <c r="L8466" s="2">
        <v>0</v>
      </c>
      <c r="M8466">
        <v>83.16</v>
      </c>
      <c r="N8466" t="s">
        <v>10236</v>
      </c>
    </row>
    <row r="8467" spans="1:14">
      <c r="A8467" t="s">
        <v>209</v>
      </c>
      <c r="B8467" t="s">
        <v>8440</v>
      </c>
      <c r="C8467">
        <f>"4PE020005"</f>
        <v>0</v>
      </c>
      <c r="D8467">
        <v>0</v>
      </c>
      <c r="E8467">
        <v>0</v>
      </c>
      <c r="F8467" s="2">
        <v>0</v>
      </c>
      <c r="H8467">
        <v>0</v>
      </c>
      <c r="I8467">
        <v>0.1741125760648204</v>
      </c>
      <c r="J8467">
        <v>0</v>
      </c>
      <c r="K8467">
        <v>0</v>
      </c>
      <c r="L8467" s="2">
        <v>0</v>
      </c>
      <c r="M8467">
        <v>83.17</v>
      </c>
      <c r="N8467" t="s">
        <v>10236</v>
      </c>
    </row>
    <row r="8468" spans="1:14">
      <c r="A8468" t="s">
        <v>35</v>
      </c>
      <c r="B8468" t="s">
        <v>8441</v>
      </c>
      <c r="C8468">
        <f>"10213"</f>
        <v>0</v>
      </c>
      <c r="D8468">
        <v>0</v>
      </c>
      <c r="E8468">
        <v>0</v>
      </c>
      <c r="F8468" s="2">
        <v>0</v>
      </c>
      <c r="H8468">
        <v>0</v>
      </c>
      <c r="I8468">
        <v>0.1741125760648204</v>
      </c>
      <c r="J8468">
        <v>0</v>
      </c>
      <c r="K8468">
        <v>0</v>
      </c>
      <c r="L8468" s="2">
        <v>0</v>
      </c>
      <c r="M8468">
        <v>83.18000000000001</v>
      </c>
      <c r="N8468" t="s">
        <v>10236</v>
      </c>
    </row>
    <row r="8469" spans="1:14">
      <c r="A8469" t="s">
        <v>35</v>
      </c>
      <c r="B8469" t="s">
        <v>8442</v>
      </c>
      <c r="C8469">
        <f>"WPS280"</f>
        <v>0</v>
      </c>
      <c r="D8469">
        <v>0</v>
      </c>
      <c r="E8469">
        <v>0</v>
      </c>
      <c r="F8469" s="2">
        <v>0</v>
      </c>
      <c r="H8469">
        <v>0</v>
      </c>
      <c r="I8469">
        <v>0.1741125760648204</v>
      </c>
      <c r="J8469">
        <v>0</v>
      </c>
      <c r="K8469">
        <v>0</v>
      </c>
      <c r="L8469" s="2">
        <v>0</v>
      </c>
      <c r="M8469">
        <v>83.19</v>
      </c>
      <c r="N8469" t="s">
        <v>10236</v>
      </c>
    </row>
    <row r="8470" spans="1:14">
      <c r="A8470" t="s">
        <v>35</v>
      </c>
      <c r="B8470" t="s">
        <v>8443</v>
      </c>
      <c r="C8470">
        <f>"BPP7"</f>
        <v>0</v>
      </c>
      <c r="D8470">
        <v>0</v>
      </c>
      <c r="E8470">
        <v>0</v>
      </c>
      <c r="F8470" s="2">
        <v>0</v>
      </c>
      <c r="H8470">
        <v>0</v>
      </c>
      <c r="I8470">
        <v>0.1741125760648204</v>
      </c>
      <c r="J8470">
        <v>0</v>
      </c>
      <c r="K8470">
        <v>0</v>
      </c>
      <c r="L8470" s="2">
        <v>0</v>
      </c>
      <c r="M8470">
        <v>83.2</v>
      </c>
      <c r="N8470" t="s">
        <v>10236</v>
      </c>
    </row>
    <row r="8471" spans="1:14">
      <c r="A8471" t="s">
        <v>35</v>
      </c>
      <c r="B8471" t="s">
        <v>8444</v>
      </c>
      <c r="C8471">
        <f>"BPP6"</f>
        <v>0</v>
      </c>
      <c r="D8471">
        <v>0</v>
      </c>
      <c r="E8471">
        <v>0</v>
      </c>
      <c r="F8471" s="2">
        <v>0</v>
      </c>
      <c r="H8471">
        <v>0</v>
      </c>
      <c r="I8471">
        <v>0.1741125760648204</v>
      </c>
      <c r="J8471">
        <v>0</v>
      </c>
      <c r="K8471">
        <v>0</v>
      </c>
      <c r="L8471" s="2">
        <v>0</v>
      </c>
      <c r="M8471">
        <v>83.20999999999999</v>
      </c>
      <c r="N8471" t="s">
        <v>10236</v>
      </c>
    </row>
    <row r="8472" spans="1:14">
      <c r="A8472" t="s">
        <v>35</v>
      </c>
      <c r="B8472" t="s">
        <v>8444</v>
      </c>
      <c r="C8472">
        <f>"B6P"</f>
        <v>0</v>
      </c>
      <c r="D8472">
        <v>0</v>
      </c>
      <c r="E8472">
        <v>0</v>
      </c>
      <c r="F8472" s="2">
        <v>0</v>
      </c>
      <c r="H8472">
        <v>0</v>
      </c>
      <c r="I8472">
        <v>0.1741125760648204</v>
      </c>
      <c r="J8472">
        <v>0</v>
      </c>
      <c r="K8472">
        <v>0</v>
      </c>
      <c r="L8472" s="2">
        <v>0</v>
      </c>
      <c r="M8472">
        <v>83.22</v>
      </c>
      <c r="N8472" t="s">
        <v>10236</v>
      </c>
    </row>
    <row r="8473" spans="1:14">
      <c r="A8473" t="s">
        <v>35</v>
      </c>
      <c r="B8473" t="s">
        <v>8445</v>
      </c>
      <c r="C8473">
        <f>"BPP5"</f>
        <v>0</v>
      </c>
      <c r="D8473">
        <v>0</v>
      </c>
      <c r="E8473">
        <v>0</v>
      </c>
      <c r="F8473" s="2">
        <v>0</v>
      </c>
      <c r="H8473">
        <v>0</v>
      </c>
      <c r="I8473">
        <v>0.1741125760648204</v>
      </c>
      <c r="J8473">
        <v>0</v>
      </c>
      <c r="K8473">
        <v>0</v>
      </c>
      <c r="L8473" s="2">
        <v>0</v>
      </c>
      <c r="M8473">
        <v>83.23</v>
      </c>
      <c r="N8473" t="s">
        <v>10236</v>
      </c>
    </row>
    <row r="8474" spans="1:14">
      <c r="A8474" t="s">
        <v>35</v>
      </c>
      <c r="B8474" t="s">
        <v>8446</v>
      </c>
      <c r="C8474">
        <f>"BPP4"</f>
        <v>0</v>
      </c>
      <c r="D8474">
        <v>0</v>
      </c>
      <c r="E8474">
        <v>0</v>
      </c>
      <c r="F8474" s="2">
        <v>0</v>
      </c>
      <c r="H8474">
        <v>0</v>
      </c>
      <c r="I8474">
        <v>0.1741125760648204</v>
      </c>
      <c r="J8474">
        <v>0</v>
      </c>
      <c r="K8474">
        <v>0</v>
      </c>
      <c r="L8474" s="2">
        <v>0</v>
      </c>
      <c r="M8474">
        <v>83.23999999999999</v>
      </c>
      <c r="N8474" t="s">
        <v>10236</v>
      </c>
    </row>
    <row r="8475" spans="1:14">
      <c r="A8475" t="s">
        <v>209</v>
      </c>
      <c r="B8475" t="s">
        <v>8447</v>
      </c>
      <c r="C8475">
        <f>"4GA070002"</f>
        <v>0</v>
      </c>
      <c r="D8475">
        <v>0</v>
      </c>
      <c r="E8475">
        <v>0</v>
      </c>
      <c r="F8475" s="2">
        <v>0</v>
      </c>
      <c r="H8475">
        <v>0</v>
      </c>
      <c r="I8475">
        <v>0.1741125760648204</v>
      </c>
      <c r="J8475">
        <v>0</v>
      </c>
      <c r="K8475">
        <v>0</v>
      </c>
      <c r="L8475" s="2">
        <v>0</v>
      </c>
      <c r="M8475">
        <v>83.25</v>
      </c>
      <c r="N8475" t="s">
        <v>10236</v>
      </c>
    </row>
    <row r="8476" spans="1:14">
      <c r="A8476" t="s">
        <v>209</v>
      </c>
      <c r="B8476" t="s">
        <v>8448</v>
      </c>
      <c r="C8476">
        <f>"4GA020029"</f>
        <v>0</v>
      </c>
      <c r="D8476">
        <v>0</v>
      </c>
      <c r="E8476">
        <v>0</v>
      </c>
      <c r="F8476" s="2">
        <v>0</v>
      </c>
      <c r="H8476">
        <v>0</v>
      </c>
      <c r="I8476">
        <v>0.1741125760648204</v>
      </c>
      <c r="J8476">
        <v>0</v>
      </c>
      <c r="K8476">
        <v>0</v>
      </c>
      <c r="L8476" s="2">
        <v>0</v>
      </c>
      <c r="M8476">
        <v>83.26000000000001</v>
      </c>
      <c r="N8476" t="s">
        <v>10236</v>
      </c>
    </row>
    <row r="8477" spans="1:14">
      <c r="A8477" t="s">
        <v>32</v>
      </c>
      <c r="B8477" t="s">
        <v>8449</v>
      </c>
      <c r="C8477">
        <f>"1019487v"</f>
        <v>0</v>
      </c>
      <c r="D8477">
        <v>0</v>
      </c>
      <c r="E8477">
        <v>0</v>
      </c>
      <c r="F8477" s="2">
        <v>0</v>
      </c>
      <c r="H8477">
        <v>0</v>
      </c>
      <c r="I8477">
        <v>0.1741125760648204</v>
      </c>
      <c r="J8477">
        <v>0</v>
      </c>
      <c r="K8477">
        <v>0</v>
      </c>
      <c r="L8477" s="2">
        <v>0</v>
      </c>
      <c r="M8477">
        <v>83.27</v>
      </c>
      <c r="N8477" t="s">
        <v>10236</v>
      </c>
    </row>
    <row r="8478" spans="1:14">
      <c r="A8478" t="s">
        <v>35</v>
      </c>
      <c r="B8478" t="s">
        <v>8450</v>
      </c>
      <c r="C8478">
        <f>"AF144"</f>
        <v>0</v>
      </c>
      <c r="D8478">
        <v>0</v>
      </c>
      <c r="E8478">
        <v>0</v>
      </c>
      <c r="F8478" s="2">
        <v>0</v>
      </c>
      <c r="H8478">
        <v>0</v>
      </c>
      <c r="I8478">
        <v>0.1741125760648204</v>
      </c>
      <c r="J8478">
        <v>0</v>
      </c>
      <c r="K8478">
        <v>0</v>
      </c>
      <c r="L8478" s="2">
        <v>0</v>
      </c>
      <c r="M8478">
        <v>83.27</v>
      </c>
      <c r="N8478" t="s">
        <v>10236</v>
      </c>
    </row>
    <row r="8479" spans="1:14">
      <c r="A8479" t="s">
        <v>25</v>
      </c>
      <c r="B8479" t="s">
        <v>8451</v>
      </c>
      <c r="C8479">
        <f>"6765217"</f>
        <v>0</v>
      </c>
      <c r="D8479">
        <v>0</v>
      </c>
      <c r="E8479">
        <v>12</v>
      </c>
      <c r="F8479" s="2">
        <v>2</v>
      </c>
      <c r="H8479">
        <v>0</v>
      </c>
      <c r="I8479">
        <v>0.1741125760648204</v>
      </c>
      <c r="J8479">
        <v>0</v>
      </c>
      <c r="K8479">
        <v>0</v>
      </c>
      <c r="L8479" s="2">
        <v>0</v>
      </c>
      <c r="M8479">
        <v>83.28</v>
      </c>
      <c r="N8479" t="s">
        <v>10236</v>
      </c>
    </row>
    <row r="8480" spans="1:14">
      <c r="A8480" t="s">
        <v>25</v>
      </c>
      <c r="B8480" t="s">
        <v>8452</v>
      </c>
      <c r="C8480">
        <f>"6765194"</f>
        <v>0</v>
      </c>
      <c r="D8480">
        <v>0</v>
      </c>
      <c r="E8480">
        <v>0</v>
      </c>
      <c r="F8480" s="2">
        <v>0</v>
      </c>
      <c r="H8480">
        <v>0</v>
      </c>
      <c r="I8480">
        <v>0.1741125760648204</v>
      </c>
      <c r="J8480">
        <v>0</v>
      </c>
      <c r="K8480">
        <v>0</v>
      </c>
      <c r="L8480" s="2">
        <v>0</v>
      </c>
      <c r="M8480">
        <v>83.29000000000001</v>
      </c>
      <c r="N8480" t="s">
        <v>10236</v>
      </c>
    </row>
    <row r="8481" spans="1:14">
      <c r="A8481" t="s">
        <v>25</v>
      </c>
      <c r="B8481" t="s">
        <v>8453</v>
      </c>
      <c r="C8481">
        <f>"6765026"</f>
        <v>0</v>
      </c>
      <c r="D8481">
        <v>0</v>
      </c>
      <c r="E8481">
        <v>16</v>
      </c>
      <c r="F8481" s="2">
        <v>1</v>
      </c>
      <c r="H8481">
        <v>0</v>
      </c>
      <c r="I8481">
        <v>0.1741125760648204</v>
      </c>
      <c r="J8481">
        <v>0</v>
      </c>
      <c r="K8481">
        <v>0</v>
      </c>
      <c r="L8481" s="2">
        <v>0</v>
      </c>
      <c r="M8481">
        <v>83.3</v>
      </c>
      <c r="N8481" t="s">
        <v>10236</v>
      </c>
    </row>
    <row r="8482" spans="1:14">
      <c r="A8482" t="s">
        <v>35</v>
      </c>
      <c r="B8482" t="s">
        <v>8454</v>
      </c>
      <c r="C8482">
        <f>"CT0851"</f>
        <v>0</v>
      </c>
      <c r="D8482">
        <v>0</v>
      </c>
      <c r="E8482">
        <v>0</v>
      </c>
      <c r="F8482" s="2">
        <v>0</v>
      </c>
      <c r="H8482">
        <v>0</v>
      </c>
      <c r="I8482">
        <v>0.1741125760648204</v>
      </c>
      <c r="J8482">
        <v>0</v>
      </c>
      <c r="K8482">
        <v>0</v>
      </c>
      <c r="L8482" s="2">
        <v>0</v>
      </c>
      <c r="M8482">
        <v>83.31</v>
      </c>
      <c r="N8482" t="s">
        <v>10236</v>
      </c>
    </row>
    <row r="8483" spans="1:14">
      <c r="A8483" t="s">
        <v>34</v>
      </c>
      <c r="B8483" t="s">
        <v>8455</v>
      </c>
      <c r="C8483">
        <f>"14000157"</f>
        <v>0</v>
      </c>
      <c r="D8483">
        <v>0</v>
      </c>
      <c r="E8483">
        <v>0</v>
      </c>
      <c r="F8483" s="2">
        <v>0</v>
      </c>
      <c r="H8483">
        <v>0</v>
      </c>
      <c r="I8483">
        <v>0.1741125760648204</v>
      </c>
      <c r="J8483">
        <v>0</v>
      </c>
      <c r="K8483">
        <v>0</v>
      </c>
      <c r="L8483" s="2">
        <v>0</v>
      </c>
      <c r="M8483">
        <v>83.31999999999999</v>
      </c>
      <c r="N8483" t="s">
        <v>10236</v>
      </c>
    </row>
    <row r="8484" spans="1:14">
      <c r="A8484" t="s">
        <v>35</v>
      </c>
      <c r="B8484" t="s">
        <v>8456</v>
      </c>
      <c r="C8484">
        <f>"WPS287"</f>
        <v>0</v>
      </c>
      <c r="D8484">
        <v>0</v>
      </c>
      <c r="E8484">
        <v>0</v>
      </c>
      <c r="F8484" s="2">
        <v>0</v>
      </c>
      <c r="H8484">
        <v>0</v>
      </c>
      <c r="I8484">
        <v>0.1741125760648204</v>
      </c>
      <c r="J8484">
        <v>0</v>
      </c>
      <c r="K8484">
        <v>0</v>
      </c>
      <c r="L8484" s="2">
        <v>0</v>
      </c>
      <c r="M8484">
        <v>83.33</v>
      </c>
      <c r="N8484" t="s">
        <v>10236</v>
      </c>
    </row>
    <row r="8485" spans="1:14">
      <c r="A8485" t="s">
        <v>35</v>
      </c>
      <c r="B8485" t="s">
        <v>8457</v>
      </c>
      <c r="C8485">
        <f>"10211"</f>
        <v>0</v>
      </c>
      <c r="D8485">
        <v>0</v>
      </c>
      <c r="E8485">
        <v>0</v>
      </c>
      <c r="F8485" s="2">
        <v>0</v>
      </c>
      <c r="H8485">
        <v>0</v>
      </c>
      <c r="I8485">
        <v>0.1741125760648204</v>
      </c>
      <c r="J8485">
        <v>0</v>
      </c>
      <c r="K8485">
        <v>0</v>
      </c>
      <c r="L8485" s="2">
        <v>0</v>
      </c>
      <c r="M8485">
        <v>83.34</v>
      </c>
      <c r="N8485" t="s">
        <v>10236</v>
      </c>
    </row>
    <row r="8486" spans="1:14">
      <c r="A8486" t="s">
        <v>35</v>
      </c>
      <c r="B8486" t="s">
        <v>8458</v>
      </c>
      <c r="C8486">
        <f>"KHSG0105"</f>
        <v>0</v>
      </c>
      <c r="D8486">
        <v>0</v>
      </c>
      <c r="E8486">
        <v>32</v>
      </c>
      <c r="F8486" s="2">
        <v>3</v>
      </c>
      <c r="H8486">
        <v>0</v>
      </c>
      <c r="I8486">
        <v>0.1741125760648204</v>
      </c>
      <c r="J8486">
        <v>0</v>
      </c>
      <c r="K8486">
        <v>0</v>
      </c>
      <c r="L8486" s="2">
        <v>0</v>
      </c>
      <c r="M8486">
        <v>83.34999999999999</v>
      </c>
      <c r="N8486" t="s">
        <v>10236</v>
      </c>
    </row>
    <row r="8487" spans="1:14">
      <c r="A8487" t="s">
        <v>192</v>
      </c>
      <c r="B8487" t="s">
        <v>8459</v>
      </c>
      <c r="C8487">
        <f>"6765439"</f>
        <v>0</v>
      </c>
      <c r="D8487">
        <v>0</v>
      </c>
      <c r="E8487">
        <v>0</v>
      </c>
      <c r="F8487" s="2">
        <v>0</v>
      </c>
      <c r="H8487">
        <v>0</v>
      </c>
      <c r="I8487">
        <v>0.1741125760648204</v>
      </c>
      <c r="J8487">
        <v>0</v>
      </c>
      <c r="K8487">
        <v>0</v>
      </c>
      <c r="L8487" s="2">
        <v>0</v>
      </c>
      <c r="M8487">
        <v>83.36</v>
      </c>
      <c r="N8487" t="s">
        <v>10236</v>
      </c>
    </row>
    <row r="8488" spans="1:14">
      <c r="A8488" t="s">
        <v>35</v>
      </c>
      <c r="B8488" t="s">
        <v>8460</v>
      </c>
      <c r="C8488">
        <f>"KHSG0036"</f>
        <v>0</v>
      </c>
      <c r="D8488">
        <v>0</v>
      </c>
      <c r="E8488">
        <v>0</v>
      </c>
      <c r="F8488" s="2">
        <v>0</v>
      </c>
      <c r="H8488">
        <v>0</v>
      </c>
      <c r="I8488">
        <v>0.1741125760648204</v>
      </c>
      <c r="J8488">
        <v>0</v>
      </c>
      <c r="K8488">
        <v>0</v>
      </c>
      <c r="L8488" s="2">
        <v>0</v>
      </c>
      <c r="M8488">
        <v>83.37</v>
      </c>
      <c r="N8488" t="s">
        <v>10236</v>
      </c>
    </row>
    <row r="8489" spans="1:14">
      <c r="A8489" t="s">
        <v>35</v>
      </c>
      <c r="B8489" t="s">
        <v>8461</v>
      </c>
      <c r="C8489">
        <f>"KHSG0020"</f>
        <v>0</v>
      </c>
      <c r="D8489">
        <v>0</v>
      </c>
      <c r="E8489">
        <v>0</v>
      </c>
      <c r="F8489" s="2">
        <v>0</v>
      </c>
      <c r="H8489">
        <v>0</v>
      </c>
      <c r="I8489">
        <v>0.1741125760648204</v>
      </c>
      <c r="J8489">
        <v>0</v>
      </c>
      <c r="K8489">
        <v>0</v>
      </c>
      <c r="L8489" s="2">
        <v>0</v>
      </c>
      <c r="M8489">
        <v>83.38</v>
      </c>
      <c r="N8489" t="s">
        <v>10236</v>
      </c>
    </row>
    <row r="8490" spans="1:14">
      <c r="A8490" t="s">
        <v>25</v>
      </c>
      <c r="B8490" t="s">
        <v>8462</v>
      </c>
      <c r="C8490">
        <f>"6765095"</f>
        <v>0</v>
      </c>
      <c r="D8490">
        <v>0</v>
      </c>
      <c r="E8490">
        <v>0</v>
      </c>
      <c r="F8490" s="2">
        <v>0</v>
      </c>
      <c r="H8490">
        <v>0</v>
      </c>
      <c r="I8490">
        <v>0.1741125760648204</v>
      </c>
      <c r="J8490">
        <v>0</v>
      </c>
      <c r="K8490">
        <v>0</v>
      </c>
      <c r="L8490" s="2">
        <v>0</v>
      </c>
      <c r="M8490">
        <v>83.38</v>
      </c>
      <c r="N8490" t="s">
        <v>10236</v>
      </c>
    </row>
    <row r="8491" spans="1:14">
      <c r="A8491" t="s">
        <v>192</v>
      </c>
      <c r="B8491" t="s">
        <v>8463</v>
      </c>
      <c r="C8491">
        <f>"6765446"</f>
        <v>0</v>
      </c>
      <c r="D8491">
        <v>0</v>
      </c>
      <c r="E8491">
        <v>0</v>
      </c>
      <c r="F8491" s="2">
        <v>0</v>
      </c>
      <c r="H8491">
        <v>0</v>
      </c>
      <c r="I8491">
        <v>0.1741125760648204</v>
      </c>
      <c r="J8491">
        <v>0</v>
      </c>
      <c r="K8491">
        <v>0</v>
      </c>
      <c r="L8491" s="2">
        <v>0</v>
      </c>
      <c r="M8491">
        <v>83.39</v>
      </c>
      <c r="N8491" t="s">
        <v>10236</v>
      </c>
    </row>
    <row r="8492" spans="1:14">
      <c r="A8492" t="s">
        <v>35</v>
      </c>
      <c r="B8492" t="s">
        <v>8464</v>
      </c>
      <c r="C8492">
        <f>"LWT0078"</f>
        <v>0</v>
      </c>
      <c r="D8492">
        <v>0</v>
      </c>
      <c r="E8492">
        <v>0</v>
      </c>
      <c r="F8492" s="2">
        <v>0</v>
      </c>
      <c r="H8492">
        <v>0</v>
      </c>
      <c r="I8492">
        <v>0.1741125760648204</v>
      </c>
      <c r="J8492">
        <v>0</v>
      </c>
      <c r="K8492">
        <v>0</v>
      </c>
      <c r="L8492" s="2">
        <v>0</v>
      </c>
      <c r="M8492">
        <v>83.40000000000001</v>
      </c>
      <c r="N8492" t="s">
        <v>10236</v>
      </c>
    </row>
    <row r="8493" spans="1:14">
      <c r="A8493" t="s">
        <v>35</v>
      </c>
      <c r="B8493" t="s">
        <v>8465</v>
      </c>
      <c r="C8493">
        <f>"ER131"</f>
        <v>0</v>
      </c>
      <c r="D8493">
        <v>0</v>
      </c>
      <c r="E8493">
        <v>5</v>
      </c>
      <c r="F8493" s="2">
        <v>4</v>
      </c>
      <c r="H8493">
        <v>0</v>
      </c>
      <c r="I8493">
        <v>0.1741125760648204</v>
      </c>
      <c r="J8493">
        <v>0</v>
      </c>
      <c r="K8493">
        <v>0</v>
      </c>
      <c r="L8493" s="2">
        <v>0</v>
      </c>
      <c r="M8493">
        <v>83.41</v>
      </c>
      <c r="N8493" t="s">
        <v>10236</v>
      </c>
    </row>
    <row r="8494" spans="1:14">
      <c r="A8494" t="s">
        <v>200</v>
      </c>
      <c r="B8494" t="s">
        <v>8466</v>
      </c>
      <c r="C8494">
        <f>"PS05038"</f>
        <v>0</v>
      </c>
      <c r="D8494">
        <v>0</v>
      </c>
      <c r="E8494">
        <v>0</v>
      </c>
      <c r="F8494" s="2">
        <v>0</v>
      </c>
      <c r="H8494">
        <v>0</v>
      </c>
      <c r="I8494">
        <v>0.1741125760648204</v>
      </c>
      <c r="J8494">
        <v>0</v>
      </c>
      <c r="K8494">
        <v>0</v>
      </c>
      <c r="L8494" s="2">
        <v>0</v>
      </c>
      <c r="M8494">
        <v>83.42</v>
      </c>
      <c r="N8494" t="s">
        <v>10236</v>
      </c>
    </row>
    <row r="8495" spans="1:14">
      <c r="A8495" t="s">
        <v>35</v>
      </c>
      <c r="B8495" t="s">
        <v>8467</v>
      </c>
      <c r="C8495">
        <f>"JDC38"</f>
        <v>0</v>
      </c>
      <c r="D8495">
        <v>0</v>
      </c>
      <c r="E8495">
        <v>0</v>
      </c>
      <c r="F8495" s="2">
        <v>0</v>
      </c>
      <c r="H8495">
        <v>0</v>
      </c>
      <c r="I8495">
        <v>0.1741125760648204</v>
      </c>
      <c r="J8495">
        <v>0</v>
      </c>
      <c r="K8495">
        <v>0</v>
      </c>
      <c r="L8495" s="2">
        <v>0</v>
      </c>
      <c r="M8495">
        <v>83.43000000000001</v>
      </c>
      <c r="N8495" t="s">
        <v>10236</v>
      </c>
    </row>
    <row r="8496" spans="1:14">
      <c r="A8496" t="s">
        <v>35</v>
      </c>
      <c r="B8496" t="s">
        <v>8468</v>
      </c>
      <c r="C8496">
        <f>"MCW108"</f>
        <v>0</v>
      </c>
      <c r="D8496">
        <v>0</v>
      </c>
      <c r="E8496">
        <v>0</v>
      </c>
      <c r="F8496" s="2">
        <v>0</v>
      </c>
      <c r="H8496">
        <v>0</v>
      </c>
      <c r="I8496">
        <v>0.1741125760648204</v>
      </c>
      <c r="J8496">
        <v>0</v>
      </c>
      <c r="K8496">
        <v>0</v>
      </c>
      <c r="L8496" s="2">
        <v>0</v>
      </c>
      <c r="M8496">
        <v>83.44</v>
      </c>
      <c r="N8496" t="s">
        <v>10236</v>
      </c>
    </row>
    <row r="8497" spans="1:14">
      <c r="A8497" t="s">
        <v>35</v>
      </c>
      <c r="B8497" t="s">
        <v>8469</v>
      </c>
      <c r="C8497">
        <f>"HDD178MIX"</f>
        <v>0</v>
      </c>
      <c r="D8497">
        <v>0</v>
      </c>
      <c r="E8497">
        <v>1</v>
      </c>
      <c r="F8497" s="2">
        <v>675</v>
      </c>
      <c r="H8497">
        <v>0</v>
      </c>
      <c r="I8497">
        <v>0.1741125760648204</v>
      </c>
      <c r="J8497">
        <v>0</v>
      </c>
      <c r="K8497">
        <v>0</v>
      </c>
      <c r="L8497" s="2">
        <v>0</v>
      </c>
      <c r="M8497">
        <v>83.45</v>
      </c>
      <c r="N8497" t="s">
        <v>10236</v>
      </c>
    </row>
    <row r="8498" spans="1:14">
      <c r="A8498" t="s">
        <v>35</v>
      </c>
      <c r="B8498" t="s">
        <v>8470</v>
      </c>
      <c r="C8498">
        <f>"KHSG0079MOR"</f>
        <v>0</v>
      </c>
      <c r="D8498">
        <v>0</v>
      </c>
      <c r="E8498">
        <v>0</v>
      </c>
      <c r="F8498" s="2">
        <v>0</v>
      </c>
      <c r="H8498">
        <v>0</v>
      </c>
      <c r="I8498">
        <v>0.1741125760648204</v>
      </c>
      <c r="J8498">
        <v>0</v>
      </c>
      <c r="K8498">
        <v>0</v>
      </c>
      <c r="L8498" s="2">
        <v>0</v>
      </c>
      <c r="M8498">
        <v>83.45999999999999</v>
      </c>
      <c r="N8498" t="s">
        <v>10236</v>
      </c>
    </row>
    <row r="8499" spans="1:14">
      <c r="A8499" t="s">
        <v>35</v>
      </c>
      <c r="B8499" t="s">
        <v>8471</v>
      </c>
      <c r="C8499">
        <f>"KHSG0079AMAR"</f>
        <v>0</v>
      </c>
      <c r="D8499">
        <v>0</v>
      </c>
      <c r="E8499">
        <v>0</v>
      </c>
      <c r="F8499" s="2">
        <v>0</v>
      </c>
      <c r="H8499">
        <v>0</v>
      </c>
      <c r="I8499">
        <v>0.1741125760648204</v>
      </c>
      <c r="J8499">
        <v>0</v>
      </c>
      <c r="K8499">
        <v>0</v>
      </c>
      <c r="L8499" s="2">
        <v>0</v>
      </c>
      <c r="M8499">
        <v>83.47</v>
      </c>
      <c r="N8499" t="s">
        <v>10236</v>
      </c>
    </row>
    <row r="8500" spans="1:14">
      <c r="A8500" t="s">
        <v>35</v>
      </c>
      <c r="B8500" t="s">
        <v>8472</v>
      </c>
      <c r="C8500">
        <f>"FB526SCP"</f>
        <v>0</v>
      </c>
      <c r="D8500">
        <v>0</v>
      </c>
      <c r="E8500">
        <v>1</v>
      </c>
      <c r="F8500" s="2">
        <v>6</v>
      </c>
      <c r="H8500">
        <v>0</v>
      </c>
      <c r="I8500">
        <v>0.1741125760648204</v>
      </c>
      <c r="J8500">
        <v>0</v>
      </c>
      <c r="K8500">
        <v>0</v>
      </c>
      <c r="L8500" s="2">
        <v>0</v>
      </c>
      <c r="M8500">
        <v>83.48</v>
      </c>
      <c r="N8500" t="s">
        <v>10236</v>
      </c>
    </row>
    <row r="8501" spans="1:14">
      <c r="A8501" t="s">
        <v>35</v>
      </c>
      <c r="B8501" t="s">
        <v>8473</v>
      </c>
      <c r="C8501">
        <f>"MCW146"</f>
        <v>0</v>
      </c>
      <c r="D8501">
        <v>0</v>
      </c>
      <c r="E8501">
        <v>0</v>
      </c>
      <c r="F8501" s="2">
        <v>0</v>
      </c>
      <c r="H8501">
        <v>0</v>
      </c>
      <c r="I8501">
        <v>0.1741125760648204</v>
      </c>
      <c r="J8501">
        <v>0</v>
      </c>
      <c r="K8501">
        <v>0</v>
      </c>
      <c r="L8501" s="2">
        <v>0</v>
      </c>
      <c r="M8501">
        <v>83.48999999999999</v>
      </c>
      <c r="N8501" t="s">
        <v>10236</v>
      </c>
    </row>
    <row r="8502" spans="1:14">
      <c r="A8502" t="s">
        <v>35</v>
      </c>
      <c r="B8502" t="s">
        <v>8474</v>
      </c>
      <c r="C8502">
        <f>"MCW126"</f>
        <v>0</v>
      </c>
      <c r="D8502">
        <v>0</v>
      </c>
      <c r="E8502">
        <v>3</v>
      </c>
      <c r="F8502" s="2">
        <v>1</v>
      </c>
      <c r="H8502">
        <v>0</v>
      </c>
      <c r="I8502">
        <v>0.1741125760648204</v>
      </c>
      <c r="J8502">
        <v>0</v>
      </c>
      <c r="K8502">
        <v>0</v>
      </c>
      <c r="L8502" s="2">
        <v>0</v>
      </c>
      <c r="M8502">
        <v>83.5</v>
      </c>
      <c r="N8502" t="s">
        <v>10236</v>
      </c>
    </row>
    <row r="8503" spans="1:14">
      <c r="A8503" t="s">
        <v>35</v>
      </c>
      <c r="B8503" t="s">
        <v>8475</v>
      </c>
      <c r="C8503">
        <f>"PCC011CE"</f>
        <v>0</v>
      </c>
      <c r="D8503">
        <v>0</v>
      </c>
      <c r="E8503">
        <v>0</v>
      </c>
      <c r="F8503" s="2">
        <v>0</v>
      </c>
      <c r="H8503">
        <v>0</v>
      </c>
      <c r="I8503">
        <v>0.1741125760648204</v>
      </c>
      <c r="J8503">
        <v>0</v>
      </c>
      <c r="K8503">
        <v>0</v>
      </c>
      <c r="L8503" s="2">
        <v>0</v>
      </c>
      <c r="M8503">
        <v>83.5</v>
      </c>
      <c r="N8503" t="s">
        <v>10236</v>
      </c>
    </row>
    <row r="8504" spans="1:14">
      <c r="A8504" t="s">
        <v>35</v>
      </c>
      <c r="B8504" t="s">
        <v>8476</v>
      </c>
      <c r="C8504">
        <f>"PCC011AM"</f>
        <v>0</v>
      </c>
      <c r="D8504">
        <v>0</v>
      </c>
      <c r="E8504">
        <v>0</v>
      </c>
      <c r="F8504" s="2">
        <v>0</v>
      </c>
      <c r="H8504">
        <v>0</v>
      </c>
      <c r="I8504">
        <v>0.1741125760648204</v>
      </c>
      <c r="J8504">
        <v>0</v>
      </c>
      <c r="K8504">
        <v>0</v>
      </c>
      <c r="L8504" s="2">
        <v>0</v>
      </c>
      <c r="M8504">
        <v>83.51000000000001</v>
      </c>
      <c r="N8504" t="s">
        <v>10236</v>
      </c>
    </row>
    <row r="8505" spans="1:14">
      <c r="A8505" t="s">
        <v>35</v>
      </c>
      <c r="B8505" t="s">
        <v>8477</v>
      </c>
      <c r="C8505">
        <f>"HDD022"</f>
        <v>0</v>
      </c>
      <c r="D8505">
        <v>0</v>
      </c>
      <c r="E8505">
        <v>0</v>
      </c>
      <c r="F8505" s="2">
        <v>0</v>
      </c>
      <c r="H8505">
        <v>0</v>
      </c>
      <c r="I8505">
        <v>0.1741125760648204</v>
      </c>
      <c r="J8505">
        <v>0</v>
      </c>
      <c r="K8505">
        <v>0</v>
      </c>
      <c r="L8505" s="2">
        <v>0</v>
      </c>
      <c r="M8505">
        <v>83.52</v>
      </c>
      <c r="N8505" t="s">
        <v>10236</v>
      </c>
    </row>
    <row r="8506" spans="1:14">
      <c r="A8506" t="s">
        <v>35</v>
      </c>
      <c r="B8506" t="s">
        <v>8478</v>
      </c>
      <c r="C8506">
        <f>"MCW104"</f>
        <v>0</v>
      </c>
      <c r="D8506">
        <v>0</v>
      </c>
      <c r="E8506">
        <v>0</v>
      </c>
      <c r="F8506" s="2">
        <v>0</v>
      </c>
      <c r="H8506">
        <v>0</v>
      </c>
      <c r="I8506">
        <v>0.1741125760648204</v>
      </c>
      <c r="J8506">
        <v>0</v>
      </c>
      <c r="K8506">
        <v>0</v>
      </c>
      <c r="L8506" s="2">
        <v>0</v>
      </c>
      <c r="M8506">
        <v>83.53</v>
      </c>
      <c r="N8506" t="s">
        <v>10236</v>
      </c>
    </row>
    <row r="8507" spans="1:14">
      <c r="A8507" t="s">
        <v>209</v>
      </c>
      <c r="B8507" t="s">
        <v>8479</v>
      </c>
      <c r="C8507">
        <f>"4GA070003"</f>
        <v>0</v>
      </c>
      <c r="D8507">
        <v>0</v>
      </c>
      <c r="E8507">
        <v>0</v>
      </c>
      <c r="F8507" s="2">
        <v>0</v>
      </c>
      <c r="H8507">
        <v>0</v>
      </c>
      <c r="I8507">
        <v>0.1741125760648204</v>
      </c>
      <c r="J8507">
        <v>0</v>
      </c>
      <c r="K8507">
        <v>0</v>
      </c>
      <c r="L8507" s="2">
        <v>0</v>
      </c>
      <c r="M8507">
        <v>83.54000000000001</v>
      </c>
      <c r="N8507" t="s">
        <v>10236</v>
      </c>
    </row>
    <row r="8508" spans="1:14">
      <c r="A8508" t="s">
        <v>209</v>
      </c>
      <c r="B8508" t="s">
        <v>8480</v>
      </c>
      <c r="C8508">
        <f>"4GA020030"</f>
        <v>0</v>
      </c>
      <c r="D8508">
        <v>0</v>
      </c>
      <c r="E8508">
        <v>0</v>
      </c>
      <c r="F8508" s="2">
        <v>0</v>
      </c>
      <c r="H8508">
        <v>0</v>
      </c>
      <c r="I8508">
        <v>0.1741125760648204</v>
      </c>
      <c r="J8508">
        <v>0</v>
      </c>
      <c r="K8508">
        <v>0</v>
      </c>
      <c r="L8508" s="2">
        <v>0</v>
      </c>
      <c r="M8508">
        <v>83.55</v>
      </c>
      <c r="N8508" t="s">
        <v>10236</v>
      </c>
    </row>
    <row r="8509" spans="1:14">
      <c r="A8509" t="s">
        <v>209</v>
      </c>
      <c r="B8509" t="s">
        <v>8481</v>
      </c>
      <c r="C8509">
        <f>"4PE070001"</f>
        <v>0</v>
      </c>
      <c r="D8509">
        <v>0</v>
      </c>
      <c r="E8509">
        <v>0</v>
      </c>
      <c r="F8509" s="2">
        <v>0</v>
      </c>
      <c r="H8509">
        <v>0</v>
      </c>
      <c r="I8509">
        <v>0.1741125760648204</v>
      </c>
      <c r="J8509">
        <v>0</v>
      </c>
      <c r="K8509">
        <v>0</v>
      </c>
      <c r="L8509" s="2">
        <v>0</v>
      </c>
      <c r="M8509">
        <v>83.56</v>
      </c>
      <c r="N8509" t="s">
        <v>10236</v>
      </c>
    </row>
    <row r="8510" spans="1:14">
      <c r="A8510" t="s">
        <v>209</v>
      </c>
      <c r="B8510" t="s">
        <v>8482</v>
      </c>
      <c r="C8510">
        <f>"4PE040063"</f>
        <v>0</v>
      </c>
      <c r="D8510">
        <v>0</v>
      </c>
      <c r="E8510">
        <v>0</v>
      </c>
      <c r="F8510" s="2">
        <v>0</v>
      </c>
      <c r="H8510">
        <v>0</v>
      </c>
      <c r="I8510">
        <v>0.1741125760648204</v>
      </c>
      <c r="J8510">
        <v>0</v>
      </c>
      <c r="K8510">
        <v>0</v>
      </c>
      <c r="L8510" s="2">
        <v>0</v>
      </c>
      <c r="M8510">
        <v>83.56999999999999</v>
      </c>
      <c r="N8510" t="s">
        <v>10236</v>
      </c>
    </row>
    <row r="8511" spans="1:14">
      <c r="A8511" t="s">
        <v>209</v>
      </c>
      <c r="B8511" t="s">
        <v>8483</v>
      </c>
      <c r="C8511">
        <f>"4PE120005"</f>
        <v>0</v>
      </c>
      <c r="D8511">
        <v>0</v>
      </c>
      <c r="E8511">
        <v>0</v>
      </c>
      <c r="F8511" s="2">
        <v>0</v>
      </c>
      <c r="H8511">
        <v>0</v>
      </c>
      <c r="I8511">
        <v>0.1741125760648204</v>
      </c>
      <c r="J8511">
        <v>0</v>
      </c>
      <c r="K8511">
        <v>0</v>
      </c>
      <c r="L8511" s="2">
        <v>0</v>
      </c>
      <c r="M8511">
        <v>83.58</v>
      </c>
      <c r="N8511" t="s">
        <v>10236</v>
      </c>
    </row>
    <row r="8512" spans="1:14">
      <c r="A8512" t="s">
        <v>209</v>
      </c>
      <c r="B8512" t="s">
        <v>8484</v>
      </c>
      <c r="C8512">
        <f>"4PE070002"</f>
        <v>0</v>
      </c>
      <c r="D8512">
        <v>0</v>
      </c>
      <c r="E8512">
        <v>0</v>
      </c>
      <c r="F8512" s="2">
        <v>0</v>
      </c>
      <c r="H8512">
        <v>0</v>
      </c>
      <c r="I8512">
        <v>0.1741125760648204</v>
      </c>
      <c r="J8512">
        <v>0</v>
      </c>
      <c r="K8512">
        <v>0</v>
      </c>
      <c r="L8512" s="2">
        <v>0</v>
      </c>
      <c r="M8512">
        <v>83.59</v>
      </c>
      <c r="N8512" t="s">
        <v>10236</v>
      </c>
    </row>
    <row r="8513" spans="1:14">
      <c r="A8513" t="s">
        <v>209</v>
      </c>
      <c r="B8513" t="s">
        <v>8485</v>
      </c>
      <c r="C8513">
        <f>"4PE040064"</f>
        <v>0</v>
      </c>
      <c r="D8513">
        <v>0</v>
      </c>
      <c r="E8513">
        <v>0</v>
      </c>
      <c r="F8513" s="2">
        <v>0</v>
      </c>
      <c r="H8513">
        <v>0</v>
      </c>
      <c r="I8513">
        <v>0.1741125760648204</v>
      </c>
      <c r="J8513">
        <v>0</v>
      </c>
      <c r="K8513">
        <v>0</v>
      </c>
      <c r="L8513" s="2">
        <v>0</v>
      </c>
      <c r="M8513">
        <v>83.59999999999999</v>
      </c>
      <c r="N8513" t="s">
        <v>10236</v>
      </c>
    </row>
    <row r="8514" spans="1:14">
      <c r="A8514" t="s">
        <v>209</v>
      </c>
      <c r="B8514" t="s">
        <v>8486</v>
      </c>
      <c r="C8514">
        <f>"5GA70005"</f>
        <v>0</v>
      </c>
      <c r="D8514">
        <v>0</v>
      </c>
      <c r="E8514">
        <v>0</v>
      </c>
      <c r="F8514" s="2">
        <v>0</v>
      </c>
      <c r="H8514">
        <v>0</v>
      </c>
      <c r="I8514">
        <v>0.1741125760648204</v>
      </c>
      <c r="J8514">
        <v>0</v>
      </c>
      <c r="K8514">
        <v>0</v>
      </c>
      <c r="L8514" s="2">
        <v>0</v>
      </c>
      <c r="M8514">
        <v>83.61</v>
      </c>
      <c r="N8514" t="s">
        <v>10236</v>
      </c>
    </row>
    <row r="8515" spans="1:14">
      <c r="A8515" t="s">
        <v>209</v>
      </c>
      <c r="B8515" t="s">
        <v>8487</v>
      </c>
      <c r="C8515">
        <f>"4PE040067"</f>
        <v>0</v>
      </c>
      <c r="D8515">
        <v>0</v>
      </c>
      <c r="E8515">
        <v>0</v>
      </c>
      <c r="F8515" s="2">
        <v>0</v>
      </c>
      <c r="H8515">
        <v>0</v>
      </c>
      <c r="I8515">
        <v>0.1741125760648204</v>
      </c>
      <c r="J8515">
        <v>0</v>
      </c>
      <c r="K8515">
        <v>0</v>
      </c>
      <c r="L8515" s="2">
        <v>0</v>
      </c>
      <c r="M8515">
        <v>83.62</v>
      </c>
      <c r="N8515" t="s">
        <v>10236</v>
      </c>
    </row>
    <row r="8516" spans="1:14">
      <c r="A8516" t="s">
        <v>25</v>
      </c>
      <c r="B8516" t="s">
        <v>8488</v>
      </c>
      <c r="C8516">
        <f>"S156S"</f>
        <v>0</v>
      </c>
      <c r="D8516">
        <v>0</v>
      </c>
      <c r="E8516">
        <v>0</v>
      </c>
      <c r="F8516" s="2">
        <v>0</v>
      </c>
      <c r="H8516">
        <v>0</v>
      </c>
      <c r="I8516">
        <v>0.1741125760648204</v>
      </c>
      <c r="J8516">
        <v>0</v>
      </c>
      <c r="K8516">
        <v>0</v>
      </c>
      <c r="L8516" s="2">
        <v>0</v>
      </c>
      <c r="M8516">
        <v>83.62</v>
      </c>
      <c r="N8516" t="s">
        <v>10236</v>
      </c>
    </row>
    <row r="8517" spans="1:14">
      <c r="A8517" t="s">
        <v>35</v>
      </c>
      <c r="B8517" t="s">
        <v>8489</v>
      </c>
      <c r="C8517">
        <f>"FB526MDC"</f>
        <v>0</v>
      </c>
      <c r="D8517">
        <v>0</v>
      </c>
      <c r="E8517">
        <v>1</v>
      </c>
      <c r="F8517" s="2">
        <v>6</v>
      </c>
      <c r="H8517">
        <v>0</v>
      </c>
      <c r="I8517">
        <v>0.1741125760648204</v>
      </c>
      <c r="J8517">
        <v>0</v>
      </c>
      <c r="K8517">
        <v>0</v>
      </c>
      <c r="L8517" s="2">
        <v>0</v>
      </c>
      <c r="M8517">
        <v>83.63</v>
      </c>
      <c r="N8517" t="s">
        <v>10236</v>
      </c>
    </row>
    <row r="8518" spans="1:14">
      <c r="A8518" t="s">
        <v>35</v>
      </c>
      <c r="B8518" t="s">
        <v>8490</v>
      </c>
      <c r="C8518">
        <f>"FB526MCP"</f>
        <v>0</v>
      </c>
      <c r="D8518">
        <v>0</v>
      </c>
      <c r="E8518">
        <v>1</v>
      </c>
      <c r="F8518" s="2">
        <v>7</v>
      </c>
      <c r="H8518">
        <v>0</v>
      </c>
      <c r="I8518">
        <v>0.1741125760648204</v>
      </c>
      <c r="J8518">
        <v>0</v>
      </c>
      <c r="K8518">
        <v>0</v>
      </c>
      <c r="L8518" s="2">
        <v>0</v>
      </c>
      <c r="M8518">
        <v>83.64</v>
      </c>
      <c r="N8518" t="s">
        <v>10236</v>
      </c>
    </row>
    <row r="8519" spans="1:14">
      <c r="A8519" t="s">
        <v>35</v>
      </c>
      <c r="B8519" t="s">
        <v>8491</v>
      </c>
      <c r="C8519">
        <f>"FB526LRP"</f>
        <v>0</v>
      </c>
      <c r="D8519">
        <v>0</v>
      </c>
      <c r="E8519">
        <v>1</v>
      </c>
      <c r="F8519" s="2">
        <v>6</v>
      </c>
      <c r="H8519">
        <v>0</v>
      </c>
      <c r="I8519">
        <v>0.1741125760648204</v>
      </c>
      <c r="J8519">
        <v>0</v>
      </c>
      <c r="K8519">
        <v>0</v>
      </c>
      <c r="L8519" s="2">
        <v>0</v>
      </c>
      <c r="M8519">
        <v>83.65000000000001</v>
      </c>
      <c r="N8519" t="s">
        <v>10236</v>
      </c>
    </row>
    <row r="8520" spans="1:14">
      <c r="A8520" t="s">
        <v>35</v>
      </c>
      <c r="B8520" t="s">
        <v>8492</v>
      </c>
      <c r="C8520">
        <f>"FB526LCP"</f>
        <v>0</v>
      </c>
      <c r="D8520">
        <v>0</v>
      </c>
      <c r="E8520">
        <v>2</v>
      </c>
      <c r="F8520" s="2">
        <v>6</v>
      </c>
      <c r="H8520">
        <v>0</v>
      </c>
      <c r="I8520">
        <v>0.1741125760648204</v>
      </c>
      <c r="J8520">
        <v>0</v>
      </c>
      <c r="K8520">
        <v>0</v>
      </c>
      <c r="L8520" s="2">
        <v>0</v>
      </c>
      <c r="M8520">
        <v>83.66</v>
      </c>
      <c r="N8520" t="s">
        <v>10236</v>
      </c>
    </row>
    <row r="8521" spans="1:14">
      <c r="A8521" t="s">
        <v>35</v>
      </c>
      <c r="B8521" t="s">
        <v>8493</v>
      </c>
      <c r="C8521">
        <f>"JW0111"</f>
        <v>0</v>
      </c>
      <c r="D8521">
        <v>0</v>
      </c>
      <c r="E8521">
        <v>9</v>
      </c>
      <c r="F8521" s="2">
        <v>3</v>
      </c>
      <c r="H8521">
        <v>0</v>
      </c>
      <c r="I8521">
        <v>0.1741125760648204</v>
      </c>
      <c r="J8521">
        <v>0</v>
      </c>
      <c r="K8521">
        <v>0</v>
      </c>
      <c r="L8521" s="2">
        <v>0</v>
      </c>
      <c r="M8521">
        <v>83.67</v>
      </c>
      <c r="N8521" t="s">
        <v>10236</v>
      </c>
    </row>
    <row r="8522" spans="1:14">
      <c r="A8522" t="s">
        <v>35</v>
      </c>
      <c r="B8522" t="s">
        <v>8494</v>
      </c>
      <c r="C8522">
        <f>"6326XL"</f>
        <v>0</v>
      </c>
      <c r="D8522">
        <v>0</v>
      </c>
      <c r="E8522">
        <v>0</v>
      </c>
      <c r="F8522" s="2">
        <v>0</v>
      </c>
      <c r="H8522">
        <v>0</v>
      </c>
      <c r="I8522">
        <v>0.1741125760648204</v>
      </c>
      <c r="J8522">
        <v>0</v>
      </c>
      <c r="K8522">
        <v>0</v>
      </c>
      <c r="L8522" s="2">
        <v>0</v>
      </c>
      <c r="M8522">
        <v>83.68000000000001</v>
      </c>
      <c r="N8522" t="s">
        <v>10236</v>
      </c>
    </row>
    <row r="8523" spans="1:14">
      <c r="A8523" t="s">
        <v>35</v>
      </c>
      <c r="B8523" t="s">
        <v>8495</v>
      </c>
      <c r="C8523">
        <f>"GDXBXS"</f>
        <v>0</v>
      </c>
      <c r="D8523">
        <v>0</v>
      </c>
      <c r="E8523">
        <v>9</v>
      </c>
      <c r="F8523" s="2">
        <v>2</v>
      </c>
      <c r="H8523">
        <v>0</v>
      </c>
      <c r="I8523">
        <v>0.1741125760648204</v>
      </c>
      <c r="J8523">
        <v>0</v>
      </c>
      <c r="K8523">
        <v>0</v>
      </c>
      <c r="L8523" s="2">
        <v>0</v>
      </c>
      <c r="M8523">
        <v>83.69</v>
      </c>
      <c r="N8523" t="s">
        <v>10236</v>
      </c>
    </row>
    <row r="8524" spans="1:14">
      <c r="A8524" t="s">
        <v>35</v>
      </c>
      <c r="B8524" t="s">
        <v>8496</v>
      </c>
      <c r="C8524">
        <f>"GDXBS"</f>
        <v>0</v>
      </c>
      <c r="D8524">
        <v>0</v>
      </c>
      <c r="E8524">
        <v>9</v>
      </c>
      <c r="F8524" s="2">
        <v>2</v>
      </c>
      <c r="H8524">
        <v>0</v>
      </c>
      <c r="I8524">
        <v>0.1741125760648204</v>
      </c>
      <c r="J8524">
        <v>0</v>
      </c>
      <c r="K8524">
        <v>0</v>
      </c>
      <c r="L8524" s="2">
        <v>0</v>
      </c>
      <c r="M8524">
        <v>83.7</v>
      </c>
      <c r="N8524" t="s">
        <v>10236</v>
      </c>
    </row>
    <row r="8525" spans="1:14">
      <c r="A8525" t="s">
        <v>35</v>
      </c>
      <c r="B8525" t="s">
        <v>8497</v>
      </c>
      <c r="C8525">
        <f>"GDXBM"</f>
        <v>0</v>
      </c>
      <c r="D8525">
        <v>0</v>
      </c>
      <c r="E8525">
        <v>5</v>
      </c>
      <c r="F8525" s="2">
        <v>2</v>
      </c>
      <c r="H8525">
        <v>0</v>
      </c>
      <c r="I8525">
        <v>0.1741125760648204</v>
      </c>
      <c r="J8525">
        <v>0</v>
      </c>
      <c r="K8525">
        <v>0</v>
      </c>
      <c r="L8525" s="2">
        <v>0</v>
      </c>
      <c r="M8525">
        <v>83.70999999999999</v>
      </c>
      <c r="N8525" t="s">
        <v>10236</v>
      </c>
    </row>
    <row r="8526" spans="1:14">
      <c r="A8526" t="s">
        <v>35</v>
      </c>
      <c r="B8526" t="s">
        <v>8498</v>
      </c>
      <c r="C8526">
        <f>"DN123"</f>
        <v>0</v>
      </c>
      <c r="D8526">
        <v>0</v>
      </c>
      <c r="E8526">
        <v>0</v>
      </c>
      <c r="F8526" s="2">
        <v>0</v>
      </c>
      <c r="H8526">
        <v>0</v>
      </c>
      <c r="I8526">
        <v>0.1741125760648204</v>
      </c>
      <c r="J8526">
        <v>0</v>
      </c>
      <c r="K8526">
        <v>0</v>
      </c>
      <c r="L8526" s="2">
        <v>0</v>
      </c>
      <c r="M8526">
        <v>83.72</v>
      </c>
      <c r="N8526" t="s">
        <v>10236</v>
      </c>
    </row>
    <row r="8527" spans="1:14">
      <c r="A8527" t="s">
        <v>35</v>
      </c>
      <c r="B8527" t="s">
        <v>8499</v>
      </c>
      <c r="C8527">
        <f>"8710"</f>
        <v>0</v>
      </c>
      <c r="D8527">
        <v>0</v>
      </c>
      <c r="E8527">
        <v>1</v>
      </c>
      <c r="F8527" s="2">
        <v>1</v>
      </c>
      <c r="H8527">
        <v>0</v>
      </c>
      <c r="I8527">
        <v>0.1741125760648204</v>
      </c>
      <c r="J8527">
        <v>0</v>
      </c>
      <c r="K8527">
        <v>0</v>
      </c>
      <c r="L8527" s="2">
        <v>0</v>
      </c>
      <c r="M8527">
        <v>83.73</v>
      </c>
      <c r="N8527" t="s">
        <v>10236</v>
      </c>
    </row>
    <row r="8528" spans="1:14">
      <c r="A8528" t="s">
        <v>35</v>
      </c>
      <c r="B8528" t="s">
        <v>8500</v>
      </c>
      <c r="C8528">
        <f>"350001"</f>
        <v>0</v>
      </c>
      <c r="D8528">
        <v>0</v>
      </c>
      <c r="E8528">
        <v>0</v>
      </c>
      <c r="F8528" s="2">
        <v>0</v>
      </c>
      <c r="H8528">
        <v>0</v>
      </c>
      <c r="I8528">
        <v>0.1741125760648204</v>
      </c>
      <c r="J8528">
        <v>0</v>
      </c>
      <c r="K8528">
        <v>0</v>
      </c>
      <c r="L8528" s="2">
        <v>0</v>
      </c>
      <c r="M8528">
        <v>83.73999999999999</v>
      </c>
      <c r="N8528" t="s">
        <v>10236</v>
      </c>
    </row>
    <row r="8529" spans="1:14">
      <c r="A8529" t="s">
        <v>35</v>
      </c>
      <c r="B8529" t="s">
        <v>8501</v>
      </c>
      <c r="C8529">
        <f>"LC8030"</f>
        <v>0</v>
      </c>
      <c r="D8529">
        <v>0</v>
      </c>
      <c r="E8529">
        <v>0</v>
      </c>
      <c r="F8529" s="2">
        <v>0</v>
      </c>
      <c r="H8529">
        <v>0</v>
      </c>
      <c r="I8529">
        <v>0.1741125760648204</v>
      </c>
      <c r="J8529">
        <v>0</v>
      </c>
      <c r="K8529">
        <v>0</v>
      </c>
      <c r="L8529" s="2">
        <v>0</v>
      </c>
      <c r="M8529">
        <v>83.73999999999999</v>
      </c>
      <c r="N8529" t="s">
        <v>10236</v>
      </c>
    </row>
    <row r="8530" spans="1:14">
      <c r="A8530" t="s">
        <v>35</v>
      </c>
      <c r="B8530" t="s">
        <v>8502</v>
      </c>
      <c r="C8530">
        <f>"KHBZ056"</f>
        <v>0</v>
      </c>
      <c r="D8530">
        <v>0</v>
      </c>
      <c r="E8530">
        <v>10</v>
      </c>
      <c r="F8530" s="2">
        <v>1</v>
      </c>
      <c r="H8530">
        <v>0</v>
      </c>
      <c r="I8530">
        <v>0.1741125760648204</v>
      </c>
      <c r="J8530">
        <v>0</v>
      </c>
      <c r="K8530">
        <v>0</v>
      </c>
      <c r="L8530" s="2">
        <v>0</v>
      </c>
      <c r="M8530">
        <v>83.75</v>
      </c>
      <c r="N8530" t="s">
        <v>10236</v>
      </c>
    </row>
    <row r="8531" spans="1:14">
      <c r="A8531" t="s">
        <v>35</v>
      </c>
      <c r="B8531" t="s">
        <v>8503</v>
      </c>
      <c r="C8531">
        <f>"KHSG0064"</f>
        <v>0</v>
      </c>
      <c r="D8531">
        <v>0</v>
      </c>
      <c r="E8531">
        <v>41</v>
      </c>
      <c r="F8531" s="2">
        <v>1</v>
      </c>
      <c r="H8531">
        <v>0</v>
      </c>
      <c r="I8531">
        <v>0.1741125760648204</v>
      </c>
      <c r="J8531">
        <v>0</v>
      </c>
      <c r="K8531">
        <v>0</v>
      </c>
      <c r="L8531" s="2">
        <v>0</v>
      </c>
      <c r="M8531">
        <v>83.76000000000001</v>
      </c>
      <c r="N8531" t="s">
        <v>10236</v>
      </c>
    </row>
    <row r="8532" spans="1:14">
      <c r="A8532" t="s">
        <v>35</v>
      </c>
      <c r="B8532" t="s">
        <v>8504</v>
      </c>
      <c r="C8532">
        <f>"KHBZ052"</f>
        <v>0</v>
      </c>
      <c r="D8532">
        <v>0</v>
      </c>
      <c r="E8532">
        <v>0</v>
      </c>
      <c r="F8532" s="2">
        <v>0</v>
      </c>
      <c r="H8532">
        <v>0</v>
      </c>
      <c r="I8532">
        <v>0.1741125760648204</v>
      </c>
      <c r="J8532">
        <v>0</v>
      </c>
      <c r="K8532">
        <v>0</v>
      </c>
      <c r="L8532" s="2">
        <v>0</v>
      </c>
      <c r="M8532">
        <v>83.77</v>
      </c>
      <c r="N8532" t="s">
        <v>10236</v>
      </c>
    </row>
    <row r="8533" spans="1:14">
      <c r="A8533" t="s">
        <v>35</v>
      </c>
      <c r="B8533" t="s">
        <v>8505</v>
      </c>
      <c r="C8533">
        <f>"KHSG0158"</f>
        <v>0</v>
      </c>
      <c r="D8533">
        <v>0</v>
      </c>
      <c r="E8533">
        <v>0</v>
      </c>
      <c r="F8533" s="2">
        <v>0</v>
      </c>
      <c r="H8533">
        <v>0</v>
      </c>
      <c r="I8533">
        <v>0.1741125760648204</v>
      </c>
      <c r="J8533">
        <v>0</v>
      </c>
      <c r="K8533">
        <v>0</v>
      </c>
      <c r="L8533" s="2">
        <v>0</v>
      </c>
      <c r="M8533">
        <v>83.78</v>
      </c>
      <c r="N8533" t="s">
        <v>10236</v>
      </c>
    </row>
    <row r="8534" spans="1:14">
      <c r="A8534" t="s">
        <v>35</v>
      </c>
      <c r="B8534" t="s">
        <v>8506</v>
      </c>
      <c r="C8534">
        <f>"ZJ009862"</f>
        <v>0</v>
      </c>
      <c r="D8534">
        <v>0</v>
      </c>
      <c r="E8534">
        <v>0</v>
      </c>
      <c r="F8534" s="2">
        <v>0</v>
      </c>
      <c r="H8534">
        <v>0</v>
      </c>
      <c r="I8534">
        <v>0.1741125760648204</v>
      </c>
      <c r="J8534">
        <v>0</v>
      </c>
      <c r="K8534">
        <v>0</v>
      </c>
      <c r="L8534" s="2">
        <v>0</v>
      </c>
      <c r="M8534">
        <v>83.79000000000001</v>
      </c>
      <c r="N8534" t="s">
        <v>10236</v>
      </c>
    </row>
    <row r="8535" spans="1:14">
      <c r="A8535" t="s">
        <v>35</v>
      </c>
      <c r="B8535" t="s">
        <v>8507</v>
      </c>
      <c r="C8535">
        <f>"XX221"</f>
        <v>0</v>
      </c>
      <c r="D8535">
        <v>0</v>
      </c>
      <c r="E8535">
        <v>0</v>
      </c>
      <c r="F8535" s="2">
        <v>0</v>
      </c>
      <c r="H8535">
        <v>0</v>
      </c>
      <c r="I8535">
        <v>0.1741125760648204</v>
      </c>
      <c r="J8535">
        <v>0</v>
      </c>
      <c r="K8535">
        <v>0</v>
      </c>
      <c r="L8535" s="2">
        <v>0</v>
      </c>
      <c r="M8535">
        <v>83.8</v>
      </c>
      <c r="N8535" t="s">
        <v>10236</v>
      </c>
    </row>
    <row r="8536" spans="1:14">
      <c r="A8536" t="s">
        <v>35</v>
      </c>
      <c r="B8536" t="s">
        <v>8508</v>
      </c>
      <c r="C8536">
        <f>"KHSG0084MUL"</f>
        <v>0</v>
      </c>
      <c r="D8536">
        <v>0</v>
      </c>
      <c r="E8536">
        <v>0</v>
      </c>
      <c r="F8536" s="2">
        <v>0</v>
      </c>
      <c r="H8536">
        <v>0</v>
      </c>
      <c r="I8536">
        <v>0.1741125760648204</v>
      </c>
      <c r="J8536">
        <v>0</v>
      </c>
      <c r="K8536">
        <v>0</v>
      </c>
      <c r="L8536" s="2">
        <v>0</v>
      </c>
      <c r="M8536">
        <v>83.81</v>
      </c>
      <c r="N8536" t="s">
        <v>10236</v>
      </c>
    </row>
    <row r="8537" spans="1:14">
      <c r="A8537" t="s">
        <v>35</v>
      </c>
      <c r="B8537" t="s">
        <v>8509</v>
      </c>
      <c r="C8537">
        <f>"KHSG0079VER"</f>
        <v>0</v>
      </c>
      <c r="D8537">
        <v>0</v>
      </c>
      <c r="E8537">
        <v>0</v>
      </c>
      <c r="F8537" s="2">
        <v>0</v>
      </c>
      <c r="H8537">
        <v>0</v>
      </c>
      <c r="I8537">
        <v>0.1741125760648204</v>
      </c>
      <c r="J8537">
        <v>0</v>
      </c>
      <c r="K8537">
        <v>0</v>
      </c>
      <c r="L8537" s="2">
        <v>0</v>
      </c>
      <c r="M8537">
        <v>83.81999999999999</v>
      </c>
      <c r="N8537" t="s">
        <v>10236</v>
      </c>
    </row>
    <row r="8538" spans="1:14">
      <c r="A8538" t="s">
        <v>35</v>
      </c>
      <c r="B8538" t="s">
        <v>8510</v>
      </c>
      <c r="C8538">
        <f>"KHSG0079NAR"</f>
        <v>0</v>
      </c>
      <c r="D8538">
        <v>0</v>
      </c>
      <c r="E8538">
        <v>0</v>
      </c>
      <c r="F8538" s="2">
        <v>0</v>
      </c>
      <c r="H8538">
        <v>0</v>
      </c>
      <c r="I8538">
        <v>0.1741125760648204</v>
      </c>
      <c r="J8538">
        <v>0</v>
      </c>
      <c r="K8538">
        <v>0</v>
      </c>
      <c r="L8538" s="2">
        <v>0</v>
      </c>
      <c r="M8538">
        <v>83.83</v>
      </c>
      <c r="N8538" t="s">
        <v>10236</v>
      </c>
    </row>
    <row r="8539" spans="1:14">
      <c r="A8539" t="s">
        <v>35</v>
      </c>
      <c r="B8539" t="s">
        <v>8511</v>
      </c>
      <c r="C8539">
        <f>"PG01"</f>
        <v>0</v>
      </c>
      <c r="D8539">
        <v>0</v>
      </c>
      <c r="E8539">
        <v>1</v>
      </c>
      <c r="F8539" s="2">
        <v>18</v>
      </c>
      <c r="H8539">
        <v>0</v>
      </c>
      <c r="I8539">
        <v>0.1741125760648204</v>
      </c>
      <c r="J8539">
        <v>0</v>
      </c>
      <c r="K8539">
        <v>0</v>
      </c>
      <c r="L8539" s="2">
        <v>0</v>
      </c>
      <c r="M8539">
        <v>83.84</v>
      </c>
      <c r="N8539" t="s">
        <v>10236</v>
      </c>
    </row>
    <row r="8540" spans="1:14">
      <c r="A8540" t="s">
        <v>35</v>
      </c>
      <c r="B8540" t="s">
        <v>8512</v>
      </c>
      <c r="C8540">
        <f>"DS002"</f>
        <v>0</v>
      </c>
      <c r="D8540">
        <v>0</v>
      </c>
      <c r="E8540">
        <v>0</v>
      </c>
      <c r="F8540" s="2">
        <v>0</v>
      </c>
      <c r="H8540">
        <v>0</v>
      </c>
      <c r="I8540">
        <v>0.1741125760648204</v>
      </c>
      <c r="J8540">
        <v>0</v>
      </c>
      <c r="K8540">
        <v>0</v>
      </c>
      <c r="L8540" s="2">
        <v>0</v>
      </c>
      <c r="M8540">
        <v>83.84999999999999</v>
      </c>
      <c r="N8540" t="s">
        <v>10236</v>
      </c>
    </row>
    <row r="8541" spans="1:14">
      <c r="A8541" t="s">
        <v>35</v>
      </c>
      <c r="B8541" t="s">
        <v>8513</v>
      </c>
      <c r="C8541">
        <f>"YY201ES"</f>
        <v>0</v>
      </c>
      <c r="D8541">
        <v>0</v>
      </c>
      <c r="E8541">
        <v>0</v>
      </c>
      <c r="F8541" s="2">
        <v>0</v>
      </c>
      <c r="H8541">
        <v>0</v>
      </c>
      <c r="I8541">
        <v>0.1741125760648204</v>
      </c>
      <c r="J8541">
        <v>0</v>
      </c>
      <c r="K8541">
        <v>0</v>
      </c>
      <c r="L8541" s="2">
        <v>0</v>
      </c>
      <c r="M8541">
        <v>83.86</v>
      </c>
      <c r="N8541" t="s">
        <v>10236</v>
      </c>
    </row>
    <row r="8542" spans="1:14">
      <c r="A8542" t="s">
        <v>35</v>
      </c>
      <c r="B8542" t="s">
        <v>8514</v>
      </c>
      <c r="C8542">
        <f>"YY201ABE"</f>
        <v>0</v>
      </c>
      <c r="D8542">
        <v>0</v>
      </c>
      <c r="E8542">
        <v>0</v>
      </c>
      <c r="F8542" s="2">
        <v>0</v>
      </c>
      <c r="H8542">
        <v>0</v>
      </c>
      <c r="I8542">
        <v>0.1741125760648204</v>
      </c>
      <c r="J8542">
        <v>0</v>
      </c>
      <c r="K8542">
        <v>0</v>
      </c>
      <c r="L8542" s="2">
        <v>0</v>
      </c>
      <c r="M8542">
        <v>83.86</v>
      </c>
      <c r="N8542" t="s">
        <v>10236</v>
      </c>
    </row>
    <row r="8543" spans="1:14">
      <c r="A8543" t="s">
        <v>35</v>
      </c>
      <c r="B8543" t="s">
        <v>8515</v>
      </c>
      <c r="C8543">
        <f>"PT312C"</f>
        <v>0</v>
      </c>
      <c r="D8543">
        <v>0</v>
      </c>
      <c r="E8543">
        <v>0</v>
      </c>
      <c r="F8543" s="2">
        <v>0</v>
      </c>
      <c r="H8543">
        <v>0</v>
      </c>
      <c r="I8543">
        <v>0.1741125760648204</v>
      </c>
      <c r="J8543">
        <v>0</v>
      </c>
      <c r="K8543">
        <v>0</v>
      </c>
      <c r="L8543" s="2">
        <v>0</v>
      </c>
      <c r="M8543">
        <v>83.87</v>
      </c>
      <c r="N8543" t="s">
        <v>10236</v>
      </c>
    </row>
    <row r="8544" spans="1:14">
      <c r="A8544" t="s">
        <v>35</v>
      </c>
      <c r="B8544" t="s">
        <v>8516</v>
      </c>
      <c r="C8544">
        <f>"ZRD2019139"</f>
        <v>0</v>
      </c>
      <c r="D8544">
        <v>0</v>
      </c>
      <c r="E8544">
        <v>6</v>
      </c>
      <c r="F8544" s="2">
        <v>4</v>
      </c>
      <c r="H8544">
        <v>0</v>
      </c>
      <c r="I8544">
        <v>0.1741125760648204</v>
      </c>
      <c r="J8544">
        <v>0</v>
      </c>
      <c r="K8544">
        <v>0</v>
      </c>
      <c r="L8544" s="2">
        <v>0</v>
      </c>
      <c r="M8544">
        <v>83.88</v>
      </c>
      <c r="N8544" t="s">
        <v>10236</v>
      </c>
    </row>
    <row r="8545" spans="1:14">
      <c r="A8545" t="s">
        <v>35</v>
      </c>
      <c r="B8545" t="s">
        <v>8517</v>
      </c>
      <c r="C8545">
        <f>"KHBZ098"</f>
        <v>0</v>
      </c>
      <c r="D8545">
        <v>0</v>
      </c>
      <c r="E8545">
        <v>2</v>
      </c>
      <c r="F8545" s="2">
        <v>1</v>
      </c>
      <c r="H8545">
        <v>0</v>
      </c>
      <c r="I8545">
        <v>0.1741125760648204</v>
      </c>
      <c r="J8545">
        <v>0</v>
      </c>
      <c r="K8545">
        <v>0</v>
      </c>
      <c r="L8545" s="2">
        <v>0</v>
      </c>
      <c r="M8545">
        <v>83.89</v>
      </c>
      <c r="N8545" t="s">
        <v>10236</v>
      </c>
    </row>
    <row r="8546" spans="1:14">
      <c r="A8546" t="s">
        <v>35</v>
      </c>
      <c r="B8546" t="s">
        <v>8518</v>
      </c>
      <c r="C8546">
        <f>"XG011"</f>
        <v>0</v>
      </c>
      <c r="D8546">
        <v>0</v>
      </c>
      <c r="E8546">
        <v>3</v>
      </c>
      <c r="F8546" s="2">
        <v>2</v>
      </c>
      <c r="H8546">
        <v>0</v>
      </c>
      <c r="I8546">
        <v>0.1741125760648204</v>
      </c>
      <c r="J8546">
        <v>0</v>
      </c>
      <c r="K8546">
        <v>0</v>
      </c>
      <c r="L8546" s="2">
        <v>0</v>
      </c>
      <c r="M8546">
        <v>83.90000000000001</v>
      </c>
      <c r="N8546" t="s">
        <v>10236</v>
      </c>
    </row>
    <row r="8547" spans="1:14">
      <c r="A8547" t="s">
        <v>35</v>
      </c>
      <c r="B8547" t="s">
        <v>8519</v>
      </c>
      <c r="C8547">
        <f>"KHBZ080"</f>
        <v>0</v>
      </c>
      <c r="D8547">
        <v>0</v>
      </c>
      <c r="E8547">
        <v>0</v>
      </c>
      <c r="F8547" s="2">
        <v>0</v>
      </c>
      <c r="H8547">
        <v>0</v>
      </c>
      <c r="I8547">
        <v>0.1741125760648204</v>
      </c>
      <c r="J8547">
        <v>0</v>
      </c>
      <c r="K8547">
        <v>0</v>
      </c>
      <c r="L8547" s="2">
        <v>0</v>
      </c>
      <c r="M8547">
        <v>83.91</v>
      </c>
      <c r="N8547" t="s">
        <v>10236</v>
      </c>
    </row>
    <row r="8548" spans="1:14">
      <c r="A8548" t="s">
        <v>29</v>
      </c>
      <c r="B8548" t="s">
        <v>8520</v>
      </c>
      <c r="C8548">
        <f>"rs09"</f>
        <v>0</v>
      </c>
      <c r="D8548">
        <v>0</v>
      </c>
      <c r="E8548">
        <v>0</v>
      </c>
      <c r="F8548" s="2">
        <v>0</v>
      </c>
      <c r="H8548">
        <v>0</v>
      </c>
      <c r="I8548">
        <v>0.1741125760648204</v>
      </c>
      <c r="J8548">
        <v>0</v>
      </c>
      <c r="K8548">
        <v>0</v>
      </c>
      <c r="L8548" s="2">
        <v>0</v>
      </c>
      <c r="M8548">
        <v>83.92</v>
      </c>
      <c r="N8548" t="s">
        <v>10236</v>
      </c>
    </row>
    <row r="8549" spans="1:14">
      <c r="A8549" t="s">
        <v>29</v>
      </c>
      <c r="B8549" t="s">
        <v>8521</v>
      </c>
      <c r="C8549">
        <f>"SM001"</f>
        <v>0</v>
      </c>
      <c r="D8549">
        <v>0</v>
      </c>
      <c r="E8549">
        <v>0</v>
      </c>
      <c r="F8549" s="2">
        <v>0</v>
      </c>
      <c r="H8549">
        <v>0</v>
      </c>
      <c r="I8549">
        <v>0.1741125760648204</v>
      </c>
      <c r="J8549">
        <v>0</v>
      </c>
      <c r="K8549">
        <v>0</v>
      </c>
      <c r="L8549" s="2">
        <v>0</v>
      </c>
      <c r="M8549">
        <v>83.93000000000001</v>
      </c>
      <c r="N8549" t="s">
        <v>10236</v>
      </c>
    </row>
    <row r="8550" spans="1:14">
      <c r="A8550" t="s">
        <v>29</v>
      </c>
      <c r="B8550" t="s">
        <v>8522</v>
      </c>
      <c r="C8550">
        <f>"SM002"</f>
        <v>0</v>
      </c>
      <c r="D8550">
        <v>0</v>
      </c>
      <c r="E8550">
        <v>0</v>
      </c>
      <c r="F8550" s="2">
        <v>0</v>
      </c>
      <c r="H8550">
        <v>0</v>
      </c>
      <c r="I8550">
        <v>0.1741125760648204</v>
      </c>
      <c r="J8550">
        <v>0</v>
      </c>
      <c r="K8550">
        <v>0</v>
      </c>
      <c r="L8550" s="2">
        <v>0</v>
      </c>
      <c r="M8550">
        <v>83.94</v>
      </c>
      <c r="N8550" t="s">
        <v>10236</v>
      </c>
    </row>
    <row r="8551" spans="1:14">
      <c r="A8551" t="s">
        <v>195</v>
      </c>
      <c r="B8551" t="s">
        <v>8523</v>
      </c>
      <c r="C8551">
        <f>"25002100"</f>
        <v>0</v>
      </c>
      <c r="D8551">
        <v>0</v>
      </c>
      <c r="E8551">
        <v>0</v>
      </c>
      <c r="F8551" s="2">
        <v>0</v>
      </c>
      <c r="H8551">
        <v>0</v>
      </c>
      <c r="I8551">
        <v>0.1741125760648204</v>
      </c>
      <c r="J8551">
        <v>0</v>
      </c>
      <c r="K8551">
        <v>0</v>
      </c>
      <c r="L8551" s="2">
        <v>0</v>
      </c>
      <c r="M8551">
        <v>83.95</v>
      </c>
      <c r="N8551" t="s">
        <v>10236</v>
      </c>
    </row>
    <row r="8552" spans="1:14">
      <c r="A8552" t="s">
        <v>195</v>
      </c>
      <c r="B8552" t="s">
        <v>8524</v>
      </c>
      <c r="C8552">
        <f>"25002101"</f>
        <v>0</v>
      </c>
      <c r="D8552">
        <v>0</v>
      </c>
      <c r="E8552">
        <v>0</v>
      </c>
      <c r="F8552" s="2">
        <v>0</v>
      </c>
      <c r="H8552">
        <v>0</v>
      </c>
      <c r="I8552">
        <v>0.1741125760648204</v>
      </c>
      <c r="J8552">
        <v>0</v>
      </c>
      <c r="K8552">
        <v>0</v>
      </c>
      <c r="L8552" s="2">
        <v>0</v>
      </c>
      <c r="M8552">
        <v>83.95999999999999</v>
      </c>
      <c r="N8552" t="s">
        <v>10236</v>
      </c>
    </row>
    <row r="8553" spans="1:14">
      <c r="A8553" t="s">
        <v>195</v>
      </c>
      <c r="B8553" t="s">
        <v>8525</v>
      </c>
      <c r="C8553">
        <f>"25022566"</f>
        <v>0</v>
      </c>
      <c r="D8553">
        <v>0</v>
      </c>
      <c r="E8553">
        <v>0</v>
      </c>
      <c r="F8553" s="2">
        <v>0</v>
      </c>
      <c r="H8553">
        <v>0</v>
      </c>
      <c r="I8553">
        <v>0.1741125760648204</v>
      </c>
      <c r="J8553">
        <v>0</v>
      </c>
      <c r="K8553">
        <v>0</v>
      </c>
      <c r="L8553" s="2">
        <v>0</v>
      </c>
      <c r="M8553">
        <v>83.97</v>
      </c>
      <c r="N8553" t="s">
        <v>10236</v>
      </c>
    </row>
    <row r="8554" spans="1:14">
      <c r="A8554" t="s">
        <v>195</v>
      </c>
      <c r="B8554" t="s">
        <v>8526</v>
      </c>
      <c r="C8554">
        <f>"25022573"</f>
        <v>0</v>
      </c>
      <c r="D8554">
        <v>0</v>
      </c>
      <c r="E8554">
        <v>0</v>
      </c>
      <c r="F8554" s="2">
        <v>0</v>
      </c>
      <c r="H8554">
        <v>0</v>
      </c>
      <c r="I8554">
        <v>0.1741125760648204</v>
      </c>
      <c r="J8554">
        <v>0</v>
      </c>
      <c r="K8554">
        <v>0</v>
      </c>
      <c r="L8554" s="2">
        <v>0</v>
      </c>
      <c r="M8554">
        <v>83.97</v>
      </c>
      <c r="N8554" t="s">
        <v>10236</v>
      </c>
    </row>
    <row r="8555" spans="1:14">
      <c r="A8555" t="s">
        <v>195</v>
      </c>
      <c r="B8555" t="s">
        <v>8527</v>
      </c>
      <c r="C8555">
        <f>"IKAI01"</f>
        <v>0</v>
      </c>
      <c r="D8555">
        <v>0</v>
      </c>
      <c r="E8555">
        <v>0</v>
      </c>
      <c r="F8555" s="2">
        <v>0</v>
      </c>
      <c r="H8555">
        <v>0</v>
      </c>
      <c r="I8555">
        <v>0.1741125760648204</v>
      </c>
      <c r="J8555">
        <v>0</v>
      </c>
      <c r="K8555">
        <v>0</v>
      </c>
      <c r="L8555" s="2">
        <v>0</v>
      </c>
      <c r="M8555">
        <v>83.98</v>
      </c>
      <c r="N8555" t="s">
        <v>10236</v>
      </c>
    </row>
    <row r="8556" spans="1:14">
      <c r="A8556" t="s">
        <v>25</v>
      </c>
      <c r="B8556" t="s">
        <v>8528</v>
      </c>
      <c r="C8556">
        <f>"8500471"</f>
        <v>0</v>
      </c>
      <c r="D8556">
        <v>0</v>
      </c>
      <c r="E8556">
        <v>0</v>
      </c>
      <c r="F8556" s="2">
        <v>0</v>
      </c>
      <c r="H8556">
        <v>0</v>
      </c>
      <c r="I8556">
        <v>0.1741125760648204</v>
      </c>
      <c r="J8556">
        <v>0</v>
      </c>
      <c r="K8556">
        <v>0</v>
      </c>
      <c r="L8556" s="2">
        <v>0</v>
      </c>
      <c r="M8556">
        <v>83.98999999999999</v>
      </c>
      <c r="N8556" t="s">
        <v>10236</v>
      </c>
    </row>
    <row r="8557" spans="1:14">
      <c r="A8557" t="s">
        <v>193</v>
      </c>
      <c r="B8557" t="s">
        <v>8529</v>
      </c>
      <c r="C8557">
        <f>"826051"</f>
        <v>0</v>
      </c>
      <c r="D8557">
        <v>0</v>
      </c>
      <c r="E8557">
        <v>0</v>
      </c>
      <c r="F8557" s="2">
        <v>0</v>
      </c>
      <c r="H8557">
        <v>0</v>
      </c>
      <c r="I8557">
        <v>0.1741125760648204</v>
      </c>
      <c r="J8557">
        <v>0</v>
      </c>
      <c r="K8557">
        <v>0</v>
      </c>
      <c r="L8557" s="2">
        <v>0</v>
      </c>
      <c r="M8557">
        <v>84</v>
      </c>
      <c r="N8557" t="s">
        <v>10236</v>
      </c>
    </row>
    <row r="8558" spans="1:14">
      <c r="A8558" t="s">
        <v>29</v>
      </c>
      <c r="B8558" t="s">
        <v>8530</v>
      </c>
      <c r="C8558">
        <f>"32134"</f>
        <v>0</v>
      </c>
      <c r="D8558">
        <v>0</v>
      </c>
      <c r="E8558">
        <v>0</v>
      </c>
      <c r="F8558" s="2">
        <v>0</v>
      </c>
      <c r="H8558">
        <v>0</v>
      </c>
      <c r="I8558">
        <v>0.1741125760648204</v>
      </c>
      <c r="J8558">
        <v>0</v>
      </c>
      <c r="K8558">
        <v>0</v>
      </c>
      <c r="L8558" s="2">
        <v>0</v>
      </c>
      <c r="M8558">
        <v>84.01000000000001</v>
      </c>
      <c r="N8558" t="s">
        <v>10236</v>
      </c>
    </row>
    <row r="8559" spans="1:14">
      <c r="A8559" t="s">
        <v>29</v>
      </c>
      <c r="B8559" t="s">
        <v>8531</v>
      </c>
      <c r="C8559">
        <f>"32132"</f>
        <v>0</v>
      </c>
      <c r="D8559">
        <v>0</v>
      </c>
      <c r="E8559">
        <v>0</v>
      </c>
      <c r="F8559" s="2">
        <v>0</v>
      </c>
      <c r="H8559">
        <v>0</v>
      </c>
      <c r="I8559">
        <v>0.1741125760648204</v>
      </c>
      <c r="J8559">
        <v>0</v>
      </c>
      <c r="K8559">
        <v>0</v>
      </c>
      <c r="L8559" s="2">
        <v>0</v>
      </c>
      <c r="M8559">
        <v>84.02</v>
      </c>
      <c r="N8559" t="s">
        <v>10236</v>
      </c>
    </row>
    <row r="8560" spans="1:14">
      <c r="A8560" t="s">
        <v>225</v>
      </c>
      <c r="B8560" t="s">
        <v>8532</v>
      </c>
      <c r="C8560">
        <f>"00430"</f>
        <v>0</v>
      </c>
      <c r="D8560">
        <v>0</v>
      </c>
      <c r="E8560">
        <v>0</v>
      </c>
      <c r="F8560" s="2">
        <v>0</v>
      </c>
      <c r="H8560">
        <v>0</v>
      </c>
      <c r="I8560">
        <v>0.1741125760648204</v>
      </c>
      <c r="J8560">
        <v>0</v>
      </c>
      <c r="K8560">
        <v>0</v>
      </c>
      <c r="L8560" s="2">
        <v>0</v>
      </c>
      <c r="M8560">
        <v>84.03</v>
      </c>
      <c r="N8560" t="s">
        <v>10236</v>
      </c>
    </row>
    <row r="8561" spans="1:14">
      <c r="A8561" t="s">
        <v>227</v>
      </c>
      <c r="B8561" t="s">
        <v>8533</v>
      </c>
      <c r="C8561">
        <f>"100645"</f>
        <v>0</v>
      </c>
      <c r="D8561">
        <v>0</v>
      </c>
      <c r="E8561">
        <v>0</v>
      </c>
      <c r="F8561" s="2">
        <v>0</v>
      </c>
      <c r="H8561">
        <v>0</v>
      </c>
      <c r="I8561">
        <v>0.1741125760648204</v>
      </c>
      <c r="J8561">
        <v>0</v>
      </c>
      <c r="K8561">
        <v>0</v>
      </c>
      <c r="L8561" s="2">
        <v>0</v>
      </c>
      <c r="M8561">
        <v>84.04000000000001</v>
      </c>
      <c r="N8561" t="s">
        <v>10236</v>
      </c>
    </row>
    <row r="8562" spans="1:14">
      <c r="A8562" t="s">
        <v>35</v>
      </c>
      <c r="B8562" t="s">
        <v>8534</v>
      </c>
      <c r="C8562">
        <f>"DB821RXL"</f>
        <v>0</v>
      </c>
      <c r="D8562">
        <v>0</v>
      </c>
      <c r="E8562">
        <v>3</v>
      </c>
      <c r="F8562" s="2">
        <v>12</v>
      </c>
      <c r="H8562">
        <v>0</v>
      </c>
      <c r="I8562">
        <v>0.1741125760648204</v>
      </c>
      <c r="J8562">
        <v>0</v>
      </c>
      <c r="K8562">
        <v>0</v>
      </c>
      <c r="L8562" s="2">
        <v>0</v>
      </c>
      <c r="M8562">
        <v>84.05</v>
      </c>
      <c r="N8562" t="s">
        <v>10236</v>
      </c>
    </row>
    <row r="8563" spans="1:14">
      <c r="A8563" t="s">
        <v>227</v>
      </c>
      <c r="B8563" t="s">
        <v>8535</v>
      </c>
      <c r="C8563">
        <f>"100638"</f>
        <v>0</v>
      </c>
      <c r="D8563">
        <v>0</v>
      </c>
      <c r="E8563">
        <v>0</v>
      </c>
      <c r="F8563" s="2">
        <v>0</v>
      </c>
      <c r="H8563">
        <v>0</v>
      </c>
      <c r="I8563">
        <v>0.1741125760648204</v>
      </c>
      <c r="J8563">
        <v>0</v>
      </c>
      <c r="K8563">
        <v>0</v>
      </c>
      <c r="L8563" s="2">
        <v>0</v>
      </c>
      <c r="M8563">
        <v>84.06</v>
      </c>
      <c r="N8563" t="s">
        <v>10236</v>
      </c>
    </row>
    <row r="8564" spans="1:14">
      <c r="A8564" t="s">
        <v>223</v>
      </c>
      <c r="B8564" t="s">
        <v>8536</v>
      </c>
      <c r="C8564">
        <f>"11301408"</f>
        <v>0</v>
      </c>
      <c r="D8564">
        <v>0</v>
      </c>
      <c r="E8564">
        <v>0</v>
      </c>
      <c r="F8564" s="2">
        <v>0</v>
      </c>
      <c r="H8564">
        <v>0</v>
      </c>
      <c r="I8564">
        <v>0.1741125760648204</v>
      </c>
      <c r="J8564">
        <v>0</v>
      </c>
      <c r="K8564">
        <v>0</v>
      </c>
      <c r="L8564" s="2">
        <v>0</v>
      </c>
      <c r="M8564">
        <v>84.06999999999999</v>
      </c>
      <c r="N8564" t="s">
        <v>10236</v>
      </c>
    </row>
    <row r="8565" spans="1:14">
      <c r="A8565" t="s">
        <v>223</v>
      </c>
      <c r="B8565" t="s">
        <v>8537</v>
      </c>
      <c r="C8565">
        <f>"2301406"</f>
        <v>0</v>
      </c>
      <c r="D8565">
        <v>0</v>
      </c>
      <c r="E8565">
        <v>0</v>
      </c>
      <c r="F8565" s="2">
        <v>0</v>
      </c>
      <c r="H8565">
        <v>0</v>
      </c>
      <c r="I8565">
        <v>0.1741125760648204</v>
      </c>
      <c r="J8565">
        <v>0</v>
      </c>
      <c r="K8565">
        <v>0</v>
      </c>
      <c r="L8565" s="2">
        <v>0</v>
      </c>
      <c r="M8565">
        <v>84.08</v>
      </c>
      <c r="N8565" t="s">
        <v>10236</v>
      </c>
    </row>
    <row r="8566" spans="1:14">
      <c r="A8566" t="s">
        <v>223</v>
      </c>
      <c r="B8566" t="s">
        <v>8538</v>
      </c>
      <c r="C8566">
        <f>"5901020"</f>
        <v>0</v>
      </c>
      <c r="D8566">
        <v>0</v>
      </c>
      <c r="E8566">
        <v>0</v>
      </c>
      <c r="F8566" s="2">
        <v>0</v>
      </c>
      <c r="H8566">
        <v>0</v>
      </c>
      <c r="I8566">
        <v>0.1741125760648204</v>
      </c>
      <c r="J8566">
        <v>0</v>
      </c>
      <c r="K8566">
        <v>0</v>
      </c>
      <c r="L8566" s="2">
        <v>0</v>
      </c>
      <c r="M8566">
        <v>84.09</v>
      </c>
      <c r="N8566" t="s">
        <v>10236</v>
      </c>
    </row>
    <row r="8567" spans="1:14">
      <c r="A8567" t="s">
        <v>223</v>
      </c>
      <c r="B8567" t="s">
        <v>8539</v>
      </c>
      <c r="C8567">
        <f>"5901100"</f>
        <v>0</v>
      </c>
      <c r="D8567">
        <v>0</v>
      </c>
      <c r="E8567">
        <v>0</v>
      </c>
      <c r="F8567" s="2">
        <v>0</v>
      </c>
      <c r="H8567">
        <v>0</v>
      </c>
      <c r="I8567">
        <v>0.1741125760648204</v>
      </c>
      <c r="J8567">
        <v>0</v>
      </c>
      <c r="K8567">
        <v>0</v>
      </c>
      <c r="L8567" s="2">
        <v>0</v>
      </c>
      <c r="M8567">
        <v>84.09</v>
      </c>
      <c r="N8567" t="s">
        <v>10236</v>
      </c>
    </row>
    <row r="8568" spans="1:14">
      <c r="A8568" t="s">
        <v>223</v>
      </c>
      <c r="B8568" t="s">
        <v>8540</v>
      </c>
      <c r="C8568">
        <f>"5801015"</f>
        <v>0</v>
      </c>
      <c r="D8568">
        <v>0</v>
      </c>
      <c r="E8568">
        <v>0</v>
      </c>
      <c r="F8568" s="2">
        <v>0</v>
      </c>
      <c r="H8568">
        <v>0</v>
      </c>
      <c r="I8568">
        <v>0.1741125760648204</v>
      </c>
      <c r="J8568">
        <v>0</v>
      </c>
      <c r="K8568">
        <v>0</v>
      </c>
      <c r="L8568" s="2">
        <v>0</v>
      </c>
      <c r="M8568">
        <v>84.09999999999999</v>
      </c>
      <c r="N8568" t="s">
        <v>10236</v>
      </c>
    </row>
    <row r="8569" spans="1:14">
      <c r="A8569" t="s">
        <v>193</v>
      </c>
      <c r="B8569" t="s">
        <v>8541</v>
      </c>
      <c r="C8569">
        <f>"826167"</f>
        <v>0</v>
      </c>
      <c r="D8569">
        <v>0</v>
      </c>
      <c r="E8569">
        <v>0</v>
      </c>
      <c r="F8569" s="2">
        <v>0</v>
      </c>
      <c r="H8569">
        <v>0</v>
      </c>
      <c r="I8569">
        <v>0.1741125760648204</v>
      </c>
      <c r="J8569">
        <v>0</v>
      </c>
      <c r="K8569">
        <v>0</v>
      </c>
      <c r="L8569" s="2">
        <v>0</v>
      </c>
      <c r="M8569">
        <v>84.11</v>
      </c>
      <c r="N8569" t="s">
        <v>10236</v>
      </c>
    </row>
    <row r="8570" spans="1:14">
      <c r="A8570" t="s">
        <v>32</v>
      </c>
      <c r="B8570" t="s">
        <v>8542</v>
      </c>
      <c r="C8570">
        <f>"1012470"</f>
        <v>0</v>
      </c>
      <c r="D8570">
        <v>0</v>
      </c>
      <c r="E8570">
        <v>0</v>
      </c>
      <c r="F8570" s="2">
        <v>0</v>
      </c>
      <c r="H8570">
        <v>0</v>
      </c>
      <c r="I8570">
        <v>0.1741125760648204</v>
      </c>
      <c r="J8570">
        <v>0</v>
      </c>
      <c r="K8570">
        <v>0</v>
      </c>
      <c r="L8570" s="2">
        <v>0</v>
      </c>
      <c r="M8570">
        <v>84.12</v>
      </c>
      <c r="N8570" t="s">
        <v>10236</v>
      </c>
    </row>
    <row r="8571" spans="1:14">
      <c r="A8571" t="s">
        <v>207</v>
      </c>
      <c r="B8571" t="s">
        <v>8543</v>
      </c>
      <c r="C8571">
        <f>"900085000113838"</f>
        <v>0</v>
      </c>
      <c r="D8571">
        <v>0</v>
      </c>
      <c r="E8571">
        <v>0</v>
      </c>
      <c r="F8571" s="2">
        <v>0</v>
      </c>
      <c r="H8571">
        <v>0</v>
      </c>
      <c r="I8571">
        <v>0.1741125760648204</v>
      </c>
      <c r="J8571">
        <v>0</v>
      </c>
      <c r="K8571">
        <v>0</v>
      </c>
      <c r="L8571" s="2">
        <v>0</v>
      </c>
      <c r="M8571">
        <v>84.13</v>
      </c>
      <c r="N8571" t="s">
        <v>10236</v>
      </c>
    </row>
    <row r="8572" spans="1:14">
      <c r="A8572" t="s">
        <v>207</v>
      </c>
      <c r="B8572" t="s">
        <v>8544</v>
      </c>
      <c r="C8572">
        <f>"HPANDA"</f>
        <v>0</v>
      </c>
      <c r="D8572">
        <v>0</v>
      </c>
      <c r="E8572">
        <v>0</v>
      </c>
      <c r="F8572" s="2">
        <v>0</v>
      </c>
      <c r="H8572">
        <v>0</v>
      </c>
      <c r="I8572">
        <v>0.1741125760648204</v>
      </c>
      <c r="J8572">
        <v>0</v>
      </c>
      <c r="K8572">
        <v>0</v>
      </c>
      <c r="L8572" s="2">
        <v>0</v>
      </c>
      <c r="M8572">
        <v>84.14</v>
      </c>
      <c r="N8572" t="s">
        <v>10236</v>
      </c>
    </row>
    <row r="8573" spans="1:14">
      <c r="A8573" t="s">
        <v>207</v>
      </c>
      <c r="B8573" t="s">
        <v>8545</v>
      </c>
      <c r="C8573">
        <f>"900085000113979"</f>
        <v>0</v>
      </c>
      <c r="D8573">
        <v>0</v>
      </c>
      <c r="E8573">
        <v>0</v>
      </c>
      <c r="F8573" s="2">
        <v>0</v>
      </c>
      <c r="H8573">
        <v>0</v>
      </c>
      <c r="I8573">
        <v>0.1741125760648204</v>
      </c>
      <c r="J8573">
        <v>0</v>
      </c>
      <c r="K8573">
        <v>0</v>
      </c>
      <c r="L8573" s="2">
        <v>0</v>
      </c>
      <c r="M8573">
        <v>84.15000000000001</v>
      </c>
      <c r="N8573" t="s">
        <v>10236</v>
      </c>
    </row>
    <row r="8574" spans="1:14">
      <c r="A8574" t="s">
        <v>25</v>
      </c>
      <c r="B8574" t="s">
        <v>8546</v>
      </c>
      <c r="C8574">
        <f>"NFF47"</f>
        <v>0</v>
      </c>
      <c r="D8574">
        <v>0</v>
      </c>
      <c r="E8574">
        <v>0</v>
      </c>
      <c r="F8574" s="2">
        <v>0</v>
      </c>
      <c r="H8574">
        <v>0</v>
      </c>
      <c r="I8574">
        <v>0.1741125760648204</v>
      </c>
      <c r="J8574">
        <v>0</v>
      </c>
      <c r="K8574">
        <v>0</v>
      </c>
      <c r="L8574" s="2">
        <v>0</v>
      </c>
      <c r="M8574">
        <v>84.16</v>
      </c>
      <c r="N8574" t="s">
        <v>10236</v>
      </c>
    </row>
    <row r="8575" spans="1:14">
      <c r="A8575" t="s">
        <v>35</v>
      </c>
      <c r="B8575" t="s">
        <v>8547</v>
      </c>
      <c r="C8575">
        <f>"FV004"</f>
        <v>0</v>
      </c>
      <c r="D8575">
        <v>0</v>
      </c>
      <c r="E8575">
        <v>0</v>
      </c>
      <c r="F8575" s="2">
        <v>0</v>
      </c>
      <c r="H8575">
        <v>0</v>
      </c>
      <c r="I8575">
        <v>0.1741125760648204</v>
      </c>
      <c r="J8575">
        <v>0</v>
      </c>
      <c r="K8575">
        <v>0</v>
      </c>
      <c r="L8575" s="2">
        <v>0</v>
      </c>
      <c r="M8575">
        <v>84.17</v>
      </c>
      <c r="N8575" t="s">
        <v>10236</v>
      </c>
    </row>
    <row r="8576" spans="1:14">
      <c r="A8576" t="s">
        <v>35</v>
      </c>
      <c r="B8576" t="s">
        <v>8548</v>
      </c>
      <c r="C8576">
        <f>"FV003"</f>
        <v>0</v>
      </c>
      <c r="D8576">
        <v>0</v>
      </c>
      <c r="E8576">
        <v>0</v>
      </c>
      <c r="F8576" s="2">
        <v>0</v>
      </c>
      <c r="H8576">
        <v>0</v>
      </c>
      <c r="I8576">
        <v>0.1741125760648204</v>
      </c>
      <c r="J8576">
        <v>0</v>
      </c>
      <c r="K8576">
        <v>0</v>
      </c>
      <c r="L8576" s="2">
        <v>0</v>
      </c>
      <c r="M8576">
        <v>84.18000000000001</v>
      </c>
      <c r="N8576" t="s">
        <v>10236</v>
      </c>
    </row>
    <row r="8577" spans="1:14">
      <c r="A8577" t="s">
        <v>227</v>
      </c>
      <c r="B8577" t="s">
        <v>8549</v>
      </c>
      <c r="C8577">
        <f>"100753"</f>
        <v>0</v>
      </c>
      <c r="D8577">
        <v>0</v>
      </c>
      <c r="E8577">
        <v>0</v>
      </c>
      <c r="F8577" s="2">
        <v>0</v>
      </c>
      <c r="H8577">
        <v>0</v>
      </c>
      <c r="I8577">
        <v>0.1741125760648204</v>
      </c>
      <c r="J8577">
        <v>0</v>
      </c>
      <c r="K8577">
        <v>0</v>
      </c>
      <c r="L8577" s="2">
        <v>0</v>
      </c>
      <c r="M8577">
        <v>84.19</v>
      </c>
      <c r="N8577" t="s">
        <v>10236</v>
      </c>
    </row>
    <row r="8578" spans="1:14">
      <c r="A8578" t="s">
        <v>223</v>
      </c>
      <c r="B8578" t="s">
        <v>8550</v>
      </c>
      <c r="C8578">
        <f>"5101605"</f>
        <v>0</v>
      </c>
      <c r="D8578">
        <v>0</v>
      </c>
      <c r="E8578">
        <v>0</v>
      </c>
      <c r="F8578" s="2">
        <v>0</v>
      </c>
      <c r="H8578">
        <v>0</v>
      </c>
      <c r="I8578">
        <v>0.1741125760648204</v>
      </c>
      <c r="J8578">
        <v>0</v>
      </c>
      <c r="K8578">
        <v>0</v>
      </c>
      <c r="L8578" s="2">
        <v>0</v>
      </c>
      <c r="M8578">
        <v>84.2</v>
      </c>
      <c r="N8578" t="s">
        <v>10236</v>
      </c>
    </row>
    <row r="8579" spans="1:14">
      <c r="A8579" t="s">
        <v>223</v>
      </c>
      <c r="B8579" t="s">
        <v>8551</v>
      </c>
      <c r="C8579">
        <f>"3610075"</f>
        <v>0</v>
      </c>
      <c r="D8579">
        <v>0</v>
      </c>
      <c r="E8579">
        <v>0</v>
      </c>
      <c r="F8579" s="2">
        <v>0</v>
      </c>
      <c r="H8579">
        <v>0</v>
      </c>
      <c r="I8579">
        <v>0.1741125760648204</v>
      </c>
      <c r="J8579">
        <v>0</v>
      </c>
      <c r="K8579">
        <v>0</v>
      </c>
      <c r="L8579" s="2">
        <v>0</v>
      </c>
      <c r="M8579">
        <v>84.20999999999999</v>
      </c>
      <c r="N8579" t="s">
        <v>10236</v>
      </c>
    </row>
    <row r="8580" spans="1:14">
      <c r="A8580" t="s">
        <v>223</v>
      </c>
      <c r="B8580" t="s">
        <v>8552</v>
      </c>
      <c r="C8580">
        <f>"5100405"</f>
        <v>0</v>
      </c>
      <c r="D8580">
        <v>0</v>
      </c>
      <c r="E8580">
        <v>0</v>
      </c>
      <c r="F8580" s="2">
        <v>0</v>
      </c>
      <c r="H8580">
        <v>0</v>
      </c>
      <c r="I8580">
        <v>0.1741125760648204</v>
      </c>
      <c r="J8580">
        <v>0</v>
      </c>
      <c r="K8580">
        <v>0</v>
      </c>
      <c r="L8580" s="2">
        <v>0</v>
      </c>
      <c r="M8580">
        <v>84.20999999999999</v>
      </c>
      <c r="N8580" t="s">
        <v>10236</v>
      </c>
    </row>
    <row r="8581" spans="1:14">
      <c r="A8581" t="s">
        <v>193</v>
      </c>
      <c r="B8581" t="s">
        <v>8553</v>
      </c>
      <c r="C8581">
        <f>"555676"</f>
        <v>0</v>
      </c>
      <c r="D8581">
        <v>0</v>
      </c>
      <c r="E8581">
        <v>22</v>
      </c>
      <c r="F8581" s="2">
        <v>2</v>
      </c>
      <c r="H8581">
        <v>0</v>
      </c>
      <c r="I8581">
        <v>0.1741125760648204</v>
      </c>
      <c r="J8581">
        <v>0</v>
      </c>
      <c r="K8581">
        <v>0</v>
      </c>
      <c r="L8581" s="2">
        <v>0</v>
      </c>
      <c r="M8581">
        <v>84.22</v>
      </c>
      <c r="N8581" t="s">
        <v>10236</v>
      </c>
    </row>
    <row r="8582" spans="1:14">
      <c r="A8582" t="s">
        <v>193</v>
      </c>
      <c r="B8582" t="s">
        <v>8554</v>
      </c>
      <c r="C8582">
        <f>"826099"</f>
        <v>0</v>
      </c>
      <c r="D8582">
        <v>0</v>
      </c>
      <c r="E8582">
        <v>0</v>
      </c>
      <c r="F8582" s="2">
        <v>0</v>
      </c>
      <c r="H8582">
        <v>0</v>
      </c>
      <c r="I8582">
        <v>0.1741125760648204</v>
      </c>
      <c r="J8582">
        <v>0</v>
      </c>
      <c r="K8582">
        <v>0</v>
      </c>
      <c r="L8582" s="2">
        <v>0</v>
      </c>
      <c r="M8582">
        <v>84.23</v>
      </c>
      <c r="N8582" t="s">
        <v>10236</v>
      </c>
    </row>
    <row r="8583" spans="1:14">
      <c r="A8583" t="s">
        <v>193</v>
      </c>
      <c r="B8583" t="s">
        <v>8555</v>
      </c>
      <c r="C8583">
        <f>"826143"</f>
        <v>0</v>
      </c>
      <c r="D8583">
        <v>0</v>
      </c>
      <c r="E8583">
        <v>0</v>
      </c>
      <c r="F8583" s="2">
        <v>0</v>
      </c>
      <c r="H8583">
        <v>0</v>
      </c>
      <c r="I8583">
        <v>0.1741125760648204</v>
      </c>
      <c r="J8583">
        <v>0</v>
      </c>
      <c r="K8583">
        <v>0</v>
      </c>
      <c r="L8583" s="2">
        <v>0</v>
      </c>
      <c r="M8583">
        <v>84.23999999999999</v>
      </c>
      <c r="N8583" t="s">
        <v>10236</v>
      </c>
    </row>
    <row r="8584" spans="1:14">
      <c r="A8584" t="s">
        <v>29</v>
      </c>
      <c r="B8584" t="s">
        <v>8556</v>
      </c>
      <c r="C8584">
        <f>"CH9983"</f>
        <v>0</v>
      </c>
      <c r="D8584">
        <v>0</v>
      </c>
      <c r="E8584">
        <v>0</v>
      </c>
      <c r="F8584" s="2">
        <v>0</v>
      </c>
      <c r="H8584">
        <v>0</v>
      </c>
      <c r="I8584">
        <v>0.1741125760648204</v>
      </c>
      <c r="J8584">
        <v>0</v>
      </c>
      <c r="K8584">
        <v>0</v>
      </c>
      <c r="L8584" s="2">
        <v>0</v>
      </c>
      <c r="M8584">
        <v>84.25</v>
      </c>
      <c r="N8584" t="s">
        <v>10236</v>
      </c>
    </row>
    <row r="8585" spans="1:14">
      <c r="A8585" t="s">
        <v>35</v>
      </c>
      <c r="B8585" t="s">
        <v>8365</v>
      </c>
      <c r="C8585">
        <f>"PD20014L"</f>
        <v>0</v>
      </c>
      <c r="D8585">
        <v>0</v>
      </c>
      <c r="E8585">
        <v>3</v>
      </c>
      <c r="F8585" s="2">
        <v>5</v>
      </c>
      <c r="H8585">
        <v>0</v>
      </c>
      <c r="I8585">
        <v>0.1741125760648204</v>
      </c>
      <c r="J8585">
        <v>0</v>
      </c>
      <c r="K8585">
        <v>0</v>
      </c>
      <c r="L8585" s="2">
        <v>0</v>
      </c>
      <c r="M8585">
        <v>84.26000000000001</v>
      </c>
      <c r="N8585" t="s">
        <v>10236</v>
      </c>
    </row>
    <row r="8586" spans="1:14">
      <c r="A8586" t="s">
        <v>35</v>
      </c>
      <c r="B8586" t="s">
        <v>8557</v>
      </c>
      <c r="C8586">
        <f>"HH011XS"</f>
        <v>0</v>
      </c>
      <c r="D8586">
        <v>0</v>
      </c>
      <c r="E8586">
        <v>4</v>
      </c>
      <c r="F8586" s="2">
        <v>7</v>
      </c>
      <c r="H8586">
        <v>0</v>
      </c>
      <c r="I8586">
        <v>0.1741125760648204</v>
      </c>
      <c r="J8586">
        <v>0</v>
      </c>
      <c r="K8586">
        <v>0</v>
      </c>
      <c r="L8586" s="2">
        <v>0</v>
      </c>
      <c r="M8586">
        <v>84.27</v>
      </c>
      <c r="N8586" t="s">
        <v>10236</v>
      </c>
    </row>
    <row r="8587" spans="1:14">
      <c r="A8587" t="s">
        <v>35</v>
      </c>
      <c r="B8587" t="s">
        <v>8558</v>
      </c>
      <c r="C8587">
        <f>"HH011XL"</f>
        <v>0</v>
      </c>
      <c r="D8587">
        <v>0</v>
      </c>
      <c r="E8587">
        <v>7</v>
      </c>
      <c r="F8587" s="2">
        <v>9</v>
      </c>
      <c r="H8587">
        <v>0</v>
      </c>
      <c r="I8587">
        <v>0.1741125760648204</v>
      </c>
      <c r="J8587">
        <v>0</v>
      </c>
      <c r="K8587">
        <v>0</v>
      </c>
      <c r="L8587" s="2">
        <v>0</v>
      </c>
      <c r="M8587">
        <v>84.28</v>
      </c>
      <c r="N8587" t="s">
        <v>10236</v>
      </c>
    </row>
    <row r="8588" spans="1:14">
      <c r="A8588" t="s">
        <v>35</v>
      </c>
      <c r="B8588" t="s">
        <v>8559</v>
      </c>
      <c r="C8588">
        <f>"HH011S"</f>
        <v>0</v>
      </c>
      <c r="D8588">
        <v>0</v>
      </c>
      <c r="E8588">
        <v>0</v>
      </c>
      <c r="F8588" s="2">
        <v>0</v>
      </c>
      <c r="H8588">
        <v>0</v>
      </c>
      <c r="I8588">
        <v>0.1741125760648204</v>
      </c>
      <c r="J8588">
        <v>0</v>
      </c>
      <c r="K8588">
        <v>0</v>
      </c>
      <c r="L8588" s="2">
        <v>0</v>
      </c>
      <c r="M8588">
        <v>84.29000000000001</v>
      </c>
      <c r="N8588" t="s">
        <v>10236</v>
      </c>
    </row>
    <row r="8589" spans="1:14">
      <c r="A8589" t="s">
        <v>35</v>
      </c>
      <c r="B8589" t="s">
        <v>8560</v>
      </c>
      <c r="C8589">
        <f>"HH011M"</f>
        <v>0</v>
      </c>
      <c r="D8589">
        <v>0</v>
      </c>
      <c r="E8589">
        <v>0</v>
      </c>
      <c r="F8589" s="2">
        <v>0</v>
      </c>
      <c r="H8589">
        <v>0</v>
      </c>
      <c r="I8589">
        <v>0.1741125760648204</v>
      </c>
      <c r="J8589">
        <v>0</v>
      </c>
      <c r="K8589">
        <v>0</v>
      </c>
      <c r="L8589" s="2">
        <v>0</v>
      </c>
      <c r="M8589">
        <v>84.3</v>
      </c>
      <c r="N8589" t="s">
        <v>10236</v>
      </c>
    </row>
    <row r="8590" spans="1:14">
      <c r="A8590" t="s">
        <v>35</v>
      </c>
      <c r="B8590" t="s">
        <v>8561</v>
      </c>
      <c r="C8590">
        <f>"HH011L"</f>
        <v>0</v>
      </c>
      <c r="D8590">
        <v>0</v>
      </c>
      <c r="E8590">
        <v>0</v>
      </c>
      <c r="F8590" s="2">
        <v>0</v>
      </c>
      <c r="H8590">
        <v>0</v>
      </c>
      <c r="I8590">
        <v>0.1741125760648204</v>
      </c>
      <c r="J8590">
        <v>0</v>
      </c>
      <c r="K8590">
        <v>0</v>
      </c>
      <c r="L8590" s="2">
        <v>0</v>
      </c>
      <c r="M8590">
        <v>84.31</v>
      </c>
      <c r="N8590" t="s">
        <v>10236</v>
      </c>
    </row>
    <row r="8591" spans="1:14">
      <c r="A8591" t="s">
        <v>35</v>
      </c>
      <c r="B8591" t="s">
        <v>8562</v>
      </c>
      <c r="C8591">
        <f>"AMP1XS"</f>
        <v>0</v>
      </c>
      <c r="D8591">
        <v>0</v>
      </c>
      <c r="E8591">
        <v>0</v>
      </c>
      <c r="F8591" s="2">
        <v>0</v>
      </c>
      <c r="H8591">
        <v>0</v>
      </c>
      <c r="I8591">
        <v>0.1741125760648204</v>
      </c>
      <c r="J8591">
        <v>0</v>
      </c>
      <c r="K8591">
        <v>0</v>
      </c>
      <c r="L8591" s="2">
        <v>0</v>
      </c>
      <c r="M8591">
        <v>84.31999999999999</v>
      </c>
      <c r="N8591" t="s">
        <v>10236</v>
      </c>
    </row>
    <row r="8592" spans="1:14">
      <c r="A8592" t="s">
        <v>29</v>
      </c>
      <c r="B8592" t="s">
        <v>8563</v>
      </c>
      <c r="C8592">
        <f>"rs06"</f>
        <v>0</v>
      </c>
      <c r="D8592">
        <v>0</v>
      </c>
      <c r="E8592">
        <v>0</v>
      </c>
      <c r="F8592" s="2">
        <v>0</v>
      </c>
      <c r="H8592">
        <v>0</v>
      </c>
      <c r="I8592">
        <v>0.1741125760648204</v>
      </c>
      <c r="J8592">
        <v>0</v>
      </c>
      <c r="K8592">
        <v>0</v>
      </c>
      <c r="L8592" s="2">
        <v>0</v>
      </c>
      <c r="M8592">
        <v>84.33</v>
      </c>
      <c r="N8592" t="s">
        <v>10236</v>
      </c>
    </row>
    <row r="8593" spans="1:14">
      <c r="A8593" t="s">
        <v>35</v>
      </c>
      <c r="B8593" t="s">
        <v>8564</v>
      </c>
      <c r="C8593">
        <f>"WD690"</f>
        <v>0</v>
      </c>
      <c r="D8593">
        <v>0</v>
      </c>
      <c r="E8593">
        <v>22</v>
      </c>
      <c r="F8593" s="2">
        <v>1</v>
      </c>
      <c r="H8593">
        <v>0</v>
      </c>
      <c r="I8593">
        <v>0.1741125760648204</v>
      </c>
      <c r="J8593">
        <v>0</v>
      </c>
      <c r="K8593">
        <v>0</v>
      </c>
      <c r="L8593" s="2">
        <v>0</v>
      </c>
      <c r="M8593">
        <v>84.33</v>
      </c>
      <c r="N8593" t="s">
        <v>10236</v>
      </c>
    </row>
    <row r="8594" spans="1:14">
      <c r="A8594" t="s">
        <v>35</v>
      </c>
      <c r="B8594" t="s">
        <v>8565</v>
      </c>
      <c r="C8594">
        <f>"WD691"</f>
        <v>0</v>
      </c>
      <c r="D8594">
        <v>0</v>
      </c>
      <c r="E8594">
        <v>27</v>
      </c>
      <c r="F8594" s="2">
        <v>2</v>
      </c>
      <c r="H8594">
        <v>0</v>
      </c>
      <c r="I8594">
        <v>0.1741125760648204</v>
      </c>
      <c r="J8594">
        <v>0</v>
      </c>
      <c r="K8594">
        <v>0</v>
      </c>
      <c r="L8594" s="2">
        <v>0</v>
      </c>
      <c r="M8594">
        <v>84.34</v>
      </c>
      <c r="N8594" t="s">
        <v>10236</v>
      </c>
    </row>
    <row r="8595" spans="1:14">
      <c r="A8595" t="s">
        <v>35</v>
      </c>
      <c r="B8595" t="s">
        <v>8566</v>
      </c>
      <c r="C8595">
        <f>"FB857SRO"</f>
        <v>0</v>
      </c>
      <c r="D8595">
        <v>0</v>
      </c>
      <c r="E8595">
        <v>0</v>
      </c>
      <c r="F8595" s="2">
        <v>0</v>
      </c>
      <c r="H8595">
        <v>0</v>
      </c>
      <c r="I8595">
        <v>0.1741125760648204</v>
      </c>
      <c r="J8595">
        <v>0</v>
      </c>
      <c r="K8595">
        <v>0</v>
      </c>
      <c r="L8595" s="2">
        <v>0</v>
      </c>
      <c r="M8595">
        <v>84.34999999999999</v>
      </c>
      <c r="N8595" t="s">
        <v>10236</v>
      </c>
    </row>
    <row r="8596" spans="1:14">
      <c r="A8596" t="s">
        <v>35</v>
      </c>
      <c r="B8596" t="s">
        <v>8567</v>
      </c>
      <c r="C8596">
        <f>"FB857SROJ"</f>
        <v>0</v>
      </c>
      <c r="D8596">
        <v>0</v>
      </c>
      <c r="E8596">
        <v>0</v>
      </c>
      <c r="F8596" s="2">
        <v>0</v>
      </c>
      <c r="H8596">
        <v>0</v>
      </c>
      <c r="I8596">
        <v>0.1741125760648204</v>
      </c>
      <c r="J8596">
        <v>0</v>
      </c>
      <c r="K8596">
        <v>0</v>
      </c>
      <c r="L8596" s="2">
        <v>0</v>
      </c>
      <c r="M8596">
        <v>84.36</v>
      </c>
      <c r="N8596" t="s">
        <v>10236</v>
      </c>
    </row>
    <row r="8597" spans="1:14">
      <c r="A8597" t="s">
        <v>35</v>
      </c>
      <c r="B8597" t="s">
        <v>8568</v>
      </c>
      <c r="C8597">
        <f>"FB857SA"</f>
        <v>0</v>
      </c>
      <c r="D8597">
        <v>0</v>
      </c>
      <c r="E8597">
        <v>0</v>
      </c>
      <c r="F8597" s="2">
        <v>0</v>
      </c>
      <c r="H8597">
        <v>0</v>
      </c>
      <c r="I8597">
        <v>0.1741125760648204</v>
      </c>
      <c r="J8597">
        <v>0</v>
      </c>
      <c r="K8597">
        <v>0</v>
      </c>
      <c r="L8597" s="2">
        <v>0</v>
      </c>
      <c r="M8597">
        <v>84.37</v>
      </c>
      <c r="N8597" t="s">
        <v>10236</v>
      </c>
    </row>
    <row r="8598" spans="1:14">
      <c r="A8598" t="s">
        <v>41</v>
      </c>
      <c r="B8598" t="s">
        <v>8569</v>
      </c>
      <c r="C8598">
        <f>"AZN00223"</f>
        <v>0</v>
      </c>
      <c r="D8598">
        <v>0</v>
      </c>
      <c r="E8598">
        <v>0</v>
      </c>
      <c r="F8598" s="2">
        <v>0</v>
      </c>
      <c r="H8598">
        <v>0</v>
      </c>
      <c r="I8598">
        <v>0.1741125760648204</v>
      </c>
      <c r="J8598">
        <v>0</v>
      </c>
      <c r="K8598">
        <v>0</v>
      </c>
      <c r="L8598" s="2">
        <v>0</v>
      </c>
      <c r="M8598">
        <v>84.38</v>
      </c>
      <c r="N8598" t="s">
        <v>10236</v>
      </c>
    </row>
    <row r="8599" spans="1:14">
      <c r="A8599" t="s">
        <v>32</v>
      </c>
      <c r="B8599" t="s">
        <v>8570</v>
      </c>
      <c r="C8599">
        <f>"1018880"</f>
        <v>0</v>
      </c>
      <c r="D8599">
        <v>0</v>
      </c>
      <c r="E8599">
        <v>1</v>
      </c>
      <c r="F8599" s="2">
        <v>41</v>
      </c>
      <c r="H8599">
        <v>0</v>
      </c>
      <c r="I8599">
        <v>0.1741125760648204</v>
      </c>
      <c r="J8599">
        <v>0</v>
      </c>
      <c r="K8599">
        <v>0</v>
      </c>
      <c r="L8599" s="2">
        <v>0</v>
      </c>
      <c r="M8599">
        <v>84.39</v>
      </c>
      <c r="N8599" t="s">
        <v>10236</v>
      </c>
    </row>
    <row r="8600" spans="1:14">
      <c r="A8600" t="s">
        <v>218</v>
      </c>
      <c r="B8600" t="s">
        <v>8571</v>
      </c>
      <c r="C8600">
        <f>"1215581"</f>
        <v>0</v>
      </c>
      <c r="D8600">
        <v>0</v>
      </c>
      <c r="E8600">
        <v>0</v>
      </c>
      <c r="F8600" s="2">
        <v>0</v>
      </c>
      <c r="H8600">
        <v>0</v>
      </c>
      <c r="I8600">
        <v>0.1741125760648204</v>
      </c>
      <c r="J8600">
        <v>0</v>
      </c>
      <c r="K8600">
        <v>0</v>
      </c>
      <c r="L8600" s="2">
        <v>0</v>
      </c>
      <c r="M8600">
        <v>84.40000000000001</v>
      </c>
      <c r="N8600" t="s">
        <v>10236</v>
      </c>
    </row>
    <row r="8601" spans="1:14">
      <c r="A8601" t="s">
        <v>193</v>
      </c>
      <c r="B8601" t="s">
        <v>8572</v>
      </c>
      <c r="C8601">
        <f>"826044"</f>
        <v>0</v>
      </c>
      <c r="D8601">
        <v>0</v>
      </c>
      <c r="E8601">
        <v>0</v>
      </c>
      <c r="F8601" s="2">
        <v>0</v>
      </c>
      <c r="H8601">
        <v>0</v>
      </c>
      <c r="I8601">
        <v>0.1741125760648204</v>
      </c>
      <c r="J8601">
        <v>0</v>
      </c>
      <c r="K8601">
        <v>0</v>
      </c>
      <c r="L8601" s="2">
        <v>0</v>
      </c>
      <c r="M8601">
        <v>84.41</v>
      </c>
      <c r="N8601" t="s">
        <v>10236</v>
      </c>
    </row>
    <row r="8602" spans="1:14">
      <c r="A8602" t="s">
        <v>193</v>
      </c>
      <c r="B8602" t="s">
        <v>8573</v>
      </c>
      <c r="C8602">
        <f>"826068"</f>
        <v>0</v>
      </c>
      <c r="D8602">
        <v>0</v>
      </c>
      <c r="E8602">
        <v>0</v>
      </c>
      <c r="F8602" s="2">
        <v>0</v>
      </c>
      <c r="H8602">
        <v>0</v>
      </c>
      <c r="I8602">
        <v>0.1741125760648204</v>
      </c>
      <c r="J8602">
        <v>0</v>
      </c>
      <c r="K8602">
        <v>0</v>
      </c>
      <c r="L8602" s="2">
        <v>0</v>
      </c>
      <c r="M8602">
        <v>84.42</v>
      </c>
      <c r="N8602" t="s">
        <v>10236</v>
      </c>
    </row>
    <row r="8603" spans="1:14">
      <c r="A8603" t="s">
        <v>207</v>
      </c>
      <c r="B8603" t="s">
        <v>8574</v>
      </c>
      <c r="C8603">
        <f>"INSEP"</f>
        <v>0</v>
      </c>
      <c r="D8603">
        <v>0</v>
      </c>
      <c r="E8603">
        <v>0</v>
      </c>
      <c r="F8603" s="2">
        <v>0</v>
      </c>
      <c r="H8603">
        <v>0</v>
      </c>
      <c r="I8603">
        <v>0.1741125760648204</v>
      </c>
      <c r="J8603">
        <v>0</v>
      </c>
      <c r="K8603">
        <v>0</v>
      </c>
      <c r="L8603" s="2">
        <v>0</v>
      </c>
      <c r="M8603">
        <v>84.43000000000001</v>
      </c>
      <c r="N8603" t="s">
        <v>10236</v>
      </c>
    </row>
    <row r="8604" spans="1:14">
      <c r="A8604" t="s">
        <v>32</v>
      </c>
      <c r="B8604" t="s">
        <v>8575</v>
      </c>
      <c r="C8604">
        <f>"PCE49"</f>
        <v>0</v>
      </c>
      <c r="D8604">
        <v>0</v>
      </c>
      <c r="E8604">
        <v>0</v>
      </c>
      <c r="F8604" s="2">
        <v>0</v>
      </c>
      <c r="H8604">
        <v>0</v>
      </c>
      <c r="I8604">
        <v>0.1741125760648204</v>
      </c>
      <c r="J8604">
        <v>0</v>
      </c>
      <c r="K8604">
        <v>0</v>
      </c>
      <c r="L8604" s="2">
        <v>0</v>
      </c>
      <c r="M8604">
        <v>84.44</v>
      </c>
      <c r="N8604" t="s">
        <v>10236</v>
      </c>
    </row>
    <row r="8605" spans="1:14">
      <c r="A8605" t="s">
        <v>223</v>
      </c>
      <c r="B8605" t="s">
        <v>8576</v>
      </c>
      <c r="C8605">
        <f>"3623015"</f>
        <v>0</v>
      </c>
      <c r="D8605">
        <v>0</v>
      </c>
      <c r="E8605">
        <v>0</v>
      </c>
      <c r="F8605" s="2">
        <v>0</v>
      </c>
      <c r="H8605">
        <v>0</v>
      </c>
      <c r="I8605">
        <v>0.1741125760648204</v>
      </c>
      <c r="J8605">
        <v>0</v>
      </c>
      <c r="K8605">
        <v>0</v>
      </c>
      <c r="L8605" s="2">
        <v>0</v>
      </c>
      <c r="M8605">
        <v>84.44</v>
      </c>
      <c r="N8605" t="s">
        <v>10236</v>
      </c>
    </row>
    <row r="8606" spans="1:14">
      <c r="A8606" t="s">
        <v>223</v>
      </c>
      <c r="B8606" t="s">
        <v>8577</v>
      </c>
      <c r="C8606">
        <f>"229150"</f>
        <v>0</v>
      </c>
      <c r="D8606">
        <v>0</v>
      </c>
      <c r="E8606">
        <v>0</v>
      </c>
      <c r="F8606" s="2">
        <v>0</v>
      </c>
      <c r="H8606">
        <v>0</v>
      </c>
      <c r="I8606">
        <v>0.1741125760648204</v>
      </c>
      <c r="J8606">
        <v>0</v>
      </c>
      <c r="K8606">
        <v>0</v>
      </c>
      <c r="L8606" s="2">
        <v>0</v>
      </c>
      <c r="M8606">
        <v>84.45</v>
      </c>
      <c r="N8606" t="s">
        <v>10236</v>
      </c>
    </row>
    <row r="8607" spans="1:14">
      <c r="A8607" t="s">
        <v>223</v>
      </c>
      <c r="B8607" t="s">
        <v>8578</v>
      </c>
      <c r="C8607">
        <f>"3660075"</f>
        <v>0</v>
      </c>
      <c r="D8607">
        <v>0</v>
      </c>
      <c r="E8607">
        <v>0</v>
      </c>
      <c r="F8607" s="2">
        <v>0</v>
      </c>
      <c r="H8607">
        <v>0</v>
      </c>
      <c r="I8607">
        <v>0.1741125760648204</v>
      </c>
      <c r="J8607">
        <v>0</v>
      </c>
      <c r="K8607">
        <v>0</v>
      </c>
      <c r="L8607" s="2">
        <v>0</v>
      </c>
      <c r="M8607">
        <v>84.45999999999999</v>
      </c>
      <c r="N8607" t="s">
        <v>10236</v>
      </c>
    </row>
    <row r="8608" spans="1:14">
      <c r="A8608" t="s">
        <v>35</v>
      </c>
      <c r="B8608" t="s">
        <v>8562</v>
      </c>
      <c r="C8608">
        <f>"AMP1S"</f>
        <v>0</v>
      </c>
      <c r="D8608">
        <v>0</v>
      </c>
      <c r="E8608">
        <v>0</v>
      </c>
      <c r="F8608" s="2">
        <v>0</v>
      </c>
      <c r="H8608">
        <v>0</v>
      </c>
      <c r="I8608">
        <v>0.1741125760648204</v>
      </c>
      <c r="J8608">
        <v>0</v>
      </c>
      <c r="K8608">
        <v>0</v>
      </c>
      <c r="L8608" s="2">
        <v>0</v>
      </c>
      <c r="M8608">
        <v>84.47</v>
      </c>
      <c r="N8608" t="s">
        <v>10236</v>
      </c>
    </row>
    <row r="8609" spans="1:14">
      <c r="A8609" t="s">
        <v>35</v>
      </c>
      <c r="B8609" t="s">
        <v>8579</v>
      </c>
      <c r="C8609">
        <f>"SDR201"</f>
        <v>0</v>
      </c>
      <c r="D8609">
        <v>0</v>
      </c>
      <c r="E8609">
        <v>1</v>
      </c>
      <c r="F8609" s="2">
        <v>2</v>
      </c>
      <c r="H8609">
        <v>0</v>
      </c>
      <c r="I8609">
        <v>0.1741125760648204</v>
      </c>
      <c r="J8609">
        <v>0</v>
      </c>
      <c r="K8609">
        <v>0</v>
      </c>
      <c r="L8609" s="2">
        <v>0</v>
      </c>
      <c r="M8609">
        <v>84.48</v>
      </c>
      <c r="N8609" t="s">
        <v>10236</v>
      </c>
    </row>
    <row r="8610" spans="1:14">
      <c r="A8610" t="s">
        <v>35</v>
      </c>
      <c r="B8610" t="s">
        <v>8580</v>
      </c>
      <c r="C8610">
        <f>"PT088ROS"</f>
        <v>0</v>
      </c>
      <c r="D8610">
        <v>0</v>
      </c>
      <c r="E8610">
        <v>0</v>
      </c>
      <c r="F8610" s="2">
        <v>0</v>
      </c>
      <c r="H8610">
        <v>0</v>
      </c>
      <c r="I8610">
        <v>0.1741125760648204</v>
      </c>
      <c r="J8610">
        <v>0</v>
      </c>
      <c r="K8610">
        <v>0</v>
      </c>
      <c r="L8610" s="2">
        <v>0</v>
      </c>
      <c r="M8610">
        <v>84.48999999999999</v>
      </c>
      <c r="N8610" t="s">
        <v>10236</v>
      </c>
    </row>
    <row r="8611" spans="1:14">
      <c r="A8611" t="s">
        <v>35</v>
      </c>
      <c r="B8611" t="s">
        <v>8581</v>
      </c>
      <c r="C8611">
        <f>"PT088CEL"</f>
        <v>0</v>
      </c>
      <c r="D8611">
        <v>0</v>
      </c>
      <c r="E8611">
        <v>0</v>
      </c>
      <c r="F8611" s="2">
        <v>0</v>
      </c>
      <c r="H8611">
        <v>0</v>
      </c>
      <c r="I8611">
        <v>0.1741125760648204</v>
      </c>
      <c r="J8611">
        <v>0</v>
      </c>
      <c r="K8611">
        <v>0</v>
      </c>
      <c r="L8611" s="2">
        <v>0</v>
      </c>
      <c r="M8611">
        <v>84.5</v>
      </c>
      <c r="N8611" t="s">
        <v>10236</v>
      </c>
    </row>
    <row r="8612" spans="1:14">
      <c r="A8612" t="s">
        <v>35</v>
      </c>
      <c r="B8612" t="s">
        <v>8582</v>
      </c>
      <c r="C8612">
        <f>"PT088AM"</f>
        <v>0</v>
      </c>
      <c r="D8612">
        <v>0</v>
      </c>
      <c r="E8612">
        <v>0</v>
      </c>
      <c r="F8612" s="2">
        <v>0</v>
      </c>
      <c r="H8612">
        <v>0</v>
      </c>
      <c r="I8612">
        <v>0.1741125760648204</v>
      </c>
      <c r="J8612">
        <v>0</v>
      </c>
      <c r="K8612">
        <v>0</v>
      </c>
      <c r="L8612" s="2">
        <v>0</v>
      </c>
      <c r="M8612">
        <v>84.51000000000001</v>
      </c>
      <c r="N8612" t="s">
        <v>10236</v>
      </c>
    </row>
    <row r="8613" spans="1:14">
      <c r="A8613" t="s">
        <v>35</v>
      </c>
      <c r="B8613" t="s">
        <v>8583</v>
      </c>
      <c r="C8613">
        <f>"HC0111"</f>
        <v>0</v>
      </c>
      <c r="D8613">
        <v>0</v>
      </c>
      <c r="E8613">
        <v>0</v>
      </c>
      <c r="F8613" s="2">
        <v>0</v>
      </c>
      <c r="H8613">
        <v>0</v>
      </c>
      <c r="I8613">
        <v>0.1741125760648204</v>
      </c>
      <c r="J8613">
        <v>0</v>
      </c>
      <c r="K8613">
        <v>0</v>
      </c>
      <c r="L8613" s="2">
        <v>0</v>
      </c>
      <c r="M8613">
        <v>84.52</v>
      </c>
      <c r="N8613" t="s">
        <v>10236</v>
      </c>
    </row>
    <row r="8614" spans="1:14">
      <c r="A8614" t="s">
        <v>35</v>
      </c>
      <c r="B8614" t="s">
        <v>8584</v>
      </c>
      <c r="C8614">
        <f>"ER136"</f>
        <v>0</v>
      </c>
      <c r="D8614">
        <v>0</v>
      </c>
      <c r="E8614">
        <v>5</v>
      </c>
      <c r="F8614" s="2">
        <v>2</v>
      </c>
      <c r="H8614">
        <v>0</v>
      </c>
      <c r="I8614">
        <v>0.1741125760648204</v>
      </c>
      <c r="J8614">
        <v>0</v>
      </c>
      <c r="K8614">
        <v>0</v>
      </c>
      <c r="L8614" s="2">
        <v>0</v>
      </c>
      <c r="M8614">
        <v>84.53</v>
      </c>
      <c r="N8614" t="s">
        <v>10236</v>
      </c>
    </row>
    <row r="8615" spans="1:14">
      <c r="A8615" t="s">
        <v>218</v>
      </c>
      <c r="B8615" t="s">
        <v>8585</v>
      </c>
      <c r="C8615">
        <f>"humsdr0041"</f>
        <v>0</v>
      </c>
      <c r="D8615">
        <v>0</v>
      </c>
      <c r="E8615">
        <v>0</v>
      </c>
      <c r="F8615" s="2">
        <v>0</v>
      </c>
      <c r="H8615">
        <v>0</v>
      </c>
      <c r="I8615">
        <v>0.1741125760648204</v>
      </c>
      <c r="J8615">
        <v>0</v>
      </c>
      <c r="K8615">
        <v>0</v>
      </c>
      <c r="L8615" s="2">
        <v>0</v>
      </c>
      <c r="M8615">
        <v>84.54000000000001</v>
      </c>
      <c r="N8615" t="s">
        <v>10236</v>
      </c>
    </row>
    <row r="8616" spans="1:14">
      <c r="A8616" t="s">
        <v>195</v>
      </c>
      <c r="B8616" t="s">
        <v>8586</v>
      </c>
      <c r="C8616">
        <f>"25702351"</f>
        <v>0</v>
      </c>
      <c r="D8616">
        <v>0</v>
      </c>
      <c r="E8616">
        <v>0</v>
      </c>
      <c r="F8616" s="2">
        <v>0</v>
      </c>
      <c r="H8616">
        <v>0</v>
      </c>
      <c r="I8616">
        <v>0.1741125760648204</v>
      </c>
      <c r="J8616">
        <v>0</v>
      </c>
      <c r="K8616">
        <v>0</v>
      </c>
      <c r="L8616" s="2">
        <v>0</v>
      </c>
      <c r="M8616">
        <v>84.55</v>
      </c>
      <c r="N8616" t="s">
        <v>10236</v>
      </c>
    </row>
    <row r="8617" spans="1:14">
      <c r="A8617" t="s">
        <v>25</v>
      </c>
      <c r="B8617" t="s">
        <v>8587</v>
      </c>
      <c r="C8617">
        <f>"53382"</f>
        <v>0</v>
      </c>
      <c r="D8617">
        <v>0</v>
      </c>
      <c r="E8617">
        <v>0</v>
      </c>
      <c r="F8617" s="2">
        <v>0</v>
      </c>
      <c r="H8617">
        <v>0</v>
      </c>
      <c r="I8617">
        <v>0.1741125760648204</v>
      </c>
      <c r="J8617">
        <v>0</v>
      </c>
      <c r="K8617">
        <v>0</v>
      </c>
      <c r="L8617" s="2">
        <v>0</v>
      </c>
      <c r="M8617">
        <v>84.56</v>
      </c>
      <c r="N8617" t="s">
        <v>10236</v>
      </c>
    </row>
    <row r="8618" spans="1:14">
      <c r="A8618" t="s">
        <v>25</v>
      </c>
      <c r="B8618" t="s">
        <v>8588</v>
      </c>
      <c r="C8618">
        <f>"53181"</f>
        <v>0</v>
      </c>
      <c r="D8618">
        <v>0</v>
      </c>
      <c r="E8618">
        <v>0</v>
      </c>
      <c r="F8618" s="2">
        <v>0</v>
      </c>
      <c r="H8618">
        <v>0</v>
      </c>
      <c r="I8618">
        <v>0.1741125760648204</v>
      </c>
      <c r="J8618">
        <v>0</v>
      </c>
      <c r="K8618">
        <v>0</v>
      </c>
      <c r="L8618" s="2">
        <v>0</v>
      </c>
      <c r="M8618">
        <v>84.56</v>
      </c>
      <c r="N8618" t="s">
        <v>10236</v>
      </c>
    </row>
    <row r="8619" spans="1:14">
      <c r="A8619" t="s">
        <v>30</v>
      </c>
      <c r="B8619" t="s">
        <v>8589</v>
      </c>
      <c r="C8619">
        <f>"101261"</f>
        <v>0</v>
      </c>
      <c r="D8619">
        <v>0</v>
      </c>
      <c r="E8619">
        <v>0</v>
      </c>
      <c r="F8619" s="2">
        <v>0</v>
      </c>
      <c r="H8619">
        <v>0</v>
      </c>
      <c r="I8619">
        <v>0.1741125760648204</v>
      </c>
      <c r="J8619">
        <v>0</v>
      </c>
      <c r="K8619">
        <v>0</v>
      </c>
      <c r="L8619" s="2">
        <v>0</v>
      </c>
      <c r="M8619">
        <v>84.56999999999999</v>
      </c>
      <c r="N8619" t="s">
        <v>10236</v>
      </c>
    </row>
    <row r="8620" spans="1:14">
      <c r="A8620" t="s">
        <v>35</v>
      </c>
      <c r="B8620" t="s">
        <v>8590</v>
      </c>
      <c r="C8620">
        <f>"BAN"</f>
        <v>0</v>
      </c>
      <c r="D8620">
        <v>0</v>
      </c>
      <c r="E8620">
        <v>0</v>
      </c>
      <c r="F8620" s="2">
        <v>0</v>
      </c>
      <c r="H8620">
        <v>0</v>
      </c>
      <c r="I8620">
        <v>0.1741125760648204</v>
      </c>
      <c r="J8620">
        <v>0</v>
      </c>
      <c r="K8620">
        <v>0</v>
      </c>
      <c r="L8620" s="2">
        <v>0</v>
      </c>
      <c r="M8620">
        <v>84.58</v>
      </c>
      <c r="N8620" t="s">
        <v>10236</v>
      </c>
    </row>
    <row r="8621" spans="1:14">
      <c r="A8621" t="s">
        <v>35</v>
      </c>
      <c r="B8621" t="s">
        <v>8591</v>
      </c>
      <c r="C8621">
        <f>"BAAZ"</f>
        <v>0</v>
      </c>
      <c r="D8621">
        <v>0</v>
      </c>
      <c r="E8621">
        <v>0</v>
      </c>
      <c r="F8621" s="2">
        <v>0</v>
      </c>
      <c r="H8621">
        <v>0</v>
      </c>
      <c r="I8621">
        <v>0.1741125760648204</v>
      </c>
      <c r="J8621">
        <v>0</v>
      </c>
      <c r="K8621">
        <v>0</v>
      </c>
      <c r="L8621" s="2">
        <v>0</v>
      </c>
      <c r="M8621">
        <v>84.59</v>
      </c>
      <c r="N8621" t="s">
        <v>10236</v>
      </c>
    </row>
    <row r="8622" spans="1:14">
      <c r="A8622" t="s">
        <v>209</v>
      </c>
      <c r="B8622" t="s">
        <v>8592</v>
      </c>
      <c r="C8622">
        <f>"5GA70004"</f>
        <v>0</v>
      </c>
      <c r="D8622">
        <v>0</v>
      </c>
      <c r="E8622">
        <v>0</v>
      </c>
      <c r="F8622" s="2">
        <v>0</v>
      </c>
      <c r="H8622">
        <v>0</v>
      </c>
      <c r="I8622">
        <v>0.1741125760648204</v>
      </c>
      <c r="J8622">
        <v>0</v>
      </c>
      <c r="K8622">
        <v>0</v>
      </c>
      <c r="L8622" s="2">
        <v>0</v>
      </c>
      <c r="M8622">
        <v>84.59999999999999</v>
      </c>
      <c r="N8622" t="s">
        <v>10236</v>
      </c>
    </row>
    <row r="8623" spans="1:14">
      <c r="A8623" t="s">
        <v>192</v>
      </c>
      <c r="B8623" t="s">
        <v>8593</v>
      </c>
      <c r="C8623">
        <f>"6092"</f>
        <v>0</v>
      </c>
      <c r="D8623">
        <v>0</v>
      </c>
      <c r="E8623">
        <v>0</v>
      </c>
      <c r="F8623" s="2">
        <v>0</v>
      </c>
      <c r="H8623">
        <v>0</v>
      </c>
      <c r="I8623">
        <v>0.1741125760648204</v>
      </c>
      <c r="J8623">
        <v>0</v>
      </c>
      <c r="K8623">
        <v>0</v>
      </c>
      <c r="L8623" s="2">
        <v>0</v>
      </c>
      <c r="M8623">
        <v>84.61</v>
      </c>
      <c r="N8623" t="s">
        <v>10236</v>
      </c>
    </row>
    <row r="8624" spans="1:14">
      <c r="A8624" t="s">
        <v>209</v>
      </c>
      <c r="B8624" t="s">
        <v>8594</v>
      </c>
      <c r="C8624">
        <f>"5PE29002"</f>
        <v>0</v>
      </c>
      <c r="D8624">
        <v>0</v>
      </c>
      <c r="E8624">
        <v>1</v>
      </c>
      <c r="F8624" s="2">
        <v>2</v>
      </c>
      <c r="H8624">
        <v>0</v>
      </c>
      <c r="I8624">
        <v>0.1741125760648204</v>
      </c>
      <c r="J8624">
        <v>0</v>
      </c>
      <c r="K8624">
        <v>0</v>
      </c>
      <c r="L8624" s="2">
        <v>0</v>
      </c>
      <c r="M8624">
        <v>84.62</v>
      </c>
      <c r="N8624" t="s">
        <v>10236</v>
      </c>
    </row>
    <row r="8625" spans="1:14">
      <c r="A8625" t="s">
        <v>30</v>
      </c>
      <c r="B8625" t="s">
        <v>8595</v>
      </c>
      <c r="C8625">
        <f>"101323G"</f>
        <v>0</v>
      </c>
      <c r="D8625">
        <v>0</v>
      </c>
      <c r="E8625">
        <v>0</v>
      </c>
      <c r="F8625" s="2">
        <v>0</v>
      </c>
      <c r="H8625">
        <v>0</v>
      </c>
      <c r="I8625">
        <v>0.1741125760648204</v>
      </c>
      <c r="J8625">
        <v>0</v>
      </c>
      <c r="K8625">
        <v>0</v>
      </c>
      <c r="L8625" s="2">
        <v>0</v>
      </c>
      <c r="M8625">
        <v>84.63</v>
      </c>
      <c r="N8625" t="s">
        <v>10236</v>
      </c>
    </row>
    <row r="8626" spans="1:14">
      <c r="A8626" t="s">
        <v>30</v>
      </c>
      <c r="B8626" t="s">
        <v>8596</v>
      </c>
      <c r="C8626">
        <f>"101251"</f>
        <v>0</v>
      </c>
      <c r="D8626">
        <v>0</v>
      </c>
      <c r="E8626">
        <v>0</v>
      </c>
      <c r="F8626" s="2">
        <v>0</v>
      </c>
      <c r="H8626">
        <v>0</v>
      </c>
      <c r="I8626">
        <v>0.1741125760648204</v>
      </c>
      <c r="J8626">
        <v>0</v>
      </c>
      <c r="K8626">
        <v>0</v>
      </c>
      <c r="L8626" s="2">
        <v>0</v>
      </c>
      <c r="M8626">
        <v>84.64</v>
      </c>
      <c r="N8626" t="s">
        <v>10236</v>
      </c>
    </row>
    <row r="8627" spans="1:14">
      <c r="A8627" t="s">
        <v>30</v>
      </c>
      <c r="B8627" t="s">
        <v>8597</v>
      </c>
      <c r="C8627">
        <f>"101249"</f>
        <v>0</v>
      </c>
      <c r="D8627">
        <v>0</v>
      </c>
      <c r="E8627">
        <v>0</v>
      </c>
      <c r="F8627" s="2">
        <v>0</v>
      </c>
      <c r="H8627">
        <v>0</v>
      </c>
      <c r="I8627">
        <v>0.1741125760648204</v>
      </c>
      <c r="J8627">
        <v>0</v>
      </c>
      <c r="K8627">
        <v>0</v>
      </c>
      <c r="L8627" s="2">
        <v>0</v>
      </c>
      <c r="M8627">
        <v>84.65000000000001</v>
      </c>
      <c r="N8627" t="s">
        <v>10236</v>
      </c>
    </row>
    <row r="8628" spans="1:14">
      <c r="A8628" t="s">
        <v>30</v>
      </c>
      <c r="B8628" t="s">
        <v>8598</v>
      </c>
      <c r="C8628">
        <f>"101247"</f>
        <v>0</v>
      </c>
      <c r="D8628">
        <v>0</v>
      </c>
      <c r="E8628">
        <v>0</v>
      </c>
      <c r="F8628" s="2">
        <v>0</v>
      </c>
      <c r="H8628">
        <v>0</v>
      </c>
      <c r="I8628">
        <v>0.1741125760648204</v>
      </c>
      <c r="J8628">
        <v>0</v>
      </c>
      <c r="K8628">
        <v>0</v>
      </c>
      <c r="L8628" s="2">
        <v>0</v>
      </c>
      <c r="M8628">
        <v>84.66</v>
      </c>
      <c r="N8628" t="s">
        <v>10236</v>
      </c>
    </row>
    <row r="8629" spans="1:14">
      <c r="A8629" t="s">
        <v>35</v>
      </c>
      <c r="B8629" t="s">
        <v>8599</v>
      </c>
      <c r="C8629">
        <f>"HC077"</f>
        <v>0</v>
      </c>
      <c r="D8629">
        <v>0</v>
      </c>
      <c r="E8629">
        <v>0</v>
      </c>
      <c r="F8629" s="2">
        <v>0</v>
      </c>
      <c r="H8629">
        <v>0</v>
      </c>
      <c r="I8629">
        <v>0.1741125760648204</v>
      </c>
      <c r="J8629">
        <v>0</v>
      </c>
      <c r="K8629">
        <v>0</v>
      </c>
      <c r="L8629" s="2">
        <v>0</v>
      </c>
      <c r="M8629">
        <v>84.67</v>
      </c>
      <c r="N8629" t="s">
        <v>10236</v>
      </c>
    </row>
    <row r="8630" spans="1:14">
      <c r="A8630" t="s">
        <v>35</v>
      </c>
      <c r="B8630" t="s">
        <v>8600</v>
      </c>
      <c r="C8630">
        <f>"ER007"</f>
        <v>0</v>
      </c>
      <c r="D8630">
        <v>0</v>
      </c>
      <c r="E8630">
        <v>21</v>
      </c>
      <c r="F8630" s="2">
        <v>3</v>
      </c>
      <c r="H8630">
        <v>0</v>
      </c>
      <c r="I8630">
        <v>0.1741125760648204</v>
      </c>
      <c r="J8630">
        <v>0</v>
      </c>
      <c r="K8630">
        <v>0</v>
      </c>
      <c r="L8630" s="2">
        <v>0</v>
      </c>
      <c r="M8630">
        <v>84.68000000000001</v>
      </c>
      <c r="N8630" t="s">
        <v>10236</v>
      </c>
    </row>
    <row r="8631" spans="1:14">
      <c r="A8631" t="s">
        <v>35</v>
      </c>
      <c r="B8631" t="s">
        <v>8601</v>
      </c>
      <c r="C8631">
        <f>"ZRD2019122"</f>
        <v>0</v>
      </c>
      <c r="D8631">
        <v>0</v>
      </c>
      <c r="E8631">
        <v>0</v>
      </c>
      <c r="F8631" s="2">
        <v>0</v>
      </c>
      <c r="H8631">
        <v>0</v>
      </c>
      <c r="I8631">
        <v>0.1741125760648204</v>
      </c>
      <c r="J8631">
        <v>0</v>
      </c>
      <c r="K8631">
        <v>0</v>
      </c>
      <c r="L8631" s="2">
        <v>0</v>
      </c>
      <c r="M8631">
        <v>84.68000000000001</v>
      </c>
      <c r="N8631" t="s">
        <v>10236</v>
      </c>
    </row>
    <row r="8632" spans="1:14">
      <c r="A8632" t="s">
        <v>35</v>
      </c>
      <c r="B8632" t="s">
        <v>8602</v>
      </c>
      <c r="C8632">
        <f>"HC0116"</f>
        <v>0</v>
      </c>
      <c r="D8632">
        <v>0</v>
      </c>
      <c r="E8632">
        <v>0</v>
      </c>
      <c r="F8632" s="2">
        <v>0</v>
      </c>
      <c r="H8632">
        <v>0</v>
      </c>
      <c r="I8632">
        <v>0.1741125760648204</v>
      </c>
      <c r="J8632">
        <v>0</v>
      </c>
      <c r="K8632">
        <v>0</v>
      </c>
      <c r="L8632" s="2">
        <v>0</v>
      </c>
      <c r="M8632">
        <v>84.69</v>
      </c>
      <c r="N8632" t="s">
        <v>10236</v>
      </c>
    </row>
    <row r="8633" spans="1:14">
      <c r="A8633" t="s">
        <v>35</v>
      </c>
      <c r="B8633" t="s">
        <v>8603</v>
      </c>
      <c r="C8633">
        <f>"HC0115"</f>
        <v>0</v>
      </c>
      <c r="D8633">
        <v>0</v>
      </c>
      <c r="E8633">
        <v>0</v>
      </c>
      <c r="F8633" s="2">
        <v>0</v>
      </c>
      <c r="H8633">
        <v>0</v>
      </c>
      <c r="I8633">
        <v>0.1741125760648204</v>
      </c>
      <c r="J8633">
        <v>0</v>
      </c>
      <c r="K8633">
        <v>0</v>
      </c>
      <c r="L8633" s="2">
        <v>0</v>
      </c>
      <c r="M8633">
        <v>84.7</v>
      </c>
      <c r="N8633" t="s">
        <v>10236</v>
      </c>
    </row>
    <row r="8634" spans="1:14">
      <c r="A8634" t="s">
        <v>35</v>
      </c>
      <c r="B8634" t="s">
        <v>8604</v>
      </c>
      <c r="C8634">
        <f>"HC024"</f>
        <v>0</v>
      </c>
      <c r="D8634">
        <v>0</v>
      </c>
      <c r="E8634">
        <v>0</v>
      </c>
      <c r="F8634" s="2">
        <v>0</v>
      </c>
      <c r="H8634">
        <v>0</v>
      </c>
      <c r="I8634">
        <v>0.1741125760648204</v>
      </c>
      <c r="J8634">
        <v>0</v>
      </c>
      <c r="K8634">
        <v>0</v>
      </c>
      <c r="L8634" s="2">
        <v>0</v>
      </c>
      <c r="M8634">
        <v>84.70999999999999</v>
      </c>
      <c r="N8634" t="s">
        <v>10236</v>
      </c>
    </row>
    <row r="8635" spans="1:14">
      <c r="A8635" t="s">
        <v>35</v>
      </c>
      <c r="B8635" t="s">
        <v>8605</v>
      </c>
      <c r="C8635">
        <f>"HC008"</f>
        <v>0</v>
      </c>
      <c r="D8635">
        <v>0</v>
      </c>
      <c r="E8635">
        <v>0</v>
      </c>
      <c r="F8635" s="2">
        <v>0</v>
      </c>
      <c r="H8635">
        <v>0</v>
      </c>
      <c r="I8635">
        <v>0.1741125760648204</v>
      </c>
      <c r="J8635">
        <v>0</v>
      </c>
      <c r="K8635">
        <v>0</v>
      </c>
      <c r="L8635" s="2">
        <v>0</v>
      </c>
      <c r="M8635">
        <v>84.72</v>
      </c>
      <c r="N8635" t="s">
        <v>10236</v>
      </c>
    </row>
    <row r="8636" spans="1:14">
      <c r="A8636" t="s">
        <v>35</v>
      </c>
      <c r="B8636" t="s">
        <v>8605</v>
      </c>
      <c r="C8636">
        <f>"HC009"</f>
        <v>0</v>
      </c>
      <c r="D8636">
        <v>0</v>
      </c>
      <c r="E8636">
        <v>0</v>
      </c>
      <c r="F8636" s="2">
        <v>0</v>
      </c>
      <c r="H8636">
        <v>0</v>
      </c>
      <c r="I8636">
        <v>0.1741125760648204</v>
      </c>
      <c r="J8636">
        <v>0</v>
      </c>
      <c r="K8636">
        <v>0</v>
      </c>
      <c r="L8636" s="2">
        <v>0</v>
      </c>
      <c r="M8636">
        <v>84.73</v>
      </c>
      <c r="N8636" t="s">
        <v>10236</v>
      </c>
    </row>
    <row r="8637" spans="1:14">
      <c r="A8637" t="s">
        <v>35</v>
      </c>
      <c r="B8637" t="s">
        <v>8606</v>
      </c>
      <c r="C8637">
        <f>"HC010"</f>
        <v>0</v>
      </c>
      <c r="D8637">
        <v>0</v>
      </c>
      <c r="E8637">
        <v>0</v>
      </c>
      <c r="F8637" s="2">
        <v>0</v>
      </c>
      <c r="H8637">
        <v>0</v>
      </c>
      <c r="I8637">
        <v>0.1741125760648204</v>
      </c>
      <c r="J8637">
        <v>0</v>
      </c>
      <c r="K8637">
        <v>0</v>
      </c>
      <c r="L8637" s="2">
        <v>0</v>
      </c>
      <c r="M8637">
        <v>84.73999999999999</v>
      </c>
      <c r="N8637" t="s">
        <v>10236</v>
      </c>
    </row>
    <row r="8638" spans="1:14">
      <c r="A8638" t="s">
        <v>35</v>
      </c>
      <c r="B8638" t="s">
        <v>8607</v>
      </c>
      <c r="C8638">
        <f>"HC011"</f>
        <v>0</v>
      </c>
      <c r="D8638">
        <v>0</v>
      </c>
      <c r="E8638">
        <v>0</v>
      </c>
      <c r="F8638" s="2">
        <v>0</v>
      </c>
      <c r="H8638">
        <v>0</v>
      </c>
      <c r="I8638">
        <v>0.1741125760648204</v>
      </c>
      <c r="J8638">
        <v>0</v>
      </c>
      <c r="K8638">
        <v>0</v>
      </c>
      <c r="L8638" s="2">
        <v>0</v>
      </c>
      <c r="M8638">
        <v>84.75</v>
      </c>
      <c r="N8638" t="s">
        <v>10236</v>
      </c>
    </row>
    <row r="8639" spans="1:14">
      <c r="A8639" t="s">
        <v>209</v>
      </c>
      <c r="B8639" t="s">
        <v>8608</v>
      </c>
      <c r="C8639">
        <f>"5GA70003"</f>
        <v>0</v>
      </c>
      <c r="D8639">
        <v>0</v>
      </c>
      <c r="E8639">
        <v>0</v>
      </c>
      <c r="F8639" s="2">
        <v>0</v>
      </c>
      <c r="H8639">
        <v>0</v>
      </c>
      <c r="I8639">
        <v>0.1741125760648204</v>
      </c>
      <c r="J8639">
        <v>0</v>
      </c>
      <c r="K8639">
        <v>0</v>
      </c>
      <c r="L8639" s="2">
        <v>0</v>
      </c>
      <c r="M8639">
        <v>84.76000000000001</v>
      </c>
      <c r="N8639" t="s">
        <v>10236</v>
      </c>
    </row>
    <row r="8640" spans="1:14">
      <c r="A8640" t="s">
        <v>35</v>
      </c>
      <c r="B8640" t="s">
        <v>8609</v>
      </c>
      <c r="C8640">
        <f>"HC017"</f>
        <v>0</v>
      </c>
      <c r="D8640">
        <v>0</v>
      </c>
      <c r="E8640">
        <v>0</v>
      </c>
      <c r="F8640" s="2">
        <v>0</v>
      </c>
      <c r="H8640">
        <v>0</v>
      </c>
      <c r="I8640">
        <v>0.1741125760648204</v>
      </c>
      <c r="J8640">
        <v>0</v>
      </c>
      <c r="K8640">
        <v>0</v>
      </c>
      <c r="L8640" s="2">
        <v>0</v>
      </c>
      <c r="M8640">
        <v>84.77</v>
      </c>
      <c r="N8640" t="s">
        <v>10236</v>
      </c>
    </row>
    <row r="8641" spans="1:14">
      <c r="A8641" t="s">
        <v>35</v>
      </c>
      <c r="B8641" t="s">
        <v>8610</v>
      </c>
      <c r="C8641">
        <f>"HC016"</f>
        <v>0</v>
      </c>
      <c r="D8641">
        <v>0</v>
      </c>
      <c r="E8641">
        <v>0</v>
      </c>
      <c r="F8641" s="2">
        <v>0</v>
      </c>
      <c r="H8641">
        <v>0</v>
      </c>
      <c r="I8641">
        <v>0.1741125760648204</v>
      </c>
      <c r="J8641">
        <v>0</v>
      </c>
      <c r="K8641">
        <v>0</v>
      </c>
      <c r="L8641" s="2">
        <v>0</v>
      </c>
      <c r="M8641">
        <v>84.78</v>
      </c>
      <c r="N8641" t="s">
        <v>10236</v>
      </c>
    </row>
    <row r="8642" spans="1:14">
      <c r="A8642" t="s">
        <v>35</v>
      </c>
      <c r="B8642" t="s">
        <v>8611</v>
      </c>
      <c r="C8642">
        <f>"HC072"</f>
        <v>0</v>
      </c>
      <c r="D8642">
        <v>0</v>
      </c>
      <c r="E8642">
        <v>0</v>
      </c>
      <c r="F8642" s="2">
        <v>0</v>
      </c>
      <c r="H8642">
        <v>0</v>
      </c>
      <c r="I8642">
        <v>0.1741125760648204</v>
      </c>
      <c r="J8642">
        <v>0</v>
      </c>
      <c r="K8642">
        <v>0</v>
      </c>
      <c r="L8642" s="2">
        <v>0</v>
      </c>
      <c r="M8642">
        <v>84.79000000000001</v>
      </c>
      <c r="N8642" t="s">
        <v>10236</v>
      </c>
    </row>
    <row r="8643" spans="1:14">
      <c r="A8643" t="s">
        <v>25</v>
      </c>
      <c r="B8643" t="s">
        <v>8612</v>
      </c>
      <c r="C8643">
        <f>"8500472"</f>
        <v>0</v>
      </c>
      <c r="D8643">
        <v>0</v>
      </c>
      <c r="E8643">
        <v>0</v>
      </c>
      <c r="F8643" s="2">
        <v>0</v>
      </c>
      <c r="H8643">
        <v>0</v>
      </c>
      <c r="I8643">
        <v>0.1741125760648204</v>
      </c>
      <c r="J8643">
        <v>0</v>
      </c>
      <c r="K8643">
        <v>0</v>
      </c>
      <c r="L8643" s="2">
        <v>0</v>
      </c>
      <c r="M8643">
        <v>84.8</v>
      </c>
      <c r="N8643" t="s">
        <v>10236</v>
      </c>
    </row>
    <row r="8644" spans="1:14">
      <c r="A8644" t="s">
        <v>25</v>
      </c>
      <c r="B8644" t="s">
        <v>8613</v>
      </c>
      <c r="C8644">
        <f>"8500473"</f>
        <v>0</v>
      </c>
      <c r="D8644">
        <v>0</v>
      </c>
      <c r="E8644">
        <v>0</v>
      </c>
      <c r="F8644" s="2">
        <v>0</v>
      </c>
      <c r="H8644">
        <v>0</v>
      </c>
      <c r="I8644">
        <v>0.1741125760648204</v>
      </c>
      <c r="J8644">
        <v>0</v>
      </c>
      <c r="K8644">
        <v>0</v>
      </c>
      <c r="L8644" s="2">
        <v>0</v>
      </c>
      <c r="M8644">
        <v>84.8</v>
      </c>
      <c r="N8644" t="s">
        <v>10236</v>
      </c>
    </row>
    <row r="8645" spans="1:14">
      <c r="A8645" t="s">
        <v>35</v>
      </c>
      <c r="B8645" t="s">
        <v>8614</v>
      </c>
      <c r="C8645">
        <f>"EK3001CA"</f>
        <v>0</v>
      </c>
      <c r="D8645">
        <v>0</v>
      </c>
      <c r="E8645">
        <v>1</v>
      </c>
      <c r="F8645" s="2">
        <v>765</v>
      </c>
      <c r="H8645">
        <v>0</v>
      </c>
      <c r="I8645">
        <v>0.1741125760648204</v>
      </c>
      <c r="J8645">
        <v>0</v>
      </c>
      <c r="K8645">
        <v>0</v>
      </c>
      <c r="L8645" s="2">
        <v>0</v>
      </c>
      <c r="M8645">
        <v>84.81</v>
      </c>
      <c r="N8645" t="s">
        <v>10236</v>
      </c>
    </row>
    <row r="8646" spans="1:14">
      <c r="A8646" t="s">
        <v>35</v>
      </c>
      <c r="B8646" t="s">
        <v>8615</v>
      </c>
      <c r="C8646">
        <f>"EK3001AZ"</f>
        <v>0</v>
      </c>
      <c r="D8646">
        <v>0</v>
      </c>
      <c r="E8646">
        <v>0</v>
      </c>
      <c r="F8646" s="2">
        <v>0</v>
      </c>
      <c r="H8646">
        <v>0</v>
      </c>
      <c r="I8646">
        <v>0.1741125760648204</v>
      </c>
      <c r="J8646">
        <v>0</v>
      </c>
      <c r="K8646">
        <v>0</v>
      </c>
      <c r="L8646" s="2">
        <v>0</v>
      </c>
      <c r="M8646">
        <v>84.81999999999999</v>
      </c>
      <c r="N8646" t="s">
        <v>10236</v>
      </c>
    </row>
    <row r="8647" spans="1:14">
      <c r="A8647" t="s">
        <v>35</v>
      </c>
      <c r="B8647" t="s">
        <v>8616</v>
      </c>
      <c r="C8647">
        <f>"FB857MA"</f>
        <v>0</v>
      </c>
      <c r="D8647">
        <v>0</v>
      </c>
      <c r="E8647">
        <v>0</v>
      </c>
      <c r="F8647" s="2">
        <v>0</v>
      </c>
      <c r="H8647">
        <v>0</v>
      </c>
      <c r="I8647">
        <v>0.1741125760648204</v>
      </c>
      <c r="J8647">
        <v>0</v>
      </c>
      <c r="K8647">
        <v>0</v>
      </c>
      <c r="L8647" s="2">
        <v>0</v>
      </c>
      <c r="M8647">
        <v>84.83</v>
      </c>
      <c r="N8647" t="s">
        <v>10236</v>
      </c>
    </row>
    <row r="8648" spans="1:14">
      <c r="A8648" t="s">
        <v>35</v>
      </c>
      <c r="B8648" t="s">
        <v>8617</v>
      </c>
      <c r="C8648">
        <f>"FB857LRO"</f>
        <v>0</v>
      </c>
      <c r="D8648">
        <v>0</v>
      </c>
      <c r="E8648">
        <v>7</v>
      </c>
      <c r="F8648" s="2">
        <v>4</v>
      </c>
      <c r="H8648">
        <v>0</v>
      </c>
      <c r="I8648">
        <v>0.1741125760648204</v>
      </c>
      <c r="J8648">
        <v>0</v>
      </c>
      <c r="K8648">
        <v>0</v>
      </c>
      <c r="L8648" s="2">
        <v>0</v>
      </c>
      <c r="M8648">
        <v>84.84</v>
      </c>
      <c r="N8648" t="s">
        <v>10236</v>
      </c>
    </row>
    <row r="8649" spans="1:14">
      <c r="A8649" t="s">
        <v>35</v>
      </c>
      <c r="B8649" t="s">
        <v>8618</v>
      </c>
      <c r="C8649">
        <f>"FB857LR"</f>
        <v>0</v>
      </c>
      <c r="D8649">
        <v>0</v>
      </c>
      <c r="E8649">
        <v>2</v>
      </c>
      <c r="F8649" s="2">
        <v>4</v>
      </c>
      <c r="H8649">
        <v>0</v>
      </c>
      <c r="I8649">
        <v>0.1741125760648204</v>
      </c>
      <c r="J8649">
        <v>0</v>
      </c>
      <c r="K8649">
        <v>0</v>
      </c>
      <c r="L8649" s="2">
        <v>0</v>
      </c>
      <c r="M8649">
        <v>84.84999999999999</v>
      </c>
      <c r="N8649" t="s">
        <v>10236</v>
      </c>
    </row>
    <row r="8650" spans="1:14">
      <c r="A8650" t="s">
        <v>35</v>
      </c>
      <c r="B8650" t="s">
        <v>8619</v>
      </c>
      <c r="C8650">
        <f>"FB857LA"</f>
        <v>0</v>
      </c>
      <c r="D8650">
        <v>0</v>
      </c>
      <c r="E8650">
        <v>2</v>
      </c>
      <c r="F8650" s="2">
        <v>4</v>
      </c>
      <c r="H8650">
        <v>0</v>
      </c>
      <c r="I8650">
        <v>0.1741125760648204</v>
      </c>
      <c r="J8650">
        <v>0</v>
      </c>
      <c r="K8650">
        <v>0</v>
      </c>
      <c r="L8650" s="2">
        <v>0</v>
      </c>
      <c r="M8650">
        <v>84.86</v>
      </c>
      <c r="N8650" t="s">
        <v>10236</v>
      </c>
    </row>
    <row r="8651" spans="1:14">
      <c r="A8651" t="s">
        <v>35</v>
      </c>
      <c r="B8651" t="s">
        <v>8620</v>
      </c>
      <c r="C8651">
        <f>"WD310368"</f>
        <v>0</v>
      </c>
      <c r="D8651">
        <v>0</v>
      </c>
      <c r="E8651">
        <v>4</v>
      </c>
      <c r="F8651" s="2">
        <v>1</v>
      </c>
      <c r="H8651">
        <v>0</v>
      </c>
      <c r="I8651">
        <v>0.1741125760648204</v>
      </c>
      <c r="J8651">
        <v>0</v>
      </c>
      <c r="K8651">
        <v>0</v>
      </c>
      <c r="L8651" s="2">
        <v>0</v>
      </c>
      <c r="M8651">
        <v>84.87</v>
      </c>
      <c r="N8651" t="s">
        <v>10236</v>
      </c>
    </row>
    <row r="8652" spans="1:14">
      <c r="A8652" t="s">
        <v>35</v>
      </c>
      <c r="B8652" t="s">
        <v>8621</v>
      </c>
      <c r="C8652">
        <f>"4000128"</f>
        <v>0</v>
      </c>
      <c r="D8652">
        <v>0</v>
      </c>
      <c r="E8652">
        <v>1</v>
      </c>
      <c r="F8652" s="2">
        <v>2</v>
      </c>
      <c r="H8652">
        <v>0</v>
      </c>
      <c r="I8652">
        <v>0.1741125760648204</v>
      </c>
      <c r="J8652">
        <v>0</v>
      </c>
      <c r="K8652">
        <v>0</v>
      </c>
      <c r="L8652" s="2">
        <v>0</v>
      </c>
      <c r="M8652">
        <v>84.88</v>
      </c>
      <c r="N8652" t="s">
        <v>10236</v>
      </c>
    </row>
    <row r="8653" spans="1:14">
      <c r="A8653" t="s">
        <v>35</v>
      </c>
      <c r="B8653" t="s">
        <v>8622</v>
      </c>
      <c r="C8653">
        <f>"4000111"</f>
        <v>0</v>
      </c>
      <c r="D8653">
        <v>0</v>
      </c>
      <c r="E8653">
        <v>0</v>
      </c>
      <c r="F8653" s="2">
        <v>0</v>
      </c>
      <c r="H8653">
        <v>0</v>
      </c>
      <c r="I8653">
        <v>0.1741125760648204</v>
      </c>
      <c r="J8653">
        <v>0</v>
      </c>
      <c r="K8653">
        <v>0</v>
      </c>
      <c r="L8653" s="2">
        <v>0</v>
      </c>
      <c r="M8653">
        <v>84.89</v>
      </c>
      <c r="N8653" t="s">
        <v>10236</v>
      </c>
    </row>
    <row r="8654" spans="1:14">
      <c r="A8654" t="s">
        <v>35</v>
      </c>
      <c r="B8654" t="s">
        <v>8623</v>
      </c>
      <c r="C8654">
        <f>"HFEM"</f>
        <v>0</v>
      </c>
      <c r="D8654">
        <v>0</v>
      </c>
      <c r="E8654">
        <v>0</v>
      </c>
      <c r="F8654" s="2">
        <v>0</v>
      </c>
      <c r="H8654">
        <v>0</v>
      </c>
      <c r="I8654">
        <v>0.1741125760648204</v>
      </c>
      <c r="J8654">
        <v>0</v>
      </c>
      <c r="K8654">
        <v>0</v>
      </c>
      <c r="L8654" s="2">
        <v>0</v>
      </c>
      <c r="M8654">
        <v>84.90000000000001</v>
      </c>
      <c r="N8654" t="s">
        <v>10236</v>
      </c>
    </row>
    <row r="8655" spans="1:14">
      <c r="A8655" t="s">
        <v>35</v>
      </c>
      <c r="B8655" t="s">
        <v>8624</v>
      </c>
      <c r="C8655">
        <f>"SLL10310S"</f>
        <v>0</v>
      </c>
      <c r="D8655">
        <v>0</v>
      </c>
      <c r="E8655">
        <v>6</v>
      </c>
      <c r="F8655" s="2">
        <v>1</v>
      </c>
      <c r="H8655">
        <v>0</v>
      </c>
      <c r="I8655">
        <v>0.1741125760648204</v>
      </c>
      <c r="J8655">
        <v>0</v>
      </c>
      <c r="K8655">
        <v>0</v>
      </c>
      <c r="L8655" s="2">
        <v>0</v>
      </c>
      <c r="M8655">
        <v>84.91</v>
      </c>
      <c r="N8655" t="s">
        <v>10236</v>
      </c>
    </row>
    <row r="8656" spans="1:14">
      <c r="A8656" t="s">
        <v>25</v>
      </c>
      <c r="B8656" t="s">
        <v>8625</v>
      </c>
      <c r="C8656">
        <f>"SP001S"</f>
        <v>0</v>
      </c>
      <c r="D8656">
        <v>0</v>
      </c>
      <c r="E8656">
        <v>4</v>
      </c>
      <c r="F8656" s="2">
        <v>3</v>
      </c>
      <c r="H8656">
        <v>0</v>
      </c>
      <c r="I8656">
        <v>0.1741125760648204</v>
      </c>
      <c r="J8656">
        <v>0</v>
      </c>
      <c r="K8656">
        <v>0</v>
      </c>
      <c r="L8656" s="2">
        <v>0</v>
      </c>
      <c r="M8656">
        <v>84.91</v>
      </c>
      <c r="N8656" t="s">
        <v>10236</v>
      </c>
    </row>
    <row r="8657" spans="1:14">
      <c r="A8657" t="s">
        <v>25</v>
      </c>
      <c r="B8657" t="s">
        <v>8626</v>
      </c>
      <c r="C8657">
        <f>"JS105VE"</f>
        <v>0</v>
      </c>
      <c r="D8657">
        <v>0</v>
      </c>
      <c r="E8657">
        <v>4</v>
      </c>
      <c r="F8657" s="2">
        <v>0</v>
      </c>
      <c r="H8657">
        <v>0</v>
      </c>
      <c r="I8657">
        <v>0.1741125760648204</v>
      </c>
      <c r="J8657">
        <v>0</v>
      </c>
      <c r="K8657">
        <v>0</v>
      </c>
      <c r="L8657" s="2">
        <v>0</v>
      </c>
      <c r="M8657">
        <v>84.92</v>
      </c>
      <c r="N8657" t="s">
        <v>10236</v>
      </c>
    </row>
    <row r="8658" spans="1:14">
      <c r="A8658" t="s">
        <v>25</v>
      </c>
      <c r="B8658" t="s">
        <v>8627</v>
      </c>
      <c r="C8658">
        <f>"JS105ROS"</f>
        <v>0</v>
      </c>
      <c r="D8658">
        <v>0</v>
      </c>
      <c r="E8658">
        <v>3</v>
      </c>
      <c r="F8658" s="2">
        <v>0</v>
      </c>
      <c r="H8658">
        <v>0</v>
      </c>
      <c r="I8658">
        <v>0.1741125760648204</v>
      </c>
      <c r="J8658">
        <v>0</v>
      </c>
      <c r="K8658">
        <v>0</v>
      </c>
      <c r="L8658" s="2">
        <v>0</v>
      </c>
      <c r="M8658">
        <v>84.93000000000001</v>
      </c>
      <c r="N8658" t="s">
        <v>10236</v>
      </c>
    </row>
    <row r="8659" spans="1:14">
      <c r="A8659" t="s">
        <v>25</v>
      </c>
      <c r="B8659" t="s">
        <v>8628</v>
      </c>
      <c r="C8659">
        <f>"JS105"</f>
        <v>0</v>
      </c>
      <c r="D8659">
        <v>0</v>
      </c>
      <c r="E8659">
        <v>0</v>
      </c>
      <c r="F8659" s="2">
        <v>0</v>
      </c>
      <c r="H8659">
        <v>0</v>
      </c>
      <c r="I8659">
        <v>0.1741125760648204</v>
      </c>
      <c r="J8659">
        <v>0</v>
      </c>
      <c r="K8659">
        <v>0</v>
      </c>
      <c r="L8659" s="2">
        <v>0</v>
      </c>
      <c r="M8659">
        <v>84.94</v>
      </c>
      <c r="N8659" t="s">
        <v>10236</v>
      </c>
    </row>
    <row r="8660" spans="1:14">
      <c r="A8660" t="s">
        <v>35</v>
      </c>
      <c r="B8660" t="s">
        <v>8629</v>
      </c>
      <c r="C8660">
        <f>"HC0114"</f>
        <v>0</v>
      </c>
      <c r="D8660">
        <v>0</v>
      </c>
      <c r="E8660">
        <v>0</v>
      </c>
      <c r="F8660" s="2">
        <v>0</v>
      </c>
      <c r="H8660">
        <v>0</v>
      </c>
      <c r="I8660">
        <v>0.1741125760648204</v>
      </c>
      <c r="J8660">
        <v>0</v>
      </c>
      <c r="K8660">
        <v>0</v>
      </c>
      <c r="L8660" s="2">
        <v>0</v>
      </c>
      <c r="M8660">
        <v>84.95</v>
      </c>
      <c r="N8660" t="s">
        <v>10236</v>
      </c>
    </row>
    <row r="8661" spans="1:14">
      <c r="A8661" t="s">
        <v>35</v>
      </c>
      <c r="B8661" t="s">
        <v>8630</v>
      </c>
      <c r="C8661">
        <f>"ER165"</f>
        <v>0</v>
      </c>
      <c r="D8661">
        <v>0</v>
      </c>
      <c r="E8661">
        <v>4</v>
      </c>
      <c r="F8661" s="2">
        <v>5</v>
      </c>
      <c r="H8661">
        <v>0</v>
      </c>
      <c r="I8661">
        <v>0.1741125760648204</v>
      </c>
      <c r="J8661">
        <v>0</v>
      </c>
      <c r="K8661">
        <v>0</v>
      </c>
      <c r="L8661" s="2">
        <v>0</v>
      </c>
      <c r="M8661">
        <v>84.95999999999999</v>
      </c>
      <c r="N8661" t="s">
        <v>10236</v>
      </c>
    </row>
    <row r="8662" spans="1:14">
      <c r="A8662" t="s">
        <v>35</v>
      </c>
      <c r="B8662" t="s">
        <v>8631</v>
      </c>
      <c r="C8662">
        <f>"PA40802"</f>
        <v>0</v>
      </c>
      <c r="D8662">
        <v>0</v>
      </c>
      <c r="E8662">
        <v>0</v>
      </c>
      <c r="F8662" s="2">
        <v>0</v>
      </c>
      <c r="H8662">
        <v>0</v>
      </c>
      <c r="I8662">
        <v>0.1741125760648204</v>
      </c>
      <c r="J8662">
        <v>0</v>
      </c>
      <c r="K8662">
        <v>0</v>
      </c>
      <c r="L8662" s="2">
        <v>0</v>
      </c>
      <c r="M8662">
        <v>84.97</v>
      </c>
      <c r="N8662" t="s">
        <v>10236</v>
      </c>
    </row>
    <row r="8663" spans="1:14">
      <c r="A8663" t="s">
        <v>35</v>
      </c>
      <c r="B8663" t="s">
        <v>8632</v>
      </c>
      <c r="C8663">
        <f>"X012"</f>
        <v>0</v>
      </c>
      <c r="D8663">
        <v>0</v>
      </c>
      <c r="E8663">
        <v>0</v>
      </c>
      <c r="F8663" s="2">
        <v>0</v>
      </c>
      <c r="H8663">
        <v>0</v>
      </c>
      <c r="I8663">
        <v>0.1741125760648204</v>
      </c>
      <c r="J8663">
        <v>0</v>
      </c>
      <c r="K8663">
        <v>0</v>
      </c>
      <c r="L8663" s="2">
        <v>0</v>
      </c>
      <c r="M8663">
        <v>84.98</v>
      </c>
      <c r="N8663" t="s">
        <v>10236</v>
      </c>
    </row>
    <row r="8664" spans="1:14">
      <c r="A8664" t="s">
        <v>35</v>
      </c>
      <c r="B8664" t="s">
        <v>8633</v>
      </c>
      <c r="C8664">
        <f>"PS9022B"</f>
        <v>0</v>
      </c>
      <c r="D8664">
        <v>0</v>
      </c>
      <c r="E8664">
        <v>5</v>
      </c>
      <c r="F8664" s="2">
        <v>2</v>
      </c>
      <c r="H8664">
        <v>0</v>
      </c>
      <c r="I8664">
        <v>0.1741125760648204</v>
      </c>
      <c r="J8664">
        <v>0</v>
      </c>
      <c r="K8664">
        <v>0</v>
      </c>
      <c r="L8664" s="2">
        <v>0</v>
      </c>
      <c r="M8664">
        <v>84.98999999999999</v>
      </c>
      <c r="N8664" t="s">
        <v>10236</v>
      </c>
    </row>
    <row r="8665" spans="1:14">
      <c r="A8665" t="s">
        <v>200</v>
      </c>
      <c r="B8665" t="s">
        <v>8634</v>
      </c>
      <c r="C8665">
        <f>"W0007"</f>
        <v>0</v>
      </c>
      <c r="D8665">
        <v>0</v>
      </c>
      <c r="E8665">
        <v>3</v>
      </c>
      <c r="F8665" s="2">
        <v>5</v>
      </c>
      <c r="H8665">
        <v>0</v>
      </c>
      <c r="I8665">
        <v>0.1741125760648204</v>
      </c>
      <c r="J8665">
        <v>0</v>
      </c>
      <c r="K8665">
        <v>0</v>
      </c>
      <c r="L8665" s="2">
        <v>0</v>
      </c>
      <c r="M8665">
        <v>85</v>
      </c>
      <c r="N8665" t="s">
        <v>10236</v>
      </c>
    </row>
    <row r="8666" spans="1:14">
      <c r="A8666" t="s">
        <v>35</v>
      </c>
      <c r="B8666" t="s">
        <v>8635</v>
      </c>
      <c r="C8666">
        <f>"bps7423"</f>
        <v>0</v>
      </c>
      <c r="D8666">
        <v>0</v>
      </c>
      <c r="E8666">
        <v>0</v>
      </c>
      <c r="F8666" s="2">
        <v>0</v>
      </c>
      <c r="H8666">
        <v>0</v>
      </c>
      <c r="I8666">
        <v>0.1741125760648204</v>
      </c>
      <c r="J8666">
        <v>0</v>
      </c>
      <c r="K8666">
        <v>0</v>
      </c>
      <c r="L8666" s="2">
        <v>0</v>
      </c>
      <c r="M8666">
        <v>85.01000000000001</v>
      </c>
      <c r="N8666" t="s">
        <v>10236</v>
      </c>
    </row>
    <row r="8667" spans="1:14">
      <c r="A8667" t="s">
        <v>35</v>
      </c>
      <c r="B8667" t="s">
        <v>8636</v>
      </c>
      <c r="C8667">
        <f>"ZRD2019322"</f>
        <v>0</v>
      </c>
      <c r="D8667">
        <v>0</v>
      </c>
      <c r="E8667">
        <v>0</v>
      </c>
      <c r="F8667" s="2">
        <v>0</v>
      </c>
      <c r="H8667">
        <v>0</v>
      </c>
      <c r="I8667">
        <v>0.1741125760648204</v>
      </c>
      <c r="J8667">
        <v>0</v>
      </c>
      <c r="K8667">
        <v>0</v>
      </c>
      <c r="L8667" s="2">
        <v>0</v>
      </c>
      <c r="M8667">
        <v>85.02</v>
      </c>
      <c r="N8667" t="s">
        <v>10236</v>
      </c>
    </row>
    <row r="8668" spans="1:14">
      <c r="A8668" t="s">
        <v>223</v>
      </c>
      <c r="B8668" t="s">
        <v>8637</v>
      </c>
      <c r="C8668">
        <f>"7771513"</f>
        <v>0</v>
      </c>
      <c r="D8668">
        <v>0</v>
      </c>
      <c r="E8668">
        <v>0</v>
      </c>
      <c r="F8668" s="2">
        <v>0</v>
      </c>
      <c r="H8668">
        <v>0</v>
      </c>
      <c r="I8668">
        <v>0.1741125760648204</v>
      </c>
      <c r="J8668">
        <v>0</v>
      </c>
      <c r="K8668">
        <v>0</v>
      </c>
      <c r="L8668" s="2">
        <v>0</v>
      </c>
      <c r="M8668">
        <v>85.03</v>
      </c>
      <c r="N8668" t="s">
        <v>10236</v>
      </c>
    </row>
    <row r="8669" spans="1:14">
      <c r="A8669" t="s">
        <v>35</v>
      </c>
      <c r="B8669" t="s">
        <v>8638</v>
      </c>
      <c r="C8669">
        <f>"HFEM2"</f>
        <v>0</v>
      </c>
      <c r="D8669">
        <v>0</v>
      </c>
      <c r="E8669">
        <v>0</v>
      </c>
      <c r="F8669" s="2">
        <v>0</v>
      </c>
      <c r="H8669">
        <v>0</v>
      </c>
      <c r="I8669">
        <v>0.1741125760648204</v>
      </c>
      <c r="J8669">
        <v>0</v>
      </c>
      <c r="K8669">
        <v>0</v>
      </c>
      <c r="L8669" s="2">
        <v>0</v>
      </c>
      <c r="M8669">
        <v>85.03</v>
      </c>
      <c r="N8669" t="s">
        <v>10236</v>
      </c>
    </row>
    <row r="8670" spans="1:14">
      <c r="A8670" t="s">
        <v>35</v>
      </c>
      <c r="B8670" t="s">
        <v>8639</v>
      </c>
      <c r="C8670">
        <f>"SLL10310XL"</f>
        <v>0</v>
      </c>
      <c r="D8670">
        <v>0</v>
      </c>
      <c r="E8670">
        <v>20</v>
      </c>
      <c r="F8670" s="2">
        <v>3</v>
      </c>
      <c r="H8670">
        <v>0</v>
      </c>
      <c r="I8670">
        <v>0.1741125760648204</v>
      </c>
      <c r="J8670">
        <v>0</v>
      </c>
      <c r="K8670">
        <v>0</v>
      </c>
      <c r="L8670" s="2">
        <v>0</v>
      </c>
      <c r="M8670">
        <v>85.04000000000001</v>
      </c>
      <c r="N8670" t="s">
        <v>10236</v>
      </c>
    </row>
    <row r="8671" spans="1:14">
      <c r="A8671" t="s">
        <v>25</v>
      </c>
      <c r="B8671" t="s">
        <v>8640</v>
      </c>
      <c r="C8671">
        <f>"D800"</f>
        <v>0</v>
      </c>
      <c r="D8671">
        <v>0</v>
      </c>
      <c r="E8671">
        <v>0</v>
      </c>
      <c r="F8671" s="2">
        <v>0</v>
      </c>
      <c r="H8671">
        <v>0</v>
      </c>
      <c r="I8671">
        <v>0.1741125760648204</v>
      </c>
      <c r="J8671">
        <v>0</v>
      </c>
      <c r="K8671">
        <v>0</v>
      </c>
      <c r="L8671" s="2">
        <v>0</v>
      </c>
      <c r="M8671">
        <v>85.05</v>
      </c>
      <c r="N8671" t="s">
        <v>10236</v>
      </c>
    </row>
    <row r="8672" spans="1:14">
      <c r="A8672" t="s">
        <v>25</v>
      </c>
      <c r="B8672" t="s">
        <v>8641</v>
      </c>
      <c r="C8672">
        <f>"M032"</f>
        <v>0</v>
      </c>
      <c r="D8672">
        <v>0</v>
      </c>
      <c r="E8672">
        <v>11</v>
      </c>
      <c r="F8672" s="2">
        <v>10</v>
      </c>
      <c r="H8672">
        <v>0</v>
      </c>
      <c r="I8672">
        <v>0.1741125760648204</v>
      </c>
      <c r="J8672">
        <v>0</v>
      </c>
      <c r="K8672">
        <v>0</v>
      </c>
      <c r="L8672" s="2">
        <v>0</v>
      </c>
      <c r="M8672">
        <v>85.06</v>
      </c>
      <c r="N8672" t="s">
        <v>10236</v>
      </c>
    </row>
    <row r="8673" spans="1:14">
      <c r="A8673" t="s">
        <v>25</v>
      </c>
      <c r="B8673" t="s">
        <v>8642</v>
      </c>
      <c r="C8673">
        <f>"512"</f>
        <v>0</v>
      </c>
      <c r="D8673">
        <v>0</v>
      </c>
      <c r="E8673">
        <v>3</v>
      </c>
      <c r="F8673" s="2">
        <v>11</v>
      </c>
      <c r="H8673">
        <v>0</v>
      </c>
      <c r="I8673">
        <v>0.1741125760648204</v>
      </c>
      <c r="J8673">
        <v>0</v>
      </c>
      <c r="K8673">
        <v>0</v>
      </c>
      <c r="L8673" s="2">
        <v>0</v>
      </c>
      <c r="M8673">
        <v>85.06999999999999</v>
      </c>
      <c r="N8673" t="s">
        <v>10236</v>
      </c>
    </row>
    <row r="8674" spans="1:14">
      <c r="A8674" t="s">
        <v>35</v>
      </c>
      <c r="B8674" t="s">
        <v>8643</v>
      </c>
      <c r="C8674">
        <f>"KF6006"</f>
        <v>0</v>
      </c>
      <c r="D8674">
        <v>0</v>
      </c>
      <c r="E8674">
        <v>0</v>
      </c>
      <c r="F8674" s="2">
        <v>0</v>
      </c>
      <c r="H8674">
        <v>0</v>
      </c>
      <c r="I8674">
        <v>0.1741125760648204</v>
      </c>
      <c r="J8674">
        <v>0</v>
      </c>
      <c r="K8674">
        <v>0</v>
      </c>
      <c r="L8674" s="2">
        <v>0</v>
      </c>
      <c r="M8674">
        <v>85.08</v>
      </c>
      <c r="N8674" t="s">
        <v>10236</v>
      </c>
    </row>
    <row r="8675" spans="1:14">
      <c r="A8675" t="s">
        <v>25</v>
      </c>
      <c r="B8675" t="s">
        <v>8644</v>
      </c>
      <c r="C8675">
        <f>"S20028"</f>
        <v>0</v>
      </c>
      <c r="D8675">
        <v>0</v>
      </c>
      <c r="E8675">
        <v>4</v>
      </c>
      <c r="F8675" s="2">
        <v>22</v>
      </c>
      <c r="H8675">
        <v>0</v>
      </c>
      <c r="I8675">
        <v>0.1741125760648204</v>
      </c>
      <c r="J8675">
        <v>0</v>
      </c>
      <c r="K8675">
        <v>0</v>
      </c>
      <c r="L8675" s="2">
        <v>0</v>
      </c>
      <c r="M8675">
        <v>85.09</v>
      </c>
      <c r="N8675" t="s">
        <v>10236</v>
      </c>
    </row>
    <row r="8676" spans="1:14">
      <c r="A8676" t="s">
        <v>192</v>
      </c>
      <c r="B8676" t="s">
        <v>8645</v>
      </c>
      <c r="C8676">
        <f>"AA24"</f>
        <v>0</v>
      </c>
      <c r="D8676">
        <v>0</v>
      </c>
      <c r="E8676">
        <v>0</v>
      </c>
      <c r="F8676" s="2">
        <v>0</v>
      </c>
      <c r="H8676">
        <v>0</v>
      </c>
      <c r="I8676">
        <v>0.1741125760648204</v>
      </c>
      <c r="J8676">
        <v>0</v>
      </c>
      <c r="K8676">
        <v>0</v>
      </c>
      <c r="L8676" s="2">
        <v>0</v>
      </c>
      <c r="M8676">
        <v>85.09999999999999</v>
      </c>
      <c r="N8676" t="s">
        <v>10236</v>
      </c>
    </row>
    <row r="8677" spans="1:14">
      <c r="A8677" t="s">
        <v>192</v>
      </c>
      <c r="B8677" t="s">
        <v>8646</v>
      </c>
      <c r="C8677">
        <f>"A14"</f>
        <v>0</v>
      </c>
      <c r="D8677">
        <v>0</v>
      </c>
      <c r="E8677">
        <v>0</v>
      </c>
      <c r="F8677" s="2">
        <v>0</v>
      </c>
      <c r="H8677">
        <v>0</v>
      </c>
      <c r="I8677">
        <v>0.1741125760648204</v>
      </c>
      <c r="J8677">
        <v>0</v>
      </c>
      <c r="K8677">
        <v>0</v>
      </c>
      <c r="L8677" s="2">
        <v>0</v>
      </c>
      <c r="M8677">
        <v>85.11</v>
      </c>
      <c r="N8677" t="s">
        <v>10236</v>
      </c>
    </row>
    <row r="8678" spans="1:14">
      <c r="A8678" t="s">
        <v>25</v>
      </c>
      <c r="B8678" t="s">
        <v>8647</v>
      </c>
      <c r="C8678">
        <f>"57069611"</f>
        <v>0</v>
      </c>
      <c r="D8678">
        <v>0</v>
      </c>
      <c r="E8678">
        <v>0</v>
      </c>
      <c r="F8678" s="2">
        <v>0</v>
      </c>
      <c r="H8678">
        <v>0</v>
      </c>
      <c r="I8678">
        <v>0.1741125760648204</v>
      </c>
      <c r="J8678">
        <v>0</v>
      </c>
      <c r="K8678">
        <v>0</v>
      </c>
      <c r="L8678" s="2">
        <v>0</v>
      </c>
      <c r="M8678">
        <v>85.12</v>
      </c>
      <c r="N8678" t="s">
        <v>10236</v>
      </c>
    </row>
    <row r="8679" spans="1:14">
      <c r="A8679" t="s">
        <v>25</v>
      </c>
      <c r="B8679" t="s">
        <v>8648</v>
      </c>
      <c r="C8679">
        <f>"YB093"</f>
        <v>0</v>
      </c>
      <c r="D8679">
        <v>0</v>
      </c>
      <c r="E8679">
        <v>0</v>
      </c>
      <c r="F8679" s="2">
        <v>0</v>
      </c>
      <c r="H8679">
        <v>0</v>
      </c>
      <c r="I8679">
        <v>0.1741125760648204</v>
      </c>
      <c r="J8679">
        <v>0</v>
      </c>
      <c r="K8679">
        <v>0</v>
      </c>
      <c r="L8679" s="2">
        <v>0</v>
      </c>
      <c r="M8679">
        <v>85.13</v>
      </c>
      <c r="N8679" t="s">
        <v>10236</v>
      </c>
    </row>
    <row r="8680" spans="1:14">
      <c r="A8680" t="s">
        <v>25</v>
      </c>
      <c r="B8680" t="s">
        <v>8649</v>
      </c>
      <c r="C8680">
        <f>"M0101"</f>
        <v>0</v>
      </c>
      <c r="D8680">
        <v>0</v>
      </c>
      <c r="E8680">
        <v>2</v>
      </c>
      <c r="F8680" s="2">
        <v>9</v>
      </c>
      <c r="H8680">
        <v>0</v>
      </c>
      <c r="I8680">
        <v>0.1741125760648204</v>
      </c>
      <c r="J8680">
        <v>0</v>
      </c>
      <c r="K8680">
        <v>0</v>
      </c>
      <c r="L8680" s="2">
        <v>0</v>
      </c>
      <c r="M8680">
        <v>85.14</v>
      </c>
      <c r="N8680" t="s">
        <v>10236</v>
      </c>
    </row>
    <row r="8681" spans="1:14">
      <c r="A8681" t="s">
        <v>35</v>
      </c>
      <c r="B8681" t="s">
        <v>8650</v>
      </c>
      <c r="C8681">
        <f>"H6201"</f>
        <v>0</v>
      </c>
      <c r="D8681">
        <v>0</v>
      </c>
      <c r="E8681">
        <v>0</v>
      </c>
      <c r="F8681" s="2">
        <v>0</v>
      </c>
      <c r="H8681">
        <v>0</v>
      </c>
      <c r="I8681">
        <v>0.1741125760648204</v>
      </c>
      <c r="J8681">
        <v>0</v>
      </c>
      <c r="K8681">
        <v>0</v>
      </c>
      <c r="L8681" s="2">
        <v>0</v>
      </c>
      <c r="M8681">
        <v>85.15000000000001</v>
      </c>
      <c r="N8681" t="s">
        <v>10236</v>
      </c>
    </row>
    <row r="8682" spans="1:14">
      <c r="A8682" t="s">
        <v>25</v>
      </c>
      <c r="B8682" t="s">
        <v>8651</v>
      </c>
      <c r="C8682">
        <f>"H4702"</f>
        <v>0</v>
      </c>
      <c r="D8682">
        <v>0</v>
      </c>
      <c r="E8682">
        <v>0</v>
      </c>
      <c r="F8682" s="2">
        <v>0</v>
      </c>
      <c r="H8682">
        <v>0</v>
      </c>
      <c r="I8682">
        <v>0.1741125760648204</v>
      </c>
      <c r="J8682">
        <v>0</v>
      </c>
      <c r="K8682">
        <v>0</v>
      </c>
      <c r="L8682" s="2">
        <v>0</v>
      </c>
      <c r="M8682">
        <v>85.15000000000001</v>
      </c>
      <c r="N8682" t="s">
        <v>10236</v>
      </c>
    </row>
    <row r="8683" spans="1:14">
      <c r="A8683" t="s">
        <v>25</v>
      </c>
      <c r="B8683" t="s">
        <v>8652</v>
      </c>
      <c r="C8683">
        <f>"H4701"</f>
        <v>0</v>
      </c>
      <c r="D8683">
        <v>0</v>
      </c>
      <c r="E8683">
        <v>0</v>
      </c>
      <c r="F8683" s="2">
        <v>0</v>
      </c>
      <c r="H8683">
        <v>0</v>
      </c>
      <c r="I8683">
        <v>0.1741125760648204</v>
      </c>
      <c r="J8683">
        <v>0</v>
      </c>
      <c r="K8683">
        <v>0</v>
      </c>
      <c r="L8683" s="2">
        <v>0</v>
      </c>
      <c r="M8683">
        <v>85.16</v>
      </c>
      <c r="N8683" t="s">
        <v>10236</v>
      </c>
    </row>
    <row r="8684" spans="1:14">
      <c r="A8684" t="s">
        <v>35</v>
      </c>
      <c r="B8684" t="s">
        <v>8653</v>
      </c>
      <c r="C8684">
        <f>"H3503"</f>
        <v>0</v>
      </c>
      <c r="D8684">
        <v>0</v>
      </c>
      <c r="E8684">
        <v>1</v>
      </c>
      <c r="F8684" s="2">
        <v>7</v>
      </c>
      <c r="H8684">
        <v>0</v>
      </c>
      <c r="I8684">
        <v>0.1741125760648204</v>
      </c>
      <c r="J8684">
        <v>0</v>
      </c>
      <c r="K8684">
        <v>0</v>
      </c>
      <c r="L8684" s="2">
        <v>0</v>
      </c>
      <c r="M8684">
        <v>85.17</v>
      </c>
      <c r="N8684" t="s">
        <v>10236</v>
      </c>
    </row>
    <row r="8685" spans="1:14">
      <c r="A8685" t="s">
        <v>32</v>
      </c>
      <c r="B8685" t="s">
        <v>8654</v>
      </c>
      <c r="C8685">
        <f>"1589228777972"</f>
        <v>0</v>
      </c>
      <c r="D8685">
        <v>0</v>
      </c>
      <c r="E8685">
        <v>0</v>
      </c>
      <c r="F8685" s="2">
        <v>0</v>
      </c>
      <c r="H8685">
        <v>0</v>
      </c>
      <c r="I8685">
        <v>0.1741125760648204</v>
      </c>
      <c r="J8685">
        <v>0</v>
      </c>
      <c r="K8685">
        <v>0</v>
      </c>
      <c r="L8685" s="2">
        <v>0</v>
      </c>
      <c r="M8685">
        <v>85.18000000000001</v>
      </c>
      <c r="N8685" t="s">
        <v>10236</v>
      </c>
    </row>
    <row r="8686" spans="1:14">
      <c r="A8686" t="s">
        <v>25</v>
      </c>
      <c r="B8686" t="s">
        <v>8655</v>
      </c>
      <c r="C8686">
        <f>"125"</f>
        <v>0</v>
      </c>
      <c r="D8686">
        <v>0</v>
      </c>
      <c r="E8686">
        <v>7</v>
      </c>
      <c r="F8686" s="2">
        <v>9</v>
      </c>
      <c r="H8686">
        <v>0</v>
      </c>
      <c r="I8686">
        <v>0.1741125760648204</v>
      </c>
      <c r="J8686">
        <v>0</v>
      </c>
      <c r="K8686">
        <v>0</v>
      </c>
      <c r="L8686" s="2">
        <v>0</v>
      </c>
      <c r="M8686">
        <v>85.19</v>
      </c>
      <c r="N8686" t="s">
        <v>10236</v>
      </c>
    </row>
    <row r="8687" spans="1:14">
      <c r="A8687" t="s">
        <v>192</v>
      </c>
      <c r="B8687" t="s">
        <v>8656</v>
      </c>
      <c r="C8687">
        <f>"A26AMAR"</f>
        <v>0</v>
      </c>
      <c r="D8687">
        <v>0</v>
      </c>
      <c r="E8687">
        <v>0</v>
      </c>
      <c r="F8687" s="2">
        <v>0</v>
      </c>
      <c r="H8687">
        <v>0</v>
      </c>
      <c r="I8687">
        <v>0.1741125760648204</v>
      </c>
      <c r="J8687">
        <v>0</v>
      </c>
      <c r="K8687">
        <v>0</v>
      </c>
      <c r="L8687" s="2">
        <v>0</v>
      </c>
      <c r="M8687">
        <v>85.2</v>
      </c>
      <c r="N8687" t="s">
        <v>10236</v>
      </c>
    </row>
    <row r="8688" spans="1:14">
      <c r="A8688" t="s">
        <v>192</v>
      </c>
      <c r="B8688" t="s">
        <v>8657</v>
      </c>
      <c r="C8688">
        <f>"A26AVER"</f>
        <v>0</v>
      </c>
      <c r="D8688">
        <v>0</v>
      </c>
      <c r="E8688">
        <v>0</v>
      </c>
      <c r="F8688" s="2">
        <v>0</v>
      </c>
      <c r="H8688">
        <v>0</v>
      </c>
      <c r="I8688">
        <v>0.1741125760648204</v>
      </c>
      <c r="J8688">
        <v>0</v>
      </c>
      <c r="K8688">
        <v>0</v>
      </c>
      <c r="L8688" s="2">
        <v>0</v>
      </c>
      <c r="M8688">
        <v>85.20999999999999</v>
      </c>
      <c r="N8688" t="s">
        <v>10236</v>
      </c>
    </row>
    <row r="8689" spans="1:14">
      <c r="A8689" t="s">
        <v>25</v>
      </c>
      <c r="B8689" t="s">
        <v>8658</v>
      </c>
      <c r="C8689">
        <f>"901"</f>
        <v>0</v>
      </c>
      <c r="D8689">
        <v>0</v>
      </c>
      <c r="E8689">
        <v>0</v>
      </c>
      <c r="F8689" s="2">
        <v>0</v>
      </c>
      <c r="H8689">
        <v>0</v>
      </c>
      <c r="I8689">
        <v>0.1741125760648204</v>
      </c>
      <c r="J8689">
        <v>0</v>
      </c>
      <c r="K8689">
        <v>0</v>
      </c>
      <c r="L8689" s="2">
        <v>0</v>
      </c>
      <c r="M8689">
        <v>85.22</v>
      </c>
      <c r="N8689" t="s">
        <v>10236</v>
      </c>
    </row>
    <row r="8690" spans="1:14">
      <c r="A8690" t="s">
        <v>192</v>
      </c>
      <c r="B8690" t="s">
        <v>8659</v>
      </c>
      <c r="C8690">
        <f>"A25A"</f>
        <v>0</v>
      </c>
      <c r="D8690">
        <v>0</v>
      </c>
      <c r="E8690">
        <v>1</v>
      </c>
      <c r="F8690" s="2">
        <v>117</v>
      </c>
      <c r="H8690">
        <v>0</v>
      </c>
      <c r="I8690">
        <v>0.1741125760648204</v>
      </c>
      <c r="J8690">
        <v>0</v>
      </c>
      <c r="K8690">
        <v>0</v>
      </c>
      <c r="L8690" s="2">
        <v>0</v>
      </c>
      <c r="M8690">
        <v>85.23</v>
      </c>
      <c r="N8690" t="s">
        <v>10236</v>
      </c>
    </row>
    <row r="8691" spans="1:14">
      <c r="A8691" t="s">
        <v>25</v>
      </c>
      <c r="B8691" t="s">
        <v>8660</v>
      </c>
      <c r="C8691">
        <f>"YB018"</f>
        <v>0</v>
      </c>
      <c r="D8691">
        <v>0</v>
      </c>
      <c r="E8691">
        <v>6</v>
      </c>
      <c r="F8691" s="2">
        <v>18</v>
      </c>
      <c r="H8691">
        <v>0</v>
      </c>
      <c r="I8691">
        <v>0.1741125760648204</v>
      </c>
      <c r="J8691">
        <v>0</v>
      </c>
      <c r="K8691">
        <v>0</v>
      </c>
      <c r="L8691" s="2">
        <v>0</v>
      </c>
      <c r="M8691">
        <v>85.23999999999999</v>
      </c>
      <c r="N8691" t="s">
        <v>10236</v>
      </c>
    </row>
    <row r="8692" spans="1:14">
      <c r="A8692" t="s">
        <v>25</v>
      </c>
      <c r="B8692" t="s">
        <v>8661</v>
      </c>
      <c r="C8692">
        <f>"114"</f>
        <v>0</v>
      </c>
      <c r="D8692">
        <v>0</v>
      </c>
      <c r="E8692">
        <v>6</v>
      </c>
      <c r="F8692" s="2">
        <v>5</v>
      </c>
      <c r="H8692">
        <v>0</v>
      </c>
      <c r="I8692">
        <v>0.1741125760648204</v>
      </c>
      <c r="J8692">
        <v>0</v>
      </c>
      <c r="K8692">
        <v>0</v>
      </c>
      <c r="L8692" s="2">
        <v>0</v>
      </c>
      <c r="M8692">
        <v>85.25</v>
      </c>
      <c r="N8692" t="s">
        <v>10236</v>
      </c>
    </row>
    <row r="8693" spans="1:14">
      <c r="A8693" t="s">
        <v>25</v>
      </c>
      <c r="B8693" t="s">
        <v>8662</v>
      </c>
      <c r="C8693">
        <f>"NX16"</f>
        <v>0</v>
      </c>
      <c r="D8693">
        <v>0</v>
      </c>
      <c r="E8693">
        <v>0</v>
      </c>
      <c r="F8693" s="2">
        <v>0</v>
      </c>
      <c r="H8693">
        <v>0</v>
      </c>
      <c r="I8693">
        <v>0.1741125760648204</v>
      </c>
      <c r="J8693">
        <v>0</v>
      </c>
      <c r="K8693">
        <v>0</v>
      </c>
      <c r="L8693" s="2">
        <v>0</v>
      </c>
      <c r="M8693">
        <v>85.26000000000001</v>
      </c>
      <c r="N8693" t="s">
        <v>10236</v>
      </c>
    </row>
    <row r="8694" spans="1:14">
      <c r="A8694" t="s">
        <v>192</v>
      </c>
      <c r="B8694" t="s">
        <v>8663</v>
      </c>
      <c r="C8694">
        <f>"601"</f>
        <v>0</v>
      </c>
      <c r="D8694">
        <v>0</v>
      </c>
      <c r="E8694">
        <v>0</v>
      </c>
      <c r="F8694" s="2">
        <v>0</v>
      </c>
      <c r="H8694">
        <v>0</v>
      </c>
      <c r="I8694">
        <v>0.1741125760648204</v>
      </c>
      <c r="J8694">
        <v>0</v>
      </c>
      <c r="K8694">
        <v>0</v>
      </c>
      <c r="L8694" s="2">
        <v>0</v>
      </c>
      <c r="M8694">
        <v>85.27</v>
      </c>
      <c r="N8694" t="s">
        <v>10236</v>
      </c>
    </row>
    <row r="8695" spans="1:14">
      <c r="A8695" t="s">
        <v>25</v>
      </c>
      <c r="B8695" t="s">
        <v>8664</v>
      </c>
      <c r="C8695">
        <f>"S20040"</f>
        <v>0</v>
      </c>
      <c r="D8695">
        <v>0</v>
      </c>
      <c r="E8695">
        <v>1</v>
      </c>
      <c r="F8695" s="2">
        <v>32</v>
      </c>
      <c r="H8695">
        <v>0</v>
      </c>
      <c r="I8695">
        <v>0.1741125760648204</v>
      </c>
      <c r="J8695">
        <v>0</v>
      </c>
      <c r="K8695">
        <v>0</v>
      </c>
      <c r="L8695" s="2">
        <v>0</v>
      </c>
      <c r="M8695">
        <v>85.27</v>
      </c>
      <c r="N8695" t="s">
        <v>10236</v>
      </c>
    </row>
    <row r="8696" spans="1:14">
      <c r="A8696" t="s">
        <v>25</v>
      </c>
      <c r="B8696" t="s">
        <v>8665</v>
      </c>
      <c r="C8696">
        <f>"57054401"</f>
        <v>0</v>
      </c>
      <c r="D8696">
        <v>0</v>
      </c>
      <c r="E8696">
        <v>0</v>
      </c>
      <c r="F8696" s="2">
        <v>0</v>
      </c>
      <c r="H8696">
        <v>0</v>
      </c>
      <c r="I8696">
        <v>0.1741125760648204</v>
      </c>
      <c r="J8696">
        <v>0</v>
      </c>
      <c r="K8696">
        <v>0</v>
      </c>
      <c r="L8696" s="2">
        <v>0</v>
      </c>
      <c r="M8696">
        <v>85.28</v>
      </c>
      <c r="N8696" t="s">
        <v>10236</v>
      </c>
    </row>
    <row r="8697" spans="1:14">
      <c r="A8697" t="s">
        <v>25</v>
      </c>
      <c r="B8697" t="s">
        <v>8666</v>
      </c>
      <c r="C8697">
        <f>"YB092VECEL"</f>
        <v>0</v>
      </c>
      <c r="D8697">
        <v>0</v>
      </c>
      <c r="E8697">
        <v>0</v>
      </c>
      <c r="F8697" s="2">
        <v>0</v>
      </c>
      <c r="H8697">
        <v>0</v>
      </c>
      <c r="I8697">
        <v>0.1741125760648204</v>
      </c>
      <c r="J8697">
        <v>0</v>
      </c>
      <c r="K8697">
        <v>0</v>
      </c>
      <c r="L8697" s="2">
        <v>0</v>
      </c>
      <c r="M8697">
        <v>85.29000000000001</v>
      </c>
      <c r="N8697" t="s">
        <v>10236</v>
      </c>
    </row>
    <row r="8698" spans="1:14">
      <c r="A8698" t="s">
        <v>25</v>
      </c>
      <c r="B8698" t="s">
        <v>8667</v>
      </c>
      <c r="C8698">
        <f>"YB092"</f>
        <v>0</v>
      </c>
      <c r="D8698">
        <v>0</v>
      </c>
      <c r="E8698">
        <v>1</v>
      </c>
      <c r="F8698" s="2">
        <v>20</v>
      </c>
      <c r="H8698">
        <v>0</v>
      </c>
      <c r="I8698">
        <v>0.1741125760648204</v>
      </c>
      <c r="J8698">
        <v>0</v>
      </c>
      <c r="K8698">
        <v>0</v>
      </c>
      <c r="L8698" s="2">
        <v>0</v>
      </c>
      <c r="M8698">
        <v>85.3</v>
      </c>
      <c r="N8698" t="s">
        <v>10236</v>
      </c>
    </row>
    <row r="8699" spans="1:14">
      <c r="A8699" t="s">
        <v>30</v>
      </c>
      <c r="B8699" t="s">
        <v>8668</v>
      </c>
      <c r="C8699">
        <f>"100981"</f>
        <v>0</v>
      </c>
      <c r="D8699">
        <v>0</v>
      </c>
      <c r="E8699">
        <v>0</v>
      </c>
      <c r="F8699" s="2">
        <v>0</v>
      </c>
      <c r="H8699">
        <v>0</v>
      </c>
      <c r="I8699">
        <v>0.1741125760648204</v>
      </c>
      <c r="J8699">
        <v>0</v>
      </c>
      <c r="K8699">
        <v>0</v>
      </c>
      <c r="L8699" s="2">
        <v>0</v>
      </c>
      <c r="M8699">
        <v>85.31</v>
      </c>
      <c r="N8699" t="s">
        <v>10236</v>
      </c>
    </row>
    <row r="8700" spans="1:14">
      <c r="A8700" t="s">
        <v>209</v>
      </c>
      <c r="B8700" t="s">
        <v>8669</v>
      </c>
      <c r="C8700">
        <f>"4GA070005"</f>
        <v>0</v>
      </c>
      <c r="D8700">
        <v>0</v>
      </c>
      <c r="E8700">
        <v>0</v>
      </c>
      <c r="F8700" s="2">
        <v>0</v>
      </c>
      <c r="H8700">
        <v>0</v>
      </c>
      <c r="I8700">
        <v>0.1741125760648204</v>
      </c>
      <c r="J8700">
        <v>0</v>
      </c>
      <c r="K8700">
        <v>0</v>
      </c>
      <c r="L8700" s="2">
        <v>0</v>
      </c>
      <c r="M8700">
        <v>85.31999999999999</v>
      </c>
      <c r="N8700" t="s">
        <v>10236</v>
      </c>
    </row>
    <row r="8701" spans="1:14">
      <c r="A8701" t="s">
        <v>25</v>
      </c>
      <c r="B8701" t="s">
        <v>8670</v>
      </c>
      <c r="C8701">
        <f>"M032B"</f>
        <v>0</v>
      </c>
      <c r="D8701">
        <v>0</v>
      </c>
      <c r="E8701">
        <v>0</v>
      </c>
      <c r="F8701" s="2">
        <v>0</v>
      </c>
      <c r="H8701">
        <v>0</v>
      </c>
      <c r="I8701">
        <v>0.1741125760648204</v>
      </c>
      <c r="J8701">
        <v>0</v>
      </c>
      <c r="K8701">
        <v>0</v>
      </c>
      <c r="L8701" s="2">
        <v>0</v>
      </c>
      <c r="M8701">
        <v>85.33</v>
      </c>
      <c r="N8701" t="s">
        <v>10236</v>
      </c>
    </row>
    <row r="8702" spans="1:14">
      <c r="A8702" t="s">
        <v>35</v>
      </c>
      <c r="B8702" t="s">
        <v>8671</v>
      </c>
      <c r="C8702">
        <f>"DB821RS"</f>
        <v>0</v>
      </c>
      <c r="D8702">
        <v>0</v>
      </c>
      <c r="E8702">
        <v>2</v>
      </c>
      <c r="F8702" s="2">
        <v>7</v>
      </c>
      <c r="H8702">
        <v>0</v>
      </c>
      <c r="I8702">
        <v>0.1741125760648204</v>
      </c>
      <c r="J8702">
        <v>0</v>
      </c>
      <c r="K8702">
        <v>0</v>
      </c>
      <c r="L8702" s="2">
        <v>0</v>
      </c>
      <c r="M8702">
        <v>85.34</v>
      </c>
      <c r="N8702" t="s">
        <v>10236</v>
      </c>
    </row>
    <row r="8703" spans="1:14">
      <c r="A8703" t="s">
        <v>35</v>
      </c>
      <c r="B8703" t="s">
        <v>8672</v>
      </c>
      <c r="C8703">
        <f>"DB821RM"</f>
        <v>0</v>
      </c>
      <c r="D8703">
        <v>0</v>
      </c>
      <c r="E8703">
        <v>1</v>
      </c>
      <c r="F8703" s="2">
        <v>9</v>
      </c>
      <c r="H8703">
        <v>0</v>
      </c>
      <c r="I8703">
        <v>0.1741125760648204</v>
      </c>
      <c r="J8703">
        <v>0</v>
      </c>
      <c r="K8703">
        <v>0</v>
      </c>
      <c r="L8703" s="2">
        <v>0</v>
      </c>
      <c r="M8703">
        <v>85.34999999999999</v>
      </c>
      <c r="N8703" t="s">
        <v>10236</v>
      </c>
    </row>
    <row r="8704" spans="1:14">
      <c r="A8704" t="s">
        <v>35</v>
      </c>
      <c r="B8704" t="s">
        <v>8673</v>
      </c>
      <c r="C8704">
        <f>"DB821RL"</f>
        <v>0</v>
      </c>
      <c r="D8704">
        <v>0</v>
      </c>
      <c r="E8704">
        <v>0</v>
      </c>
      <c r="F8704" s="2">
        <v>0</v>
      </c>
      <c r="H8704">
        <v>0</v>
      </c>
      <c r="I8704">
        <v>0.1741125760648204</v>
      </c>
      <c r="J8704">
        <v>0</v>
      </c>
      <c r="K8704">
        <v>0</v>
      </c>
      <c r="L8704" s="2">
        <v>0</v>
      </c>
      <c r="M8704">
        <v>85.36</v>
      </c>
      <c r="N8704" t="s">
        <v>10236</v>
      </c>
    </row>
    <row r="8705" spans="1:14">
      <c r="A8705" t="s">
        <v>35</v>
      </c>
      <c r="B8705" t="s">
        <v>8674</v>
      </c>
      <c r="C8705">
        <f>"DB821MXL"</f>
        <v>0</v>
      </c>
      <c r="D8705">
        <v>0</v>
      </c>
      <c r="E8705">
        <v>2</v>
      </c>
      <c r="F8705" s="2">
        <v>12</v>
      </c>
      <c r="H8705">
        <v>0</v>
      </c>
      <c r="I8705">
        <v>0.1741125760648204</v>
      </c>
      <c r="J8705">
        <v>0</v>
      </c>
      <c r="K8705">
        <v>0</v>
      </c>
      <c r="L8705" s="2">
        <v>0</v>
      </c>
      <c r="M8705">
        <v>85.37</v>
      </c>
      <c r="N8705" t="s">
        <v>10236</v>
      </c>
    </row>
    <row r="8706" spans="1:14">
      <c r="A8706" t="s">
        <v>35</v>
      </c>
      <c r="B8706" t="s">
        <v>8675</v>
      </c>
      <c r="C8706">
        <f>"DB821MS"</f>
        <v>0</v>
      </c>
      <c r="D8706">
        <v>0</v>
      </c>
      <c r="E8706">
        <v>1</v>
      </c>
      <c r="F8706" s="2">
        <v>7</v>
      </c>
      <c r="H8706">
        <v>0</v>
      </c>
      <c r="I8706">
        <v>0.1741125760648204</v>
      </c>
      <c r="J8706">
        <v>0</v>
      </c>
      <c r="K8706">
        <v>0</v>
      </c>
      <c r="L8706" s="2">
        <v>0</v>
      </c>
      <c r="M8706">
        <v>85.38</v>
      </c>
      <c r="N8706" t="s">
        <v>10236</v>
      </c>
    </row>
    <row r="8707" spans="1:14">
      <c r="A8707" t="s">
        <v>35</v>
      </c>
      <c r="B8707" t="s">
        <v>8676</v>
      </c>
      <c r="C8707">
        <f>"DB821MM"</f>
        <v>0</v>
      </c>
      <c r="D8707">
        <v>0</v>
      </c>
      <c r="E8707">
        <v>2</v>
      </c>
      <c r="F8707" s="2">
        <v>9</v>
      </c>
      <c r="H8707">
        <v>0</v>
      </c>
      <c r="I8707">
        <v>0.1741125760648204</v>
      </c>
      <c r="J8707">
        <v>0</v>
      </c>
      <c r="K8707">
        <v>0</v>
      </c>
      <c r="L8707" s="2">
        <v>0</v>
      </c>
      <c r="M8707">
        <v>85.39</v>
      </c>
      <c r="N8707" t="s">
        <v>10236</v>
      </c>
    </row>
    <row r="8708" spans="1:14">
      <c r="A8708" t="s">
        <v>35</v>
      </c>
      <c r="B8708" t="s">
        <v>8677</v>
      </c>
      <c r="C8708">
        <f>"DB821ML"</f>
        <v>0</v>
      </c>
      <c r="D8708">
        <v>0</v>
      </c>
      <c r="E8708">
        <v>0</v>
      </c>
      <c r="F8708" s="2">
        <v>0</v>
      </c>
      <c r="H8708">
        <v>0</v>
      </c>
      <c r="I8708">
        <v>0.1741125760648204</v>
      </c>
      <c r="J8708">
        <v>0</v>
      </c>
      <c r="K8708">
        <v>0</v>
      </c>
      <c r="L8708" s="2">
        <v>0</v>
      </c>
      <c r="M8708">
        <v>85.39</v>
      </c>
      <c r="N8708" t="s">
        <v>10236</v>
      </c>
    </row>
    <row r="8709" spans="1:14">
      <c r="A8709" t="s">
        <v>35</v>
      </c>
      <c r="B8709" t="s">
        <v>8678</v>
      </c>
      <c r="C8709">
        <f>"1619L"</f>
        <v>0</v>
      </c>
      <c r="D8709">
        <v>0</v>
      </c>
      <c r="E8709">
        <v>15</v>
      </c>
      <c r="F8709" s="2">
        <v>5</v>
      </c>
      <c r="H8709">
        <v>0</v>
      </c>
      <c r="I8709">
        <v>0.1741125760648204</v>
      </c>
      <c r="J8709">
        <v>0</v>
      </c>
      <c r="K8709">
        <v>0</v>
      </c>
      <c r="L8709" s="2">
        <v>0</v>
      </c>
      <c r="M8709">
        <v>85.40000000000001</v>
      </c>
      <c r="N8709" t="s">
        <v>10236</v>
      </c>
    </row>
    <row r="8710" spans="1:14">
      <c r="A8710" t="s">
        <v>35</v>
      </c>
      <c r="B8710" t="s">
        <v>8679</v>
      </c>
      <c r="C8710">
        <f>"WD692"</f>
        <v>0</v>
      </c>
      <c r="D8710">
        <v>0</v>
      </c>
      <c r="E8710">
        <v>20</v>
      </c>
      <c r="F8710" s="2">
        <v>2</v>
      </c>
      <c r="H8710">
        <v>0</v>
      </c>
      <c r="I8710">
        <v>0.1741125760648204</v>
      </c>
      <c r="J8710">
        <v>0</v>
      </c>
      <c r="K8710">
        <v>0</v>
      </c>
      <c r="L8710" s="2">
        <v>0</v>
      </c>
      <c r="M8710">
        <v>85.41</v>
      </c>
      <c r="N8710" t="s">
        <v>10236</v>
      </c>
    </row>
    <row r="8711" spans="1:14">
      <c r="A8711" t="s">
        <v>35</v>
      </c>
      <c r="B8711" t="s">
        <v>8680</v>
      </c>
      <c r="C8711">
        <f>"DN185"</f>
        <v>0</v>
      </c>
      <c r="D8711">
        <v>0</v>
      </c>
      <c r="E8711">
        <v>5</v>
      </c>
      <c r="F8711" s="2">
        <v>2</v>
      </c>
      <c r="H8711">
        <v>0</v>
      </c>
      <c r="I8711">
        <v>0.1741125760648204</v>
      </c>
      <c r="J8711">
        <v>0</v>
      </c>
      <c r="K8711">
        <v>0</v>
      </c>
      <c r="L8711" s="2">
        <v>0</v>
      </c>
      <c r="M8711">
        <v>85.42</v>
      </c>
      <c r="N8711" t="s">
        <v>10236</v>
      </c>
    </row>
    <row r="8712" spans="1:14">
      <c r="A8712" t="s">
        <v>35</v>
      </c>
      <c r="B8712" t="s">
        <v>8681</v>
      </c>
      <c r="C8712">
        <f>"DN184"</f>
        <v>0</v>
      </c>
      <c r="D8712">
        <v>0</v>
      </c>
      <c r="E8712">
        <v>4</v>
      </c>
      <c r="F8712" s="2">
        <v>2</v>
      </c>
      <c r="H8712">
        <v>0</v>
      </c>
      <c r="I8712">
        <v>0.1741125760648204</v>
      </c>
      <c r="J8712">
        <v>0</v>
      </c>
      <c r="K8712">
        <v>0</v>
      </c>
      <c r="L8712" s="2">
        <v>0</v>
      </c>
      <c r="M8712">
        <v>85.43000000000001</v>
      </c>
      <c r="N8712" t="s">
        <v>10236</v>
      </c>
    </row>
    <row r="8713" spans="1:14">
      <c r="A8713" t="s">
        <v>35</v>
      </c>
      <c r="B8713" t="s">
        <v>8682</v>
      </c>
      <c r="C8713">
        <f>"1055MN"</f>
        <v>0</v>
      </c>
      <c r="D8713">
        <v>0</v>
      </c>
      <c r="E8713">
        <v>4</v>
      </c>
      <c r="F8713" s="2">
        <v>14</v>
      </c>
      <c r="H8713">
        <v>0</v>
      </c>
      <c r="I8713">
        <v>0.1741125760648204</v>
      </c>
      <c r="J8713">
        <v>0</v>
      </c>
      <c r="K8713">
        <v>0</v>
      </c>
      <c r="L8713" s="2">
        <v>0</v>
      </c>
      <c r="M8713">
        <v>85.44</v>
      </c>
      <c r="N8713" t="s">
        <v>10236</v>
      </c>
    </row>
    <row r="8714" spans="1:14">
      <c r="A8714" t="s">
        <v>35</v>
      </c>
      <c r="B8714" t="s">
        <v>8683</v>
      </c>
      <c r="C8714">
        <f>"1050SB"</f>
        <v>0</v>
      </c>
      <c r="D8714">
        <v>0</v>
      </c>
      <c r="E8714">
        <v>0</v>
      </c>
      <c r="F8714" s="2">
        <v>0</v>
      </c>
      <c r="H8714">
        <v>0</v>
      </c>
      <c r="I8714">
        <v>0.1741125760648204</v>
      </c>
      <c r="J8714">
        <v>0</v>
      </c>
      <c r="K8714">
        <v>0</v>
      </c>
      <c r="L8714" s="2">
        <v>0</v>
      </c>
      <c r="M8714">
        <v>85.45</v>
      </c>
      <c r="N8714" t="s">
        <v>10236</v>
      </c>
    </row>
    <row r="8715" spans="1:14">
      <c r="A8715" t="s">
        <v>192</v>
      </c>
      <c r="B8715" t="s">
        <v>8684</v>
      </c>
      <c r="C8715">
        <f>"A33"</f>
        <v>0</v>
      </c>
      <c r="D8715">
        <v>0</v>
      </c>
      <c r="E8715">
        <v>0</v>
      </c>
      <c r="F8715" s="2">
        <v>0</v>
      </c>
      <c r="H8715">
        <v>0</v>
      </c>
      <c r="I8715">
        <v>0.1741125760648204</v>
      </c>
      <c r="J8715">
        <v>0</v>
      </c>
      <c r="K8715">
        <v>0</v>
      </c>
      <c r="L8715" s="2">
        <v>0</v>
      </c>
      <c r="M8715">
        <v>85.45999999999999</v>
      </c>
      <c r="N8715" t="s">
        <v>10236</v>
      </c>
    </row>
    <row r="8716" spans="1:14">
      <c r="A8716" t="s">
        <v>35</v>
      </c>
      <c r="B8716" t="s">
        <v>8685</v>
      </c>
      <c r="C8716">
        <f>"2029610200928"</f>
        <v>0</v>
      </c>
      <c r="D8716">
        <v>0</v>
      </c>
      <c r="E8716">
        <v>0</v>
      </c>
      <c r="F8716" s="2">
        <v>0</v>
      </c>
      <c r="H8716">
        <v>0</v>
      </c>
      <c r="I8716">
        <v>0.1741125760648204</v>
      </c>
      <c r="J8716">
        <v>0</v>
      </c>
      <c r="K8716">
        <v>0</v>
      </c>
      <c r="L8716" s="2">
        <v>0</v>
      </c>
      <c r="M8716">
        <v>85.47</v>
      </c>
      <c r="N8716" t="s">
        <v>10236</v>
      </c>
    </row>
    <row r="8717" spans="1:14">
      <c r="A8717" t="s">
        <v>192</v>
      </c>
      <c r="B8717" t="s">
        <v>8686</v>
      </c>
      <c r="C8717">
        <f>"808ANE"</f>
        <v>0</v>
      </c>
      <c r="D8717">
        <v>0</v>
      </c>
      <c r="E8717">
        <v>0</v>
      </c>
      <c r="F8717" s="2">
        <v>0</v>
      </c>
      <c r="H8717">
        <v>0</v>
      </c>
      <c r="I8717">
        <v>0.1741125760648204</v>
      </c>
      <c r="J8717">
        <v>0</v>
      </c>
      <c r="K8717">
        <v>0</v>
      </c>
      <c r="L8717" s="2">
        <v>0</v>
      </c>
      <c r="M8717">
        <v>85.48</v>
      </c>
      <c r="N8717" t="s">
        <v>10236</v>
      </c>
    </row>
    <row r="8718" spans="1:14">
      <c r="A8718" t="s">
        <v>192</v>
      </c>
      <c r="B8718" t="s">
        <v>8687</v>
      </c>
      <c r="C8718">
        <f>"808ACEL"</f>
        <v>0</v>
      </c>
      <c r="D8718">
        <v>0</v>
      </c>
      <c r="E8718">
        <v>0</v>
      </c>
      <c r="F8718" s="2">
        <v>0</v>
      </c>
      <c r="H8718">
        <v>0</v>
      </c>
      <c r="I8718">
        <v>0.1741125760648204</v>
      </c>
      <c r="J8718">
        <v>0</v>
      </c>
      <c r="K8718">
        <v>0</v>
      </c>
      <c r="L8718" s="2">
        <v>0</v>
      </c>
      <c r="M8718">
        <v>85.48999999999999</v>
      </c>
      <c r="N8718" t="s">
        <v>10236</v>
      </c>
    </row>
    <row r="8719" spans="1:14">
      <c r="A8719" t="s">
        <v>192</v>
      </c>
      <c r="B8719" t="s">
        <v>8688</v>
      </c>
      <c r="C8719">
        <f>"808ABL"</f>
        <v>0</v>
      </c>
      <c r="D8719">
        <v>0</v>
      </c>
      <c r="E8719">
        <v>0</v>
      </c>
      <c r="F8719" s="2">
        <v>0</v>
      </c>
      <c r="H8719">
        <v>0</v>
      </c>
      <c r="I8719">
        <v>0.1741125760648204</v>
      </c>
      <c r="J8719">
        <v>0</v>
      </c>
      <c r="K8719">
        <v>0</v>
      </c>
      <c r="L8719" s="2">
        <v>0</v>
      </c>
      <c r="M8719">
        <v>85.5</v>
      </c>
      <c r="N8719" t="s">
        <v>10236</v>
      </c>
    </row>
    <row r="8720" spans="1:14">
      <c r="A8720" t="s">
        <v>192</v>
      </c>
      <c r="B8720" t="s">
        <v>8689</v>
      </c>
      <c r="C8720">
        <f>"808A"</f>
        <v>0</v>
      </c>
      <c r="D8720">
        <v>0</v>
      </c>
      <c r="E8720">
        <v>3</v>
      </c>
      <c r="F8720" s="2">
        <v>32</v>
      </c>
      <c r="H8720">
        <v>0</v>
      </c>
      <c r="I8720">
        <v>0.1741125760648204</v>
      </c>
      <c r="J8720">
        <v>0</v>
      </c>
      <c r="K8720">
        <v>0</v>
      </c>
      <c r="L8720" s="2">
        <v>0</v>
      </c>
      <c r="M8720">
        <v>85.5</v>
      </c>
      <c r="N8720" t="s">
        <v>10236</v>
      </c>
    </row>
    <row r="8721" spans="1:14">
      <c r="A8721" t="s">
        <v>192</v>
      </c>
      <c r="B8721" t="s">
        <v>8690</v>
      </c>
      <c r="C8721">
        <f>"613cel"</f>
        <v>0</v>
      </c>
      <c r="D8721">
        <v>0</v>
      </c>
      <c r="E8721">
        <v>1</v>
      </c>
      <c r="F8721" s="2">
        <v>18</v>
      </c>
      <c r="H8721">
        <v>0</v>
      </c>
      <c r="I8721">
        <v>0.1741125760648204</v>
      </c>
      <c r="J8721">
        <v>0</v>
      </c>
      <c r="K8721">
        <v>0</v>
      </c>
      <c r="L8721" s="2">
        <v>0</v>
      </c>
      <c r="M8721">
        <v>85.51000000000001</v>
      </c>
      <c r="N8721" t="s">
        <v>10236</v>
      </c>
    </row>
    <row r="8722" spans="1:14">
      <c r="A8722" t="s">
        <v>192</v>
      </c>
      <c r="B8722" t="s">
        <v>8691</v>
      </c>
      <c r="C8722">
        <f>"613"</f>
        <v>0</v>
      </c>
      <c r="D8722">
        <v>0</v>
      </c>
      <c r="E8722">
        <v>0</v>
      </c>
      <c r="F8722" s="2">
        <v>0</v>
      </c>
      <c r="H8722">
        <v>0</v>
      </c>
      <c r="I8722">
        <v>0.1741125760648204</v>
      </c>
      <c r="J8722">
        <v>0</v>
      </c>
      <c r="K8722">
        <v>0</v>
      </c>
      <c r="L8722" s="2">
        <v>0</v>
      </c>
      <c r="M8722">
        <v>85.52</v>
      </c>
      <c r="N8722" t="s">
        <v>10236</v>
      </c>
    </row>
    <row r="8723" spans="1:14">
      <c r="A8723" t="s">
        <v>192</v>
      </c>
      <c r="B8723" t="s">
        <v>8692</v>
      </c>
      <c r="C8723">
        <f>"A26G"</f>
        <v>0</v>
      </c>
      <c r="D8723">
        <v>0</v>
      </c>
      <c r="E8723">
        <v>0</v>
      </c>
      <c r="F8723" s="2">
        <v>0</v>
      </c>
      <c r="H8723">
        <v>0</v>
      </c>
      <c r="I8723">
        <v>0.1741125760648204</v>
      </c>
      <c r="J8723">
        <v>0</v>
      </c>
      <c r="K8723">
        <v>0</v>
      </c>
      <c r="L8723" s="2">
        <v>0</v>
      </c>
      <c r="M8723">
        <v>85.53</v>
      </c>
      <c r="N8723" t="s">
        <v>10236</v>
      </c>
    </row>
    <row r="8724" spans="1:14">
      <c r="A8724" t="s">
        <v>35</v>
      </c>
      <c r="B8724" t="s">
        <v>8693</v>
      </c>
      <c r="C8724">
        <f>"ATLAS10B"</f>
        <v>0</v>
      </c>
      <c r="D8724">
        <v>0</v>
      </c>
      <c r="E8724">
        <v>2</v>
      </c>
      <c r="F8724" s="2">
        <v>12</v>
      </c>
      <c r="H8724">
        <v>0</v>
      </c>
      <c r="I8724">
        <v>0.1741125760648204</v>
      </c>
      <c r="J8724">
        <v>0</v>
      </c>
      <c r="K8724">
        <v>0</v>
      </c>
      <c r="L8724" s="2">
        <v>0</v>
      </c>
      <c r="M8724">
        <v>85.54000000000001</v>
      </c>
      <c r="N8724" t="s">
        <v>10236</v>
      </c>
    </row>
    <row r="8725" spans="1:14">
      <c r="A8725" t="s">
        <v>35</v>
      </c>
      <c r="B8725" t="s">
        <v>8694</v>
      </c>
      <c r="C8725">
        <f>"LJC48"</f>
        <v>0</v>
      </c>
      <c r="D8725">
        <v>0</v>
      </c>
      <c r="E8725">
        <v>0</v>
      </c>
      <c r="F8725" s="2">
        <v>0</v>
      </c>
      <c r="H8725">
        <v>0</v>
      </c>
      <c r="I8725">
        <v>0.1741125760648204</v>
      </c>
      <c r="J8725">
        <v>0</v>
      </c>
      <c r="K8725">
        <v>0</v>
      </c>
      <c r="L8725" s="2">
        <v>0</v>
      </c>
      <c r="M8725">
        <v>85.55</v>
      </c>
      <c r="N8725" t="s">
        <v>10236</v>
      </c>
    </row>
    <row r="8726" spans="1:14">
      <c r="A8726" t="s">
        <v>35</v>
      </c>
      <c r="B8726" t="s">
        <v>8695</v>
      </c>
      <c r="C8726">
        <f>"073"</f>
        <v>0</v>
      </c>
      <c r="D8726">
        <v>0</v>
      </c>
      <c r="E8726">
        <v>4</v>
      </c>
      <c r="F8726" s="2">
        <v>55</v>
      </c>
      <c r="H8726">
        <v>0</v>
      </c>
      <c r="I8726">
        <v>0.1741125760648204</v>
      </c>
      <c r="J8726">
        <v>0</v>
      </c>
      <c r="K8726">
        <v>0</v>
      </c>
      <c r="L8726" s="2">
        <v>0</v>
      </c>
      <c r="M8726">
        <v>85.56</v>
      </c>
      <c r="N8726" t="s">
        <v>10236</v>
      </c>
    </row>
    <row r="8727" spans="1:14">
      <c r="A8727" t="s">
        <v>35</v>
      </c>
      <c r="B8727" t="s">
        <v>8696</v>
      </c>
      <c r="C8727">
        <f>"074"</f>
        <v>0</v>
      </c>
      <c r="D8727">
        <v>0</v>
      </c>
      <c r="E8727">
        <v>2</v>
      </c>
      <c r="F8727" s="2">
        <v>71</v>
      </c>
      <c r="H8727">
        <v>0</v>
      </c>
      <c r="I8727">
        <v>0.1741125760648204</v>
      </c>
      <c r="J8727">
        <v>0</v>
      </c>
      <c r="K8727">
        <v>0</v>
      </c>
      <c r="L8727" s="2">
        <v>0</v>
      </c>
      <c r="M8727">
        <v>85.56999999999999</v>
      </c>
      <c r="N8727" t="s">
        <v>10236</v>
      </c>
    </row>
    <row r="8728" spans="1:14">
      <c r="A8728" t="s">
        <v>25</v>
      </c>
      <c r="B8728" t="s">
        <v>8697</v>
      </c>
      <c r="C8728">
        <f>"57071570"</f>
        <v>0</v>
      </c>
      <c r="D8728">
        <v>0</v>
      </c>
      <c r="E8728">
        <v>0</v>
      </c>
      <c r="F8728" s="2">
        <v>0</v>
      </c>
      <c r="H8728">
        <v>0</v>
      </c>
      <c r="I8728">
        <v>0.1741125760648204</v>
      </c>
      <c r="J8728">
        <v>0</v>
      </c>
      <c r="K8728">
        <v>0</v>
      </c>
      <c r="L8728" s="2">
        <v>0</v>
      </c>
      <c r="M8728">
        <v>85.58</v>
      </c>
      <c r="N8728" t="s">
        <v>10236</v>
      </c>
    </row>
    <row r="8729" spans="1:14">
      <c r="A8729" t="s">
        <v>25</v>
      </c>
      <c r="B8729" t="s">
        <v>8698</v>
      </c>
      <c r="C8729">
        <f>"57070570"</f>
        <v>0</v>
      </c>
      <c r="D8729">
        <v>0</v>
      </c>
      <c r="E8729">
        <v>0</v>
      </c>
      <c r="F8729" s="2">
        <v>0</v>
      </c>
      <c r="H8729">
        <v>0</v>
      </c>
      <c r="I8729">
        <v>0.1741125760648204</v>
      </c>
      <c r="J8729">
        <v>0</v>
      </c>
      <c r="K8729">
        <v>0</v>
      </c>
      <c r="L8729" s="2">
        <v>0</v>
      </c>
      <c r="M8729">
        <v>85.59</v>
      </c>
      <c r="N8729" t="s">
        <v>10236</v>
      </c>
    </row>
    <row r="8730" spans="1:14">
      <c r="A8730" t="s">
        <v>192</v>
      </c>
      <c r="B8730" t="s">
        <v>8699</v>
      </c>
      <c r="C8730">
        <f>"A4009H"</f>
        <v>0</v>
      </c>
      <c r="D8730">
        <v>0</v>
      </c>
      <c r="E8730">
        <v>0</v>
      </c>
      <c r="F8730" s="2">
        <v>0</v>
      </c>
      <c r="H8730">
        <v>0</v>
      </c>
      <c r="I8730">
        <v>0.1741125760648204</v>
      </c>
      <c r="J8730">
        <v>0</v>
      </c>
      <c r="K8730">
        <v>0</v>
      </c>
      <c r="L8730" s="2">
        <v>0</v>
      </c>
      <c r="M8730">
        <v>85.59999999999999</v>
      </c>
      <c r="N8730" t="s">
        <v>10236</v>
      </c>
    </row>
    <row r="8731" spans="1:14">
      <c r="A8731" t="s">
        <v>192</v>
      </c>
      <c r="B8731" t="s">
        <v>8700</v>
      </c>
      <c r="C8731">
        <f>"A4009"</f>
        <v>0</v>
      </c>
      <c r="D8731">
        <v>0</v>
      </c>
      <c r="E8731">
        <v>0</v>
      </c>
      <c r="F8731" s="2">
        <v>0</v>
      </c>
      <c r="H8731">
        <v>0</v>
      </c>
      <c r="I8731">
        <v>0.1741125760648204</v>
      </c>
      <c r="J8731">
        <v>0</v>
      </c>
      <c r="K8731">
        <v>0</v>
      </c>
      <c r="L8731" s="2">
        <v>0</v>
      </c>
      <c r="M8731">
        <v>85.61</v>
      </c>
      <c r="N8731" t="s">
        <v>10236</v>
      </c>
    </row>
    <row r="8732" spans="1:14">
      <c r="A8732" t="s">
        <v>192</v>
      </c>
      <c r="B8732" t="s">
        <v>8701</v>
      </c>
      <c r="C8732">
        <f>"A33BL"</f>
        <v>0</v>
      </c>
      <c r="D8732">
        <v>0</v>
      </c>
      <c r="E8732">
        <v>0</v>
      </c>
      <c r="F8732" s="2">
        <v>0</v>
      </c>
      <c r="H8732">
        <v>0</v>
      </c>
      <c r="I8732">
        <v>0.1741125760648204</v>
      </c>
      <c r="J8732">
        <v>0</v>
      </c>
      <c r="K8732">
        <v>0</v>
      </c>
      <c r="L8732" s="2">
        <v>0</v>
      </c>
      <c r="M8732">
        <v>85.62</v>
      </c>
      <c r="N8732" t="s">
        <v>10236</v>
      </c>
    </row>
    <row r="8733" spans="1:14">
      <c r="A8733" t="s">
        <v>25</v>
      </c>
      <c r="B8733" t="s">
        <v>8702</v>
      </c>
      <c r="C8733">
        <f>"5102JVER"</f>
        <v>0</v>
      </c>
      <c r="D8733">
        <v>0</v>
      </c>
      <c r="E8733">
        <v>0</v>
      </c>
      <c r="F8733" s="2">
        <v>0</v>
      </c>
      <c r="H8733">
        <v>0</v>
      </c>
      <c r="I8733">
        <v>0.1741125760648204</v>
      </c>
      <c r="J8733">
        <v>0</v>
      </c>
      <c r="K8733">
        <v>0</v>
      </c>
      <c r="L8733" s="2">
        <v>0</v>
      </c>
      <c r="M8733">
        <v>85.62</v>
      </c>
      <c r="N8733" t="s">
        <v>10236</v>
      </c>
    </row>
    <row r="8734" spans="1:14">
      <c r="A8734" t="s">
        <v>25</v>
      </c>
      <c r="B8734" t="s">
        <v>8703</v>
      </c>
      <c r="C8734">
        <f>"5102J"</f>
        <v>0</v>
      </c>
      <c r="D8734">
        <v>0</v>
      </c>
      <c r="E8734">
        <v>0</v>
      </c>
      <c r="F8734" s="2">
        <v>0</v>
      </c>
      <c r="H8734">
        <v>0</v>
      </c>
      <c r="I8734">
        <v>0.1741125760648204</v>
      </c>
      <c r="J8734">
        <v>0</v>
      </c>
      <c r="K8734">
        <v>0</v>
      </c>
      <c r="L8734" s="2">
        <v>0</v>
      </c>
      <c r="M8734">
        <v>85.63</v>
      </c>
      <c r="N8734" t="s">
        <v>10236</v>
      </c>
    </row>
    <row r="8735" spans="1:14">
      <c r="A8735" t="s">
        <v>25</v>
      </c>
      <c r="B8735" t="s">
        <v>8704</v>
      </c>
      <c r="C8735">
        <f>"5103J"</f>
        <v>0</v>
      </c>
      <c r="D8735">
        <v>0</v>
      </c>
      <c r="E8735">
        <v>0</v>
      </c>
      <c r="F8735" s="2">
        <v>0</v>
      </c>
      <c r="H8735">
        <v>0</v>
      </c>
      <c r="I8735">
        <v>0.1741125760648204</v>
      </c>
      <c r="J8735">
        <v>0</v>
      </c>
      <c r="K8735">
        <v>0</v>
      </c>
      <c r="L8735" s="2">
        <v>0</v>
      </c>
      <c r="M8735">
        <v>85.64</v>
      </c>
      <c r="N8735" t="s">
        <v>10236</v>
      </c>
    </row>
    <row r="8736" spans="1:14">
      <c r="A8736" t="s">
        <v>192</v>
      </c>
      <c r="B8736" t="s">
        <v>8705</v>
      </c>
      <c r="C8736">
        <f>"A4010H"</f>
        <v>0</v>
      </c>
      <c r="D8736">
        <v>0</v>
      </c>
      <c r="E8736">
        <v>0</v>
      </c>
      <c r="F8736" s="2">
        <v>0</v>
      </c>
      <c r="H8736">
        <v>0</v>
      </c>
      <c r="I8736">
        <v>0.1741125760648204</v>
      </c>
      <c r="J8736">
        <v>0</v>
      </c>
      <c r="K8736">
        <v>0</v>
      </c>
      <c r="L8736" s="2">
        <v>0</v>
      </c>
      <c r="M8736">
        <v>85.65000000000001</v>
      </c>
      <c r="N8736" t="s">
        <v>10236</v>
      </c>
    </row>
    <row r="8737" spans="1:14">
      <c r="A8737" t="s">
        <v>192</v>
      </c>
      <c r="B8737" t="s">
        <v>8706</v>
      </c>
      <c r="C8737">
        <f>"A3114H"</f>
        <v>0</v>
      </c>
      <c r="D8737">
        <v>0</v>
      </c>
      <c r="E8737">
        <v>0</v>
      </c>
      <c r="F8737" s="2">
        <v>0</v>
      </c>
      <c r="H8737">
        <v>0</v>
      </c>
      <c r="I8737">
        <v>0.1741125760648204</v>
      </c>
      <c r="J8737">
        <v>0</v>
      </c>
      <c r="K8737">
        <v>0</v>
      </c>
      <c r="L8737" s="2">
        <v>0</v>
      </c>
      <c r="M8737">
        <v>85.66</v>
      </c>
      <c r="N8737" t="s">
        <v>10236</v>
      </c>
    </row>
    <row r="8738" spans="1:14">
      <c r="A8738" t="s">
        <v>192</v>
      </c>
      <c r="B8738" t="s">
        <v>8707</v>
      </c>
      <c r="C8738">
        <f>"BE02"</f>
        <v>0</v>
      </c>
      <c r="D8738">
        <v>0</v>
      </c>
      <c r="E8738">
        <v>0</v>
      </c>
      <c r="F8738" s="2">
        <v>0</v>
      </c>
      <c r="H8738">
        <v>0</v>
      </c>
      <c r="I8738">
        <v>0.1741125760648204</v>
      </c>
      <c r="J8738">
        <v>0</v>
      </c>
      <c r="K8738">
        <v>0</v>
      </c>
      <c r="L8738" s="2">
        <v>0</v>
      </c>
      <c r="M8738">
        <v>85.67</v>
      </c>
      <c r="N8738" t="s">
        <v>10236</v>
      </c>
    </row>
    <row r="8739" spans="1:14">
      <c r="A8739" t="s">
        <v>196</v>
      </c>
      <c r="B8739" t="s">
        <v>8708</v>
      </c>
      <c r="C8739">
        <f>"2221"</f>
        <v>0</v>
      </c>
      <c r="D8739">
        <v>0</v>
      </c>
      <c r="E8739">
        <v>3</v>
      </c>
      <c r="F8739" s="2">
        <v>1</v>
      </c>
      <c r="H8739">
        <v>0</v>
      </c>
      <c r="I8739">
        <v>0.1741125760648204</v>
      </c>
      <c r="J8739">
        <v>0</v>
      </c>
      <c r="K8739">
        <v>0</v>
      </c>
      <c r="L8739" s="2">
        <v>0</v>
      </c>
      <c r="M8739">
        <v>85.68000000000001</v>
      </c>
      <c r="N8739" t="s">
        <v>10236</v>
      </c>
    </row>
    <row r="8740" spans="1:14">
      <c r="A8740" t="s">
        <v>218</v>
      </c>
      <c r="B8740" t="s">
        <v>8709</v>
      </c>
      <c r="C8740">
        <f>"vetdks0039"</f>
        <v>0</v>
      </c>
      <c r="D8740">
        <v>0</v>
      </c>
      <c r="E8740">
        <v>0</v>
      </c>
      <c r="F8740" s="2">
        <v>0</v>
      </c>
      <c r="H8740">
        <v>0</v>
      </c>
      <c r="I8740">
        <v>0.1741125760648204</v>
      </c>
      <c r="J8740">
        <v>0</v>
      </c>
      <c r="K8740">
        <v>0</v>
      </c>
      <c r="L8740" s="2">
        <v>0</v>
      </c>
      <c r="M8740">
        <v>85.69</v>
      </c>
      <c r="N8740" t="s">
        <v>10236</v>
      </c>
    </row>
    <row r="8741" spans="1:14">
      <c r="A8741" t="s">
        <v>217</v>
      </c>
      <c r="B8741" t="s">
        <v>8710</v>
      </c>
      <c r="C8741">
        <f>"IVT100"</f>
        <v>0</v>
      </c>
      <c r="D8741">
        <v>0</v>
      </c>
      <c r="E8741">
        <v>6</v>
      </c>
      <c r="F8741" s="2">
        <v>13</v>
      </c>
      <c r="H8741">
        <v>0</v>
      </c>
      <c r="I8741">
        <v>0.1741125760648204</v>
      </c>
      <c r="J8741">
        <v>0</v>
      </c>
      <c r="K8741">
        <v>0</v>
      </c>
      <c r="L8741" s="2">
        <v>0</v>
      </c>
      <c r="M8741">
        <v>85.7</v>
      </c>
      <c r="N8741" t="s">
        <v>10236</v>
      </c>
    </row>
    <row r="8742" spans="1:14">
      <c r="A8742" t="s">
        <v>218</v>
      </c>
      <c r="B8742" t="s">
        <v>8711</v>
      </c>
      <c r="C8742">
        <f>"1011710"</f>
        <v>0</v>
      </c>
      <c r="D8742">
        <v>0</v>
      </c>
      <c r="E8742">
        <v>0</v>
      </c>
      <c r="F8742" s="2">
        <v>0</v>
      </c>
      <c r="H8742">
        <v>0</v>
      </c>
      <c r="I8742">
        <v>0.1741125760648204</v>
      </c>
      <c r="J8742">
        <v>0</v>
      </c>
      <c r="K8742">
        <v>0</v>
      </c>
      <c r="L8742" s="2">
        <v>0</v>
      </c>
      <c r="M8742">
        <v>85.70999999999999</v>
      </c>
      <c r="N8742" t="s">
        <v>10236</v>
      </c>
    </row>
    <row r="8743" spans="1:14">
      <c r="A8743" t="s">
        <v>29</v>
      </c>
      <c r="B8743" t="s">
        <v>8712</v>
      </c>
      <c r="C8743">
        <f>"Z454"</f>
        <v>0</v>
      </c>
      <c r="D8743">
        <v>0</v>
      </c>
      <c r="E8743">
        <v>0</v>
      </c>
      <c r="F8743" s="2">
        <v>0</v>
      </c>
      <c r="H8743">
        <v>0</v>
      </c>
      <c r="I8743">
        <v>0.1741125760648204</v>
      </c>
      <c r="J8743">
        <v>0</v>
      </c>
      <c r="K8743">
        <v>0</v>
      </c>
      <c r="L8743" s="2">
        <v>0</v>
      </c>
      <c r="M8743">
        <v>85.72</v>
      </c>
      <c r="N8743" t="s">
        <v>10236</v>
      </c>
    </row>
    <row r="8744" spans="1:14">
      <c r="A8744" t="s">
        <v>29</v>
      </c>
      <c r="B8744" t="s">
        <v>8713</v>
      </c>
      <c r="C8744">
        <f>"Z448"</f>
        <v>0</v>
      </c>
      <c r="D8744">
        <v>0</v>
      </c>
      <c r="E8744">
        <v>0</v>
      </c>
      <c r="F8744" s="2">
        <v>0</v>
      </c>
      <c r="H8744">
        <v>0</v>
      </c>
      <c r="I8744">
        <v>0.1741125760648204</v>
      </c>
      <c r="J8744">
        <v>0</v>
      </c>
      <c r="K8744">
        <v>0</v>
      </c>
      <c r="L8744" s="2">
        <v>0</v>
      </c>
      <c r="M8744">
        <v>85.73</v>
      </c>
      <c r="N8744" t="s">
        <v>10236</v>
      </c>
    </row>
    <row r="8745" spans="1:14">
      <c r="A8745" t="s">
        <v>29</v>
      </c>
      <c r="B8745" t="s">
        <v>8714</v>
      </c>
      <c r="C8745">
        <f>"Z455"</f>
        <v>0</v>
      </c>
      <c r="D8745">
        <v>0</v>
      </c>
      <c r="E8745">
        <v>0</v>
      </c>
      <c r="F8745" s="2">
        <v>0</v>
      </c>
      <c r="H8745">
        <v>0</v>
      </c>
      <c r="I8745">
        <v>0.1741125760648204</v>
      </c>
      <c r="J8745">
        <v>0</v>
      </c>
      <c r="K8745">
        <v>0</v>
      </c>
      <c r="L8745" s="2">
        <v>0</v>
      </c>
      <c r="M8745">
        <v>85.73999999999999</v>
      </c>
      <c r="N8745" t="s">
        <v>10236</v>
      </c>
    </row>
    <row r="8746" spans="1:14">
      <c r="A8746" t="s">
        <v>29</v>
      </c>
      <c r="B8746" t="s">
        <v>8715</v>
      </c>
      <c r="C8746">
        <f>"225774"</f>
        <v>0</v>
      </c>
      <c r="D8746">
        <v>0</v>
      </c>
      <c r="E8746">
        <v>0</v>
      </c>
      <c r="F8746" s="2">
        <v>0</v>
      </c>
      <c r="H8746">
        <v>0</v>
      </c>
      <c r="I8746">
        <v>0.1741125760648204</v>
      </c>
      <c r="J8746">
        <v>0</v>
      </c>
      <c r="K8746">
        <v>0</v>
      </c>
      <c r="L8746" s="2">
        <v>0</v>
      </c>
      <c r="M8746">
        <v>85.73999999999999</v>
      </c>
      <c r="N8746" t="s">
        <v>10236</v>
      </c>
    </row>
    <row r="8747" spans="1:14">
      <c r="A8747" t="s">
        <v>209</v>
      </c>
      <c r="B8747" t="s">
        <v>8716</v>
      </c>
      <c r="C8747">
        <f>"4GA070004"</f>
        <v>0</v>
      </c>
      <c r="D8747">
        <v>0</v>
      </c>
      <c r="E8747">
        <v>0</v>
      </c>
      <c r="F8747" s="2">
        <v>0</v>
      </c>
      <c r="H8747">
        <v>0</v>
      </c>
      <c r="I8747">
        <v>0.1741125760648204</v>
      </c>
      <c r="J8747">
        <v>0</v>
      </c>
      <c r="K8747">
        <v>0</v>
      </c>
      <c r="L8747" s="2">
        <v>0</v>
      </c>
      <c r="M8747">
        <v>85.75</v>
      </c>
      <c r="N8747" t="s">
        <v>10236</v>
      </c>
    </row>
    <row r="8748" spans="1:14">
      <c r="A8748" t="s">
        <v>192</v>
      </c>
      <c r="B8748" t="s">
        <v>8717</v>
      </c>
      <c r="C8748">
        <f>"D611BL"</f>
        <v>0</v>
      </c>
      <c r="D8748">
        <v>0</v>
      </c>
      <c r="E8748">
        <v>0</v>
      </c>
      <c r="F8748" s="2">
        <v>0</v>
      </c>
      <c r="H8748">
        <v>0</v>
      </c>
      <c r="I8748">
        <v>0.1741125760648204</v>
      </c>
      <c r="J8748">
        <v>0</v>
      </c>
      <c r="K8748">
        <v>0</v>
      </c>
      <c r="L8748" s="2">
        <v>0</v>
      </c>
      <c r="M8748">
        <v>85.76000000000001</v>
      </c>
      <c r="N8748" t="s">
        <v>10236</v>
      </c>
    </row>
    <row r="8749" spans="1:14">
      <c r="A8749" t="s">
        <v>192</v>
      </c>
      <c r="B8749" t="s">
        <v>8718</v>
      </c>
      <c r="C8749">
        <f>"A4003"</f>
        <v>0</v>
      </c>
      <c r="D8749">
        <v>0</v>
      </c>
      <c r="E8749">
        <v>0</v>
      </c>
      <c r="F8749" s="2">
        <v>0</v>
      </c>
      <c r="H8749">
        <v>0</v>
      </c>
      <c r="I8749">
        <v>0.1741125760648204</v>
      </c>
      <c r="J8749">
        <v>0</v>
      </c>
      <c r="K8749">
        <v>0</v>
      </c>
      <c r="L8749" s="2">
        <v>0</v>
      </c>
      <c r="M8749">
        <v>85.77</v>
      </c>
      <c r="N8749" t="s">
        <v>10236</v>
      </c>
    </row>
    <row r="8750" spans="1:14">
      <c r="A8750" t="s">
        <v>192</v>
      </c>
      <c r="B8750" t="s">
        <v>8719</v>
      </c>
      <c r="C8750">
        <f>"A101"</f>
        <v>0</v>
      </c>
      <c r="D8750">
        <v>0</v>
      </c>
      <c r="E8750">
        <v>0</v>
      </c>
      <c r="F8750" s="2">
        <v>0</v>
      </c>
      <c r="H8750">
        <v>0</v>
      </c>
      <c r="I8750">
        <v>0.1741125760648204</v>
      </c>
      <c r="J8750">
        <v>0</v>
      </c>
      <c r="K8750">
        <v>0</v>
      </c>
      <c r="L8750" s="2">
        <v>0</v>
      </c>
      <c r="M8750">
        <v>85.78</v>
      </c>
      <c r="N8750" t="s">
        <v>10236</v>
      </c>
    </row>
    <row r="8751" spans="1:14">
      <c r="A8751" t="s">
        <v>35</v>
      </c>
      <c r="B8751" t="s">
        <v>8720</v>
      </c>
      <c r="C8751">
        <f>"PF013"</f>
        <v>0</v>
      </c>
      <c r="D8751">
        <v>0</v>
      </c>
      <c r="E8751">
        <v>0</v>
      </c>
      <c r="F8751" s="2">
        <v>0</v>
      </c>
      <c r="H8751">
        <v>0</v>
      </c>
      <c r="I8751">
        <v>0.1741125760648204</v>
      </c>
      <c r="J8751">
        <v>0</v>
      </c>
      <c r="K8751">
        <v>0</v>
      </c>
      <c r="L8751" s="2">
        <v>0</v>
      </c>
      <c r="M8751">
        <v>85.79000000000001</v>
      </c>
      <c r="N8751" t="s">
        <v>10236</v>
      </c>
    </row>
    <row r="8752" spans="1:14">
      <c r="A8752" t="s">
        <v>217</v>
      </c>
      <c r="B8752" t="s">
        <v>8721</v>
      </c>
      <c r="C8752">
        <f>"IV0100"</f>
        <v>0</v>
      </c>
      <c r="D8752">
        <v>0</v>
      </c>
      <c r="E8752">
        <v>6</v>
      </c>
      <c r="F8752" s="2">
        <v>5</v>
      </c>
      <c r="H8752">
        <v>0</v>
      </c>
      <c r="I8752">
        <v>0.1741125760648204</v>
      </c>
      <c r="J8752">
        <v>0</v>
      </c>
      <c r="K8752">
        <v>0</v>
      </c>
      <c r="L8752" s="2">
        <v>0</v>
      </c>
      <c r="M8752">
        <v>85.8</v>
      </c>
      <c r="N8752" t="s">
        <v>10236</v>
      </c>
    </row>
    <row r="8753" spans="1:14">
      <c r="A8753" t="s">
        <v>218</v>
      </c>
      <c r="B8753" t="s">
        <v>8722</v>
      </c>
      <c r="C8753">
        <f>"1021198"</f>
        <v>0</v>
      </c>
      <c r="D8753">
        <v>0</v>
      </c>
      <c r="E8753">
        <v>4</v>
      </c>
      <c r="F8753" s="2">
        <v>10</v>
      </c>
      <c r="H8753">
        <v>0</v>
      </c>
      <c r="I8753">
        <v>0.1741125760648204</v>
      </c>
      <c r="J8753">
        <v>0</v>
      </c>
      <c r="K8753">
        <v>0</v>
      </c>
      <c r="L8753" s="2">
        <v>0</v>
      </c>
      <c r="M8753">
        <v>85.81</v>
      </c>
      <c r="N8753" t="s">
        <v>10236</v>
      </c>
    </row>
    <row r="8754" spans="1:14">
      <c r="A8754" t="s">
        <v>24</v>
      </c>
      <c r="B8754" t="s">
        <v>8723</v>
      </c>
      <c r="C8754">
        <f>"1111701"</f>
        <v>0</v>
      </c>
      <c r="D8754">
        <v>0</v>
      </c>
      <c r="E8754">
        <v>5</v>
      </c>
      <c r="F8754" s="2">
        <v>4</v>
      </c>
      <c r="H8754">
        <v>0</v>
      </c>
      <c r="I8754">
        <v>0.1741125760648204</v>
      </c>
      <c r="J8754">
        <v>0</v>
      </c>
      <c r="K8754">
        <v>0</v>
      </c>
      <c r="L8754" s="2">
        <v>0</v>
      </c>
      <c r="M8754">
        <v>85.81999999999999</v>
      </c>
      <c r="N8754" t="s">
        <v>10236</v>
      </c>
    </row>
    <row r="8755" spans="1:14">
      <c r="A8755" t="s">
        <v>223</v>
      </c>
      <c r="B8755" t="s">
        <v>8724</v>
      </c>
      <c r="C8755">
        <f>"5377015"</f>
        <v>0</v>
      </c>
      <c r="D8755">
        <v>0</v>
      </c>
      <c r="E8755">
        <v>0</v>
      </c>
      <c r="F8755" s="2">
        <v>0</v>
      </c>
      <c r="H8755">
        <v>0</v>
      </c>
      <c r="I8755">
        <v>0.1741125760648204</v>
      </c>
      <c r="J8755">
        <v>0</v>
      </c>
      <c r="K8755">
        <v>0</v>
      </c>
      <c r="L8755" s="2">
        <v>0</v>
      </c>
      <c r="M8755">
        <v>85.83</v>
      </c>
      <c r="N8755" t="s">
        <v>10236</v>
      </c>
    </row>
    <row r="8756" spans="1:14">
      <c r="A8756" t="s">
        <v>223</v>
      </c>
      <c r="B8756" t="s">
        <v>8725</v>
      </c>
      <c r="C8756">
        <f>"BC42P14"</f>
        <v>0</v>
      </c>
      <c r="D8756">
        <v>0</v>
      </c>
      <c r="E8756">
        <v>0</v>
      </c>
      <c r="F8756" s="2">
        <v>0</v>
      </c>
      <c r="H8756">
        <v>0</v>
      </c>
      <c r="I8756">
        <v>0.1741125760648204</v>
      </c>
      <c r="J8756">
        <v>0</v>
      </c>
      <c r="K8756">
        <v>0</v>
      </c>
      <c r="L8756" s="2">
        <v>0</v>
      </c>
      <c r="M8756">
        <v>85.84</v>
      </c>
      <c r="N8756" t="s">
        <v>10236</v>
      </c>
    </row>
    <row r="8757" spans="1:14">
      <c r="A8757" t="s">
        <v>223</v>
      </c>
      <c r="B8757" t="s">
        <v>8726</v>
      </c>
      <c r="C8757">
        <f>"41039"</f>
        <v>0</v>
      </c>
      <c r="D8757">
        <v>0</v>
      </c>
      <c r="E8757">
        <v>0</v>
      </c>
      <c r="F8757" s="2">
        <v>0</v>
      </c>
      <c r="H8757">
        <v>0</v>
      </c>
      <c r="I8757">
        <v>0.1741125760648204</v>
      </c>
      <c r="J8757">
        <v>0</v>
      </c>
      <c r="K8757">
        <v>0</v>
      </c>
      <c r="L8757" s="2">
        <v>0</v>
      </c>
      <c r="M8757">
        <v>85.84999999999999</v>
      </c>
      <c r="N8757" t="s">
        <v>10236</v>
      </c>
    </row>
    <row r="8758" spans="1:14">
      <c r="A8758" t="s">
        <v>207</v>
      </c>
      <c r="B8758" t="s">
        <v>8727</v>
      </c>
      <c r="C8758">
        <f>"AGPE"</f>
        <v>0</v>
      </c>
      <c r="D8758">
        <v>0</v>
      </c>
      <c r="E8758">
        <v>0</v>
      </c>
      <c r="F8758" s="2">
        <v>0</v>
      </c>
      <c r="H8758">
        <v>0</v>
      </c>
      <c r="I8758">
        <v>0.1741125760648204</v>
      </c>
      <c r="J8758">
        <v>0</v>
      </c>
      <c r="K8758">
        <v>0</v>
      </c>
      <c r="L8758" s="2">
        <v>0</v>
      </c>
      <c r="M8758">
        <v>85.86</v>
      </c>
      <c r="N8758" t="s">
        <v>10236</v>
      </c>
    </row>
    <row r="8759" spans="1:14">
      <c r="A8759" t="s">
        <v>207</v>
      </c>
      <c r="B8759" t="s">
        <v>8728</v>
      </c>
      <c r="C8759">
        <f>"AGFI"</f>
        <v>0</v>
      </c>
      <c r="D8759">
        <v>0</v>
      </c>
      <c r="E8759">
        <v>0</v>
      </c>
      <c r="F8759" s="2">
        <v>0</v>
      </c>
      <c r="H8759">
        <v>0</v>
      </c>
      <c r="I8759">
        <v>0.1741125760648204</v>
      </c>
      <c r="J8759">
        <v>0</v>
      </c>
      <c r="K8759">
        <v>0</v>
      </c>
      <c r="L8759" s="2">
        <v>0</v>
      </c>
      <c r="M8759">
        <v>85.86</v>
      </c>
      <c r="N8759" t="s">
        <v>10236</v>
      </c>
    </row>
    <row r="8760" spans="1:14">
      <c r="A8760" t="s">
        <v>25</v>
      </c>
      <c r="B8760" t="s">
        <v>8729</v>
      </c>
      <c r="C8760">
        <f>"YB0751"</f>
        <v>0</v>
      </c>
      <c r="D8760">
        <v>0</v>
      </c>
      <c r="E8760">
        <v>2</v>
      </c>
      <c r="F8760" s="2">
        <v>24</v>
      </c>
      <c r="H8760">
        <v>0</v>
      </c>
      <c r="I8760">
        <v>0.1741125760648204</v>
      </c>
      <c r="J8760">
        <v>0</v>
      </c>
      <c r="K8760">
        <v>0</v>
      </c>
      <c r="L8760" s="2">
        <v>0</v>
      </c>
      <c r="M8760">
        <v>85.87</v>
      </c>
      <c r="N8760" t="s">
        <v>10236</v>
      </c>
    </row>
    <row r="8761" spans="1:14">
      <c r="A8761" t="s">
        <v>25</v>
      </c>
      <c r="B8761" t="s">
        <v>8730</v>
      </c>
      <c r="C8761">
        <f>"YB0741"</f>
        <v>0</v>
      </c>
      <c r="D8761">
        <v>0</v>
      </c>
      <c r="E8761">
        <v>4</v>
      </c>
      <c r="F8761" s="2">
        <v>18</v>
      </c>
      <c r="H8761">
        <v>0</v>
      </c>
      <c r="I8761">
        <v>0.1741125760648204</v>
      </c>
      <c r="J8761">
        <v>0</v>
      </c>
      <c r="K8761">
        <v>0</v>
      </c>
      <c r="L8761" s="2">
        <v>0</v>
      </c>
      <c r="M8761">
        <v>85.88</v>
      </c>
      <c r="N8761" t="s">
        <v>10236</v>
      </c>
    </row>
    <row r="8762" spans="1:14">
      <c r="A8762" t="s">
        <v>25</v>
      </c>
      <c r="B8762" t="s">
        <v>8731</v>
      </c>
      <c r="C8762">
        <f>"M005"</f>
        <v>0</v>
      </c>
      <c r="D8762">
        <v>0</v>
      </c>
      <c r="E8762">
        <v>0</v>
      </c>
      <c r="F8762" s="2">
        <v>0</v>
      </c>
      <c r="H8762">
        <v>0</v>
      </c>
      <c r="I8762">
        <v>0.1741125760648204</v>
      </c>
      <c r="J8762">
        <v>0</v>
      </c>
      <c r="K8762">
        <v>0</v>
      </c>
      <c r="L8762" s="2">
        <v>0</v>
      </c>
      <c r="M8762">
        <v>85.89</v>
      </c>
      <c r="N8762" t="s">
        <v>10236</v>
      </c>
    </row>
    <row r="8763" spans="1:14">
      <c r="A8763" t="s">
        <v>29</v>
      </c>
      <c r="B8763" t="s">
        <v>8732</v>
      </c>
      <c r="C8763">
        <f>"CH9082"</f>
        <v>0</v>
      </c>
      <c r="D8763">
        <v>0</v>
      </c>
      <c r="E8763">
        <v>0</v>
      </c>
      <c r="F8763" s="2">
        <v>0</v>
      </c>
      <c r="H8763">
        <v>0</v>
      </c>
      <c r="I8763">
        <v>0.1741125760648204</v>
      </c>
      <c r="J8763">
        <v>0</v>
      </c>
      <c r="K8763">
        <v>0</v>
      </c>
      <c r="L8763" s="2">
        <v>0</v>
      </c>
      <c r="M8763">
        <v>85.90000000000001</v>
      </c>
      <c r="N8763" t="s">
        <v>10236</v>
      </c>
    </row>
    <row r="8764" spans="1:14">
      <c r="A8764" t="s">
        <v>209</v>
      </c>
      <c r="B8764" t="s">
        <v>8733</v>
      </c>
      <c r="C8764">
        <f>"4GA020032"</f>
        <v>0</v>
      </c>
      <c r="D8764">
        <v>0</v>
      </c>
      <c r="E8764">
        <v>0</v>
      </c>
      <c r="F8764" s="2">
        <v>0</v>
      </c>
      <c r="H8764">
        <v>0</v>
      </c>
      <c r="I8764">
        <v>0.1741125760648204</v>
      </c>
      <c r="J8764">
        <v>0</v>
      </c>
      <c r="K8764">
        <v>0</v>
      </c>
      <c r="L8764" s="2">
        <v>0</v>
      </c>
      <c r="M8764">
        <v>85.91</v>
      </c>
      <c r="N8764" t="s">
        <v>10236</v>
      </c>
    </row>
    <row r="8765" spans="1:14">
      <c r="A8765" t="s">
        <v>209</v>
      </c>
      <c r="B8765" t="s">
        <v>8734</v>
      </c>
      <c r="C8765">
        <f>"4PE070006"</f>
        <v>0</v>
      </c>
      <c r="D8765">
        <v>0</v>
      </c>
      <c r="E8765">
        <v>0</v>
      </c>
      <c r="F8765" s="2">
        <v>0</v>
      </c>
      <c r="H8765">
        <v>0</v>
      </c>
      <c r="I8765">
        <v>0.1741125760648204</v>
      </c>
      <c r="J8765">
        <v>0</v>
      </c>
      <c r="K8765">
        <v>0</v>
      </c>
      <c r="L8765" s="2">
        <v>0</v>
      </c>
      <c r="M8765">
        <v>85.92</v>
      </c>
      <c r="N8765" t="s">
        <v>10236</v>
      </c>
    </row>
    <row r="8766" spans="1:14">
      <c r="A8766" t="s">
        <v>209</v>
      </c>
      <c r="B8766" t="s">
        <v>8735</v>
      </c>
      <c r="C8766">
        <f>"4PE040068"</f>
        <v>0</v>
      </c>
      <c r="D8766">
        <v>0</v>
      </c>
      <c r="E8766">
        <v>0</v>
      </c>
      <c r="F8766" s="2">
        <v>0</v>
      </c>
      <c r="H8766">
        <v>0</v>
      </c>
      <c r="I8766">
        <v>0.1741125760648204</v>
      </c>
      <c r="J8766">
        <v>0</v>
      </c>
      <c r="K8766">
        <v>0</v>
      </c>
      <c r="L8766" s="2">
        <v>0</v>
      </c>
      <c r="M8766">
        <v>85.93000000000001</v>
      </c>
      <c r="N8766" t="s">
        <v>10236</v>
      </c>
    </row>
    <row r="8767" spans="1:14">
      <c r="A8767" t="s">
        <v>209</v>
      </c>
      <c r="B8767" t="s">
        <v>8736</v>
      </c>
      <c r="C8767">
        <f>"4PE120015"</f>
        <v>0</v>
      </c>
      <c r="D8767">
        <v>0</v>
      </c>
      <c r="E8767">
        <v>0</v>
      </c>
      <c r="F8767" s="2">
        <v>0</v>
      </c>
      <c r="H8767">
        <v>0</v>
      </c>
      <c r="I8767">
        <v>0.1741125760648204</v>
      </c>
      <c r="J8767">
        <v>0</v>
      </c>
      <c r="K8767">
        <v>0</v>
      </c>
      <c r="L8767" s="2">
        <v>0</v>
      </c>
      <c r="M8767">
        <v>85.94</v>
      </c>
      <c r="N8767" t="s">
        <v>10236</v>
      </c>
    </row>
    <row r="8768" spans="1:14">
      <c r="A8768" t="s">
        <v>30</v>
      </c>
      <c r="B8768" t="s">
        <v>8737</v>
      </c>
      <c r="C8768">
        <f>"100902"</f>
        <v>0</v>
      </c>
      <c r="D8768">
        <v>0</v>
      </c>
      <c r="E8768">
        <v>0</v>
      </c>
      <c r="F8768" s="2">
        <v>0</v>
      </c>
      <c r="H8768">
        <v>0</v>
      </c>
      <c r="I8768">
        <v>0.1741125760648204</v>
      </c>
      <c r="J8768">
        <v>0</v>
      </c>
      <c r="K8768">
        <v>0</v>
      </c>
      <c r="L8768" s="2">
        <v>0</v>
      </c>
      <c r="M8768">
        <v>85.95</v>
      </c>
      <c r="N8768" t="s">
        <v>10236</v>
      </c>
    </row>
    <row r="8769" spans="1:14">
      <c r="A8769" t="s">
        <v>30</v>
      </c>
      <c r="B8769" t="s">
        <v>8738</v>
      </c>
      <c r="C8769">
        <f>"100972"</f>
        <v>0</v>
      </c>
      <c r="D8769">
        <v>0</v>
      </c>
      <c r="E8769">
        <v>0</v>
      </c>
      <c r="F8769" s="2">
        <v>0</v>
      </c>
      <c r="H8769">
        <v>0</v>
      </c>
      <c r="I8769">
        <v>0.1741125760648204</v>
      </c>
      <c r="J8769">
        <v>0</v>
      </c>
      <c r="K8769">
        <v>0</v>
      </c>
      <c r="L8769" s="2">
        <v>0</v>
      </c>
      <c r="M8769">
        <v>85.95999999999999</v>
      </c>
      <c r="N8769" t="s">
        <v>10236</v>
      </c>
    </row>
    <row r="8770" spans="1:14">
      <c r="A8770" t="s">
        <v>30</v>
      </c>
      <c r="B8770" t="s">
        <v>8739</v>
      </c>
      <c r="C8770">
        <f>"100980"</f>
        <v>0</v>
      </c>
      <c r="D8770">
        <v>0</v>
      </c>
      <c r="E8770">
        <v>0</v>
      </c>
      <c r="F8770" s="2">
        <v>0</v>
      </c>
      <c r="H8770">
        <v>0</v>
      </c>
      <c r="I8770">
        <v>0.1741125760648204</v>
      </c>
      <c r="J8770">
        <v>0</v>
      </c>
      <c r="K8770">
        <v>0</v>
      </c>
      <c r="L8770" s="2">
        <v>0</v>
      </c>
      <c r="M8770">
        <v>85.97</v>
      </c>
      <c r="N8770" t="s">
        <v>10236</v>
      </c>
    </row>
    <row r="8771" spans="1:14">
      <c r="A8771" t="s">
        <v>209</v>
      </c>
      <c r="B8771" t="s">
        <v>8740</v>
      </c>
      <c r="C8771">
        <f>"4PE120006"</f>
        <v>0</v>
      </c>
      <c r="D8771">
        <v>0</v>
      </c>
      <c r="E8771">
        <v>0</v>
      </c>
      <c r="F8771" s="2">
        <v>0</v>
      </c>
      <c r="H8771">
        <v>0</v>
      </c>
      <c r="I8771">
        <v>0.1741125760648204</v>
      </c>
      <c r="J8771">
        <v>0</v>
      </c>
      <c r="K8771">
        <v>0</v>
      </c>
      <c r="L8771" s="2">
        <v>0</v>
      </c>
      <c r="M8771">
        <v>85.97</v>
      </c>
      <c r="N8771" t="s">
        <v>10236</v>
      </c>
    </row>
    <row r="8772" spans="1:14">
      <c r="A8772" t="s">
        <v>25</v>
      </c>
      <c r="B8772" t="s">
        <v>8741</v>
      </c>
      <c r="C8772">
        <f>"157"</f>
        <v>0</v>
      </c>
      <c r="D8772">
        <v>0</v>
      </c>
      <c r="E8772">
        <v>1</v>
      </c>
      <c r="F8772" s="2">
        <v>6</v>
      </c>
      <c r="H8772">
        <v>0</v>
      </c>
      <c r="I8772">
        <v>0.1741125760648204</v>
      </c>
      <c r="J8772">
        <v>0</v>
      </c>
      <c r="K8772">
        <v>0</v>
      </c>
      <c r="L8772" s="2">
        <v>0</v>
      </c>
      <c r="M8772">
        <v>85.98</v>
      </c>
      <c r="N8772" t="s">
        <v>10236</v>
      </c>
    </row>
    <row r="8773" spans="1:14">
      <c r="A8773" t="s">
        <v>192</v>
      </c>
      <c r="B8773" t="s">
        <v>8742</v>
      </c>
      <c r="C8773">
        <f>"309"</f>
        <v>0</v>
      </c>
      <c r="D8773">
        <v>0</v>
      </c>
      <c r="E8773">
        <v>0</v>
      </c>
      <c r="F8773" s="2">
        <v>0</v>
      </c>
      <c r="H8773">
        <v>0</v>
      </c>
      <c r="I8773">
        <v>0.1741125760648204</v>
      </c>
      <c r="J8773">
        <v>0</v>
      </c>
      <c r="K8773">
        <v>0</v>
      </c>
      <c r="L8773" s="2">
        <v>0</v>
      </c>
      <c r="M8773">
        <v>85.98999999999999</v>
      </c>
      <c r="N8773" t="s">
        <v>10236</v>
      </c>
    </row>
    <row r="8774" spans="1:14">
      <c r="A8774" t="s">
        <v>192</v>
      </c>
      <c r="B8774" t="s">
        <v>8743</v>
      </c>
      <c r="C8774">
        <f>"619ACEL"</f>
        <v>0</v>
      </c>
      <c r="D8774">
        <v>0</v>
      </c>
      <c r="E8774">
        <v>1</v>
      </c>
      <c r="F8774" s="2">
        <v>30</v>
      </c>
      <c r="H8774">
        <v>0</v>
      </c>
      <c r="I8774">
        <v>0.1741125760648204</v>
      </c>
      <c r="J8774">
        <v>0</v>
      </c>
      <c r="K8774">
        <v>0</v>
      </c>
      <c r="L8774" s="2">
        <v>0</v>
      </c>
      <c r="M8774">
        <v>86</v>
      </c>
      <c r="N8774" t="s">
        <v>10236</v>
      </c>
    </row>
    <row r="8775" spans="1:14">
      <c r="A8775" t="s">
        <v>25</v>
      </c>
      <c r="B8775" t="s">
        <v>8744</v>
      </c>
      <c r="C8775">
        <f>"619A"</f>
        <v>0</v>
      </c>
      <c r="D8775">
        <v>0</v>
      </c>
      <c r="E8775">
        <v>0</v>
      </c>
      <c r="F8775" s="2">
        <v>0</v>
      </c>
      <c r="H8775">
        <v>0</v>
      </c>
      <c r="I8775">
        <v>0.1741125760648204</v>
      </c>
      <c r="J8775">
        <v>0</v>
      </c>
      <c r="K8775">
        <v>0</v>
      </c>
      <c r="L8775" s="2">
        <v>0</v>
      </c>
      <c r="M8775">
        <v>86.01000000000001</v>
      </c>
      <c r="N8775" t="s">
        <v>10236</v>
      </c>
    </row>
    <row r="8776" spans="1:14">
      <c r="A8776" t="s">
        <v>25</v>
      </c>
      <c r="B8776" t="s">
        <v>8745</v>
      </c>
      <c r="C8776">
        <f>"A201"</f>
        <v>0</v>
      </c>
      <c r="D8776">
        <v>0</v>
      </c>
      <c r="E8776">
        <v>0</v>
      </c>
      <c r="F8776" s="2">
        <v>0</v>
      </c>
      <c r="H8776">
        <v>0</v>
      </c>
      <c r="I8776">
        <v>0.1741125760648204</v>
      </c>
      <c r="J8776">
        <v>0</v>
      </c>
      <c r="K8776">
        <v>0</v>
      </c>
      <c r="L8776" s="2">
        <v>0</v>
      </c>
      <c r="M8776">
        <v>86.02</v>
      </c>
      <c r="N8776" t="s">
        <v>10236</v>
      </c>
    </row>
    <row r="8777" spans="1:14">
      <c r="A8777" t="s">
        <v>25</v>
      </c>
      <c r="B8777" t="s">
        <v>8746</v>
      </c>
      <c r="C8777">
        <f>"M004H"</f>
        <v>0</v>
      </c>
      <c r="D8777">
        <v>0</v>
      </c>
      <c r="E8777">
        <v>3</v>
      </c>
      <c r="F8777" s="2">
        <v>9</v>
      </c>
      <c r="H8777">
        <v>0</v>
      </c>
      <c r="I8777">
        <v>0.1741125760648204</v>
      </c>
      <c r="J8777">
        <v>0</v>
      </c>
      <c r="K8777">
        <v>0</v>
      </c>
      <c r="L8777" s="2">
        <v>0</v>
      </c>
      <c r="M8777">
        <v>86.03</v>
      </c>
      <c r="N8777" t="s">
        <v>10236</v>
      </c>
    </row>
    <row r="8778" spans="1:14">
      <c r="A8778" t="s">
        <v>35</v>
      </c>
      <c r="B8778" t="s">
        <v>8747</v>
      </c>
      <c r="C8778">
        <f>"PF011"</f>
        <v>0</v>
      </c>
      <c r="D8778">
        <v>0</v>
      </c>
      <c r="E8778">
        <v>1</v>
      </c>
      <c r="F8778" s="2">
        <v>13</v>
      </c>
      <c r="H8778">
        <v>0</v>
      </c>
      <c r="I8778">
        <v>0.1741125760648204</v>
      </c>
      <c r="J8778">
        <v>0</v>
      </c>
      <c r="K8778">
        <v>0</v>
      </c>
      <c r="L8778" s="2">
        <v>0</v>
      </c>
      <c r="M8778">
        <v>86.04000000000001</v>
      </c>
      <c r="N8778" t="s">
        <v>10236</v>
      </c>
    </row>
    <row r="8779" spans="1:14">
      <c r="A8779" t="s">
        <v>35</v>
      </c>
      <c r="B8779" t="s">
        <v>8748</v>
      </c>
      <c r="C8779">
        <f>"FB857MRO"</f>
        <v>0</v>
      </c>
      <c r="D8779">
        <v>0</v>
      </c>
      <c r="E8779">
        <v>1</v>
      </c>
      <c r="F8779" s="2">
        <v>4</v>
      </c>
      <c r="H8779">
        <v>0</v>
      </c>
      <c r="I8779">
        <v>0.1741125760648204</v>
      </c>
      <c r="J8779">
        <v>0</v>
      </c>
      <c r="K8779">
        <v>0</v>
      </c>
      <c r="L8779" s="2">
        <v>0</v>
      </c>
      <c r="M8779">
        <v>86.05</v>
      </c>
      <c r="N8779" t="s">
        <v>10236</v>
      </c>
    </row>
    <row r="8780" spans="1:14">
      <c r="A8780" t="s">
        <v>35</v>
      </c>
      <c r="B8780" t="s">
        <v>8749</v>
      </c>
      <c r="C8780">
        <f>"FB857MR"</f>
        <v>0</v>
      </c>
      <c r="D8780">
        <v>0</v>
      </c>
      <c r="E8780">
        <v>0</v>
      </c>
      <c r="F8780" s="2">
        <v>0</v>
      </c>
      <c r="H8780">
        <v>0</v>
      </c>
      <c r="I8780">
        <v>0.1741125760648204</v>
      </c>
      <c r="J8780">
        <v>0</v>
      </c>
      <c r="K8780">
        <v>0</v>
      </c>
      <c r="L8780" s="2">
        <v>0</v>
      </c>
      <c r="M8780">
        <v>86.06</v>
      </c>
      <c r="N8780" t="s">
        <v>10236</v>
      </c>
    </row>
    <row r="8781" spans="1:14">
      <c r="A8781" t="s">
        <v>35</v>
      </c>
      <c r="B8781" t="s">
        <v>8750</v>
      </c>
      <c r="C8781">
        <f>"92804RL"</f>
        <v>0</v>
      </c>
      <c r="D8781">
        <v>0</v>
      </c>
      <c r="E8781">
        <v>1</v>
      </c>
      <c r="F8781" s="2">
        <v>15</v>
      </c>
      <c r="H8781">
        <v>0</v>
      </c>
      <c r="I8781">
        <v>0.1741125760648204</v>
      </c>
      <c r="J8781">
        <v>0</v>
      </c>
      <c r="K8781">
        <v>0</v>
      </c>
      <c r="L8781" s="2">
        <v>0</v>
      </c>
      <c r="M8781">
        <v>86.06999999999999</v>
      </c>
      <c r="N8781" t="s">
        <v>10236</v>
      </c>
    </row>
    <row r="8782" spans="1:14">
      <c r="A8782" t="s">
        <v>35</v>
      </c>
      <c r="B8782" t="s">
        <v>8751</v>
      </c>
      <c r="C8782">
        <f>"92804NXL"</f>
        <v>0</v>
      </c>
      <c r="D8782">
        <v>0</v>
      </c>
      <c r="E8782">
        <v>3</v>
      </c>
      <c r="F8782" s="2">
        <v>17</v>
      </c>
      <c r="H8782">
        <v>0</v>
      </c>
      <c r="I8782">
        <v>0.1741125760648204</v>
      </c>
      <c r="J8782">
        <v>0</v>
      </c>
      <c r="K8782">
        <v>0</v>
      </c>
      <c r="L8782" s="2">
        <v>0</v>
      </c>
      <c r="M8782">
        <v>86.08</v>
      </c>
      <c r="N8782" t="s">
        <v>10236</v>
      </c>
    </row>
    <row r="8783" spans="1:14">
      <c r="A8783" t="s">
        <v>35</v>
      </c>
      <c r="B8783" t="s">
        <v>8752</v>
      </c>
      <c r="C8783">
        <f>"92804NM"</f>
        <v>0</v>
      </c>
      <c r="D8783">
        <v>0</v>
      </c>
      <c r="E8783">
        <v>0</v>
      </c>
      <c r="F8783" s="2">
        <v>0</v>
      </c>
      <c r="H8783">
        <v>0</v>
      </c>
      <c r="I8783">
        <v>0.1741125760648204</v>
      </c>
      <c r="J8783">
        <v>0</v>
      </c>
      <c r="K8783">
        <v>0</v>
      </c>
      <c r="L8783" s="2">
        <v>0</v>
      </c>
      <c r="M8783">
        <v>86.09</v>
      </c>
      <c r="N8783" t="s">
        <v>10236</v>
      </c>
    </row>
    <row r="8784" spans="1:14">
      <c r="A8784" t="s">
        <v>35</v>
      </c>
      <c r="B8784" t="s">
        <v>8753</v>
      </c>
      <c r="C8784">
        <f>"92804NL"</f>
        <v>0</v>
      </c>
      <c r="D8784">
        <v>0</v>
      </c>
      <c r="E8784">
        <v>1</v>
      </c>
      <c r="F8784" s="2">
        <v>15</v>
      </c>
      <c r="H8784">
        <v>0</v>
      </c>
      <c r="I8784">
        <v>0.1741125760648204</v>
      </c>
      <c r="J8784">
        <v>0</v>
      </c>
      <c r="K8784">
        <v>0</v>
      </c>
      <c r="L8784" s="2">
        <v>0</v>
      </c>
      <c r="M8784">
        <v>86.09</v>
      </c>
      <c r="N8784" t="s">
        <v>10236</v>
      </c>
    </row>
    <row r="8785" spans="1:14">
      <c r="A8785" t="s">
        <v>35</v>
      </c>
      <c r="B8785" t="s">
        <v>8754</v>
      </c>
      <c r="C8785">
        <f>"92804CXL"</f>
        <v>0</v>
      </c>
      <c r="D8785">
        <v>0</v>
      </c>
      <c r="E8785">
        <v>1</v>
      </c>
      <c r="F8785" s="2">
        <v>17</v>
      </c>
      <c r="H8785">
        <v>0</v>
      </c>
      <c r="I8785">
        <v>0.1741125760648204</v>
      </c>
      <c r="J8785">
        <v>0</v>
      </c>
      <c r="K8785">
        <v>0</v>
      </c>
      <c r="L8785" s="2">
        <v>0</v>
      </c>
      <c r="M8785">
        <v>86.09999999999999</v>
      </c>
      <c r="N8785" t="s">
        <v>10236</v>
      </c>
    </row>
    <row r="8786" spans="1:14">
      <c r="A8786" t="s">
        <v>35</v>
      </c>
      <c r="B8786" t="s">
        <v>8755</v>
      </c>
      <c r="C8786">
        <f>"92804CS"</f>
        <v>0</v>
      </c>
      <c r="D8786">
        <v>0</v>
      </c>
      <c r="E8786">
        <v>2</v>
      </c>
      <c r="F8786" s="2">
        <v>12</v>
      </c>
      <c r="H8786">
        <v>0</v>
      </c>
      <c r="I8786">
        <v>0.1741125760648204</v>
      </c>
      <c r="J8786">
        <v>0</v>
      </c>
      <c r="K8786">
        <v>0</v>
      </c>
      <c r="L8786" s="2">
        <v>0</v>
      </c>
      <c r="M8786">
        <v>86.11</v>
      </c>
      <c r="N8786" t="s">
        <v>10236</v>
      </c>
    </row>
    <row r="8787" spans="1:14">
      <c r="A8787" t="s">
        <v>35</v>
      </c>
      <c r="B8787" t="s">
        <v>8756</v>
      </c>
      <c r="C8787">
        <f>"92804CM"</f>
        <v>0</v>
      </c>
      <c r="D8787">
        <v>0</v>
      </c>
      <c r="E8787">
        <v>0</v>
      </c>
      <c r="F8787" s="2">
        <v>0</v>
      </c>
      <c r="H8787">
        <v>0</v>
      </c>
      <c r="I8787">
        <v>0.1741125760648204</v>
      </c>
      <c r="J8787">
        <v>0</v>
      </c>
      <c r="K8787">
        <v>0</v>
      </c>
      <c r="L8787" s="2">
        <v>0</v>
      </c>
      <c r="M8787">
        <v>86.12</v>
      </c>
      <c r="N8787" t="s">
        <v>10236</v>
      </c>
    </row>
    <row r="8788" spans="1:14">
      <c r="A8788" t="s">
        <v>35</v>
      </c>
      <c r="B8788" t="s">
        <v>8757</v>
      </c>
      <c r="C8788">
        <f>"92804CL"</f>
        <v>0</v>
      </c>
      <c r="D8788">
        <v>0</v>
      </c>
      <c r="E8788">
        <v>1</v>
      </c>
      <c r="F8788" s="2">
        <v>15</v>
      </c>
      <c r="H8788">
        <v>0</v>
      </c>
      <c r="I8788">
        <v>0.1741125760648204</v>
      </c>
      <c r="J8788">
        <v>0</v>
      </c>
      <c r="K8788">
        <v>0</v>
      </c>
      <c r="L8788" s="2">
        <v>0</v>
      </c>
      <c r="M8788">
        <v>86.13</v>
      </c>
      <c r="N8788" t="s">
        <v>10236</v>
      </c>
    </row>
    <row r="8789" spans="1:14">
      <c r="A8789" t="s">
        <v>35</v>
      </c>
      <c r="B8789" t="s">
        <v>8758</v>
      </c>
      <c r="C8789">
        <f>"DB821VCXL"</f>
        <v>0</v>
      </c>
      <c r="D8789">
        <v>0</v>
      </c>
      <c r="E8789">
        <v>3</v>
      </c>
      <c r="F8789" s="2">
        <v>12</v>
      </c>
      <c r="H8789">
        <v>0</v>
      </c>
      <c r="I8789">
        <v>0.1741125760648204</v>
      </c>
      <c r="J8789">
        <v>0</v>
      </c>
      <c r="K8789">
        <v>0</v>
      </c>
      <c r="L8789" s="2">
        <v>0</v>
      </c>
      <c r="M8789">
        <v>86.14</v>
      </c>
      <c r="N8789" t="s">
        <v>10236</v>
      </c>
    </row>
    <row r="8790" spans="1:14">
      <c r="A8790" t="s">
        <v>35</v>
      </c>
      <c r="B8790" t="s">
        <v>8759</v>
      </c>
      <c r="C8790">
        <f>"AFA4"</f>
        <v>0</v>
      </c>
      <c r="D8790">
        <v>0</v>
      </c>
      <c r="E8790">
        <v>0</v>
      </c>
      <c r="F8790" s="2">
        <v>0</v>
      </c>
      <c r="H8790">
        <v>0</v>
      </c>
      <c r="I8790">
        <v>0.1741125760648204</v>
      </c>
      <c r="J8790">
        <v>0</v>
      </c>
      <c r="K8790">
        <v>0</v>
      </c>
      <c r="L8790" s="2">
        <v>0</v>
      </c>
      <c r="M8790">
        <v>86.15000000000001</v>
      </c>
      <c r="N8790" t="s">
        <v>10236</v>
      </c>
    </row>
    <row r="8791" spans="1:14">
      <c r="A8791" t="s">
        <v>25</v>
      </c>
      <c r="B8791" t="s">
        <v>8760</v>
      </c>
      <c r="C8791">
        <f>"M011B"</f>
        <v>0</v>
      </c>
      <c r="D8791">
        <v>0</v>
      </c>
      <c r="E8791">
        <v>13</v>
      </c>
      <c r="F8791" s="2">
        <v>16</v>
      </c>
      <c r="H8791">
        <v>0</v>
      </c>
      <c r="I8791">
        <v>0.1741125760648204</v>
      </c>
      <c r="J8791">
        <v>0</v>
      </c>
      <c r="K8791">
        <v>0</v>
      </c>
      <c r="L8791" s="2">
        <v>0</v>
      </c>
      <c r="M8791">
        <v>86.16</v>
      </c>
      <c r="N8791" t="s">
        <v>10236</v>
      </c>
    </row>
    <row r="8792" spans="1:14">
      <c r="A8792" t="s">
        <v>25</v>
      </c>
      <c r="B8792" t="s">
        <v>8761</v>
      </c>
      <c r="C8792">
        <f>"115"</f>
        <v>0</v>
      </c>
      <c r="D8792">
        <v>0</v>
      </c>
      <c r="E8792">
        <v>14</v>
      </c>
      <c r="F8792" s="2">
        <v>7</v>
      </c>
      <c r="H8792">
        <v>0</v>
      </c>
      <c r="I8792">
        <v>0.1741125760648204</v>
      </c>
      <c r="J8792">
        <v>0</v>
      </c>
      <c r="K8792">
        <v>0</v>
      </c>
      <c r="L8792" s="2">
        <v>0</v>
      </c>
      <c r="M8792">
        <v>86.17</v>
      </c>
      <c r="N8792" t="s">
        <v>10236</v>
      </c>
    </row>
    <row r="8793" spans="1:14">
      <c r="A8793" t="s">
        <v>35</v>
      </c>
      <c r="B8793" t="s">
        <v>8762</v>
      </c>
      <c r="C8793">
        <f>"PF012"</f>
        <v>0</v>
      </c>
      <c r="D8793">
        <v>0</v>
      </c>
      <c r="E8793">
        <v>1</v>
      </c>
      <c r="F8793" s="2">
        <v>23</v>
      </c>
      <c r="H8793">
        <v>0</v>
      </c>
      <c r="I8793">
        <v>0.1741125760648204</v>
      </c>
      <c r="J8793">
        <v>0</v>
      </c>
      <c r="K8793">
        <v>0</v>
      </c>
      <c r="L8793" s="2">
        <v>0</v>
      </c>
      <c r="M8793">
        <v>86.18000000000001</v>
      </c>
      <c r="N8793" t="s">
        <v>10236</v>
      </c>
    </row>
    <row r="8794" spans="1:14">
      <c r="A8794" t="s">
        <v>35</v>
      </c>
      <c r="B8794" t="s">
        <v>8763</v>
      </c>
      <c r="C8794">
        <f>"FB857MV"</f>
        <v>0</v>
      </c>
      <c r="D8794">
        <v>0</v>
      </c>
      <c r="E8794">
        <v>1</v>
      </c>
      <c r="F8794" s="2">
        <v>4</v>
      </c>
      <c r="H8794">
        <v>0</v>
      </c>
      <c r="I8794">
        <v>0.1741125760648204</v>
      </c>
      <c r="J8794">
        <v>0</v>
      </c>
      <c r="K8794">
        <v>0</v>
      </c>
      <c r="L8794" s="2">
        <v>0</v>
      </c>
      <c r="M8794">
        <v>86.19</v>
      </c>
      <c r="N8794" t="s">
        <v>10236</v>
      </c>
    </row>
    <row r="8795" spans="1:14">
      <c r="A8795" t="s">
        <v>223</v>
      </c>
      <c r="B8795" t="s">
        <v>8764</v>
      </c>
      <c r="C8795">
        <f>"41011"</f>
        <v>0</v>
      </c>
      <c r="D8795">
        <v>0</v>
      </c>
      <c r="E8795">
        <v>0</v>
      </c>
      <c r="F8795" s="2">
        <v>0</v>
      </c>
      <c r="H8795">
        <v>0</v>
      </c>
      <c r="I8795">
        <v>0.1741125760648204</v>
      </c>
      <c r="J8795">
        <v>0</v>
      </c>
      <c r="K8795">
        <v>0</v>
      </c>
      <c r="L8795" s="2">
        <v>0</v>
      </c>
      <c r="M8795">
        <v>86.2</v>
      </c>
      <c r="N8795" t="s">
        <v>10236</v>
      </c>
    </row>
    <row r="8796" spans="1:14">
      <c r="A8796" t="s">
        <v>35</v>
      </c>
      <c r="B8796" t="s">
        <v>8765</v>
      </c>
      <c r="C8796">
        <f>"18GOG03"</f>
        <v>0</v>
      </c>
      <c r="D8796">
        <v>0</v>
      </c>
      <c r="E8796">
        <v>0</v>
      </c>
      <c r="F8796" s="2">
        <v>0</v>
      </c>
      <c r="H8796">
        <v>0</v>
      </c>
      <c r="I8796">
        <v>0.1741125760648204</v>
      </c>
      <c r="J8796">
        <v>0</v>
      </c>
      <c r="K8796">
        <v>0</v>
      </c>
      <c r="L8796" s="2">
        <v>0</v>
      </c>
      <c r="M8796">
        <v>86.20999999999999</v>
      </c>
      <c r="N8796" t="s">
        <v>10236</v>
      </c>
    </row>
    <row r="8797" spans="1:14">
      <c r="A8797" t="s">
        <v>29</v>
      </c>
      <c r="B8797" t="s">
        <v>8766</v>
      </c>
      <c r="C8797">
        <f>"LED1090R"</f>
        <v>0</v>
      </c>
      <c r="D8797">
        <v>0</v>
      </c>
      <c r="E8797">
        <v>0</v>
      </c>
      <c r="F8797" s="2">
        <v>0</v>
      </c>
      <c r="H8797">
        <v>0</v>
      </c>
      <c r="I8797">
        <v>0.1741125760648204</v>
      </c>
      <c r="J8797">
        <v>0</v>
      </c>
      <c r="K8797">
        <v>0</v>
      </c>
      <c r="L8797" s="2">
        <v>0</v>
      </c>
      <c r="M8797">
        <v>86.20999999999999</v>
      </c>
      <c r="N8797" t="s">
        <v>10236</v>
      </c>
    </row>
    <row r="8798" spans="1:14">
      <c r="A8798" t="s">
        <v>29</v>
      </c>
      <c r="B8798" t="s">
        <v>8767</v>
      </c>
      <c r="C8798">
        <f>"LED1090M"</f>
        <v>0</v>
      </c>
      <c r="D8798">
        <v>0</v>
      </c>
      <c r="E8798">
        <v>0</v>
      </c>
      <c r="F8798" s="2">
        <v>0</v>
      </c>
      <c r="H8798">
        <v>0</v>
      </c>
      <c r="I8798">
        <v>0.1741125760648204</v>
      </c>
      <c r="J8798">
        <v>0</v>
      </c>
      <c r="K8798">
        <v>0</v>
      </c>
      <c r="L8798" s="2">
        <v>0</v>
      </c>
      <c r="M8798">
        <v>86.22</v>
      </c>
      <c r="N8798" t="s">
        <v>10236</v>
      </c>
    </row>
    <row r="8799" spans="1:14">
      <c r="A8799" t="s">
        <v>29</v>
      </c>
      <c r="B8799" t="s">
        <v>8768</v>
      </c>
      <c r="C8799">
        <f>"LED1090B"</f>
        <v>0</v>
      </c>
      <c r="D8799">
        <v>0</v>
      </c>
      <c r="E8799">
        <v>1</v>
      </c>
      <c r="F8799" s="2">
        <v>17</v>
      </c>
      <c r="H8799">
        <v>0</v>
      </c>
      <c r="I8799">
        <v>0.1741125760648204</v>
      </c>
      <c r="J8799">
        <v>0</v>
      </c>
      <c r="K8799">
        <v>0</v>
      </c>
      <c r="L8799" s="2">
        <v>0</v>
      </c>
      <c r="M8799">
        <v>86.23</v>
      </c>
      <c r="N8799" t="s">
        <v>10236</v>
      </c>
    </row>
    <row r="8800" spans="1:14">
      <c r="A8800" t="s">
        <v>29</v>
      </c>
      <c r="B8800" t="s">
        <v>8769</v>
      </c>
      <c r="C8800">
        <f>"LED1089R"</f>
        <v>0</v>
      </c>
      <c r="D8800">
        <v>0</v>
      </c>
      <c r="E8800">
        <v>0</v>
      </c>
      <c r="F8800" s="2">
        <v>0</v>
      </c>
      <c r="H8800">
        <v>0</v>
      </c>
      <c r="I8800">
        <v>0.1741125760648204</v>
      </c>
      <c r="J8800">
        <v>0</v>
      </c>
      <c r="K8800">
        <v>0</v>
      </c>
      <c r="L8800" s="2">
        <v>0</v>
      </c>
      <c r="M8800">
        <v>86.23999999999999</v>
      </c>
      <c r="N8800" t="s">
        <v>10236</v>
      </c>
    </row>
    <row r="8801" spans="1:14">
      <c r="A8801" t="s">
        <v>29</v>
      </c>
      <c r="B8801" t="s">
        <v>8770</v>
      </c>
      <c r="C8801">
        <f>"LED1089M"</f>
        <v>0</v>
      </c>
      <c r="D8801">
        <v>0</v>
      </c>
      <c r="E8801">
        <v>0</v>
      </c>
      <c r="F8801" s="2">
        <v>0</v>
      </c>
      <c r="H8801">
        <v>0</v>
      </c>
      <c r="I8801">
        <v>0.1741125760648204</v>
      </c>
      <c r="J8801">
        <v>0</v>
      </c>
      <c r="K8801">
        <v>0</v>
      </c>
      <c r="L8801" s="2">
        <v>0</v>
      </c>
      <c r="M8801">
        <v>86.25</v>
      </c>
      <c r="N8801" t="s">
        <v>10236</v>
      </c>
    </row>
    <row r="8802" spans="1:14">
      <c r="A8802" t="s">
        <v>29</v>
      </c>
      <c r="B8802" t="s">
        <v>8771</v>
      </c>
      <c r="C8802">
        <f>"LED1089B"</f>
        <v>0</v>
      </c>
      <c r="D8802">
        <v>0</v>
      </c>
      <c r="E8802">
        <v>0</v>
      </c>
      <c r="F8802" s="2">
        <v>0</v>
      </c>
      <c r="H8802">
        <v>0</v>
      </c>
      <c r="I8802">
        <v>0.1741125760648204</v>
      </c>
      <c r="J8802">
        <v>0</v>
      </c>
      <c r="K8802">
        <v>0</v>
      </c>
      <c r="L8802" s="2">
        <v>0</v>
      </c>
      <c r="M8802">
        <v>86.26000000000001</v>
      </c>
      <c r="N8802" t="s">
        <v>10236</v>
      </c>
    </row>
    <row r="8803" spans="1:14">
      <c r="A8803" t="s">
        <v>29</v>
      </c>
      <c r="B8803" t="s">
        <v>8772</v>
      </c>
      <c r="C8803">
        <f>"LED1088R"</f>
        <v>0</v>
      </c>
      <c r="D8803">
        <v>0</v>
      </c>
      <c r="E8803">
        <v>0</v>
      </c>
      <c r="F8803" s="2">
        <v>0</v>
      </c>
      <c r="H8803">
        <v>0</v>
      </c>
      <c r="I8803">
        <v>0.1741125760648204</v>
      </c>
      <c r="J8803">
        <v>0</v>
      </c>
      <c r="K8803">
        <v>0</v>
      </c>
      <c r="L8803" s="2">
        <v>0</v>
      </c>
      <c r="M8803">
        <v>86.27</v>
      </c>
      <c r="N8803" t="s">
        <v>10236</v>
      </c>
    </row>
    <row r="8804" spans="1:14">
      <c r="A8804" t="s">
        <v>223</v>
      </c>
      <c r="B8804" t="s">
        <v>8773</v>
      </c>
      <c r="C8804">
        <f>"42025"</f>
        <v>0</v>
      </c>
      <c r="D8804">
        <v>0</v>
      </c>
      <c r="E8804">
        <v>0</v>
      </c>
      <c r="F8804" s="2">
        <v>0</v>
      </c>
      <c r="H8804">
        <v>0</v>
      </c>
      <c r="I8804">
        <v>0.1741125760648204</v>
      </c>
      <c r="J8804">
        <v>0</v>
      </c>
      <c r="K8804">
        <v>0</v>
      </c>
      <c r="L8804" s="2">
        <v>0</v>
      </c>
      <c r="M8804">
        <v>86.28</v>
      </c>
      <c r="N8804" t="s">
        <v>10236</v>
      </c>
    </row>
    <row r="8805" spans="1:14">
      <c r="A8805" t="s">
        <v>218</v>
      </c>
      <c r="B8805" t="s">
        <v>8774</v>
      </c>
      <c r="C8805">
        <f>"inscls0016"</f>
        <v>0</v>
      </c>
      <c r="D8805">
        <v>0</v>
      </c>
      <c r="E8805">
        <v>0</v>
      </c>
      <c r="F8805" s="2">
        <v>0</v>
      </c>
      <c r="H8805">
        <v>0</v>
      </c>
      <c r="I8805">
        <v>0.1741125760648204</v>
      </c>
      <c r="J8805">
        <v>0</v>
      </c>
      <c r="K8805">
        <v>0</v>
      </c>
      <c r="L8805" s="2">
        <v>0</v>
      </c>
      <c r="M8805">
        <v>86.29000000000001</v>
      </c>
      <c r="N8805" t="s">
        <v>10236</v>
      </c>
    </row>
    <row r="8806" spans="1:14">
      <c r="A8806" t="s">
        <v>35</v>
      </c>
      <c r="B8806" t="s">
        <v>8775</v>
      </c>
      <c r="C8806">
        <f>"07684"</f>
        <v>0</v>
      </c>
      <c r="D8806">
        <v>0</v>
      </c>
      <c r="E8806">
        <v>0</v>
      </c>
      <c r="F8806" s="2">
        <v>0</v>
      </c>
      <c r="H8806">
        <v>0</v>
      </c>
      <c r="I8806">
        <v>0.1741125760648204</v>
      </c>
      <c r="J8806">
        <v>0</v>
      </c>
      <c r="K8806">
        <v>0</v>
      </c>
      <c r="L8806" s="2">
        <v>0</v>
      </c>
      <c r="M8806">
        <v>86.3</v>
      </c>
      <c r="N8806" t="s">
        <v>10236</v>
      </c>
    </row>
    <row r="8807" spans="1:14">
      <c r="A8807" t="s">
        <v>35</v>
      </c>
      <c r="B8807" t="s">
        <v>8776</v>
      </c>
      <c r="C8807">
        <f>"07677"</f>
        <v>0</v>
      </c>
      <c r="D8807">
        <v>0</v>
      </c>
      <c r="E8807">
        <v>0</v>
      </c>
      <c r="F8807" s="2">
        <v>0</v>
      </c>
      <c r="H8807">
        <v>0</v>
      </c>
      <c r="I8807">
        <v>0.1741125760648204</v>
      </c>
      <c r="J8807">
        <v>0</v>
      </c>
      <c r="K8807">
        <v>0</v>
      </c>
      <c r="L8807" s="2">
        <v>0</v>
      </c>
      <c r="M8807">
        <v>86.31</v>
      </c>
      <c r="N8807" t="s">
        <v>10236</v>
      </c>
    </row>
    <row r="8808" spans="1:14">
      <c r="A8808" t="s">
        <v>35</v>
      </c>
      <c r="B8808" t="s">
        <v>8777</v>
      </c>
      <c r="C8808">
        <f>"PS9013B"</f>
        <v>0</v>
      </c>
      <c r="D8808">
        <v>0</v>
      </c>
      <c r="E8808">
        <v>9</v>
      </c>
      <c r="F8808" s="2">
        <v>3</v>
      </c>
      <c r="H8808">
        <v>0</v>
      </c>
      <c r="I8808">
        <v>0.1741125760648204</v>
      </c>
      <c r="J8808">
        <v>0</v>
      </c>
      <c r="K8808">
        <v>0</v>
      </c>
      <c r="L8808" s="2">
        <v>0</v>
      </c>
      <c r="M8808">
        <v>86.31999999999999</v>
      </c>
      <c r="N8808" t="s">
        <v>10236</v>
      </c>
    </row>
    <row r="8809" spans="1:14">
      <c r="A8809" t="s">
        <v>35</v>
      </c>
      <c r="B8809" t="s">
        <v>8778</v>
      </c>
      <c r="C8809">
        <f>"WPS288ROS"</f>
        <v>0</v>
      </c>
      <c r="D8809">
        <v>0</v>
      </c>
      <c r="E8809">
        <v>0</v>
      </c>
      <c r="F8809" s="2">
        <v>0</v>
      </c>
      <c r="H8809">
        <v>0</v>
      </c>
      <c r="I8809">
        <v>0.1741125760648204</v>
      </c>
      <c r="J8809">
        <v>0</v>
      </c>
      <c r="K8809">
        <v>0</v>
      </c>
      <c r="L8809" s="2">
        <v>0</v>
      </c>
      <c r="M8809">
        <v>86.33</v>
      </c>
      <c r="N8809" t="s">
        <v>10236</v>
      </c>
    </row>
    <row r="8810" spans="1:14">
      <c r="A8810" t="s">
        <v>30</v>
      </c>
      <c r="B8810" t="s">
        <v>8779</v>
      </c>
      <c r="C8810">
        <f>"100038"</f>
        <v>0</v>
      </c>
      <c r="D8810">
        <v>0</v>
      </c>
      <c r="E8810">
        <v>0</v>
      </c>
      <c r="F8810" s="2">
        <v>0</v>
      </c>
      <c r="H8810">
        <v>0</v>
      </c>
      <c r="I8810">
        <v>0.1741125760648204</v>
      </c>
      <c r="J8810">
        <v>0</v>
      </c>
      <c r="K8810">
        <v>0</v>
      </c>
      <c r="L8810" s="2">
        <v>0</v>
      </c>
      <c r="M8810">
        <v>86.33</v>
      </c>
      <c r="N8810" t="s">
        <v>10236</v>
      </c>
    </row>
    <row r="8811" spans="1:14">
      <c r="A8811" t="s">
        <v>30</v>
      </c>
      <c r="B8811" t="s">
        <v>8780</v>
      </c>
      <c r="C8811">
        <f>"100039"</f>
        <v>0</v>
      </c>
      <c r="D8811">
        <v>0</v>
      </c>
      <c r="E8811">
        <v>0</v>
      </c>
      <c r="F8811" s="2">
        <v>0</v>
      </c>
      <c r="H8811">
        <v>0</v>
      </c>
      <c r="I8811">
        <v>0.1741125760648204</v>
      </c>
      <c r="J8811">
        <v>0</v>
      </c>
      <c r="K8811">
        <v>0</v>
      </c>
      <c r="L8811" s="2">
        <v>0</v>
      </c>
      <c r="M8811">
        <v>86.34</v>
      </c>
      <c r="N8811" t="s">
        <v>10236</v>
      </c>
    </row>
    <row r="8812" spans="1:14">
      <c r="A8812" t="s">
        <v>223</v>
      </c>
      <c r="B8812" t="s">
        <v>8781</v>
      </c>
      <c r="C8812">
        <f>"7742011"</f>
        <v>0</v>
      </c>
      <c r="D8812">
        <v>0</v>
      </c>
      <c r="E8812">
        <v>0</v>
      </c>
      <c r="F8812" s="2">
        <v>0</v>
      </c>
      <c r="H8812">
        <v>0</v>
      </c>
      <c r="I8812">
        <v>0.1741125760648204</v>
      </c>
      <c r="J8812">
        <v>0</v>
      </c>
      <c r="K8812">
        <v>0</v>
      </c>
      <c r="L8812" s="2">
        <v>0</v>
      </c>
      <c r="M8812">
        <v>86.34999999999999</v>
      </c>
      <c r="N8812" t="s">
        <v>10236</v>
      </c>
    </row>
    <row r="8813" spans="1:14">
      <c r="A8813" t="s">
        <v>223</v>
      </c>
      <c r="B8813" t="s">
        <v>8782</v>
      </c>
      <c r="C8813">
        <f>"7116010"</f>
        <v>0</v>
      </c>
      <c r="D8813">
        <v>0</v>
      </c>
      <c r="E8813">
        <v>0</v>
      </c>
      <c r="F8813" s="2">
        <v>0</v>
      </c>
      <c r="H8813">
        <v>0</v>
      </c>
      <c r="I8813">
        <v>0.1741125760648204</v>
      </c>
      <c r="J8813">
        <v>0</v>
      </c>
      <c r="K8813">
        <v>0</v>
      </c>
      <c r="L8813" s="2">
        <v>0</v>
      </c>
      <c r="M8813">
        <v>86.36</v>
      </c>
      <c r="N8813" t="s">
        <v>10236</v>
      </c>
    </row>
    <row r="8814" spans="1:14">
      <c r="A8814" t="s">
        <v>223</v>
      </c>
      <c r="B8814" t="s">
        <v>8783</v>
      </c>
      <c r="C8814">
        <f>"7141045"</f>
        <v>0</v>
      </c>
      <c r="D8814">
        <v>0</v>
      </c>
      <c r="E8814">
        <v>0</v>
      </c>
      <c r="F8814" s="2">
        <v>0</v>
      </c>
      <c r="H8814">
        <v>0</v>
      </c>
      <c r="I8814">
        <v>0.1741125760648204</v>
      </c>
      <c r="J8814">
        <v>0</v>
      </c>
      <c r="K8814">
        <v>0</v>
      </c>
      <c r="L8814" s="2">
        <v>0</v>
      </c>
      <c r="M8814">
        <v>86.37</v>
      </c>
      <c r="N8814" t="s">
        <v>10236</v>
      </c>
    </row>
    <row r="8815" spans="1:14">
      <c r="A8815" t="s">
        <v>223</v>
      </c>
      <c r="B8815" t="s">
        <v>8784</v>
      </c>
      <c r="C8815">
        <f>"7147263"</f>
        <v>0</v>
      </c>
      <c r="D8815">
        <v>0</v>
      </c>
      <c r="E8815">
        <v>0</v>
      </c>
      <c r="F8815" s="2">
        <v>0</v>
      </c>
      <c r="H8815">
        <v>0</v>
      </c>
      <c r="I8815">
        <v>0.1741125760648204</v>
      </c>
      <c r="J8815">
        <v>0</v>
      </c>
      <c r="K8815">
        <v>0</v>
      </c>
      <c r="L8815" s="2">
        <v>0</v>
      </c>
      <c r="M8815">
        <v>86.38</v>
      </c>
      <c r="N8815" t="s">
        <v>10236</v>
      </c>
    </row>
    <row r="8816" spans="1:14">
      <c r="A8816" t="s">
        <v>29</v>
      </c>
      <c r="B8816" t="s">
        <v>8785</v>
      </c>
      <c r="C8816">
        <f>"LE40"</f>
        <v>0</v>
      </c>
      <c r="D8816">
        <v>0</v>
      </c>
      <c r="E8816">
        <v>0</v>
      </c>
      <c r="F8816" s="2">
        <v>0</v>
      </c>
      <c r="H8816">
        <v>0</v>
      </c>
      <c r="I8816">
        <v>0.1741125760648204</v>
      </c>
      <c r="J8816">
        <v>0</v>
      </c>
      <c r="K8816">
        <v>0</v>
      </c>
      <c r="L8816" s="2">
        <v>0</v>
      </c>
      <c r="M8816">
        <v>86.39</v>
      </c>
      <c r="N8816" t="s">
        <v>10236</v>
      </c>
    </row>
    <row r="8817" spans="1:14">
      <c r="A8817" t="s">
        <v>29</v>
      </c>
      <c r="B8817" t="s">
        <v>8786</v>
      </c>
      <c r="C8817">
        <f>"LE30"</f>
        <v>0</v>
      </c>
      <c r="D8817">
        <v>0</v>
      </c>
      <c r="E8817">
        <v>0</v>
      </c>
      <c r="F8817" s="2">
        <v>0</v>
      </c>
      <c r="H8817">
        <v>0</v>
      </c>
      <c r="I8817">
        <v>0.1741125760648204</v>
      </c>
      <c r="J8817">
        <v>0</v>
      </c>
      <c r="K8817">
        <v>0</v>
      </c>
      <c r="L8817" s="2">
        <v>0</v>
      </c>
      <c r="M8817">
        <v>86.40000000000001</v>
      </c>
      <c r="N8817" t="s">
        <v>10236</v>
      </c>
    </row>
    <row r="8818" spans="1:14">
      <c r="A8818" t="s">
        <v>35</v>
      </c>
      <c r="B8818" t="s">
        <v>8787</v>
      </c>
      <c r="C8818">
        <f>"NJ07B"</f>
        <v>0</v>
      </c>
      <c r="D8818">
        <v>0</v>
      </c>
      <c r="E8818">
        <v>0</v>
      </c>
      <c r="F8818" s="2">
        <v>0</v>
      </c>
      <c r="H8818">
        <v>0</v>
      </c>
      <c r="I8818">
        <v>0.1741125760648204</v>
      </c>
      <c r="J8818">
        <v>0</v>
      </c>
      <c r="K8818">
        <v>0</v>
      </c>
      <c r="L8818" s="2">
        <v>0</v>
      </c>
      <c r="M8818">
        <v>86.41</v>
      </c>
      <c r="N8818" t="s">
        <v>10236</v>
      </c>
    </row>
    <row r="8819" spans="1:14">
      <c r="A8819" t="s">
        <v>35</v>
      </c>
      <c r="B8819" t="s">
        <v>8788</v>
      </c>
      <c r="C8819">
        <f>"NJ07A"</f>
        <v>0</v>
      </c>
      <c r="D8819">
        <v>0</v>
      </c>
      <c r="E8819">
        <v>0</v>
      </c>
      <c r="F8819" s="2">
        <v>0</v>
      </c>
      <c r="H8819">
        <v>0</v>
      </c>
      <c r="I8819">
        <v>0.1741125760648204</v>
      </c>
      <c r="J8819">
        <v>0</v>
      </c>
      <c r="K8819">
        <v>0</v>
      </c>
      <c r="L8819" s="2">
        <v>0</v>
      </c>
      <c r="M8819">
        <v>86.42</v>
      </c>
      <c r="N8819" t="s">
        <v>10236</v>
      </c>
    </row>
    <row r="8820" spans="1:14">
      <c r="A8820" t="s">
        <v>25</v>
      </c>
      <c r="B8820" t="s">
        <v>8789</v>
      </c>
      <c r="C8820">
        <f>"ND21050"</f>
        <v>0</v>
      </c>
      <c r="D8820">
        <v>0</v>
      </c>
      <c r="E8820">
        <v>0</v>
      </c>
      <c r="F8820" s="2">
        <v>0</v>
      </c>
      <c r="H8820">
        <v>0</v>
      </c>
      <c r="I8820">
        <v>0.1741125760648204</v>
      </c>
      <c r="J8820">
        <v>0</v>
      </c>
      <c r="K8820">
        <v>0</v>
      </c>
      <c r="L8820" s="2">
        <v>0</v>
      </c>
      <c r="M8820">
        <v>86.43000000000001</v>
      </c>
      <c r="N8820" t="s">
        <v>10236</v>
      </c>
    </row>
    <row r="8821" spans="1:14">
      <c r="A8821" t="s">
        <v>25</v>
      </c>
      <c r="B8821" t="s">
        <v>8790</v>
      </c>
      <c r="C8821">
        <f>"ND21100"</f>
        <v>0</v>
      </c>
      <c r="D8821">
        <v>0</v>
      </c>
      <c r="E8821">
        <v>0</v>
      </c>
      <c r="F8821" s="2">
        <v>0</v>
      </c>
      <c r="H8821">
        <v>0</v>
      </c>
      <c r="I8821">
        <v>0.1741125760648204</v>
      </c>
      <c r="J8821">
        <v>0</v>
      </c>
      <c r="K8821">
        <v>0</v>
      </c>
      <c r="L8821" s="2">
        <v>0</v>
      </c>
      <c r="M8821">
        <v>86.44</v>
      </c>
      <c r="N8821" t="s">
        <v>10236</v>
      </c>
    </row>
    <row r="8822" spans="1:14">
      <c r="A8822" t="s">
        <v>35</v>
      </c>
      <c r="B8822" t="s">
        <v>8791</v>
      </c>
      <c r="C8822">
        <f>"NJ20"</f>
        <v>0</v>
      </c>
      <c r="D8822">
        <v>0</v>
      </c>
      <c r="E8822">
        <v>0</v>
      </c>
      <c r="F8822" s="2">
        <v>0</v>
      </c>
      <c r="H8822">
        <v>0</v>
      </c>
      <c r="I8822">
        <v>0.1741125760648204</v>
      </c>
      <c r="J8822">
        <v>0</v>
      </c>
      <c r="K8822">
        <v>0</v>
      </c>
      <c r="L8822" s="2">
        <v>0</v>
      </c>
      <c r="M8822">
        <v>86.45</v>
      </c>
      <c r="N8822" t="s">
        <v>10236</v>
      </c>
    </row>
    <row r="8823" spans="1:14">
      <c r="A8823" t="s">
        <v>29</v>
      </c>
      <c r="B8823" t="s">
        <v>8792</v>
      </c>
      <c r="C8823">
        <f>"D20LED"</f>
        <v>0</v>
      </c>
      <c r="D8823">
        <v>0</v>
      </c>
      <c r="E8823">
        <v>0</v>
      </c>
      <c r="F8823" s="2">
        <v>0</v>
      </c>
      <c r="H8823">
        <v>0</v>
      </c>
      <c r="I8823">
        <v>0.1741125760648204</v>
      </c>
      <c r="J8823">
        <v>0</v>
      </c>
      <c r="K8823">
        <v>0</v>
      </c>
      <c r="L8823" s="2">
        <v>0</v>
      </c>
      <c r="M8823">
        <v>86.45</v>
      </c>
      <c r="N8823" t="s">
        <v>10236</v>
      </c>
    </row>
    <row r="8824" spans="1:14">
      <c r="A8824" t="s">
        <v>35</v>
      </c>
      <c r="B8824" t="s">
        <v>8793</v>
      </c>
      <c r="C8824">
        <f>"IDM"</f>
        <v>0</v>
      </c>
      <c r="D8824">
        <v>0</v>
      </c>
      <c r="E8824">
        <v>0</v>
      </c>
      <c r="F8824" s="2">
        <v>0</v>
      </c>
      <c r="H8824">
        <v>0</v>
      </c>
      <c r="I8824">
        <v>0.1741125760648204</v>
      </c>
      <c r="J8824">
        <v>0</v>
      </c>
      <c r="K8824">
        <v>0</v>
      </c>
      <c r="L8824" s="2">
        <v>0</v>
      </c>
      <c r="M8824">
        <v>86.45999999999999</v>
      </c>
      <c r="N8824" t="s">
        <v>10236</v>
      </c>
    </row>
    <row r="8825" spans="1:14">
      <c r="A8825" t="s">
        <v>35</v>
      </c>
      <c r="B8825" t="s">
        <v>8794</v>
      </c>
      <c r="C8825">
        <f>"BP2060NEG"</f>
        <v>0</v>
      </c>
      <c r="D8825">
        <v>0</v>
      </c>
      <c r="E8825">
        <v>0</v>
      </c>
      <c r="F8825" s="2">
        <v>0</v>
      </c>
      <c r="H8825">
        <v>0</v>
      </c>
      <c r="I8825">
        <v>0.1741125760648204</v>
      </c>
      <c r="J8825">
        <v>0</v>
      </c>
      <c r="K8825">
        <v>0</v>
      </c>
      <c r="L8825" s="2">
        <v>0</v>
      </c>
      <c r="M8825">
        <v>86.47</v>
      </c>
      <c r="N8825" t="s">
        <v>10236</v>
      </c>
    </row>
    <row r="8826" spans="1:14">
      <c r="A8826" t="s">
        <v>35</v>
      </c>
      <c r="B8826" t="s">
        <v>8795</v>
      </c>
      <c r="C8826">
        <f>"BP2060CEL"</f>
        <v>0</v>
      </c>
      <c r="D8826">
        <v>0</v>
      </c>
      <c r="E8826">
        <v>3</v>
      </c>
      <c r="F8826" s="2">
        <v>3</v>
      </c>
      <c r="H8826">
        <v>0</v>
      </c>
      <c r="I8826">
        <v>0.1741125760648204</v>
      </c>
      <c r="J8826">
        <v>0</v>
      </c>
      <c r="K8826">
        <v>0</v>
      </c>
      <c r="L8826" s="2">
        <v>0</v>
      </c>
      <c r="M8826">
        <v>86.48</v>
      </c>
      <c r="N8826" t="s">
        <v>10236</v>
      </c>
    </row>
    <row r="8827" spans="1:14">
      <c r="A8827" t="s">
        <v>35</v>
      </c>
      <c r="B8827" t="s">
        <v>8796</v>
      </c>
      <c r="C8827">
        <f>"235"</f>
        <v>0</v>
      </c>
      <c r="D8827">
        <v>0</v>
      </c>
      <c r="E8827">
        <v>0</v>
      </c>
      <c r="F8827" s="2">
        <v>0</v>
      </c>
      <c r="H8827">
        <v>0</v>
      </c>
      <c r="I8827">
        <v>0.1741125760648204</v>
      </c>
      <c r="J8827">
        <v>0</v>
      </c>
      <c r="K8827">
        <v>0</v>
      </c>
      <c r="L8827" s="2">
        <v>0</v>
      </c>
      <c r="M8827">
        <v>86.48999999999999</v>
      </c>
      <c r="N8827" t="s">
        <v>10236</v>
      </c>
    </row>
    <row r="8828" spans="1:14">
      <c r="A8828" t="s">
        <v>29</v>
      </c>
      <c r="B8828" t="s">
        <v>8797</v>
      </c>
      <c r="C8828">
        <f>"LED1088M"</f>
        <v>0</v>
      </c>
      <c r="D8828">
        <v>0</v>
      </c>
      <c r="E8828">
        <v>0</v>
      </c>
      <c r="F8828" s="2">
        <v>0</v>
      </c>
      <c r="H8828">
        <v>0</v>
      </c>
      <c r="I8828">
        <v>0.1741125760648204</v>
      </c>
      <c r="J8828">
        <v>0</v>
      </c>
      <c r="K8828">
        <v>0</v>
      </c>
      <c r="L8828" s="2">
        <v>0</v>
      </c>
      <c r="M8828">
        <v>86.5</v>
      </c>
      <c r="N8828" t="s">
        <v>10236</v>
      </c>
    </row>
    <row r="8829" spans="1:14">
      <c r="A8829" t="s">
        <v>29</v>
      </c>
      <c r="B8829" t="s">
        <v>8798</v>
      </c>
      <c r="C8829">
        <f>"LED1088B"</f>
        <v>0</v>
      </c>
      <c r="D8829">
        <v>0</v>
      </c>
      <c r="E8829">
        <v>0</v>
      </c>
      <c r="F8829" s="2">
        <v>0</v>
      </c>
      <c r="H8829">
        <v>0</v>
      </c>
      <c r="I8829">
        <v>0.1741125760648204</v>
      </c>
      <c r="J8829">
        <v>0</v>
      </c>
      <c r="K8829">
        <v>0</v>
      </c>
      <c r="L8829" s="2">
        <v>0</v>
      </c>
      <c r="M8829">
        <v>86.51000000000001</v>
      </c>
      <c r="N8829" t="s">
        <v>10236</v>
      </c>
    </row>
    <row r="8830" spans="1:14">
      <c r="A8830" t="s">
        <v>196</v>
      </c>
      <c r="B8830" t="s">
        <v>8799</v>
      </c>
      <c r="C8830">
        <f>"2228"</f>
        <v>0</v>
      </c>
      <c r="D8830">
        <v>0</v>
      </c>
      <c r="E8830">
        <v>0</v>
      </c>
      <c r="F8830" s="2">
        <v>0</v>
      </c>
      <c r="H8830">
        <v>0</v>
      </c>
      <c r="I8830">
        <v>0.1741125760648204</v>
      </c>
      <c r="J8830">
        <v>0</v>
      </c>
      <c r="K8830">
        <v>0</v>
      </c>
      <c r="L8830" s="2">
        <v>0</v>
      </c>
      <c r="M8830">
        <v>86.52</v>
      </c>
      <c r="N8830" t="s">
        <v>10236</v>
      </c>
    </row>
    <row r="8831" spans="1:14">
      <c r="A8831" t="s">
        <v>196</v>
      </c>
      <c r="B8831" t="s">
        <v>8800</v>
      </c>
      <c r="C8831">
        <f>"2220"</f>
        <v>0</v>
      </c>
      <c r="D8831">
        <v>0</v>
      </c>
      <c r="E8831">
        <v>0</v>
      </c>
      <c r="F8831" s="2">
        <v>0</v>
      </c>
      <c r="H8831">
        <v>0</v>
      </c>
      <c r="I8831">
        <v>0.1741125760648204</v>
      </c>
      <c r="J8831">
        <v>0</v>
      </c>
      <c r="K8831">
        <v>0</v>
      </c>
      <c r="L8831" s="2">
        <v>0</v>
      </c>
      <c r="M8831">
        <v>86.53</v>
      </c>
      <c r="N8831" t="s">
        <v>10236</v>
      </c>
    </row>
    <row r="8832" spans="1:14">
      <c r="A8832" t="s">
        <v>32</v>
      </c>
      <c r="B8832" t="s">
        <v>8801</v>
      </c>
      <c r="C8832">
        <f>"1016734"</f>
        <v>0</v>
      </c>
      <c r="D8832">
        <v>0</v>
      </c>
      <c r="E8832">
        <v>0</v>
      </c>
      <c r="F8832" s="2">
        <v>0</v>
      </c>
      <c r="H8832">
        <v>0</v>
      </c>
      <c r="I8832">
        <v>0.1741125760648204</v>
      </c>
      <c r="J8832">
        <v>0</v>
      </c>
      <c r="K8832">
        <v>0</v>
      </c>
      <c r="L8832" s="2">
        <v>0</v>
      </c>
      <c r="M8832">
        <v>86.54000000000001</v>
      </c>
      <c r="N8832" t="s">
        <v>10236</v>
      </c>
    </row>
    <row r="8833" spans="1:14">
      <c r="A8833" t="s">
        <v>216</v>
      </c>
      <c r="B8833" t="s">
        <v>8802</v>
      </c>
      <c r="C8833">
        <f>"1576888703022"</f>
        <v>0</v>
      </c>
      <c r="D8833">
        <v>0</v>
      </c>
      <c r="E8833">
        <v>0</v>
      </c>
      <c r="F8833" s="2">
        <v>0</v>
      </c>
      <c r="H8833">
        <v>0</v>
      </c>
      <c r="I8833">
        <v>0.1741125760648204</v>
      </c>
      <c r="J8833">
        <v>0</v>
      </c>
      <c r="K8833">
        <v>0</v>
      </c>
      <c r="L8833" s="2">
        <v>0</v>
      </c>
      <c r="M8833">
        <v>86.55</v>
      </c>
      <c r="N8833" t="s">
        <v>10236</v>
      </c>
    </row>
    <row r="8834" spans="1:14">
      <c r="A8834" t="s">
        <v>203</v>
      </c>
      <c r="B8834" t="s">
        <v>8803</v>
      </c>
      <c r="C8834">
        <f>"758925"</f>
        <v>0</v>
      </c>
      <c r="D8834">
        <v>0</v>
      </c>
      <c r="E8834">
        <v>0</v>
      </c>
      <c r="F8834" s="2">
        <v>0</v>
      </c>
      <c r="H8834">
        <v>0</v>
      </c>
      <c r="I8834">
        <v>0.1741125760648204</v>
      </c>
      <c r="J8834">
        <v>0</v>
      </c>
      <c r="K8834">
        <v>0</v>
      </c>
      <c r="L8834" s="2">
        <v>0</v>
      </c>
      <c r="M8834">
        <v>86.56</v>
      </c>
      <c r="N8834" t="s">
        <v>10236</v>
      </c>
    </row>
    <row r="8835" spans="1:14">
      <c r="A8835" t="s">
        <v>203</v>
      </c>
      <c r="B8835" t="s">
        <v>8804</v>
      </c>
      <c r="C8835">
        <f>"758915"</f>
        <v>0</v>
      </c>
      <c r="D8835">
        <v>0</v>
      </c>
      <c r="E8835">
        <v>0</v>
      </c>
      <c r="F8835" s="2">
        <v>0</v>
      </c>
      <c r="H8835">
        <v>0</v>
      </c>
      <c r="I8835">
        <v>0.1741125760648204</v>
      </c>
      <c r="J8835">
        <v>0</v>
      </c>
      <c r="K8835">
        <v>0</v>
      </c>
      <c r="L8835" s="2">
        <v>0</v>
      </c>
      <c r="M8835">
        <v>86.56</v>
      </c>
      <c r="N8835" t="s">
        <v>10236</v>
      </c>
    </row>
    <row r="8836" spans="1:14">
      <c r="A8836" t="s">
        <v>203</v>
      </c>
      <c r="B8836" t="s">
        <v>8805</v>
      </c>
      <c r="C8836">
        <f>"758315"</f>
        <v>0</v>
      </c>
      <c r="D8836">
        <v>0</v>
      </c>
      <c r="E8836">
        <v>0</v>
      </c>
      <c r="F8836" s="2">
        <v>0</v>
      </c>
      <c r="H8836">
        <v>0</v>
      </c>
      <c r="I8836">
        <v>0.1741125760648204</v>
      </c>
      <c r="J8836">
        <v>0</v>
      </c>
      <c r="K8836">
        <v>0</v>
      </c>
      <c r="L8836" s="2">
        <v>0</v>
      </c>
      <c r="M8836">
        <v>86.56999999999999</v>
      </c>
      <c r="N8836" t="s">
        <v>10236</v>
      </c>
    </row>
    <row r="8837" spans="1:14">
      <c r="A8837" t="s">
        <v>203</v>
      </c>
      <c r="B8837" t="s">
        <v>8806</v>
      </c>
      <c r="C8837">
        <f>"758815"</f>
        <v>0</v>
      </c>
      <c r="D8837">
        <v>0</v>
      </c>
      <c r="E8837">
        <v>0</v>
      </c>
      <c r="F8837" s="2">
        <v>0</v>
      </c>
      <c r="H8837">
        <v>0</v>
      </c>
      <c r="I8837">
        <v>0.1741125760648204</v>
      </c>
      <c r="J8837">
        <v>0</v>
      </c>
      <c r="K8837">
        <v>0</v>
      </c>
      <c r="L8837" s="2">
        <v>0</v>
      </c>
      <c r="M8837">
        <v>86.58</v>
      </c>
      <c r="N8837" t="s">
        <v>10236</v>
      </c>
    </row>
    <row r="8838" spans="1:14">
      <c r="A8838" t="s">
        <v>35</v>
      </c>
      <c r="B8838" t="s">
        <v>8807</v>
      </c>
      <c r="C8838">
        <f>"LMXL"</f>
        <v>0</v>
      </c>
      <c r="D8838">
        <v>0</v>
      </c>
      <c r="E8838">
        <v>10</v>
      </c>
      <c r="F8838" s="2">
        <v>5</v>
      </c>
      <c r="H8838">
        <v>0</v>
      </c>
      <c r="I8838">
        <v>0.1741125760648204</v>
      </c>
      <c r="J8838">
        <v>0</v>
      </c>
      <c r="K8838">
        <v>0</v>
      </c>
      <c r="L8838" s="2">
        <v>0</v>
      </c>
      <c r="M8838">
        <v>86.59</v>
      </c>
      <c r="N8838" t="s">
        <v>10236</v>
      </c>
    </row>
    <row r="8839" spans="1:14">
      <c r="A8839" t="s">
        <v>223</v>
      </c>
      <c r="B8839" t="s">
        <v>8808</v>
      </c>
      <c r="C8839">
        <f>"41065"</f>
        <v>0</v>
      </c>
      <c r="D8839">
        <v>0</v>
      </c>
      <c r="E8839">
        <v>0</v>
      </c>
      <c r="F8839" s="2">
        <v>0</v>
      </c>
      <c r="H8839">
        <v>0</v>
      </c>
      <c r="I8839">
        <v>0.1741125760648204</v>
      </c>
      <c r="J8839">
        <v>0</v>
      </c>
      <c r="K8839">
        <v>0</v>
      </c>
      <c r="L8839" s="2">
        <v>0</v>
      </c>
      <c r="M8839">
        <v>86.59999999999999</v>
      </c>
      <c r="N8839" t="s">
        <v>10236</v>
      </c>
    </row>
    <row r="8840" spans="1:14">
      <c r="A8840" t="s">
        <v>213</v>
      </c>
      <c r="B8840" t="s">
        <v>8809</v>
      </c>
      <c r="C8840">
        <f>"500628"</f>
        <v>0</v>
      </c>
      <c r="D8840">
        <v>0</v>
      </c>
      <c r="E8840">
        <v>1</v>
      </c>
      <c r="F8840" s="2">
        <v>12</v>
      </c>
      <c r="H8840">
        <v>0</v>
      </c>
      <c r="I8840">
        <v>0.1741125760648204</v>
      </c>
      <c r="J8840">
        <v>0</v>
      </c>
      <c r="K8840">
        <v>0</v>
      </c>
      <c r="L8840" s="2">
        <v>0</v>
      </c>
      <c r="M8840">
        <v>86.61</v>
      </c>
      <c r="N8840" t="s">
        <v>10236</v>
      </c>
    </row>
    <row r="8841" spans="1:14">
      <c r="A8841" t="s">
        <v>213</v>
      </c>
      <c r="B8841" t="s">
        <v>8810</v>
      </c>
      <c r="C8841">
        <f>"500877"</f>
        <v>0</v>
      </c>
      <c r="D8841">
        <v>0</v>
      </c>
      <c r="E8841">
        <v>1</v>
      </c>
      <c r="F8841" s="2">
        <v>14</v>
      </c>
      <c r="H8841">
        <v>0</v>
      </c>
      <c r="I8841">
        <v>0.1741125760648204</v>
      </c>
      <c r="J8841">
        <v>0</v>
      </c>
      <c r="K8841">
        <v>0</v>
      </c>
      <c r="L8841" s="2">
        <v>0</v>
      </c>
      <c r="M8841">
        <v>86.62</v>
      </c>
      <c r="N8841" t="s">
        <v>10236</v>
      </c>
    </row>
    <row r="8842" spans="1:14">
      <c r="A8842" t="s">
        <v>213</v>
      </c>
      <c r="B8842" t="s">
        <v>8811</v>
      </c>
      <c r="C8842">
        <f>"500627"</f>
        <v>0</v>
      </c>
      <c r="D8842">
        <v>0</v>
      </c>
      <c r="E8842">
        <v>0</v>
      </c>
      <c r="F8842" s="2">
        <v>0</v>
      </c>
      <c r="H8842">
        <v>0</v>
      </c>
      <c r="I8842">
        <v>0.1741125760648204</v>
      </c>
      <c r="J8842">
        <v>0</v>
      </c>
      <c r="K8842">
        <v>0</v>
      </c>
      <c r="L8842" s="2">
        <v>0</v>
      </c>
      <c r="M8842">
        <v>86.63</v>
      </c>
      <c r="N8842" t="s">
        <v>10236</v>
      </c>
    </row>
    <row r="8843" spans="1:14">
      <c r="A8843" t="s">
        <v>213</v>
      </c>
      <c r="B8843" t="s">
        <v>8812</v>
      </c>
      <c r="C8843">
        <f>"500638"</f>
        <v>0</v>
      </c>
      <c r="D8843">
        <v>0</v>
      </c>
      <c r="E8843">
        <v>1</v>
      </c>
      <c r="F8843" s="2">
        <v>13</v>
      </c>
      <c r="H8843">
        <v>0</v>
      </c>
      <c r="I8843">
        <v>0.1741125760648204</v>
      </c>
      <c r="J8843">
        <v>0</v>
      </c>
      <c r="K8843">
        <v>0</v>
      </c>
      <c r="L8843" s="2">
        <v>0</v>
      </c>
      <c r="M8843">
        <v>86.64</v>
      </c>
      <c r="N8843" t="s">
        <v>10236</v>
      </c>
    </row>
    <row r="8844" spans="1:14">
      <c r="A8844" t="s">
        <v>213</v>
      </c>
      <c r="B8844" t="s">
        <v>8813</v>
      </c>
      <c r="C8844">
        <f>"500879"</f>
        <v>0</v>
      </c>
      <c r="D8844">
        <v>0</v>
      </c>
      <c r="E8844">
        <v>0</v>
      </c>
      <c r="F8844" s="2">
        <v>0</v>
      </c>
      <c r="H8844">
        <v>0</v>
      </c>
      <c r="I8844">
        <v>0.1741125760648204</v>
      </c>
      <c r="J8844">
        <v>0</v>
      </c>
      <c r="K8844">
        <v>0</v>
      </c>
      <c r="L8844" s="2">
        <v>0</v>
      </c>
      <c r="M8844">
        <v>86.65000000000001</v>
      </c>
      <c r="N8844" t="s">
        <v>10236</v>
      </c>
    </row>
    <row r="8845" spans="1:14">
      <c r="A8845" t="s">
        <v>213</v>
      </c>
      <c r="B8845" t="s">
        <v>8814</v>
      </c>
      <c r="C8845">
        <f>"500635"</f>
        <v>0</v>
      </c>
      <c r="D8845">
        <v>0</v>
      </c>
      <c r="E8845">
        <v>0</v>
      </c>
      <c r="F8845" s="2">
        <v>0</v>
      </c>
      <c r="H8845">
        <v>0</v>
      </c>
      <c r="I8845">
        <v>0.1741125760648204</v>
      </c>
      <c r="J8845">
        <v>0</v>
      </c>
      <c r="K8845">
        <v>0</v>
      </c>
      <c r="L8845" s="2">
        <v>0</v>
      </c>
      <c r="M8845">
        <v>86.66</v>
      </c>
      <c r="N8845" t="s">
        <v>10236</v>
      </c>
    </row>
    <row r="8846" spans="1:14">
      <c r="A8846" t="s">
        <v>213</v>
      </c>
      <c r="B8846" t="s">
        <v>8815</v>
      </c>
      <c r="C8846">
        <f>"500894"</f>
        <v>0</v>
      </c>
      <c r="D8846">
        <v>0</v>
      </c>
      <c r="E8846">
        <v>0</v>
      </c>
      <c r="F8846" s="2">
        <v>0</v>
      </c>
      <c r="H8846">
        <v>0</v>
      </c>
      <c r="I8846">
        <v>0.1741125760648204</v>
      </c>
      <c r="J8846">
        <v>0</v>
      </c>
      <c r="K8846">
        <v>0</v>
      </c>
      <c r="L8846" s="2">
        <v>0</v>
      </c>
      <c r="M8846">
        <v>86.67</v>
      </c>
      <c r="N8846" t="s">
        <v>10236</v>
      </c>
    </row>
    <row r="8847" spans="1:14">
      <c r="A8847" t="s">
        <v>35</v>
      </c>
      <c r="B8847" t="s">
        <v>8816</v>
      </c>
      <c r="C8847">
        <f>"WD05340R"</f>
        <v>0</v>
      </c>
      <c r="D8847">
        <v>0</v>
      </c>
      <c r="E8847">
        <v>14</v>
      </c>
      <c r="F8847" s="2">
        <v>6</v>
      </c>
      <c r="H8847">
        <v>0</v>
      </c>
      <c r="I8847">
        <v>0.1741125760648204</v>
      </c>
      <c r="J8847">
        <v>0</v>
      </c>
      <c r="K8847">
        <v>0</v>
      </c>
      <c r="L8847" s="2">
        <v>0</v>
      </c>
      <c r="M8847">
        <v>86.68000000000001</v>
      </c>
      <c r="N8847" t="s">
        <v>10236</v>
      </c>
    </row>
    <row r="8848" spans="1:14">
      <c r="A8848" t="s">
        <v>35</v>
      </c>
      <c r="B8848" t="s">
        <v>8817</v>
      </c>
      <c r="C8848">
        <f>"WD05340N"</f>
        <v>0</v>
      </c>
      <c r="D8848">
        <v>0</v>
      </c>
      <c r="E8848">
        <v>2</v>
      </c>
      <c r="F8848" s="2">
        <v>0</v>
      </c>
      <c r="H8848">
        <v>0</v>
      </c>
      <c r="I8848">
        <v>0.1741125760648204</v>
      </c>
      <c r="J8848">
        <v>0</v>
      </c>
      <c r="K8848">
        <v>0</v>
      </c>
      <c r="L8848" s="2">
        <v>0</v>
      </c>
      <c r="M8848">
        <v>86.68000000000001</v>
      </c>
      <c r="N8848" t="s">
        <v>10236</v>
      </c>
    </row>
    <row r="8849" spans="1:14">
      <c r="A8849" t="s">
        <v>25</v>
      </c>
      <c r="B8849" t="s">
        <v>8818</v>
      </c>
      <c r="C8849">
        <f>"JS015MR"</f>
        <v>0</v>
      </c>
      <c r="D8849">
        <v>0</v>
      </c>
      <c r="E8849">
        <v>14</v>
      </c>
      <c r="F8849" s="2">
        <v>3</v>
      </c>
      <c r="H8849">
        <v>0</v>
      </c>
      <c r="I8849">
        <v>0.1741125760648204</v>
      </c>
      <c r="J8849">
        <v>0</v>
      </c>
      <c r="K8849">
        <v>0</v>
      </c>
      <c r="L8849" s="2">
        <v>0</v>
      </c>
      <c r="M8849">
        <v>86.69</v>
      </c>
      <c r="N8849" t="s">
        <v>10236</v>
      </c>
    </row>
    <row r="8850" spans="1:14">
      <c r="A8850" t="s">
        <v>25</v>
      </c>
      <c r="B8850" t="s">
        <v>8819</v>
      </c>
      <c r="C8850">
        <f>"JS015MA"</f>
        <v>0</v>
      </c>
      <c r="D8850">
        <v>0</v>
      </c>
      <c r="E8850">
        <v>15</v>
      </c>
      <c r="F8850" s="2">
        <v>3</v>
      </c>
      <c r="H8850">
        <v>0</v>
      </c>
      <c r="I8850">
        <v>0.1741125760648204</v>
      </c>
      <c r="J8850">
        <v>0</v>
      </c>
      <c r="K8850">
        <v>0</v>
      </c>
      <c r="L8850" s="2">
        <v>0</v>
      </c>
      <c r="M8850">
        <v>86.7</v>
      </c>
      <c r="N8850" t="s">
        <v>10236</v>
      </c>
    </row>
    <row r="8851" spans="1:14">
      <c r="A8851" t="s">
        <v>203</v>
      </c>
      <c r="B8851" t="s">
        <v>8820</v>
      </c>
      <c r="C8851">
        <f>"758725"</f>
        <v>0</v>
      </c>
      <c r="D8851">
        <v>0</v>
      </c>
      <c r="E8851">
        <v>0</v>
      </c>
      <c r="F8851" s="2">
        <v>0</v>
      </c>
      <c r="H8851">
        <v>0</v>
      </c>
      <c r="I8851">
        <v>0.1741125760648204</v>
      </c>
      <c r="J8851">
        <v>0</v>
      </c>
      <c r="K8851">
        <v>0</v>
      </c>
      <c r="L8851" s="2">
        <v>0</v>
      </c>
      <c r="M8851">
        <v>86.70999999999999</v>
      </c>
      <c r="N8851" t="s">
        <v>10236</v>
      </c>
    </row>
    <row r="8852" spans="1:14">
      <c r="A8852" t="s">
        <v>203</v>
      </c>
      <c r="B8852" t="s">
        <v>8821</v>
      </c>
      <c r="C8852">
        <f>"758525"</f>
        <v>0</v>
      </c>
      <c r="D8852">
        <v>0</v>
      </c>
      <c r="E8852">
        <v>2</v>
      </c>
      <c r="F8852" s="2">
        <v>49</v>
      </c>
      <c r="H8852">
        <v>0</v>
      </c>
      <c r="I8852">
        <v>0.1741125760648204</v>
      </c>
      <c r="J8852">
        <v>0</v>
      </c>
      <c r="K8852">
        <v>0</v>
      </c>
      <c r="L8852" s="2">
        <v>0</v>
      </c>
      <c r="M8852">
        <v>86.72</v>
      </c>
      <c r="N8852" t="s">
        <v>10236</v>
      </c>
    </row>
    <row r="8853" spans="1:14">
      <c r="A8853" t="s">
        <v>223</v>
      </c>
      <c r="B8853" t="s">
        <v>8822</v>
      </c>
      <c r="C8853">
        <f>"7117040"</f>
        <v>0</v>
      </c>
      <c r="D8853">
        <v>0</v>
      </c>
      <c r="E8853">
        <v>0</v>
      </c>
      <c r="F8853" s="2">
        <v>0</v>
      </c>
      <c r="H8853">
        <v>0</v>
      </c>
      <c r="I8853">
        <v>0.1741125760648204</v>
      </c>
      <c r="J8853">
        <v>0</v>
      </c>
      <c r="K8853">
        <v>0</v>
      </c>
      <c r="L8853" s="2">
        <v>0</v>
      </c>
      <c r="M8853">
        <v>86.73</v>
      </c>
      <c r="N8853" t="s">
        <v>10236</v>
      </c>
    </row>
    <row r="8854" spans="1:14">
      <c r="A8854" t="s">
        <v>223</v>
      </c>
      <c r="B8854" t="s">
        <v>8823</v>
      </c>
      <c r="C8854">
        <f>"7119030"</f>
        <v>0</v>
      </c>
      <c r="D8854">
        <v>0</v>
      </c>
      <c r="E8854">
        <v>0</v>
      </c>
      <c r="F8854" s="2">
        <v>0</v>
      </c>
      <c r="H8854">
        <v>0</v>
      </c>
      <c r="I8854">
        <v>0.1741125760648204</v>
      </c>
      <c r="J8854">
        <v>0</v>
      </c>
      <c r="K8854">
        <v>0</v>
      </c>
      <c r="L8854" s="2">
        <v>0</v>
      </c>
      <c r="M8854">
        <v>86.73999999999999</v>
      </c>
      <c r="N8854" t="s">
        <v>10236</v>
      </c>
    </row>
    <row r="8855" spans="1:14">
      <c r="A8855" t="s">
        <v>35</v>
      </c>
      <c r="B8855" t="s">
        <v>8824</v>
      </c>
      <c r="C8855">
        <f>"LMS"</f>
        <v>0</v>
      </c>
      <c r="D8855">
        <v>0</v>
      </c>
      <c r="E8855">
        <v>7</v>
      </c>
      <c r="F8855" s="2">
        <v>3</v>
      </c>
      <c r="H8855">
        <v>0</v>
      </c>
      <c r="I8855">
        <v>0.1741125760648204</v>
      </c>
      <c r="J8855">
        <v>0</v>
      </c>
      <c r="K8855">
        <v>0</v>
      </c>
      <c r="L8855" s="2">
        <v>0</v>
      </c>
      <c r="M8855">
        <v>86.75</v>
      </c>
      <c r="N8855" t="s">
        <v>10236</v>
      </c>
    </row>
    <row r="8856" spans="1:14">
      <c r="A8856" t="s">
        <v>223</v>
      </c>
      <c r="B8856" t="s">
        <v>8825</v>
      </c>
      <c r="C8856">
        <f>"20101220"</f>
        <v>0</v>
      </c>
      <c r="D8856">
        <v>0</v>
      </c>
      <c r="E8856">
        <v>0</v>
      </c>
      <c r="F8856" s="2">
        <v>0</v>
      </c>
      <c r="H8856">
        <v>0</v>
      </c>
      <c r="I8856">
        <v>0.1741125760648204</v>
      </c>
      <c r="J8856">
        <v>0</v>
      </c>
      <c r="K8856">
        <v>0</v>
      </c>
      <c r="L8856" s="2">
        <v>0</v>
      </c>
      <c r="M8856">
        <v>86.76000000000001</v>
      </c>
      <c r="N8856" t="s">
        <v>10236</v>
      </c>
    </row>
    <row r="8857" spans="1:14">
      <c r="A8857" t="s">
        <v>223</v>
      </c>
      <c r="B8857" t="s">
        <v>8826</v>
      </c>
      <c r="C8857">
        <f>"249630"</f>
        <v>0</v>
      </c>
      <c r="D8857">
        <v>0</v>
      </c>
      <c r="E8857">
        <v>0</v>
      </c>
      <c r="F8857" s="2">
        <v>0</v>
      </c>
      <c r="H8857">
        <v>0</v>
      </c>
      <c r="I8857">
        <v>0.1741125760648204</v>
      </c>
      <c r="J8857">
        <v>0</v>
      </c>
      <c r="K8857">
        <v>0</v>
      </c>
      <c r="L8857" s="2">
        <v>0</v>
      </c>
      <c r="M8857">
        <v>86.77</v>
      </c>
      <c r="N8857" t="s">
        <v>10236</v>
      </c>
    </row>
    <row r="8858" spans="1:14">
      <c r="A8858" t="s">
        <v>223</v>
      </c>
      <c r="B8858" t="s">
        <v>8827</v>
      </c>
      <c r="C8858">
        <f>"BC33G11"</f>
        <v>0</v>
      </c>
      <c r="D8858">
        <v>0</v>
      </c>
      <c r="E8858">
        <v>0</v>
      </c>
      <c r="F8858" s="2">
        <v>0</v>
      </c>
      <c r="H8858">
        <v>0</v>
      </c>
      <c r="I8858">
        <v>0.1741125760648204</v>
      </c>
      <c r="J8858">
        <v>0</v>
      </c>
      <c r="K8858">
        <v>0</v>
      </c>
      <c r="L8858" s="2">
        <v>0</v>
      </c>
      <c r="M8858">
        <v>86.78</v>
      </c>
      <c r="N8858" t="s">
        <v>10236</v>
      </c>
    </row>
    <row r="8859" spans="1:14">
      <c r="A8859" t="s">
        <v>223</v>
      </c>
      <c r="B8859" t="s">
        <v>8828</v>
      </c>
      <c r="C8859">
        <f>"5101205"</f>
        <v>0</v>
      </c>
      <c r="D8859">
        <v>0</v>
      </c>
      <c r="E8859">
        <v>0</v>
      </c>
      <c r="F8859" s="2">
        <v>0</v>
      </c>
      <c r="H8859">
        <v>0</v>
      </c>
      <c r="I8859">
        <v>0.1741125760648204</v>
      </c>
      <c r="J8859">
        <v>0</v>
      </c>
      <c r="K8859">
        <v>0</v>
      </c>
      <c r="L8859" s="2">
        <v>0</v>
      </c>
      <c r="M8859">
        <v>86.79000000000001</v>
      </c>
      <c r="N8859" t="s">
        <v>10236</v>
      </c>
    </row>
    <row r="8860" spans="1:14">
      <c r="A8860" t="s">
        <v>223</v>
      </c>
      <c r="B8860" t="s">
        <v>8829</v>
      </c>
      <c r="C8860">
        <f>"20100120"</f>
        <v>0</v>
      </c>
      <c r="D8860">
        <v>0</v>
      </c>
      <c r="E8860">
        <v>0</v>
      </c>
      <c r="F8860" s="2">
        <v>0</v>
      </c>
      <c r="H8860">
        <v>0</v>
      </c>
      <c r="I8860">
        <v>0.1741125760648204</v>
      </c>
      <c r="J8860">
        <v>0</v>
      </c>
      <c r="K8860">
        <v>0</v>
      </c>
      <c r="L8860" s="2">
        <v>0</v>
      </c>
      <c r="M8860">
        <v>86.8</v>
      </c>
      <c r="N8860" t="s">
        <v>10236</v>
      </c>
    </row>
    <row r="8861" spans="1:14">
      <c r="A8861" t="s">
        <v>223</v>
      </c>
      <c r="B8861" t="s">
        <v>8830</v>
      </c>
      <c r="C8861">
        <f>"5680075"</f>
        <v>0</v>
      </c>
      <c r="D8861">
        <v>0</v>
      </c>
      <c r="E8861">
        <v>0</v>
      </c>
      <c r="F8861" s="2">
        <v>0</v>
      </c>
      <c r="H8861">
        <v>0</v>
      </c>
      <c r="I8861">
        <v>0.1741125760648204</v>
      </c>
      <c r="J8861">
        <v>0</v>
      </c>
      <c r="K8861">
        <v>0</v>
      </c>
      <c r="L8861" s="2">
        <v>0</v>
      </c>
      <c r="M8861">
        <v>86.8</v>
      </c>
      <c r="N8861" t="s">
        <v>10236</v>
      </c>
    </row>
    <row r="8862" spans="1:14">
      <c r="A8862" t="s">
        <v>223</v>
      </c>
      <c r="B8862" t="s">
        <v>8831</v>
      </c>
      <c r="C8862">
        <f>"5680015"</f>
        <v>0</v>
      </c>
      <c r="D8862">
        <v>0</v>
      </c>
      <c r="E8862">
        <v>0</v>
      </c>
      <c r="F8862" s="2">
        <v>0</v>
      </c>
      <c r="H8862">
        <v>0</v>
      </c>
      <c r="I8862">
        <v>0.1741125760648204</v>
      </c>
      <c r="J8862">
        <v>0</v>
      </c>
      <c r="K8862">
        <v>0</v>
      </c>
      <c r="L8862" s="2">
        <v>0</v>
      </c>
      <c r="M8862">
        <v>86.81</v>
      </c>
      <c r="N8862" t="s">
        <v>10236</v>
      </c>
    </row>
    <row r="8863" spans="1:14">
      <c r="A8863" t="s">
        <v>223</v>
      </c>
      <c r="B8863" t="s">
        <v>8832</v>
      </c>
      <c r="C8863">
        <f>"249280"</f>
        <v>0</v>
      </c>
      <c r="D8863">
        <v>0</v>
      </c>
      <c r="E8863">
        <v>0</v>
      </c>
      <c r="F8863" s="2">
        <v>0</v>
      </c>
      <c r="H8863">
        <v>0</v>
      </c>
      <c r="I8863">
        <v>0.1741125760648204</v>
      </c>
      <c r="J8863">
        <v>0</v>
      </c>
      <c r="K8863">
        <v>0</v>
      </c>
      <c r="L8863" s="2">
        <v>0</v>
      </c>
      <c r="M8863">
        <v>86.81999999999999</v>
      </c>
      <c r="N8863" t="s">
        <v>10236</v>
      </c>
    </row>
    <row r="8864" spans="1:14">
      <c r="A8864" t="s">
        <v>41</v>
      </c>
      <c r="B8864" t="s">
        <v>8833</v>
      </c>
      <c r="C8864">
        <f>"VE501992"</f>
        <v>0</v>
      </c>
      <c r="D8864">
        <v>0</v>
      </c>
      <c r="E8864">
        <v>6</v>
      </c>
      <c r="F8864" s="2">
        <v>17</v>
      </c>
      <c r="H8864">
        <v>0</v>
      </c>
      <c r="I8864">
        <v>0.1741125760648204</v>
      </c>
      <c r="J8864">
        <v>0</v>
      </c>
      <c r="K8864">
        <v>0</v>
      </c>
      <c r="L8864" s="2">
        <v>0</v>
      </c>
      <c r="M8864">
        <v>86.83</v>
      </c>
      <c r="N8864" t="s">
        <v>10236</v>
      </c>
    </row>
    <row r="8865" spans="1:14">
      <c r="A8865" t="s">
        <v>41</v>
      </c>
      <c r="B8865" t="s">
        <v>8834</v>
      </c>
      <c r="C8865">
        <f>"501992"</f>
        <v>0</v>
      </c>
      <c r="D8865">
        <v>0</v>
      </c>
      <c r="E8865">
        <v>6</v>
      </c>
      <c r="F8865" s="2">
        <v>7</v>
      </c>
      <c r="H8865">
        <v>0</v>
      </c>
      <c r="I8865">
        <v>0.1741125760648204</v>
      </c>
      <c r="J8865">
        <v>0</v>
      </c>
      <c r="K8865">
        <v>0</v>
      </c>
      <c r="L8865" s="2">
        <v>0</v>
      </c>
      <c r="M8865">
        <v>86.84</v>
      </c>
      <c r="N8865" t="s">
        <v>10236</v>
      </c>
    </row>
    <row r="8866" spans="1:14">
      <c r="A8866" t="s">
        <v>41</v>
      </c>
      <c r="B8866" t="s">
        <v>8835</v>
      </c>
      <c r="C8866">
        <f>"501919"</f>
        <v>0</v>
      </c>
      <c r="D8866">
        <v>0</v>
      </c>
      <c r="E8866">
        <v>6</v>
      </c>
      <c r="F8866" s="2">
        <v>5</v>
      </c>
      <c r="H8866">
        <v>0</v>
      </c>
      <c r="I8866">
        <v>0.1741125760648204</v>
      </c>
      <c r="J8866">
        <v>0</v>
      </c>
      <c r="K8866">
        <v>0</v>
      </c>
      <c r="L8866" s="2">
        <v>0</v>
      </c>
      <c r="M8866">
        <v>86.84999999999999</v>
      </c>
      <c r="N8866" t="s">
        <v>10236</v>
      </c>
    </row>
    <row r="8867" spans="1:14">
      <c r="A8867" t="s">
        <v>32</v>
      </c>
      <c r="B8867" t="s">
        <v>8836</v>
      </c>
      <c r="C8867">
        <f>"1021102"</f>
        <v>0</v>
      </c>
      <c r="D8867">
        <v>0</v>
      </c>
      <c r="E8867">
        <v>6</v>
      </c>
      <c r="F8867" s="2">
        <v>9</v>
      </c>
      <c r="H8867">
        <v>0</v>
      </c>
      <c r="I8867">
        <v>0.1741125760648204</v>
      </c>
      <c r="J8867">
        <v>0</v>
      </c>
      <c r="K8867">
        <v>0</v>
      </c>
      <c r="L8867" s="2">
        <v>0</v>
      </c>
      <c r="M8867">
        <v>86.86</v>
      </c>
      <c r="N8867" t="s">
        <v>10236</v>
      </c>
    </row>
    <row r="8868" spans="1:14">
      <c r="A8868" t="s">
        <v>223</v>
      </c>
      <c r="B8868" t="s">
        <v>8837</v>
      </c>
      <c r="C8868">
        <f>"5211120"</f>
        <v>0</v>
      </c>
      <c r="D8868">
        <v>0</v>
      </c>
      <c r="E8868">
        <v>0</v>
      </c>
      <c r="F8868" s="2">
        <v>0</v>
      </c>
      <c r="H8868">
        <v>0</v>
      </c>
      <c r="I8868">
        <v>0.1741125760648204</v>
      </c>
      <c r="J8868">
        <v>0</v>
      </c>
      <c r="K8868">
        <v>0</v>
      </c>
      <c r="L8868" s="2">
        <v>0</v>
      </c>
      <c r="M8868">
        <v>86.87</v>
      </c>
      <c r="N8868" t="s">
        <v>10236</v>
      </c>
    </row>
    <row r="8869" spans="1:14">
      <c r="A8869" t="s">
        <v>223</v>
      </c>
      <c r="B8869" t="s">
        <v>8838</v>
      </c>
      <c r="C8869">
        <f>"3721120"</f>
        <v>0</v>
      </c>
      <c r="D8869">
        <v>0</v>
      </c>
      <c r="E8869">
        <v>0</v>
      </c>
      <c r="F8869" s="2">
        <v>0</v>
      </c>
      <c r="H8869">
        <v>0</v>
      </c>
      <c r="I8869">
        <v>0.1741125760648204</v>
      </c>
      <c r="J8869">
        <v>0</v>
      </c>
      <c r="K8869">
        <v>0</v>
      </c>
      <c r="L8869" s="2">
        <v>0</v>
      </c>
      <c r="M8869">
        <v>86.88</v>
      </c>
      <c r="N8869" t="s">
        <v>10236</v>
      </c>
    </row>
    <row r="8870" spans="1:14">
      <c r="A8870" t="s">
        <v>38</v>
      </c>
      <c r="B8870" t="s">
        <v>8839</v>
      </c>
      <c r="C8870">
        <f>"1003685"</f>
        <v>0</v>
      </c>
      <c r="D8870">
        <v>0</v>
      </c>
      <c r="E8870">
        <v>0</v>
      </c>
      <c r="F8870" s="2">
        <v>0</v>
      </c>
      <c r="H8870">
        <v>0</v>
      </c>
      <c r="I8870">
        <v>0.1741125760648204</v>
      </c>
      <c r="J8870">
        <v>0</v>
      </c>
      <c r="K8870">
        <v>0</v>
      </c>
      <c r="L8870" s="2">
        <v>0</v>
      </c>
      <c r="M8870">
        <v>86.89</v>
      </c>
      <c r="N8870" t="s">
        <v>10236</v>
      </c>
    </row>
    <row r="8871" spans="1:14">
      <c r="A8871" t="s">
        <v>229</v>
      </c>
      <c r="B8871" t="s">
        <v>8840</v>
      </c>
      <c r="C8871">
        <f>"2635"</f>
        <v>0</v>
      </c>
      <c r="D8871">
        <v>0</v>
      </c>
      <c r="E8871">
        <v>0</v>
      </c>
      <c r="F8871" s="2">
        <v>0</v>
      </c>
      <c r="H8871">
        <v>0</v>
      </c>
      <c r="I8871">
        <v>0.1741125760648204</v>
      </c>
      <c r="J8871">
        <v>0</v>
      </c>
      <c r="K8871">
        <v>0</v>
      </c>
      <c r="L8871" s="2">
        <v>0</v>
      </c>
      <c r="M8871">
        <v>86.90000000000001</v>
      </c>
      <c r="N8871" t="s">
        <v>10236</v>
      </c>
    </row>
    <row r="8872" spans="1:14">
      <c r="A8872" t="s">
        <v>195</v>
      </c>
      <c r="B8872" t="s">
        <v>8841</v>
      </c>
      <c r="C8872">
        <f>"24002232"</f>
        <v>0</v>
      </c>
      <c r="D8872">
        <v>0</v>
      </c>
      <c r="E8872">
        <v>0</v>
      </c>
      <c r="F8872" s="2">
        <v>0</v>
      </c>
      <c r="H8872">
        <v>0</v>
      </c>
      <c r="I8872">
        <v>0.1741125760648204</v>
      </c>
      <c r="J8872">
        <v>0</v>
      </c>
      <c r="K8872">
        <v>0</v>
      </c>
      <c r="L8872" s="2">
        <v>0</v>
      </c>
      <c r="M8872">
        <v>86.91</v>
      </c>
      <c r="N8872" t="s">
        <v>10236</v>
      </c>
    </row>
    <row r="8873" spans="1:14">
      <c r="A8873" t="s">
        <v>195</v>
      </c>
      <c r="B8873" t="s">
        <v>8842</v>
      </c>
      <c r="C8873">
        <f>"24000850"</f>
        <v>0</v>
      </c>
      <c r="D8873">
        <v>0</v>
      </c>
      <c r="E8873">
        <v>0</v>
      </c>
      <c r="F8873" s="2">
        <v>0</v>
      </c>
      <c r="H8873">
        <v>0</v>
      </c>
      <c r="I8873">
        <v>0.1741125760648204</v>
      </c>
      <c r="J8873">
        <v>0</v>
      </c>
      <c r="K8873">
        <v>0</v>
      </c>
      <c r="L8873" s="2">
        <v>0</v>
      </c>
      <c r="M8873">
        <v>86.92</v>
      </c>
      <c r="N8873" t="s">
        <v>10236</v>
      </c>
    </row>
    <row r="8874" spans="1:14">
      <c r="A8874" t="s">
        <v>195</v>
      </c>
      <c r="B8874" t="s">
        <v>8843</v>
      </c>
      <c r="C8874">
        <f>"24000867"</f>
        <v>0</v>
      </c>
      <c r="D8874">
        <v>0</v>
      </c>
      <c r="E8874">
        <v>0</v>
      </c>
      <c r="F8874" s="2">
        <v>0</v>
      </c>
      <c r="H8874">
        <v>0</v>
      </c>
      <c r="I8874">
        <v>0.1741125760648204</v>
      </c>
      <c r="J8874">
        <v>0</v>
      </c>
      <c r="K8874">
        <v>0</v>
      </c>
      <c r="L8874" s="2">
        <v>0</v>
      </c>
      <c r="M8874">
        <v>86.92</v>
      </c>
      <c r="N8874" t="s">
        <v>10236</v>
      </c>
    </row>
    <row r="8875" spans="1:14">
      <c r="A8875" t="s">
        <v>195</v>
      </c>
      <c r="B8875" t="s">
        <v>8844</v>
      </c>
      <c r="C8875">
        <f>"24000836"</f>
        <v>0</v>
      </c>
      <c r="D8875">
        <v>0</v>
      </c>
      <c r="E8875">
        <v>0</v>
      </c>
      <c r="F8875" s="2">
        <v>0</v>
      </c>
      <c r="H8875">
        <v>0</v>
      </c>
      <c r="I8875">
        <v>0.1741125760648204</v>
      </c>
      <c r="J8875">
        <v>0</v>
      </c>
      <c r="K8875">
        <v>0</v>
      </c>
      <c r="L8875" s="2">
        <v>0</v>
      </c>
      <c r="M8875">
        <v>86.93000000000001</v>
      </c>
      <c r="N8875" t="s">
        <v>10236</v>
      </c>
    </row>
    <row r="8876" spans="1:14">
      <c r="A8876" t="s">
        <v>195</v>
      </c>
      <c r="B8876" t="s">
        <v>8845</v>
      </c>
      <c r="C8876">
        <f>"24000843"</f>
        <v>0</v>
      </c>
      <c r="D8876">
        <v>0</v>
      </c>
      <c r="E8876">
        <v>0</v>
      </c>
      <c r="F8876" s="2">
        <v>0</v>
      </c>
      <c r="H8876">
        <v>0</v>
      </c>
      <c r="I8876">
        <v>0.1741125760648204</v>
      </c>
      <c r="J8876">
        <v>0</v>
      </c>
      <c r="K8876">
        <v>0</v>
      </c>
      <c r="L8876" s="2">
        <v>0</v>
      </c>
      <c r="M8876">
        <v>86.94</v>
      </c>
      <c r="N8876" t="s">
        <v>10236</v>
      </c>
    </row>
    <row r="8877" spans="1:14">
      <c r="A8877" t="s">
        <v>195</v>
      </c>
      <c r="B8877" t="s">
        <v>8846</v>
      </c>
      <c r="C8877">
        <f>"24003253"</f>
        <v>0</v>
      </c>
      <c r="D8877">
        <v>0</v>
      </c>
      <c r="E8877">
        <v>0</v>
      </c>
      <c r="F8877" s="2">
        <v>0</v>
      </c>
      <c r="H8877">
        <v>0</v>
      </c>
      <c r="I8877">
        <v>0.1741125760648204</v>
      </c>
      <c r="J8877">
        <v>0</v>
      </c>
      <c r="K8877">
        <v>0</v>
      </c>
      <c r="L8877" s="2">
        <v>0</v>
      </c>
      <c r="M8877">
        <v>86.95</v>
      </c>
      <c r="N8877" t="s">
        <v>10236</v>
      </c>
    </row>
    <row r="8878" spans="1:14">
      <c r="A8878" t="s">
        <v>195</v>
      </c>
      <c r="B8878" t="s">
        <v>8847</v>
      </c>
      <c r="C8878">
        <f>"24003215"</f>
        <v>0</v>
      </c>
      <c r="D8878">
        <v>0</v>
      </c>
      <c r="E8878">
        <v>0</v>
      </c>
      <c r="F8878" s="2">
        <v>0</v>
      </c>
      <c r="H8878">
        <v>0</v>
      </c>
      <c r="I8878">
        <v>0.1741125760648204</v>
      </c>
      <c r="J8878">
        <v>0</v>
      </c>
      <c r="K8878">
        <v>0</v>
      </c>
      <c r="L8878" s="2">
        <v>0</v>
      </c>
      <c r="M8878">
        <v>86.95999999999999</v>
      </c>
      <c r="N8878" t="s">
        <v>10236</v>
      </c>
    </row>
    <row r="8879" spans="1:14">
      <c r="A8879" t="s">
        <v>195</v>
      </c>
      <c r="B8879" t="s">
        <v>8848</v>
      </c>
      <c r="C8879">
        <f>"24003260"</f>
        <v>0</v>
      </c>
      <c r="D8879">
        <v>0</v>
      </c>
      <c r="E8879">
        <v>0</v>
      </c>
      <c r="F8879" s="2">
        <v>0</v>
      </c>
      <c r="H8879">
        <v>0</v>
      </c>
      <c r="I8879">
        <v>0.1741125760648204</v>
      </c>
      <c r="J8879">
        <v>0</v>
      </c>
      <c r="K8879">
        <v>0</v>
      </c>
      <c r="L8879" s="2">
        <v>0</v>
      </c>
      <c r="M8879">
        <v>86.97</v>
      </c>
      <c r="N8879" t="s">
        <v>10236</v>
      </c>
    </row>
    <row r="8880" spans="1:14">
      <c r="A8880" t="s">
        <v>214</v>
      </c>
      <c r="B8880" t="s">
        <v>8849</v>
      </c>
      <c r="C8880">
        <f>"45115"</f>
        <v>0</v>
      </c>
      <c r="D8880">
        <v>0</v>
      </c>
      <c r="E8880">
        <v>0</v>
      </c>
      <c r="F8880" s="2">
        <v>0</v>
      </c>
      <c r="H8880">
        <v>0</v>
      </c>
      <c r="I8880">
        <v>0.1741125760648204</v>
      </c>
      <c r="J8880">
        <v>0</v>
      </c>
      <c r="K8880">
        <v>0</v>
      </c>
      <c r="L8880" s="2">
        <v>0</v>
      </c>
      <c r="M8880">
        <v>86.98</v>
      </c>
      <c r="N8880" t="s">
        <v>10236</v>
      </c>
    </row>
    <row r="8881" spans="1:14">
      <c r="A8881" t="s">
        <v>29</v>
      </c>
      <c r="B8881" t="s">
        <v>8850</v>
      </c>
      <c r="C8881">
        <f>"45256"</f>
        <v>0</v>
      </c>
      <c r="D8881">
        <v>0</v>
      </c>
      <c r="E8881">
        <v>0</v>
      </c>
      <c r="F8881" s="2">
        <v>0</v>
      </c>
      <c r="H8881">
        <v>0</v>
      </c>
      <c r="I8881">
        <v>0.1741125760648204</v>
      </c>
      <c r="J8881">
        <v>0</v>
      </c>
      <c r="K8881">
        <v>0</v>
      </c>
      <c r="L8881" s="2">
        <v>0</v>
      </c>
      <c r="M8881">
        <v>86.98999999999999</v>
      </c>
      <c r="N8881" t="s">
        <v>10236</v>
      </c>
    </row>
    <row r="8882" spans="1:14">
      <c r="A8882" t="s">
        <v>29</v>
      </c>
      <c r="B8882" t="s">
        <v>8851</v>
      </c>
      <c r="C8882">
        <f>"45255"</f>
        <v>0</v>
      </c>
      <c r="D8882">
        <v>0</v>
      </c>
      <c r="E8882">
        <v>0</v>
      </c>
      <c r="F8882" s="2">
        <v>0</v>
      </c>
      <c r="H8882">
        <v>0</v>
      </c>
      <c r="I8882">
        <v>0.1741125760648204</v>
      </c>
      <c r="J8882">
        <v>0</v>
      </c>
      <c r="K8882">
        <v>0</v>
      </c>
      <c r="L8882" s="2">
        <v>0</v>
      </c>
      <c r="M8882">
        <v>87</v>
      </c>
      <c r="N8882" t="s">
        <v>10236</v>
      </c>
    </row>
    <row r="8883" spans="1:14">
      <c r="A8883" t="s">
        <v>214</v>
      </c>
      <c r="B8883" t="s">
        <v>8852</v>
      </c>
      <c r="C8883">
        <f>"45215"</f>
        <v>0</v>
      </c>
      <c r="D8883">
        <v>0</v>
      </c>
      <c r="E8883">
        <v>0</v>
      </c>
      <c r="F8883" s="2">
        <v>0</v>
      </c>
      <c r="H8883">
        <v>0</v>
      </c>
      <c r="I8883">
        <v>0.1741125760648204</v>
      </c>
      <c r="J8883">
        <v>0</v>
      </c>
      <c r="K8883">
        <v>0</v>
      </c>
      <c r="L8883" s="2">
        <v>0</v>
      </c>
      <c r="M8883">
        <v>87.01000000000001</v>
      </c>
      <c r="N8883" t="s">
        <v>10236</v>
      </c>
    </row>
    <row r="8884" spans="1:14">
      <c r="A8884" t="s">
        <v>214</v>
      </c>
      <c r="B8884" t="s">
        <v>8853</v>
      </c>
      <c r="C8884">
        <f>"45218"</f>
        <v>0</v>
      </c>
      <c r="D8884">
        <v>0</v>
      </c>
      <c r="E8884">
        <v>1</v>
      </c>
      <c r="F8884" s="2">
        <v>31</v>
      </c>
      <c r="H8884">
        <v>0</v>
      </c>
      <c r="I8884">
        <v>0.1741125760648204</v>
      </c>
      <c r="J8884">
        <v>0</v>
      </c>
      <c r="K8884">
        <v>0</v>
      </c>
      <c r="L8884" s="2">
        <v>0</v>
      </c>
      <c r="M8884">
        <v>87.02</v>
      </c>
      <c r="N8884" t="s">
        <v>10236</v>
      </c>
    </row>
    <row r="8885" spans="1:14">
      <c r="A8885" t="s">
        <v>29</v>
      </c>
      <c r="B8885" t="s">
        <v>8854</v>
      </c>
      <c r="C8885">
        <f>"45258"</f>
        <v>0</v>
      </c>
      <c r="D8885">
        <v>0</v>
      </c>
      <c r="E8885">
        <v>0</v>
      </c>
      <c r="F8885" s="2">
        <v>0</v>
      </c>
      <c r="H8885">
        <v>0</v>
      </c>
      <c r="I8885">
        <v>0.1741125760648204</v>
      </c>
      <c r="J8885">
        <v>0</v>
      </c>
      <c r="K8885">
        <v>0</v>
      </c>
      <c r="L8885" s="2">
        <v>0</v>
      </c>
      <c r="M8885">
        <v>87.03</v>
      </c>
      <c r="N8885" t="s">
        <v>10236</v>
      </c>
    </row>
    <row r="8886" spans="1:14">
      <c r="A8886" t="s">
        <v>216</v>
      </c>
      <c r="B8886" t="s">
        <v>8855</v>
      </c>
      <c r="C8886">
        <f>"LERI"</f>
        <v>0</v>
      </c>
      <c r="D8886">
        <v>0</v>
      </c>
      <c r="E8886">
        <v>0</v>
      </c>
      <c r="F8886" s="2">
        <v>0</v>
      </c>
      <c r="H8886">
        <v>0</v>
      </c>
      <c r="I8886">
        <v>0.1741125760648204</v>
      </c>
      <c r="J8886">
        <v>0</v>
      </c>
      <c r="K8886">
        <v>0</v>
      </c>
      <c r="L8886" s="2">
        <v>0</v>
      </c>
      <c r="M8886">
        <v>87.03</v>
      </c>
      <c r="N8886" t="s">
        <v>10236</v>
      </c>
    </row>
    <row r="8887" spans="1:14">
      <c r="A8887" t="s">
        <v>38</v>
      </c>
      <c r="B8887" t="s">
        <v>8856</v>
      </c>
      <c r="C8887">
        <f>"1003684"</f>
        <v>0</v>
      </c>
      <c r="D8887">
        <v>0</v>
      </c>
      <c r="E8887">
        <v>2</v>
      </c>
      <c r="F8887" s="2">
        <v>2</v>
      </c>
      <c r="H8887">
        <v>0</v>
      </c>
      <c r="I8887">
        <v>0.1741125760648204</v>
      </c>
      <c r="J8887">
        <v>0</v>
      </c>
      <c r="K8887">
        <v>0</v>
      </c>
      <c r="L8887" s="2">
        <v>0</v>
      </c>
      <c r="M8887">
        <v>87.04000000000001</v>
      </c>
      <c r="N8887" t="s">
        <v>10236</v>
      </c>
    </row>
    <row r="8888" spans="1:14">
      <c r="A8888" t="s">
        <v>223</v>
      </c>
      <c r="B8888" t="s">
        <v>8857</v>
      </c>
      <c r="C8888">
        <f>"7742041"</f>
        <v>0</v>
      </c>
      <c r="D8888">
        <v>0</v>
      </c>
      <c r="E8888">
        <v>0</v>
      </c>
      <c r="F8888" s="2">
        <v>0</v>
      </c>
      <c r="H8888">
        <v>0</v>
      </c>
      <c r="I8888">
        <v>0.1741125760648204</v>
      </c>
      <c r="J8888">
        <v>0</v>
      </c>
      <c r="K8888">
        <v>0</v>
      </c>
      <c r="L8888" s="2">
        <v>0</v>
      </c>
      <c r="M8888">
        <v>87.05</v>
      </c>
      <c r="N8888" t="s">
        <v>10236</v>
      </c>
    </row>
    <row r="8889" spans="1:14">
      <c r="A8889" t="s">
        <v>223</v>
      </c>
      <c r="B8889" t="s">
        <v>8858</v>
      </c>
      <c r="C8889">
        <f>"7742031"</f>
        <v>0</v>
      </c>
      <c r="D8889">
        <v>0</v>
      </c>
      <c r="E8889">
        <v>0</v>
      </c>
      <c r="F8889" s="2">
        <v>0</v>
      </c>
      <c r="H8889">
        <v>0</v>
      </c>
      <c r="I8889">
        <v>0.1741125760648204</v>
      </c>
      <c r="J8889">
        <v>0</v>
      </c>
      <c r="K8889">
        <v>0</v>
      </c>
      <c r="L8889" s="2">
        <v>0</v>
      </c>
      <c r="M8889">
        <v>87.06</v>
      </c>
      <c r="N8889" t="s">
        <v>10236</v>
      </c>
    </row>
    <row r="8890" spans="1:14">
      <c r="A8890" t="s">
        <v>223</v>
      </c>
      <c r="B8890" t="s">
        <v>8859</v>
      </c>
      <c r="C8890">
        <f>"7141025"</f>
        <v>0</v>
      </c>
      <c r="D8890">
        <v>0</v>
      </c>
      <c r="E8890">
        <v>0</v>
      </c>
      <c r="F8890" s="2">
        <v>0</v>
      </c>
      <c r="H8890">
        <v>0</v>
      </c>
      <c r="I8890">
        <v>0.1741125760648204</v>
      </c>
      <c r="J8890">
        <v>0</v>
      </c>
      <c r="K8890">
        <v>0</v>
      </c>
      <c r="L8890" s="2">
        <v>0</v>
      </c>
      <c r="M8890">
        <v>87.06999999999999</v>
      </c>
      <c r="N8890" t="s">
        <v>10236</v>
      </c>
    </row>
    <row r="8891" spans="1:14">
      <c r="A8891" t="s">
        <v>223</v>
      </c>
      <c r="B8891" t="s">
        <v>8860</v>
      </c>
      <c r="C8891">
        <f>"7742021"</f>
        <v>0</v>
      </c>
      <c r="D8891">
        <v>0</v>
      </c>
      <c r="E8891">
        <v>0</v>
      </c>
      <c r="F8891" s="2">
        <v>0</v>
      </c>
      <c r="H8891">
        <v>0</v>
      </c>
      <c r="I8891">
        <v>0.1741125760648204</v>
      </c>
      <c r="J8891">
        <v>0</v>
      </c>
      <c r="K8891">
        <v>0</v>
      </c>
      <c r="L8891" s="2">
        <v>0</v>
      </c>
      <c r="M8891">
        <v>87.08</v>
      </c>
      <c r="N8891" t="s">
        <v>10236</v>
      </c>
    </row>
    <row r="8892" spans="1:14">
      <c r="A8892" t="s">
        <v>213</v>
      </c>
      <c r="B8892" t="s">
        <v>8861</v>
      </c>
      <c r="C8892">
        <f>"500781"</f>
        <v>0</v>
      </c>
      <c r="D8892">
        <v>0</v>
      </c>
      <c r="E8892">
        <v>0</v>
      </c>
      <c r="F8892" s="2">
        <v>0</v>
      </c>
      <c r="H8892">
        <v>0</v>
      </c>
      <c r="I8892">
        <v>0.1741125760648204</v>
      </c>
      <c r="J8892">
        <v>0</v>
      </c>
      <c r="K8892">
        <v>0</v>
      </c>
      <c r="L8892" s="2">
        <v>0</v>
      </c>
      <c r="M8892">
        <v>87.09</v>
      </c>
      <c r="N8892" t="s">
        <v>10236</v>
      </c>
    </row>
    <row r="8893" spans="1:14">
      <c r="A8893" t="s">
        <v>213</v>
      </c>
      <c r="B8893" t="s">
        <v>8862</v>
      </c>
      <c r="C8893">
        <f>"500779"</f>
        <v>0</v>
      </c>
      <c r="D8893">
        <v>0</v>
      </c>
      <c r="E8893">
        <v>0</v>
      </c>
      <c r="F8893" s="2">
        <v>0</v>
      </c>
      <c r="H8893">
        <v>0</v>
      </c>
      <c r="I8893">
        <v>0.1741125760648204</v>
      </c>
      <c r="J8893">
        <v>0</v>
      </c>
      <c r="K8893">
        <v>0</v>
      </c>
      <c r="L8893" s="2">
        <v>0</v>
      </c>
      <c r="M8893">
        <v>87.09999999999999</v>
      </c>
      <c r="N8893" t="s">
        <v>10236</v>
      </c>
    </row>
    <row r="8894" spans="1:14">
      <c r="A8894" t="s">
        <v>213</v>
      </c>
      <c r="B8894" t="s">
        <v>8863</v>
      </c>
      <c r="C8894">
        <f>"500778"</f>
        <v>0</v>
      </c>
      <c r="D8894">
        <v>0</v>
      </c>
      <c r="E8894">
        <v>0</v>
      </c>
      <c r="F8894" s="2">
        <v>0</v>
      </c>
      <c r="H8894">
        <v>0</v>
      </c>
      <c r="I8894">
        <v>0.1741125760648204</v>
      </c>
      <c r="J8894">
        <v>0</v>
      </c>
      <c r="K8894">
        <v>0</v>
      </c>
      <c r="L8894" s="2">
        <v>0</v>
      </c>
      <c r="M8894">
        <v>87.11</v>
      </c>
      <c r="N8894" t="s">
        <v>10236</v>
      </c>
    </row>
    <row r="8895" spans="1:14">
      <c r="A8895" t="s">
        <v>32</v>
      </c>
      <c r="B8895" t="s">
        <v>8864</v>
      </c>
      <c r="C8895">
        <f>"1008204"</f>
        <v>0</v>
      </c>
      <c r="D8895">
        <v>0</v>
      </c>
      <c r="E8895">
        <v>0</v>
      </c>
      <c r="F8895" s="2">
        <v>0</v>
      </c>
      <c r="H8895">
        <v>0</v>
      </c>
      <c r="I8895">
        <v>0.1741125760648204</v>
      </c>
      <c r="J8895">
        <v>0</v>
      </c>
      <c r="K8895">
        <v>0</v>
      </c>
      <c r="L8895" s="2">
        <v>0</v>
      </c>
      <c r="M8895">
        <v>87.12</v>
      </c>
      <c r="N8895" t="s">
        <v>10236</v>
      </c>
    </row>
    <row r="8896" spans="1:14">
      <c r="A8896" t="s">
        <v>35</v>
      </c>
      <c r="B8896" t="s">
        <v>8865</v>
      </c>
      <c r="C8896">
        <f>"NJ18S"</f>
        <v>0</v>
      </c>
      <c r="D8896">
        <v>0</v>
      </c>
      <c r="E8896">
        <v>0</v>
      </c>
      <c r="F8896" s="2">
        <v>0</v>
      </c>
      <c r="H8896">
        <v>0</v>
      </c>
      <c r="I8896">
        <v>0.1741125760648204</v>
      </c>
      <c r="J8896">
        <v>0</v>
      </c>
      <c r="K8896">
        <v>0</v>
      </c>
      <c r="L8896" s="2">
        <v>0</v>
      </c>
      <c r="M8896">
        <v>87.13</v>
      </c>
      <c r="N8896" t="s">
        <v>10236</v>
      </c>
    </row>
    <row r="8897" spans="1:14">
      <c r="A8897" t="s">
        <v>35</v>
      </c>
      <c r="B8897" t="s">
        <v>8866</v>
      </c>
      <c r="C8897">
        <f>"NJ18L"</f>
        <v>0</v>
      </c>
      <c r="D8897">
        <v>0</v>
      </c>
      <c r="E8897">
        <v>0</v>
      </c>
      <c r="F8897" s="2">
        <v>0</v>
      </c>
      <c r="H8897">
        <v>0</v>
      </c>
      <c r="I8897">
        <v>0.1741125760648204</v>
      </c>
      <c r="J8897">
        <v>0</v>
      </c>
      <c r="K8897">
        <v>0</v>
      </c>
      <c r="L8897" s="2">
        <v>0</v>
      </c>
      <c r="M8897">
        <v>87.14</v>
      </c>
      <c r="N8897" t="s">
        <v>10236</v>
      </c>
    </row>
    <row r="8898" spans="1:14">
      <c r="A8898" t="s">
        <v>25</v>
      </c>
      <c r="B8898" t="s">
        <v>8867</v>
      </c>
      <c r="C8898">
        <f>"RL103"</f>
        <v>0</v>
      </c>
      <c r="D8898">
        <v>0</v>
      </c>
      <c r="E8898">
        <v>0</v>
      </c>
      <c r="F8898" s="2">
        <v>0</v>
      </c>
      <c r="H8898">
        <v>0</v>
      </c>
      <c r="I8898">
        <v>0.1741125760648204</v>
      </c>
      <c r="J8898">
        <v>0</v>
      </c>
      <c r="K8898">
        <v>0</v>
      </c>
      <c r="L8898" s="2">
        <v>0</v>
      </c>
      <c r="M8898">
        <v>87.15000000000001</v>
      </c>
      <c r="N8898" t="s">
        <v>10236</v>
      </c>
    </row>
    <row r="8899" spans="1:14">
      <c r="A8899" t="s">
        <v>25</v>
      </c>
      <c r="B8899" t="s">
        <v>8868</v>
      </c>
      <c r="C8899">
        <f>"RL102"</f>
        <v>0</v>
      </c>
      <c r="D8899">
        <v>0</v>
      </c>
      <c r="E8899">
        <v>3</v>
      </c>
      <c r="F8899" s="2">
        <v>9</v>
      </c>
      <c r="H8899">
        <v>0</v>
      </c>
      <c r="I8899">
        <v>0.1741125760648204</v>
      </c>
      <c r="J8899">
        <v>0</v>
      </c>
      <c r="K8899">
        <v>0</v>
      </c>
      <c r="L8899" s="2">
        <v>0</v>
      </c>
      <c r="M8899">
        <v>87.15000000000001</v>
      </c>
      <c r="N8899" t="s">
        <v>10236</v>
      </c>
    </row>
    <row r="8900" spans="1:14">
      <c r="A8900" t="s">
        <v>25</v>
      </c>
      <c r="B8900" t="s">
        <v>8869</v>
      </c>
      <c r="C8900">
        <f>"RL101"</f>
        <v>0</v>
      </c>
      <c r="D8900">
        <v>0</v>
      </c>
      <c r="E8900">
        <v>1</v>
      </c>
      <c r="F8900" s="2">
        <v>9</v>
      </c>
      <c r="H8900">
        <v>0</v>
      </c>
      <c r="I8900">
        <v>0.1741125760648204</v>
      </c>
      <c r="J8900">
        <v>0</v>
      </c>
      <c r="K8900">
        <v>0</v>
      </c>
      <c r="L8900" s="2">
        <v>0</v>
      </c>
      <c r="M8900">
        <v>87.16</v>
      </c>
      <c r="N8900" t="s">
        <v>10236</v>
      </c>
    </row>
    <row r="8901" spans="1:14">
      <c r="A8901" t="s">
        <v>41</v>
      </c>
      <c r="B8901" t="s">
        <v>8870</v>
      </c>
      <c r="C8901">
        <f>"PALGNN0"</f>
        <v>0</v>
      </c>
      <c r="D8901">
        <v>0</v>
      </c>
      <c r="E8901">
        <v>3</v>
      </c>
      <c r="F8901" s="2">
        <v>12</v>
      </c>
      <c r="H8901">
        <v>0</v>
      </c>
      <c r="I8901">
        <v>0.1741125760648204</v>
      </c>
      <c r="J8901">
        <v>0</v>
      </c>
      <c r="K8901">
        <v>0</v>
      </c>
      <c r="L8901" s="2">
        <v>0</v>
      </c>
      <c r="M8901">
        <v>87.17</v>
      </c>
      <c r="N8901" t="s">
        <v>10236</v>
      </c>
    </row>
    <row r="8902" spans="1:14">
      <c r="A8902" t="s">
        <v>29</v>
      </c>
      <c r="B8902" t="s">
        <v>8871</v>
      </c>
      <c r="C8902">
        <f>"LE80"</f>
        <v>0</v>
      </c>
      <c r="D8902">
        <v>0</v>
      </c>
      <c r="E8902">
        <v>0</v>
      </c>
      <c r="F8902" s="2">
        <v>0</v>
      </c>
      <c r="H8902">
        <v>0</v>
      </c>
      <c r="I8902">
        <v>0.1741125760648204</v>
      </c>
      <c r="J8902">
        <v>0</v>
      </c>
      <c r="K8902">
        <v>0</v>
      </c>
      <c r="L8902" s="2">
        <v>0</v>
      </c>
      <c r="M8902">
        <v>87.18000000000001</v>
      </c>
      <c r="N8902" t="s">
        <v>10236</v>
      </c>
    </row>
    <row r="8903" spans="1:14">
      <c r="A8903" t="s">
        <v>29</v>
      </c>
      <c r="B8903" t="s">
        <v>8872</v>
      </c>
      <c r="C8903">
        <f>"LE60"</f>
        <v>0</v>
      </c>
      <c r="D8903">
        <v>0</v>
      </c>
      <c r="E8903">
        <v>0</v>
      </c>
      <c r="F8903" s="2">
        <v>0</v>
      </c>
      <c r="H8903">
        <v>0</v>
      </c>
      <c r="I8903">
        <v>0.1741125760648204</v>
      </c>
      <c r="J8903">
        <v>0</v>
      </c>
      <c r="K8903">
        <v>0</v>
      </c>
      <c r="L8903" s="2">
        <v>0</v>
      </c>
      <c r="M8903">
        <v>87.19</v>
      </c>
      <c r="N8903" t="s">
        <v>10236</v>
      </c>
    </row>
    <row r="8904" spans="1:14">
      <c r="A8904" t="s">
        <v>229</v>
      </c>
      <c r="B8904" t="s">
        <v>8873</v>
      </c>
      <c r="C8904">
        <f>"2640"</f>
        <v>0</v>
      </c>
      <c r="D8904">
        <v>0</v>
      </c>
      <c r="E8904">
        <v>0</v>
      </c>
      <c r="F8904" s="2">
        <v>0</v>
      </c>
      <c r="H8904">
        <v>0</v>
      </c>
      <c r="I8904">
        <v>0.1741125760648204</v>
      </c>
      <c r="J8904">
        <v>0</v>
      </c>
      <c r="K8904">
        <v>0</v>
      </c>
      <c r="L8904" s="2">
        <v>0</v>
      </c>
      <c r="M8904">
        <v>87.2</v>
      </c>
      <c r="N8904" t="s">
        <v>10236</v>
      </c>
    </row>
    <row r="8905" spans="1:14">
      <c r="A8905" t="s">
        <v>29</v>
      </c>
      <c r="B8905" t="s">
        <v>8874</v>
      </c>
      <c r="C8905">
        <f>"40657"</f>
        <v>0</v>
      </c>
      <c r="D8905">
        <v>0</v>
      </c>
      <c r="E8905">
        <v>0</v>
      </c>
      <c r="F8905" s="2">
        <v>0</v>
      </c>
      <c r="H8905">
        <v>0</v>
      </c>
      <c r="I8905">
        <v>0.1741125760648204</v>
      </c>
      <c r="J8905">
        <v>0</v>
      </c>
      <c r="K8905">
        <v>0</v>
      </c>
      <c r="L8905" s="2">
        <v>0</v>
      </c>
      <c r="M8905">
        <v>87.20999999999999</v>
      </c>
      <c r="N8905" t="s">
        <v>10236</v>
      </c>
    </row>
    <row r="8906" spans="1:14">
      <c r="A8906" t="s">
        <v>29</v>
      </c>
      <c r="B8906" t="s">
        <v>8875</v>
      </c>
      <c r="C8906">
        <f>"40879"</f>
        <v>0</v>
      </c>
      <c r="D8906">
        <v>0</v>
      </c>
      <c r="E8906">
        <v>0</v>
      </c>
      <c r="F8906" s="2">
        <v>0</v>
      </c>
      <c r="H8906">
        <v>0</v>
      </c>
      <c r="I8906">
        <v>0.1741125760648204</v>
      </c>
      <c r="J8906">
        <v>0</v>
      </c>
      <c r="K8906">
        <v>0</v>
      </c>
      <c r="L8906" s="2">
        <v>0</v>
      </c>
      <c r="M8906">
        <v>87.22</v>
      </c>
      <c r="N8906" t="s">
        <v>10236</v>
      </c>
    </row>
    <row r="8907" spans="1:14">
      <c r="A8907" t="s">
        <v>29</v>
      </c>
      <c r="B8907" t="s">
        <v>8876</v>
      </c>
      <c r="C8907">
        <f>"45111"</f>
        <v>0</v>
      </c>
      <c r="D8907">
        <v>0</v>
      </c>
      <c r="E8907">
        <v>1</v>
      </c>
      <c r="F8907" s="2">
        <v>54</v>
      </c>
      <c r="H8907">
        <v>0</v>
      </c>
      <c r="I8907">
        <v>0.1741125760648204</v>
      </c>
      <c r="J8907">
        <v>0</v>
      </c>
      <c r="K8907">
        <v>0</v>
      </c>
      <c r="L8907" s="2">
        <v>0</v>
      </c>
      <c r="M8907">
        <v>87.23</v>
      </c>
      <c r="N8907" t="s">
        <v>10236</v>
      </c>
    </row>
    <row r="8908" spans="1:14">
      <c r="A8908" t="s">
        <v>29</v>
      </c>
      <c r="B8908" t="s">
        <v>8877</v>
      </c>
      <c r="C8908">
        <f>"45156"</f>
        <v>0</v>
      </c>
      <c r="D8908">
        <v>0</v>
      </c>
      <c r="E8908">
        <v>0</v>
      </c>
      <c r="F8908" s="2">
        <v>0</v>
      </c>
      <c r="H8908">
        <v>0</v>
      </c>
      <c r="I8908">
        <v>0.1741125760648204</v>
      </c>
      <c r="J8908">
        <v>0</v>
      </c>
      <c r="K8908">
        <v>0</v>
      </c>
      <c r="L8908" s="2">
        <v>0</v>
      </c>
      <c r="M8908">
        <v>87.23999999999999</v>
      </c>
      <c r="N8908" t="s">
        <v>10236</v>
      </c>
    </row>
    <row r="8909" spans="1:14">
      <c r="A8909" t="s">
        <v>29</v>
      </c>
      <c r="B8909" t="s">
        <v>8878</v>
      </c>
      <c r="C8909">
        <f>"45155"</f>
        <v>0</v>
      </c>
      <c r="D8909">
        <v>0</v>
      </c>
      <c r="E8909">
        <v>0</v>
      </c>
      <c r="F8909" s="2">
        <v>0</v>
      </c>
      <c r="H8909">
        <v>0</v>
      </c>
      <c r="I8909">
        <v>0.1741125760648204</v>
      </c>
      <c r="J8909">
        <v>0</v>
      </c>
      <c r="K8909">
        <v>0</v>
      </c>
      <c r="L8909" s="2">
        <v>0</v>
      </c>
      <c r="M8909">
        <v>87.25</v>
      </c>
      <c r="N8909" t="s">
        <v>10236</v>
      </c>
    </row>
    <row r="8910" spans="1:14">
      <c r="A8910" t="s">
        <v>29</v>
      </c>
      <c r="B8910" t="s">
        <v>8879</v>
      </c>
      <c r="C8910">
        <f>"45158"</f>
        <v>0</v>
      </c>
      <c r="D8910">
        <v>0</v>
      </c>
      <c r="E8910">
        <v>0</v>
      </c>
      <c r="F8910" s="2">
        <v>0</v>
      </c>
      <c r="H8910">
        <v>0</v>
      </c>
      <c r="I8910">
        <v>0.1741125760648204</v>
      </c>
      <c r="J8910">
        <v>0</v>
      </c>
      <c r="K8910">
        <v>0</v>
      </c>
      <c r="L8910" s="2">
        <v>0</v>
      </c>
      <c r="M8910">
        <v>87.26000000000001</v>
      </c>
      <c r="N8910" t="s">
        <v>10236</v>
      </c>
    </row>
    <row r="8911" spans="1:14">
      <c r="A8911" t="s">
        <v>29</v>
      </c>
      <c r="B8911" t="s">
        <v>8880</v>
      </c>
      <c r="C8911">
        <f>"45177"</f>
        <v>0</v>
      </c>
      <c r="D8911">
        <v>0</v>
      </c>
      <c r="E8911">
        <v>0</v>
      </c>
      <c r="F8911" s="2">
        <v>0</v>
      </c>
      <c r="H8911">
        <v>0</v>
      </c>
      <c r="I8911">
        <v>0.1741125760648204</v>
      </c>
      <c r="J8911">
        <v>0</v>
      </c>
      <c r="K8911">
        <v>0</v>
      </c>
      <c r="L8911" s="2">
        <v>0</v>
      </c>
      <c r="M8911">
        <v>87.27</v>
      </c>
      <c r="N8911" t="s">
        <v>10236</v>
      </c>
    </row>
    <row r="8912" spans="1:14">
      <c r="A8912" t="s">
        <v>29</v>
      </c>
      <c r="B8912" t="s">
        <v>8881</v>
      </c>
      <c r="C8912">
        <f>"D14LED"</f>
        <v>0</v>
      </c>
      <c r="D8912">
        <v>0</v>
      </c>
      <c r="E8912">
        <v>0</v>
      </c>
      <c r="F8912" s="2">
        <v>0</v>
      </c>
      <c r="H8912">
        <v>0</v>
      </c>
      <c r="I8912">
        <v>0.1741125760648204</v>
      </c>
      <c r="J8912">
        <v>0</v>
      </c>
      <c r="K8912">
        <v>0</v>
      </c>
      <c r="L8912" s="2">
        <v>0</v>
      </c>
      <c r="M8912">
        <v>87.27</v>
      </c>
      <c r="N8912" t="s">
        <v>10236</v>
      </c>
    </row>
    <row r="8913" spans="1:14">
      <c r="A8913" t="s">
        <v>29</v>
      </c>
      <c r="B8913" t="s">
        <v>8882</v>
      </c>
      <c r="C8913">
        <f>"D10LED"</f>
        <v>0</v>
      </c>
      <c r="D8913">
        <v>0</v>
      </c>
      <c r="E8913">
        <v>0</v>
      </c>
      <c r="F8913" s="2">
        <v>0</v>
      </c>
      <c r="H8913">
        <v>0</v>
      </c>
      <c r="I8913">
        <v>0.1741125760648204</v>
      </c>
      <c r="J8913">
        <v>0</v>
      </c>
      <c r="K8913">
        <v>0</v>
      </c>
      <c r="L8913" s="2">
        <v>0</v>
      </c>
      <c r="M8913">
        <v>87.28</v>
      </c>
      <c r="N8913" t="s">
        <v>10236</v>
      </c>
    </row>
    <row r="8914" spans="1:14">
      <c r="A8914" t="s">
        <v>32</v>
      </c>
      <c r="B8914" t="s">
        <v>8883</v>
      </c>
      <c r="C8914">
        <f>"5009533"</f>
        <v>0</v>
      </c>
      <c r="D8914">
        <v>0</v>
      </c>
      <c r="E8914">
        <v>1</v>
      </c>
      <c r="F8914" s="2">
        <v>3</v>
      </c>
      <c r="H8914">
        <v>0</v>
      </c>
      <c r="I8914">
        <v>0.1741125760648204</v>
      </c>
      <c r="J8914">
        <v>0</v>
      </c>
      <c r="K8914">
        <v>0</v>
      </c>
      <c r="L8914" s="2">
        <v>0</v>
      </c>
      <c r="M8914">
        <v>87.29000000000001</v>
      </c>
      <c r="N8914" t="s">
        <v>10236</v>
      </c>
    </row>
    <row r="8915" spans="1:14">
      <c r="A8915" t="s">
        <v>32</v>
      </c>
      <c r="B8915" t="s">
        <v>8884</v>
      </c>
      <c r="C8915">
        <f>"5009532"</f>
        <v>0</v>
      </c>
      <c r="D8915">
        <v>0</v>
      </c>
      <c r="E8915">
        <v>3</v>
      </c>
      <c r="F8915" s="2">
        <v>4</v>
      </c>
      <c r="H8915">
        <v>0</v>
      </c>
      <c r="I8915">
        <v>0.1741125760648204</v>
      </c>
      <c r="J8915">
        <v>0</v>
      </c>
      <c r="K8915">
        <v>0</v>
      </c>
      <c r="L8915" s="2">
        <v>0</v>
      </c>
      <c r="M8915">
        <v>87.3</v>
      </c>
      <c r="N8915" t="s">
        <v>10236</v>
      </c>
    </row>
    <row r="8916" spans="1:14">
      <c r="A8916" t="s">
        <v>32</v>
      </c>
      <c r="B8916" t="s">
        <v>8885</v>
      </c>
      <c r="C8916">
        <f>"5009534"</f>
        <v>0</v>
      </c>
      <c r="D8916">
        <v>0</v>
      </c>
      <c r="E8916">
        <v>7</v>
      </c>
      <c r="F8916" s="2">
        <v>3</v>
      </c>
      <c r="H8916">
        <v>0</v>
      </c>
      <c r="I8916">
        <v>0.1741125760648204</v>
      </c>
      <c r="J8916">
        <v>0</v>
      </c>
      <c r="K8916">
        <v>0</v>
      </c>
      <c r="L8916" s="2">
        <v>0</v>
      </c>
      <c r="M8916">
        <v>87.31</v>
      </c>
      <c r="N8916" t="s">
        <v>10236</v>
      </c>
    </row>
    <row r="8917" spans="1:14">
      <c r="A8917" t="s">
        <v>29</v>
      </c>
      <c r="B8917" t="s">
        <v>8886</v>
      </c>
      <c r="C8917">
        <f>"LE16"</f>
        <v>0</v>
      </c>
      <c r="D8917">
        <v>0</v>
      </c>
      <c r="E8917">
        <v>0</v>
      </c>
      <c r="F8917" s="2">
        <v>0</v>
      </c>
      <c r="H8917">
        <v>0</v>
      </c>
      <c r="I8917">
        <v>0.1741125760648204</v>
      </c>
      <c r="J8917">
        <v>0</v>
      </c>
      <c r="K8917">
        <v>0</v>
      </c>
      <c r="L8917" s="2">
        <v>0</v>
      </c>
      <c r="M8917">
        <v>87.31999999999999</v>
      </c>
      <c r="N8917" t="s">
        <v>10236</v>
      </c>
    </row>
    <row r="8918" spans="1:14">
      <c r="A8918" t="s">
        <v>29</v>
      </c>
      <c r="B8918" t="s">
        <v>8887</v>
      </c>
      <c r="C8918">
        <f>"LED2030"</f>
        <v>0</v>
      </c>
      <c r="D8918">
        <v>0</v>
      </c>
      <c r="E8918">
        <v>1</v>
      </c>
      <c r="F8918" s="2">
        <v>16</v>
      </c>
      <c r="H8918">
        <v>0</v>
      </c>
      <c r="I8918">
        <v>0.1741125760648204</v>
      </c>
      <c r="J8918">
        <v>0</v>
      </c>
      <c r="K8918">
        <v>0</v>
      </c>
      <c r="L8918" s="2">
        <v>0</v>
      </c>
      <c r="M8918">
        <v>87.33</v>
      </c>
      <c r="N8918" t="s">
        <v>10236</v>
      </c>
    </row>
    <row r="8919" spans="1:14">
      <c r="A8919" t="s">
        <v>29</v>
      </c>
      <c r="B8919" t="s">
        <v>8888</v>
      </c>
      <c r="C8919">
        <f>"LED20120"</f>
        <v>0</v>
      </c>
      <c r="D8919">
        <v>0</v>
      </c>
      <c r="E8919">
        <v>1</v>
      </c>
      <c r="F8919" s="2">
        <v>43</v>
      </c>
      <c r="H8919">
        <v>0</v>
      </c>
      <c r="I8919">
        <v>0.1741125760648204</v>
      </c>
      <c r="J8919">
        <v>0</v>
      </c>
      <c r="K8919">
        <v>0</v>
      </c>
      <c r="L8919" s="2">
        <v>0</v>
      </c>
      <c r="M8919">
        <v>87.34</v>
      </c>
      <c r="N8919" t="s">
        <v>10236</v>
      </c>
    </row>
    <row r="8920" spans="1:14">
      <c r="A8920" t="s">
        <v>29</v>
      </c>
      <c r="B8920" t="s">
        <v>8889</v>
      </c>
      <c r="C8920">
        <f>"ADE500"</f>
        <v>0</v>
      </c>
      <c r="D8920">
        <v>0</v>
      </c>
      <c r="E8920">
        <v>0</v>
      </c>
      <c r="F8920" s="2">
        <v>0</v>
      </c>
      <c r="H8920">
        <v>0</v>
      </c>
      <c r="I8920">
        <v>0.1741125760648204</v>
      </c>
      <c r="J8920">
        <v>0</v>
      </c>
      <c r="K8920">
        <v>0</v>
      </c>
      <c r="L8920" s="2">
        <v>0</v>
      </c>
      <c r="M8920">
        <v>87.34999999999999</v>
      </c>
      <c r="N8920" t="s">
        <v>10236</v>
      </c>
    </row>
    <row r="8921" spans="1:14">
      <c r="A8921" t="s">
        <v>29</v>
      </c>
      <c r="B8921" t="s">
        <v>8890</v>
      </c>
      <c r="C8921">
        <f>"ADE400"</f>
        <v>0</v>
      </c>
      <c r="D8921">
        <v>0</v>
      </c>
      <c r="E8921">
        <v>0</v>
      </c>
      <c r="F8921" s="2">
        <v>0</v>
      </c>
      <c r="H8921">
        <v>0</v>
      </c>
      <c r="I8921">
        <v>0.1741125760648204</v>
      </c>
      <c r="J8921">
        <v>0</v>
      </c>
      <c r="K8921">
        <v>0</v>
      </c>
      <c r="L8921" s="2">
        <v>0</v>
      </c>
      <c r="M8921">
        <v>87.36</v>
      </c>
      <c r="N8921" t="s">
        <v>10236</v>
      </c>
    </row>
    <row r="8922" spans="1:14">
      <c r="A8922" t="s">
        <v>29</v>
      </c>
      <c r="B8922" t="s">
        <v>8891</v>
      </c>
      <c r="C8922">
        <f>"ADE300"</f>
        <v>0</v>
      </c>
      <c r="D8922">
        <v>0</v>
      </c>
      <c r="E8922">
        <v>2</v>
      </c>
      <c r="F8922" s="2">
        <v>12</v>
      </c>
      <c r="H8922">
        <v>0</v>
      </c>
      <c r="I8922">
        <v>0.1741125760648204</v>
      </c>
      <c r="J8922">
        <v>0</v>
      </c>
      <c r="K8922">
        <v>0</v>
      </c>
      <c r="L8922" s="2">
        <v>0</v>
      </c>
      <c r="M8922">
        <v>87.37</v>
      </c>
      <c r="N8922" t="s">
        <v>10236</v>
      </c>
    </row>
    <row r="8923" spans="1:14">
      <c r="A8923" t="s">
        <v>35</v>
      </c>
      <c r="B8923" t="s">
        <v>345</v>
      </c>
      <c r="C8923">
        <f>"RJ824V"</f>
        <v>0</v>
      </c>
      <c r="D8923">
        <v>0</v>
      </c>
      <c r="E8923">
        <v>0</v>
      </c>
      <c r="F8923" s="2">
        <v>0</v>
      </c>
      <c r="H8923">
        <v>0</v>
      </c>
      <c r="I8923">
        <v>0.1741125760648204</v>
      </c>
      <c r="J8923">
        <v>0</v>
      </c>
      <c r="K8923">
        <v>0</v>
      </c>
      <c r="L8923" s="2">
        <v>0</v>
      </c>
      <c r="M8923">
        <v>87.38</v>
      </c>
      <c r="N8923" t="s">
        <v>10236</v>
      </c>
    </row>
    <row r="8924" spans="1:14">
      <c r="A8924" t="s">
        <v>35</v>
      </c>
      <c r="B8924" t="s">
        <v>896</v>
      </c>
      <c r="C8924">
        <f>"RJ825V"</f>
        <v>0</v>
      </c>
      <c r="D8924">
        <v>0</v>
      </c>
      <c r="E8924">
        <v>2</v>
      </c>
      <c r="F8924" s="2">
        <v>3</v>
      </c>
      <c r="H8924">
        <v>0</v>
      </c>
      <c r="I8924">
        <v>0.1741125760648204</v>
      </c>
      <c r="J8924">
        <v>0</v>
      </c>
      <c r="K8924">
        <v>0</v>
      </c>
      <c r="L8924" s="2">
        <v>0</v>
      </c>
      <c r="M8924">
        <v>87.39</v>
      </c>
      <c r="N8924" t="s">
        <v>10236</v>
      </c>
    </row>
    <row r="8925" spans="1:14">
      <c r="A8925" t="s">
        <v>35</v>
      </c>
      <c r="B8925" t="s">
        <v>896</v>
      </c>
      <c r="C8925">
        <f>"RJ825G"</f>
        <v>0</v>
      </c>
      <c r="D8925">
        <v>0</v>
      </c>
      <c r="E8925">
        <v>5</v>
      </c>
      <c r="F8925" s="2">
        <v>3</v>
      </c>
      <c r="H8925">
        <v>0</v>
      </c>
      <c r="I8925">
        <v>0.1741125760648204</v>
      </c>
      <c r="J8925">
        <v>0</v>
      </c>
      <c r="K8925">
        <v>0</v>
      </c>
      <c r="L8925" s="2">
        <v>0</v>
      </c>
      <c r="M8925">
        <v>87.39</v>
      </c>
      <c r="N8925" t="s">
        <v>10236</v>
      </c>
    </row>
    <row r="8926" spans="1:14">
      <c r="A8926" t="s">
        <v>29</v>
      </c>
      <c r="B8926" t="s">
        <v>8892</v>
      </c>
      <c r="C8926">
        <f>"AS017M"</f>
        <v>0</v>
      </c>
      <c r="D8926">
        <v>0</v>
      </c>
      <c r="E8926">
        <v>3</v>
      </c>
      <c r="F8926" s="2">
        <v>9</v>
      </c>
      <c r="H8926">
        <v>0</v>
      </c>
      <c r="I8926">
        <v>0.1741125760648204</v>
      </c>
      <c r="J8926">
        <v>0</v>
      </c>
      <c r="K8926">
        <v>0</v>
      </c>
      <c r="L8926" s="2">
        <v>0</v>
      </c>
      <c r="M8926">
        <v>87.40000000000001</v>
      </c>
      <c r="N8926" t="s">
        <v>10236</v>
      </c>
    </row>
    <row r="8927" spans="1:14">
      <c r="A8927" t="s">
        <v>29</v>
      </c>
      <c r="B8927" t="s">
        <v>8893</v>
      </c>
      <c r="C8927">
        <f>"AS017L"</f>
        <v>0</v>
      </c>
      <c r="D8927">
        <v>0</v>
      </c>
      <c r="E8927">
        <v>3</v>
      </c>
      <c r="F8927" s="2">
        <v>10</v>
      </c>
      <c r="H8927">
        <v>0</v>
      </c>
      <c r="I8927">
        <v>0.1741125760648204</v>
      </c>
      <c r="J8927">
        <v>0</v>
      </c>
      <c r="K8927">
        <v>0</v>
      </c>
      <c r="L8927" s="2">
        <v>0</v>
      </c>
      <c r="M8927">
        <v>87.41</v>
      </c>
      <c r="N8927" t="s">
        <v>10236</v>
      </c>
    </row>
    <row r="8928" spans="1:14">
      <c r="A8928" t="s">
        <v>29</v>
      </c>
      <c r="B8928" t="s">
        <v>8894</v>
      </c>
      <c r="C8928">
        <f>"LS50"</f>
        <v>0</v>
      </c>
      <c r="D8928">
        <v>0</v>
      </c>
      <c r="E8928">
        <v>0</v>
      </c>
      <c r="F8928" s="2">
        <v>0</v>
      </c>
      <c r="H8928">
        <v>0</v>
      </c>
      <c r="I8928">
        <v>0.1741125760648204</v>
      </c>
      <c r="J8928">
        <v>0</v>
      </c>
      <c r="K8928">
        <v>0</v>
      </c>
      <c r="L8928" s="2">
        <v>0</v>
      </c>
      <c r="M8928">
        <v>87.42</v>
      </c>
      <c r="N8928" t="s">
        <v>10236</v>
      </c>
    </row>
    <row r="8929" spans="1:14">
      <c r="A8929" t="s">
        <v>29</v>
      </c>
      <c r="B8929" t="s">
        <v>8895</v>
      </c>
      <c r="C8929">
        <f>"LS35"</f>
        <v>0</v>
      </c>
      <c r="D8929">
        <v>0</v>
      </c>
      <c r="E8929">
        <v>0</v>
      </c>
      <c r="F8929" s="2">
        <v>0</v>
      </c>
      <c r="H8929">
        <v>0</v>
      </c>
      <c r="I8929">
        <v>0.1741125760648204</v>
      </c>
      <c r="J8929">
        <v>0</v>
      </c>
      <c r="K8929">
        <v>0</v>
      </c>
      <c r="L8929" s="2">
        <v>0</v>
      </c>
      <c r="M8929">
        <v>87.43000000000001</v>
      </c>
      <c r="N8929" t="s">
        <v>10236</v>
      </c>
    </row>
    <row r="8930" spans="1:14">
      <c r="A8930" t="s">
        <v>29</v>
      </c>
      <c r="B8930" t="s">
        <v>8896</v>
      </c>
      <c r="C8930">
        <f>"LS70"</f>
        <v>0</v>
      </c>
      <c r="D8930">
        <v>0</v>
      </c>
      <c r="E8930">
        <v>0</v>
      </c>
      <c r="F8930" s="2">
        <v>0</v>
      </c>
      <c r="H8930">
        <v>0</v>
      </c>
      <c r="I8930">
        <v>0.1741125760648204</v>
      </c>
      <c r="J8930">
        <v>0</v>
      </c>
      <c r="K8930">
        <v>0</v>
      </c>
      <c r="L8930" s="2">
        <v>0</v>
      </c>
      <c r="M8930">
        <v>87.44</v>
      </c>
      <c r="N8930" t="s">
        <v>10236</v>
      </c>
    </row>
    <row r="8931" spans="1:14">
      <c r="A8931" t="s">
        <v>25</v>
      </c>
      <c r="B8931" t="s">
        <v>8897</v>
      </c>
      <c r="C8931">
        <f>"ZVP1136"</f>
        <v>0</v>
      </c>
      <c r="D8931">
        <v>0</v>
      </c>
      <c r="E8931">
        <v>0</v>
      </c>
      <c r="F8931" s="2">
        <v>0</v>
      </c>
      <c r="H8931">
        <v>0</v>
      </c>
      <c r="I8931">
        <v>0.1741125760648204</v>
      </c>
      <c r="J8931">
        <v>0</v>
      </c>
      <c r="K8931">
        <v>0</v>
      </c>
      <c r="L8931" s="2">
        <v>0</v>
      </c>
      <c r="M8931">
        <v>87.45</v>
      </c>
      <c r="N8931" t="s">
        <v>10236</v>
      </c>
    </row>
    <row r="8932" spans="1:14">
      <c r="A8932" t="s">
        <v>35</v>
      </c>
      <c r="B8932" t="s">
        <v>8898</v>
      </c>
      <c r="C8932">
        <f>"BP2060"</f>
        <v>0</v>
      </c>
      <c r="D8932">
        <v>0</v>
      </c>
      <c r="E8932">
        <v>0</v>
      </c>
      <c r="F8932" s="2">
        <v>0</v>
      </c>
      <c r="H8932">
        <v>0</v>
      </c>
      <c r="I8932">
        <v>0.1741125760648204</v>
      </c>
      <c r="J8932">
        <v>0</v>
      </c>
      <c r="K8932">
        <v>0</v>
      </c>
      <c r="L8932" s="2">
        <v>0</v>
      </c>
      <c r="M8932">
        <v>87.45999999999999</v>
      </c>
      <c r="N8932" t="s">
        <v>10236</v>
      </c>
    </row>
    <row r="8933" spans="1:14">
      <c r="A8933" t="s">
        <v>32</v>
      </c>
      <c r="B8933" t="s">
        <v>8899</v>
      </c>
      <c r="C8933">
        <f>"400244"</f>
        <v>0</v>
      </c>
      <c r="D8933">
        <v>0</v>
      </c>
      <c r="E8933">
        <v>0</v>
      </c>
      <c r="F8933" s="2">
        <v>0</v>
      </c>
      <c r="H8933">
        <v>0</v>
      </c>
      <c r="I8933">
        <v>0.1741125760648204</v>
      </c>
      <c r="J8933">
        <v>0</v>
      </c>
      <c r="K8933">
        <v>0</v>
      </c>
      <c r="L8933" s="2">
        <v>0</v>
      </c>
      <c r="M8933">
        <v>87.47</v>
      </c>
      <c r="N8933" t="s">
        <v>10236</v>
      </c>
    </row>
    <row r="8934" spans="1:14">
      <c r="A8934" t="s">
        <v>30</v>
      </c>
      <c r="B8934" t="s">
        <v>8900</v>
      </c>
      <c r="C8934">
        <f>"101204"</f>
        <v>0</v>
      </c>
      <c r="D8934">
        <v>0</v>
      </c>
      <c r="E8934">
        <v>0</v>
      </c>
      <c r="F8934" s="2">
        <v>0</v>
      </c>
      <c r="H8934">
        <v>0</v>
      </c>
      <c r="I8934">
        <v>0.1741125760648204</v>
      </c>
      <c r="J8934">
        <v>0</v>
      </c>
      <c r="K8934">
        <v>0</v>
      </c>
      <c r="L8934" s="2">
        <v>0</v>
      </c>
      <c r="M8934">
        <v>87.48</v>
      </c>
      <c r="N8934" t="s">
        <v>10236</v>
      </c>
    </row>
    <row r="8935" spans="1:14">
      <c r="A8935" t="s">
        <v>30</v>
      </c>
      <c r="B8935" t="s">
        <v>8901</v>
      </c>
      <c r="C8935">
        <f>"101198"</f>
        <v>0</v>
      </c>
      <c r="D8935">
        <v>0</v>
      </c>
      <c r="E8935">
        <v>0</v>
      </c>
      <c r="F8935" s="2">
        <v>0</v>
      </c>
      <c r="H8935">
        <v>0</v>
      </c>
      <c r="I8935">
        <v>0.1741125760648204</v>
      </c>
      <c r="J8935">
        <v>0</v>
      </c>
      <c r="K8935">
        <v>0</v>
      </c>
      <c r="L8935" s="2">
        <v>0</v>
      </c>
      <c r="M8935">
        <v>87.48999999999999</v>
      </c>
      <c r="N8935" t="s">
        <v>10236</v>
      </c>
    </row>
    <row r="8936" spans="1:14">
      <c r="A8936" t="s">
        <v>30</v>
      </c>
      <c r="B8936" t="s">
        <v>8902</v>
      </c>
      <c r="C8936">
        <f>"101197"</f>
        <v>0</v>
      </c>
      <c r="D8936">
        <v>0</v>
      </c>
      <c r="E8936">
        <v>0</v>
      </c>
      <c r="F8936" s="2">
        <v>0</v>
      </c>
      <c r="H8936">
        <v>0</v>
      </c>
      <c r="I8936">
        <v>0.1741125760648204</v>
      </c>
      <c r="J8936">
        <v>0</v>
      </c>
      <c r="K8936">
        <v>0</v>
      </c>
      <c r="L8936" s="2">
        <v>0</v>
      </c>
      <c r="M8936">
        <v>87.5</v>
      </c>
      <c r="N8936" t="s">
        <v>10236</v>
      </c>
    </row>
    <row r="8937" spans="1:14">
      <c r="A8937" t="s">
        <v>195</v>
      </c>
      <c r="B8937" t="s">
        <v>8903</v>
      </c>
      <c r="C8937">
        <f>"25002310"</f>
        <v>0</v>
      </c>
      <c r="D8937">
        <v>0</v>
      </c>
      <c r="E8937">
        <v>0</v>
      </c>
      <c r="F8937" s="2">
        <v>0</v>
      </c>
      <c r="H8937">
        <v>0</v>
      </c>
      <c r="I8937">
        <v>0.1741125760648204</v>
      </c>
      <c r="J8937">
        <v>0</v>
      </c>
      <c r="K8937">
        <v>0</v>
      </c>
      <c r="L8937" s="2">
        <v>0</v>
      </c>
      <c r="M8937">
        <v>87.5</v>
      </c>
      <c r="N8937" t="s">
        <v>10236</v>
      </c>
    </row>
    <row r="8938" spans="1:14">
      <c r="A8938" t="s">
        <v>195</v>
      </c>
      <c r="B8938" t="s">
        <v>8904</v>
      </c>
      <c r="C8938">
        <f>"25002965"</f>
        <v>0</v>
      </c>
      <c r="D8938">
        <v>0</v>
      </c>
      <c r="E8938">
        <v>0</v>
      </c>
      <c r="F8938" s="2">
        <v>0</v>
      </c>
      <c r="H8938">
        <v>0</v>
      </c>
      <c r="I8938">
        <v>0.1741125760648204</v>
      </c>
      <c r="J8938">
        <v>0</v>
      </c>
      <c r="K8938">
        <v>0</v>
      </c>
      <c r="L8938" s="2">
        <v>0</v>
      </c>
      <c r="M8938">
        <v>87.51000000000001</v>
      </c>
      <c r="N8938" t="s">
        <v>10236</v>
      </c>
    </row>
    <row r="8939" spans="1:14">
      <c r="A8939" t="s">
        <v>41</v>
      </c>
      <c r="B8939" t="s">
        <v>8905</v>
      </c>
      <c r="C8939">
        <f>"180337ID"</f>
        <v>0</v>
      </c>
      <c r="D8939">
        <v>0</v>
      </c>
      <c r="E8939">
        <v>2</v>
      </c>
      <c r="F8939" s="2">
        <v>0</v>
      </c>
      <c r="H8939">
        <v>0</v>
      </c>
      <c r="I8939">
        <v>0.1741125760648204</v>
      </c>
      <c r="J8939">
        <v>0</v>
      </c>
      <c r="K8939">
        <v>0</v>
      </c>
      <c r="L8939" s="2">
        <v>0</v>
      </c>
      <c r="M8939">
        <v>87.52</v>
      </c>
      <c r="N8939" t="s">
        <v>10236</v>
      </c>
    </row>
    <row r="8940" spans="1:14">
      <c r="A8940" t="s">
        <v>35</v>
      </c>
      <c r="B8940" t="s">
        <v>8906</v>
      </c>
      <c r="C8940">
        <f>"LLDPP"</f>
        <v>0</v>
      </c>
      <c r="D8940">
        <v>0</v>
      </c>
      <c r="E8940">
        <v>0</v>
      </c>
      <c r="F8940" s="2">
        <v>0</v>
      </c>
      <c r="H8940">
        <v>0</v>
      </c>
      <c r="I8940">
        <v>0.1741125760648204</v>
      </c>
      <c r="J8940">
        <v>0</v>
      </c>
      <c r="K8940">
        <v>0</v>
      </c>
      <c r="L8940" s="2">
        <v>0</v>
      </c>
      <c r="M8940">
        <v>87.53</v>
      </c>
      <c r="N8940" t="s">
        <v>10236</v>
      </c>
    </row>
    <row r="8941" spans="1:14">
      <c r="A8941" t="s">
        <v>35</v>
      </c>
      <c r="B8941" t="s">
        <v>8907</v>
      </c>
      <c r="C8941">
        <f>"221028"</f>
        <v>0</v>
      </c>
      <c r="D8941">
        <v>0</v>
      </c>
      <c r="E8941">
        <v>0</v>
      </c>
      <c r="F8941" s="2">
        <v>0</v>
      </c>
      <c r="H8941">
        <v>0</v>
      </c>
      <c r="I8941">
        <v>0.1741125760648204</v>
      </c>
      <c r="J8941">
        <v>0</v>
      </c>
      <c r="K8941">
        <v>0</v>
      </c>
      <c r="L8941" s="2">
        <v>0</v>
      </c>
      <c r="M8941">
        <v>87.54000000000001</v>
      </c>
      <c r="N8941" t="s">
        <v>10236</v>
      </c>
    </row>
    <row r="8942" spans="1:14">
      <c r="A8942" t="s">
        <v>35</v>
      </c>
      <c r="B8942" t="s">
        <v>8908</v>
      </c>
      <c r="C8942">
        <f>"4000289"</f>
        <v>0</v>
      </c>
      <c r="D8942">
        <v>0</v>
      </c>
      <c r="E8942">
        <v>0</v>
      </c>
      <c r="F8942" s="2">
        <v>0</v>
      </c>
      <c r="H8942">
        <v>0</v>
      </c>
      <c r="I8942">
        <v>0.1741125760648204</v>
      </c>
      <c r="J8942">
        <v>0</v>
      </c>
      <c r="K8942">
        <v>0</v>
      </c>
      <c r="L8942" s="2">
        <v>0</v>
      </c>
      <c r="M8942">
        <v>87.55</v>
      </c>
      <c r="N8942" t="s">
        <v>10236</v>
      </c>
    </row>
    <row r="8943" spans="1:14">
      <c r="A8943" t="s">
        <v>35</v>
      </c>
      <c r="B8943" t="s">
        <v>8909</v>
      </c>
      <c r="C8943">
        <f>"4000272"</f>
        <v>0</v>
      </c>
      <c r="D8943">
        <v>0</v>
      </c>
      <c r="E8943">
        <v>0</v>
      </c>
      <c r="F8943" s="2">
        <v>0</v>
      </c>
      <c r="H8943">
        <v>0</v>
      </c>
      <c r="I8943">
        <v>0.1741125760648204</v>
      </c>
      <c r="J8943">
        <v>0</v>
      </c>
      <c r="K8943">
        <v>0</v>
      </c>
      <c r="L8943" s="2">
        <v>0</v>
      </c>
      <c r="M8943">
        <v>87.56</v>
      </c>
      <c r="N8943" t="s">
        <v>10236</v>
      </c>
    </row>
    <row r="8944" spans="1:14">
      <c r="A8944" t="s">
        <v>35</v>
      </c>
      <c r="B8944" t="s">
        <v>8910</v>
      </c>
      <c r="C8944">
        <f>"4000265"</f>
        <v>0</v>
      </c>
      <c r="D8944">
        <v>0</v>
      </c>
      <c r="E8944">
        <v>0</v>
      </c>
      <c r="F8944" s="2">
        <v>0</v>
      </c>
      <c r="H8944">
        <v>0</v>
      </c>
      <c r="I8944">
        <v>0.1741125760648204</v>
      </c>
      <c r="J8944">
        <v>0</v>
      </c>
      <c r="K8944">
        <v>0</v>
      </c>
      <c r="L8944" s="2">
        <v>0</v>
      </c>
      <c r="M8944">
        <v>87.56999999999999</v>
      </c>
      <c r="N8944" t="s">
        <v>10236</v>
      </c>
    </row>
    <row r="8945" spans="1:14">
      <c r="A8945" t="s">
        <v>35</v>
      </c>
      <c r="B8945" t="s">
        <v>8911</v>
      </c>
      <c r="C8945">
        <f>"ABTB4"</f>
        <v>0</v>
      </c>
      <c r="D8945">
        <v>0</v>
      </c>
      <c r="E8945">
        <v>0</v>
      </c>
      <c r="F8945" s="2">
        <v>0</v>
      </c>
      <c r="H8945">
        <v>0</v>
      </c>
      <c r="I8945">
        <v>0.1741125760648204</v>
      </c>
      <c r="J8945">
        <v>0</v>
      </c>
      <c r="K8945">
        <v>0</v>
      </c>
      <c r="L8945" s="2">
        <v>0</v>
      </c>
      <c r="M8945">
        <v>87.58</v>
      </c>
      <c r="N8945" t="s">
        <v>10236</v>
      </c>
    </row>
    <row r="8946" spans="1:14">
      <c r="A8946" t="s">
        <v>35</v>
      </c>
      <c r="B8946" t="s">
        <v>8912</v>
      </c>
      <c r="C8946">
        <f>"BPP3"</f>
        <v>0</v>
      </c>
      <c r="D8946">
        <v>0</v>
      </c>
      <c r="E8946">
        <v>0</v>
      </c>
      <c r="F8946" s="2">
        <v>0</v>
      </c>
      <c r="H8946">
        <v>0</v>
      </c>
      <c r="I8946">
        <v>0.1741125760648204</v>
      </c>
      <c r="J8946">
        <v>0</v>
      </c>
      <c r="K8946">
        <v>0</v>
      </c>
      <c r="L8946" s="2">
        <v>0</v>
      </c>
      <c r="M8946">
        <v>87.59</v>
      </c>
      <c r="N8946" t="s">
        <v>10236</v>
      </c>
    </row>
    <row r="8947" spans="1:14">
      <c r="A8947" t="s">
        <v>35</v>
      </c>
      <c r="B8947" t="s">
        <v>8913</v>
      </c>
      <c r="C8947">
        <f>"ECLS8"</f>
        <v>0</v>
      </c>
      <c r="D8947">
        <v>0</v>
      </c>
      <c r="E8947">
        <v>0</v>
      </c>
      <c r="F8947" s="2">
        <v>0</v>
      </c>
      <c r="H8947">
        <v>0</v>
      </c>
      <c r="I8947">
        <v>0.1741125760648204</v>
      </c>
      <c r="J8947">
        <v>0</v>
      </c>
      <c r="K8947">
        <v>0</v>
      </c>
      <c r="L8947" s="2">
        <v>0</v>
      </c>
      <c r="M8947">
        <v>87.59999999999999</v>
      </c>
      <c r="N8947" t="s">
        <v>10236</v>
      </c>
    </row>
    <row r="8948" spans="1:14">
      <c r="A8948" t="s">
        <v>195</v>
      </c>
      <c r="B8948" t="s">
        <v>8914</v>
      </c>
      <c r="C8948">
        <f>"25570757"</f>
        <v>0</v>
      </c>
      <c r="D8948">
        <v>0</v>
      </c>
      <c r="E8948">
        <v>0</v>
      </c>
      <c r="F8948" s="2">
        <v>0</v>
      </c>
      <c r="H8948">
        <v>0</v>
      </c>
      <c r="I8948">
        <v>0.1741125760648204</v>
      </c>
      <c r="J8948">
        <v>0</v>
      </c>
      <c r="K8948">
        <v>0</v>
      </c>
      <c r="L8948" s="2">
        <v>0</v>
      </c>
      <c r="M8948">
        <v>87.61</v>
      </c>
      <c r="N8948" t="s">
        <v>10236</v>
      </c>
    </row>
    <row r="8949" spans="1:14">
      <c r="A8949" t="s">
        <v>195</v>
      </c>
      <c r="B8949" t="s">
        <v>8915</v>
      </c>
      <c r="C8949">
        <f>"25570758"</f>
        <v>0</v>
      </c>
      <c r="D8949">
        <v>0</v>
      </c>
      <c r="E8949">
        <v>0</v>
      </c>
      <c r="F8949" s="2">
        <v>0</v>
      </c>
      <c r="H8949">
        <v>0</v>
      </c>
      <c r="I8949">
        <v>0.1741125760648204</v>
      </c>
      <c r="J8949">
        <v>0</v>
      </c>
      <c r="K8949">
        <v>0</v>
      </c>
      <c r="L8949" s="2">
        <v>0</v>
      </c>
      <c r="M8949">
        <v>87.62</v>
      </c>
      <c r="N8949" t="s">
        <v>10236</v>
      </c>
    </row>
    <row r="8950" spans="1:14">
      <c r="A8950" t="s">
        <v>195</v>
      </c>
      <c r="B8950" t="s">
        <v>8916</v>
      </c>
      <c r="C8950">
        <f>"25570818"</f>
        <v>0</v>
      </c>
      <c r="D8950">
        <v>0</v>
      </c>
      <c r="E8950">
        <v>0</v>
      </c>
      <c r="F8950" s="2">
        <v>0</v>
      </c>
      <c r="H8950">
        <v>0</v>
      </c>
      <c r="I8950">
        <v>0.1741125760648204</v>
      </c>
      <c r="J8950">
        <v>0</v>
      </c>
      <c r="K8950">
        <v>0</v>
      </c>
      <c r="L8950" s="2">
        <v>0</v>
      </c>
      <c r="M8950">
        <v>87.62</v>
      </c>
      <c r="N8950" t="s">
        <v>10236</v>
      </c>
    </row>
    <row r="8951" spans="1:14">
      <c r="A8951" t="s">
        <v>35</v>
      </c>
      <c r="B8951" t="s">
        <v>8917</v>
      </c>
      <c r="C8951">
        <f>"25023969"</f>
        <v>0</v>
      </c>
      <c r="D8951">
        <v>0</v>
      </c>
      <c r="E8951">
        <v>0</v>
      </c>
      <c r="F8951" s="2">
        <v>0</v>
      </c>
      <c r="H8951">
        <v>0</v>
      </c>
      <c r="I8951">
        <v>0.1741125760648204</v>
      </c>
      <c r="J8951">
        <v>0</v>
      </c>
      <c r="K8951">
        <v>0</v>
      </c>
      <c r="L8951" s="2">
        <v>0</v>
      </c>
      <c r="M8951">
        <v>87.63</v>
      </c>
      <c r="N8951" t="s">
        <v>10236</v>
      </c>
    </row>
    <row r="8952" spans="1:14">
      <c r="A8952" t="s">
        <v>195</v>
      </c>
      <c r="B8952" t="s">
        <v>8918</v>
      </c>
      <c r="C8952">
        <f>"25023877"</f>
        <v>0</v>
      </c>
      <c r="D8952">
        <v>0</v>
      </c>
      <c r="E8952">
        <v>0</v>
      </c>
      <c r="F8952" s="2">
        <v>0</v>
      </c>
      <c r="H8952">
        <v>0</v>
      </c>
      <c r="I8952">
        <v>0.1741125760648204</v>
      </c>
      <c r="J8952">
        <v>0</v>
      </c>
      <c r="K8952">
        <v>0</v>
      </c>
      <c r="L8952" s="2">
        <v>0</v>
      </c>
      <c r="M8952">
        <v>87.64</v>
      </c>
      <c r="N8952" t="s">
        <v>10236</v>
      </c>
    </row>
    <row r="8953" spans="1:14">
      <c r="A8953" t="s">
        <v>195</v>
      </c>
      <c r="B8953" t="s">
        <v>8919</v>
      </c>
      <c r="C8953">
        <f>"25023884"</f>
        <v>0</v>
      </c>
      <c r="D8953">
        <v>0</v>
      </c>
      <c r="E8953">
        <v>0</v>
      </c>
      <c r="F8953" s="2">
        <v>0</v>
      </c>
      <c r="H8953">
        <v>0</v>
      </c>
      <c r="I8953">
        <v>0.1741125760648204</v>
      </c>
      <c r="J8953">
        <v>0</v>
      </c>
      <c r="K8953">
        <v>0</v>
      </c>
      <c r="L8953" s="2">
        <v>0</v>
      </c>
      <c r="M8953">
        <v>87.65000000000001</v>
      </c>
      <c r="N8953" t="s">
        <v>10236</v>
      </c>
    </row>
    <row r="8954" spans="1:14">
      <c r="A8954" t="s">
        <v>195</v>
      </c>
      <c r="B8954" t="s">
        <v>8920</v>
      </c>
      <c r="C8954">
        <f>"25023891"</f>
        <v>0</v>
      </c>
      <c r="D8954">
        <v>0</v>
      </c>
      <c r="E8954">
        <v>0</v>
      </c>
      <c r="F8954" s="2">
        <v>0</v>
      </c>
      <c r="H8954">
        <v>0</v>
      </c>
      <c r="I8954">
        <v>0.1741125760648204</v>
      </c>
      <c r="J8954">
        <v>0</v>
      </c>
      <c r="K8954">
        <v>0</v>
      </c>
      <c r="L8954" s="2">
        <v>0</v>
      </c>
      <c r="M8954">
        <v>87.66</v>
      </c>
      <c r="N8954" t="s">
        <v>10236</v>
      </c>
    </row>
    <row r="8955" spans="1:14">
      <c r="A8955" t="s">
        <v>195</v>
      </c>
      <c r="B8955" t="s">
        <v>8921</v>
      </c>
      <c r="C8955">
        <f>"25023860"</f>
        <v>0</v>
      </c>
      <c r="D8955">
        <v>0</v>
      </c>
      <c r="E8955">
        <v>0</v>
      </c>
      <c r="F8955" s="2">
        <v>0</v>
      </c>
      <c r="H8955">
        <v>0</v>
      </c>
      <c r="I8955">
        <v>0.1741125760648204</v>
      </c>
      <c r="J8955">
        <v>0</v>
      </c>
      <c r="K8955">
        <v>0</v>
      </c>
      <c r="L8955" s="2">
        <v>0</v>
      </c>
      <c r="M8955">
        <v>87.67</v>
      </c>
      <c r="N8955" t="s">
        <v>10236</v>
      </c>
    </row>
    <row r="8956" spans="1:14">
      <c r="A8956" t="s">
        <v>195</v>
      </c>
      <c r="B8956" t="s">
        <v>8922</v>
      </c>
      <c r="C8956">
        <f>"25702094"</f>
        <v>0</v>
      </c>
      <c r="D8956">
        <v>0</v>
      </c>
      <c r="E8956">
        <v>0</v>
      </c>
      <c r="F8956" s="2">
        <v>0</v>
      </c>
      <c r="H8956">
        <v>0</v>
      </c>
      <c r="I8956">
        <v>0.1741125760648204</v>
      </c>
      <c r="J8956">
        <v>0</v>
      </c>
      <c r="K8956">
        <v>0</v>
      </c>
      <c r="L8956" s="2">
        <v>0</v>
      </c>
      <c r="M8956">
        <v>87.68000000000001</v>
      </c>
      <c r="N8956" t="s">
        <v>10236</v>
      </c>
    </row>
    <row r="8957" spans="1:14">
      <c r="A8957" t="s">
        <v>29</v>
      </c>
      <c r="B8957" t="s">
        <v>8923</v>
      </c>
      <c r="C8957">
        <f>"ADE200"</f>
        <v>0</v>
      </c>
      <c r="D8957">
        <v>0</v>
      </c>
      <c r="E8957">
        <v>0</v>
      </c>
      <c r="F8957" s="2">
        <v>0</v>
      </c>
      <c r="H8957">
        <v>0</v>
      </c>
      <c r="I8957">
        <v>0.1741125760648204</v>
      </c>
      <c r="J8957">
        <v>0</v>
      </c>
      <c r="K8957">
        <v>0</v>
      </c>
      <c r="L8957" s="2">
        <v>0</v>
      </c>
      <c r="M8957">
        <v>87.69</v>
      </c>
      <c r="N8957" t="s">
        <v>10236</v>
      </c>
    </row>
    <row r="8958" spans="1:14">
      <c r="A8958" t="s">
        <v>29</v>
      </c>
      <c r="B8958" t="s">
        <v>8924</v>
      </c>
      <c r="C8958">
        <f>"I40"</f>
        <v>0</v>
      </c>
      <c r="D8958">
        <v>0</v>
      </c>
      <c r="E8958">
        <v>0</v>
      </c>
      <c r="F8958" s="2">
        <v>0</v>
      </c>
      <c r="H8958">
        <v>0</v>
      </c>
      <c r="I8958">
        <v>0.1741125760648204</v>
      </c>
      <c r="J8958">
        <v>0</v>
      </c>
      <c r="K8958">
        <v>0</v>
      </c>
      <c r="L8958" s="2">
        <v>0</v>
      </c>
      <c r="M8958">
        <v>87.7</v>
      </c>
      <c r="N8958" t="s">
        <v>10236</v>
      </c>
    </row>
    <row r="8959" spans="1:14">
      <c r="A8959" t="s">
        <v>29</v>
      </c>
      <c r="B8959" t="s">
        <v>8925</v>
      </c>
      <c r="C8959">
        <f>"I30"</f>
        <v>0</v>
      </c>
      <c r="D8959">
        <v>0</v>
      </c>
      <c r="E8959">
        <v>0</v>
      </c>
      <c r="F8959" s="2">
        <v>0</v>
      </c>
      <c r="H8959">
        <v>0</v>
      </c>
      <c r="I8959">
        <v>0.1741125760648204</v>
      </c>
      <c r="J8959">
        <v>0</v>
      </c>
      <c r="K8959">
        <v>0</v>
      </c>
      <c r="L8959" s="2">
        <v>0</v>
      </c>
      <c r="M8959">
        <v>87.70999999999999</v>
      </c>
      <c r="N8959" t="s">
        <v>10236</v>
      </c>
    </row>
    <row r="8960" spans="1:14">
      <c r="A8960" t="s">
        <v>29</v>
      </c>
      <c r="B8960" t="s">
        <v>8926</v>
      </c>
      <c r="C8960">
        <f>"I20"</f>
        <v>0</v>
      </c>
      <c r="D8960">
        <v>0</v>
      </c>
      <c r="E8960">
        <v>0</v>
      </c>
      <c r="F8960" s="2">
        <v>0</v>
      </c>
      <c r="H8960">
        <v>0</v>
      </c>
      <c r="I8960">
        <v>0.1741125760648204</v>
      </c>
      <c r="J8960">
        <v>0</v>
      </c>
      <c r="K8960">
        <v>0</v>
      </c>
      <c r="L8960" s="2">
        <v>0</v>
      </c>
      <c r="M8960">
        <v>87.72</v>
      </c>
      <c r="N8960" t="s">
        <v>10236</v>
      </c>
    </row>
    <row r="8961" spans="1:14">
      <c r="A8961" t="s">
        <v>29</v>
      </c>
      <c r="B8961" t="s">
        <v>8927</v>
      </c>
      <c r="C8961">
        <f>"I15"</f>
        <v>0</v>
      </c>
      <c r="D8961">
        <v>0</v>
      </c>
      <c r="E8961">
        <v>0</v>
      </c>
      <c r="F8961" s="2">
        <v>0</v>
      </c>
      <c r="H8961">
        <v>0</v>
      </c>
      <c r="I8961">
        <v>0.1741125760648204</v>
      </c>
      <c r="J8961">
        <v>0</v>
      </c>
      <c r="K8961">
        <v>0</v>
      </c>
      <c r="L8961" s="2">
        <v>0</v>
      </c>
      <c r="M8961">
        <v>87.73</v>
      </c>
      <c r="N8961" t="s">
        <v>10236</v>
      </c>
    </row>
    <row r="8962" spans="1:14">
      <c r="A8962" t="s">
        <v>29</v>
      </c>
      <c r="B8962" t="s">
        <v>8928</v>
      </c>
      <c r="C8962">
        <f>"LED2060"</f>
        <v>0</v>
      </c>
      <c r="D8962">
        <v>0</v>
      </c>
      <c r="E8962">
        <v>2</v>
      </c>
      <c r="F8962" s="2">
        <v>25</v>
      </c>
      <c r="H8962">
        <v>0</v>
      </c>
      <c r="I8962">
        <v>0.1741125760648204</v>
      </c>
      <c r="J8962">
        <v>0</v>
      </c>
      <c r="K8962">
        <v>0</v>
      </c>
      <c r="L8962" s="2">
        <v>0</v>
      </c>
      <c r="M8962">
        <v>87.73999999999999</v>
      </c>
      <c r="N8962" t="s">
        <v>10236</v>
      </c>
    </row>
    <row r="8963" spans="1:14">
      <c r="A8963" t="s">
        <v>25</v>
      </c>
      <c r="B8963" t="s">
        <v>8929</v>
      </c>
      <c r="C8963">
        <f>"s016L"</f>
        <v>0</v>
      </c>
      <c r="D8963">
        <v>0</v>
      </c>
      <c r="E8963">
        <v>0</v>
      </c>
      <c r="F8963" s="2">
        <v>0</v>
      </c>
      <c r="H8963">
        <v>0</v>
      </c>
      <c r="I8963">
        <v>0.1741125760648204</v>
      </c>
      <c r="J8963">
        <v>0</v>
      </c>
      <c r="K8963">
        <v>0</v>
      </c>
      <c r="L8963" s="2">
        <v>0</v>
      </c>
      <c r="M8963">
        <v>87.73999999999999</v>
      </c>
      <c r="N8963" t="s">
        <v>10236</v>
      </c>
    </row>
    <row r="8964" spans="1:14">
      <c r="A8964" t="s">
        <v>29</v>
      </c>
      <c r="B8964" t="s">
        <v>8930</v>
      </c>
      <c r="C8964">
        <f>"PMM50"</f>
        <v>0</v>
      </c>
      <c r="D8964">
        <v>0</v>
      </c>
      <c r="E8964">
        <v>0</v>
      </c>
      <c r="F8964" s="2">
        <v>0</v>
      </c>
      <c r="H8964">
        <v>0</v>
      </c>
      <c r="I8964">
        <v>0.1741125760648204</v>
      </c>
      <c r="J8964">
        <v>0</v>
      </c>
      <c r="K8964">
        <v>0</v>
      </c>
      <c r="L8964" s="2">
        <v>0</v>
      </c>
      <c r="M8964">
        <v>87.75</v>
      </c>
      <c r="N8964" t="s">
        <v>10236</v>
      </c>
    </row>
    <row r="8965" spans="1:14">
      <c r="A8965" t="s">
        <v>29</v>
      </c>
      <c r="B8965" t="s">
        <v>8931</v>
      </c>
      <c r="C8965">
        <f>"PMM25"</f>
        <v>0</v>
      </c>
      <c r="D8965">
        <v>0</v>
      </c>
      <c r="E8965">
        <v>1</v>
      </c>
      <c r="F8965" s="2">
        <v>2</v>
      </c>
      <c r="H8965">
        <v>0</v>
      </c>
      <c r="I8965">
        <v>0.1741125760648204</v>
      </c>
      <c r="J8965">
        <v>0</v>
      </c>
      <c r="K8965">
        <v>0</v>
      </c>
      <c r="L8965" s="2">
        <v>0</v>
      </c>
      <c r="M8965">
        <v>87.76000000000001</v>
      </c>
      <c r="N8965" t="s">
        <v>10236</v>
      </c>
    </row>
    <row r="8966" spans="1:14">
      <c r="A8966" t="s">
        <v>29</v>
      </c>
      <c r="B8966" t="s">
        <v>8932</v>
      </c>
      <c r="C8966">
        <f>"PMM100"</f>
        <v>0</v>
      </c>
      <c r="D8966">
        <v>0</v>
      </c>
      <c r="E8966">
        <v>0</v>
      </c>
      <c r="F8966" s="2">
        <v>0</v>
      </c>
      <c r="H8966">
        <v>0</v>
      </c>
      <c r="I8966">
        <v>0.1741125760648204</v>
      </c>
      <c r="J8966">
        <v>0</v>
      </c>
      <c r="K8966">
        <v>0</v>
      </c>
      <c r="L8966" s="2">
        <v>0</v>
      </c>
      <c r="M8966">
        <v>87.77</v>
      </c>
      <c r="N8966" t="s">
        <v>10236</v>
      </c>
    </row>
    <row r="8967" spans="1:14">
      <c r="A8967" t="s">
        <v>25</v>
      </c>
      <c r="B8967" t="s">
        <v>8933</v>
      </c>
      <c r="C8967">
        <f>"ND19"</f>
        <v>0</v>
      </c>
      <c r="D8967">
        <v>0</v>
      </c>
      <c r="E8967">
        <v>0</v>
      </c>
      <c r="F8967" s="2">
        <v>0</v>
      </c>
      <c r="H8967">
        <v>0</v>
      </c>
      <c r="I8967">
        <v>0.1741125760648204</v>
      </c>
      <c r="J8967">
        <v>0</v>
      </c>
      <c r="K8967">
        <v>0</v>
      </c>
      <c r="L8967" s="2">
        <v>0</v>
      </c>
      <c r="M8967">
        <v>87.78</v>
      </c>
      <c r="N8967" t="s">
        <v>10236</v>
      </c>
    </row>
    <row r="8968" spans="1:14">
      <c r="A8968" t="s">
        <v>25</v>
      </c>
      <c r="B8968" t="s">
        <v>8934</v>
      </c>
      <c r="C8968">
        <f>"ND18"</f>
        <v>0</v>
      </c>
      <c r="D8968">
        <v>0</v>
      </c>
      <c r="E8968">
        <v>0</v>
      </c>
      <c r="F8968" s="2">
        <v>0</v>
      </c>
      <c r="H8968">
        <v>0</v>
      </c>
      <c r="I8968">
        <v>0.1741125760648204</v>
      </c>
      <c r="J8968">
        <v>0</v>
      </c>
      <c r="K8968">
        <v>0</v>
      </c>
      <c r="L8968" s="2">
        <v>0</v>
      </c>
      <c r="M8968">
        <v>87.79000000000001</v>
      </c>
      <c r="N8968" t="s">
        <v>10236</v>
      </c>
    </row>
    <row r="8969" spans="1:14">
      <c r="A8969" t="s">
        <v>29</v>
      </c>
      <c r="B8969" t="s">
        <v>8935</v>
      </c>
      <c r="C8969">
        <f>"LS60B"</f>
        <v>0</v>
      </c>
      <c r="D8969">
        <v>0</v>
      </c>
      <c r="E8969">
        <v>0</v>
      </c>
      <c r="F8969" s="2">
        <v>0</v>
      </c>
      <c r="H8969">
        <v>0</v>
      </c>
      <c r="I8969">
        <v>0.1741125760648204</v>
      </c>
      <c r="J8969">
        <v>0</v>
      </c>
      <c r="K8969">
        <v>0</v>
      </c>
      <c r="L8969" s="2">
        <v>0</v>
      </c>
      <c r="M8969">
        <v>87.8</v>
      </c>
      <c r="N8969" t="s">
        <v>10236</v>
      </c>
    </row>
    <row r="8970" spans="1:14">
      <c r="A8970" t="s">
        <v>29</v>
      </c>
      <c r="B8970" t="s">
        <v>8936</v>
      </c>
      <c r="C8970">
        <f>"LS60T"</f>
        <v>0</v>
      </c>
      <c r="D8970">
        <v>0</v>
      </c>
      <c r="E8970">
        <v>0</v>
      </c>
      <c r="F8970" s="2">
        <v>0</v>
      </c>
      <c r="H8970">
        <v>0</v>
      </c>
      <c r="I8970">
        <v>0.1741125760648204</v>
      </c>
      <c r="J8970">
        <v>0</v>
      </c>
      <c r="K8970">
        <v>0</v>
      </c>
      <c r="L8970" s="2">
        <v>0</v>
      </c>
      <c r="M8970">
        <v>87.81</v>
      </c>
      <c r="N8970" t="s">
        <v>10236</v>
      </c>
    </row>
    <row r="8971" spans="1:14">
      <c r="A8971" t="s">
        <v>29</v>
      </c>
      <c r="B8971" t="s">
        <v>8937</v>
      </c>
      <c r="C8971">
        <f>"LS60R"</f>
        <v>0</v>
      </c>
      <c r="D8971">
        <v>0</v>
      </c>
      <c r="E8971">
        <v>0</v>
      </c>
      <c r="F8971" s="2">
        <v>0</v>
      </c>
      <c r="H8971">
        <v>0</v>
      </c>
      <c r="I8971">
        <v>0.1741125760648204</v>
      </c>
      <c r="J8971">
        <v>0</v>
      </c>
      <c r="K8971">
        <v>0</v>
      </c>
      <c r="L8971" s="2">
        <v>0</v>
      </c>
      <c r="M8971">
        <v>87.81999999999999</v>
      </c>
      <c r="N8971" t="s">
        <v>10236</v>
      </c>
    </row>
    <row r="8972" spans="1:14">
      <c r="A8972" t="s">
        <v>35</v>
      </c>
      <c r="B8972" t="s">
        <v>8938</v>
      </c>
      <c r="C8972">
        <f>"PT0866"</f>
        <v>0</v>
      </c>
      <c r="D8972">
        <v>0</v>
      </c>
      <c r="E8972">
        <v>0</v>
      </c>
      <c r="F8972" s="2">
        <v>0</v>
      </c>
      <c r="H8972">
        <v>0</v>
      </c>
      <c r="I8972">
        <v>0.1741125760648204</v>
      </c>
      <c r="J8972">
        <v>0</v>
      </c>
      <c r="K8972">
        <v>0</v>
      </c>
      <c r="L8972" s="2">
        <v>0</v>
      </c>
      <c r="M8972">
        <v>87.83</v>
      </c>
      <c r="N8972" t="s">
        <v>10236</v>
      </c>
    </row>
    <row r="8973" spans="1:14">
      <c r="A8973" t="s">
        <v>195</v>
      </c>
      <c r="B8973" t="s">
        <v>8939</v>
      </c>
      <c r="C8973">
        <f>"25002309"</f>
        <v>0</v>
      </c>
      <c r="D8973">
        <v>0</v>
      </c>
      <c r="E8973">
        <v>0</v>
      </c>
      <c r="F8973" s="2">
        <v>0</v>
      </c>
      <c r="H8973">
        <v>0</v>
      </c>
      <c r="I8973">
        <v>0.1741125760648204</v>
      </c>
      <c r="J8973">
        <v>0</v>
      </c>
      <c r="K8973">
        <v>0</v>
      </c>
      <c r="L8973" s="2">
        <v>0</v>
      </c>
      <c r="M8973">
        <v>87.84</v>
      </c>
      <c r="N8973" t="s">
        <v>10236</v>
      </c>
    </row>
    <row r="8974" spans="1:14">
      <c r="A8974" t="s">
        <v>29</v>
      </c>
      <c r="B8974" t="s">
        <v>8940</v>
      </c>
      <c r="C8974">
        <f>"LS30R"</f>
        <v>0</v>
      </c>
      <c r="D8974">
        <v>0</v>
      </c>
      <c r="E8974">
        <v>2</v>
      </c>
      <c r="F8974" s="2">
        <v>2</v>
      </c>
      <c r="H8974">
        <v>0</v>
      </c>
      <c r="I8974">
        <v>0.1741125760648204</v>
      </c>
      <c r="J8974">
        <v>0</v>
      </c>
      <c r="K8974">
        <v>0</v>
      </c>
      <c r="L8974" s="2">
        <v>0</v>
      </c>
      <c r="M8974">
        <v>87.84999999999999</v>
      </c>
      <c r="N8974" t="s">
        <v>10236</v>
      </c>
    </row>
    <row r="8975" spans="1:14">
      <c r="A8975" t="s">
        <v>29</v>
      </c>
      <c r="B8975" t="s">
        <v>8941</v>
      </c>
      <c r="C8975">
        <f>"LS30B"</f>
        <v>0</v>
      </c>
      <c r="D8975">
        <v>0</v>
      </c>
      <c r="E8975">
        <v>0</v>
      </c>
      <c r="F8975" s="2">
        <v>0</v>
      </c>
      <c r="H8975">
        <v>0</v>
      </c>
      <c r="I8975">
        <v>0.1741125760648204</v>
      </c>
      <c r="J8975">
        <v>0</v>
      </c>
      <c r="K8975">
        <v>0</v>
      </c>
      <c r="L8975" s="2">
        <v>0</v>
      </c>
      <c r="M8975">
        <v>87.86</v>
      </c>
      <c r="N8975" t="s">
        <v>10236</v>
      </c>
    </row>
    <row r="8976" spans="1:14">
      <c r="A8976" t="s">
        <v>29</v>
      </c>
      <c r="B8976" t="s">
        <v>8942</v>
      </c>
      <c r="C8976">
        <f>"LS30A"</f>
        <v>0</v>
      </c>
      <c r="D8976">
        <v>0</v>
      </c>
      <c r="E8976">
        <v>0</v>
      </c>
      <c r="F8976" s="2">
        <v>0</v>
      </c>
      <c r="H8976">
        <v>0</v>
      </c>
      <c r="I8976">
        <v>0.1741125760648204</v>
      </c>
      <c r="J8976">
        <v>0</v>
      </c>
      <c r="K8976">
        <v>0</v>
      </c>
      <c r="L8976" s="2">
        <v>0</v>
      </c>
      <c r="M8976">
        <v>87.86</v>
      </c>
      <c r="N8976" t="s">
        <v>10236</v>
      </c>
    </row>
    <row r="8977" spans="1:14">
      <c r="A8977" t="s">
        <v>29</v>
      </c>
      <c r="B8977" t="s">
        <v>8943</v>
      </c>
      <c r="C8977">
        <f>"LS30P"</f>
        <v>0</v>
      </c>
      <c r="D8977">
        <v>0</v>
      </c>
      <c r="E8977">
        <v>0</v>
      </c>
      <c r="F8977" s="2">
        <v>0</v>
      </c>
      <c r="H8977">
        <v>0</v>
      </c>
      <c r="I8977">
        <v>0.1741125760648204</v>
      </c>
      <c r="J8977">
        <v>0</v>
      </c>
      <c r="K8977">
        <v>0</v>
      </c>
      <c r="L8977" s="2">
        <v>0</v>
      </c>
      <c r="M8977">
        <v>87.87</v>
      </c>
      <c r="N8977" t="s">
        <v>10236</v>
      </c>
    </row>
    <row r="8978" spans="1:14">
      <c r="A8978" t="s">
        <v>29</v>
      </c>
      <c r="B8978" t="s">
        <v>8944</v>
      </c>
      <c r="C8978">
        <f>"AS017S"</f>
        <v>0</v>
      </c>
      <c r="D8978">
        <v>0</v>
      </c>
      <c r="E8978">
        <v>0</v>
      </c>
      <c r="F8978" s="2">
        <v>0</v>
      </c>
      <c r="H8978">
        <v>0</v>
      </c>
      <c r="I8978">
        <v>0.1741125760648204</v>
      </c>
      <c r="J8978">
        <v>0</v>
      </c>
      <c r="K8978">
        <v>0</v>
      </c>
      <c r="L8978" s="2">
        <v>0</v>
      </c>
      <c r="M8978">
        <v>87.88</v>
      </c>
      <c r="N8978" t="s">
        <v>10236</v>
      </c>
    </row>
    <row r="8979" spans="1:14">
      <c r="A8979" t="s">
        <v>35</v>
      </c>
      <c r="B8979" t="s">
        <v>8945</v>
      </c>
      <c r="C8979">
        <f>"FB870XSV"</f>
        <v>0</v>
      </c>
      <c r="D8979">
        <v>0</v>
      </c>
      <c r="E8979">
        <v>0</v>
      </c>
      <c r="F8979" s="2">
        <v>0</v>
      </c>
      <c r="H8979">
        <v>0</v>
      </c>
      <c r="I8979">
        <v>0.1741125760648204</v>
      </c>
      <c r="J8979">
        <v>0</v>
      </c>
      <c r="K8979">
        <v>0</v>
      </c>
      <c r="L8979" s="2">
        <v>0</v>
      </c>
      <c r="M8979">
        <v>87.89</v>
      </c>
      <c r="N8979" t="s">
        <v>10236</v>
      </c>
    </row>
    <row r="8980" spans="1:14">
      <c r="A8980" t="s">
        <v>35</v>
      </c>
      <c r="B8980" t="s">
        <v>8946</v>
      </c>
      <c r="C8980">
        <f>"FB870XSCEL"</f>
        <v>0</v>
      </c>
      <c r="D8980">
        <v>0</v>
      </c>
      <c r="E8980">
        <v>0</v>
      </c>
      <c r="F8980" s="2">
        <v>0</v>
      </c>
      <c r="H8980">
        <v>0</v>
      </c>
      <c r="I8980">
        <v>0.1741125760648204</v>
      </c>
      <c r="J8980">
        <v>0</v>
      </c>
      <c r="K8980">
        <v>0</v>
      </c>
      <c r="L8980" s="2">
        <v>0</v>
      </c>
      <c r="M8980">
        <v>87.90000000000001</v>
      </c>
      <c r="N8980" t="s">
        <v>10236</v>
      </c>
    </row>
    <row r="8981" spans="1:14">
      <c r="A8981" t="s">
        <v>35</v>
      </c>
      <c r="B8981" t="s">
        <v>8947</v>
      </c>
      <c r="C8981">
        <f>"T120"</f>
        <v>0</v>
      </c>
      <c r="D8981">
        <v>0</v>
      </c>
      <c r="E8981">
        <v>0</v>
      </c>
      <c r="F8981" s="2">
        <v>0</v>
      </c>
      <c r="H8981">
        <v>0</v>
      </c>
      <c r="I8981">
        <v>0.1741125760648204</v>
      </c>
      <c r="J8981">
        <v>0</v>
      </c>
      <c r="K8981">
        <v>0</v>
      </c>
      <c r="L8981" s="2">
        <v>0</v>
      </c>
      <c r="M8981">
        <v>87.91</v>
      </c>
      <c r="N8981" t="s">
        <v>10236</v>
      </c>
    </row>
    <row r="8982" spans="1:14">
      <c r="A8982" t="s">
        <v>222</v>
      </c>
      <c r="B8982" t="s">
        <v>8948</v>
      </c>
      <c r="C8982">
        <f>"GMFS20"</f>
        <v>0</v>
      </c>
      <c r="D8982">
        <v>0</v>
      </c>
      <c r="E8982">
        <v>1</v>
      </c>
      <c r="F8982" s="2">
        <v>18</v>
      </c>
      <c r="H8982">
        <v>0</v>
      </c>
      <c r="I8982">
        <v>0.1741125760648204</v>
      </c>
      <c r="J8982">
        <v>0</v>
      </c>
      <c r="K8982">
        <v>0</v>
      </c>
      <c r="L8982" s="2">
        <v>0</v>
      </c>
      <c r="M8982">
        <v>87.92</v>
      </c>
      <c r="N8982" t="s">
        <v>10236</v>
      </c>
    </row>
    <row r="8983" spans="1:14">
      <c r="A8983" t="s">
        <v>222</v>
      </c>
      <c r="B8983" t="s">
        <v>8949</v>
      </c>
      <c r="C8983">
        <f>"GMFM18"</f>
        <v>0</v>
      </c>
      <c r="D8983">
        <v>0</v>
      </c>
      <c r="E8983">
        <v>2</v>
      </c>
      <c r="F8983" s="2">
        <v>20</v>
      </c>
      <c r="H8983">
        <v>0</v>
      </c>
      <c r="I8983">
        <v>0.1741125760648204</v>
      </c>
      <c r="J8983">
        <v>0</v>
      </c>
      <c r="K8983">
        <v>0</v>
      </c>
      <c r="L8983" s="2">
        <v>0</v>
      </c>
      <c r="M8983">
        <v>87.93000000000001</v>
      </c>
      <c r="N8983" t="s">
        <v>10236</v>
      </c>
    </row>
    <row r="8984" spans="1:14">
      <c r="A8984" t="s">
        <v>222</v>
      </c>
      <c r="B8984" t="s">
        <v>8950</v>
      </c>
      <c r="C8984">
        <f>"GMFL18"</f>
        <v>0</v>
      </c>
      <c r="D8984">
        <v>0</v>
      </c>
      <c r="E8984">
        <v>1</v>
      </c>
      <c r="F8984" s="2">
        <v>21</v>
      </c>
      <c r="H8984">
        <v>0</v>
      </c>
      <c r="I8984">
        <v>0.1741125760648204</v>
      </c>
      <c r="J8984">
        <v>0</v>
      </c>
      <c r="K8984">
        <v>0</v>
      </c>
      <c r="L8984" s="2">
        <v>0</v>
      </c>
      <c r="M8984">
        <v>87.94</v>
      </c>
      <c r="N8984" t="s">
        <v>10236</v>
      </c>
    </row>
    <row r="8985" spans="1:14">
      <c r="A8985" t="s">
        <v>222</v>
      </c>
      <c r="B8985" t="s">
        <v>8951</v>
      </c>
      <c r="C8985">
        <f>"GHS19"</f>
        <v>0</v>
      </c>
      <c r="D8985">
        <v>0</v>
      </c>
      <c r="E8985">
        <v>1</v>
      </c>
      <c r="F8985" s="2">
        <v>18</v>
      </c>
      <c r="H8985">
        <v>0</v>
      </c>
      <c r="I8985">
        <v>0.1741125760648204</v>
      </c>
      <c r="J8985">
        <v>0</v>
      </c>
      <c r="K8985">
        <v>0</v>
      </c>
      <c r="L8985" s="2">
        <v>0</v>
      </c>
      <c r="M8985">
        <v>87.95</v>
      </c>
      <c r="N8985" t="s">
        <v>10236</v>
      </c>
    </row>
    <row r="8986" spans="1:14">
      <c r="A8986" t="s">
        <v>222</v>
      </c>
      <c r="B8986" t="s">
        <v>8952</v>
      </c>
      <c r="C8986">
        <f>"GHM19"</f>
        <v>0</v>
      </c>
      <c r="D8986">
        <v>0</v>
      </c>
      <c r="E8986">
        <v>2</v>
      </c>
      <c r="F8986" s="2">
        <v>20</v>
      </c>
      <c r="H8986">
        <v>0</v>
      </c>
      <c r="I8986">
        <v>0.1741125760648204</v>
      </c>
      <c r="J8986">
        <v>0</v>
      </c>
      <c r="K8986">
        <v>0</v>
      </c>
      <c r="L8986" s="2">
        <v>0</v>
      </c>
      <c r="M8986">
        <v>87.95999999999999</v>
      </c>
      <c r="N8986" t="s">
        <v>10236</v>
      </c>
    </row>
    <row r="8987" spans="1:14">
      <c r="A8987" t="s">
        <v>222</v>
      </c>
      <c r="B8987" t="s">
        <v>8953</v>
      </c>
      <c r="C8987">
        <f>"GHL19"</f>
        <v>0</v>
      </c>
      <c r="D8987">
        <v>0</v>
      </c>
      <c r="E8987">
        <v>1</v>
      </c>
      <c r="F8987" s="2">
        <v>21</v>
      </c>
      <c r="H8987">
        <v>0</v>
      </c>
      <c r="I8987">
        <v>0.1741125760648204</v>
      </c>
      <c r="J8987">
        <v>0</v>
      </c>
      <c r="K8987">
        <v>0</v>
      </c>
      <c r="L8987" s="2">
        <v>0</v>
      </c>
      <c r="M8987">
        <v>87.97</v>
      </c>
      <c r="N8987" t="s">
        <v>10236</v>
      </c>
    </row>
    <row r="8988" spans="1:14">
      <c r="A8988" t="s">
        <v>222</v>
      </c>
      <c r="B8988" t="s">
        <v>8954</v>
      </c>
      <c r="C8988">
        <f>"GGS20"</f>
        <v>0</v>
      </c>
      <c r="D8988">
        <v>0</v>
      </c>
      <c r="E8988">
        <v>1</v>
      </c>
      <c r="F8988" s="2">
        <v>18</v>
      </c>
      <c r="H8988">
        <v>0</v>
      </c>
      <c r="I8988">
        <v>0.1741125760648204</v>
      </c>
      <c r="J8988">
        <v>0</v>
      </c>
      <c r="K8988">
        <v>0</v>
      </c>
      <c r="L8988" s="2">
        <v>0</v>
      </c>
      <c r="M8988">
        <v>87.98</v>
      </c>
      <c r="N8988" t="s">
        <v>10236</v>
      </c>
    </row>
    <row r="8989" spans="1:14">
      <c r="A8989" t="s">
        <v>222</v>
      </c>
      <c r="B8989" t="s">
        <v>8955</v>
      </c>
      <c r="C8989">
        <f>"GGM20"</f>
        <v>0</v>
      </c>
      <c r="D8989">
        <v>0</v>
      </c>
      <c r="E8989">
        <v>1</v>
      </c>
      <c r="F8989" s="2">
        <v>20</v>
      </c>
      <c r="H8989">
        <v>0</v>
      </c>
      <c r="I8989">
        <v>0.1741125760648204</v>
      </c>
      <c r="J8989">
        <v>0</v>
      </c>
      <c r="K8989">
        <v>0</v>
      </c>
      <c r="L8989" s="2">
        <v>0</v>
      </c>
      <c r="M8989">
        <v>87.98</v>
      </c>
      <c r="N8989" t="s">
        <v>10236</v>
      </c>
    </row>
    <row r="8990" spans="1:14">
      <c r="A8990" t="s">
        <v>222</v>
      </c>
      <c r="B8990" t="s">
        <v>8956</v>
      </c>
      <c r="C8990">
        <f>"GGL20"</f>
        <v>0</v>
      </c>
      <c r="D8990">
        <v>0</v>
      </c>
      <c r="E8990">
        <v>1</v>
      </c>
      <c r="F8990" s="2">
        <v>21</v>
      </c>
      <c r="H8990">
        <v>0</v>
      </c>
      <c r="I8990">
        <v>0.1741125760648204</v>
      </c>
      <c r="J8990">
        <v>0</v>
      </c>
      <c r="K8990">
        <v>0</v>
      </c>
      <c r="L8990" s="2">
        <v>0</v>
      </c>
      <c r="M8990">
        <v>87.98999999999999</v>
      </c>
      <c r="N8990" t="s">
        <v>10236</v>
      </c>
    </row>
    <row r="8991" spans="1:14">
      <c r="A8991" t="s">
        <v>35</v>
      </c>
      <c r="B8991" t="s">
        <v>8957</v>
      </c>
      <c r="C8991">
        <f>"FB870VE"</f>
        <v>0</v>
      </c>
      <c r="D8991">
        <v>0</v>
      </c>
      <c r="E8991">
        <v>0</v>
      </c>
      <c r="F8991" s="2">
        <v>0</v>
      </c>
      <c r="H8991">
        <v>0</v>
      </c>
      <c r="I8991">
        <v>0.1741125760648204</v>
      </c>
      <c r="J8991">
        <v>0</v>
      </c>
      <c r="K8991">
        <v>0</v>
      </c>
      <c r="L8991" s="2">
        <v>0</v>
      </c>
      <c r="M8991">
        <v>88</v>
      </c>
      <c r="N8991" t="s">
        <v>10236</v>
      </c>
    </row>
    <row r="8992" spans="1:14">
      <c r="A8992" t="s">
        <v>35</v>
      </c>
      <c r="B8992" t="s">
        <v>8958</v>
      </c>
      <c r="C8992">
        <f>"FB870LCEL"</f>
        <v>0</v>
      </c>
      <c r="D8992">
        <v>0</v>
      </c>
      <c r="E8992">
        <v>0</v>
      </c>
      <c r="F8992" s="2">
        <v>0</v>
      </c>
      <c r="H8992">
        <v>0</v>
      </c>
      <c r="I8992">
        <v>0.1741125760648204</v>
      </c>
      <c r="J8992">
        <v>0</v>
      </c>
      <c r="K8992">
        <v>0</v>
      </c>
      <c r="L8992" s="2">
        <v>0</v>
      </c>
      <c r="M8992">
        <v>88.01000000000001</v>
      </c>
      <c r="N8992" t="s">
        <v>10236</v>
      </c>
    </row>
    <row r="8993" spans="1:14">
      <c r="A8993" t="s">
        <v>35</v>
      </c>
      <c r="B8993" t="s">
        <v>8959</v>
      </c>
      <c r="C8993">
        <f>"BPP2"</f>
        <v>0</v>
      </c>
      <c r="D8993">
        <v>0</v>
      </c>
      <c r="E8993">
        <v>0</v>
      </c>
      <c r="F8993" s="2">
        <v>0</v>
      </c>
      <c r="H8993">
        <v>0</v>
      </c>
      <c r="I8993">
        <v>0.1741125760648204</v>
      </c>
      <c r="J8993">
        <v>0</v>
      </c>
      <c r="K8993">
        <v>0</v>
      </c>
      <c r="L8993" s="2">
        <v>0</v>
      </c>
      <c r="M8993">
        <v>88.02</v>
      </c>
      <c r="N8993" t="s">
        <v>10236</v>
      </c>
    </row>
    <row r="8994" spans="1:14">
      <c r="A8994" t="s">
        <v>25</v>
      </c>
      <c r="B8994" t="s">
        <v>8960</v>
      </c>
      <c r="C8994">
        <f>"RJ186"</f>
        <v>0</v>
      </c>
      <c r="D8994">
        <v>0</v>
      </c>
      <c r="E8994">
        <v>0</v>
      </c>
      <c r="F8994" s="2">
        <v>0</v>
      </c>
      <c r="H8994">
        <v>0</v>
      </c>
      <c r="I8994">
        <v>0.1741125760648204</v>
      </c>
      <c r="J8994">
        <v>0</v>
      </c>
      <c r="K8994">
        <v>0</v>
      </c>
      <c r="L8994" s="2">
        <v>0</v>
      </c>
      <c r="M8994">
        <v>88.03</v>
      </c>
      <c r="N8994" t="s">
        <v>10236</v>
      </c>
    </row>
    <row r="8995" spans="1:14">
      <c r="A8995" t="s">
        <v>25</v>
      </c>
      <c r="B8995" t="s">
        <v>8961</v>
      </c>
      <c r="C8995">
        <f>"S401"</f>
        <v>0</v>
      </c>
      <c r="D8995">
        <v>0</v>
      </c>
      <c r="E8995">
        <v>1</v>
      </c>
      <c r="F8995" s="2">
        <v>1</v>
      </c>
      <c r="H8995">
        <v>0</v>
      </c>
      <c r="I8995">
        <v>0.1741125760648204</v>
      </c>
      <c r="J8995">
        <v>0</v>
      </c>
      <c r="K8995">
        <v>0</v>
      </c>
      <c r="L8995" s="2">
        <v>0</v>
      </c>
      <c r="M8995">
        <v>88.04000000000001</v>
      </c>
      <c r="N8995" t="s">
        <v>10236</v>
      </c>
    </row>
    <row r="8996" spans="1:14">
      <c r="A8996" t="s">
        <v>25</v>
      </c>
      <c r="B8996" t="s">
        <v>8962</v>
      </c>
      <c r="C8996">
        <f>"S402AVE"</f>
        <v>0</v>
      </c>
      <c r="D8996">
        <v>0</v>
      </c>
      <c r="E8996">
        <v>4</v>
      </c>
      <c r="F8996" s="2">
        <v>3</v>
      </c>
      <c r="H8996">
        <v>0</v>
      </c>
      <c r="I8996">
        <v>0.1741125760648204</v>
      </c>
      <c r="J8996">
        <v>0</v>
      </c>
      <c r="K8996">
        <v>0</v>
      </c>
      <c r="L8996" s="2">
        <v>0</v>
      </c>
      <c r="M8996">
        <v>88.05</v>
      </c>
      <c r="N8996" t="s">
        <v>10236</v>
      </c>
    </row>
    <row r="8997" spans="1:14">
      <c r="A8997" t="s">
        <v>203</v>
      </c>
      <c r="B8997" t="s">
        <v>8963</v>
      </c>
      <c r="C8997">
        <f>"758025"</f>
        <v>0</v>
      </c>
      <c r="D8997">
        <v>0</v>
      </c>
      <c r="E8997">
        <v>0</v>
      </c>
      <c r="F8997" s="2">
        <v>0</v>
      </c>
      <c r="H8997">
        <v>0</v>
      </c>
      <c r="I8997">
        <v>0.1741125760648204</v>
      </c>
      <c r="J8997">
        <v>0</v>
      </c>
      <c r="K8997">
        <v>0</v>
      </c>
      <c r="L8997" s="2">
        <v>0</v>
      </c>
      <c r="M8997">
        <v>88.06</v>
      </c>
      <c r="N8997" t="s">
        <v>10236</v>
      </c>
    </row>
    <row r="8998" spans="1:14">
      <c r="A8998" t="s">
        <v>203</v>
      </c>
      <c r="B8998" t="s">
        <v>8964</v>
      </c>
      <c r="C8998">
        <f>"758015"</f>
        <v>0</v>
      </c>
      <c r="D8998">
        <v>0</v>
      </c>
      <c r="E8998">
        <v>0</v>
      </c>
      <c r="F8998" s="2">
        <v>0</v>
      </c>
      <c r="H8998">
        <v>0</v>
      </c>
      <c r="I8998">
        <v>0.1741125760648204</v>
      </c>
      <c r="J8998">
        <v>0</v>
      </c>
      <c r="K8998">
        <v>0</v>
      </c>
      <c r="L8998" s="2">
        <v>0</v>
      </c>
      <c r="M8998">
        <v>88.06999999999999</v>
      </c>
      <c r="N8998" t="s">
        <v>10236</v>
      </c>
    </row>
    <row r="8999" spans="1:14">
      <c r="A8999" t="s">
        <v>203</v>
      </c>
      <c r="B8999" t="s">
        <v>8965</v>
      </c>
      <c r="C8999">
        <f>"756625"</f>
        <v>0</v>
      </c>
      <c r="D8999">
        <v>0</v>
      </c>
      <c r="E8999">
        <v>0</v>
      </c>
      <c r="F8999" s="2">
        <v>0</v>
      </c>
      <c r="H8999">
        <v>0</v>
      </c>
      <c r="I8999">
        <v>0.1741125760648204</v>
      </c>
      <c r="J8999">
        <v>0</v>
      </c>
      <c r="K8999">
        <v>0</v>
      </c>
      <c r="L8999" s="2">
        <v>0</v>
      </c>
      <c r="M8999">
        <v>88.08</v>
      </c>
      <c r="N8999" t="s">
        <v>10236</v>
      </c>
    </row>
    <row r="9000" spans="1:14">
      <c r="A9000" t="s">
        <v>35</v>
      </c>
      <c r="B9000" t="s">
        <v>8966</v>
      </c>
      <c r="C9000">
        <f>"XB09071AM"</f>
        <v>0</v>
      </c>
      <c r="D9000">
        <v>0</v>
      </c>
      <c r="E9000">
        <v>3</v>
      </c>
      <c r="F9000" s="2">
        <v>5</v>
      </c>
      <c r="H9000">
        <v>0</v>
      </c>
      <c r="I9000">
        <v>0.1741125760648204</v>
      </c>
      <c r="J9000">
        <v>0</v>
      </c>
      <c r="K9000">
        <v>0</v>
      </c>
      <c r="L9000" s="2">
        <v>0</v>
      </c>
      <c r="M9000">
        <v>88.09</v>
      </c>
      <c r="N9000" t="s">
        <v>10236</v>
      </c>
    </row>
    <row r="9001" spans="1:14">
      <c r="A9001" t="s">
        <v>203</v>
      </c>
      <c r="B9001" t="s">
        <v>8967</v>
      </c>
      <c r="C9001">
        <f>"756605"</f>
        <v>0</v>
      </c>
      <c r="D9001">
        <v>0</v>
      </c>
      <c r="E9001">
        <v>0</v>
      </c>
      <c r="F9001" s="2">
        <v>0</v>
      </c>
      <c r="H9001">
        <v>0</v>
      </c>
      <c r="I9001">
        <v>0.1741125760648204</v>
      </c>
      <c r="J9001">
        <v>0</v>
      </c>
      <c r="K9001">
        <v>0</v>
      </c>
      <c r="L9001" s="2">
        <v>0</v>
      </c>
      <c r="M9001">
        <v>88.09</v>
      </c>
      <c r="N9001" t="s">
        <v>10236</v>
      </c>
    </row>
    <row r="9002" spans="1:14">
      <c r="A9002" t="s">
        <v>203</v>
      </c>
      <c r="B9002" t="s">
        <v>8968</v>
      </c>
      <c r="C9002">
        <f>"758715"</f>
        <v>0</v>
      </c>
      <c r="D9002">
        <v>0</v>
      </c>
      <c r="E9002">
        <v>1</v>
      </c>
      <c r="F9002" s="2">
        <v>17</v>
      </c>
      <c r="H9002">
        <v>0</v>
      </c>
      <c r="I9002">
        <v>0.1741125760648204</v>
      </c>
      <c r="J9002">
        <v>0</v>
      </c>
      <c r="K9002">
        <v>0</v>
      </c>
      <c r="L9002" s="2">
        <v>0</v>
      </c>
      <c r="M9002">
        <v>88.09999999999999</v>
      </c>
      <c r="N9002" t="s">
        <v>10236</v>
      </c>
    </row>
    <row r="9003" spans="1:14">
      <c r="A9003" t="s">
        <v>194</v>
      </c>
      <c r="B9003" t="s">
        <v>8969</v>
      </c>
      <c r="C9003">
        <f>"L15C"</f>
        <v>0</v>
      </c>
      <c r="D9003">
        <v>0</v>
      </c>
      <c r="E9003">
        <v>1</v>
      </c>
      <c r="F9003" s="2">
        <v>24</v>
      </c>
      <c r="H9003">
        <v>0</v>
      </c>
      <c r="I9003">
        <v>0.1741125760648204</v>
      </c>
      <c r="J9003">
        <v>0</v>
      </c>
      <c r="K9003">
        <v>0</v>
      </c>
      <c r="L9003" s="2">
        <v>0</v>
      </c>
      <c r="M9003">
        <v>88.11</v>
      </c>
      <c r="N9003" t="s">
        <v>10236</v>
      </c>
    </row>
    <row r="9004" spans="1:14">
      <c r="A9004" t="s">
        <v>194</v>
      </c>
      <c r="B9004" t="s">
        <v>8970</v>
      </c>
      <c r="C9004">
        <f>"L101C"</f>
        <v>0</v>
      </c>
      <c r="D9004">
        <v>0</v>
      </c>
      <c r="E9004">
        <v>0</v>
      </c>
      <c r="F9004" s="2">
        <v>0</v>
      </c>
      <c r="H9004">
        <v>0</v>
      </c>
      <c r="I9004">
        <v>0.1741125760648204</v>
      </c>
      <c r="J9004">
        <v>0</v>
      </c>
      <c r="K9004">
        <v>0</v>
      </c>
      <c r="L9004" s="2">
        <v>0</v>
      </c>
      <c r="M9004">
        <v>88.12</v>
      </c>
      <c r="N9004" t="s">
        <v>10236</v>
      </c>
    </row>
    <row r="9005" spans="1:14">
      <c r="A9005" t="s">
        <v>194</v>
      </c>
      <c r="B9005" t="s">
        <v>8971</v>
      </c>
      <c r="C9005">
        <f>"1500101"</f>
        <v>0</v>
      </c>
      <c r="D9005">
        <v>0</v>
      </c>
      <c r="E9005">
        <v>0</v>
      </c>
      <c r="F9005" s="2">
        <v>0</v>
      </c>
      <c r="H9005">
        <v>0</v>
      </c>
      <c r="I9005">
        <v>0.1741125760648204</v>
      </c>
      <c r="J9005">
        <v>0</v>
      </c>
      <c r="K9005">
        <v>0</v>
      </c>
      <c r="L9005" s="2">
        <v>0</v>
      </c>
      <c r="M9005">
        <v>88.13</v>
      </c>
      <c r="N9005" t="s">
        <v>10236</v>
      </c>
    </row>
    <row r="9006" spans="1:14">
      <c r="A9006" t="s">
        <v>203</v>
      </c>
      <c r="B9006" t="s">
        <v>8972</v>
      </c>
      <c r="C9006">
        <f>"756445"</f>
        <v>0</v>
      </c>
      <c r="D9006">
        <v>0</v>
      </c>
      <c r="E9006">
        <v>0</v>
      </c>
      <c r="F9006" s="2">
        <v>0</v>
      </c>
      <c r="H9006">
        <v>0</v>
      </c>
      <c r="I9006">
        <v>0.1741125760648204</v>
      </c>
      <c r="J9006">
        <v>0</v>
      </c>
      <c r="K9006">
        <v>0</v>
      </c>
      <c r="L9006" s="2">
        <v>0</v>
      </c>
      <c r="M9006">
        <v>88.14</v>
      </c>
      <c r="N9006" t="s">
        <v>10236</v>
      </c>
    </row>
    <row r="9007" spans="1:14">
      <c r="A9007" t="s">
        <v>203</v>
      </c>
      <c r="B9007" t="s">
        <v>8973</v>
      </c>
      <c r="C9007">
        <f>"756455"</f>
        <v>0</v>
      </c>
      <c r="D9007">
        <v>0</v>
      </c>
      <c r="E9007">
        <v>0</v>
      </c>
      <c r="F9007" s="2">
        <v>0</v>
      </c>
      <c r="H9007">
        <v>0</v>
      </c>
      <c r="I9007">
        <v>0.1741125760648204</v>
      </c>
      <c r="J9007">
        <v>0</v>
      </c>
      <c r="K9007">
        <v>0</v>
      </c>
      <c r="L9007" s="2">
        <v>0</v>
      </c>
      <c r="M9007">
        <v>88.15000000000001</v>
      </c>
      <c r="N9007" t="s">
        <v>10236</v>
      </c>
    </row>
    <row r="9008" spans="1:14">
      <c r="A9008" t="s">
        <v>203</v>
      </c>
      <c r="B9008" t="s">
        <v>8974</v>
      </c>
      <c r="C9008">
        <f>"758515"</f>
        <v>0</v>
      </c>
      <c r="D9008">
        <v>0</v>
      </c>
      <c r="E9008">
        <v>0</v>
      </c>
      <c r="F9008" s="2">
        <v>0</v>
      </c>
      <c r="H9008">
        <v>0</v>
      </c>
      <c r="I9008">
        <v>0.1741125760648204</v>
      </c>
      <c r="J9008">
        <v>0</v>
      </c>
      <c r="K9008">
        <v>0</v>
      </c>
      <c r="L9008" s="2">
        <v>0</v>
      </c>
      <c r="M9008">
        <v>88.16</v>
      </c>
      <c r="N9008" t="s">
        <v>10236</v>
      </c>
    </row>
    <row r="9009" spans="1:14">
      <c r="A9009" t="s">
        <v>35</v>
      </c>
      <c r="B9009" t="s">
        <v>8975</v>
      </c>
      <c r="C9009">
        <f>"FB870LB"</f>
        <v>0</v>
      </c>
      <c r="D9009">
        <v>0</v>
      </c>
      <c r="E9009">
        <v>0</v>
      </c>
      <c r="F9009" s="2">
        <v>0</v>
      </c>
      <c r="H9009">
        <v>0</v>
      </c>
      <c r="I9009">
        <v>0.1741125760648204</v>
      </c>
      <c r="J9009">
        <v>0</v>
      </c>
      <c r="K9009">
        <v>0</v>
      </c>
      <c r="L9009" s="2">
        <v>0</v>
      </c>
      <c r="M9009">
        <v>88.17</v>
      </c>
      <c r="N9009" t="s">
        <v>10236</v>
      </c>
    </row>
    <row r="9010" spans="1:14">
      <c r="A9010" t="s">
        <v>35</v>
      </c>
      <c r="B9010" t="s">
        <v>8976</v>
      </c>
      <c r="C9010">
        <f>"BPP1"</f>
        <v>0</v>
      </c>
      <c r="D9010">
        <v>0</v>
      </c>
      <c r="E9010">
        <v>0</v>
      </c>
      <c r="F9010" s="2">
        <v>0</v>
      </c>
      <c r="H9010">
        <v>0</v>
      </c>
      <c r="I9010">
        <v>0.1741125760648204</v>
      </c>
      <c r="J9010">
        <v>0</v>
      </c>
      <c r="K9010">
        <v>0</v>
      </c>
      <c r="L9010" s="2">
        <v>0</v>
      </c>
      <c r="M9010">
        <v>88.18000000000001</v>
      </c>
      <c r="N9010" t="s">
        <v>10236</v>
      </c>
    </row>
    <row r="9011" spans="1:14">
      <c r="A9011" t="s">
        <v>35</v>
      </c>
      <c r="B9011" t="s">
        <v>8977</v>
      </c>
      <c r="C9011">
        <f>"T032"</f>
        <v>0</v>
      </c>
      <c r="D9011">
        <v>0</v>
      </c>
      <c r="E9011">
        <v>0</v>
      </c>
      <c r="F9011" s="2">
        <v>0</v>
      </c>
      <c r="H9011">
        <v>0</v>
      </c>
      <c r="I9011">
        <v>0.1741125760648204</v>
      </c>
      <c r="J9011">
        <v>0</v>
      </c>
      <c r="K9011">
        <v>0</v>
      </c>
      <c r="L9011" s="2">
        <v>0</v>
      </c>
      <c r="M9011">
        <v>88.19</v>
      </c>
      <c r="N9011" t="s">
        <v>10236</v>
      </c>
    </row>
    <row r="9012" spans="1:14">
      <c r="A9012" t="s">
        <v>35</v>
      </c>
      <c r="B9012" t="s">
        <v>8978</v>
      </c>
      <c r="C9012">
        <f>"T031"</f>
        <v>0</v>
      </c>
      <c r="D9012">
        <v>0</v>
      </c>
      <c r="E9012">
        <v>1</v>
      </c>
      <c r="F9012" s="2">
        <v>4</v>
      </c>
      <c r="H9012">
        <v>0</v>
      </c>
      <c r="I9012">
        <v>0.1741125760648204</v>
      </c>
      <c r="J9012">
        <v>0</v>
      </c>
      <c r="K9012">
        <v>0</v>
      </c>
      <c r="L9012" s="2">
        <v>0</v>
      </c>
      <c r="M9012">
        <v>88.2</v>
      </c>
      <c r="N9012" t="s">
        <v>10236</v>
      </c>
    </row>
    <row r="9013" spans="1:14">
      <c r="A9013" t="s">
        <v>35</v>
      </c>
      <c r="B9013" t="s">
        <v>8979</v>
      </c>
      <c r="C9013">
        <f>"T034"</f>
        <v>0</v>
      </c>
      <c r="D9013">
        <v>0</v>
      </c>
      <c r="E9013">
        <v>0</v>
      </c>
      <c r="F9013" s="2">
        <v>0</v>
      </c>
      <c r="H9013">
        <v>0</v>
      </c>
      <c r="I9013">
        <v>0.1741125760648204</v>
      </c>
      <c r="J9013">
        <v>0</v>
      </c>
      <c r="K9013">
        <v>0</v>
      </c>
      <c r="L9013" s="2">
        <v>0</v>
      </c>
      <c r="M9013">
        <v>88.20999999999999</v>
      </c>
      <c r="N9013" t="s">
        <v>10236</v>
      </c>
    </row>
    <row r="9014" spans="1:14">
      <c r="A9014" t="s">
        <v>35</v>
      </c>
      <c r="B9014" t="s">
        <v>8980</v>
      </c>
      <c r="C9014">
        <f>"T033"</f>
        <v>0</v>
      </c>
      <c r="D9014">
        <v>0</v>
      </c>
      <c r="E9014">
        <v>0</v>
      </c>
      <c r="F9014" s="2">
        <v>0</v>
      </c>
      <c r="H9014">
        <v>0</v>
      </c>
      <c r="I9014">
        <v>0.1741125760648204</v>
      </c>
      <c r="J9014">
        <v>0</v>
      </c>
      <c r="K9014">
        <v>0</v>
      </c>
      <c r="L9014" s="2">
        <v>0</v>
      </c>
      <c r="M9014">
        <v>88.20999999999999</v>
      </c>
      <c r="N9014" t="s">
        <v>10236</v>
      </c>
    </row>
    <row r="9015" spans="1:14">
      <c r="A9015" t="s">
        <v>223</v>
      </c>
      <c r="B9015" t="s">
        <v>8981</v>
      </c>
      <c r="C9015">
        <f>"5212120"</f>
        <v>0</v>
      </c>
      <c r="D9015">
        <v>0</v>
      </c>
      <c r="E9015">
        <v>0</v>
      </c>
      <c r="F9015" s="2">
        <v>0</v>
      </c>
      <c r="H9015">
        <v>0</v>
      </c>
      <c r="I9015">
        <v>0.1741125760648204</v>
      </c>
      <c r="J9015">
        <v>0</v>
      </c>
      <c r="K9015">
        <v>0</v>
      </c>
      <c r="L9015" s="2">
        <v>0</v>
      </c>
      <c r="M9015">
        <v>88.22</v>
      </c>
      <c r="N9015" t="s">
        <v>10236</v>
      </c>
    </row>
    <row r="9016" spans="1:14">
      <c r="A9016" t="s">
        <v>35</v>
      </c>
      <c r="B9016" t="s">
        <v>8982</v>
      </c>
      <c r="C9016">
        <f>"CW368"</f>
        <v>0</v>
      </c>
      <c r="D9016">
        <v>0</v>
      </c>
      <c r="E9016">
        <v>0</v>
      </c>
      <c r="F9016" s="2">
        <v>0</v>
      </c>
      <c r="H9016">
        <v>0</v>
      </c>
      <c r="I9016">
        <v>0.1741125760648204</v>
      </c>
      <c r="J9016">
        <v>0</v>
      </c>
      <c r="K9016">
        <v>0</v>
      </c>
      <c r="L9016" s="2">
        <v>0</v>
      </c>
      <c r="M9016">
        <v>88.23</v>
      </c>
      <c r="N9016" t="s">
        <v>10236</v>
      </c>
    </row>
    <row r="9017" spans="1:14">
      <c r="A9017" t="s">
        <v>35</v>
      </c>
      <c r="B9017" t="s">
        <v>8983</v>
      </c>
      <c r="C9017">
        <f>"KC6011VE"</f>
        <v>0</v>
      </c>
      <c r="D9017">
        <v>0</v>
      </c>
      <c r="E9017">
        <v>0</v>
      </c>
      <c r="F9017" s="2">
        <v>0</v>
      </c>
      <c r="H9017">
        <v>0</v>
      </c>
      <c r="I9017">
        <v>0.1741125760648204</v>
      </c>
      <c r="J9017">
        <v>0</v>
      </c>
      <c r="K9017">
        <v>0</v>
      </c>
      <c r="L9017" s="2">
        <v>0</v>
      </c>
      <c r="M9017">
        <v>88.23999999999999</v>
      </c>
      <c r="N9017" t="s">
        <v>10236</v>
      </c>
    </row>
    <row r="9018" spans="1:14">
      <c r="A9018" t="s">
        <v>35</v>
      </c>
      <c r="B9018" t="s">
        <v>8984</v>
      </c>
      <c r="C9018">
        <f>"KC6011ROJ"</f>
        <v>0</v>
      </c>
      <c r="D9018">
        <v>0</v>
      </c>
      <c r="E9018">
        <v>0</v>
      </c>
      <c r="F9018" s="2">
        <v>0</v>
      </c>
      <c r="H9018">
        <v>0</v>
      </c>
      <c r="I9018">
        <v>0.1741125760648204</v>
      </c>
      <c r="J9018">
        <v>0</v>
      </c>
      <c r="K9018">
        <v>0</v>
      </c>
      <c r="L9018" s="2">
        <v>0</v>
      </c>
      <c r="M9018">
        <v>88.25</v>
      </c>
      <c r="N9018" t="s">
        <v>10236</v>
      </c>
    </row>
    <row r="9019" spans="1:14">
      <c r="A9019" t="s">
        <v>195</v>
      </c>
      <c r="B9019" t="s">
        <v>8985</v>
      </c>
      <c r="C9019">
        <f>"25702513"</f>
        <v>0</v>
      </c>
      <c r="D9019">
        <v>0</v>
      </c>
      <c r="E9019">
        <v>0</v>
      </c>
      <c r="F9019" s="2">
        <v>0</v>
      </c>
      <c r="H9019">
        <v>0</v>
      </c>
      <c r="I9019">
        <v>0.1741125760648204</v>
      </c>
      <c r="J9019">
        <v>0</v>
      </c>
      <c r="K9019">
        <v>0</v>
      </c>
      <c r="L9019" s="2">
        <v>0</v>
      </c>
      <c r="M9019">
        <v>88.26000000000001</v>
      </c>
      <c r="N9019" t="s">
        <v>10236</v>
      </c>
    </row>
    <row r="9020" spans="1:14">
      <c r="A9020" t="s">
        <v>35</v>
      </c>
      <c r="B9020" t="s">
        <v>8986</v>
      </c>
      <c r="C9020">
        <f>"BD810S"</f>
        <v>0</v>
      </c>
      <c r="D9020">
        <v>0</v>
      </c>
      <c r="E9020">
        <v>0</v>
      </c>
      <c r="F9020" s="2">
        <v>0</v>
      </c>
      <c r="H9020">
        <v>0</v>
      </c>
      <c r="I9020">
        <v>0.1741125760648204</v>
      </c>
      <c r="J9020">
        <v>0</v>
      </c>
      <c r="K9020">
        <v>0</v>
      </c>
      <c r="L9020" s="2">
        <v>0</v>
      </c>
      <c r="M9020">
        <v>88.27</v>
      </c>
      <c r="N9020" t="s">
        <v>10236</v>
      </c>
    </row>
    <row r="9021" spans="1:14">
      <c r="A9021" t="s">
        <v>35</v>
      </c>
      <c r="B9021" t="s">
        <v>8987</v>
      </c>
      <c r="C9021">
        <f>"BD810L"</f>
        <v>0</v>
      </c>
      <c r="D9021">
        <v>0</v>
      </c>
      <c r="E9021">
        <v>0</v>
      </c>
      <c r="F9021" s="2">
        <v>0</v>
      </c>
      <c r="H9021">
        <v>0</v>
      </c>
      <c r="I9021">
        <v>0.1741125760648204</v>
      </c>
      <c r="J9021">
        <v>0</v>
      </c>
      <c r="K9021">
        <v>0</v>
      </c>
      <c r="L9021" s="2">
        <v>0</v>
      </c>
      <c r="M9021">
        <v>88.28</v>
      </c>
      <c r="N9021" t="s">
        <v>10236</v>
      </c>
    </row>
    <row r="9022" spans="1:14">
      <c r="A9022" t="s">
        <v>29</v>
      </c>
      <c r="B9022" t="s">
        <v>8988</v>
      </c>
      <c r="C9022">
        <f>"F301"</f>
        <v>0</v>
      </c>
      <c r="D9022">
        <v>0</v>
      </c>
      <c r="E9022">
        <v>0</v>
      </c>
      <c r="F9022" s="2">
        <v>0</v>
      </c>
      <c r="H9022">
        <v>0</v>
      </c>
      <c r="I9022">
        <v>0.1741125760648204</v>
      </c>
      <c r="J9022">
        <v>0</v>
      </c>
      <c r="K9022">
        <v>0</v>
      </c>
      <c r="L9022" s="2">
        <v>0</v>
      </c>
      <c r="M9022">
        <v>88.29000000000001</v>
      </c>
      <c r="N9022" t="s">
        <v>10236</v>
      </c>
    </row>
    <row r="9023" spans="1:14">
      <c r="A9023" t="s">
        <v>25</v>
      </c>
      <c r="B9023" t="s">
        <v>8989</v>
      </c>
      <c r="C9023">
        <f>"S402AMO"</f>
        <v>0</v>
      </c>
      <c r="D9023">
        <v>0</v>
      </c>
      <c r="E9023">
        <v>4</v>
      </c>
      <c r="F9023" s="2">
        <v>3</v>
      </c>
      <c r="H9023">
        <v>0</v>
      </c>
      <c r="I9023">
        <v>0.1741125760648204</v>
      </c>
      <c r="J9023">
        <v>0</v>
      </c>
      <c r="K9023">
        <v>0</v>
      </c>
      <c r="L9023" s="2">
        <v>0</v>
      </c>
      <c r="M9023">
        <v>88.3</v>
      </c>
      <c r="N9023" t="s">
        <v>10236</v>
      </c>
    </row>
    <row r="9024" spans="1:14">
      <c r="A9024" t="s">
        <v>25</v>
      </c>
      <c r="B9024" t="s">
        <v>8990</v>
      </c>
      <c r="C9024">
        <f>"S403A"</f>
        <v>0</v>
      </c>
      <c r="D9024">
        <v>0</v>
      </c>
      <c r="E9024">
        <v>0</v>
      </c>
      <c r="F9024" s="2">
        <v>0</v>
      </c>
      <c r="H9024">
        <v>0</v>
      </c>
      <c r="I9024">
        <v>0.1741125760648204</v>
      </c>
      <c r="J9024">
        <v>0</v>
      </c>
      <c r="K9024">
        <v>0</v>
      </c>
      <c r="L9024" s="2">
        <v>0</v>
      </c>
      <c r="M9024">
        <v>88.31</v>
      </c>
      <c r="N9024" t="s">
        <v>10236</v>
      </c>
    </row>
    <row r="9025" spans="1:14">
      <c r="A9025" t="s">
        <v>25</v>
      </c>
      <c r="B9025" t="s">
        <v>8991</v>
      </c>
      <c r="C9025">
        <f>"S401AAZ"</f>
        <v>0</v>
      </c>
      <c r="D9025">
        <v>0</v>
      </c>
      <c r="E9025">
        <v>2</v>
      </c>
      <c r="F9025" s="2">
        <v>1</v>
      </c>
      <c r="H9025">
        <v>0</v>
      </c>
      <c r="I9025">
        <v>0.1741125760648204</v>
      </c>
      <c r="J9025">
        <v>0</v>
      </c>
      <c r="K9025">
        <v>0</v>
      </c>
      <c r="L9025" s="2">
        <v>0</v>
      </c>
      <c r="M9025">
        <v>88.31999999999999</v>
      </c>
      <c r="N9025" t="s">
        <v>10236</v>
      </c>
    </row>
    <row r="9026" spans="1:14">
      <c r="A9026" t="s">
        <v>25</v>
      </c>
      <c r="B9026" t="s">
        <v>8992</v>
      </c>
      <c r="C9026">
        <f>"S401A"</f>
        <v>0</v>
      </c>
      <c r="D9026">
        <v>0</v>
      </c>
      <c r="E9026">
        <v>0</v>
      </c>
      <c r="F9026" s="2">
        <v>0</v>
      </c>
      <c r="H9026">
        <v>0</v>
      </c>
      <c r="I9026">
        <v>0.1741125760648204</v>
      </c>
      <c r="J9026">
        <v>0</v>
      </c>
      <c r="K9026">
        <v>0</v>
      </c>
      <c r="L9026" s="2">
        <v>0</v>
      </c>
      <c r="M9026">
        <v>88.33</v>
      </c>
      <c r="N9026" t="s">
        <v>10236</v>
      </c>
    </row>
    <row r="9027" spans="1:14">
      <c r="A9027" t="s">
        <v>25</v>
      </c>
      <c r="B9027" t="s">
        <v>8993</v>
      </c>
      <c r="C9027">
        <f>"RJ121"</f>
        <v>0</v>
      </c>
      <c r="D9027">
        <v>0</v>
      </c>
      <c r="E9027">
        <v>0</v>
      </c>
      <c r="F9027" s="2">
        <v>0</v>
      </c>
      <c r="H9027">
        <v>0</v>
      </c>
      <c r="I9027">
        <v>0.1741125760648204</v>
      </c>
      <c r="J9027">
        <v>0</v>
      </c>
      <c r="K9027">
        <v>0</v>
      </c>
      <c r="L9027" s="2">
        <v>0</v>
      </c>
      <c r="M9027">
        <v>88.33</v>
      </c>
      <c r="N9027" t="s">
        <v>10236</v>
      </c>
    </row>
    <row r="9028" spans="1:14">
      <c r="A9028" t="s">
        <v>35</v>
      </c>
      <c r="B9028" t="s">
        <v>8994</v>
      </c>
      <c r="C9028">
        <f>"CP206"</f>
        <v>0</v>
      </c>
      <c r="D9028">
        <v>0</v>
      </c>
      <c r="E9028">
        <v>1</v>
      </c>
      <c r="F9028" s="2">
        <v>12</v>
      </c>
      <c r="H9028">
        <v>0</v>
      </c>
      <c r="I9028">
        <v>0.1741125760648204</v>
      </c>
      <c r="J9028">
        <v>0</v>
      </c>
      <c r="K9028">
        <v>0</v>
      </c>
      <c r="L9028" s="2">
        <v>0</v>
      </c>
      <c r="M9028">
        <v>88.34</v>
      </c>
      <c r="N9028" t="s">
        <v>10236</v>
      </c>
    </row>
    <row r="9029" spans="1:14">
      <c r="A9029" t="s">
        <v>223</v>
      </c>
      <c r="B9029" t="s">
        <v>8995</v>
      </c>
      <c r="C9029">
        <f>"5371075"</f>
        <v>0</v>
      </c>
      <c r="D9029">
        <v>0</v>
      </c>
      <c r="E9029">
        <v>0</v>
      </c>
      <c r="F9029" s="2">
        <v>0</v>
      </c>
      <c r="H9029">
        <v>0</v>
      </c>
      <c r="I9029">
        <v>0.1741125760648204</v>
      </c>
      <c r="J9029">
        <v>0</v>
      </c>
      <c r="K9029">
        <v>0</v>
      </c>
      <c r="L9029" s="2">
        <v>0</v>
      </c>
      <c r="M9029">
        <v>88.34999999999999</v>
      </c>
      <c r="N9029" t="s">
        <v>10236</v>
      </c>
    </row>
    <row r="9030" spans="1:14">
      <c r="A9030" t="s">
        <v>223</v>
      </c>
      <c r="B9030" t="s">
        <v>8996</v>
      </c>
      <c r="C9030">
        <f>"5371015"</f>
        <v>0</v>
      </c>
      <c r="D9030">
        <v>0</v>
      </c>
      <c r="E9030">
        <v>0</v>
      </c>
      <c r="F9030" s="2">
        <v>0</v>
      </c>
      <c r="H9030">
        <v>0</v>
      </c>
      <c r="I9030">
        <v>0.1741125760648204</v>
      </c>
      <c r="J9030">
        <v>0</v>
      </c>
      <c r="K9030">
        <v>0</v>
      </c>
      <c r="L9030" s="2">
        <v>0</v>
      </c>
      <c r="M9030">
        <v>88.36</v>
      </c>
      <c r="N9030" t="s">
        <v>10236</v>
      </c>
    </row>
    <row r="9031" spans="1:14">
      <c r="A9031" t="s">
        <v>218</v>
      </c>
      <c r="B9031" t="s">
        <v>8997</v>
      </c>
      <c r="C9031">
        <f>"1363001"</f>
        <v>0</v>
      </c>
      <c r="D9031">
        <v>0</v>
      </c>
      <c r="E9031">
        <v>0</v>
      </c>
      <c r="F9031" s="2">
        <v>0</v>
      </c>
      <c r="H9031">
        <v>0</v>
      </c>
      <c r="I9031">
        <v>0.1741125760648204</v>
      </c>
      <c r="J9031">
        <v>0</v>
      </c>
      <c r="K9031">
        <v>0</v>
      </c>
      <c r="L9031" s="2">
        <v>0</v>
      </c>
      <c r="M9031">
        <v>88.37</v>
      </c>
      <c r="N9031" t="s">
        <v>10236</v>
      </c>
    </row>
    <row r="9032" spans="1:14">
      <c r="A9032" t="s">
        <v>196</v>
      </c>
      <c r="B9032" t="s">
        <v>8998</v>
      </c>
      <c r="C9032">
        <f>"2182"</f>
        <v>0</v>
      </c>
      <c r="D9032">
        <v>0</v>
      </c>
      <c r="E9032">
        <v>0</v>
      </c>
      <c r="F9032" s="2">
        <v>0</v>
      </c>
      <c r="H9032">
        <v>0</v>
      </c>
      <c r="I9032">
        <v>0.1741125760648204</v>
      </c>
      <c r="J9032">
        <v>0</v>
      </c>
      <c r="K9032">
        <v>0</v>
      </c>
      <c r="L9032" s="2">
        <v>0</v>
      </c>
      <c r="M9032">
        <v>88.38</v>
      </c>
      <c r="N9032" t="s">
        <v>10236</v>
      </c>
    </row>
    <row r="9033" spans="1:14">
      <c r="A9033" t="s">
        <v>36</v>
      </c>
      <c r="B9033" t="s">
        <v>8999</v>
      </c>
      <c r="C9033">
        <f>"500600300"</f>
        <v>0</v>
      </c>
      <c r="D9033">
        <v>0</v>
      </c>
      <c r="E9033">
        <v>0</v>
      </c>
      <c r="F9033" s="2">
        <v>0</v>
      </c>
      <c r="H9033">
        <v>0</v>
      </c>
      <c r="I9033">
        <v>0.1741125760648204</v>
      </c>
      <c r="J9033">
        <v>0</v>
      </c>
      <c r="K9033">
        <v>0</v>
      </c>
      <c r="L9033" s="2">
        <v>0</v>
      </c>
      <c r="M9033">
        <v>88.39</v>
      </c>
      <c r="N9033" t="s">
        <v>10236</v>
      </c>
    </row>
    <row r="9034" spans="1:14">
      <c r="A9034" t="s">
        <v>41</v>
      </c>
      <c r="B9034" t="s">
        <v>9000</v>
      </c>
      <c r="C9034">
        <f>"2304000"</f>
        <v>0</v>
      </c>
      <c r="D9034">
        <v>0</v>
      </c>
      <c r="E9034">
        <v>4</v>
      </c>
      <c r="F9034" s="2">
        <v>1</v>
      </c>
      <c r="H9034">
        <v>0</v>
      </c>
      <c r="I9034">
        <v>0.1741125760648204</v>
      </c>
      <c r="J9034">
        <v>0</v>
      </c>
      <c r="K9034">
        <v>0</v>
      </c>
      <c r="L9034" s="2">
        <v>0</v>
      </c>
      <c r="M9034">
        <v>88.40000000000001</v>
      </c>
      <c r="N9034" t="s">
        <v>10236</v>
      </c>
    </row>
    <row r="9035" spans="1:14">
      <c r="A9035" t="s">
        <v>203</v>
      </c>
      <c r="B9035" t="s">
        <v>9001</v>
      </c>
      <c r="C9035">
        <f>"756206"</f>
        <v>0</v>
      </c>
      <c r="D9035">
        <v>0</v>
      </c>
      <c r="E9035">
        <v>0</v>
      </c>
      <c r="F9035" s="2">
        <v>0</v>
      </c>
      <c r="H9035">
        <v>0</v>
      </c>
      <c r="I9035">
        <v>0.1741125760648204</v>
      </c>
      <c r="J9035">
        <v>0</v>
      </c>
      <c r="K9035">
        <v>0</v>
      </c>
      <c r="L9035" s="2">
        <v>0</v>
      </c>
      <c r="M9035">
        <v>88.41</v>
      </c>
      <c r="N9035" t="s">
        <v>10236</v>
      </c>
    </row>
    <row r="9036" spans="1:14">
      <c r="A9036" t="s">
        <v>30</v>
      </c>
      <c r="B9036" t="s">
        <v>9002</v>
      </c>
      <c r="C9036">
        <f>"101193"</f>
        <v>0</v>
      </c>
      <c r="D9036">
        <v>0</v>
      </c>
      <c r="E9036">
        <v>0</v>
      </c>
      <c r="F9036" s="2">
        <v>0</v>
      </c>
      <c r="H9036">
        <v>0</v>
      </c>
      <c r="I9036">
        <v>0.1741125760648204</v>
      </c>
      <c r="J9036">
        <v>0</v>
      </c>
      <c r="K9036">
        <v>0</v>
      </c>
      <c r="L9036" s="2">
        <v>0</v>
      </c>
      <c r="M9036">
        <v>88.42</v>
      </c>
      <c r="N9036" t="s">
        <v>10236</v>
      </c>
    </row>
    <row r="9037" spans="1:14">
      <c r="A9037" t="s">
        <v>25</v>
      </c>
      <c r="B9037" t="s">
        <v>9003</v>
      </c>
      <c r="C9037">
        <f>"S403AVE"</f>
        <v>0</v>
      </c>
      <c r="D9037">
        <v>0</v>
      </c>
      <c r="E9037">
        <v>0</v>
      </c>
      <c r="F9037" s="2">
        <v>0</v>
      </c>
      <c r="H9037">
        <v>0</v>
      </c>
      <c r="I9037">
        <v>0.1741125760648204</v>
      </c>
      <c r="J9037">
        <v>0</v>
      </c>
      <c r="K9037">
        <v>0</v>
      </c>
      <c r="L9037" s="2">
        <v>0</v>
      </c>
      <c r="M9037">
        <v>88.43000000000001</v>
      </c>
      <c r="N9037" t="s">
        <v>10236</v>
      </c>
    </row>
    <row r="9038" spans="1:14">
      <c r="A9038" t="s">
        <v>25</v>
      </c>
      <c r="B9038" t="s">
        <v>9004</v>
      </c>
      <c r="C9038">
        <f>"S403AROS"</f>
        <v>0</v>
      </c>
      <c r="D9038">
        <v>0</v>
      </c>
      <c r="E9038">
        <v>0</v>
      </c>
      <c r="F9038" s="2">
        <v>0</v>
      </c>
      <c r="H9038">
        <v>0</v>
      </c>
      <c r="I9038">
        <v>0.1741125760648204</v>
      </c>
      <c r="J9038">
        <v>0</v>
      </c>
      <c r="K9038">
        <v>0</v>
      </c>
      <c r="L9038" s="2">
        <v>0</v>
      </c>
      <c r="M9038">
        <v>88.44</v>
      </c>
      <c r="N9038" t="s">
        <v>10236</v>
      </c>
    </row>
    <row r="9039" spans="1:14">
      <c r="A9039" t="s">
        <v>25</v>
      </c>
      <c r="B9039" t="s">
        <v>9005</v>
      </c>
      <c r="C9039">
        <f>"S403AMO"</f>
        <v>0</v>
      </c>
      <c r="D9039">
        <v>0</v>
      </c>
      <c r="E9039">
        <v>0</v>
      </c>
      <c r="F9039" s="2">
        <v>0</v>
      </c>
      <c r="H9039">
        <v>0</v>
      </c>
      <c r="I9039">
        <v>0.1741125760648204</v>
      </c>
      <c r="J9039">
        <v>0</v>
      </c>
      <c r="K9039">
        <v>0</v>
      </c>
      <c r="L9039" s="2">
        <v>0</v>
      </c>
      <c r="M9039">
        <v>88.45</v>
      </c>
      <c r="N9039" t="s">
        <v>10236</v>
      </c>
    </row>
    <row r="9040" spans="1:14">
      <c r="A9040" t="s">
        <v>25</v>
      </c>
      <c r="B9040" t="s">
        <v>9006</v>
      </c>
      <c r="C9040">
        <f>"S401AVE"</f>
        <v>0</v>
      </c>
      <c r="D9040">
        <v>0</v>
      </c>
      <c r="E9040">
        <v>4</v>
      </c>
      <c r="F9040" s="2">
        <v>1</v>
      </c>
      <c r="H9040">
        <v>0</v>
      </c>
      <c r="I9040">
        <v>0.1741125760648204</v>
      </c>
      <c r="J9040">
        <v>0</v>
      </c>
      <c r="K9040">
        <v>0</v>
      </c>
      <c r="L9040" s="2">
        <v>0</v>
      </c>
      <c r="M9040">
        <v>88.45</v>
      </c>
      <c r="N9040" t="s">
        <v>10236</v>
      </c>
    </row>
    <row r="9041" spans="1:14">
      <c r="A9041" t="s">
        <v>35</v>
      </c>
      <c r="B9041" t="s">
        <v>9007</v>
      </c>
      <c r="C9041">
        <f>"3030EMMOS"</f>
        <v>0</v>
      </c>
      <c r="D9041">
        <v>0</v>
      </c>
      <c r="E9041">
        <v>0</v>
      </c>
      <c r="F9041" s="2">
        <v>0</v>
      </c>
      <c r="H9041">
        <v>0</v>
      </c>
      <c r="I9041">
        <v>0.1741125760648204</v>
      </c>
      <c r="J9041">
        <v>0</v>
      </c>
      <c r="K9041">
        <v>0</v>
      </c>
      <c r="L9041" s="2">
        <v>0</v>
      </c>
      <c r="M9041">
        <v>88.45999999999999</v>
      </c>
      <c r="N9041" t="s">
        <v>10236</v>
      </c>
    </row>
    <row r="9042" spans="1:14">
      <c r="A9042" t="s">
        <v>29</v>
      </c>
      <c r="B9042" t="s">
        <v>9008</v>
      </c>
      <c r="C9042">
        <f>"34304"</f>
        <v>0</v>
      </c>
      <c r="D9042">
        <v>0</v>
      </c>
      <c r="E9042">
        <v>0</v>
      </c>
      <c r="F9042" s="2">
        <v>0</v>
      </c>
      <c r="H9042">
        <v>0</v>
      </c>
      <c r="I9042">
        <v>0.1741125760648204</v>
      </c>
      <c r="J9042">
        <v>0</v>
      </c>
      <c r="K9042">
        <v>0</v>
      </c>
      <c r="L9042" s="2">
        <v>0</v>
      </c>
      <c r="M9042">
        <v>88.47</v>
      </c>
      <c r="N9042" t="s">
        <v>10236</v>
      </c>
    </row>
    <row r="9043" spans="1:14">
      <c r="A9043" t="s">
        <v>214</v>
      </c>
      <c r="B9043" t="s">
        <v>9009</v>
      </c>
      <c r="C9043">
        <f>"34236"</f>
        <v>0</v>
      </c>
      <c r="D9043">
        <v>0</v>
      </c>
      <c r="E9043">
        <v>0</v>
      </c>
      <c r="F9043" s="2">
        <v>0</v>
      </c>
      <c r="H9043">
        <v>0</v>
      </c>
      <c r="I9043">
        <v>0.1741125760648204</v>
      </c>
      <c r="J9043">
        <v>0</v>
      </c>
      <c r="K9043">
        <v>0</v>
      </c>
      <c r="L9043" s="2">
        <v>0</v>
      </c>
      <c r="M9043">
        <v>88.48</v>
      </c>
      <c r="N9043" t="s">
        <v>10236</v>
      </c>
    </row>
    <row r="9044" spans="1:14">
      <c r="A9044" t="s">
        <v>35</v>
      </c>
      <c r="B9044" t="s">
        <v>9010</v>
      </c>
      <c r="C9044">
        <f>"GE47"</f>
        <v>0</v>
      </c>
      <c r="D9044">
        <v>0</v>
      </c>
      <c r="E9044">
        <v>1</v>
      </c>
      <c r="F9044" s="2">
        <v>5</v>
      </c>
      <c r="H9044">
        <v>0</v>
      </c>
      <c r="I9044">
        <v>0.1741125760648204</v>
      </c>
      <c r="J9044">
        <v>0</v>
      </c>
      <c r="K9044">
        <v>0</v>
      </c>
      <c r="L9044" s="2">
        <v>0</v>
      </c>
      <c r="M9044">
        <v>88.48999999999999</v>
      </c>
      <c r="N9044" t="s">
        <v>10236</v>
      </c>
    </row>
    <row r="9045" spans="1:14">
      <c r="A9045" t="s">
        <v>35</v>
      </c>
      <c r="B9045" t="s">
        <v>9011</v>
      </c>
      <c r="C9045">
        <f>"MCW139"</f>
        <v>0</v>
      </c>
      <c r="D9045">
        <v>0</v>
      </c>
      <c r="E9045">
        <v>0</v>
      </c>
      <c r="F9045" s="2">
        <v>0</v>
      </c>
      <c r="H9045">
        <v>0</v>
      </c>
      <c r="I9045">
        <v>0.1741125760648204</v>
      </c>
      <c r="J9045">
        <v>0</v>
      </c>
      <c r="K9045">
        <v>0</v>
      </c>
      <c r="L9045" s="2">
        <v>0</v>
      </c>
      <c r="M9045">
        <v>88.5</v>
      </c>
      <c r="N9045" t="s">
        <v>10236</v>
      </c>
    </row>
    <row r="9046" spans="1:14">
      <c r="A9046" t="s">
        <v>35</v>
      </c>
      <c r="B9046" t="s">
        <v>9012</v>
      </c>
      <c r="C9046">
        <f>"HDD016M"</f>
        <v>0</v>
      </c>
      <c r="D9046">
        <v>0</v>
      </c>
      <c r="E9046">
        <v>1</v>
      </c>
      <c r="F9046" s="2">
        <v>711</v>
      </c>
      <c r="H9046">
        <v>0</v>
      </c>
      <c r="I9046">
        <v>0.1741125760648204</v>
      </c>
      <c r="J9046">
        <v>0</v>
      </c>
      <c r="K9046">
        <v>0</v>
      </c>
      <c r="L9046" s="2">
        <v>0</v>
      </c>
      <c r="M9046">
        <v>88.51000000000001</v>
      </c>
      <c r="N9046" t="s">
        <v>10236</v>
      </c>
    </row>
    <row r="9047" spans="1:14">
      <c r="A9047" t="s">
        <v>35</v>
      </c>
      <c r="B9047" t="s">
        <v>9013</v>
      </c>
      <c r="C9047">
        <f>"HDD016G"</f>
        <v>0</v>
      </c>
      <c r="D9047">
        <v>0</v>
      </c>
      <c r="E9047">
        <v>3</v>
      </c>
      <c r="F9047" s="2">
        <v>1</v>
      </c>
      <c r="H9047">
        <v>0</v>
      </c>
      <c r="I9047">
        <v>0.1741125760648204</v>
      </c>
      <c r="J9047">
        <v>0</v>
      </c>
      <c r="K9047">
        <v>0</v>
      </c>
      <c r="L9047" s="2">
        <v>0</v>
      </c>
      <c r="M9047">
        <v>88.52</v>
      </c>
      <c r="N9047" t="s">
        <v>10236</v>
      </c>
    </row>
    <row r="9048" spans="1:14">
      <c r="A9048" t="s">
        <v>35</v>
      </c>
      <c r="B9048" t="s">
        <v>9014</v>
      </c>
      <c r="C9048">
        <f>"W0056"</f>
        <v>0</v>
      </c>
      <c r="D9048">
        <v>0</v>
      </c>
      <c r="E9048">
        <v>10</v>
      </c>
      <c r="F9048" s="2">
        <v>3</v>
      </c>
      <c r="H9048">
        <v>0</v>
      </c>
      <c r="I9048">
        <v>0.1741125760648204</v>
      </c>
      <c r="J9048">
        <v>0</v>
      </c>
      <c r="K9048">
        <v>0</v>
      </c>
      <c r="L9048" s="2">
        <v>0</v>
      </c>
      <c r="M9048">
        <v>88.53</v>
      </c>
      <c r="N9048" t="s">
        <v>10236</v>
      </c>
    </row>
    <row r="9049" spans="1:14">
      <c r="A9049" t="s">
        <v>35</v>
      </c>
      <c r="B9049" t="s">
        <v>9015</v>
      </c>
      <c r="C9049">
        <f>"HDD181W"</f>
        <v>0</v>
      </c>
      <c r="D9049">
        <v>0</v>
      </c>
      <c r="E9049">
        <v>0</v>
      </c>
      <c r="F9049" s="2">
        <v>0</v>
      </c>
      <c r="H9049">
        <v>0</v>
      </c>
      <c r="I9049">
        <v>0.1741125760648204</v>
      </c>
      <c r="J9049">
        <v>0</v>
      </c>
      <c r="K9049">
        <v>0</v>
      </c>
      <c r="L9049" s="2">
        <v>0</v>
      </c>
      <c r="M9049">
        <v>88.54000000000001</v>
      </c>
      <c r="N9049" t="s">
        <v>10236</v>
      </c>
    </row>
    <row r="9050" spans="1:14">
      <c r="A9050" t="s">
        <v>35</v>
      </c>
      <c r="B9050" t="s">
        <v>9016</v>
      </c>
      <c r="C9050">
        <f>"HDD181PCN"</f>
        <v>0</v>
      </c>
      <c r="D9050">
        <v>0</v>
      </c>
      <c r="E9050">
        <v>2</v>
      </c>
      <c r="F9050" s="2">
        <v>1</v>
      </c>
      <c r="H9050">
        <v>0</v>
      </c>
      <c r="I9050">
        <v>0.1741125760648204</v>
      </c>
      <c r="J9050">
        <v>0</v>
      </c>
      <c r="K9050">
        <v>0</v>
      </c>
      <c r="L9050" s="2">
        <v>0</v>
      </c>
      <c r="M9050">
        <v>88.55</v>
      </c>
      <c r="N9050" t="s">
        <v>10236</v>
      </c>
    </row>
    <row r="9051" spans="1:14">
      <c r="A9051" t="s">
        <v>25</v>
      </c>
      <c r="B9051" t="s">
        <v>9017</v>
      </c>
      <c r="C9051">
        <f>"6765132"</f>
        <v>0</v>
      </c>
      <c r="D9051">
        <v>0</v>
      </c>
      <c r="E9051">
        <v>0</v>
      </c>
      <c r="F9051" s="2">
        <v>0</v>
      </c>
      <c r="H9051">
        <v>0</v>
      </c>
      <c r="I9051">
        <v>0.1741125760648204</v>
      </c>
      <c r="J9051">
        <v>0</v>
      </c>
      <c r="K9051">
        <v>0</v>
      </c>
      <c r="L9051" s="2">
        <v>0</v>
      </c>
      <c r="M9051">
        <v>88.56</v>
      </c>
      <c r="N9051" t="s">
        <v>10236</v>
      </c>
    </row>
    <row r="9052" spans="1:14">
      <c r="A9052" t="s">
        <v>25</v>
      </c>
      <c r="B9052" t="s">
        <v>9018</v>
      </c>
      <c r="C9052">
        <f>"6765118"</f>
        <v>0</v>
      </c>
      <c r="D9052">
        <v>0</v>
      </c>
      <c r="E9052">
        <v>0</v>
      </c>
      <c r="F9052" s="2">
        <v>0</v>
      </c>
      <c r="H9052">
        <v>0</v>
      </c>
      <c r="I9052">
        <v>0.1741125760648204</v>
      </c>
      <c r="J9052">
        <v>0</v>
      </c>
      <c r="K9052">
        <v>0</v>
      </c>
      <c r="L9052" s="2">
        <v>0</v>
      </c>
      <c r="M9052">
        <v>88.56</v>
      </c>
      <c r="N9052" t="s">
        <v>10236</v>
      </c>
    </row>
    <row r="9053" spans="1:14">
      <c r="A9053" t="s">
        <v>35</v>
      </c>
      <c r="B9053" t="s">
        <v>9019</v>
      </c>
      <c r="C9053">
        <f>"PT310V"</f>
        <v>0</v>
      </c>
      <c r="D9053">
        <v>0</v>
      </c>
      <c r="E9053">
        <v>1</v>
      </c>
      <c r="F9053" s="2">
        <v>2</v>
      </c>
      <c r="H9053">
        <v>0</v>
      </c>
      <c r="I9053">
        <v>0.1741125760648204</v>
      </c>
      <c r="J9053">
        <v>0</v>
      </c>
      <c r="K9053">
        <v>0</v>
      </c>
      <c r="L9053" s="2">
        <v>0</v>
      </c>
      <c r="M9053">
        <v>88.56999999999999</v>
      </c>
      <c r="N9053" t="s">
        <v>10236</v>
      </c>
    </row>
    <row r="9054" spans="1:14">
      <c r="A9054" t="s">
        <v>35</v>
      </c>
      <c r="B9054" t="s">
        <v>9020</v>
      </c>
      <c r="C9054">
        <f>"XX219"</f>
        <v>0</v>
      </c>
      <c r="D9054">
        <v>0</v>
      </c>
      <c r="E9054">
        <v>0</v>
      </c>
      <c r="F9054" s="2">
        <v>0</v>
      </c>
      <c r="H9054">
        <v>0</v>
      </c>
      <c r="I9054">
        <v>0.1741125760648204</v>
      </c>
      <c r="J9054">
        <v>0</v>
      </c>
      <c r="K9054">
        <v>0</v>
      </c>
      <c r="L9054" s="2">
        <v>0</v>
      </c>
      <c r="M9054">
        <v>88.58</v>
      </c>
      <c r="N9054" t="s">
        <v>10236</v>
      </c>
    </row>
    <row r="9055" spans="1:14">
      <c r="A9055" t="s">
        <v>223</v>
      </c>
      <c r="B9055" t="s">
        <v>9021</v>
      </c>
      <c r="C9055">
        <f>"456400"</f>
        <v>0</v>
      </c>
      <c r="D9055">
        <v>0</v>
      </c>
      <c r="E9055">
        <v>0</v>
      </c>
      <c r="F9055" s="2">
        <v>0</v>
      </c>
      <c r="H9055">
        <v>0</v>
      </c>
      <c r="I9055">
        <v>0.1741125760648204</v>
      </c>
      <c r="J9055">
        <v>0</v>
      </c>
      <c r="K9055">
        <v>0</v>
      </c>
      <c r="L9055" s="2">
        <v>0</v>
      </c>
      <c r="M9055">
        <v>88.59</v>
      </c>
      <c r="N9055" t="s">
        <v>10236</v>
      </c>
    </row>
    <row r="9056" spans="1:14">
      <c r="A9056" t="s">
        <v>35</v>
      </c>
      <c r="B9056" t="s">
        <v>9022</v>
      </c>
      <c r="C9056">
        <f>"HDD167V"</f>
        <v>0</v>
      </c>
      <c r="D9056">
        <v>0</v>
      </c>
      <c r="E9056">
        <v>0</v>
      </c>
      <c r="F9056" s="2">
        <v>0</v>
      </c>
      <c r="H9056">
        <v>0</v>
      </c>
      <c r="I9056">
        <v>0.1741125760648204</v>
      </c>
      <c r="J9056">
        <v>0</v>
      </c>
      <c r="K9056">
        <v>0</v>
      </c>
      <c r="L9056" s="2">
        <v>0</v>
      </c>
      <c r="M9056">
        <v>88.59999999999999</v>
      </c>
      <c r="N9056" t="s">
        <v>10236</v>
      </c>
    </row>
    <row r="9057" spans="1:14">
      <c r="A9057" t="s">
        <v>35</v>
      </c>
      <c r="B9057" t="s">
        <v>9023</v>
      </c>
      <c r="C9057">
        <f>"HDD167F"</f>
        <v>0</v>
      </c>
      <c r="D9057">
        <v>0</v>
      </c>
      <c r="E9057">
        <v>1</v>
      </c>
      <c r="F9057" s="2">
        <v>801</v>
      </c>
      <c r="H9057">
        <v>0</v>
      </c>
      <c r="I9057">
        <v>0.1741125760648204</v>
      </c>
      <c r="J9057">
        <v>0</v>
      </c>
      <c r="K9057">
        <v>0</v>
      </c>
      <c r="L9057" s="2">
        <v>0</v>
      </c>
      <c r="M9057">
        <v>88.61</v>
      </c>
      <c r="N9057" t="s">
        <v>10236</v>
      </c>
    </row>
    <row r="9058" spans="1:14">
      <c r="A9058" t="s">
        <v>35</v>
      </c>
      <c r="B9058" t="s">
        <v>9024</v>
      </c>
      <c r="C9058">
        <f>"HDD167AM"</f>
        <v>0</v>
      </c>
      <c r="D9058">
        <v>0</v>
      </c>
      <c r="E9058">
        <v>0</v>
      </c>
      <c r="F9058" s="2">
        <v>0</v>
      </c>
      <c r="H9058">
        <v>0</v>
      </c>
      <c r="I9058">
        <v>0.1741125760648204</v>
      </c>
      <c r="J9058">
        <v>0</v>
      </c>
      <c r="K9058">
        <v>0</v>
      </c>
      <c r="L9058" s="2">
        <v>0</v>
      </c>
      <c r="M9058">
        <v>88.62</v>
      </c>
      <c r="N9058" t="s">
        <v>10236</v>
      </c>
    </row>
    <row r="9059" spans="1:14">
      <c r="A9059" t="s">
        <v>35</v>
      </c>
      <c r="B9059" t="s">
        <v>9025</v>
      </c>
      <c r="C9059">
        <f>"CT033"</f>
        <v>0</v>
      </c>
      <c r="D9059">
        <v>0</v>
      </c>
      <c r="E9059">
        <v>0</v>
      </c>
      <c r="F9059" s="2">
        <v>0</v>
      </c>
      <c r="H9059">
        <v>0</v>
      </c>
      <c r="I9059">
        <v>0.1741125760648204</v>
      </c>
      <c r="J9059">
        <v>0</v>
      </c>
      <c r="K9059">
        <v>0</v>
      </c>
      <c r="L9059" s="2">
        <v>0</v>
      </c>
      <c r="M9059">
        <v>88.63</v>
      </c>
      <c r="N9059" t="s">
        <v>10236</v>
      </c>
    </row>
    <row r="9060" spans="1:14">
      <c r="A9060" t="s">
        <v>35</v>
      </c>
      <c r="B9060" t="s">
        <v>9026</v>
      </c>
      <c r="C9060">
        <f>"CT385"</f>
        <v>0</v>
      </c>
      <c r="D9060">
        <v>0</v>
      </c>
      <c r="E9060">
        <v>0</v>
      </c>
      <c r="F9060" s="2">
        <v>0</v>
      </c>
      <c r="H9060">
        <v>0</v>
      </c>
      <c r="I9060">
        <v>0.1741125760648204</v>
      </c>
      <c r="J9060">
        <v>0</v>
      </c>
      <c r="K9060">
        <v>0</v>
      </c>
      <c r="L9060" s="2">
        <v>0</v>
      </c>
      <c r="M9060">
        <v>88.64</v>
      </c>
      <c r="N9060" t="s">
        <v>10236</v>
      </c>
    </row>
    <row r="9061" spans="1:14">
      <c r="A9061" t="s">
        <v>35</v>
      </c>
      <c r="B9061" t="s">
        <v>9027</v>
      </c>
      <c r="C9061">
        <f>"WPS272"</f>
        <v>0</v>
      </c>
      <c r="D9061">
        <v>0</v>
      </c>
      <c r="E9061">
        <v>0</v>
      </c>
      <c r="F9061" s="2">
        <v>0</v>
      </c>
      <c r="H9061">
        <v>0</v>
      </c>
      <c r="I9061">
        <v>0.1741125760648204</v>
      </c>
      <c r="J9061">
        <v>0</v>
      </c>
      <c r="K9061">
        <v>0</v>
      </c>
      <c r="L9061" s="2">
        <v>0</v>
      </c>
      <c r="M9061">
        <v>88.65000000000001</v>
      </c>
      <c r="N9061" t="s">
        <v>10236</v>
      </c>
    </row>
    <row r="9062" spans="1:14">
      <c r="A9062" t="s">
        <v>194</v>
      </c>
      <c r="B9062" t="s">
        <v>9028</v>
      </c>
      <c r="C9062">
        <f>"210099"</f>
        <v>0</v>
      </c>
      <c r="D9062">
        <v>0</v>
      </c>
      <c r="E9062">
        <v>0</v>
      </c>
      <c r="F9062" s="2">
        <v>0</v>
      </c>
      <c r="H9062">
        <v>0</v>
      </c>
      <c r="I9062">
        <v>0.1741125760648204</v>
      </c>
      <c r="J9062">
        <v>0</v>
      </c>
      <c r="K9062">
        <v>0</v>
      </c>
      <c r="L9062" s="2">
        <v>0</v>
      </c>
      <c r="M9062">
        <v>88.66</v>
      </c>
      <c r="N9062" t="s">
        <v>10236</v>
      </c>
    </row>
    <row r="9063" spans="1:14">
      <c r="A9063" t="s">
        <v>35</v>
      </c>
      <c r="B9063" t="s">
        <v>9029</v>
      </c>
      <c r="C9063">
        <f>"XX264"</f>
        <v>0</v>
      </c>
      <c r="D9063">
        <v>0</v>
      </c>
      <c r="E9063">
        <v>0</v>
      </c>
      <c r="F9063" s="2">
        <v>0</v>
      </c>
      <c r="H9063">
        <v>0</v>
      </c>
      <c r="I9063">
        <v>0.1741125760648204</v>
      </c>
      <c r="J9063">
        <v>0</v>
      </c>
      <c r="K9063">
        <v>0</v>
      </c>
      <c r="L9063" s="2">
        <v>0</v>
      </c>
      <c r="M9063">
        <v>88.67</v>
      </c>
      <c r="N9063" t="s">
        <v>10236</v>
      </c>
    </row>
    <row r="9064" spans="1:14">
      <c r="A9064" t="s">
        <v>35</v>
      </c>
      <c r="B9064" t="s">
        <v>9030</v>
      </c>
      <c r="C9064">
        <f>"XX261"</f>
        <v>0</v>
      </c>
      <c r="D9064">
        <v>0</v>
      </c>
      <c r="E9064">
        <v>0</v>
      </c>
      <c r="F9064" s="2">
        <v>0</v>
      </c>
      <c r="H9064">
        <v>0</v>
      </c>
      <c r="I9064">
        <v>0.1741125760648204</v>
      </c>
      <c r="J9064">
        <v>0</v>
      </c>
      <c r="K9064">
        <v>0</v>
      </c>
      <c r="L9064" s="2">
        <v>0</v>
      </c>
      <c r="M9064">
        <v>88.68000000000001</v>
      </c>
      <c r="N9064" t="s">
        <v>10236</v>
      </c>
    </row>
    <row r="9065" spans="1:14">
      <c r="A9065" t="s">
        <v>35</v>
      </c>
      <c r="B9065" t="s">
        <v>9031</v>
      </c>
      <c r="C9065">
        <f>"HDD119P"</f>
        <v>0</v>
      </c>
      <c r="D9065">
        <v>0</v>
      </c>
      <c r="E9065">
        <v>0</v>
      </c>
      <c r="F9065" s="2">
        <v>0</v>
      </c>
      <c r="H9065">
        <v>0</v>
      </c>
      <c r="I9065">
        <v>0.1741125760648204</v>
      </c>
      <c r="J9065">
        <v>0</v>
      </c>
      <c r="K9065">
        <v>0</v>
      </c>
      <c r="L9065" s="2">
        <v>0</v>
      </c>
      <c r="M9065">
        <v>88.68000000000001</v>
      </c>
      <c r="N9065" t="s">
        <v>10236</v>
      </c>
    </row>
    <row r="9066" spans="1:14">
      <c r="A9066" t="s">
        <v>35</v>
      </c>
      <c r="B9066" t="s">
        <v>9032</v>
      </c>
      <c r="C9066">
        <f>"HDD119M"</f>
        <v>0</v>
      </c>
      <c r="D9066">
        <v>0</v>
      </c>
      <c r="E9066">
        <v>0</v>
      </c>
      <c r="F9066" s="2">
        <v>0</v>
      </c>
      <c r="H9066">
        <v>0</v>
      </c>
      <c r="I9066">
        <v>0.1741125760648204</v>
      </c>
      <c r="J9066">
        <v>0</v>
      </c>
      <c r="K9066">
        <v>0</v>
      </c>
      <c r="L9066" s="2">
        <v>0</v>
      </c>
      <c r="M9066">
        <v>88.69</v>
      </c>
      <c r="N9066" t="s">
        <v>10236</v>
      </c>
    </row>
    <row r="9067" spans="1:14">
      <c r="A9067" t="s">
        <v>35</v>
      </c>
      <c r="B9067" t="s">
        <v>9033</v>
      </c>
      <c r="C9067">
        <f>"HDD017G"</f>
        <v>0</v>
      </c>
      <c r="D9067">
        <v>0</v>
      </c>
      <c r="E9067">
        <v>0</v>
      </c>
      <c r="F9067" s="2">
        <v>0</v>
      </c>
      <c r="H9067">
        <v>0</v>
      </c>
      <c r="I9067">
        <v>0.1741125760648204</v>
      </c>
      <c r="J9067">
        <v>0</v>
      </c>
      <c r="K9067">
        <v>0</v>
      </c>
      <c r="L9067" s="2">
        <v>0</v>
      </c>
      <c r="M9067">
        <v>88.7</v>
      </c>
      <c r="N9067" t="s">
        <v>10236</v>
      </c>
    </row>
    <row r="9068" spans="1:14">
      <c r="A9068" t="s">
        <v>35</v>
      </c>
      <c r="B9068" t="s">
        <v>9034</v>
      </c>
      <c r="C9068">
        <f>"CT050"</f>
        <v>0</v>
      </c>
      <c r="D9068">
        <v>0</v>
      </c>
      <c r="E9068">
        <v>0</v>
      </c>
      <c r="F9068" s="2">
        <v>0</v>
      </c>
      <c r="H9068">
        <v>0</v>
      </c>
      <c r="I9068">
        <v>0.1741125760648204</v>
      </c>
      <c r="J9068">
        <v>0</v>
      </c>
      <c r="K9068">
        <v>0</v>
      </c>
      <c r="L9068" s="2">
        <v>0</v>
      </c>
      <c r="M9068">
        <v>88.70999999999999</v>
      </c>
      <c r="N9068" t="s">
        <v>10236</v>
      </c>
    </row>
    <row r="9069" spans="1:14">
      <c r="A9069" t="s">
        <v>35</v>
      </c>
      <c r="B9069" t="s">
        <v>9035</v>
      </c>
      <c r="C9069">
        <f>"MCW143"</f>
        <v>0</v>
      </c>
      <c r="D9069">
        <v>0</v>
      </c>
      <c r="E9069">
        <v>0</v>
      </c>
      <c r="F9069" s="2">
        <v>0</v>
      </c>
      <c r="H9069">
        <v>0</v>
      </c>
      <c r="I9069">
        <v>0.1741125760648204</v>
      </c>
      <c r="J9069">
        <v>0</v>
      </c>
      <c r="K9069">
        <v>0</v>
      </c>
      <c r="L9069" s="2">
        <v>0</v>
      </c>
      <c r="M9069">
        <v>88.72</v>
      </c>
      <c r="N9069" t="s">
        <v>10236</v>
      </c>
    </row>
    <row r="9070" spans="1:14">
      <c r="A9070" t="s">
        <v>35</v>
      </c>
      <c r="B9070" t="s">
        <v>9036</v>
      </c>
      <c r="C9070">
        <f>"HDD008"</f>
        <v>0</v>
      </c>
      <c r="D9070">
        <v>0</v>
      </c>
      <c r="E9070">
        <v>3</v>
      </c>
      <c r="F9070" s="2">
        <v>1</v>
      </c>
      <c r="H9070">
        <v>0</v>
      </c>
      <c r="I9070">
        <v>0.1741125760648204</v>
      </c>
      <c r="J9070">
        <v>0</v>
      </c>
      <c r="K9070">
        <v>0</v>
      </c>
      <c r="L9070" s="2">
        <v>0</v>
      </c>
      <c r="M9070">
        <v>88.73</v>
      </c>
      <c r="N9070" t="s">
        <v>10236</v>
      </c>
    </row>
    <row r="9071" spans="1:14">
      <c r="A9071" t="s">
        <v>35</v>
      </c>
      <c r="B9071" t="s">
        <v>9037</v>
      </c>
      <c r="C9071">
        <f>"24001A"</f>
        <v>0</v>
      </c>
      <c r="D9071">
        <v>0</v>
      </c>
      <c r="E9071">
        <v>2</v>
      </c>
      <c r="F9071" s="2">
        <v>3</v>
      </c>
      <c r="H9071">
        <v>0</v>
      </c>
      <c r="I9071">
        <v>0.1741125760648204</v>
      </c>
      <c r="J9071">
        <v>0</v>
      </c>
      <c r="K9071">
        <v>0</v>
      </c>
      <c r="L9071" s="2">
        <v>0</v>
      </c>
      <c r="M9071">
        <v>88.73999999999999</v>
      </c>
      <c r="N9071" t="s">
        <v>10236</v>
      </c>
    </row>
    <row r="9072" spans="1:14">
      <c r="A9072" t="s">
        <v>35</v>
      </c>
      <c r="B9072" t="s">
        <v>9038</v>
      </c>
      <c r="C9072">
        <f>"24001B"</f>
        <v>0</v>
      </c>
      <c r="D9072">
        <v>0</v>
      </c>
      <c r="E9072">
        <v>2</v>
      </c>
      <c r="F9072" s="2">
        <v>3</v>
      </c>
      <c r="H9072">
        <v>0</v>
      </c>
      <c r="I9072">
        <v>0.1741125760648204</v>
      </c>
      <c r="J9072">
        <v>0</v>
      </c>
      <c r="K9072">
        <v>0</v>
      </c>
      <c r="L9072" s="2">
        <v>0</v>
      </c>
      <c r="M9072">
        <v>88.75</v>
      </c>
      <c r="N9072" t="s">
        <v>10236</v>
      </c>
    </row>
    <row r="9073" spans="1:14">
      <c r="A9073" t="s">
        <v>35</v>
      </c>
      <c r="B9073" t="s">
        <v>9039</v>
      </c>
      <c r="C9073">
        <f>"FB526XLDCOL"</f>
        <v>0</v>
      </c>
      <c r="D9073">
        <v>0</v>
      </c>
      <c r="E9073">
        <v>1</v>
      </c>
      <c r="F9073" s="2">
        <v>7</v>
      </c>
      <c r="H9073">
        <v>0</v>
      </c>
      <c r="I9073">
        <v>0.1741125760648204</v>
      </c>
      <c r="J9073">
        <v>0</v>
      </c>
      <c r="K9073">
        <v>0</v>
      </c>
      <c r="L9073" s="2">
        <v>0</v>
      </c>
      <c r="M9073">
        <v>88.76000000000001</v>
      </c>
      <c r="N9073" t="s">
        <v>10236</v>
      </c>
    </row>
    <row r="9074" spans="1:14">
      <c r="A9074" t="s">
        <v>35</v>
      </c>
      <c r="B9074" t="s">
        <v>9040</v>
      </c>
      <c r="C9074">
        <f>"FB526XLDCG"</f>
        <v>0</v>
      </c>
      <c r="D9074">
        <v>0</v>
      </c>
      <c r="E9074">
        <v>2</v>
      </c>
      <c r="F9074" s="2">
        <v>7</v>
      </c>
      <c r="H9074">
        <v>0</v>
      </c>
      <c r="I9074">
        <v>0.1741125760648204</v>
      </c>
      <c r="J9074">
        <v>0</v>
      </c>
      <c r="K9074">
        <v>0</v>
      </c>
      <c r="L9074" s="2">
        <v>0</v>
      </c>
      <c r="M9074">
        <v>88.77</v>
      </c>
      <c r="N9074" t="s">
        <v>10236</v>
      </c>
    </row>
    <row r="9075" spans="1:14">
      <c r="A9075" t="s">
        <v>35</v>
      </c>
      <c r="B9075" t="s">
        <v>9041</v>
      </c>
      <c r="C9075">
        <f>"FB526SRP"</f>
        <v>0</v>
      </c>
      <c r="D9075">
        <v>0</v>
      </c>
      <c r="E9075">
        <v>1</v>
      </c>
      <c r="F9075" s="2">
        <v>6</v>
      </c>
      <c r="H9075">
        <v>0</v>
      </c>
      <c r="I9075">
        <v>0.1741125760648204</v>
      </c>
      <c r="J9075">
        <v>0</v>
      </c>
      <c r="K9075">
        <v>0</v>
      </c>
      <c r="L9075" s="2">
        <v>0</v>
      </c>
      <c r="M9075">
        <v>88.78</v>
      </c>
      <c r="N9075" t="s">
        <v>10236</v>
      </c>
    </row>
    <row r="9076" spans="1:14">
      <c r="A9076" t="s">
        <v>35</v>
      </c>
      <c r="B9076" t="s">
        <v>9042</v>
      </c>
      <c r="C9076">
        <f>"LML"</f>
        <v>0</v>
      </c>
      <c r="D9076">
        <v>0</v>
      </c>
      <c r="E9076">
        <v>8</v>
      </c>
      <c r="F9076" s="2">
        <v>4</v>
      </c>
      <c r="H9076">
        <v>0</v>
      </c>
      <c r="I9076">
        <v>0.1741125760648204</v>
      </c>
      <c r="J9076">
        <v>0</v>
      </c>
      <c r="K9076">
        <v>0</v>
      </c>
      <c r="L9076" s="2">
        <v>0</v>
      </c>
      <c r="M9076">
        <v>88.79000000000001</v>
      </c>
      <c r="N9076" t="s">
        <v>10236</v>
      </c>
    </row>
    <row r="9077" spans="1:14">
      <c r="A9077" t="s">
        <v>25</v>
      </c>
      <c r="B9077" t="s">
        <v>9043</v>
      </c>
      <c r="C9077">
        <f>"JS015XSR"</f>
        <v>0</v>
      </c>
      <c r="D9077">
        <v>0</v>
      </c>
      <c r="E9077">
        <v>7</v>
      </c>
      <c r="F9077" s="2">
        <v>2</v>
      </c>
      <c r="H9077">
        <v>0</v>
      </c>
      <c r="I9077">
        <v>0.1741125760648204</v>
      </c>
      <c r="J9077">
        <v>0</v>
      </c>
      <c r="K9077">
        <v>0</v>
      </c>
      <c r="L9077" s="2">
        <v>0</v>
      </c>
      <c r="M9077">
        <v>88.8</v>
      </c>
      <c r="N9077" t="s">
        <v>10236</v>
      </c>
    </row>
    <row r="9078" spans="1:14">
      <c r="A9078" t="s">
        <v>25</v>
      </c>
      <c r="B9078" t="s">
        <v>9044</v>
      </c>
      <c r="C9078">
        <f>"JS015XSJ"</f>
        <v>0</v>
      </c>
      <c r="D9078">
        <v>0</v>
      </c>
      <c r="E9078">
        <v>11</v>
      </c>
      <c r="F9078" s="2">
        <v>2</v>
      </c>
      <c r="H9078">
        <v>0</v>
      </c>
      <c r="I9078">
        <v>0.1741125760648204</v>
      </c>
      <c r="J9078">
        <v>0</v>
      </c>
      <c r="K9078">
        <v>0</v>
      </c>
      <c r="L9078" s="2">
        <v>0</v>
      </c>
      <c r="M9078">
        <v>88.8</v>
      </c>
      <c r="N9078" t="s">
        <v>10236</v>
      </c>
    </row>
    <row r="9079" spans="1:14">
      <c r="A9079" t="s">
        <v>25</v>
      </c>
      <c r="B9079" t="s">
        <v>9045</v>
      </c>
      <c r="C9079">
        <f>"JS015XSA"</f>
        <v>0</v>
      </c>
      <c r="D9079">
        <v>0</v>
      </c>
      <c r="E9079">
        <v>14</v>
      </c>
      <c r="F9079" s="2">
        <v>2</v>
      </c>
      <c r="H9079">
        <v>0</v>
      </c>
      <c r="I9079">
        <v>0.1741125760648204</v>
      </c>
      <c r="J9079">
        <v>0</v>
      </c>
      <c r="K9079">
        <v>0</v>
      </c>
      <c r="L9079" s="2">
        <v>0</v>
      </c>
      <c r="M9079">
        <v>88.81</v>
      </c>
      <c r="N9079" t="s">
        <v>10236</v>
      </c>
    </row>
    <row r="9080" spans="1:14">
      <c r="A9080" t="s">
        <v>25</v>
      </c>
      <c r="B9080" t="s">
        <v>9046</v>
      </c>
      <c r="C9080">
        <f>"JS015SRO"</f>
        <v>0</v>
      </c>
      <c r="D9080">
        <v>0</v>
      </c>
      <c r="E9080">
        <v>13</v>
      </c>
      <c r="F9080" s="2">
        <v>2</v>
      </c>
      <c r="H9080">
        <v>0</v>
      </c>
      <c r="I9080">
        <v>0.1741125760648204</v>
      </c>
      <c r="J9080">
        <v>0</v>
      </c>
      <c r="K9080">
        <v>0</v>
      </c>
      <c r="L9080" s="2">
        <v>0</v>
      </c>
      <c r="M9080">
        <v>88.81999999999999</v>
      </c>
      <c r="N9080" t="s">
        <v>10236</v>
      </c>
    </row>
    <row r="9081" spans="1:14">
      <c r="A9081" t="s">
        <v>25</v>
      </c>
      <c r="B9081" t="s">
        <v>9047</v>
      </c>
      <c r="C9081">
        <f>"JS015SR"</f>
        <v>0</v>
      </c>
      <c r="D9081">
        <v>0</v>
      </c>
      <c r="E9081">
        <v>4</v>
      </c>
      <c r="F9081" s="2">
        <v>2</v>
      </c>
      <c r="H9081">
        <v>0</v>
      </c>
      <c r="I9081">
        <v>0.1741125760648204</v>
      </c>
      <c r="J9081">
        <v>0</v>
      </c>
      <c r="K9081">
        <v>0</v>
      </c>
      <c r="L9081" s="2">
        <v>0</v>
      </c>
      <c r="M9081">
        <v>88.83</v>
      </c>
      <c r="N9081" t="s">
        <v>10236</v>
      </c>
    </row>
    <row r="9082" spans="1:14">
      <c r="A9082" t="s">
        <v>25</v>
      </c>
      <c r="B9082" t="s">
        <v>9048</v>
      </c>
      <c r="C9082">
        <f>"JS015SJ"</f>
        <v>0</v>
      </c>
      <c r="D9082">
        <v>0</v>
      </c>
      <c r="E9082">
        <v>16</v>
      </c>
      <c r="F9082" s="2">
        <v>2</v>
      </c>
      <c r="H9082">
        <v>0</v>
      </c>
      <c r="I9082">
        <v>0.1741125760648204</v>
      </c>
      <c r="J9082">
        <v>0</v>
      </c>
      <c r="K9082">
        <v>0</v>
      </c>
      <c r="L9082" s="2">
        <v>0</v>
      </c>
      <c r="M9082">
        <v>88.84</v>
      </c>
      <c r="N9082" t="s">
        <v>10236</v>
      </c>
    </row>
    <row r="9083" spans="1:14">
      <c r="A9083" t="s">
        <v>25</v>
      </c>
      <c r="B9083" t="s">
        <v>9049</v>
      </c>
      <c r="C9083">
        <f>"JS015SA"</f>
        <v>0</v>
      </c>
      <c r="D9083">
        <v>0</v>
      </c>
      <c r="E9083">
        <v>8</v>
      </c>
      <c r="F9083" s="2">
        <v>2</v>
      </c>
      <c r="H9083">
        <v>0</v>
      </c>
      <c r="I9083">
        <v>0.1741125760648204</v>
      </c>
      <c r="J9083">
        <v>0</v>
      </c>
      <c r="K9083">
        <v>0</v>
      </c>
      <c r="L9083" s="2">
        <v>0</v>
      </c>
      <c r="M9083">
        <v>88.84999999999999</v>
      </c>
      <c r="N9083" t="s">
        <v>10236</v>
      </c>
    </row>
    <row r="9084" spans="1:14">
      <c r="A9084" t="s">
        <v>25</v>
      </c>
      <c r="B9084" t="s">
        <v>9050</v>
      </c>
      <c r="C9084">
        <f>"JS015MRO"</f>
        <v>0</v>
      </c>
      <c r="D9084">
        <v>0</v>
      </c>
      <c r="E9084">
        <v>20</v>
      </c>
      <c r="F9084" s="2">
        <v>3</v>
      </c>
      <c r="H9084">
        <v>0</v>
      </c>
      <c r="I9084">
        <v>0.1741125760648204</v>
      </c>
      <c r="J9084">
        <v>0</v>
      </c>
      <c r="K9084">
        <v>0</v>
      </c>
      <c r="L9084" s="2">
        <v>0</v>
      </c>
      <c r="M9084">
        <v>88.86</v>
      </c>
      <c r="N9084" t="s">
        <v>10236</v>
      </c>
    </row>
    <row r="9085" spans="1:14">
      <c r="A9085" t="s">
        <v>35</v>
      </c>
      <c r="B9085" t="s">
        <v>9051</v>
      </c>
      <c r="C9085">
        <f>"JU1"</f>
        <v>0</v>
      </c>
      <c r="D9085">
        <v>0</v>
      </c>
      <c r="E9085">
        <v>0</v>
      </c>
      <c r="F9085" s="2">
        <v>0</v>
      </c>
      <c r="H9085">
        <v>0</v>
      </c>
      <c r="I9085">
        <v>0.1741125760648204</v>
      </c>
      <c r="J9085">
        <v>0</v>
      </c>
      <c r="K9085">
        <v>0</v>
      </c>
      <c r="L9085" s="2">
        <v>0</v>
      </c>
      <c r="M9085">
        <v>88.87</v>
      </c>
      <c r="N9085" t="s">
        <v>10236</v>
      </c>
    </row>
    <row r="9086" spans="1:14">
      <c r="A9086" t="s">
        <v>35</v>
      </c>
      <c r="B9086" t="s">
        <v>9052</v>
      </c>
      <c r="C9086">
        <f>"6326S"</f>
        <v>0</v>
      </c>
      <c r="D9086">
        <v>0</v>
      </c>
      <c r="E9086">
        <v>0</v>
      </c>
      <c r="F9086" s="2">
        <v>0</v>
      </c>
      <c r="H9086">
        <v>0</v>
      </c>
      <c r="I9086">
        <v>0.1741125760648204</v>
      </c>
      <c r="J9086">
        <v>0</v>
      </c>
      <c r="K9086">
        <v>0</v>
      </c>
      <c r="L9086" s="2">
        <v>0</v>
      </c>
      <c r="M9086">
        <v>88.88</v>
      </c>
      <c r="N9086" t="s">
        <v>10236</v>
      </c>
    </row>
    <row r="9087" spans="1:14">
      <c r="A9087" t="s">
        <v>35</v>
      </c>
      <c r="B9087" t="s">
        <v>9053</v>
      </c>
      <c r="C9087">
        <f>"JW0108"</f>
        <v>0</v>
      </c>
      <c r="D9087">
        <v>0</v>
      </c>
      <c r="E9087">
        <v>6</v>
      </c>
      <c r="F9087" s="2">
        <v>3</v>
      </c>
      <c r="H9087">
        <v>0</v>
      </c>
      <c r="I9087">
        <v>0.1741125760648204</v>
      </c>
      <c r="J9087">
        <v>0</v>
      </c>
      <c r="K9087">
        <v>0</v>
      </c>
      <c r="L9087" s="2">
        <v>0</v>
      </c>
      <c r="M9087">
        <v>88.89</v>
      </c>
      <c r="N9087" t="s">
        <v>10236</v>
      </c>
    </row>
    <row r="9088" spans="1:14">
      <c r="A9088" t="s">
        <v>35</v>
      </c>
      <c r="B9088" t="s">
        <v>9054</v>
      </c>
      <c r="C9088">
        <f>"24001C"</f>
        <v>0</v>
      </c>
      <c r="D9088">
        <v>0</v>
      </c>
      <c r="E9088">
        <v>3</v>
      </c>
      <c r="F9088" s="2">
        <v>3</v>
      </c>
      <c r="H9088">
        <v>0</v>
      </c>
      <c r="I9088">
        <v>0.1741125760648204</v>
      </c>
      <c r="J9088">
        <v>0</v>
      </c>
      <c r="K9088">
        <v>0</v>
      </c>
      <c r="L9088" s="2">
        <v>0</v>
      </c>
      <c r="M9088">
        <v>88.90000000000001</v>
      </c>
      <c r="N9088" t="s">
        <v>10236</v>
      </c>
    </row>
    <row r="9089" spans="1:14">
      <c r="A9089" t="s">
        <v>35</v>
      </c>
      <c r="B9089" t="s">
        <v>9055</v>
      </c>
      <c r="C9089">
        <f>"KHBZ0166"</f>
        <v>0</v>
      </c>
      <c r="D9089">
        <v>0</v>
      </c>
      <c r="E9089">
        <v>11</v>
      </c>
      <c r="F9089" s="2">
        <v>1</v>
      </c>
      <c r="H9089">
        <v>0</v>
      </c>
      <c r="I9089">
        <v>0.1741125760648204</v>
      </c>
      <c r="J9089">
        <v>0</v>
      </c>
      <c r="K9089">
        <v>0</v>
      </c>
      <c r="L9089" s="2">
        <v>0</v>
      </c>
      <c r="M9089">
        <v>88.91</v>
      </c>
      <c r="N9089" t="s">
        <v>10236</v>
      </c>
    </row>
    <row r="9090" spans="1:14">
      <c r="A9090" t="s">
        <v>35</v>
      </c>
      <c r="B9090" t="s">
        <v>9056</v>
      </c>
      <c r="C9090">
        <f>"WPS196"</f>
        <v>0</v>
      </c>
      <c r="D9090">
        <v>0</v>
      </c>
      <c r="E9090">
        <v>0</v>
      </c>
      <c r="F9090" s="2">
        <v>0</v>
      </c>
      <c r="H9090">
        <v>0</v>
      </c>
      <c r="I9090">
        <v>0.1741125760648204</v>
      </c>
      <c r="J9090">
        <v>0</v>
      </c>
      <c r="K9090">
        <v>0</v>
      </c>
      <c r="L9090" s="2">
        <v>0</v>
      </c>
      <c r="M9090">
        <v>88.92</v>
      </c>
      <c r="N9090" t="s">
        <v>10236</v>
      </c>
    </row>
    <row r="9091" spans="1:14">
      <c r="A9091" t="s">
        <v>35</v>
      </c>
      <c r="B9091" t="s">
        <v>9057</v>
      </c>
      <c r="C9091">
        <f>"GE32"</f>
        <v>0</v>
      </c>
      <c r="D9091">
        <v>0</v>
      </c>
      <c r="E9091">
        <v>1</v>
      </c>
      <c r="F9091" s="2">
        <v>5</v>
      </c>
      <c r="H9091">
        <v>0</v>
      </c>
      <c r="I9091">
        <v>0.1741125760648204</v>
      </c>
      <c r="J9091">
        <v>0</v>
      </c>
      <c r="K9091">
        <v>0</v>
      </c>
      <c r="L9091" s="2">
        <v>0</v>
      </c>
      <c r="M9091">
        <v>88.92</v>
      </c>
      <c r="N9091" t="s">
        <v>10236</v>
      </c>
    </row>
    <row r="9092" spans="1:14">
      <c r="A9092" t="s">
        <v>35</v>
      </c>
      <c r="B9092" t="s">
        <v>9058</v>
      </c>
      <c r="C9092">
        <f>"AK6"</f>
        <v>0</v>
      </c>
      <c r="D9092">
        <v>0</v>
      </c>
      <c r="E9092">
        <v>11</v>
      </c>
      <c r="F9092" s="2">
        <v>5</v>
      </c>
      <c r="H9092">
        <v>0</v>
      </c>
      <c r="I9092">
        <v>0.1741125760648204</v>
      </c>
      <c r="J9092">
        <v>0</v>
      </c>
      <c r="K9092">
        <v>0</v>
      </c>
      <c r="L9092" s="2">
        <v>0</v>
      </c>
      <c r="M9092">
        <v>88.93000000000001</v>
      </c>
      <c r="N9092" t="s">
        <v>10236</v>
      </c>
    </row>
    <row r="9093" spans="1:14">
      <c r="A9093" t="s">
        <v>35</v>
      </c>
      <c r="B9093" t="s">
        <v>9059</v>
      </c>
      <c r="C9093">
        <f>"AK3"</f>
        <v>0</v>
      </c>
      <c r="D9093">
        <v>0</v>
      </c>
      <c r="E9093">
        <v>26</v>
      </c>
      <c r="F9093" s="2">
        <v>3</v>
      </c>
      <c r="H9093">
        <v>0</v>
      </c>
      <c r="I9093">
        <v>0.1741125760648204</v>
      </c>
      <c r="J9093">
        <v>0</v>
      </c>
      <c r="K9093">
        <v>0</v>
      </c>
      <c r="L9093" s="2">
        <v>0</v>
      </c>
      <c r="M9093">
        <v>88.94</v>
      </c>
      <c r="N9093" t="s">
        <v>10236</v>
      </c>
    </row>
    <row r="9094" spans="1:14">
      <c r="A9094" t="s">
        <v>35</v>
      </c>
      <c r="B9094" t="s">
        <v>9060</v>
      </c>
      <c r="C9094">
        <f>"AK2"</f>
        <v>0</v>
      </c>
      <c r="D9094">
        <v>0</v>
      </c>
      <c r="E9094">
        <v>9</v>
      </c>
      <c r="F9094" s="2">
        <v>3</v>
      </c>
      <c r="H9094">
        <v>0</v>
      </c>
      <c r="I9094">
        <v>0.1741125760648204</v>
      </c>
      <c r="J9094">
        <v>0</v>
      </c>
      <c r="K9094">
        <v>0</v>
      </c>
      <c r="L9094" s="2">
        <v>0</v>
      </c>
      <c r="M9094">
        <v>88.95</v>
      </c>
      <c r="N9094" t="s">
        <v>10236</v>
      </c>
    </row>
    <row r="9095" spans="1:14">
      <c r="A9095" t="s">
        <v>35</v>
      </c>
      <c r="B9095" t="s">
        <v>9061</v>
      </c>
      <c r="C9095">
        <f>"AK1"</f>
        <v>0</v>
      </c>
      <c r="D9095">
        <v>0</v>
      </c>
      <c r="E9095">
        <v>10</v>
      </c>
      <c r="F9095" s="2">
        <v>3</v>
      </c>
      <c r="H9095">
        <v>0</v>
      </c>
      <c r="I9095">
        <v>0.1741125760648204</v>
      </c>
      <c r="J9095">
        <v>0</v>
      </c>
      <c r="K9095">
        <v>0</v>
      </c>
      <c r="L9095" s="2">
        <v>0</v>
      </c>
      <c r="M9095">
        <v>88.95999999999999</v>
      </c>
      <c r="N9095" t="s">
        <v>10236</v>
      </c>
    </row>
    <row r="9096" spans="1:14">
      <c r="A9096" t="s">
        <v>35</v>
      </c>
      <c r="B9096" t="s">
        <v>9062</v>
      </c>
      <c r="C9096">
        <f>"1207XXL"</f>
        <v>0</v>
      </c>
      <c r="D9096">
        <v>0</v>
      </c>
      <c r="E9096">
        <v>0</v>
      </c>
      <c r="F9096" s="2">
        <v>0</v>
      </c>
      <c r="H9096">
        <v>0</v>
      </c>
      <c r="I9096">
        <v>0.1741125760648204</v>
      </c>
      <c r="J9096">
        <v>0</v>
      </c>
      <c r="K9096">
        <v>0</v>
      </c>
      <c r="L9096" s="2">
        <v>0</v>
      </c>
      <c r="M9096">
        <v>88.97</v>
      </c>
      <c r="N9096" t="s">
        <v>10236</v>
      </c>
    </row>
    <row r="9097" spans="1:14">
      <c r="A9097" t="s">
        <v>35</v>
      </c>
      <c r="B9097" t="s">
        <v>9063</v>
      </c>
      <c r="C9097">
        <f>"1207XL"</f>
        <v>0</v>
      </c>
      <c r="D9097">
        <v>0</v>
      </c>
      <c r="E9097">
        <v>0</v>
      </c>
      <c r="F9097" s="2">
        <v>0</v>
      </c>
      <c r="H9097">
        <v>0</v>
      </c>
      <c r="I9097">
        <v>0.1741125760648204</v>
      </c>
      <c r="J9097">
        <v>0</v>
      </c>
      <c r="K9097">
        <v>0</v>
      </c>
      <c r="L9097" s="2">
        <v>0</v>
      </c>
      <c r="M9097">
        <v>88.98</v>
      </c>
      <c r="N9097" t="s">
        <v>10236</v>
      </c>
    </row>
    <row r="9098" spans="1:14">
      <c r="A9098" t="s">
        <v>35</v>
      </c>
      <c r="B9098" t="s">
        <v>9064</v>
      </c>
      <c r="C9098">
        <f>"10218"</f>
        <v>0</v>
      </c>
      <c r="D9098">
        <v>0</v>
      </c>
      <c r="E9098">
        <v>0</v>
      </c>
      <c r="F9098" s="2">
        <v>0</v>
      </c>
      <c r="H9098">
        <v>0</v>
      </c>
      <c r="I9098">
        <v>0.1741125760648204</v>
      </c>
      <c r="J9098">
        <v>0</v>
      </c>
      <c r="K9098">
        <v>0</v>
      </c>
      <c r="L9098" s="2">
        <v>0</v>
      </c>
      <c r="M9098">
        <v>88.98999999999999</v>
      </c>
      <c r="N9098" t="s">
        <v>10236</v>
      </c>
    </row>
    <row r="9099" spans="1:14">
      <c r="A9099" t="s">
        <v>35</v>
      </c>
      <c r="B9099" t="s">
        <v>9065</v>
      </c>
      <c r="C9099">
        <f>"10217"</f>
        <v>0</v>
      </c>
      <c r="D9099">
        <v>0</v>
      </c>
      <c r="E9099">
        <v>2</v>
      </c>
      <c r="F9099" s="2">
        <v>134</v>
      </c>
      <c r="H9099">
        <v>0</v>
      </c>
      <c r="I9099">
        <v>0.1741125760648204</v>
      </c>
      <c r="J9099">
        <v>0</v>
      </c>
      <c r="K9099">
        <v>0</v>
      </c>
      <c r="L9099" s="2">
        <v>0</v>
      </c>
      <c r="M9099">
        <v>89</v>
      </c>
      <c r="N9099" t="s">
        <v>10236</v>
      </c>
    </row>
    <row r="9100" spans="1:14">
      <c r="A9100" t="s">
        <v>35</v>
      </c>
      <c r="B9100" t="s">
        <v>9066</v>
      </c>
      <c r="C9100">
        <f>"MI2"</f>
        <v>0</v>
      </c>
      <c r="D9100">
        <v>0</v>
      </c>
      <c r="E9100">
        <v>0</v>
      </c>
      <c r="F9100" s="2">
        <v>0</v>
      </c>
      <c r="H9100">
        <v>0</v>
      </c>
      <c r="I9100">
        <v>0.1741125760648204</v>
      </c>
      <c r="J9100">
        <v>0</v>
      </c>
      <c r="K9100">
        <v>0</v>
      </c>
      <c r="L9100" s="2">
        <v>0</v>
      </c>
      <c r="M9100">
        <v>89.01000000000001</v>
      </c>
      <c r="N9100" t="s">
        <v>10236</v>
      </c>
    </row>
    <row r="9101" spans="1:14">
      <c r="A9101" t="s">
        <v>35</v>
      </c>
      <c r="B9101" t="s">
        <v>9067</v>
      </c>
      <c r="C9101">
        <f>"GDXBL"</f>
        <v>0</v>
      </c>
      <c r="D9101">
        <v>0</v>
      </c>
      <c r="E9101">
        <v>2</v>
      </c>
      <c r="F9101" s="2">
        <v>3</v>
      </c>
      <c r="H9101">
        <v>0</v>
      </c>
      <c r="I9101">
        <v>0.1741125760648204</v>
      </c>
      <c r="J9101">
        <v>0</v>
      </c>
      <c r="K9101">
        <v>0</v>
      </c>
      <c r="L9101" s="2">
        <v>0</v>
      </c>
      <c r="M9101">
        <v>89.02</v>
      </c>
      <c r="N9101" t="s">
        <v>10236</v>
      </c>
    </row>
    <row r="9102" spans="1:14">
      <c r="A9102" t="s">
        <v>35</v>
      </c>
      <c r="B9102" t="s">
        <v>9068</v>
      </c>
      <c r="C9102">
        <f>"PD20008M"</f>
        <v>0</v>
      </c>
      <c r="D9102">
        <v>0</v>
      </c>
      <c r="E9102">
        <v>29</v>
      </c>
      <c r="F9102" s="2">
        <v>3</v>
      </c>
      <c r="H9102">
        <v>0</v>
      </c>
      <c r="I9102">
        <v>0.1741125760648204</v>
      </c>
      <c r="J9102">
        <v>0</v>
      </c>
      <c r="K9102">
        <v>0</v>
      </c>
      <c r="L9102" s="2">
        <v>0</v>
      </c>
      <c r="M9102">
        <v>89.03</v>
      </c>
      <c r="N9102" t="s">
        <v>10236</v>
      </c>
    </row>
    <row r="9103" spans="1:14">
      <c r="A9103" t="s">
        <v>35</v>
      </c>
      <c r="B9103" t="s">
        <v>9069</v>
      </c>
      <c r="C9103">
        <f>"FB526XLROMP"</f>
        <v>0</v>
      </c>
      <c r="D9103">
        <v>0</v>
      </c>
      <c r="E9103">
        <v>0</v>
      </c>
      <c r="F9103" s="2">
        <v>0</v>
      </c>
      <c r="H9103">
        <v>0</v>
      </c>
      <c r="I9103">
        <v>0.1741125760648204</v>
      </c>
      <c r="J9103">
        <v>0</v>
      </c>
      <c r="K9103">
        <v>0</v>
      </c>
      <c r="L9103" s="2">
        <v>0</v>
      </c>
      <c r="M9103">
        <v>89.04000000000001</v>
      </c>
      <c r="N9103" t="s">
        <v>10236</v>
      </c>
    </row>
    <row r="9104" spans="1:14">
      <c r="A9104" t="s">
        <v>205</v>
      </c>
      <c r="B9104" t="s">
        <v>9070</v>
      </c>
      <c r="C9104">
        <f>"XX225"</f>
        <v>0</v>
      </c>
      <c r="D9104">
        <v>0</v>
      </c>
      <c r="E9104">
        <v>0</v>
      </c>
      <c r="F9104" s="2">
        <v>0</v>
      </c>
      <c r="H9104">
        <v>0</v>
      </c>
      <c r="I9104">
        <v>0.1741125760648204</v>
      </c>
      <c r="J9104">
        <v>0</v>
      </c>
      <c r="K9104">
        <v>0</v>
      </c>
      <c r="L9104" s="2">
        <v>0</v>
      </c>
      <c r="M9104">
        <v>89.04000000000001</v>
      </c>
      <c r="N9104" t="s">
        <v>10236</v>
      </c>
    </row>
    <row r="9105" spans="1:14">
      <c r="A9105" t="s">
        <v>35</v>
      </c>
      <c r="B9105" t="s">
        <v>9071</v>
      </c>
      <c r="C9105">
        <f>"XX259"</f>
        <v>0</v>
      </c>
      <c r="D9105">
        <v>0</v>
      </c>
      <c r="E9105">
        <v>0</v>
      </c>
      <c r="F9105" s="2">
        <v>0</v>
      </c>
      <c r="H9105">
        <v>0</v>
      </c>
      <c r="I9105">
        <v>0.1741125760648204</v>
      </c>
      <c r="J9105">
        <v>0</v>
      </c>
      <c r="K9105">
        <v>0</v>
      </c>
      <c r="L9105" s="2">
        <v>0</v>
      </c>
      <c r="M9105">
        <v>89.05</v>
      </c>
      <c r="N9105" t="s">
        <v>10236</v>
      </c>
    </row>
    <row r="9106" spans="1:14">
      <c r="A9106" t="s">
        <v>35</v>
      </c>
      <c r="B9106" t="s">
        <v>9072</v>
      </c>
      <c r="C9106">
        <f>"XX214"</f>
        <v>0</v>
      </c>
      <c r="D9106">
        <v>0</v>
      </c>
      <c r="E9106">
        <v>0</v>
      </c>
      <c r="F9106" s="2">
        <v>0</v>
      </c>
      <c r="H9106">
        <v>0</v>
      </c>
      <c r="I9106">
        <v>0.1741125760648204</v>
      </c>
      <c r="J9106">
        <v>0</v>
      </c>
      <c r="K9106">
        <v>0</v>
      </c>
      <c r="L9106" s="2">
        <v>0</v>
      </c>
      <c r="M9106">
        <v>89.06</v>
      </c>
      <c r="N9106" t="s">
        <v>10236</v>
      </c>
    </row>
    <row r="9107" spans="1:14">
      <c r="A9107" t="s">
        <v>35</v>
      </c>
      <c r="B9107" t="s">
        <v>9073</v>
      </c>
      <c r="C9107">
        <f>"XX244"</f>
        <v>0</v>
      </c>
      <c r="D9107">
        <v>0</v>
      </c>
      <c r="E9107">
        <v>0</v>
      </c>
      <c r="F9107" s="2">
        <v>0</v>
      </c>
      <c r="H9107">
        <v>0</v>
      </c>
      <c r="I9107">
        <v>0.1741125760648204</v>
      </c>
      <c r="J9107">
        <v>0</v>
      </c>
      <c r="K9107">
        <v>0</v>
      </c>
      <c r="L9107" s="2">
        <v>0</v>
      </c>
      <c r="M9107">
        <v>89.06999999999999</v>
      </c>
      <c r="N9107" t="s">
        <v>10236</v>
      </c>
    </row>
    <row r="9108" spans="1:14">
      <c r="A9108" t="s">
        <v>35</v>
      </c>
      <c r="B9108" t="s">
        <v>9074</v>
      </c>
      <c r="C9108">
        <f>"XX209"</f>
        <v>0</v>
      </c>
      <c r="D9108">
        <v>0</v>
      </c>
      <c r="E9108">
        <v>1</v>
      </c>
      <c r="F9108" s="2">
        <v>2</v>
      </c>
      <c r="H9108">
        <v>0</v>
      </c>
      <c r="I9108">
        <v>0.1741125760648204</v>
      </c>
      <c r="J9108">
        <v>0</v>
      </c>
      <c r="K9108">
        <v>0</v>
      </c>
      <c r="L9108" s="2">
        <v>0</v>
      </c>
      <c r="M9108">
        <v>89.08</v>
      </c>
      <c r="N9108" t="s">
        <v>10236</v>
      </c>
    </row>
    <row r="9109" spans="1:14">
      <c r="A9109" t="s">
        <v>35</v>
      </c>
      <c r="B9109" t="s">
        <v>9075</v>
      </c>
      <c r="C9109">
        <f>"MF910"</f>
        <v>0</v>
      </c>
      <c r="D9109">
        <v>0</v>
      </c>
      <c r="E9109">
        <v>26</v>
      </c>
      <c r="F9109" s="2">
        <v>7</v>
      </c>
      <c r="H9109">
        <v>0</v>
      </c>
      <c r="I9109">
        <v>0.1741125760648204</v>
      </c>
      <c r="J9109">
        <v>0</v>
      </c>
      <c r="K9109">
        <v>0</v>
      </c>
      <c r="L9109" s="2">
        <v>0</v>
      </c>
      <c r="M9109">
        <v>89.09</v>
      </c>
      <c r="N9109" t="s">
        <v>10236</v>
      </c>
    </row>
    <row r="9110" spans="1:14">
      <c r="A9110" t="s">
        <v>192</v>
      </c>
      <c r="B9110" t="s">
        <v>9076</v>
      </c>
      <c r="C9110">
        <f>"6765422"</f>
        <v>0</v>
      </c>
      <c r="D9110">
        <v>0</v>
      </c>
      <c r="E9110">
        <v>0</v>
      </c>
      <c r="F9110" s="2">
        <v>0</v>
      </c>
      <c r="H9110">
        <v>0</v>
      </c>
      <c r="I9110">
        <v>0.1741125760648204</v>
      </c>
      <c r="J9110">
        <v>0</v>
      </c>
      <c r="K9110">
        <v>0</v>
      </c>
      <c r="L9110" s="2">
        <v>0</v>
      </c>
      <c r="M9110">
        <v>89.09999999999999</v>
      </c>
      <c r="N9110" t="s">
        <v>10236</v>
      </c>
    </row>
    <row r="9111" spans="1:14">
      <c r="A9111" t="s">
        <v>35</v>
      </c>
      <c r="B9111" t="s">
        <v>9077</v>
      </c>
      <c r="C9111">
        <f>"PT239O"</f>
        <v>0</v>
      </c>
      <c r="D9111">
        <v>0</v>
      </c>
      <c r="E9111">
        <v>0</v>
      </c>
      <c r="F9111" s="2">
        <v>0</v>
      </c>
      <c r="H9111">
        <v>0</v>
      </c>
      <c r="I9111">
        <v>0.1741125760648204</v>
      </c>
      <c r="J9111">
        <v>0</v>
      </c>
      <c r="K9111">
        <v>0</v>
      </c>
      <c r="L9111" s="2">
        <v>0</v>
      </c>
      <c r="M9111">
        <v>89.11</v>
      </c>
      <c r="N9111" t="s">
        <v>10236</v>
      </c>
    </row>
    <row r="9112" spans="1:14">
      <c r="A9112" t="s">
        <v>35</v>
      </c>
      <c r="B9112" t="s">
        <v>9078</v>
      </c>
      <c r="C9112">
        <f>"PCC012"</f>
        <v>0</v>
      </c>
      <c r="D9112">
        <v>0</v>
      </c>
      <c r="E9112">
        <v>0</v>
      </c>
      <c r="F9112" s="2">
        <v>0</v>
      </c>
      <c r="H9112">
        <v>0</v>
      </c>
      <c r="I9112">
        <v>0.1741125760648204</v>
      </c>
      <c r="J9112">
        <v>0</v>
      </c>
      <c r="K9112">
        <v>0</v>
      </c>
      <c r="L9112" s="2">
        <v>0</v>
      </c>
      <c r="M9112">
        <v>89.12</v>
      </c>
      <c r="N9112" t="s">
        <v>10236</v>
      </c>
    </row>
    <row r="9113" spans="1:14">
      <c r="A9113" t="s">
        <v>35</v>
      </c>
      <c r="B9113" t="s">
        <v>9079</v>
      </c>
      <c r="C9113">
        <f>"QZWJ022"</f>
        <v>0</v>
      </c>
      <c r="D9113">
        <v>0</v>
      </c>
      <c r="E9113">
        <v>0</v>
      </c>
      <c r="F9113" s="2">
        <v>0</v>
      </c>
      <c r="H9113">
        <v>0</v>
      </c>
      <c r="I9113">
        <v>0.1741125760648204</v>
      </c>
      <c r="J9113">
        <v>0</v>
      </c>
      <c r="K9113">
        <v>0</v>
      </c>
      <c r="L9113" s="2">
        <v>0</v>
      </c>
      <c r="M9113">
        <v>89.13</v>
      </c>
      <c r="N9113" t="s">
        <v>10236</v>
      </c>
    </row>
    <row r="9114" spans="1:14">
      <c r="A9114" t="s">
        <v>35</v>
      </c>
      <c r="B9114" t="s">
        <v>9080</v>
      </c>
      <c r="C9114">
        <f>"YJ2610A"</f>
        <v>0</v>
      </c>
      <c r="D9114">
        <v>0</v>
      </c>
      <c r="E9114">
        <v>0</v>
      </c>
      <c r="F9114" s="2">
        <v>0</v>
      </c>
      <c r="H9114">
        <v>0</v>
      </c>
      <c r="I9114">
        <v>0.1741125760648204</v>
      </c>
      <c r="J9114">
        <v>0</v>
      </c>
      <c r="K9114">
        <v>0</v>
      </c>
      <c r="L9114" s="2">
        <v>0</v>
      </c>
      <c r="M9114">
        <v>89.14</v>
      </c>
      <c r="N9114" t="s">
        <v>10236</v>
      </c>
    </row>
    <row r="9115" spans="1:14">
      <c r="A9115" t="s">
        <v>35</v>
      </c>
      <c r="B9115" t="s">
        <v>9081</v>
      </c>
      <c r="C9115">
        <f>"YJ2610N"</f>
        <v>0</v>
      </c>
      <c r="D9115">
        <v>0</v>
      </c>
      <c r="E9115">
        <v>0</v>
      </c>
      <c r="F9115" s="2">
        <v>0</v>
      </c>
      <c r="H9115">
        <v>0</v>
      </c>
      <c r="I9115">
        <v>0.1741125760648204</v>
      </c>
      <c r="J9115">
        <v>0</v>
      </c>
      <c r="K9115">
        <v>0</v>
      </c>
      <c r="L9115" s="2">
        <v>0</v>
      </c>
      <c r="M9115">
        <v>89.15000000000001</v>
      </c>
      <c r="N9115" t="s">
        <v>10236</v>
      </c>
    </row>
    <row r="9116" spans="1:14">
      <c r="A9116" t="s">
        <v>35</v>
      </c>
      <c r="B9116" t="s">
        <v>9082</v>
      </c>
      <c r="C9116">
        <f>"W2017"</f>
        <v>0</v>
      </c>
      <c r="D9116">
        <v>0</v>
      </c>
      <c r="E9116">
        <v>3</v>
      </c>
      <c r="F9116" s="2">
        <v>4</v>
      </c>
      <c r="H9116">
        <v>0</v>
      </c>
      <c r="I9116">
        <v>0.1741125760648204</v>
      </c>
      <c r="J9116">
        <v>0</v>
      </c>
      <c r="K9116">
        <v>0</v>
      </c>
      <c r="L9116" s="2">
        <v>0</v>
      </c>
      <c r="M9116">
        <v>89.15000000000001</v>
      </c>
      <c r="N9116" t="s">
        <v>10236</v>
      </c>
    </row>
    <row r="9117" spans="1:14">
      <c r="A9117" t="s">
        <v>35</v>
      </c>
      <c r="B9117" t="s">
        <v>9083</v>
      </c>
      <c r="C9117">
        <f>"WPS288"</f>
        <v>0</v>
      </c>
      <c r="D9117">
        <v>0</v>
      </c>
      <c r="E9117">
        <v>6</v>
      </c>
      <c r="F9117" s="2">
        <v>3</v>
      </c>
      <c r="H9117">
        <v>0</v>
      </c>
      <c r="I9117">
        <v>0.1741125760648204</v>
      </c>
      <c r="J9117">
        <v>0</v>
      </c>
      <c r="K9117">
        <v>0</v>
      </c>
      <c r="L9117" s="2">
        <v>0</v>
      </c>
      <c r="M9117">
        <v>89.16</v>
      </c>
      <c r="N9117" t="s">
        <v>10236</v>
      </c>
    </row>
    <row r="9118" spans="1:14">
      <c r="A9118" t="s">
        <v>35</v>
      </c>
      <c r="B9118" t="s">
        <v>9084</v>
      </c>
      <c r="C9118">
        <f>"MCW129"</f>
        <v>0</v>
      </c>
      <c r="D9118">
        <v>0</v>
      </c>
      <c r="E9118">
        <v>0</v>
      </c>
      <c r="F9118" s="2">
        <v>0</v>
      </c>
      <c r="H9118">
        <v>0</v>
      </c>
      <c r="I9118">
        <v>0.1741125760648204</v>
      </c>
      <c r="J9118">
        <v>0</v>
      </c>
      <c r="K9118">
        <v>0</v>
      </c>
      <c r="L9118" s="2">
        <v>0</v>
      </c>
      <c r="M9118">
        <v>89.17</v>
      </c>
      <c r="N9118" t="s">
        <v>10236</v>
      </c>
    </row>
    <row r="9119" spans="1:14">
      <c r="A9119" t="s">
        <v>35</v>
      </c>
      <c r="B9119" t="s">
        <v>9085</v>
      </c>
      <c r="C9119">
        <f>"PT257M"</f>
        <v>0</v>
      </c>
      <c r="D9119">
        <v>0</v>
      </c>
      <c r="E9119">
        <v>0</v>
      </c>
      <c r="F9119" s="2">
        <v>0</v>
      </c>
      <c r="H9119">
        <v>0</v>
      </c>
      <c r="I9119">
        <v>0.1741125760648204</v>
      </c>
      <c r="J9119">
        <v>0</v>
      </c>
      <c r="K9119">
        <v>0</v>
      </c>
      <c r="L9119" s="2">
        <v>0</v>
      </c>
      <c r="M9119">
        <v>89.18000000000001</v>
      </c>
      <c r="N9119" t="s">
        <v>10236</v>
      </c>
    </row>
    <row r="9120" spans="1:14">
      <c r="A9120" t="s">
        <v>25</v>
      </c>
      <c r="B9120" t="s">
        <v>9086</v>
      </c>
      <c r="C9120">
        <f>"6765057"</f>
        <v>0</v>
      </c>
      <c r="D9120">
        <v>0</v>
      </c>
      <c r="E9120">
        <v>0</v>
      </c>
      <c r="F9120" s="2">
        <v>0</v>
      </c>
      <c r="H9120">
        <v>0</v>
      </c>
      <c r="I9120">
        <v>0.1741125760648204</v>
      </c>
      <c r="J9120">
        <v>0</v>
      </c>
      <c r="K9120">
        <v>0</v>
      </c>
      <c r="L9120" s="2">
        <v>0</v>
      </c>
      <c r="M9120">
        <v>89.19</v>
      </c>
      <c r="N9120" t="s">
        <v>10236</v>
      </c>
    </row>
    <row r="9121" spans="1:14">
      <c r="A9121" t="s">
        <v>25</v>
      </c>
      <c r="B9121" t="s">
        <v>9087</v>
      </c>
      <c r="C9121">
        <f>"6765200"</f>
        <v>0</v>
      </c>
      <c r="D9121">
        <v>0</v>
      </c>
      <c r="E9121">
        <v>2</v>
      </c>
      <c r="F9121" s="2">
        <v>1</v>
      </c>
      <c r="H9121">
        <v>0</v>
      </c>
      <c r="I9121">
        <v>0.1741125760648204</v>
      </c>
      <c r="J9121">
        <v>0</v>
      </c>
      <c r="K9121">
        <v>0</v>
      </c>
      <c r="L9121" s="2">
        <v>0</v>
      </c>
      <c r="M9121">
        <v>89.2</v>
      </c>
      <c r="N9121" t="s">
        <v>10236</v>
      </c>
    </row>
    <row r="9122" spans="1:14">
      <c r="A9122" t="s">
        <v>25</v>
      </c>
      <c r="B9122" t="s">
        <v>9088</v>
      </c>
      <c r="C9122">
        <f>"6765170"</f>
        <v>0</v>
      </c>
      <c r="D9122">
        <v>0</v>
      </c>
      <c r="E9122">
        <v>7</v>
      </c>
      <c r="F9122" s="2">
        <v>1</v>
      </c>
      <c r="H9122">
        <v>0</v>
      </c>
      <c r="I9122">
        <v>0.1741125760648204</v>
      </c>
      <c r="J9122">
        <v>0</v>
      </c>
      <c r="K9122">
        <v>0</v>
      </c>
      <c r="L9122" s="2">
        <v>0</v>
      </c>
      <c r="M9122">
        <v>89.20999999999999</v>
      </c>
      <c r="N9122" t="s">
        <v>10236</v>
      </c>
    </row>
    <row r="9123" spans="1:14">
      <c r="A9123" t="s">
        <v>25</v>
      </c>
      <c r="B9123" t="s">
        <v>9089</v>
      </c>
      <c r="C9123">
        <f>"6765101"</f>
        <v>0</v>
      </c>
      <c r="D9123">
        <v>0</v>
      </c>
      <c r="E9123">
        <v>14</v>
      </c>
      <c r="F9123" s="2">
        <v>2</v>
      </c>
      <c r="H9123">
        <v>0</v>
      </c>
      <c r="I9123">
        <v>0.1741125760648204</v>
      </c>
      <c r="J9123">
        <v>0</v>
      </c>
      <c r="K9123">
        <v>0</v>
      </c>
      <c r="L9123" s="2">
        <v>0</v>
      </c>
      <c r="M9123">
        <v>89.22</v>
      </c>
      <c r="N9123" t="s">
        <v>10236</v>
      </c>
    </row>
    <row r="9124" spans="1:14">
      <c r="A9124" t="s">
        <v>35</v>
      </c>
      <c r="B9124" t="s">
        <v>9090</v>
      </c>
      <c r="C9124">
        <f>"XX262"</f>
        <v>0</v>
      </c>
      <c r="D9124">
        <v>0</v>
      </c>
      <c r="E9124">
        <v>0</v>
      </c>
      <c r="F9124" s="2">
        <v>0</v>
      </c>
      <c r="H9124">
        <v>0</v>
      </c>
      <c r="I9124">
        <v>0.1741125760648204</v>
      </c>
      <c r="J9124">
        <v>0</v>
      </c>
      <c r="K9124">
        <v>0</v>
      </c>
      <c r="L9124" s="2">
        <v>0</v>
      </c>
      <c r="M9124">
        <v>89.23</v>
      </c>
      <c r="N9124" t="s">
        <v>10236</v>
      </c>
    </row>
    <row r="9125" spans="1:14">
      <c r="A9125" t="s">
        <v>35</v>
      </c>
      <c r="B9125" t="s">
        <v>9091</v>
      </c>
      <c r="C9125">
        <f>"XX210"</f>
        <v>0</v>
      </c>
      <c r="D9125">
        <v>0</v>
      </c>
      <c r="E9125">
        <v>0</v>
      </c>
      <c r="F9125" s="2">
        <v>0</v>
      </c>
      <c r="H9125">
        <v>0</v>
      </c>
      <c r="I9125">
        <v>0.1741125760648204</v>
      </c>
      <c r="J9125">
        <v>0</v>
      </c>
      <c r="K9125">
        <v>0</v>
      </c>
      <c r="L9125" s="2">
        <v>0</v>
      </c>
      <c r="M9125">
        <v>89.23999999999999</v>
      </c>
      <c r="N9125" t="s">
        <v>10236</v>
      </c>
    </row>
    <row r="9126" spans="1:14">
      <c r="A9126" t="s">
        <v>35</v>
      </c>
      <c r="B9126" t="s">
        <v>9092</v>
      </c>
      <c r="C9126">
        <f>"df027e"</f>
        <v>0</v>
      </c>
      <c r="D9126">
        <v>0</v>
      </c>
      <c r="E9126">
        <v>1</v>
      </c>
      <c r="F9126" s="2">
        <v>711</v>
      </c>
      <c r="H9126">
        <v>0</v>
      </c>
      <c r="I9126">
        <v>0.1741125760648204</v>
      </c>
      <c r="J9126">
        <v>0</v>
      </c>
      <c r="K9126">
        <v>0</v>
      </c>
      <c r="L9126" s="2">
        <v>0</v>
      </c>
      <c r="M9126">
        <v>89.25</v>
      </c>
      <c r="N9126" t="s">
        <v>10236</v>
      </c>
    </row>
    <row r="9127" spans="1:14">
      <c r="A9127" t="s">
        <v>35</v>
      </c>
      <c r="B9127" t="s">
        <v>9093</v>
      </c>
      <c r="C9127">
        <f>"HTL50"</f>
        <v>0</v>
      </c>
      <c r="D9127">
        <v>0</v>
      </c>
      <c r="E9127">
        <v>0</v>
      </c>
      <c r="F9127" s="2">
        <v>0</v>
      </c>
      <c r="H9127">
        <v>0</v>
      </c>
      <c r="I9127">
        <v>0.1741125760648204</v>
      </c>
      <c r="J9127">
        <v>0</v>
      </c>
      <c r="K9127">
        <v>0</v>
      </c>
      <c r="L9127" s="2">
        <v>0</v>
      </c>
      <c r="M9127">
        <v>89.26000000000001</v>
      </c>
      <c r="N9127" t="s">
        <v>10236</v>
      </c>
    </row>
    <row r="9128" spans="1:14">
      <c r="A9128" t="s">
        <v>35</v>
      </c>
      <c r="B9128" t="s">
        <v>9094</v>
      </c>
      <c r="C9128">
        <f>"MCW118"</f>
        <v>0</v>
      </c>
      <c r="D9128">
        <v>0</v>
      </c>
      <c r="E9128">
        <v>2</v>
      </c>
      <c r="F9128" s="2">
        <v>1</v>
      </c>
      <c r="H9128">
        <v>0</v>
      </c>
      <c r="I9128">
        <v>0.1741125760648204</v>
      </c>
      <c r="J9128">
        <v>0</v>
      </c>
      <c r="K9128">
        <v>0</v>
      </c>
      <c r="L9128" s="2">
        <v>0</v>
      </c>
      <c r="M9128">
        <v>89.27</v>
      </c>
      <c r="N9128" t="s">
        <v>10236</v>
      </c>
    </row>
    <row r="9129" spans="1:14">
      <c r="A9129" t="s">
        <v>35</v>
      </c>
      <c r="B9129" t="s">
        <v>9095</v>
      </c>
      <c r="C9129">
        <f>"ZRD2018015"</f>
        <v>0</v>
      </c>
      <c r="D9129">
        <v>0</v>
      </c>
      <c r="E9129">
        <v>0</v>
      </c>
      <c r="F9129" s="2">
        <v>0</v>
      </c>
      <c r="H9129">
        <v>0</v>
      </c>
      <c r="I9129">
        <v>0.1741125760648204</v>
      </c>
      <c r="J9129">
        <v>0</v>
      </c>
      <c r="K9129">
        <v>0</v>
      </c>
      <c r="L9129" s="2">
        <v>0</v>
      </c>
      <c r="M9129">
        <v>89.27</v>
      </c>
      <c r="N9129" t="s">
        <v>10236</v>
      </c>
    </row>
    <row r="9130" spans="1:14">
      <c r="A9130" t="s">
        <v>200</v>
      </c>
      <c r="B9130" t="s">
        <v>9096</v>
      </c>
      <c r="C9130">
        <f>"ZRD2014014"</f>
        <v>0</v>
      </c>
      <c r="D9130">
        <v>0</v>
      </c>
      <c r="E9130">
        <v>0</v>
      </c>
      <c r="F9130" s="2">
        <v>0</v>
      </c>
      <c r="H9130">
        <v>0</v>
      </c>
      <c r="I9130">
        <v>0.1741125760648204</v>
      </c>
      <c r="J9130">
        <v>0</v>
      </c>
      <c r="K9130">
        <v>0</v>
      </c>
      <c r="L9130" s="2">
        <v>0</v>
      </c>
      <c r="M9130">
        <v>89.28</v>
      </c>
      <c r="N9130" t="s">
        <v>10236</v>
      </c>
    </row>
    <row r="9131" spans="1:14">
      <c r="A9131" t="s">
        <v>35</v>
      </c>
      <c r="B9131" t="s">
        <v>9097</v>
      </c>
      <c r="C9131">
        <f>"PT312M"</f>
        <v>0</v>
      </c>
      <c r="D9131">
        <v>0</v>
      </c>
      <c r="E9131">
        <v>0</v>
      </c>
      <c r="F9131" s="2">
        <v>0</v>
      </c>
      <c r="H9131">
        <v>0</v>
      </c>
      <c r="I9131">
        <v>0.1741125760648204</v>
      </c>
      <c r="J9131">
        <v>0</v>
      </c>
      <c r="K9131">
        <v>0</v>
      </c>
      <c r="L9131" s="2">
        <v>0</v>
      </c>
      <c r="M9131">
        <v>89.29000000000001</v>
      </c>
      <c r="N9131" t="s">
        <v>10236</v>
      </c>
    </row>
    <row r="9132" spans="1:14">
      <c r="A9132" t="s">
        <v>35</v>
      </c>
      <c r="B9132" t="s">
        <v>9098</v>
      </c>
      <c r="C9132">
        <f>"QZWJ001"</f>
        <v>0</v>
      </c>
      <c r="D9132">
        <v>0</v>
      </c>
      <c r="E9132">
        <v>0</v>
      </c>
      <c r="F9132" s="2">
        <v>0</v>
      </c>
      <c r="H9132">
        <v>0</v>
      </c>
      <c r="I9132">
        <v>0.1741125760648204</v>
      </c>
      <c r="J9132">
        <v>0</v>
      </c>
      <c r="K9132">
        <v>0</v>
      </c>
      <c r="L9132" s="2">
        <v>0</v>
      </c>
      <c r="M9132">
        <v>89.3</v>
      </c>
      <c r="N9132" t="s">
        <v>10236</v>
      </c>
    </row>
    <row r="9133" spans="1:14">
      <c r="A9133" t="s">
        <v>35</v>
      </c>
      <c r="B9133" t="s">
        <v>9099</v>
      </c>
      <c r="C9133">
        <f>"PT239P"</f>
        <v>0</v>
      </c>
      <c r="D9133">
        <v>0</v>
      </c>
      <c r="E9133">
        <v>0</v>
      </c>
      <c r="F9133" s="2">
        <v>0</v>
      </c>
      <c r="H9133">
        <v>0</v>
      </c>
      <c r="I9133">
        <v>0.1741125760648204</v>
      </c>
      <c r="J9133">
        <v>0</v>
      </c>
      <c r="K9133">
        <v>0</v>
      </c>
      <c r="L9133" s="2">
        <v>0</v>
      </c>
      <c r="M9133">
        <v>89.31</v>
      </c>
      <c r="N9133" t="s">
        <v>10236</v>
      </c>
    </row>
    <row r="9134" spans="1:14">
      <c r="A9134" t="s">
        <v>35</v>
      </c>
      <c r="B9134" t="s">
        <v>9100</v>
      </c>
      <c r="C9134">
        <f>"QZWJ019"</f>
        <v>0</v>
      </c>
      <c r="D9134">
        <v>0</v>
      </c>
      <c r="E9134">
        <v>0</v>
      </c>
      <c r="F9134" s="2">
        <v>0</v>
      </c>
      <c r="H9134">
        <v>0</v>
      </c>
      <c r="I9134">
        <v>0.1741125760648204</v>
      </c>
      <c r="J9134">
        <v>0</v>
      </c>
      <c r="K9134">
        <v>0</v>
      </c>
      <c r="L9134" s="2">
        <v>0</v>
      </c>
      <c r="M9134">
        <v>89.31999999999999</v>
      </c>
      <c r="N9134" t="s">
        <v>10236</v>
      </c>
    </row>
    <row r="9135" spans="1:14">
      <c r="A9135" t="s">
        <v>35</v>
      </c>
      <c r="B9135" t="s">
        <v>9101</v>
      </c>
      <c r="C9135">
        <f>"HDD042SSAL"</f>
        <v>0</v>
      </c>
      <c r="D9135">
        <v>0</v>
      </c>
      <c r="E9135">
        <v>0</v>
      </c>
      <c r="F9135" s="2">
        <v>0</v>
      </c>
      <c r="H9135">
        <v>0</v>
      </c>
      <c r="I9135">
        <v>0.1741125760648204</v>
      </c>
      <c r="J9135">
        <v>0</v>
      </c>
      <c r="K9135">
        <v>0</v>
      </c>
      <c r="L9135" s="2">
        <v>0</v>
      </c>
      <c r="M9135">
        <v>89.33</v>
      </c>
      <c r="N9135" t="s">
        <v>10236</v>
      </c>
    </row>
    <row r="9136" spans="1:14">
      <c r="A9136" t="s">
        <v>35</v>
      </c>
      <c r="B9136" t="s">
        <v>9102</v>
      </c>
      <c r="C9136">
        <f>"XX212"</f>
        <v>0</v>
      </c>
      <c r="D9136">
        <v>0</v>
      </c>
      <c r="E9136">
        <v>0</v>
      </c>
      <c r="F9136" s="2">
        <v>0</v>
      </c>
      <c r="H9136">
        <v>0</v>
      </c>
      <c r="I9136">
        <v>0.1741125760648204</v>
      </c>
      <c r="J9136">
        <v>0</v>
      </c>
      <c r="K9136">
        <v>0</v>
      </c>
      <c r="L9136" s="2">
        <v>0</v>
      </c>
      <c r="M9136">
        <v>89.34</v>
      </c>
      <c r="N9136" t="s">
        <v>10236</v>
      </c>
    </row>
    <row r="9137" spans="1:14">
      <c r="A9137" t="s">
        <v>35</v>
      </c>
      <c r="B9137" t="s">
        <v>9103</v>
      </c>
      <c r="C9137">
        <f>"MCW103"</f>
        <v>0</v>
      </c>
      <c r="D9137">
        <v>0</v>
      </c>
      <c r="E9137">
        <v>0</v>
      </c>
      <c r="F9137" s="2">
        <v>0</v>
      </c>
      <c r="H9137">
        <v>0</v>
      </c>
      <c r="I9137">
        <v>0.1741125760648204</v>
      </c>
      <c r="J9137">
        <v>0</v>
      </c>
      <c r="K9137">
        <v>0</v>
      </c>
      <c r="L9137" s="2">
        <v>0</v>
      </c>
      <c r="M9137">
        <v>89.34999999999999</v>
      </c>
      <c r="N9137" t="s">
        <v>10236</v>
      </c>
    </row>
    <row r="9138" spans="1:14">
      <c r="A9138" t="s">
        <v>35</v>
      </c>
      <c r="B9138" t="s">
        <v>9104</v>
      </c>
      <c r="C9138">
        <f>"MCW138"</f>
        <v>0</v>
      </c>
      <c r="D9138">
        <v>0</v>
      </c>
      <c r="E9138">
        <v>0</v>
      </c>
      <c r="F9138" s="2">
        <v>0</v>
      </c>
      <c r="H9138">
        <v>0</v>
      </c>
      <c r="I9138">
        <v>0.1741125760648204</v>
      </c>
      <c r="J9138">
        <v>0</v>
      </c>
      <c r="K9138">
        <v>0</v>
      </c>
      <c r="L9138" s="2">
        <v>0</v>
      </c>
      <c r="M9138">
        <v>89.36</v>
      </c>
      <c r="N9138" t="s">
        <v>10236</v>
      </c>
    </row>
    <row r="9139" spans="1:14">
      <c r="A9139" t="s">
        <v>35</v>
      </c>
      <c r="B9139" t="s">
        <v>9105</v>
      </c>
      <c r="C9139">
        <f>"JYHW18"</f>
        <v>0</v>
      </c>
      <c r="D9139">
        <v>0</v>
      </c>
      <c r="E9139">
        <v>1</v>
      </c>
      <c r="F9139" s="2">
        <v>7</v>
      </c>
      <c r="H9139">
        <v>0</v>
      </c>
      <c r="I9139">
        <v>0.1741125760648204</v>
      </c>
      <c r="J9139">
        <v>0</v>
      </c>
      <c r="K9139">
        <v>0</v>
      </c>
      <c r="L9139" s="2">
        <v>0</v>
      </c>
      <c r="M9139">
        <v>89.37</v>
      </c>
      <c r="N9139" t="s">
        <v>10236</v>
      </c>
    </row>
    <row r="9140" spans="1:14">
      <c r="A9140" t="s">
        <v>35</v>
      </c>
      <c r="B9140" t="s">
        <v>9106</v>
      </c>
      <c r="C9140">
        <f>"WPS202"</f>
        <v>0</v>
      </c>
      <c r="D9140">
        <v>0</v>
      </c>
      <c r="E9140">
        <v>27</v>
      </c>
      <c r="F9140" s="2">
        <v>2</v>
      </c>
      <c r="H9140">
        <v>0</v>
      </c>
      <c r="I9140">
        <v>0.1741125760648204</v>
      </c>
      <c r="J9140">
        <v>0</v>
      </c>
      <c r="K9140">
        <v>0</v>
      </c>
      <c r="L9140" s="2">
        <v>0</v>
      </c>
      <c r="M9140">
        <v>89.38</v>
      </c>
      <c r="N9140" t="s">
        <v>10236</v>
      </c>
    </row>
    <row r="9141" spans="1:14">
      <c r="A9141" t="s">
        <v>35</v>
      </c>
      <c r="B9141" t="s">
        <v>9107</v>
      </c>
      <c r="C9141">
        <f>"WPS200"</f>
        <v>0</v>
      </c>
      <c r="D9141">
        <v>0</v>
      </c>
      <c r="E9141">
        <v>38</v>
      </c>
      <c r="F9141" s="2">
        <v>1</v>
      </c>
      <c r="H9141">
        <v>0</v>
      </c>
      <c r="I9141">
        <v>0.1741125760648204</v>
      </c>
      <c r="J9141">
        <v>0</v>
      </c>
      <c r="K9141">
        <v>0</v>
      </c>
      <c r="L9141" s="2">
        <v>0</v>
      </c>
      <c r="M9141">
        <v>89.39</v>
      </c>
      <c r="N9141" t="s">
        <v>10236</v>
      </c>
    </row>
    <row r="9142" spans="1:14">
      <c r="A9142" t="s">
        <v>35</v>
      </c>
      <c r="B9142" t="s">
        <v>9108</v>
      </c>
      <c r="C9142">
        <f>"HDD164CA"</f>
        <v>0</v>
      </c>
      <c r="D9142">
        <v>0</v>
      </c>
      <c r="E9142">
        <v>0</v>
      </c>
      <c r="F9142" s="2">
        <v>0</v>
      </c>
      <c r="H9142">
        <v>0</v>
      </c>
      <c r="I9142">
        <v>0.1741125760648204</v>
      </c>
      <c r="J9142">
        <v>0</v>
      </c>
      <c r="K9142">
        <v>0</v>
      </c>
      <c r="L9142" s="2">
        <v>0</v>
      </c>
      <c r="M9142">
        <v>89.39</v>
      </c>
      <c r="N9142" t="s">
        <v>10236</v>
      </c>
    </row>
    <row r="9143" spans="1:14">
      <c r="A9143" t="s">
        <v>35</v>
      </c>
      <c r="B9143" t="s">
        <v>9109</v>
      </c>
      <c r="C9143">
        <f>"PT255N"</f>
        <v>0</v>
      </c>
      <c r="D9143">
        <v>0</v>
      </c>
      <c r="E9143">
        <v>0</v>
      </c>
      <c r="F9143" s="2">
        <v>0</v>
      </c>
      <c r="H9143">
        <v>0</v>
      </c>
      <c r="I9143">
        <v>0.1741125760648204</v>
      </c>
      <c r="J9143">
        <v>0</v>
      </c>
      <c r="K9143">
        <v>0</v>
      </c>
      <c r="L9143" s="2">
        <v>0</v>
      </c>
      <c r="M9143">
        <v>89.40000000000001</v>
      </c>
      <c r="N9143" t="s">
        <v>10236</v>
      </c>
    </row>
    <row r="9144" spans="1:14">
      <c r="A9144" t="s">
        <v>35</v>
      </c>
      <c r="B9144" t="s">
        <v>9110</v>
      </c>
      <c r="C9144">
        <f>"PT255G"</f>
        <v>0</v>
      </c>
      <c r="D9144">
        <v>0</v>
      </c>
      <c r="E9144">
        <v>0</v>
      </c>
      <c r="F9144" s="2">
        <v>0</v>
      </c>
      <c r="H9144">
        <v>0</v>
      </c>
      <c r="I9144">
        <v>0.1741125760648204</v>
      </c>
      <c r="J9144">
        <v>0</v>
      </c>
      <c r="K9144">
        <v>0</v>
      </c>
      <c r="L9144" s="2">
        <v>0</v>
      </c>
      <c r="M9144">
        <v>89.41</v>
      </c>
      <c r="N9144" t="s">
        <v>10236</v>
      </c>
    </row>
    <row r="9145" spans="1:14">
      <c r="A9145" t="s">
        <v>35</v>
      </c>
      <c r="B9145" t="s">
        <v>9111</v>
      </c>
      <c r="C9145">
        <f>"PT310O"</f>
        <v>0</v>
      </c>
      <c r="D9145">
        <v>0</v>
      </c>
      <c r="E9145">
        <v>1</v>
      </c>
      <c r="F9145" s="2">
        <v>2</v>
      </c>
      <c r="H9145">
        <v>0</v>
      </c>
      <c r="I9145">
        <v>0.1741125760648204</v>
      </c>
      <c r="J9145">
        <v>0</v>
      </c>
      <c r="K9145">
        <v>0</v>
      </c>
      <c r="L9145" s="2">
        <v>0</v>
      </c>
      <c r="M9145">
        <v>89.42</v>
      </c>
      <c r="N9145" t="s">
        <v>10236</v>
      </c>
    </row>
    <row r="9146" spans="1:14">
      <c r="A9146" t="s">
        <v>35</v>
      </c>
      <c r="B9146" t="s">
        <v>9112</v>
      </c>
      <c r="C9146">
        <f>"ZRD2019138"</f>
        <v>0</v>
      </c>
      <c r="D9146">
        <v>0</v>
      </c>
      <c r="E9146">
        <v>2</v>
      </c>
      <c r="F9146" s="2">
        <v>4</v>
      </c>
      <c r="H9146">
        <v>0</v>
      </c>
      <c r="I9146">
        <v>0.1741125760648204</v>
      </c>
      <c r="J9146">
        <v>0</v>
      </c>
      <c r="K9146">
        <v>0</v>
      </c>
      <c r="L9146" s="2">
        <v>0</v>
      </c>
      <c r="M9146">
        <v>89.43000000000001</v>
      </c>
      <c r="N9146" t="s">
        <v>10236</v>
      </c>
    </row>
    <row r="9147" spans="1:14">
      <c r="A9147" t="s">
        <v>35</v>
      </c>
      <c r="B9147" t="s">
        <v>9113</v>
      </c>
      <c r="C9147">
        <f>"CWB015MAZ"</f>
        <v>0</v>
      </c>
      <c r="D9147">
        <v>0</v>
      </c>
      <c r="E9147">
        <v>1</v>
      </c>
      <c r="F9147" s="2">
        <v>13</v>
      </c>
      <c r="H9147">
        <v>0</v>
      </c>
      <c r="I9147">
        <v>0.1741125760648204</v>
      </c>
      <c r="J9147">
        <v>0</v>
      </c>
      <c r="K9147">
        <v>0</v>
      </c>
      <c r="L9147" s="2">
        <v>0</v>
      </c>
      <c r="M9147">
        <v>89.44</v>
      </c>
      <c r="N9147" t="s">
        <v>10236</v>
      </c>
    </row>
    <row r="9148" spans="1:14">
      <c r="A9148" t="s">
        <v>35</v>
      </c>
      <c r="B9148" t="s">
        <v>9114</v>
      </c>
      <c r="C9148">
        <f>"G15"</f>
        <v>0</v>
      </c>
      <c r="D9148">
        <v>0</v>
      </c>
      <c r="E9148">
        <v>1</v>
      </c>
      <c r="F9148" s="2">
        <v>2</v>
      </c>
      <c r="H9148">
        <v>0</v>
      </c>
      <c r="I9148">
        <v>0.1741125760648204</v>
      </c>
      <c r="J9148">
        <v>0</v>
      </c>
      <c r="K9148">
        <v>0</v>
      </c>
      <c r="L9148" s="2">
        <v>0</v>
      </c>
      <c r="M9148">
        <v>89.45</v>
      </c>
      <c r="N9148" t="s">
        <v>10236</v>
      </c>
    </row>
    <row r="9149" spans="1:14">
      <c r="A9149" t="s">
        <v>35</v>
      </c>
      <c r="B9149" t="s">
        <v>9115</v>
      </c>
      <c r="C9149">
        <f>"G16"</f>
        <v>0</v>
      </c>
      <c r="D9149">
        <v>0</v>
      </c>
      <c r="E9149">
        <v>7</v>
      </c>
      <c r="F9149" s="2">
        <v>5</v>
      </c>
      <c r="H9149">
        <v>0</v>
      </c>
      <c r="I9149">
        <v>0.1741125760648204</v>
      </c>
      <c r="J9149">
        <v>0</v>
      </c>
      <c r="K9149">
        <v>0</v>
      </c>
      <c r="L9149" s="2">
        <v>0</v>
      </c>
      <c r="M9149">
        <v>89.45999999999999</v>
      </c>
      <c r="N9149" t="s">
        <v>10236</v>
      </c>
    </row>
    <row r="9150" spans="1:14">
      <c r="A9150" t="s">
        <v>35</v>
      </c>
      <c r="B9150" t="s">
        <v>9116</v>
      </c>
      <c r="C9150">
        <f>"XX235"</f>
        <v>0</v>
      </c>
      <c r="D9150">
        <v>0</v>
      </c>
      <c r="E9150">
        <v>0</v>
      </c>
      <c r="F9150" s="2">
        <v>0</v>
      </c>
      <c r="H9150">
        <v>0</v>
      </c>
      <c r="I9150">
        <v>0.1741125760648204</v>
      </c>
      <c r="J9150">
        <v>0</v>
      </c>
      <c r="K9150">
        <v>0</v>
      </c>
      <c r="L9150" s="2">
        <v>0</v>
      </c>
      <c r="M9150">
        <v>89.47</v>
      </c>
      <c r="N9150" t="s">
        <v>10236</v>
      </c>
    </row>
    <row r="9151" spans="1:14">
      <c r="A9151" t="s">
        <v>35</v>
      </c>
      <c r="B9151" t="s">
        <v>9117</v>
      </c>
      <c r="C9151">
        <f>"xx274"</f>
        <v>0</v>
      </c>
      <c r="D9151">
        <v>0</v>
      </c>
      <c r="E9151">
        <v>0</v>
      </c>
      <c r="F9151" s="2">
        <v>0</v>
      </c>
      <c r="H9151">
        <v>0</v>
      </c>
      <c r="I9151">
        <v>0.1741125760648204</v>
      </c>
      <c r="J9151">
        <v>0</v>
      </c>
      <c r="K9151">
        <v>0</v>
      </c>
      <c r="L9151" s="2">
        <v>0</v>
      </c>
      <c r="M9151">
        <v>89.48</v>
      </c>
      <c r="N9151" t="s">
        <v>10236</v>
      </c>
    </row>
    <row r="9152" spans="1:14">
      <c r="A9152" t="s">
        <v>35</v>
      </c>
      <c r="B9152" t="s">
        <v>9118</v>
      </c>
      <c r="C9152">
        <f>"HDD072CE"</f>
        <v>0</v>
      </c>
      <c r="D9152">
        <v>0</v>
      </c>
      <c r="E9152">
        <v>0</v>
      </c>
      <c r="F9152" s="2">
        <v>0</v>
      </c>
      <c r="H9152">
        <v>0</v>
      </c>
      <c r="I9152">
        <v>0.1741125760648204</v>
      </c>
      <c r="J9152">
        <v>0</v>
      </c>
      <c r="K9152">
        <v>0</v>
      </c>
      <c r="L9152" s="2">
        <v>0</v>
      </c>
      <c r="M9152">
        <v>89.48999999999999</v>
      </c>
      <c r="N9152" t="s">
        <v>10236</v>
      </c>
    </row>
    <row r="9153" spans="1:14">
      <c r="A9153" t="s">
        <v>35</v>
      </c>
      <c r="B9153" t="s">
        <v>9119</v>
      </c>
      <c r="C9153">
        <f>"8715"</f>
        <v>0</v>
      </c>
      <c r="D9153">
        <v>0</v>
      </c>
      <c r="E9153">
        <v>1</v>
      </c>
      <c r="F9153" s="2">
        <v>2</v>
      </c>
      <c r="H9153">
        <v>0</v>
      </c>
      <c r="I9153">
        <v>0.1741125760648204</v>
      </c>
      <c r="J9153">
        <v>0</v>
      </c>
      <c r="K9153">
        <v>0</v>
      </c>
      <c r="L9153" s="2">
        <v>0</v>
      </c>
      <c r="M9153">
        <v>89.5</v>
      </c>
      <c r="N9153" t="s">
        <v>10236</v>
      </c>
    </row>
    <row r="9154" spans="1:14">
      <c r="A9154" t="s">
        <v>35</v>
      </c>
      <c r="B9154" t="s">
        <v>9120</v>
      </c>
      <c r="C9154">
        <f>"6326L"</f>
        <v>0</v>
      </c>
      <c r="D9154">
        <v>0</v>
      </c>
      <c r="E9154">
        <v>0</v>
      </c>
      <c r="F9154" s="2">
        <v>0</v>
      </c>
      <c r="H9154">
        <v>0</v>
      </c>
      <c r="I9154">
        <v>0.1741125760648204</v>
      </c>
      <c r="J9154">
        <v>0</v>
      </c>
      <c r="K9154">
        <v>0</v>
      </c>
      <c r="L9154" s="2">
        <v>0</v>
      </c>
      <c r="M9154">
        <v>89.51000000000001</v>
      </c>
      <c r="N9154" t="s">
        <v>10236</v>
      </c>
    </row>
    <row r="9155" spans="1:14">
      <c r="A9155" t="s">
        <v>35</v>
      </c>
      <c r="B9155" t="s">
        <v>9121</v>
      </c>
      <c r="C9155">
        <f>"CWB015XLROJ"</f>
        <v>0</v>
      </c>
      <c r="D9155">
        <v>0</v>
      </c>
      <c r="E9155">
        <v>1</v>
      </c>
      <c r="F9155" s="2">
        <v>13</v>
      </c>
      <c r="H9155">
        <v>0</v>
      </c>
      <c r="I9155">
        <v>0.1741125760648204</v>
      </c>
      <c r="J9155">
        <v>0</v>
      </c>
      <c r="K9155">
        <v>0</v>
      </c>
      <c r="L9155" s="2">
        <v>0</v>
      </c>
      <c r="M9155">
        <v>89.51000000000001</v>
      </c>
      <c r="N9155" t="s">
        <v>10236</v>
      </c>
    </row>
    <row r="9156" spans="1:14">
      <c r="A9156" t="s">
        <v>35</v>
      </c>
      <c r="B9156" t="s">
        <v>9122</v>
      </c>
      <c r="C9156">
        <f>"CWB015XLGR"</f>
        <v>0</v>
      </c>
      <c r="D9156">
        <v>0</v>
      </c>
      <c r="E9156">
        <v>1</v>
      </c>
      <c r="F9156" s="2">
        <v>13</v>
      </c>
      <c r="H9156">
        <v>0</v>
      </c>
      <c r="I9156">
        <v>0.1741125760648204</v>
      </c>
      <c r="J9156">
        <v>0</v>
      </c>
      <c r="K9156">
        <v>0</v>
      </c>
      <c r="L9156" s="2">
        <v>0</v>
      </c>
      <c r="M9156">
        <v>89.52</v>
      </c>
      <c r="N9156" t="s">
        <v>10236</v>
      </c>
    </row>
    <row r="9157" spans="1:14">
      <c r="A9157" t="s">
        <v>35</v>
      </c>
      <c r="B9157" t="s">
        <v>9123</v>
      </c>
      <c r="C9157">
        <f>"CWB015XLAZ"</f>
        <v>0</v>
      </c>
      <c r="D9157">
        <v>0</v>
      </c>
      <c r="E9157">
        <v>0</v>
      </c>
      <c r="F9157" s="2">
        <v>0</v>
      </c>
      <c r="H9157">
        <v>0</v>
      </c>
      <c r="I9157">
        <v>0.1741125760648204</v>
      </c>
      <c r="J9157">
        <v>0</v>
      </c>
      <c r="K9157">
        <v>0</v>
      </c>
      <c r="L9157" s="2">
        <v>0</v>
      </c>
      <c r="M9157">
        <v>89.53</v>
      </c>
      <c r="N9157" t="s">
        <v>10236</v>
      </c>
    </row>
    <row r="9158" spans="1:14">
      <c r="A9158" t="s">
        <v>35</v>
      </c>
      <c r="B9158" t="s">
        <v>9124</v>
      </c>
      <c r="C9158">
        <f>"CWB015SROJ"</f>
        <v>0</v>
      </c>
      <c r="D9158">
        <v>0</v>
      </c>
      <c r="E9158">
        <v>0</v>
      </c>
      <c r="F9158" s="2">
        <v>0</v>
      </c>
      <c r="H9158">
        <v>0</v>
      </c>
      <c r="I9158">
        <v>0.1741125760648204</v>
      </c>
      <c r="J9158">
        <v>0</v>
      </c>
      <c r="K9158">
        <v>0</v>
      </c>
      <c r="L9158" s="2">
        <v>0</v>
      </c>
      <c r="M9158">
        <v>89.54000000000001</v>
      </c>
      <c r="N9158" t="s">
        <v>10236</v>
      </c>
    </row>
    <row r="9159" spans="1:14">
      <c r="A9159" t="s">
        <v>35</v>
      </c>
      <c r="B9159" t="s">
        <v>9125</v>
      </c>
      <c r="C9159">
        <f>"CWB015SGR"</f>
        <v>0</v>
      </c>
      <c r="D9159">
        <v>0</v>
      </c>
      <c r="E9159">
        <v>2</v>
      </c>
      <c r="F9159" s="2">
        <v>12</v>
      </c>
      <c r="H9159">
        <v>0</v>
      </c>
      <c r="I9159">
        <v>0.1741125760648204</v>
      </c>
      <c r="J9159">
        <v>0</v>
      </c>
      <c r="K9159">
        <v>0</v>
      </c>
      <c r="L9159" s="2">
        <v>0</v>
      </c>
      <c r="M9159">
        <v>89.55</v>
      </c>
      <c r="N9159" t="s">
        <v>10236</v>
      </c>
    </row>
    <row r="9160" spans="1:14">
      <c r="A9160" t="s">
        <v>35</v>
      </c>
      <c r="B9160" t="s">
        <v>9126</v>
      </c>
      <c r="C9160">
        <f>"CWB015SAZ"</f>
        <v>0</v>
      </c>
      <c r="D9160">
        <v>0</v>
      </c>
      <c r="E9160">
        <v>1</v>
      </c>
      <c r="F9160" s="2">
        <v>12</v>
      </c>
      <c r="H9160">
        <v>0</v>
      </c>
      <c r="I9160">
        <v>0.1741125760648204</v>
      </c>
      <c r="J9160">
        <v>0</v>
      </c>
      <c r="K9160">
        <v>0</v>
      </c>
      <c r="L9160" s="2">
        <v>0</v>
      </c>
      <c r="M9160">
        <v>89.56</v>
      </c>
      <c r="N9160" t="s">
        <v>10236</v>
      </c>
    </row>
    <row r="9161" spans="1:14">
      <c r="A9161" t="s">
        <v>35</v>
      </c>
      <c r="B9161" t="s">
        <v>9127</v>
      </c>
      <c r="C9161">
        <f>"CWB015MROJ"</f>
        <v>0</v>
      </c>
      <c r="D9161">
        <v>0</v>
      </c>
      <c r="E9161">
        <v>1</v>
      </c>
      <c r="F9161" s="2">
        <v>13</v>
      </c>
      <c r="H9161">
        <v>0</v>
      </c>
      <c r="I9161">
        <v>0.1741125760648204</v>
      </c>
      <c r="J9161">
        <v>0</v>
      </c>
      <c r="K9161">
        <v>0</v>
      </c>
      <c r="L9161" s="2">
        <v>0</v>
      </c>
      <c r="M9161">
        <v>89.56999999999999</v>
      </c>
      <c r="N9161" t="s">
        <v>10236</v>
      </c>
    </row>
    <row r="9162" spans="1:14">
      <c r="A9162" t="s">
        <v>35</v>
      </c>
      <c r="B9162" t="s">
        <v>9128</v>
      </c>
      <c r="C9162">
        <f>"CWB015MGR"</f>
        <v>0</v>
      </c>
      <c r="D9162">
        <v>0</v>
      </c>
      <c r="E9162">
        <v>1</v>
      </c>
      <c r="F9162" s="2">
        <v>13</v>
      </c>
      <c r="H9162">
        <v>0</v>
      </c>
      <c r="I9162">
        <v>0.1741125760648204</v>
      </c>
      <c r="J9162">
        <v>0</v>
      </c>
      <c r="K9162">
        <v>0</v>
      </c>
      <c r="L9162" s="2">
        <v>0</v>
      </c>
      <c r="M9162">
        <v>89.58</v>
      </c>
      <c r="N9162" t="s">
        <v>10236</v>
      </c>
    </row>
    <row r="9163" spans="1:14">
      <c r="A9163" t="s">
        <v>35</v>
      </c>
      <c r="B9163" t="s">
        <v>9129</v>
      </c>
      <c r="C9163">
        <f>"PT310M"</f>
        <v>0</v>
      </c>
      <c r="D9163">
        <v>0</v>
      </c>
      <c r="E9163">
        <v>2</v>
      </c>
      <c r="F9163" s="2">
        <v>2</v>
      </c>
      <c r="H9163">
        <v>0</v>
      </c>
      <c r="I9163">
        <v>0.1741125760648204</v>
      </c>
      <c r="J9163">
        <v>0</v>
      </c>
      <c r="K9163">
        <v>0</v>
      </c>
      <c r="L9163" s="2">
        <v>0</v>
      </c>
      <c r="M9163">
        <v>89.59</v>
      </c>
      <c r="N9163" t="s">
        <v>10236</v>
      </c>
    </row>
    <row r="9164" spans="1:14">
      <c r="A9164" t="s">
        <v>35</v>
      </c>
      <c r="B9164" t="s">
        <v>9130</v>
      </c>
      <c r="C9164">
        <f>"JLDU"</f>
        <v>0</v>
      </c>
      <c r="D9164">
        <v>0</v>
      </c>
      <c r="E9164">
        <v>0</v>
      </c>
      <c r="F9164" s="2">
        <v>0</v>
      </c>
      <c r="H9164">
        <v>0</v>
      </c>
      <c r="I9164">
        <v>0.1741125760648204</v>
      </c>
      <c r="J9164">
        <v>0</v>
      </c>
      <c r="K9164">
        <v>0</v>
      </c>
      <c r="L9164" s="2">
        <v>0</v>
      </c>
      <c r="M9164">
        <v>89.59999999999999</v>
      </c>
      <c r="N9164" t="s">
        <v>10236</v>
      </c>
    </row>
    <row r="9165" spans="1:14">
      <c r="A9165" t="s">
        <v>35</v>
      </c>
      <c r="B9165" t="s">
        <v>9131</v>
      </c>
      <c r="C9165">
        <f>"JCUG"</f>
        <v>0</v>
      </c>
      <c r="D9165">
        <v>0</v>
      </c>
      <c r="E9165">
        <v>2</v>
      </c>
      <c r="F9165" s="2">
        <v>6</v>
      </c>
      <c r="H9165">
        <v>0</v>
      </c>
      <c r="I9165">
        <v>0.1741125760648204</v>
      </c>
      <c r="J9165">
        <v>0</v>
      </c>
      <c r="K9165">
        <v>0</v>
      </c>
      <c r="L9165" s="2">
        <v>0</v>
      </c>
      <c r="M9165">
        <v>89.61</v>
      </c>
      <c r="N9165" t="s">
        <v>10236</v>
      </c>
    </row>
    <row r="9166" spans="1:14">
      <c r="A9166" t="s">
        <v>35</v>
      </c>
      <c r="B9166" t="s">
        <v>9132</v>
      </c>
      <c r="C9166">
        <f>"PT278V"</f>
        <v>0</v>
      </c>
      <c r="D9166">
        <v>0</v>
      </c>
      <c r="E9166">
        <v>3</v>
      </c>
      <c r="F9166" s="2">
        <v>2</v>
      </c>
      <c r="H9166">
        <v>0</v>
      </c>
      <c r="I9166">
        <v>0.1741125760648204</v>
      </c>
      <c r="J9166">
        <v>0</v>
      </c>
      <c r="K9166">
        <v>0</v>
      </c>
      <c r="L9166" s="2">
        <v>0</v>
      </c>
      <c r="M9166">
        <v>89.62</v>
      </c>
      <c r="N9166" t="s">
        <v>10236</v>
      </c>
    </row>
    <row r="9167" spans="1:14">
      <c r="A9167" t="s">
        <v>194</v>
      </c>
      <c r="B9167" t="s">
        <v>9133</v>
      </c>
      <c r="C9167">
        <f>"10648"</f>
        <v>0</v>
      </c>
      <c r="D9167">
        <v>0</v>
      </c>
      <c r="E9167">
        <v>0</v>
      </c>
      <c r="F9167" s="2">
        <v>0</v>
      </c>
      <c r="H9167">
        <v>0</v>
      </c>
      <c r="I9167">
        <v>0.1741125760648204</v>
      </c>
      <c r="J9167">
        <v>0</v>
      </c>
      <c r="K9167">
        <v>0</v>
      </c>
      <c r="L9167" s="2">
        <v>0</v>
      </c>
      <c r="M9167">
        <v>89.62</v>
      </c>
      <c r="N9167" t="s">
        <v>10236</v>
      </c>
    </row>
    <row r="9168" spans="1:14">
      <c r="A9168" t="s">
        <v>194</v>
      </c>
      <c r="B9168" t="s">
        <v>9134</v>
      </c>
      <c r="C9168">
        <f>"10647"</f>
        <v>0</v>
      </c>
      <c r="D9168">
        <v>0</v>
      </c>
      <c r="E9168">
        <v>0</v>
      </c>
      <c r="F9168" s="2">
        <v>0</v>
      </c>
      <c r="H9168">
        <v>0</v>
      </c>
      <c r="I9168">
        <v>0.1741125760648204</v>
      </c>
      <c r="J9168">
        <v>0</v>
      </c>
      <c r="K9168">
        <v>0</v>
      </c>
      <c r="L9168" s="2">
        <v>0</v>
      </c>
      <c r="M9168">
        <v>89.63</v>
      </c>
      <c r="N9168" t="s">
        <v>10236</v>
      </c>
    </row>
    <row r="9169" spans="1:14">
      <c r="A9169" t="s">
        <v>194</v>
      </c>
      <c r="B9169" t="s">
        <v>9135</v>
      </c>
      <c r="C9169">
        <f>"10645"</f>
        <v>0</v>
      </c>
      <c r="D9169">
        <v>0</v>
      </c>
      <c r="E9169">
        <v>0</v>
      </c>
      <c r="F9169" s="2">
        <v>0</v>
      </c>
      <c r="H9169">
        <v>0</v>
      </c>
      <c r="I9169">
        <v>0.1741125760648204</v>
      </c>
      <c r="J9169">
        <v>0</v>
      </c>
      <c r="K9169">
        <v>0</v>
      </c>
      <c r="L9169" s="2">
        <v>0</v>
      </c>
      <c r="M9169">
        <v>89.64</v>
      </c>
      <c r="N9169" t="s">
        <v>10236</v>
      </c>
    </row>
    <row r="9170" spans="1:14">
      <c r="A9170" t="s">
        <v>35</v>
      </c>
      <c r="B9170" t="s">
        <v>9136</v>
      </c>
      <c r="C9170">
        <f>"C211"</f>
        <v>0</v>
      </c>
      <c r="D9170">
        <v>0</v>
      </c>
      <c r="E9170">
        <v>0</v>
      </c>
      <c r="F9170" s="2">
        <v>0</v>
      </c>
      <c r="H9170">
        <v>0</v>
      </c>
      <c r="I9170">
        <v>0.1741125760648204</v>
      </c>
      <c r="J9170">
        <v>0</v>
      </c>
      <c r="K9170">
        <v>0</v>
      </c>
      <c r="L9170" s="2">
        <v>0</v>
      </c>
      <c r="M9170">
        <v>89.65000000000001</v>
      </c>
      <c r="N9170" t="s">
        <v>10236</v>
      </c>
    </row>
    <row r="9171" spans="1:14">
      <c r="A9171" t="s">
        <v>35</v>
      </c>
      <c r="B9171" t="s">
        <v>9137</v>
      </c>
      <c r="C9171">
        <f>"5005877"</f>
        <v>0</v>
      </c>
      <c r="D9171">
        <v>0</v>
      </c>
      <c r="E9171">
        <v>2</v>
      </c>
      <c r="F9171" s="2">
        <v>14</v>
      </c>
      <c r="H9171">
        <v>0</v>
      </c>
      <c r="I9171">
        <v>0.1741125760648204</v>
      </c>
      <c r="J9171">
        <v>0</v>
      </c>
      <c r="K9171">
        <v>0</v>
      </c>
      <c r="L9171" s="2">
        <v>0</v>
      </c>
      <c r="M9171">
        <v>89.66</v>
      </c>
      <c r="N9171" t="s">
        <v>10236</v>
      </c>
    </row>
    <row r="9172" spans="1:14">
      <c r="A9172" t="s">
        <v>35</v>
      </c>
      <c r="B9172" t="s">
        <v>9138</v>
      </c>
      <c r="C9172">
        <f>"5005878"</f>
        <v>0</v>
      </c>
      <c r="D9172">
        <v>0</v>
      </c>
      <c r="E9172">
        <v>0</v>
      </c>
      <c r="F9172" s="2">
        <v>0</v>
      </c>
      <c r="H9172">
        <v>0</v>
      </c>
      <c r="I9172">
        <v>0.1741125760648204</v>
      </c>
      <c r="J9172">
        <v>0</v>
      </c>
      <c r="K9172">
        <v>0</v>
      </c>
      <c r="L9172" s="2">
        <v>0</v>
      </c>
      <c r="M9172">
        <v>89.67</v>
      </c>
      <c r="N9172" t="s">
        <v>10236</v>
      </c>
    </row>
    <row r="9173" spans="1:14">
      <c r="A9173" t="s">
        <v>220</v>
      </c>
      <c r="B9173" t="s">
        <v>9139</v>
      </c>
      <c r="C9173">
        <f>"966468PACKX3"</f>
        <v>0</v>
      </c>
      <c r="D9173">
        <v>0</v>
      </c>
      <c r="E9173">
        <v>0</v>
      </c>
      <c r="F9173" s="2">
        <v>0</v>
      </c>
      <c r="H9173">
        <v>0</v>
      </c>
      <c r="I9173">
        <v>0.1741125760648204</v>
      </c>
      <c r="J9173">
        <v>0</v>
      </c>
      <c r="K9173">
        <v>0</v>
      </c>
      <c r="L9173" s="2">
        <v>0</v>
      </c>
      <c r="M9173">
        <v>89.68000000000001</v>
      </c>
      <c r="N9173" t="s">
        <v>10236</v>
      </c>
    </row>
    <row r="9174" spans="1:14">
      <c r="A9174" t="s">
        <v>220</v>
      </c>
      <c r="B9174" t="s">
        <v>9140</v>
      </c>
      <c r="C9174">
        <f>"966469"</f>
        <v>0</v>
      </c>
      <c r="D9174">
        <v>0</v>
      </c>
      <c r="E9174">
        <v>0</v>
      </c>
      <c r="F9174" s="2">
        <v>0</v>
      </c>
      <c r="H9174">
        <v>0</v>
      </c>
      <c r="I9174">
        <v>0.1741125760648204</v>
      </c>
      <c r="J9174">
        <v>0</v>
      </c>
      <c r="K9174">
        <v>0</v>
      </c>
      <c r="L9174" s="2">
        <v>0</v>
      </c>
      <c r="M9174">
        <v>89.69</v>
      </c>
      <c r="N9174" t="s">
        <v>10236</v>
      </c>
    </row>
    <row r="9175" spans="1:14">
      <c r="A9175" t="s">
        <v>25</v>
      </c>
      <c r="B9175" t="s">
        <v>9141</v>
      </c>
      <c r="C9175">
        <f>"AYCS075"</f>
        <v>0</v>
      </c>
      <c r="D9175">
        <v>0</v>
      </c>
      <c r="E9175">
        <v>0</v>
      </c>
      <c r="F9175" s="2">
        <v>0</v>
      </c>
      <c r="H9175">
        <v>0</v>
      </c>
      <c r="I9175">
        <v>0.1741125760648204</v>
      </c>
      <c r="J9175">
        <v>0</v>
      </c>
      <c r="K9175">
        <v>0</v>
      </c>
      <c r="L9175" s="2">
        <v>0</v>
      </c>
      <c r="M9175">
        <v>89.7</v>
      </c>
      <c r="N9175" t="s">
        <v>10236</v>
      </c>
    </row>
    <row r="9176" spans="1:14">
      <c r="A9176" t="s">
        <v>25</v>
      </c>
      <c r="B9176" t="s">
        <v>9142</v>
      </c>
      <c r="C9176">
        <f>"AYCS156"</f>
        <v>0</v>
      </c>
      <c r="D9176">
        <v>0</v>
      </c>
      <c r="E9176">
        <v>1</v>
      </c>
      <c r="F9176" s="2">
        <v>765</v>
      </c>
      <c r="H9176">
        <v>0</v>
      </c>
      <c r="I9176">
        <v>0.1741125760648204</v>
      </c>
      <c r="J9176">
        <v>0</v>
      </c>
      <c r="K9176">
        <v>0</v>
      </c>
      <c r="L9176" s="2">
        <v>0</v>
      </c>
      <c r="M9176">
        <v>89.70999999999999</v>
      </c>
      <c r="N9176" t="s">
        <v>10236</v>
      </c>
    </row>
    <row r="9177" spans="1:14">
      <c r="A9177" t="s">
        <v>218</v>
      </c>
      <c r="B9177" t="s">
        <v>9143</v>
      </c>
      <c r="C9177">
        <f>"ZZ1000028"</f>
        <v>0</v>
      </c>
      <c r="D9177">
        <v>0</v>
      </c>
      <c r="E9177">
        <v>0</v>
      </c>
      <c r="F9177" s="2">
        <v>0</v>
      </c>
      <c r="H9177">
        <v>0</v>
      </c>
      <c r="I9177">
        <v>0.1741125760648204</v>
      </c>
      <c r="J9177">
        <v>0</v>
      </c>
      <c r="K9177">
        <v>0</v>
      </c>
      <c r="L9177" s="2">
        <v>0</v>
      </c>
      <c r="M9177">
        <v>89.72</v>
      </c>
      <c r="N9177" t="s">
        <v>10236</v>
      </c>
    </row>
    <row r="9178" spans="1:14">
      <c r="A9178" t="s">
        <v>35</v>
      </c>
      <c r="B9178" t="s">
        <v>9144</v>
      </c>
      <c r="C9178">
        <f>"RTW71"</f>
        <v>0</v>
      </c>
      <c r="D9178">
        <v>0</v>
      </c>
      <c r="E9178">
        <v>3</v>
      </c>
      <c r="F9178" s="2">
        <v>2</v>
      </c>
      <c r="H9178">
        <v>0</v>
      </c>
      <c r="I9178">
        <v>0.1741125760648204</v>
      </c>
      <c r="J9178">
        <v>0</v>
      </c>
      <c r="K9178">
        <v>0</v>
      </c>
      <c r="L9178" s="2">
        <v>0</v>
      </c>
      <c r="M9178">
        <v>89.73</v>
      </c>
      <c r="N9178" t="s">
        <v>10236</v>
      </c>
    </row>
    <row r="9179" spans="1:14">
      <c r="A9179" t="s">
        <v>35</v>
      </c>
      <c r="B9179" t="s">
        <v>9145</v>
      </c>
      <c r="C9179">
        <f>"XDB417"</f>
        <v>0</v>
      </c>
      <c r="D9179">
        <v>0</v>
      </c>
      <c r="E9179">
        <v>0</v>
      </c>
      <c r="F9179" s="2">
        <v>0</v>
      </c>
      <c r="H9179">
        <v>0</v>
      </c>
      <c r="I9179">
        <v>0.1741125760648204</v>
      </c>
      <c r="J9179">
        <v>0</v>
      </c>
      <c r="K9179">
        <v>0</v>
      </c>
      <c r="L9179" s="2">
        <v>0</v>
      </c>
      <c r="M9179">
        <v>89.73999999999999</v>
      </c>
      <c r="N9179" t="s">
        <v>10236</v>
      </c>
    </row>
    <row r="9180" spans="1:14">
      <c r="A9180" t="s">
        <v>35</v>
      </c>
      <c r="B9180" t="s">
        <v>9146</v>
      </c>
      <c r="C9180">
        <f>"XDB418"</f>
        <v>0</v>
      </c>
      <c r="D9180">
        <v>0</v>
      </c>
      <c r="E9180">
        <v>5</v>
      </c>
      <c r="F9180" s="2">
        <v>36</v>
      </c>
      <c r="H9180">
        <v>0</v>
      </c>
      <c r="I9180">
        <v>0.1741125760648204</v>
      </c>
      <c r="J9180">
        <v>0</v>
      </c>
      <c r="K9180">
        <v>0</v>
      </c>
      <c r="L9180" s="2">
        <v>0</v>
      </c>
      <c r="M9180">
        <v>89.73999999999999</v>
      </c>
      <c r="N9180" t="s">
        <v>10236</v>
      </c>
    </row>
    <row r="9181" spans="1:14">
      <c r="A9181" t="s">
        <v>29</v>
      </c>
      <c r="B9181" t="s">
        <v>9147</v>
      </c>
      <c r="C9181">
        <f>"84001"</f>
        <v>0</v>
      </c>
      <c r="D9181">
        <v>0</v>
      </c>
      <c r="E9181">
        <v>1</v>
      </c>
      <c r="F9181" s="2">
        <v>4</v>
      </c>
      <c r="H9181">
        <v>0</v>
      </c>
      <c r="I9181">
        <v>0.1741125760648204</v>
      </c>
      <c r="J9181">
        <v>0</v>
      </c>
      <c r="K9181">
        <v>0</v>
      </c>
      <c r="L9181" s="2">
        <v>0</v>
      </c>
      <c r="M9181">
        <v>89.75</v>
      </c>
      <c r="N9181" t="s">
        <v>10236</v>
      </c>
    </row>
    <row r="9182" spans="1:14">
      <c r="A9182" t="s">
        <v>35</v>
      </c>
      <c r="B9182" t="s">
        <v>9148</v>
      </c>
      <c r="C9182">
        <f>"JW0109"</f>
        <v>0</v>
      </c>
      <c r="D9182">
        <v>0</v>
      </c>
      <c r="E9182">
        <v>0</v>
      </c>
      <c r="F9182" s="2">
        <v>0</v>
      </c>
      <c r="H9182">
        <v>0</v>
      </c>
      <c r="I9182">
        <v>0.1741125760648204</v>
      </c>
      <c r="J9182">
        <v>0</v>
      </c>
      <c r="K9182">
        <v>0</v>
      </c>
      <c r="L9182" s="2">
        <v>0</v>
      </c>
      <c r="M9182">
        <v>89.76000000000001</v>
      </c>
      <c r="N9182" t="s">
        <v>10236</v>
      </c>
    </row>
    <row r="9183" spans="1:14">
      <c r="A9183" t="s">
        <v>35</v>
      </c>
      <c r="B9183" t="s">
        <v>9149</v>
      </c>
      <c r="C9183">
        <f>"6326M"</f>
        <v>0</v>
      </c>
      <c r="D9183">
        <v>0</v>
      </c>
      <c r="E9183">
        <v>0</v>
      </c>
      <c r="F9183" s="2">
        <v>0</v>
      </c>
      <c r="H9183">
        <v>0</v>
      </c>
      <c r="I9183">
        <v>0.1741125760648204</v>
      </c>
      <c r="J9183">
        <v>0</v>
      </c>
      <c r="K9183">
        <v>0</v>
      </c>
      <c r="L9183" s="2">
        <v>0</v>
      </c>
      <c r="M9183">
        <v>89.77</v>
      </c>
      <c r="N9183" t="s">
        <v>10236</v>
      </c>
    </row>
    <row r="9184" spans="1:14">
      <c r="A9184" t="s">
        <v>35</v>
      </c>
      <c r="B9184" t="s">
        <v>9150</v>
      </c>
      <c r="C9184">
        <f>"JW0110"</f>
        <v>0</v>
      </c>
      <c r="D9184">
        <v>0</v>
      </c>
      <c r="E9184">
        <v>13</v>
      </c>
      <c r="F9184" s="2">
        <v>3</v>
      </c>
      <c r="H9184">
        <v>0</v>
      </c>
      <c r="I9184">
        <v>0.1741125760648204</v>
      </c>
      <c r="J9184">
        <v>0</v>
      </c>
      <c r="K9184">
        <v>0</v>
      </c>
      <c r="L9184" s="2">
        <v>0</v>
      </c>
      <c r="M9184">
        <v>89.78</v>
      </c>
      <c r="N9184" t="s">
        <v>10236</v>
      </c>
    </row>
    <row r="9185" spans="1:14">
      <c r="A9185" t="s">
        <v>35</v>
      </c>
      <c r="B9185" t="s">
        <v>9151</v>
      </c>
      <c r="C9185">
        <f>"FB870XSA"</f>
        <v>0</v>
      </c>
      <c r="D9185">
        <v>0</v>
      </c>
      <c r="E9185">
        <v>0</v>
      </c>
      <c r="F9185" s="2">
        <v>0</v>
      </c>
      <c r="H9185">
        <v>0</v>
      </c>
      <c r="I9185">
        <v>0.1741125760648204</v>
      </c>
      <c r="J9185">
        <v>0</v>
      </c>
      <c r="K9185">
        <v>0</v>
      </c>
      <c r="L9185" s="2">
        <v>0</v>
      </c>
      <c r="M9185">
        <v>89.79000000000001</v>
      </c>
      <c r="N9185" t="s">
        <v>10236</v>
      </c>
    </row>
    <row r="9186" spans="1:14">
      <c r="A9186" t="s">
        <v>35</v>
      </c>
      <c r="B9186" t="s">
        <v>9152</v>
      </c>
      <c r="C9186">
        <f>"FB870SVE"</f>
        <v>0</v>
      </c>
      <c r="D9186">
        <v>0</v>
      </c>
      <c r="E9186">
        <v>1</v>
      </c>
      <c r="F9186" s="2">
        <v>2</v>
      </c>
      <c r="H9186">
        <v>0</v>
      </c>
      <c r="I9186">
        <v>0.1741125760648204</v>
      </c>
      <c r="J9186">
        <v>0</v>
      </c>
      <c r="K9186">
        <v>0</v>
      </c>
      <c r="L9186" s="2">
        <v>0</v>
      </c>
      <c r="M9186">
        <v>89.8</v>
      </c>
      <c r="N9186" t="s">
        <v>10236</v>
      </c>
    </row>
    <row r="9187" spans="1:14">
      <c r="A9187" t="s">
        <v>35</v>
      </c>
      <c r="B9187" t="s">
        <v>9153</v>
      </c>
      <c r="C9187">
        <f>"FB870SCEL"</f>
        <v>0</v>
      </c>
      <c r="D9187">
        <v>0</v>
      </c>
      <c r="E9187">
        <v>0</v>
      </c>
      <c r="F9187" s="2">
        <v>0</v>
      </c>
      <c r="H9187">
        <v>0</v>
      </c>
      <c r="I9187">
        <v>0.1741125760648204</v>
      </c>
      <c r="J9187">
        <v>0</v>
      </c>
      <c r="K9187">
        <v>0</v>
      </c>
      <c r="L9187" s="2">
        <v>0</v>
      </c>
      <c r="M9187">
        <v>89.81</v>
      </c>
      <c r="N9187" t="s">
        <v>10236</v>
      </c>
    </row>
    <row r="9188" spans="1:14">
      <c r="A9188" t="s">
        <v>223</v>
      </c>
      <c r="B9188" t="s">
        <v>9154</v>
      </c>
      <c r="C9188">
        <f>"7141006"</f>
        <v>0</v>
      </c>
      <c r="D9188">
        <v>0</v>
      </c>
      <c r="E9188">
        <v>0</v>
      </c>
      <c r="F9188" s="2">
        <v>0</v>
      </c>
      <c r="H9188">
        <v>0</v>
      </c>
      <c r="I9188">
        <v>0.1741125760648204</v>
      </c>
      <c r="J9188">
        <v>0</v>
      </c>
      <c r="K9188">
        <v>0</v>
      </c>
      <c r="L9188" s="2">
        <v>0</v>
      </c>
      <c r="M9188">
        <v>89.81999999999999</v>
      </c>
      <c r="N9188" t="s">
        <v>10236</v>
      </c>
    </row>
    <row r="9189" spans="1:14">
      <c r="A9189" t="s">
        <v>223</v>
      </c>
      <c r="B9189" t="s">
        <v>9155</v>
      </c>
      <c r="C9189">
        <f>"8208400"</f>
        <v>0</v>
      </c>
      <c r="D9189">
        <v>0</v>
      </c>
      <c r="E9189">
        <v>0</v>
      </c>
      <c r="F9189" s="2">
        <v>0</v>
      </c>
      <c r="H9189">
        <v>0</v>
      </c>
      <c r="I9189">
        <v>0.1741125760648204</v>
      </c>
      <c r="J9189">
        <v>0</v>
      </c>
      <c r="K9189">
        <v>0</v>
      </c>
      <c r="L9189" s="2">
        <v>0</v>
      </c>
      <c r="M9189">
        <v>89.83</v>
      </c>
      <c r="N9189" t="s">
        <v>10236</v>
      </c>
    </row>
    <row r="9190" spans="1:14">
      <c r="A9190" t="s">
        <v>223</v>
      </c>
      <c r="B9190" t="s">
        <v>9156</v>
      </c>
      <c r="C9190">
        <f>"8208410"</f>
        <v>0</v>
      </c>
      <c r="D9190">
        <v>0</v>
      </c>
      <c r="E9190">
        <v>0</v>
      </c>
      <c r="F9190" s="2">
        <v>0</v>
      </c>
      <c r="H9190">
        <v>0</v>
      </c>
      <c r="I9190">
        <v>0.1741125760648204</v>
      </c>
      <c r="J9190">
        <v>0</v>
      </c>
      <c r="K9190">
        <v>0</v>
      </c>
      <c r="L9190" s="2">
        <v>0</v>
      </c>
      <c r="M9190">
        <v>89.84</v>
      </c>
      <c r="N9190" t="s">
        <v>10236</v>
      </c>
    </row>
    <row r="9191" spans="1:14">
      <c r="A9191" t="s">
        <v>223</v>
      </c>
      <c r="B9191" t="s">
        <v>9157</v>
      </c>
      <c r="C9191">
        <f>"5670004"</f>
        <v>0</v>
      </c>
      <c r="D9191">
        <v>0</v>
      </c>
      <c r="E9191">
        <v>0</v>
      </c>
      <c r="F9191" s="2">
        <v>0</v>
      </c>
      <c r="H9191">
        <v>0</v>
      </c>
      <c r="I9191">
        <v>0.1741125760648204</v>
      </c>
      <c r="J9191">
        <v>0</v>
      </c>
      <c r="K9191">
        <v>0</v>
      </c>
      <c r="L9191" s="2">
        <v>0</v>
      </c>
      <c r="M9191">
        <v>89.84999999999999</v>
      </c>
      <c r="N9191" t="s">
        <v>10236</v>
      </c>
    </row>
    <row r="9192" spans="1:14">
      <c r="A9192" t="s">
        <v>192</v>
      </c>
      <c r="B9192" t="s">
        <v>9158</v>
      </c>
      <c r="C9192">
        <f>"5545474"</f>
        <v>0</v>
      </c>
      <c r="D9192">
        <v>0</v>
      </c>
      <c r="E9192">
        <v>0</v>
      </c>
      <c r="F9192" s="2">
        <v>0</v>
      </c>
      <c r="H9192">
        <v>0</v>
      </c>
      <c r="I9192">
        <v>0.1741125760648204</v>
      </c>
      <c r="J9192">
        <v>0</v>
      </c>
      <c r="K9192">
        <v>0</v>
      </c>
      <c r="L9192" s="2">
        <v>0</v>
      </c>
      <c r="M9192">
        <v>89.86</v>
      </c>
      <c r="N9192" t="s">
        <v>10236</v>
      </c>
    </row>
    <row r="9193" spans="1:14">
      <c r="A9193" t="s">
        <v>192</v>
      </c>
      <c r="B9193" t="s">
        <v>9159</v>
      </c>
      <c r="C9193">
        <f>"Diamantina"</f>
        <v>0</v>
      </c>
      <c r="D9193">
        <v>0</v>
      </c>
      <c r="E9193">
        <v>0</v>
      </c>
      <c r="F9193" s="2">
        <v>0</v>
      </c>
      <c r="H9193">
        <v>0</v>
      </c>
      <c r="I9193">
        <v>0.1741125760648204</v>
      </c>
      <c r="J9193">
        <v>0</v>
      </c>
      <c r="K9193">
        <v>0</v>
      </c>
      <c r="L9193" s="2">
        <v>0</v>
      </c>
      <c r="M9193">
        <v>89.86</v>
      </c>
      <c r="N9193" t="s">
        <v>10236</v>
      </c>
    </row>
    <row r="9194" spans="1:14">
      <c r="A9194" t="s">
        <v>35</v>
      </c>
      <c r="B9194" t="s">
        <v>9160</v>
      </c>
      <c r="C9194">
        <f>"XDB416"</f>
        <v>0</v>
      </c>
      <c r="D9194">
        <v>0</v>
      </c>
      <c r="E9194">
        <v>0</v>
      </c>
      <c r="F9194" s="2">
        <v>0</v>
      </c>
      <c r="H9194">
        <v>0</v>
      </c>
      <c r="I9194">
        <v>0.1741125760648204</v>
      </c>
      <c r="J9194">
        <v>0</v>
      </c>
      <c r="K9194">
        <v>0</v>
      </c>
      <c r="L9194" s="2">
        <v>0</v>
      </c>
      <c r="M9194">
        <v>89.87</v>
      </c>
      <c r="N9194" t="s">
        <v>10236</v>
      </c>
    </row>
    <row r="9195" spans="1:14">
      <c r="A9195" t="s">
        <v>195</v>
      </c>
      <c r="B9195" t="s">
        <v>9161</v>
      </c>
      <c r="C9195">
        <f>"24000881"</f>
        <v>0</v>
      </c>
      <c r="D9195">
        <v>0</v>
      </c>
      <c r="E9195">
        <v>0</v>
      </c>
      <c r="F9195" s="2">
        <v>0</v>
      </c>
      <c r="H9195">
        <v>0</v>
      </c>
      <c r="I9195">
        <v>0.1741125760648204</v>
      </c>
      <c r="J9195">
        <v>0</v>
      </c>
      <c r="K9195">
        <v>0</v>
      </c>
      <c r="L9195" s="2">
        <v>0</v>
      </c>
      <c r="M9195">
        <v>89.88</v>
      </c>
      <c r="N9195" t="s">
        <v>10236</v>
      </c>
    </row>
    <row r="9196" spans="1:14">
      <c r="A9196" t="s">
        <v>35</v>
      </c>
      <c r="B9196" t="s">
        <v>9162</v>
      </c>
      <c r="C9196">
        <f>"C209"</f>
        <v>0</v>
      </c>
      <c r="D9196">
        <v>0</v>
      </c>
      <c r="E9196">
        <v>0</v>
      </c>
      <c r="F9196" s="2">
        <v>0</v>
      </c>
      <c r="H9196">
        <v>0</v>
      </c>
      <c r="I9196">
        <v>0.1741125760648204</v>
      </c>
      <c r="J9196">
        <v>0</v>
      </c>
      <c r="K9196">
        <v>0</v>
      </c>
      <c r="L9196" s="2">
        <v>0</v>
      </c>
      <c r="M9196">
        <v>89.89</v>
      </c>
      <c r="N9196" t="s">
        <v>10236</v>
      </c>
    </row>
    <row r="9197" spans="1:14">
      <c r="A9197" t="s">
        <v>35</v>
      </c>
      <c r="B9197" t="s">
        <v>9163</v>
      </c>
      <c r="C9197">
        <f>"2441"</f>
        <v>0</v>
      </c>
      <c r="D9197">
        <v>0</v>
      </c>
      <c r="E9197">
        <v>2</v>
      </c>
      <c r="F9197" s="2">
        <v>2</v>
      </c>
      <c r="H9197">
        <v>0</v>
      </c>
      <c r="I9197">
        <v>0.1741125760648204</v>
      </c>
      <c r="J9197">
        <v>0</v>
      </c>
      <c r="K9197">
        <v>0</v>
      </c>
      <c r="L9197" s="2">
        <v>0</v>
      </c>
      <c r="M9197">
        <v>89.90000000000001</v>
      </c>
      <c r="N9197" t="s">
        <v>10236</v>
      </c>
    </row>
    <row r="9198" spans="1:14">
      <c r="A9198" t="s">
        <v>35</v>
      </c>
      <c r="B9198" t="s">
        <v>9164</v>
      </c>
      <c r="C9198">
        <f>"940104"</f>
        <v>0</v>
      </c>
      <c r="D9198">
        <v>0</v>
      </c>
      <c r="E9198">
        <v>2</v>
      </c>
      <c r="F9198" s="2">
        <v>5</v>
      </c>
      <c r="H9198">
        <v>0</v>
      </c>
      <c r="I9198">
        <v>0.1741125760648204</v>
      </c>
      <c r="J9198">
        <v>0</v>
      </c>
      <c r="K9198">
        <v>0</v>
      </c>
      <c r="L9198" s="2">
        <v>0</v>
      </c>
      <c r="M9198">
        <v>89.91</v>
      </c>
      <c r="N9198" t="s">
        <v>10236</v>
      </c>
    </row>
    <row r="9199" spans="1:14">
      <c r="A9199" t="s">
        <v>223</v>
      </c>
      <c r="B9199" t="s">
        <v>9165</v>
      </c>
      <c r="C9199">
        <f>"3680004"</f>
        <v>0</v>
      </c>
      <c r="D9199">
        <v>0</v>
      </c>
      <c r="E9199">
        <v>0</v>
      </c>
      <c r="F9199" s="2">
        <v>0</v>
      </c>
      <c r="H9199">
        <v>0</v>
      </c>
      <c r="I9199">
        <v>0.1741125760648204</v>
      </c>
      <c r="J9199">
        <v>0</v>
      </c>
      <c r="K9199">
        <v>0</v>
      </c>
      <c r="L9199" s="2">
        <v>0</v>
      </c>
      <c r="M9199">
        <v>89.92</v>
      </c>
      <c r="N9199" t="s">
        <v>10236</v>
      </c>
    </row>
    <row r="9200" spans="1:14">
      <c r="A9200" t="s">
        <v>195</v>
      </c>
      <c r="B9200" t="s">
        <v>9166</v>
      </c>
      <c r="C9200">
        <f>"24003170"</f>
        <v>0</v>
      </c>
      <c r="D9200">
        <v>0</v>
      </c>
      <c r="E9200">
        <v>0</v>
      </c>
      <c r="F9200" s="2">
        <v>0</v>
      </c>
      <c r="H9200">
        <v>0</v>
      </c>
      <c r="I9200">
        <v>0.1741125760648204</v>
      </c>
      <c r="J9200">
        <v>0</v>
      </c>
      <c r="K9200">
        <v>0</v>
      </c>
      <c r="L9200" s="2">
        <v>0</v>
      </c>
      <c r="M9200">
        <v>89.93000000000001</v>
      </c>
      <c r="N9200" t="s">
        <v>10236</v>
      </c>
    </row>
    <row r="9201" spans="1:14">
      <c r="A9201" t="s">
        <v>195</v>
      </c>
      <c r="B9201" t="s">
        <v>9167</v>
      </c>
      <c r="C9201">
        <f>"24003095"</f>
        <v>0</v>
      </c>
      <c r="D9201">
        <v>0</v>
      </c>
      <c r="E9201">
        <v>0</v>
      </c>
      <c r="F9201" s="2">
        <v>0</v>
      </c>
      <c r="H9201">
        <v>0</v>
      </c>
      <c r="I9201">
        <v>0.1741125760648204</v>
      </c>
      <c r="J9201">
        <v>0</v>
      </c>
      <c r="K9201">
        <v>0</v>
      </c>
      <c r="L9201" s="2">
        <v>0</v>
      </c>
      <c r="M9201">
        <v>89.94</v>
      </c>
      <c r="N9201" t="s">
        <v>10236</v>
      </c>
    </row>
    <row r="9202" spans="1:14">
      <c r="A9202" t="s">
        <v>195</v>
      </c>
      <c r="B9202" t="s">
        <v>9168</v>
      </c>
      <c r="C9202">
        <f>"24002319"</f>
        <v>0</v>
      </c>
      <c r="D9202">
        <v>0</v>
      </c>
      <c r="E9202">
        <v>0</v>
      </c>
      <c r="F9202" s="2">
        <v>0</v>
      </c>
      <c r="H9202">
        <v>0</v>
      </c>
      <c r="I9202">
        <v>0.1741125760648204</v>
      </c>
      <c r="J9202">
        <v>0</v>
      </c>
      <c r="K9202">
        <v>0</v>
      </c>
      <c r="L9202" s="2">
        <v>0</v>
      </c>
      <c r="M9202">
        <v>89.95</v>
      </c>
      <c r="N9202" t="s">
        <v>10236</v>
      </c>
    </row>
    <row r="9203" spans="1:14">
      <c r="A9203" t="s">
        <v>195</v>
      </c>
      <c r="B9203" t="s">
        <v>9169</v>
      </c>
      <c r="C9203">
        <f>"24002296"</f>
        <v>0</v>
      </c>
      <c r="D9203">
        <v>0</v>
      </c>
      <c r="E9203">
        <v>0</v>
      </c>
      <c r="F9203" s="2">
        <v>0</v>
      </c>
      <c r="H9203">
        <v>0</v>
      </c>
      <c r="I9203">
        <v>0.1741125760648204</v>
      </c>
      <c r="J9203">
        <v>0</v>
      </c>
      <c r="K9203">
        <v>0</v>
      </c>
      <c r="L9203" s="2">
        <v>0</v>
      </c>
      <c r="M9203">
        <v>89.95999999999999</v>
      </c>
      <c r="N9203" t="s">
        <v>10236</v>
      </c>
    </row>
    <row r="9204" spans="1:14">
      <c r="A9204" t="s">
        <v>195</v>
      </c>
      <c r="B9204" t="s">
        <v>9170</v>
      </c>
      <c r="C9204">
        <f>"24002289"</f>
        <v>0</v>
      </c>
      <c r="D9204">
        <v>0</v>
      </c>
      <c r="E9204">
        <v>0</v>
      </c>
      <c r="F9204" s="2">
        <v>0</v>
      </c>
      <c r="H9204">
        <v>0</v>
      </c>
      <c r="I9204">
        <v>0.1741125760648204</v>
      </c>
      <c r="J9204">
        <v>0</v>
      </c>
      <c r="K9204">
        <v>0</v>
      </c>
      <c r="L9204" s="2">
        <v>0</v>
      </c>
      <c r="M9204">
        <v>89.97</v>
      </c>
      <c r="N9204" t="s">
        <v>10236</v>
      </c>
    </row>
    <row r="9205" spans="1:14">
      <c r="A9205" t="s">
        <v>195</v>
      </c>
      <c r="B9205" t="s">
        <v>9171</v>
      </c>
      <c r="C9205">
        <f>"24002272"</f>
        <v>0</v>
      </c>
      <c r="D9205">
        <v>0</v>
      </c>
      <c r="E9205">
        <v>0</v>
      </c>
      <c r="F9205" s="2">
        <v>0</v>
      </c>
      <c r="H9205">
        <v>0</v>
      </c>
      <c r="I9205">
        <v>0.1741125760648204</v>
      </c>
      <c r="J9205">
        <v>0</v>
      </c>
      <c r="K9205">
        <v>0</v>
      </c>
      <c r="L9205" s="2">
        <v>0</v>
      </c>
      <c r="M9205">
        <v>89.98</v>
      </c>
      <c r="N9205" t="s">
        <v>10236</v>
      </c>
    </row>
    <row r="9206" spans="1:14">
      <c r="A9206" t="s">
        <v>195</v>
      </c>
      <c r="B9206" t="s">
        <v>9172</v>
      </c>
      <c r="C9206">
        <f>"24002203"</f>
        <v>0</v>
      </c>
      <c r="D9206">
        <v>0</v>
      </c>
      <c r="E9206">
        <v>0</v>
      </c>
      <c r="F9206" s="2">
        <v>0</v>
      </c>
      <c r="H9206">
        <v>0</v>
      </c>
      <c r="I9206">
        <v>0.1741125760648204</v>
      </c>
      <c r="J9206">
        <v>0</v>
      </c>
      <c r="K9206">
        <v>0</v>
      </c>
      <c r="L9206" s="2">
        <v>0</v>
      </c>
      <c r="M9206">
        <v>89.98</v>
      </c>
      <c r="N9206" t="s">
        <v>10236</v>
      </c>
    </row>
    <row r="9207" spans="1:14">
      <c r="A9207" t="s">
        <v>220</v>
      </c>
      <c r="B9207" t="s">
        <v>9173</v>
      </c>
      <c r="C9207">
        <f>"966464"</f>
        <v>0</v>
      </c>
      <c r="D9207">
        <v>0</v>
      </c>
      <c r="E9207">
        <v>0</v>
      </c>
      <c r="F9207" s="2">
        <v>0</v>
      </c>
      <c r="H9207">
        <v>0</v>
      </c>
      <c r="I9207">
        <v>0.1741125760648204</v>
      </c>
      <c r="J9207">
        <v>0</v>
      </c>
      <c r="K9207">
        <v>0</v>
      </c>
      <c r="L9207" s="2">
        <v>0</v>
      </c>
      <c r="M9207">
        <v>89.98999999999999</v>
      </c>
      <c r="N9207" t="s">
        <v>10236</v>
      </c>
    </row>
    <row r="9208" spans="1:14">
      <c r="A9208" t="s">
        <v>220</v>
      </c>
      <c r="B9208" t="s">
        <v>9174</v>
      </c>
      <c r="C9208">
        <f>"966468"</f>
        <v>0</v>
      </c>
      <c r="D9208">
        <v>0</v>
      </c>
      <c r="E9208">
        <v>0</v>
      </c>
      <c r="F9208" s="2">
        <v>0</v>
      </c>
      <c r="H9208">
        <v>0</v>
      </c>
      <c r="I9208">
        <v>0.1741125760648204</v>
      </c>
      <c r="J9208">
        <v>0</v>
      </c>
      <c r="K9208">
        <v>0</v>
      </c>
      <c r="L9208" s="2">
        <v>0</v>
      </c>
      <c r="M9208">
        <v>90</v>
      </c>
      <c r="N9208" t="s">
        <v>10236</v>
      </c>
    </row>
    <row r="9209" spans="1:14">
      <c r="A9209" t="s">
        <v>35</v>
      </c>
      <c r="B9209" t="s">
        <v>9175</v>
      </c>
      <c r="C9209">
        <f>"JNTDL"</f>
        <v>0</v>
      </c>
      <c r="D9209">
        <v>0</v>
      </c>
      <c r="E9209">
        <v>1</v>
      </c>
      <c r="F9209" s="2">
        <v>4</v>
      </c>
      <c r="H9209">
        <v>0</v>
      </c>
      <c r="I9209">
        <v>0.1741125760648204</v>
      </c>
      <c r="J9209">
        <v>0</v>
      </c>
      <c r="K9209">
        <v>0</v>
      </c>
      <c r="L9209" s="2">
        <v>0</v>
      </c>
      <c r="M9209">
        <v>90.01000000000001</v>
      </c>
      <c r="N9209" t="s">
        <v>10236</v>
      </c>
    </row>
    <row r="9210" spans="1:14">
      <c r="A9210" t="s">
        <v>220</v>
      </c>
      <c r="B9210" t="s">
        <v>9176</v>
      </c>
      <c r="C9210">
        <f>"966465"</f>
        <v>0</v>
      </c>
      <c r="D9210">
        <v>0</v>
      </c>
      <c r="E9210">
        <v>0</v>
      </c>
      <c r="F9210" s="2">
        <v>0</v>
      </c>
      <c r="H9210">
        <v>0</v>
      </c>
      <c r="I9210">
        <v>0.1741125760648204</v>
      </c>
      <c r="J9210">
        <v>0</v>
      </c>
      <c r="K9210">
        <v>0</v>
      </c>
      <c r="L9210" s="2">
        <v>0</v>
      </c>
      <c r="M9210">
        <v>90.02</v>
      </c>
      <c r="N9210" t="s">
        <v>10236</v>
      </c>
    </row>
    <row r="9211" spans="1:14">
      <c r="A9211" t="s">
        <v>24</v>
      </c>
      <c r="B9211" t="s">
        <v>9177</v>
      </c>
      <c r="C9211">
        <f>"DPI058"</f>
        <v>0</v>
      </c>
      <c r="D9211">
        <v>0</v>
      </c>
      <c r="E9211">
        <v>0</v>
      </c>
      <c r="F9211" s="2">
        <v>0</v>
      </c>
      <c r="H9211">
        <v>0</v>
      </c>
      <c r="I9211">
        <v>0.1741125760648204</v>
      </c>
      <c r="J9211">
        <v>0</v>
      </c>
      <c r="K9211">
        <v>0</v>
      </c>
      <c r="L9211" s="2">
        <v>0</v>
      </c>
      <c r="M9211">
        <v>90.03</v>
      </c>
      <c r="N9211" t="s">
        <v>10236</v>
      </c>
    </row>
    <row r="9212" spans="1:14">
      <c r="A9212" t="s">
        <v>218</v>
      </c>
      <c r="B9212" t="s">
        <v>9178</v>
      </c>
      <c r="C9212">
        <f>"ZZ1000566"</f>
        <v>0</v>
      </c>
      <c r="D9212">
        <v>0</v>
      </c>
      <c r="E9212">
        <v>0</v>
      </c>
      <c r="F9212" s="2">
        <v>0</v>
      </c>
      <c r="H9212">
        <v>0</v>
      </c>
      <c r="I9212">
        <v>0.1741125760648204</v>
      </c>
      <c r="J9212">
        <v>0</v>
      </c>
      <c r="K9212">
        <v>0</v>
      </c>
      <c r="L9212" s="2">
        <v>0</v>
      </c>
      <c r="M9212">
        <v>90.04000000000001</v>
      </c>
      <c r="N9212" t="s">
        <v>10236</v>
      </c>
    </row>
    <row r="9213" spans="1:14">
      <c r="A9213" t="s">
        <v>29</v>
      </c>
      <c r="B9213" t="s">
        <v>9179</v>
      </c>
      <c r="C9213">
        <f>"34001"</f>
        <v>0</v>
      </c>
      <c r="D9213">
        <v>0</v>
      </c>
      <c r="E9213">
        <v>0</v>
      </c>
      <c r="F9213" s="2">
        <v>0</v>
      </c>
      <c r="H9213">
        <v>0</v>
      </c>
      <c r="I9213">
        <v>0.1741125760648204</v>
      </c>
      <c r="J9213">
        <v>0</v>
      </c>
      <c r="K9213">
        <v>0</v>
      </c>
      <c r="L9213" s="2">
        <v>0</v>
      </c>
      <c r="M9213">
        <v>90.05</v>
      </c>
      <c r="N9213" t="s">
        <v>10236</v>
      </c>
    </row>
    <row r="9214" spans="1:14">
      <c r="A9214" t="s">
        <v>195</v>
      </c>
      <c r="B9214" t="s">
        <v>9180</v>
      </c>
      <c r="C9214">
        <f>"24003222"</f>
        <v>0</v>
      </c>
      <c r="D9214">
        <v>0</v>
      </c>
      <c r="E9214">
        <v>0</v>
      </c>
      <c r="F9214" s="2">
        <v>0</v>
      </c>
      <c r="H9214">
        <v>0</v>
      </c>
      <c r="I9214">
        <v>0.1741125760648204</v>
      </c>
      <c r="J9214">
        <v>0</v>
      </c>
      <c r="K9214">
        <v>0</v>
      </c>
      <c r="L9214" s="2">
        <v>0</v>
      </c>
      <c r="M9214">
        <v>90.06</v>
      </c>
      <c r="N9214" t="s">
        <v>10236</v>
      </c>
    </row>
    <row r="9215" spans="1:14">
      <c r="A9215" t="s">
        <v>195</v>
      </c>
      <c r="B9215" t="s">
        <v>9181</v>
      </c>
      <c r="C9215">
        <f>"24003284"</f>
        <v>0</v>
      </c>
      <c r="D9215">
        <v>0</v>
      </c>
      <c r="E9215">
        <v>0</v>
      </c>
      <c r="F9215" s="2">
        <v>0</v>
      </c>
      <c r="H9215">
        <v>0</v>
      </c>
      <c r="I9215">
        <v>0.1741125760648204</v>
      </c>
      <c r="J9215">
        <v>0</v>
      </c>
      <c r="K9215">
        <v>0</v>
      </c>
      <c r="L9215" s="2">
        <v>0</v>
      </c>
      <c r="M9215">
        <v>90.06999999999999</v>
      </c>
      <c r="N9215" t="s">
        <v>10236</v>
      </c>
    </row>
    <row r="9216" spans="1:14">
      <c r="A9216" t="s">
        <v>195</v>
      </c>
      <c r="B9216" t="s">
        <v>9182</v>
      </c>
      <c r="C9216">
        <f>"24003246"</f>
        <v>0</v>
      </c>
      <c r="D9216">
        <v>0</v>
      </c>
      <c r="E9216">
        <v>0</v>
      </c>
      <c r="F9216" s="2">
        <v>0</v>
      </c>
      <c r="H9216">
        <v>0</v>
      </c>
      <c r="I9216">
        <v>0.1741125760648204</v>
      </c>
      <c r="J9216">
        <v>0</v>
      </c>
      <c r="K9216">
        <v>0</v>
      </c>
      <c r="L9216" s="2">
        <v>0</v>
      </c>
      <c r="M9216">
        <v>90.08</v>
      </c>
      <c r="N9216" t="s">
        <v>10236</v>
      </c>
    </row>
    <row r="9217" spans="1:14">
      <c r="A9217" t="s">
        <v>195</v>
      </c>
      <c r="B9217" t="s">
        <v>9183</v>
      </c>
      <c r="C9217">
        <f>"24003277"</f>
        <v>0</v>
      </c>
      <c r="D9217">
        <v>0</v>
      </c>
      <c r="E9217">
        <v>0</v>
      </c>
      <c r="F9217" s="2">
        <v>0</v>
      </c>
      <c r="H9217">
        <v>0</v>
      </c>
      <c r="I9217">
        <v>0.1741125760648204</v>
      </c>
      <c r="J9217">
        <v>0</v>
      </c>
      <c r="K9217">
        <v>0</v>
      </c>
      <c r="L9217" s="2">
        <v>0</v>
      </c>
      <c r="M9217">
        <v>90.09</v>
      </c>
      <c r="N9217" t="s">
        <v>10236</v>
      </c>
    </row>
    <row r="9218" spans="1:14">
      <c r="A9218" t="s">
        <v>195</v>
      </c>
      <c r="B9218" t="s">
        <v>9184</v>
      </c>
      <c r="C9218">
        <f>"24003239"</f>
        <v>0</v>
      </c>
      <c r="D9218">
        <v>0</v>
      </c>
      <c r="E9218">
        <v>0</v>
      </c>
      <c r="F9218" s="2">
        <v>0</v>
      </c>
      <c r="H9218">
        <v>0</v>
      </c>
      <c r="I9218">
        <v>0.1741125760648204</v>
      </c>
      <c r="J9218">
        <v>0</v>
      </c>
      <c r="K9218">
        <v>0</v>
      </c>
      <c r="L9218" s="2">
        <v>0</v>
      </c>
      <c r="M9218">
        <v>90.09</v>
      </c>
      <c r="N9218" t="s">
        <v>10236</v>
      </c>
    </row>
    <row r="9219" spans="1:14">
      <c r="A9219" t="s">
        <v>195</v>
      </c>
      <c r="B9219" t="s">
        <v>9185</v>
      </c>
      <c r="C9219">
        <f>"24000898"</f>
        <v>0</v>
      </c>
      <c r="D9219">
        <v>0</v>
      </c>
      <c r="E9219">
        <v>0</v>
      </c>
      <c r="F9219" s="2">
        <v>0</v>
      </c>
      <c r="H9219">
        <v>0</v>
      </c>
      <c r="I9219">
        <v>0.1741125760648204</v>
      </c>
      <c r="J9219">
        <v>0</v>
      </c>
      <c r="K9219">
        <v>0</v>
      </c>
      <c r="L9219" s="2">
        <v>0</v>
      </c>
      <c r="M9219">
        <v>90.09999999999999</v>
      </c>
      <c r="N9219" t="s">
        <v>10236</v>
      </c>
    </row>
    <row r="9220" spans="1:14">
      <c r="A9220" t="s">
        <v>195</v>
      </c>
      <c r="B9220" t="s">
        <v>9186</v>
      </c>
      <c r="C9220">
        <f>"24000904"</f>
        <v>0</v>
      </c>
      <c r="D9220">
        <v>0</v>
      </c>
      <c r="E9220">
        <v>0</v>
      </c>
      <c r="F9220" s="2">
        <v>0</v>
      </c>
      <c r="H9220">
        <v>0</v>
      </c>
      <c r="I9220">
        <v>0.1741125760648204</v>
      </c>
      <c r="J9220">
        <v>0</v>
      </c>
      <c r="K9220">
        <v>0</v>
      </c>
      <c r="L9220" s="2">
        <v>0</v>
      </c>
      <c r="M9220">
        <v>90.11</v>
      </c>
      <c r="N9220" t="s">
        <v>10236</v>
      </c>
    </row>
    <row r="9221" spans="1:14">
      <c r="A9221" t="s">
        <v>195</v>
      </c>
      <c r="B9221" t="s">
        <v>9187</v>
      </c>
      <c r="C9221">
        <f>"24000874"</f>
        <v>0</v>
      </c>
      <c r="D9221">
        <v>0</v>
      </c>
      <c r="E9221">
        <v>0</v>
      </c>
      <c r="F9221" s="2">
        <v>0</v>
      </c>
      <c r="H9221">
        <v>0</v>
      </c>
      <c r="I9221">
        <v>0.1741125760648204</v>
      </c>
      <c r="J9221">
        <v>0</v>
      </c>
      <c r="K9221">
        <v>0</v>
      </c>
      <c r="L9221" s="2">
        <v>0</v>
      </c>
      <c r="M9221">
        <v>90.12</v>
      </c>
      <c r="N9221" t="s">
        <v>10236</v>
      </c>
    </row>
    <row r="9222" spans="1:14">
      <c r="A9222" t="s">
        <v>35</v>
      </c>
      <c r="B9222" t="s">
        <v>9188</v>
      </c>
      <c r="C9222">
        <f>"JTTMR"</f>
        <v>0</v>
      </c>
      <c r="D9222">
        <v>0</v>
      </c>
      <c r="E9222">
        <v>0</v>
      </c>
      <c r="F9222" s="2">
        <v>0</v>
      </c>
      <c r="H9222">
        <v>0</v>
      </c>
      <c r="I9222">
        <v>0.1741125760648204</v>
      </c>
      <c r="J9222">
        <v>0</v>
      </c>
      <c r="K9222">
        <v>0</v>
      </c>
      <c r="L9222" s="2">
        <v>0</v>
      </c>
      <c r="M9222">
        <v>90.13</v>
      </c>
      <c r="N9222" t="s">
        <v>10236</v>
      </c>
    </row>
    <row r="9223" spans="1:14">
      <c r="A9223" t="s">
        <v>35</v>
      </c>
      <c r="B9223" t="s">
        <v>9189</v>
      </c>
      <c r="C9223">
        <f>"JTTLA"</f>
        <v>0</v>
      </c>
      <c r="D9223">
        <v>0</v>
      </c>
      <c r="E9223">
        <v>0</v>
      </c>
      <c r="F9223" s="2">
        <v>0</v>
      </c>
      <c r="H9223">
        <v>0</v>
      </c>
      <c r="I9223">
        <v>0.1741125760648204</v>
      </c>
      <c r="J9223">
        <v>0</v>
      </c>
      <c r="K9223">
        <v>0</v>
      </c>
      <c r="L9223" s="2">
        <v>0</v>
      </c>
      <c r="M9223">
        <v>90.14</v>
      </c>
      <c r="N9223" t="s">
        <v>10236</v>
      </c>
    </row>
    <row r="9224" spans="1:14">
      <c r="A9224" t="s">
        <v>35</v>
      </c>
      <c r="B9224" t="s">
        <v>9190</v>
      </c>
      <c r="C9224">
        <f>"JPRL"</f>
        <v>0</v>
      </c>
      <c r="D9224">
        <v>0</v>
      </c>
      <c r="E9224">
        <v>0</v>
      </c>
      <c r="F9224" s="2">
        <v>0</v>
      </c>
      <c r="H9224">
        <v>0</v>
      </c>
      <c r="I9224">
        <v>0.1741125760648204</v>
      </c>
      <c r="J9224">
        <v>0</v>
      </c>
      <c r="K9224">
        <v>0</v>
      </c>
      <c r="L9224" s="2">
        <v>0</v>
      </c>
      <c r="M9224">
        <v>90.15000000000001</v>
      </c>
      <c r="N9224" t="s">
        <v>10236</v>
      </c>
    </row>
    <row r="9225" spans="1:14">
      <c r="A9225" t="s">
        <v>220</v>
      </c>
      <c r="B9225" t="s">
        <v>9191</v>
      </c>
      <c r="C9225">
        <f>"966467"</f>
        <v>0</v>
      </c>
      <c r="D9225">
        <v>0</v>
      </c>
      <c r="E9225">
        <v>0</v>
      </c>
      <c r="F9225" s="2">
        <v>0</v>
      </c>
      <c r="H9225">
        <v>0</v>
      </c>
      <c r="I9225">
        <v>0.1741125760648204</v>
      </c>
      <c r="J9225">
        <v>0</v>
      </c>
      <c r="K9225">
        <v>0</v>
      </c>
      <c r="L9225" s="2">
        <v>0</v>
      </c>
      <c r="M9225">
        <v>90.16</v>
      </c>
      <c r="N9225" t="s">
        <v>10236</v>
      </c>
    </row>
    <row r="9226" spans="1:14">
      <c r="A9226" t="s">
        <v>35</v>
      </c>
      <c r="B9226" t="s">
        <v>9192</v>
      </c>
      <c r="C9226">
        <f>"SDR125"</f>
        <v>0</v>
      </c>
      <c r="D9226">
        <v>0</v>
      </c>
      <c r="E9226">
        <v>0</v>
      </c>
      <c r="F9226" s="2">
        <v>0</v>
      </c>
      <c r="H9226">
        <v>0</v>
      </c>
      <c r="I9226">
        <v>0.1741125760648204</v>
      </c>
      <c r="J9226">
        <v>0</v>
      </c>
      <c r="K9226">
        <v>0</v>
      </c>
      <c r="L9226" s="2">
        <v>0</v>
      </c>
      <c r="M9226">
        <v>90.17</v>
      </c>
      <c r="N9226" t="s">
        <v>10236</v>
      </c>
    </row>
    <row r="9227" spans="1:14">
      <c r="A9227" t="s">
        <v>35</v>
      </c>
      <c r="B9227" t="s">
        <v>9193</v>
      </c>
      <c r="C9227">
        <f>"SDR111A"</f>
        <v>0</v>
      </c>
      <c r="D9227">
        <v>0</v>
      </c>
      <c r="E9227">
        <v>1</v>
      </c>
      <c r="F9227" s="2">
        <v>1</v>
      </c>
      <c r="H9227">
        <v>0</v>
      </c>
      <c r="I9227">
        <v>0.1741125760648204</v>
      </c>
      <c r="J9227">
        <v>0</v>
      </c>
      <c r="K9227">
        <v>0</v>
      </c>
      <c r="L9227" s="2">
        <v>0</v>
      </c>
      <c r="M9227">
        <v>90.18000000000001</v>
      </c>
      <c r="N9227" t="s">
        <v>10236</v>
      </c>
    </row>
    <row r="9228" spans="1:14">
      <c r="A9228" t="s">
        <v>35</v>
      </c>
      <c r="B9228" t="s">
        <v>9194</v>
      </c>
      <c r="C9228">
        <f>"SDR110A"</f>
        <v>0</v>
      </c>
      <c r="D9228">
        <v>0</v>
      </c>
      <c r="E9228">
        <v>5</v>
      </c>
      <c r="F9228" s="2">
        <v>1</v>
      </c>
      <c r="H9228">
        <v>0</v>
      </c>
      <c r="I9228">
        <v>0.1741125760648204</v>
      </c>
      <c r="J9228">
        <v>0</v>
      </c>
      <c r="K9228">
        <v>0</v>
      </c>
      <c r="L9228" s="2">
        <v>0</v>
      </c>
      <c r="M9228">
        <v>90.19</v>
      </c>
      <c r="N9228" t="s">
        <v>10236</v>
      </c>
    </row>
    <row r="9229" spans="1:14">
      <c r="A9229" t="s">
        <v>35</v>
      </c>
      <c r="B9229" t="s">
        <v>9195</v>
      </c>
      <c r="C9229">
        <f>"D060S"</f>
        <v>0</v>
      </c>
      <c r="D9229">
        <v>0</v>
      </c>
      <c r="E9229">
        <v>6</v>
      </c>
      <c r="F9229" s="2">
        <v>2</v>
      </c>
      <c r="H9229">
        <v>0</v>
      </c>
      <c r="I9229">
        <v>0.1741125760648204</v>
      </c>
      <c r="J9229">
        <v>0</v>
      </c>
      <c r="K9229">
        <v>0</v>
      </c>
      <c r="L9229" s="2">
        <v>0</v>
      </c>
      <c r="M9229">
        <v>90.2</v>
      </c>
      <c r="N9229" t="s">
        <v>10236</v>
      </c>
    </row>
    <row r="9230" spans="1:14">
      <c r="A9230" t="s">
        <v>35</v>
      </c>
      <c r="B9230" t="s">
        <v>9196</v>
      </c>
      <c r="C9230">
        <f>"SDR107"</f>
        <v>0</v>
      </c>
      <c r="D9230">
        <v>0</v>
      </c>
      <c r="E9230">
        <v>0</v>
      </c>
      <c r="F9230" s="2">
        <v>0</v>
      </c>
      <c r="H9230">
        <v>0</v>
      </c>
      <c r="I9230">
        <v>0.1741125760648204</v>
      </c>
      <c r="J9230">
        <v>0</v>
      </c>
      <c r="K9230">
        <v>0</v>
      </c>
      <c r="L9230" s="2">
        <v>0</v>
      </c>
      <c r="M9230">
        <v>90.20999999999999</v>
      </c>
      <c r="N9230" t="s">
        <v>10236</v>
      </c>
    </row>
    <row r="9231" spans="1:14">
      <c r="A9231" t="s">
        <v>35</v>
      </c>
      <c r="B9231" t="s">
        <v>9197</v>
      </c>
      <c r="C9231">
        <f>"LWT0079bn"</f>
        <v>0</v>
      </c>
      <c r="D9231">
        <v>0</v>
      </c>
      <c r="E9231">
        <v>0</v>
      </c>
      <c r="F9231" s="2">
        <v>0</v>
      </c>
      <c r="H9231">
        <v>0</v>
      </c>
      <c r="I9231">
        <v>0.1741125760648204</v>
      </c>
      <c r="J9231">
        <v>0</v>
      </c>
      <c r="K9231">
        <v>0</v>
      </c>
      <c r="L9231" s="2">
        <v>0</v>
      </c>
      <c r="M9231">
        <v>90.20999999999999</v>
      </c>
      <c r="N9231" t="s">
        <v>10236</v>
      </c>
    </row>
    <row r="9232" spans="1:14">
      <c r="A9232" t="s">
        <v>35</v>
      </c>
      <c r="B9232" t="s">
        <v>9198</v>
      </c>
      <c r="C9232">
        <f>"ZRD2019134"</f>
        <v>0</v>
      </c>
      <c r="D9232">
        <v>0</v>
      </c>
      <c r="E9232">
        <v>5</v>
      </c>
      <c r="F9232" s="2">
        <v>6</v>
      </c>
      <c r="H9232">
        <v>0</v>
      </c>
      <c r="I9232">
        <v>0.1741125760648204</v>
      </c>
      <c r="J9232">
        <v>0</v>
      </c>
      <c r="K9232">
        <v>0</v>
      </c>
      <c r="L9232" s="2">
        <v>0</v>
      </c>
      <c r="M9232">
        <v>90.22</v>
      </c>
      <c r="N9232" t="s">
        <v>10236</v>
      </c>
    </row>
    <row r="9233" spans="1:14">
      <c r="A9233" t="s">
        <v>35</v>
      </c>
      <c r="B9233" t="s">
        <v>9199</v>
      </c>
      <c r="C9233">
        <f>"WPS069"</f>
        <v>0</v>
      </c>
      <c r="D9233">
        <v>0</v>
      </c>
      <c r="E9233">
        <v>0</v>
      </c>
      <c r="F9233" s="2">
        <v>0</v>
      </c>
      <c r="H9233">
        <v>0</v>
      </c>
      <c r="I9233">
        <v>0.1741125760648204</v>
      </c>
      <c r="J9233">
        <v>0</v>
      </c>
      <c r="K9233">
        <v>0</v>
      </c>
      <c r="L9233" s="2">
        <v>0</v>
      </c>
      <c r="M9233">
        <v>90.23</v>
      </c>
      <c r="N9233" t="s">
        <v>10236</v>
      </c>
    </row>
    <row r="9234" spans="1:14">
      <c r="A9234" t="s">
        <v>35</v>
      </c>
      <c r="B9234" t="s">
        <v>9200</v>
      </c>
      <c r="C9234">
        <f>"TC0093V"</f>
        <v>0</v>
      </c>
      <c r="D9234">
        <v>0</v>
      </c>
      <c r="E9234">
        <v>8</v>
      </c>
      <c r="F9234" s="2">
        <v>1</v>
      </c>
      <c r="H9234">
        <v>0</v>
      </c>
      <c r="I9234">
        <v>0.1741125760648204</v>
      </c>
      <c r="J9234">
        <v>0</v>
      </c>
      <c r="K9234">
        <v>0</v>
      </c>
      <c r="L9234" s="2">
        <v>0</v>
      </c>
      <c r="M9234">
        <v>90.23999999999999</v>
      </c>
      <c r="N9234" t="s">
        <v>10236</v>
      </c>
    </row>
    <row r="9235" spans="1:14">
      <c r="A9235" t="s">
        <v>35</v>
      </c>
      <c r="B9235" t="s">
        <v>9201</v>
      </c>
      <c r="C9235">
        <f>"TC0093ROS"</f>
        <v>0</v>
      </c>
      <c r="D9235">
        <v>0</v>
      </c>
      <c r="E9235">
        <v>6</v>
      </c>
      <c r="F9235" s="2">
        <v>1</v>
      </c>
      <c r="H9235">
        <v>0</v>
      </c>
      <c r="I9235">
        <v>0.1741125760648204</v>
      </c>
      <c r="J9235">
        <v>0</v>
      </c>
      <c r="K9235">
        <v>0</v>
      </c>
      <c r="L9235" s="2">
        <v>0</v>
      </c>
      <c r="M9235">
        <v>90.25</v>
      </c>
      <c r="N9235" t="s">
        <v>10236</v>
      </c>
    </row>
    <row r="9236" spans="1:14">
      <c r="A9236" t="s">
        <v>35</v>
      </c>
      <c r="B9236" t="s">
        <v>9202</v>
      </c>
      <c r="C9236">
        <f>"WPS073"</f>
        <v>0</v>
      </c>
      <c r="D9236">
        <v>0</v>
      </c>
      <c r="E9236">
        <v>0</v>
      </c>
      <c r="F9236" s="2">
        <v>0</v>
      </c>
      <c r="H9236">
        <v>0</v>
      </c>
      <c r="I9236">
        <v>0.1741125760648204</v>
      </c>
      <c r="J9236">
        <v>0</v>
      </c>
      <c r="K9236">
        <v>0</v>
      </c>
      <c r="L9236" s="2">
        <v>0</v>
      </c>
      <c r="M9236">
        <v>90.26000000000001</v>
      </c>
      <c r="N9236" t="s">
        <v>10236</v>
      </c>
    </row>
    <row r="9237" spans="1:14">
      <c r="A9237" t="s">
        <v>35</v>
      </c>
      <c r="B9237" t="s">
        <v>9203</v>
      </c>
      <c r="C9237">
        <f>"WPS113"</f>
        <v>0</v>
      </c>
      <c r="D9237">
        <v>0</v>
      </c>
      <c r="E9237">
        <v>0</v>
      </c>
      <c r="F9237" s="2">
        <v>0</v>
      </c>
      <c r="H9237">
        <v>0</v>
      </c>
      <c r="I9237">
        <v>0.1741125760648204</v>
      </c>
      <c r="J9237">
        <v>0</v>
      </c>
      <c r="K9237">
        <v>0</v>
      </c>
      <c r="L9237" s="2">
        <v>0</v>
      </c>
      <c r="M9237">
        <v>90.27</v>
      </c>
      <c r="N9237" t="s">
        <v>10236</v>
      </c>
    </row>
    <row r="9238" spans="1:14">
      <c r="A9238" t="s">
        <v>35</v>
      </c>
      <c r="B9238" t="s">
        <v>9204</v>
      </c>
      <c r="C9238">
        <f>"DGY113"</f>
        <v>0</v>
      </c>
      <c r="D9238">
        <v>0</v>
      </c>
      <c r="E9238">
        <v>0</v>
      </c>
      <c r="F9238" s="2">
        <v>0</v>
      </c>
      <c r="H9238">
        <v>0</v>
      </c>
      <c r="I9238">
        <v>0.1741125760648204</v>
      </c>
      <c r="J9238">
        <v>0</v>
      </c>
      <c r="K9238">
        <v>0</v>
      </c>
      <c r="L9238" s="2">
        <v>0</v>
      </c>
      <c r="M9238">
        <v>90.28</v>
      </c>
      <c r="N9238" t="s">
        <v>10236</v>
      </c>
    </row>
    <row r="9239" spans="1:14">
      <c r="A9239" t="s">
        <v>35</v>
      </c>
      <c r="B9239" t="s">
        <v>9205</v>
      </c>
      <c r="C9239">
        <f>"HDD163V"</f>
        <v>0</v>
      </c>
      <c r="D9239">
        <v>0</v>
      </c>
      <c r="E9239">
        <v>0</v>
      </c>
      <c r="F9239" s="2">
        <v>0</v>
      </c>
      <c r="H9239">
        <v>0</v>
      </c>
      <c r="I9239">
        <v>0.1741125760648204</v>
      </c>
      <c r="J9239">
        <v>0</v>
      </c>
      <c r="K9239">
        <v>0</v>
      </c>
      <c r="L9239" s="2">
        <v>0</v>
      </c>
      <c r="M9239">
        <v>90.29000000000001</v>
      </c>
      <c r="N9239" t="s">
        <v>10236</v>
      </c>
    </row>
    <row r="9240" spans="1:14">
      <c r="A9240" t="s">
        <v>192</v>
      </c>
      <c r="B9240" t="s">
        <v>9206</v>
      </c>
      <c r="C9240">
        <f>"Avediamante"</f>
        <v>0</v>
      </c>
      <c r="D9240">
        <v>0</v>
      </c>
      <c r="E9240">
        <v>0</v>
      </c>
      <c r="F9240" s="2">
        <v>0</v>
      </c>
      <c r="H9240">
        <v>0</v>
      </c>
      <c r="I9240">
        <v>0.1741125760648204</v>
      </c>
      <c r="J9240">
        <v>0</v>
      </c>
      <c r="K9240">
        <v>0</v>
      </c>
      <c r="L9240" s="2">
        <v>0</v>
      </c>
      <c r="M9240">
        <v>90.3</v>
      </c>
      <c r="N9240" t="s">
        <v>10236</v>
      </c>
    </row>
    <row r="9241" spans="1:14">
      <c r="A9241" t="s">
        <v>35</v>
      </c>
      <c r="B9241" t="s">
        <v>9207</v>
      </c>
      <c r="C9241">
        <f>"HDD011"</f>
        <v>0</v>
      </c>
      <c r="D9241">
        <v>0</v>
      </c>
      <c r="E9241">
        <v>2</v>
      </c>
      <c r="F9241" s="2">
        <v>1</v>
      </c>
      <c r="H9241">
        <v>0</v>
      </c>
      <c r="I9241">
        <v>0.1741125760648204</v>
      </c>
      <c r="J9241">
        <v>0</v>
      </c>
      <c r="K9241">
        <v>0</v>
      </c>
      <c r="L9241" s="2">
        <v>0</v>
      </c>
      <c r="M9241">
        <v>90.31</v>
      </c>
      <c r="N9241" t="s">
        <v>10236</v>
      </c>
    </row>
    <row r="9242" spans="1:14">
      <c r="A9242" t="s">
        <v>35</v>
      </c>
      <c r="B9242" t="s">
        <v>9208</v>
      </c>
      <c r="C9242">
        <f>"HDD145R"</f>
        <v>0</v>
      </c>
      <c r="D9242">
        <v>0</v>
      </c>
      <c r="E9242">
        <v>3</v>
      </c>
      <c r="F9242" s="2">
        <v>1</v>
      </c>
      <c r="H9242">
        <v>0</v>
      </c>
      <c r="I9242">
        <v>0.1741125760648204</v>
      </c>
      <c r="J9242">
        <v>0</v>
      </c>
      <c r="K9242">
        <v>0</v>
      </c>
      <c r="L9242" s="2">
        <v>0</v>
      </c>
      <c r="M9242">
        <v>90.31999999999999</v>
      </c>
      <c r="N9242" t="s">
        <v>10236</v>
      </c>
    </row>
    <row r="9243" spans="1:14">
      <c r="A9243" t="s">
        <v>35</v>
      </c>
      <c r="B9243" t="s">
        <v>9209</v>
      </c>
      <c r="C9243">
        <f>"HDD145BL"</f>
        <v>0</v>
      </c>
      <c r="D9243">
        <v>0</v>
      </c>
      <c r="E9243">
        <v>0</v>
      </c>
      <c r="F9243" s="2">
        <v>0</v>
      </c>
      <c r="H9243">
        <v>0</v>
      </c>
      <c r="I9243">
        <v>0.1741125760648204</v>
      </c>
      <c r="J9243">
        <v>0</v>
      </c>
      <c r="K9243">
        <v>0</v>
      </c>
      <c r="L9243" s="2">
        <v>0</v>
      </c>
      <c r="M9243">
        <v>90.33</v>
      </c>
      <c r="N9243" t="s">
        <v>10236</v>
      </c>
    </row>
    <row r="9244" spans="1:14">
      <c r="A9244" t="s">
        <v>35</v>
      </c>
      <c r="B9244" t="s">
        <v>9210</v>
      </c>
      <c r="C9244">
        <f>"HDD179PCC"</f>
        <v>0</v>
      </c>
      <c r="D9244">
        <v>0</v>
      </c>
      <c r="E9244">
        <v>0</v>
      </c>
      <c r="F9244" s="2">
        <v>0</v>
      </c>
      <c r="H9244">
        <v>0</v>
      </c>
      <c r="I9244">
        <v>0.1741125760648204</v>
      </c>
      <c r="J9244">
        <v>0</v>
      </c>
      <c r="K9244">
        <v>0</v>
      </c>
      <c r="L9244" s="2">
        <v>0</v>
      </c>
      <c r="M9244">
        <v>90.33</v>
      </c>
      <c r="N9244" t="s">
        <v>10236</v>
      </c>
    </row>
    <row r="9245" spans="1:14">
      <c r="A9245" t="s">
        <v>35</v>
      </c>
      <c r="B9245" t="s">
        <v>9211</v>
      </c>
      <c r="C9245">
        <f>"HDD179PCB"</f>
        <v>0</v>
      </c>
      <c r="D9245">
        <v>0</v>
      </c>
      <c r="E9245">
        <v>6</v>
      </c>
      <c r="F9245" s="2">
        <v>1</v>
      </c>
      <c r="H9245">
        <v>0</v>
      </c>
      <c r="I9245">
        <v>0.1741125760648204</v>
      </c>
      <c r="J9245">
        <v>0</v>
      </c>
      <c r="K9245">
        <v>0</v>
      </c>
      <c r="L9245" s="2">
        <v>0</v>
      </c>
      <c r="M9245">
        <v>90.34</v>
      </c>
      <c r="N9245" t="s">
        <v>10236</v>
      </c>
    </row>
    <row r="9246" spans="1:14">
      <c r="A9246" t="s">
        <v>35</v>
      </c>
      <c r="B9246" t="s">
        <v>9212</v>
      </c>
      <c r="C9246">
        <f>"SDR110"</f>
        <v>0</v>
      </c>
      <c r="D9246">
        <v>0</v>
      </c>
      <c r="E9246">
        <v>0</v>
      </c>
      <c r="F9246" s="2">
        <v>0</v>
      </c>
      <c r="H9246">
        <v>0</v>
      </c>
      <c r="I9246">
        <v>0.1741125760648204</v>
      </c>
      <c r="J9246">
        <v>0</v>
      </c>
      <c r="K9246">
        <v>0</v>
      </c>
      <c r="L9246" s="2">
        <v>0</v>
      </c>
      <c r="M9246">
        <v>90.34999999999999</v>
      </c>
      <c r="N9246" t="s">
        <v>10236</v>
      </c>
    </row>
    <row r="9247" spans="1:14">
      <c r="A9247" t="s">
        <v>35</v>
      </c>
      <c r="B9247" t="s">
        <v>9213</v>
      </c>
      <c r="C9247">
        <f>"SDR102"</f>
        <v>0</v>
      </c>
      <c r="D9247">
        <v>0</v>
      </c>
      <c r="E9247">
        <v>0</v>
      </c>
      <c r="F9247" s="2">
        <v>0</v>
      </c>
      <c r="H9247">
        <v>0</v>
      </c>
      <c r="I9247">
        <v>0.1741125760648204</v>
      </c>
      <c r="J9247">
        <v>0</v>
      </c>
      <c r="K9247">
        <v>0</v>
      </c>
      <c r="L9247" s="2">
        <v>0</v>
      </c>
      <c r="M9247">
        <v>90.36</v>
      </c>
      <c r="N9247" t="s">
        <v>10236</v>
      </c>
    </row>
    <row r="9248" spans="1:14">
      <c r="A9248" t="s">
        <v>35</v>
      </c>
      <c r="B9248" t="s">
        <v>9214</v>
      </c>
      <c r="C9248">
        <f>"SDR121"</f>
        <v>0</v>
      </c>
      <c r="D9248">
        <v>0</v>
      </c>
      <c r="E9248">
        <v>0</v>
      </c>
      <c r="F9248" s="2">
        <v>0</v>
      </c>
      <c r="H9248">
        <v>0</v>
      </c>
      <c r="I9248">
        <v>0.1741125760648204</v>
      </c>
      <c r="J9248">
        <v>0</v>
      </c>
      <c r="K9248">
        <v>0</v>
      </c>
      <c r="L9248" s="2">
        <v>0</v>
      </c>
      <c r="M9248">
        <v>90.37</v>
      </c>
      <c r="N9248" t="s">
        <v>10236</v>
      </c>
    </row>
    <row r="9249" spans="1:14">
      <c r="A9249" t="s">
        <v>35</v>
      </c>
      <c r="B9249" t="s">
        <v>9215</v>
      </c>
      <c r="C9249">
        <f>"SDR1123"</f>
        <v>0</v>
      </c>
      <c r="D9249">
        <v>0</v>
      </c>
      <c r="E9249">
        <v>0</v>
      </c>
      <c r="F9249" s="2">
        <v>0</v>
      </c>
      <c r="H9249">
        <v>0</v>
      </c>
      <c r="I9249">
        <v>0.1741125760648204</v>
      </c>
      <c r="J9249">
        <v>0</v>
      </c>
      <c r="K9249">
        <v>0</v>
      </c>
      <c r="L9249" s="2">
        <v>0</v>
      </c>
      <c r="M9249">
        <v>90.38</v>
      </c>
      <c r="N9249" t="s">
        <v>10236</v>
      </c>
    </row>
    <row r="9250" spans="1:14">
      <c r="A9250" t="s">
        <v>35</v>
      </c>
      <c r="B9250" t="s">
        <v>9216</v>
      </c>
      <c r="C9250">
        <f>"DGY06"</f>
        <v>0</v>
      </c>
      <c r="D9250">
        <v>0</v>
      </c>
      <c r="E9250">
        <v>0</v>
      </c>
      <c r="F9250" s="2">
        <v>0</v>
      </c>
      <c r="H9250">
        <v>0</v>
      </c>
      <c r="I9250">
        <v>0.1741125760648204</v>
      </c>
      <c r="J9250">
        <v>0</v>
      </c>
      <c r="K9250">
        <v>0</v>
      </c>
      <c r="L9250" s="2">
        <v>0</v>
      </c>
      <c r="M9250">
        <v>90.39</v>
      </c>
      <c r="N9250" t="s">
        <v>10236</v>
      </c>
    </row>
    <row r="9251" spans="1:14">
      <c r="A9251" t="s">
        <v>35</v>
      </c>
      <c r="B9251" t="s">
        <v>9217</v>
      </c>
      <c r="C9251">
        <f>"CT357"</f>
        <v>0</v>
      </c>
      <c r="D9251">
        <v>0</v>
      </c>
      <c r="E9251">
        <v>0</v>
      </c>
      <c r="F9251" s="2">
        <v>0</v>
      </c>
      <c r="H9251">
        <v>0</v>
      </c>
      <c r="I9251">
        <v>0.1741125760648204</v>
      </c>
      <c r="J9251">
        <v>0</v>
      </c>
      <c r="K9251">
        <v>0</v>
      </c>
      <c r="L9251" s="2">
        <v>0</v>
      </c>
      <c r="M9251">
        <v>90.40000000000001</v>
      </c>
      <c r="N9251" t="s">
        <v>10236</v>
      </c>
    </row>
    <row r="9252" spans="1:14">
      <c r="A9252" t="s">
        <v>35</v>
      </c>
      <c r="B9252" t="s">
        <v>9218</v>
      </c>
      <c r="C9252">
        <f>"CT031"</f>
        <v>0</v>
      </c>
      <c r="D9252">
        <v>0</v>
      </c>
      <c r="E9252">
        <v>0</v>
      </c>
      <c r="F9252" s="2">
        <v>0</v>
      </c>
      <c r="H9252">
        <v>0</v>
      </c>
      <c r="I9252">
        <v>0.1741125760648204</v>
      </c>
      <c r="J9252">
        <v>0</v>
      </c>
      <c r="K9252">
        <v>0</v>
      </c>
      <c r="L9252" s="2">
        <v>0</v>
      </c>
      <c r="M9252">
        <v>90.41</v>
      </c>
      <c r="N9252" t="s">
        <v>10236</v>
      </c>
    </row>
    <row r="9253" spans="1:14">
      <c r="A9253" t="s">
        <v>35</v>
      </c>
      <c r="B9253" t="s">
        <v>9219</v>
      </c>
      <c r="C9253">
        <f>"WPS192"</f>
        <v>0</v>
      </c>
      <c r="D9253">
        <v>0</v>
      </c>
      <c r="E9253">
        <v>0</v>
      </c>
      <c r="F9253" s="2">
        <v>0</v>
      </c>
      <c r="H9253">
        <v>0</v>
      </c>
      <c r="I9253">
        <v>0.1741125760648204</v>
      </c>
      <c r="J9253">
        <v>0</v>
      </c>
      <c r="K9253">
        <v>0</v>
      </c>
      <c r="L9253" s="2">
        <v>0</v>
      </c>
      <c r="M9253">
        <v>90.42</v>
      </c>
      <c r="N9253" t="s">
        <v>10236</v>
      </c>
    </row>
    <row r="9254" spans="1:14">
      <c r="A9254" t="s">
        <v>35</v>
      </c>
      <c r="B9254" t="s">
        <v>9220</v>
      </c>
      <c r="C9254">
        <f>"CT384"</f>
        <v>0</v>
      </c>
      <c r="D9254">
        <v>0</v>
      </c>
      <c r="E9254">
        <v>0</v>
      </c>
      <c r="F9254" s="2">
        <v>0</v>
      </c>
      <c r="H9254">
        <v>0</v>
      </c>
      <c r="I9254">
        <v>0.1741125760648204</v>
      </c>
      <c r="J9254">
        <v>0</v>
      </c>
      <c r="K9254">
        <v>0</v>
      </c>
      <c r="L9254" s="2">
        <v>0</v>
      </c>
      <c r="M9254">
        <v>90.43000000000001</v>
      </c>
      <c r="N9254" t="s">
        <v>10236</v>
      </c>
    </row>
    <row r="9255" spans="1:14">
      <c r="A9255" t="s">
        <v>35</v>
      </c>
      <c r="B9255" t="s">
        <v>9221</v>
      </c>
      <c r="C9255">
        <f>"CT023"</f>
        <v>0</v>
      </c>
      <c r="D9255">
        <v>0</v>
      </c>
      <c r="E9255">
        <v>0</v>
      </c>
      <c r="F9255" s="2">
        <v>0</v>
      </c>
      <c r="H9255">
        <v>0</v>
      </c>
      <c r="I9255">
        <v>0.1741125760648204</v>
      </c>
      <c r="J9255">
        <v>0</v>
      </c>
      <c r="K9255">
        <v>0</v>
      </c>
      <c r="L9255" s="2">
        <v>0</v>
      </c>
      <c r="M9255">
        <v>90.44</v>
      </c>
      <c r="N9255" t="s">
        <v>10236</v>
      </c>
    </row>
    <row r="9256" spans="1:14">
      <c r="A9256" t="s">
        <v>35</v>
      </c>
      <c r="B9256" t="s">
        <v>9222</v>
      </c>
      <c r="C9256">
        <f>"HDD163NA"</f>
        <v>0</v>
      </c>
      <c r="D9256">
        <v>0</v>
      </c>
      <c r="E9256">
        <v>0</v>
      </c>
      <c r="F9256" s="2">
        <v>0</v>
      </c>
      <c r="H9256">
        <v>0</v>
      </c>
      <c r="I9256">
        <v>0.1741125760648204</v>
      </c>
      <c r="J9256">
        <v>0</v>
      </c>
      <c r="K9256">
        <v>0</v>
      </c>
      <c r="L9256" s="2">
        <v>0</v>
      </c>
      <c r="M9256">
        <v>90.45</v>
      </c>
      <c r="N9256" t="s">
        <v>10236</v>
      </c>
    </row>
    <row r="9257" spans="1:14">
      <c r="A9257" t="s">
        <v>35</v>
      </c>
      <c r="B9257" t="s">
        <v>9223</v>
      </c>
      <c r="C9257">
        <f>"BA046MAD"</f>
        <v>0</v>
      </c>
      <c r="D9257">
        <v>0</v>
      </c>
      <c r="E9257">
        <v>4</v>
      </c>
      <c r="F9257" s="2">
        <v>1</v>
      </c>
      <c r="H9257">
        <v>0</v>
      </c>
      <c r="I9257">
        <v>0.1741125760648204</v>
      </c>
      <c r="J9257">
        <v>0</v>
      </c>
      <c r="K9257">
        <v>0</v>
      </c>
      <c r="L9257" s="2">
        <v>0</v>
      </c>
      <c r="M9257">
        <v>90.45</v>
      </c>
      <c r="N9257" t="s">
        <v>10236</v>
      </c>
    </row>
    <row r="9258" spans="1:14">
      <c r="A9258" t="s">
        <v>35</v>
      </c>
      <c r="B9258" t="s">
        <v>9224</v>
      </c>
      <c r="C9258">
        <f>"YE93643"</f>
        <v>0</v>
      </c>
      <c r="D9258">
        <v>0</v>
      </c>
      <c r="E9258">
        <v>0</v>
      </c>
      <c r="F9258" s="2">
        <v>0</v>
      </c>
      <c r="H9258">
        <v>0</v>
      </c>
      <c r="I9258">
        <v>0.1741125760648204</v>
      </c>
      <c r="J9258">
        <v>0</v>
      </c>
      <c r="K9258">
        <v>0</v>
      </c>
      <c r="L9258" s="2">
        <v>0</v>
      </c>
      <c r="M9258">
        <v>90.45999999999999</v>
      </c>
      <c r="N9258" t="s">
        <v>10236</v>
      </c>
    </row>
    <row r="9259" spans="1:14">
      <c r="A9259" t="s">
        <v>35</v>
      </c>
      <c r="B9259" t="s">
        <v>9225</v>
      </c>
      <c r="C9259">
        <f>"FS3202"</f>
        <v>0</v>
      </c>
      <c r="D9259">
        <v>0</v>
      </c>
      <c r="E9259">
        <v>1</v>
      </c>
      <c r="F9259" s="2">
        <v>13</v>
      </c>
      <c r="H9259">
        <v>0</v>
      </c>
      <c r="I9259">
        <v>0.1741125760648204</v>
      </c>
      <c r="J9259">
        <v>0</v>
      </c>
      <c r="K9259">
        <v>0</v>
      </c>
      <c r="L9259" s="2">
        <v>0</v>
      </c>
      <c r="M9259">
        <v>90.47</v>
      </c>
      <c r="N9259" t="s">
        <v>10236</v>
      </c>
    </row>
    <row r="9260" spans="1:14">
      <c r="A9260" t="s">
        <v>35</v>
      </c>
      <c r="B9260" t="s">
        <v>9226</v>
      </c>
      <c r="C9260">
        <f>"SDX070"</f>
        <v>0</v>
      </c>
      <c r="D9260">
        <v>0</v>
      </c>
      <c r="E9260">
        <v>0</v>
      </c>
      <c r="F9260" s="2">
        <v>0</v>
      </c>
      <c r="H9260">
        <v>0</v>
      </c>
      <c r="I9260">
        <v>0.1741125760648204</v>
      </c>
      <c r="J9260">
        <v>0</v>
      </c>
      <c r="K9260">
        <v>0</v>
      </c>
      <c r="L9260" s="2">
        <v>0</v>
      </c>
      <c r="M9260">
        <v>90.48</v>
      </c>
      <c r="N9260" t="s">
        <v>10236</v>
      </c>
    </row>
    <row r="9261" spans="1:14">
      <c r="A9261" t="s">
        <v>35</v>
      </c>
      <c r="B9261" t="s">
        <v>9227</v>
      </c>
      <c r="C9261">
        <f>"4000258"</f>
        <v>0</v>
      </c>
      <c r="D9261">
        <v>0</v>
      </c>
      <c r="E9261">
        <v>0</v>
      </c>
      <c r="F9261" s="2">
        <v>0</v>
      </c>
      <c r="H9261">
        <v>0</v>
      </c>
      <c r="I9261">
        <v>0.1741125760648204</v>
      </c>
      <c r="J9261">
        <v>0</v>
      </c>
      <c r="K9261">
        <v>0</v>
      </c>
      <c r="L9261" s="2">
        <v>0</v>
      </c>
      <c r="M9261">
        <v>90.48999999999999</v>
      </c>
      <c r="N9261" t="s">
        <v>10236</v>
      </c>
    </row>
    <row r="9262" spans="1:14">
      <c r="A9262" t="s">
        <v>35</v>
      </c>
      <c r="B9262" t="s">
        <v>9228</v>
      </c>
      <c r="C9262">
        <f>"4000241"</f>
        <v>0</v>
      </c>
      <c r="D9262">
        <v>0</v>
      </c>
      <c r="E9262">
        <v>0</v>
      </c>
      <c r="F9262" s="2">
        <v>0</v>
      </c>
      <c r="H9262">
        <v>0</v>
      </c>
      <c r="I9262">
        <v>0.1741125760648204</v>
      </c>
      <c r="J9262">
        <v>0</v>
      </c>
      <c r="K9262">
        <v>0</v>
      </c>
      <c r="L9262" s="2">
        <v>0</v>
      </c>
      <c r="M9262">
        <v>90.5</v>
      </c>
      <c r="N9262" t="s">
        <v>10236</v>
      </c>
    </row>
    <row r="9263" spans="1:14">
      <c r="A9263" t="s">
        <v>35</v>
      </c>
      <c r="B9263" t="s">
        <v>9229</v>
      </c>
      <c r="C9263">
        <f>"4000234"</f>
        <v>0</v>
      </c>
      <c r="D9263">
        <v>0</v>
      </c>
      <c r="E9263">
        <v>0</v>
      </c>
      <c r="F9263" s="2">
        <v>0</v>
      </c>
      <c r="H9263">
        <v>0</v>
      </c>
      <c r="I9263">
        <v>0.1741125760648204</v>
      </c>
      <c r="J9263">
        <v>0</v>
      </c>
      <c r="K9263">
        <v>0</v>
      </c>
      <c r="L9263" s="2">
        <v>0</v>
      </c>
      <c r="M9263">
        <v>90.51000000000001</v>
      </c>
      <c r="N9263" t="s">
        <v>10236</v>
      </c>
    </row>
    <row r="9264" spans="1:14">
      <c r="A9264" t="s">
        <v>35</v>
      </c>
      <c r="B9264" t="s">
        <v>9230</v>
      </c>
      <c r="C9264">
        <f>"FB870SB"</f>
        <v>0</v>
      </c>
      <c r="D9264">
        <v>0</v>
      </c>
      <c r="E9264">
        <v>0</v>
      </c>
      <c r="F9264" s="2">
        <v>0</v>
      </c>
      <c r="H9264">
        <v>0</v>
      </c>
      <c r="I9264">
        <v>0.1741125760648204</v>
      </c>
      <c r="J9264">
        <v>0</v>
      </c>
      <c r="K9264">
        <v>0</v>
      </c>
      <c r="L9264" s="2">
        <v>0</v>
      </c>
      <c r="M9264">
        <v>90.52</v>
      </c>
      <c r="N9264" t="s">
        <v>10236</v>
      </c>
    </row>
    <row r="9265" spans="1:14">
      <c r="A9265" t="s">
        <v>35</v>
      </c>
      <c r="B9265" t="s">
        <v>9231</v>
      </c>
      <c r="C9265">
        <f>"FB870SA"</f>
        <v>0</v>
      </c>
      <c r="D9265">
        <v>0</v>
      </c>
      <c r="E9265">
        <v>0</v>
      </c>
      <c r="F9265" s="2">
        <v>0</v>
      </c>
      <c r="H9265">
        <v>0</v>
      </c>
      <c r="I9265">
        <v>0.1741125760648204</v>
      </c>
      <c r="J9265">
        <v>0</v>
      </c>
      <c r="K9265">
        <v>0</v>
      </c>
      <c r="L9265" s="2">
        <v>0</v>
      </c>
      <c r="M9265">
        <v>90.53</v>
      </c>
      <c r="N9265" t="s">
        <v>10236</v>
      </c>
    </row>
    <row r="9266" spans="1:14">
      <c r="A9266" t="s">
        <v>35</v>
      </c>
      <c r="B9266" t="s">
        <v>9232</v>
      </c>
      <c r="C9266">
        <f>"FB870MV"</f>
        <v>0</v>
      </c>
      <c r="D9266">
        <v>0</v>
      </c>
      <c r="E9266">
        <v>0</v>
      </c>
      <c r="F9266" s="2">
        <v>0</v>
      </c>
      <c r="H9266">
        <v>0</v>
      </c>
      <c r="I9266">
        <v>0.1741125760648204</v>
      </c>
      <c r="J9266">
        <v>0</v>
      </c>
      <c r="K9266">
        <v>0</v>
      </c>
      <c r="L9266" s="2">
        <v>0</v>
      </c>
      <c r="M9266">
        <v>90.54000000000001</v>
      </c>
      <c r="N9266" t="s">
        <v>10236</v>
      </c>
    </row>
    <row r="9267" spans="1:14">
      <c r="A9267" t="s">
        <v>35</v>
      </c>
      <c r="B9267" t="s">
        <v>9233</v>
      </c>
      <c r="C9267">
        <f>"FB870MCEL"</f>
        <v>0</v>
      </c>
      <c r="D9267">
        <v>0</v>
      </c>
      <c r="E9267">
        <v>0</v>
      </c>
      <c r="F9267" s="2">
        <v>0</v>
      </c>
      <c r="H9267">
        <v>0</v>
      </c>
      <c r="I9267">
        <v>0.1741125760648204</v>
      </c>
      <c r="J9267">
        <v>0</v>
      </c>
      <c r="K9267">
        <v>0</v>
      </c>
      <c r="L9267" s="2">
        <v>0</v>
      </c>
      <c r="M9267">
        <v>90.55</v>
      </c>
      <c r="N9267" t="s">
        <v>10236</v>
      </c>
    </row>
    <row r="9268" spans="1:14">
      <c r="A9268" t="s">
        <v>35</v>
      </c>
      <c r="B9268" t="s">
        <v>9234</v>
      </c>
      <c r="C9268">
        <f>"FB870MB"</f>
        <v>0</v>
      </c>
      <c r="D9268">
        <v>0</v>
      </c>
      <c r="E9268">
        <v>3</v>
      </c>
      <c r="F9268" s="2">
        <v>2</v>
      </c>
      <c r="H9268">
        <v>0</v>
      </c>
      <c r="I9268">
        <v>0.1741125760648204</v>
      </c>
      <c r="J9268">
        <v>0</v>
      </c>
      <c r="K9268">
        <v>0</v>
      </c>
      <c r="L9268" s="2">
        <v>0</v>
      </c>
      <c r="M9268">
        <v>90.56</v>
      </c>
      <c r="N9268" t="s">
        <v>10236</v>
      </c>
    </row>
    <row r="9269" spans="1:14">
      <c r="A9269" t="s">
        <v>35</v>
      </c>
      <c r="B9269" t="s">
        <v>9235</v>
      </c>
      <c r="C9269">
        <f>"FB870MAM"</f>
        <v>0</v>
      </c>
      <c r="D9269">
        <v>0</v>
      </c>
      <c r="E9269">
        <v>0</v>
      </c>
      <c r="F9269" s="2">
        <v>0</v>
      </c>
      <c r="H9269">
        <v>0</v>
      </c>
      <c r="I9269">
        <v>0.1741125760648204</v>
      </c>
      <c r="J9269">
        <v>0</v>
      </c>
      <c r="K9269">
        <v>0</v>
      </c>
      <c r="L9269" s="2">
        <v>0</v>
      </c>
      <c r="M9269">
        <v>90.56999999999999</v>
      </c>
      <c r="N9269" t="s">
        <v>10236</v>
      </c>
    </row>
    <row r="9270" spans="1:14">
      <c r="A9270" t="s">
        <v>35</v>
      </c>
      <c r="B9270" t="s">
        <v>8957</v>
      </c>
      <c r="C9270">
        <f>"FB870LVE"</f>
        <v>0</v>
      </c>
      <c r="D9270">
        <v>0</v>
      </c>
      <c r="E9270">
        <v>0</v>
      </c>
      <c r="F9270" s="2">
        <v>0</v>
      </c>
      <c r="H9270">
        <v>0</v>
      </c>
      <c r="I9270">
        <v>0.1741125760648204</v>
      </c>
      <c r="J9270">
        <v>0</v>
      </c>
      <c r="K9270">
        <v>0</v>
      </c>
      <c r="L9270" s="2">
        <v>0</v>
      </c>
      <c r="M9270">
        <v>90.56999999999999</v>
      </c>
      <c r="N9270" t="s">
        <v>10236</v>
      </c>
    </row>
    <row r="9271" spans="1:14">
      <c r="A9271" t="s">
        <v>35</v>
      </c>
      <c r="B9271" t="s">
        <v>9236</v>
      </c>
      <c r="C9271">
        <f>"CBT22"</f>
        <v>0</v>
      </c>
      <c r="D9271">
        <v>0</v>
      </c>
      <c r="E9271">
        <v>1</v>
      </c>
      <c r="F9271" s="2">
        <v>1</v>
      </c>
      <c r="H9271">
        <v>0</v>
      </c>
      <c r="I9271">
        <v>0.1741125760648204</v>
      </c>
      <c r="J9271">
        <v>0</v>
      </c>
      <c r="K9271">
        <v>0</v>
      </c>
      <c r="L9271" s="2">
        <v>0</v>
      </c>
      <c r="M9271">
        <v>90.58</v>
      </c>
      <c r="N9271" t="s">
        <v>10236</v>
      </c>
    </row>
    <row r="9272" spans="1:14">
      <c r="A9272" t="s">
        <v>35</v>
      </c>
      <c r="B9272" t="s">
        <v>9237</v>
      </c>
      <c r="C9272">
        <f>"CWB015LGR"</f>
        <v>0</v>
      </c>
      <c r="D9272">
        <v>0</v>
      </c>
      <c r="E9272">
        <v>1</v>
      </c>
      <c r="F9272" s="2">
        <v>13</v>
      </c>
      <c r="H9272">
        <v>0</v>
      </c>
      <c r="I9272">
        <v>0.1741125760648204</v>
      </c>
      <c r="J9272">
        <v>0</v>
      </c>
      <c r="K9272">
        <v>0</v>
      </c>
      <c r="L9272" s="2">
        <v>0</v>
      </c>
      <c r="M9272">
        <v>90.59</v>
      </c>
      <c r="N9272" t="s">
        <v>10236</v>
      </c>
    </row>
    <row r="9273" spans="1:14">
      <c r="A9273" t="s">
        <v>35</v>
      </c>
      <c r="B9273" t="s">
        <v>9238</v>
      </c>
      <c r="C9273">
        <f>"CWB015LAZ"</f>
        <v>0</v>
      </c>
      <c r="D9273">
        <v>0</v>
      </c>
      <c r="E9273">
        <v>1</v>
      </c>
      <c r="F9273" s="2">
        <v>13</v>
      </c>
      <c r="H9273">
        <v>0</v>
      </c>
      <c r="I9273">
        <v>0.1741125760648204</v>
      </c>
      <c r="J9273">
        <v>0</v>
      </c>
      <c r="K9273">
        <v>0</v>
      </c>
      <c r="L9273" s="2">
        <v>0</v>
      </c>
      <c r="M9273">
        <v>90.59999999999999</v>
      </c>
      <c r="N9273" t="s">
        <v>10236</v>
      </c>
    </row>
    <row r="9274" spans="1:14">
      <c r="A9274" t="s">
        <v>196</v>
      </c>
      <c r="B9274" t="s">
        <v>9239</v>
      </c>
      <c r="C9274">
        <f>"2022"</f>
        <v>0</v>
      </c>
      <c r="D9274">
        <v>0</v>
      </c>
      <c r="E9274">
        <v>0</v>
      </c>
      <c r="F9274" s="2">
        <v>0</v>
      </c>
      <c r="H9274">
        <v>0</v>
      </c>
      <c r="I9274">
        <v>0.1741125760648204</v>
      </c>
      <c r="J9274">
        <v>0</v>
      </c>
      <c r="K9274">
        <v>0</v>
      </c>
      <c r="L9274" s="2">
        <v>0</v>
      </c>
      <c r="M9274">
        <v>90.61</v>
      </c>
      <c r="N9274" t="s">
        <v>10236</v>
      </c>
    </row>
    <row r="9275" spans="1:14">
      <c r="A9275" t="s">
        <v>35</v>
      </c>
      <c r="B9275" t="s">
        <v>9240</v>
      </c>
      <c r="C9275">
        <f>"DT360L"</f>
        <v>0</v>
      </c>
      <c r="D9275">
        <v>0</v>
      </c>
      <c r="E9275">
        <v>0</v>
      </c>
      <c r="F9275" s="2">
        <v>0</v>
      </c>
      <c r="H9275">
        <v>0</v>
      </c>
      <c r="I9275">
        <v>0.1741125760648204</v>
      </c>
      <c r="J9275">
        <v>0</v>
      </c>
      <c r="K9275">
        <v>0</v>
      </c>
      <c r="L9275" s="2">
        <v>0</v>
      </c>
      <c r="M9275">
        <v>90.62</v>
      </c>
      <c r="N9275" t="s">
        <v>10236</v>
      </c>
    </row>
    <row r="9276" spans="1:14">
      <c r="A9276" t="s">
        <v>35</v>
      </c>
      <c r="B9276" t="s">
        <v>9241</v>
      </c>
      <c r="C9276">
        <f>"ER070"</f>
        <v>0</v>
      </c>
      <c r="D9276">
        <v>0</v>
      </c>
      <c r="E9276">
        <v>1</v>
      </c>
      <c r="F9276" s="2">
        <v>4</v>
      </c>
      <c r="H9276">
        <v>0</v>
      </c>
      <c r="I9276">
        <v>0.1741125760648204</v>
      </c>
      <c r="J9276">
        <v>0</v>
      </c>
      <c r="K9276">
        <v>0</v>
      </c>
      <c r="L9276" s="2">
        <v>0</v>
      </c>
      <c r="M9276">
        <v>90.63</v>
      </c>
      <c r="N9276" t="s">
        <v>10236</v>
      </c>
    </row>
    <row r="9277" spans="1:14">
      <c r="A9277" t="s">
        <v>35</v>
      </c>
      <c r="B9277" t="s">
        <v>9242</v>
      </c>
      <c r="C9277">
        <f>"CT1163"</f>
        <v>0</v>
      </c>
      <c r="D9277">
        <v>0</v>
      </c>
      <c r="E9277">
        <v>0</v>
      </c>
      <c r="F9277" s="2">
        <v>0</v>
      </c>
      <c r="H9277">
        <v>0</v>
      </c>
      <c r="I9277">
        <v>0.1741125760648204</v>
      </c>
      <c r="J9277">
        <v>0</v>
      </c>
      <c r="K9277">
        <v>0</v>
      </c>
      <c r="L9277" s="2">
        <v>0</v>
      </c>
      <c r="M9277">
        <v>90.64</v>
      </c>
      <c r="N9277" t="s">
        <v>10236</v>
      </c>
    </row>
    <row r="9278" spans="1:14">
      <c r="A9278" t="s">
        <v>35</v>
      </c>
      <c r="B9278" t="s">
        <v>9243</v>
      </c>
      <c r="C9278">
        <f>"DGY124"</f>
        <v>0</v>
      </c>
      <c r="D9278">
        <v>0</v>
      </c>
      <c r="E9278">
        <v>0</v>
      </c>
      <c r="F9278" s="2">
        <v>0</v>
      </c>
      <c r="H9278">
        <v>0</v>
      </c>
      <c r="I9278">
        <v>0.1741125760648204</v>
      </c>
      <c r="J9278">
        <v>0</v>
      </c>
      <c r="K9278">
        <v>0</v>
      </c>
      <c r="L9278" s="2">
        <v>0</v>
      </c>
      <c r="M9278">
        <v>90.65000000000001</v>
      </c>
      <c r="N9278" t="s">
        <v>10236</v>
      </c>
    </row>
    <row r="9279" spans="1:14">
      <c r="A9279" t="s">
        <v>196</v>
      </c>
      <c r="B9279" t="s">
        <v>9244</v>
      </c>
      <c r="C9279">
        <f>"2519"</f>
        <v>0</v>
      </c>
      <c r="D9279">
        <v>0</v>
      </c>
      <c r="E9279">
        <v>0</v>
      </c>
      <c r="F9279" s="2">
        <v>0</v>
      </c>
      <c r="H9279">
        <v>0</v>
      </c>
      <c r="I9279">
        <v>0.1741125760648204</v>
      </c>
      <c r="J9279">
        <v>0</v>
      </c>
      <c r="K9279">
        <v>0</v>
      </c>
      <c r="L9279" s="2">
        <v>0</v>
      </c>
      <c r="M9279">
        <v>90.66</v>
      </c>
      <c r="N9279" t="s">
        <v>10236</v>
      </c>
    </row>
    <row r="9280" spans="1:14">
      <c r="A9280" t="s">
        <v>25</v>
      </c>
      <c r="B9280" t="s">
        <v>9245</v>
      </c>
      <c r="C9280">
        <f>"6765156"</f>
        <v>0</v>
      </c>
      <c r="D9280">
        <v>0</v>
      </c>
      <c r="E9280">
        <v>0</v>
      </c>
      <c r="F9280" s="2">
        <v>0</v>
      </c>
      <c r="H9280">
        <v>0</v>
      </c>
      <c r="I9280">
        <v>0.1741125760648204</v>
      </c>
      <c r="J9280">
        <v>0</v>
      </c>
      <c r="K9280">
        <v>0</v>
      </c>
      <c r="L9280" s="2">
        <v>0</v>
      </c>
      <c r="M9280">
        <v>90.67</v>
      </c>
      <c r="N9280" t="s">
        <v>10236</v>
      </c>
    </row>
    <row r="9281" spans="1:14">
      <c r="A9281" t="s">
        <v>35</v>
      </c>
      <c r="B9281" t="s">
        <v>9246</v>
      </c>
      <c r="C9281">
        <f>"PT257Z"</f>
        <v>0</v>
      </c>
      <c r="D9281">
        <v>0</v>
      </c>
      <c r="E9281">
        <v>1</v>
      </c>
      <c r="F9281" s="2">
        <v>3</v>
      </c>
      <c r="H9281">
        <v>0</v>
      </c>
      <c r="I9281">
        <v>0.1741125760648204</v>
      </c>
      <c r="J9281">
        <v>0</v>
      </c>
      <c r="K9281">
        <v>0</v>
      </c>
      <c r="L9281" s="2">
        <v>0</v>
      </c>
      <c r="M9281">
        <v>90.68000000000001</v>
      </c>
      <c r="N9281" t="s">
        <v>10236</v>
      </c>
    </row>
    <row r="9282" spans="1:14">
      <c r="A9282" t="s">
        <v>35</v>
      </c>
      <c r="B9282" t="s">
        <v>9247</v>
      </c>
      <c r="C9282">
        <f>"PT312Z"</f>
        <v>0</v>
      </c>
      <c r="D9282">
        <v>0</v>
      </c>
      <c r="E9282">
        <v>0</v>
      </c>
      <c r="F9282" s="2">
        <v>0</v>
      </c>
      <c r="H9282">
        <v>0</v>
      </c>
      <c r="I9282">
        <v>0.1741125760648204</v>
      </c>
      <c r="J9282">
        <v>0</v>
      </c>
      <c r="K9282">
        <v>0</v>
      </c>
      <c r="L9282" s="2">
        <v>0</v>
      </c>
      <c r="M9282">
        <v>90.68000000000001</v>
      </c>
      <c r="N9282" t="s">
        <v>10236</v>
      </c>
    </row>
    <row r="9283" spans="1:14">
      <c r="A9283" t="s">
        <v>25</v>
      </c>
      <c r="B9283" t="s">
        <v>9248</v>
      </c>
      <c r="C9283">
        <f>"6765002"</f>
        <v>0</v>
      </c>
      <c r="D9283">
        <v>0</v>
      </c>
      <c r="E9283">
        <v>0</v>
      </c>
      <c r="F9283" s="2">
        <v>0</v>
      </c>
      <c r="H9283">
        <v>0</v>
      </c>
      <c r="I9283">
        <v>0.1741125760648204</v>
      </c>
      <c r="J9283">
        <v>0</v>
      </c>
      <c r="K9283">
        <v>0</v>
      </c>
      <c r="L9283" s="2">
        <v>0</v>
      </c>
      <c r="M9283">
        <v>90.69</v>
      </c>
      <c r="N9283" t="s">
        <v>10236</v>
      </c>
    </row>
    <row r="9284" spans="1:14">
      <c r="A9284" t="s">
        <v>35</v>
      </c>
      <c r="B9284" t="s">
        <v>9249</v>
      </c>
      <c r="C9284">
        <f>"TC2063G"</f>
        <v>0</v>
      </c>
      <c r="D9284">
        <v>0</v>
      </c>
      <c r="E9284">
        <v>1</v>
      </c>
      <c r="F9284" s="2">
        <v>621</v>
      </c>
      <c r="H9284">
        <v>0</v>
      </c>
      <c r="I9284">
        <v>0.1741125760648204</v>
      </c>
      <c r="J9284">
        <v>0</v>
      </c>
      <c r="K9284">
        <v>0</v>
      </c>
      <c r="L9284" s="2">
        <v>0</v>
      </c>
      <c r="M9284">
        <v>90.7</v>
      </c>
      <c r="N9284" t="s">
        <v>10236</v>
      </c>
    </row>
    <row r="9285" spans="1:14">
      <c r="A9285" t="s">
        <v>35</v>
      </c>
      <c r="B9285" t="s">
        <v>9250</v>
      </c>
      <c r="C9285">
        <f>"WPS362"</f>
        <v>0</v>
      </c>
      <c r="D9285">
        <v>0</v>
      </c>
      <c r="E9285">
        <v>0</v>
      </c>
      <c r="F9285" s="2">
        <v>0</v>
      </c>
      <c r="H9285">
        <v>0</v>
      </c>
      <c r="I9285">
        <v>0.1741125760648204</v>
      </c>
      <c r="J9285">
        <v>0</v>
      </c>
      <c r="K9285">
        <v>0</v>
      </c>
      <c r="L9285" s="2">
        <v>0</v>
      </c>
      <c r="M9285">
        <v>90.70999999999999</v>
      </c>
      <c r="N9285" t="s">
        <v>10236</v>
      </c>
    </row>
    <row r="9286" spans="1:14">
      <c r="A9286" t="s">
        <v>35</v>
      </c>
      <c r="B9286" t="s">
        <v>9251</v>
      </c>
      <c r="C9286">
        <f>"DGY130"</f>
        <v>0</v>
      </c>
      <c r="D9286">
        <v>0</v>
      </c>
      <c r="E9286">
        <v>1</v>
      </c>
      <c r="F9286" s="2">
        <v>855</v>
      </c>
      <c r="H9286">
        <v>0</v>
      </c>
      <c r="I9286">
        <v>0.1741125760648204</v>
      </c>
      <c r="J9286">
        <v>0</v>
      </c>
      <c r="K9286">
        <v>0</v>
      </c>
      <c r="L9286" s="2">
        <v>0</v>
      </c>
      <c r="M9286">
        <v>90.72</v>
      </c>
      <c r="N9286" t="s">
        <v>10236</v>
      </c>
    </row>
    <row r="9287" spans="1:14">
      <c r="A9287" t="s">
        <v>35</v>
      </c>
      <c r="B9287" t="s">
        <v>9252</v>
      </c>
      <c r="C9287">
        <f>"CWB015LROJ"</f>
        <v>0</v>
      </c>
      <c r="D9287">
        <v>0</v>
      </c>
      <c r="E9287">
        <v>1</v>
      </c>
      <c r="F9287" s="2">
        <v>13</v>
      </c>
      <c r="H9287">
        <v>0</v>
      </c>
      <c r="I9287">
        <v>0.1741125760648204</v>
      </c>
      <c r="J9287">
        <v>0</v>
      </c>
      <c r="K9287">
        <v>0</v>
      </c>
      <c r="L9287" s="2">
        <v>0</v>
      </c>
      <c r="M9287">
        <v>90.73</v>
      </c>
      <c r="N9287" t="s">
        <v>10236</v>
      </c>
    </row>
    <row r="9288" spans="1:14">
      <c r="A9288" t="s">
        <v>29</v>
      </c>
      <c r="B9288" t="s">
        <v>9253</v>
      </c>
      <c r="C9288">
        <f>"HJ411B"</f>
        <v>0</v>
      </c>
      <c r="D9288">
        <v>0</v>
      </c>
      <c r="E9288">
        <v>0</v>
      </c>
      <c r="F9288" s="2">
        <v>0</v>
      </c>
      <c r="H9288">
        <v>0</v>
      </c>
      <c r="I9288">
        <v>0.1741125760648204</v>
      </c>
      <c r="J9288">
        <v>0</v>
      </c>
      <c r="K9288">
        <v>0</v>
      </c>
      <c r="L9288" s="2">
        <v>0</v>
      </c>
      <c r="M9288">
        <v>90.73999999999999</v>
      </c>
      <c r="N9288" t="s">
        <v>10236</v>
      </c>
    </row>
    <row r="9289" spans="1:14">
      <c r="A9289" t="s">
        <v>29</v>
      </c>
      <c r="B9289" t="s">
        <v>9254</v>
      </c>
      <c r="C9289">
        <f>"HJ111B"</f>
        <v>0</v>
      </c>
      <c r="D9289">
        <v>0</v>
      </c>
      <c r="E9289">
        <v>0</v>
      </c>
      <c r="F9289" s="2">
        <v>0</v>
      </c>
      <c r="H9289">
        <v>0</v>
      </c>
      <c r="I9289">
        <v>0.1741125760648204</v>
      </c>
      <c r="J9289">
        <v>0</v>
      </c>
      <c r="K9289">
        <v>0</v>
      </c>
      <c r="L9289" s="2">
        <v>0</v>
      </c>
      <c r="M9289">
        <v>90.75</v>
      </c>
      <c r="N9289" t="s">
        <v>10236</v>
      </c>
    </row>
    <row r="9290" spans="1:14">
      <c r="A9290" t="s">
        <v>29</v>
      </c>
      <c r="B9290" t="s">
        <v>9255</v>
      </c>
      <c r="C9290">
        <f>"JP025F"</f>
        <v>0</v>
      </c>
      <c r="D9290">
        <v>0</v>
      </c>
      <c r="E9290">
        <v>0</v>
      </c>
      <c r="F9290" s="2">
        <v>0</v>
      </c>
      <c r="H9290">
        <v>0</v>
      </c>
      <c r="I9290">
        <v>0.1741125760648204</v>
      </c>
      <c r="J9290">
        <v>0</v>
      </c>
      <c r="K9290">
        <v>0</v>
      </c>
      <c r="L9290" s="2">
        <v>0</v>
      </c>
      <c r="M9290">
        <v>90.76000000000001</v>
      </c>
      <c r="N9290" t="s">
        <v>10236</v>
      </c>
    </row>
    <row r="9291" spans="1:14">
      <c r="A9291" t="s">
        <v>29</v>
      </c>
      <c r="B9291" t="s">
        <v>9256</v>
      </c>
      <c r="C9291">
        <f>"JP024F"</f>
        <v>0</v>
      </c>
      <c r="D9291">
        <v>0</v>
      </c>
      <c r="E9291">
        <v>1</v>
      </c>
      <c r="F9291" s="2">
        <v>6</v>
      </c>
      <c r="H9291">
        <v>0</v>
      </c>
      <c r="I9291">
        <v>0.1741125760648204</v>
      </c>
      <c r="J9291">
        <v>0</v>
      </c>
      <c r="K9291">
        <v>0</v>
      </c>
      <c r="L9291" s="2">
        <v>0</v>
      </c>
      <c r="M9291">
        <v>90.77</v>
      </c>
      <c r="N9291" t="s">
        <v>10236</v>
      </c>
    </row>
    <row r="9292" spans="1:14">
      <c r="A9292" t="s">
        <v>29</v>
      </c>
      <c r="B9292" t="s">
        <v>9257</v>
      </c>
      <c r="C9292">
        <f>"JP023F"</f>
        <v>0</v>
      </c>
      <c r="D9292">
        <v>0</v>
      </c>
      <c r="E9292">
        <v>0</v>
      </c>
      <c r="F9292" s="2">
        <v>0</v>
      </c>
      <c r="H9292">
        <v>0</v>
      </c>
      <c r="I9292">
        <v>0.1741125760648204</v>
      </c>
      <c r="J9292">
        <v>0</v>
      </c>
      <c r="K9292">
        <v>0</v>
      </c>
      <c r="L9292" s="2">
        <v>0</v>
      </c>
      <c r="M9292">
        <v>90.78</v>
      </c>
      <c r="N9292" t="s">
        <v>10236</v>
      </c>
    </row>
    <row r="9293" spans="1:14">
      <c r="A9293" t="s">
        <v>29</v>
      </c>
      <c r="B9293" t="s">
        <v>9258</v>
      </c>
      <c r="C9293">
        <f>"NW600F"</f>
        <v>0</v>
      </c>
      <c r="D9293">
        <v>0</v>
      </c>
      <c r="E9293">
        <v>0</v>
      </c>
      <c r="F9293" s="2">
        <v>0</v>
      </c>
      <c r="H9293">
        <v>0</v>
      </c>
      <c r="I9293">
        <v>0.1741125760648204</v>
      </c>
      <c r="J9293">
        <v>0</v>
      </c>
      <c r="K9293">
        <v>0</v>
      </c>
      <c r="L9293" s="2">
        <v>0</v>
      </c>
      <c r="M9293">
        <v>90.79000000000001</v>
      </c>
      <c r="N9293" t="s">
        <v>10236</v>
      </c>
    </row>
    <row r="9294" spans="1:14">
      <c r="A9294" t="s">
        <v>29</v>
      </c>
      <c r="B9294" t="s">
        <v>9259</v>
      </c>
      <c r="C9294">
        <f>"NW450F"</f>
        <v>0</v>
      </c>
      <c r="D9294">
        <v>0</v>
      </c>
      <c r="E9294">
        <v>0</v>
      </c>
      <c r="F9294" s="2">
        <v>0</v>
      </c>
      <c r="H9294">
        <v>0</v>
      </c>
      <c r="I9294">
        <v>0.1741125760648204</v>
      </c>
      <c r="J9294">
        <v>0</v>
      </c>
      <c r="K9294">
        <v>0</v>
      </c>
      <c r="L9294" s="2">
        <v>0</v>
      </c>
      <c r="M9294">
        <v>90.8</v>
      </c>
      <c r="N9294" t="s">
        <v>10236</v>
      </c>
    </row>
    <row r="9295" spans="1:14">
      <c r="A9295" t="s">
        <v>29</v>
      </c>
      <c r="B9295" t="s">
        <v>9260</v>
      </c>
      <c r="C9295">
        <f>"CF900"</f>
        <v>0</v>
      </c>
      <c r="D9295">
        <v>0</v>
      </c>
      <c r="E9295">
        <v>0</v>
      </c>
      <c r="F9295" s="2">
        <v>0</v>
      </c>
      <c r="H9295">
        <v>0</v>
      </c>
      <c r="I9295">
        <v>0.1741125760648204</v>
      </c>
      <c r="J9295">
        <v>0</v>
      </c>
      <c r="K9295">
        <v>0</v>
      </c>
      <c r="L9295" s="2">
        <v>0</v>
      </c>
      <c r="M9295">
        <v>90.8</v>
      </c>
      <c r="N9295" t="s">
        <v>10236</v>
      </c>
    </row>
    <row r="9296" spans="1:14">
      <c r="A9296" t="s">
        <v>29</v>
      </c>
      <c r="B9296" t="s">
        <v>9261</v>
      </c>
      <c r="C9296">
        <f>"CF700"</f>
        <v>0</v>
      </c>
      <c r="D9296">
        <v>0</v>
      </c>
      <c r="E9296">
        <v>3</v>
      </c>
      <c r="F9296" s="2">
        <v>9</v>
      </c>
      <c r="H9296">
        <v>0</v>
      </c>
      <c r="I9296">
        <v>0.1741125760648204</v>
      </c>
      <c r="J9296">
        <v>0</v>
      </c>
      <c r="K9296">
        <v>0</v>
      </c>
      <c r="L9296" s="2">
        <v>0</v>
      </c>
      <c r="M9296">
        <v>90.81</v>
      </c>
      <c r="N9296" t="s">
        <v>10236</v>
      </c>
    </row>
    <row r="9297" spans="1:14">
      <c r="A9297" t="s">
        <v>29</v>
      </c>
      <c r="B9297" t="s">
        <v>9262</v>
      </c>
      <c r="C9297">
        <f>"HLBT200"</f>
        <v>0</v>
      </c>
      <c r="D9297">
        <v>0</v>
      </c>
      <c r="E9297">
        <v>0</v>
      </c>
      <c r="F9297" s="2">
        <v>0</v>
      </c>
      <c r="H9297">
        <v>0</v>
      </c>
      <c r="I9297">
        <v>0.1741125760648204</v>
      </c>
      <c r="J9297">
        <v>0</v>
      </c>
      <c r="K9297">
        <v>0</v>
      </c>
      <c r="L9297" s="2">
        <v>0</v>
      </c>
      <c r="M9297">
        <v>90.81999999999999</v>
      </c>
      <c r="N9297" t="s">
        <v>10236</v>
      </c>
    </row>
    <row r="9298" spans="1:14">
      <c r="A9298" t="s">
        <v>29</v>
      </c>
      <c r="B9298" t="s">
        <v>9263</v>
      </c>
      <c r="C9298">
        <f>"RP400"</f>
        <v>0</v>
      </c>
      <c r="D9298">
        <v>0</v>
      </c>
      <c r="E9298">
        <v>0</v>
      </c>
      <c r="F9298" s="2">
        <v>0</v>
      </c>
      <c r="H9298">
        <v>0</v>
      </c>
      <c r="I9298">
        <v>0.1741125760648204</v>
      </c>
      <c r="J9298">
        <v>0</v>
      </c>
      <c r="K9298">
        <v>0</v>
      </c>
      <c r="L9298" s="2">
        <v>0</v>
      </c>
      <c r="M9298">
        <v>90.83</v>
      </c>
      <c r="N9298" t="s">
        <v>10236</v>
      </c>
    </row>
    <row r="9299" spans="1:14">
      <c r="A9299" t="s">
        <v>29</v>
      </c>
      <c r="B9299" t="s">
        <v>9264</v>
      </c>
      <c r="C9299">
        <f>"RP200"</f>
        <v>0</v>
      </c>
      <c r="D9299">
        <v>0</v>
      </c>
      <c r="E9299">
        <v>0</v>
      </c>
      <c r="F9299" s="2">
        <v>0</v>
      </c>
      <c r="H9299">
        <v>0</v>
      </c>
      <c r="I9299">
        <v>0.1741125760648204</v>
      </c>
      <c r="J9299">
        <v>0</v>
      </c>
      <c r="K9299">
        <v>0</v>
      </c>
      <c r="L9299" s="2">
        <v>0</v>
      </c>
      <c r="M9299">
        <v>90.84</v>
      </c>
      <c r="N9299" t="s">
        <v>10236</v>
      </c>
    </row>
    <row r="9300" spans="1:14">
      <c r="A9300" t="s">
        <v>29</v>
      </c>
      <c r="B9300" t="s">
        <v>9265</v>
      </c>
      <c r="C9300">
        <f>"F800"</f>
        <v>0</v>
      </c>
      <c r="D9300">
        <v>0</v>
      </c>
      <c r="E9300">
        <v>0</v>
      </c>
      <c r="F9300" s="2">
        <v>0</v>
      </c>
      <c r="H9300">
        <v>0</v>
      </c>
      <c r="I9300">
        <v>0.1741125760648204</v>
      </c>
      <c r="J9300">
        <v>0</v>
      </c>
      <c r="K9300">
        <v>0</v>
      </c>
      <c r="L9300" s="2">
        <v>0</v>
      </c>
      <c r="M9300">
        <v>90.84999999999999</v>
      </c>
      <c r="N9300" t="s">
        <v>10236</v>
      </c>
    </row>
    <row r="9301" spans="1:14">
      <c r="A9301" t="s">
        <v>29</v>
      </c>
      <c r="B9301" t="s">
        <v>9266</v>
      </c>
      <c r="C9301">
        <f>"F2000"</f>
        <v>0</v>
      </c>
      <c r="D9301">
        <v>0</v>
      </c>
      <c r="E9301">
        <v>3</v>
      </c>
      <c r="F9301" s="2">
        <v>10</v>
      </c>
      <c r="H9301">
        <v>0</v>
      </c>
      <c r="I9301">
        <v>0.1741125760648204</v>
      </c>
      <c r="J9301">
        <v>0</v>
      </c>
      <c r="K9301">
        <v>0</v>
      </c>
      <c r="L9301" s="2">
        <v>0</v>
      </c>
      <c r="M9301">
        <v>90.86</v>
      </c>
      <c r="N9301" t="s">
        <v>10236</v>
      </c>
    </row>
    <row r="9302" spans="1:14">
      <c r="A9302" t="s">
        <v>35</v>
      </c>
      <c r="B9302" t="s">
        <v>9267</v>
      </c>
      <c r="C9302">
        <f>"HC291"</f>
        <v>0</v>
      </c>
      <c r="D9302">
        <v>0</v>
      </c>
      <c r="E9302">
        <v>0</v>
      </c>
      <c r="F9302" s="2">
        <v>0</v>
      </c>
      <c r="H9302">
        <v>0</v>
      </c>
      <c r="I9302">
        <v>0.1741125760648204</v>
      </c>
      <c r="J9302">
        <v>0</v>
      </c>
      <c r="K9302">
        <v>0</v>
      </c>
      <c r="L9302" s="2">
        <v>0</v>
      </c>
      <c r="M9302">
        <v>90.87</v>
      </c>
      <c r="N9302" t="s">
        <v>10236</v>
      </c>
    </row>
    <row r="9303" spans="1:14">
      <c r="A9303" t="s">
        <v>29</v>
      </c>
      <c r="B9303" t="s">
        <v>9268</v>
      </c>
      <c r="C9303">
        <f>"980F"</f>
        <v>0</v>
      </c>
      <c r="D9303">
        <v>0</v>
      </c>
      <c r="E9303">
        <v>0</v>
      </c>
      <c r="F9303" s="2">
        <v>0</v>
      </c>
      <c r="H9303">
        <v>0</v>
      </c>
      <c r="I9303">
        <v>0.1741125760648204</v>
      </c>
      <c r="J9303">
        <v>0</v>
      </c>
      <c r="K9303">
        <v>0</v>
      </c>
      <c r="L9303" s="2">
        <v>0</v>
      </c>
      <c r="M9303">
        <v>90.88</v>
      </c>
      <c r="N9303" t="s">
        <v>10236</v>
      </c>
    </row>
    <row r="9304" spans="1:14">
      <c r="A9304" t="s">
        <v>29</v>
      </c>
      <c r="B9304" t="s">
        <v>9269</v>
      </c>
      <c r="C9304">
        <f>"960F"</f>
        <v>0</v>
      </c>
      <c r="D9304">
        <v>0</v>
      </c>
      <c r="E9304">
        <v>0</v>
      </c>
      <c r="F9304" s="2">
        <v>0</v>
      </c>
      <c r="H9304">
        <v>0</v>
      </c>
      <c r="I9304">
        <v>0.1741125760648204</v>
      </c>
      <c r="J9304">
        <v>0</v>
      </c>
      <c r="K9304">
        <v>0</v>
      </c>
      <c r="L9304" s="2">
        <v>0</v>
      </c>
      <c r="M9304">
        <v>90.89</v>
      </c>
      <c r="N9304" t="s">
        <v>10236</v>
      </c>
    </row>
    <row r="9305" spans="1:14">
      <c r="A9305" t="s">
        <v>29</v>
      </c>
      <c r="B9305" t="s">
        <v>9270</v>
      </c>
      <c r="C9305">
        <f>"950F"</f>
        <v>0</v>
      </c>
      <c r="D9305">
        <v>0</v>
      </c>
      <c r="E9305">
        <v>0</v>
      </c>
      <c r="F9305" s="2">
        <v>0</v>
      </c>
      <c r="H9305">
        <v>0</v>
      </c>
      <c r="I9305">
        <v>0.1741125760648204</v>
      </c>
      <c r="J9305">
        <v>0</v>
      </c>
      <c r="K9305">
        <v>0</v>
      </c>
      <c r="L9305" s="2">
        <v>0</v>
      </c>
      <c r="M9305">
        <v>90.90000000000001</v>
      </c>
      <c r="N9305" t="s">
        <v>10236</v>
      </c>
    </row>
    <row r="9306" spans="1:14">
      <c r="A9306" t="s">
        <v>29</v>
      </c>
      <c r="B9306" t="s">
        <v>9271</v>
      </c>
      <c r="C9306">
        <f>"KF350"</f>
        <v>0</v>
      </c>
      <c r="D9306">
        <v>0</v>
      </c>
      <c r="E9306">
        <v>5</v>
      </c>
      <c r="F9306" s="2">
        <v>4</v>
      </c>
      <c r="H9306">
        <v>0</v>
      </c>
      <c r="I9306">
        <v>0.1741125760648204</v>
      </c>
      <c r="J9306">
        <v>0</v>
      </c>
      <c r="K9306">
        <v>0</v>
      </c>
      <c r="L9306" s="2">
        <v>0</v>
      </c>
      <c r="M9306">
        <v>90.91</v>
      </c>
      <c r="N9306" t="s">
        <v>10236</v>
      </c>
    </row>
    <row r="9307" spans="1:14">
      <c r="A9307" t="s">
        <v>29</v>
      </c>
      <c r="B9307" t="s">
        <v>9272</v>
      </c>
      <c r="C9307">
        <f>"KF200"</f>
        <v>0</v>
      </c>
      <c r="D9307">
        <v>0</v>
      </c>
      <c r="E9307">
        <v>1</v>
      </c>
      <c r="F9307" s="2">
        <v>3</v>
      </c>
      <c r="H9307">
        <v>0</v>
      </c>
      <c r="I9307">
        <v>0.1741125760648204</v>
      </c>
      <c r="J9307">
        <v>0</v>
      </c>
      <c r="K9307">
        <v>0</v>
      </c>
      <c r="L9307" s="2">
        <v>0</v>
      </c>
      <c r="M9307">
        <v>90.92</v>
      </c>
      <c r="N9307" t="s">
        <v>10236</v>
      </c>
    </row>
    <row r="9308" spans="1:14">
      <c r="A9308" t="s">
        <v>29</v>
      </c>
      <c r="B9308" t="s">
        <v>9273</v>
      </c>
      <c r="C9308">
        <f>"KF150"</f>
        <v>0</v>
      </c>
      <c r="D9308">
        <v>0</v>
      </c>
      <c r="E9308">
        <v>2</v>
      </c>
      <c r="F9308" s="2">
        <v>3</v>
      </c>
      <c r="H9308">
        <v>0</v>
      </c>
      <c r="I9308">
        <v>0.1741125760648204</v>
      </c>
      <c r="J9308">
        <v>0</v>
      </c>
      <c r="K9308">
        <v>0</v>
      </c>
      <c r="L9308" s="2">
        <v>0</v>
      </c>
      <c r="M9308">
        <v>90.92</v>
      </c>
      <c r="N9308" t="s">
        <v>10236</v>
      </c>
    </row>
    <row r="9309" spans="1:14">
      <c r="A9309" t="s">
        <v>29</v>
      </c>
      <c r="B9309" t="s">
        <v>9274</v>
      </c>
      <c r="C9309">
        <f>"HLBT1000"</f>
        <v>0</v>
      </c>
      <c r="D9309">
        <v>0</v>
      </c>
      <c r="E9309">
        <v>0</v>
      </c>
      <c r="F9309" s="2">
        <v>0</v>
      </c>
      <c r="H9309">
        <v>0</v>
      </c>
      <c r="I9309">
        <v>0.1741125760648204</v>
      </c>
      <c r="J9309">
        <v>0</v>
      </c>
      <c r="K9309">
        <v>0</v>
      </c>
      <c r="L9309" s="2">
        <v>0</v>
      </c>
      <c r="M9309">
        <v>90.93000000000001</v>
      </c>
      <c r="N9309" t="s">
        <v>10236</v>
      </c>
    </row>
    <row r="9310" spans="1:14">
      <c r="A9310" t="s">
        <v>29</v>
      </c>
      <c r="B9310" t="s">
        <v>9275</v>
      </c>
      <c r="C9310">
        <f>"W501F"</f>
        <v>0</v>
      </c>
      <c r="D9310">
        <v>0</v>
      </c>
      <c r="E9310">
        <v>0</v>
      </c>
      <c r="F9310" s="2">
        <v>0</v>
      </c>
      <c r="H9310">
        <v>0</v>
      </c>
      <c r="I9310">
        <v>0.1741125760648204</v>
      </c>
      <c r="J9310">
        <v>0</v>
      </c>
      <c r="K9310">
        <v>0</v>
      </c>
      <c r="L9310" s="2">
        <v>0</v>
      </c>
      <c r="M9310">
        <v>90.94</v>
      </c>
      <c r="N9310" t="s">
        <v>10236</v>
      </c>
    </row>
    <row r="9311" spans="1:14">
      <c r="A9311" t="s">
        <v>29</v>
      </c>
      <c r="B9311" t="s">
        <v>9276</v>
      </c>
      <c r="C9311">
        <f>"W301"</f>
        <v>0</v>
      </c>
      <c r="D9311">
        <v>0</v>
      </c>
      <c r="E9311">
        <v>0</v>
      </c>
      <c r="F9311" s="2">
        <v>0</v>
      </c>
      <c r="H9311">
        <v>0</v>
      </c>
      <c r="I9311">
        <v>0.1741125760648204</v>
      </c>
      <c r="J9311">
        <v>0</v>
      </c>
      <c r="K9311">
        <v>0</v>
      </c>
      <c r="L9311" s="2">
        <v>0</v>
      </c>
      <c r="M9311">
        <v>90.95</v>
      </c>
      <c r="N9311" t="s">
        <v>10236</v>
      </c>
    </row>
    <row r="9312" spans="1:14">
      <c r="A9312" t="s">
        <v>29</v>
      </c>
      <c r="B9312" t="s">
        <v>9277</v>
      </c>
      <c r="C9312">
        <f>"RS1506"</f>
        <v>0</v>
      </c>
      <c r="D9312">
        <v>0</v>
      </c>
      <c r="E9312">
        <v>0</v>
      </c>
      <c r="F9312" s="2">
        <v>0</v>
      </c>
      <c r="H9312">
        <v>0</v>
      </c>
      <c r="I9312">
        <v>0.1741125760648204</v>
      </c>
      <c r="J9312">
        <v>0</v>
      </c>
      <c r="K9312">
        <v>0</v>
      </c>
      <c r="L9312" s="2">
        <v>0</v>
      </c>
      <c r="M9312">
        <v>90.95999999999999</v>
      </c>
      <c r="N9312" t="s">
        <v>10236</v>
      </c>
    </row>
    <row r="9313" spans="1:14">
      <c r="A9313" t="s">
        <v>29</v>
      </c>
      <c r="B9313" t="s">
        <v>9278</v>
      </c>
      <c r="C9313">
        <f>"NB1500F"</f>
        <v>0</v>
      </c>
      <c r="D9313">
        <v>0</v>
      </c>
      <c r="E9313">
        <v>0</v>
      </c>
      <c r="F9313" s="2">
        <v>0</v>
      </c>
      <c r="H9313">
        <v>0</v>
      </c>
      <c r="I9313">
        <v>0.1741125760648204</v>
      </c>
      <c r="J9313">
        <v>0</v>
      </c>
      <c r="K9313">
        <v>0</v>
      </c>
      <c r="L9313" s="2">
        <v>0</v>
      </c>
      <c r="M9313">
        <v>90.97</v>
      </c>
      <c r="N9313" t="s">
        <v>10236</v>
      </c>
    </row>
    <row r="9314" spans="1:14">
      <c r="A9314" t="s">
        <v>29</v>
      </c>
      <c r="B9314" t="s">
        <v>9279</v>
      </c>
      <c r="C9314">
        <f>"NB800F"</f>
        <v>0</v>
      </c>
      <c r="D9314">
        <v>0</v>
      </c>
      <c r="E9314">
        <v>0</v>
      </c>
      <c r="F9314" s="2">
        <v>0</v>
      </c>
      <c r="H9314">
        <v>0</v>
      </c>
      <c r="I9314">
        <v>0.1741125760648204</v>
      </c>
      <c r="J9314">
        <v>0</v>
      </c>
      <c r="K9314">
        <v>0</v>
      </c>
      <c r="L9314" s="2">
        <v>0</v>
      </c>
      <c r="M9314">
        <v>90.98</v>
      </c>
      <c r="N9314" t="s">
        <v>10236</v>
      </c>
    </row>
    <row r="9315" spans="1:14">
      <c r="A9315" t="s">
        <v>29</v>
      </c>
      <c r="B9315" t="s">
        <v>9280</v>
      </c>
      <c r="C9315">
        <f>"nb3000f"</f>
        <v>0</v>
      </c>
      <c r="D9315">
        <v>0</v>
      </c>
      <c r="E9315">
        <v>1</v>
      </c>
      <c r="F9315" s="2">
        <v>8</v>
      </c>
      <c r="H9315">
        <v>0</v>
      </c>
      <c r="I9315">
        <v>0.1741125760648204</v>
      </c>
      <c r="J9315">
        <v>0</v>
      </c>
      <c r="K9315">
        <v>0</v>
      </c>
      <c r="L9315" s="2">
        <v>0</v>
      </c>
      <c r="M9315">
        <v>90.98999999999999</v>
      </c>
      <c r="N9315" t="s">
        <v>10236</v>
      </c>
    </row>
    <row r="9316" spans="1:14">
      <c r="A9316" t="s">
        <v>29</v>
      </c>
      <c r="B9316" t="s">
        <v>9281</v>
      </c>
      <c r="C9316">
        <f>"NB2450F"</f>
        <v>0</v>
      </c>
      <c r="D9316">
        <v>0</v>
      </c>
      <c r="E9316">
        <v>1</v>
      </c>
      <c r="F9316" s="2">
        <v>7</v>
      </c>
      <c r="H9316">
        <v>0</v>
      </c>
      <c r="I9316">
        <v>0.1741125760648204</v>
      </c>
      <c r="J9316">
        <v>0</v>
      </c>
      <c r="K9316">
        <v>0</v>
      </c>
      <c r="L9316" s="2">
        <v>0</v>
      </c>
      <c r="M9316">
        <v>91</v>
      </c>
      <c r="N9316" t="s">
        <v>10236</v>
      </c>
    </row>
    <row r="9317" spans="1:14">
      <c r="A9317" t="s">
        <v>29</v>
      </c>
      <c r="B9317" t="s">
        <v>9282</v>
      </c>
      <c r="C9317">
        <f>"F1200"</f>
        <v>0</v>
      </c>
      <c r="D9317">
        <v>0</v>
      </c>
      <c r="E9317">
        <v>0</v>
      </c>
      <c r="F9317" s="2">
        <v>0</v>
      </c>
      <c r="H9317">
        <v>0</v>
      </c>
      <c r="I9317">
        <v>0.1741125760648204</v>
      </c>
      <c r="J9317">
        <v>0</v>
      </c>
      <c r="K9317">
        <v>0</v>
      </c>
      <c r="L9317" s="2">
        <v>0</v>
      </c>
      <c r="M9317">
        <v>91.01000000000001</v>
      </c>
      <c r="N9317" t="s">
        <v>10236</v>
      </c>
    </row>
    <row r="9318" spans="1:14">
      <c r="A9318" t="s">
        <v>195</v>
      </c>
      <c r="B9318" t="s">
        <v>9283</v>
      </c>
      <c r="C9318">
        <f>"25395804"</f>
        <v>0</v>
      </c>
      <c r="D9318">
        <v>0</v>
      </c>
      <c r="E9318">
        <v>0</v>
      </c>
      <c r="F9318" s="2">
        <v>0</v>
      </c>
      <c r="H9318">
        <v>0</v>
      </c>
      <c r="I9318">
        <v>0.1741125760648204</v>
      </c>
      <c r="J9318">
        <v>0</v>
      </c>
      <c r="K9318">
        <v>0</v>
      </c>
      <c r="L9318" s="2">
        <v>0</v>
      </c>
      <c r="M9318">
        <v>91.02</v>
      </c>
      <c r="N9318" t="s">
        <v>10236</v>
      </c>
    </row>
    <row r="9319" spans="1:14">
      <c r="A9319" t="s">
        <v>35</v>
      </c>
      <c r="B9319" t="s">
        <v>9284</v>
      </c>
      <c r="C9319">
        <f>"PT015XSROJ"</f>
        <v>0</v>
      </c>
      <c r="D9319">
        <v>0</v>
      </c>
      <c r="E9319">
        <v>4</v>
      </c>
      <c r="F9319" s="2">
        <v>2</v>
      </c>
      <c r="H9319">
        <v>0</v>
      </c>
      <c r="I9319">
        <v>0.1741125760648204</v>
      </c>
      <c r="J9319">
        <v>0</v>
      </c>
      <c r="K9319">
        <v>0</v>
      </c>
      <c r="L9319" s="2">
        <v>0</v>
      </c>
      <c r="M9319">
        <v>91.03</v>
      </c>
      <c r="N9319" t="s">
        <v>10236</v>
      </c>
    </row>
    <row r="9320" spans="1:14">
      <c r="A9320" t="s">
        <v>35</v>
      </c>
      <c r="B9320" t="s">
        <v>9285</v>
      </c>
      <c r="C9320">
        <f>"PT015XSAZ"</f>
        <v>0</v>
      </c>
      <c r="D9320">
        <v>0</v>
      </c>
      <c r="E9320">
        <v>1</v>
      </c>
      <c r="F9320" s="2">
        <v>2</v>
      </c>
      <c r="H9320">
        <v>0</v>
      </c>
      <c r="I9320">
        <v>0.1741125760648204</v>
      </c>
      <c r="J9320">
        <v>0</v>
      </c>
      <c r="K9320">
        <v>0</v>
      </c>
      <c r="L9320" s="2">
        <v>0</v>
      </c>
      <c r="M9320">
        <v>91.04000000000001</v>
      </c>
      <c r="N9320" t="s">
        <v>10236</v>
      </c>
    </row>
    <row r="9321" spans="1:14">
      <c r="A9321" t="s">
        <v>25</v>
      </c>
      <c r="B9321" t="s">
        <v>9286</v>
      </c>
      <c r="C9321">
        <f>"PD20014AM"</f>
        <v>0</v>
      </c>
      <c r="D9321">
        <v>0</v>
      </c>
      <c r="E9321">
        <v>1</v>
      </c>
      <c r="F9321" s="2">
        <v>0</v>
      </c>
      <c r="H9321">
        <v>0</v>
      </c>
      <c r="I9321">
        <v>0.1741125760648204</v>
      </c>
      <c r="J9321">
        <v>0</v>
      </c>
      <c r="K9321">
        <v>0</v>
      </c>
      <c r="L9321" s="2">
        <v>0</v>
      </c>
      <c r="M9321">
        <v>91.04000000000001</v>
      </c>
      <c r="N9321" t="s">
        <v>10236</v>
      </c>
    </row>
    <row r="9322" spans="1:14">
      <c r="A9322" t="s">
        <v>25</v>
      </c>
      <c r="B9322" t="s">
        <v>9286</v>
      </c>
      <c r="C9322">
        <f>"PD20014AL"</f>
        <v>0</v>
      </c>
      <c r="D9322">
        <v>0</v>
      </c>
      <c r="E9322">
        <v>27</v>
      </c>
      <c r="F9322" s="2">
        <v>5</v>
      </c>
      <c r="H9322">
        <v>0</v>
      </c>
      <c r="I9322">
        <v>0.1741125760648204</v>
      </c>
      <c r="J9322">
        <v>0</v>
      </c>
      <c r="K9322">
        <v>0</v>
      </c>
      <c r="L9322" s="2">
        <v>0</v>
      </c>
      <c r="M9322">
        <v>91.05</v>
      </c>
      <c r="N9322" t="s">
        <v>10236</v>
      </c>
    </row>
    <row r="9323" spans="1:14">
      <c r="A9323" t="s">
        <v>35</v>
      </c>
      <c r="B9323" t="s">
        <v>9287</v>
      </c>
      <c r="C9323">
        <f>"HH309SROS"</f>
        <v>0</v>
      </c>
      <c r="D9323">
        <v>0</v>
      </c>
      <c r="E9323">
        <v>0</v>
      </c>
      <c r="F9323" s="2">
        <v>0</v>
      </c>
      <c r="H9323">
        <v>0</v>
      </c>
      <c r="I9323">
        <v>0.1741125760648204</v>
      </c>
      <c r="J9323">
        <v>0</v>
      </c>
      <c r="K9323">
        <v>0</v>
      </c>
      <c r="L9323" s="2">
        <v>0</v>
      </c>
      <c r="M9323">
        <v>91.06</v>
      </c>
      <c r="N9323" t="s">
        <v>10236</v>
      </c>
    </row>
    <row r="9324" spans="1:14">
      <c r="A9324" t="s">
        <v>35</v>
      </c>
      <c r="B9324" t="s">
        <v>9288</v>
      </c>
      <c r="C9324">
        <f>"HH309SNA"</f>
        <v>0</v>
      </c>
      <c r="D9324">
        <v>0</v>
      </c>
      <c r="E9324">
        <v>1</v>
      </c>
      <c r="F9324" s="2">
        <v>4</v>
      </c>
      <c r="H9324">
        <v>0</v>
      </c>
      <c r="I9324">
        <v>0.1741125760648204</v>
      </c>
      <c r="J9324">
        <v>0</v>
      </c>
      <c r="K9324">
        <v>0</v>
      </c>
      <c r="L9324" s="2">
        <v>0</v>
      </c>
      <c r="M9324">
        <v>91.06999999999999</v>
      </c>
      <c r="N9324" t="s">
        <v>10236</v>
      </c>
    </row>
    <row r="9325" spans="1:14">
      <c r="A9325" t="s">
        <v>35</v>
      </c>
      <c r="B9325" t="s">
        <v>9289</v>
      </c>
      <c r="C9325">
        <f>"HH309SMO"</f>
        <v>0</v>
      </c>
      <c r="D9325">
        <v>0</v>
      </c>
      <c r="E9325">
        <v>0</v>
      </c>
      <c r="F9325" s="2">
        <v>0</v>
      </c>
      <c r="H9325">
        <v>0</v>
      </c>
      <c r="I9325">
        <v>0.1741125760648204</v>
      </c>
      <c r="J9325">
        <v>0</v>
      </c>
      <c r="K9325">
        <v>0</v>
      </c>
      <c r="L9325" s="2">
        <v>0</v>
      </c>
      <c r="M9325">
        <v>91.08</v>
      </c>
      <c r="N9325" t="s">
        <v>10236</v>
      </c>
    </row>
    <row r="9326" spans="1:14">
      <c r="A9326" t="s">
        <v>35</v>
      </c>
      <c r="B9326" t="s">
        <v>9290</v>
      </c>
      <c r="C9326">
        <f>"HH309SGR"</f>
        <v>0</v>
      </c>
      <c r="D9326">
        <v>0</v>
      </c>
      <c r="E9326">
        <v>1</v>
      </c>
      <c r="F9326" s="2">
        <v>4</v>
      </c>
      <c r="H9326">
        <v>0</v>
      </c>
      <c r="I9326">
        <v>0.1741125760648204</v>
      </c>
      <c r="J9326">
        <v>0</v>
      </c>
      <c r="K9326">
        <v>0</v>
      </c>
      <c r="L9326" s="2">
        <v>0</v>
      </c>
      <c r="M9326">
        <v>91.09</v>
      </c>
      <c r="N9326" t="s">
        <v>10236</v>
      </c>
    </row>
    <row r="9327" spans="1:14">
      <c r="A9327" t="s">
        <v>35</v>
      </c>
      <c r="B9327" t="s">
        <v>9291</v>
      </c>
      <c r="C9327">
        <f>"HH309SCE"</f>
        <v>0</v>
      </c>
      <c r="D9327">
        <v>0</v>
      </c>
      <c r="E9327">
        <v>1</v>
      </c>
      <c r="F9327" s="2">
        <v>4</v>
      </c>
      <c r="H9327">
        <v>0</v>
      </c>
      <c r="I9327">
        <v>0.1741125760648204</v>
      </c>
      <c r="J9327">
        <v>0</v>
      </c>
      <c r="K9327">
        <v>0</v>
      </c>
      <c r="L9327" s="2">
        <v>0</v>
      </c>
      <c r="M9327">
        <v>91.09999999999999</v>
      </c>
      <c r="N9327" t="s">
        <v>10236</v>
      </c>
    </row>
    <row r="9328" spans="1:14">
      <c r="A9328" t="s">
        <v>35</v>
      </c>
      <c r="B9328" t="s">
        <v>9292</v>
      </c>
      <c r="C9328">
        <f>"HH309MROS"</f>
        <v>0</v>
      </c>
      <c r="D9328">
        <v>0</v>
      </c>
      <c r="E9328">
        <v>1</v>
      </c>
      <c r="F9328" s="2">
        <v>5</v>
      </c>
      <c r="H9328">
        <v>0</v>
      </c>
      <c r="I9328">
        <v>0.1741125760648204</v>
      </c>
      <c r="J9328">
        <v>0</v>
      </c>
      <c r="K9328">
        <v>0</v>
      </c>
      <c r="L9328" s="2">
        <v>0</v>
      </c>
      <c r="M9328">
        <v>91.11</v>
      </c>
      <c r="N9328" t="s">
        <v>10236</v>
      </c>
    </row>
    <row r="9329" spans="1:14">
      <c r="A9329" t="s">
        <v>35</v>
      </c>
      <c r="B9329" t="s">
        <v>9293</v>
      </c>
      <c r="C9329">
        <f>"HH095LROS"</f>
        <v>0</v>
      </c>
      <c r="D9329">
        <v>0</v>
      </c>
      <c r="E9329">
        <v>1</v>
      </c>
      <c r="F9329" s="2">
        <v>9</v>
      </c>
      <c r="H9329">
        <v>0</v>
      </c>
      <c r="I9329">
        <v>0.1741125760648204</v>
      </c>
      <c r="J9329">
        <v>0</v>
      </c>
      <c r="K9329">
        <v>0</v>
      </c>
      <c r="L9329" s="2">
        <v>0</v>
      </c>
      <c r="M9329">
        <v>91.12</v>
      </c>
      <c r="N9329" t="s">
        <v>10236</v>
      </c>
    </row>
    <row r="9330" spans="1:14">
      <c r="A9330" t="s">
        <v>35</v>
      </c>
      <c r="B9330" t="s">
        <v>9294</v>
      </c>
      <c r="C9330">
        <f>"HH095LROJ"</f>
        <v>0</v>
      </c>
      <c r="D9330">
        <v>0</v>
      </c>
      <c r="E9330">
        <v>0</v>
      </c>
      <c r="F9330" s="2">
        <v>0</v>
      </c>
      <c r="H9330">
        <v>0</v>
      </c>
      <c r="I9330">
        <v>0.1741125760648204</v>
      </c>
      <c r="J9330">
        <v>0</v>
      </c>
      <c r="K9330">
        <v>0</v>
      </c>
      <c r="L9330" s="2">
        <v>0</v>
      </c>
      <c r="M9330">
        <v>91.13</v>
      </c>
      <c r="N9330" t="s">
        <v>10236</v>
      </c>
    </row>
    <row r="9331" spans="1:14">
      <c r="A9331" t="s">
        <v>35</v>
      </c>
      <c r="B9331" t="s">
        <v>9295</v>
      </c>
      <c r="C9331">
        <f>"HH095LNE"</f>
        <v>0</v>
      </c>
      <c r="D9331">
        <v>0</v>
      </c>
      <c r="E9331">
        <v>1</v>
      </c>
      <c r="F9331" s="2">
        <v>10</v>
      </c>
      <c r="H9331">
        <v>0</v>
      </c>
      <c r="I9331">
        <v>0.1741125760648204</v>
      </c>
      <c r="J9331">
        <v>0</v>
      </c>
      <c r="K9331">
        <v>0</v>
      </c>
      <c r="L9331" s="2">
        <v>0</v>
      </c>
      <c r="M9331">
        <v>91.14</v>
      </c>
      <c r="N9331" t="s">
        <v>10236</v>
      </c>
    </row>
    <row r="9332" spans="1:14">
      <c r="A9332" t="s">
        <v>29</v>
      </c>
      <c r="B9332" t="s">
        <v>9296</v>
      </c>
      <c r="C9332">
        <f>"HJ611B"</f>
        <v>0</v>
      </c>
      <c r="D9332">
        <v>0</v>
      </c>
      <c r="E9332">
        <v>0</v>
      </c>
      <c r="F9332" s="2">
        <v>0</v>
      </c>
      <c r="H9332">
        <v>0</v>
      </c>
      <c r="I9332">
        <v>0.1741125760648204</v>
      </c>
      <c r="J9332">
        <v>0</v>
      </c>
      <c r="K9332">
        <v>0</v>
      </c>
      <c r="L9332" s="2">
        <v>0</v>
      </c>
      <c r="M9332">
        <v>91.15000000000001</v>
      </c>
      <c r="N9332" t="s">
        <v>10236</v>
      </c>
    </row>
    <row r="9333" spans="1:14">
      <c r="A9333" t="s">
        <v>37</v>
      </c>
      <c r="B9333" t="s">
        <v>9297</v>
      </c>
      <c r="C9333">
        <f>"60080"</f>
        <v>0</v>
      </c>
      <c r="D9333">
        <v>0</v>
      </c>
      <c r="E9333">
        <v>8</v>
      </c>
      <c r="F9333" s="2">
        <v>6</v>
      </c>
      <c r="H9333">
        <v>0</v>
      </c>
      <c r="I9333">
        <v>0.1741125760648204</v>
      </c>
      <c r="J9333">
        <v>0</v>
      </c>
      <c r="K9333">
        <v>0</v>
      </c>
      <c r="L9333" s="2">
        <v>0</v>
      </c>
      <c r="M9333">
        <v>91.15000000000001</v>
      </c>
      <c r="N9333" t="s">
        <v>10236</v>
      </c>
    </row>
    <row r="9334" spans="1:14">
      <c r="A9334" t="s">
        <v>223</v>
      </c>
      <c r="B9334" t="s">
        <v>9298</v>
      </c>
      <c r="C9334">
        <f>"5600075"</f>
        <v>0</v>
      </c>
      <c r="D9334">
        <v>0</v>
      </c>
      <c r="E9334">
        <v>0</v>
      </c>
      <c r="F9334" s="2">
        <v>0</v>
      </c>
      <c r="H9334">
        <v>0</v>
      </c>
      <c r="I9334">
        <v>0.1741125760648204</v>
      </c>
      <c r="J9334">
        <v>0</v>
      </c>
      <c r="K9334">
        <v>0</v>
      </c>
      <c r="L9334" s="2">
        <v>0</v>
      </c>
      <c r="M9334">
        <v>91.16</v>
      </c>
      <c r="N9334" t="s">
        <v>10236</v>
      </c>
    </row>
    <row r="9335" spans="1:14">
      <c r="A9335" t="s">
        <v>223</v>
      </c>
      <c r="B9335" t="s">
        <v>9299</v>
      </c>
      <c r="C9335">
        <f>"5600015"</f>
        <v>0</v>
      </c>
      <c r="D9335">
        <v>0</v>
      </c>
      <c r="E9335">
        <v>0</v>
      </c>
      <c r="F9335" s="2">
        <v>0</v>
      </c>
      <c r="H9335">
        <v>0</v>
      </c>
      <c r="I9335">
        <v>0.1741125760648204</v>
      </c>
      <c r="J9335">
        <v>0</v>
      </c>
      <c r="K9335">
        <v>0</v>
      </c>
      <c r="L9335" s="2">
        <v>0</v>
      </c>
      <c r="M9335">
        <v>91.17</v>
      </c>
      <c r="N9335" t="s">
        <v>10236</v>
      </c>
    </row>
    <row r="9336" spans="1:14">
      <c r="A9336" t="s">
        <v>218</v>
      </c>
      <c r="B9336" t="s">
        <v>9300</v>
      </c>
      <c r="C9336">
        <f>"1020356"</f>
        <v>0</v>
      </c>
      <c r="D9336">
        <v>0</v>
      </c>
      <c r="E9336">
        <v>0</v>
      </c>
      <c r="F9336" s="2">
        <v>0</v>
      </c>
      <c r="H9336">
        <v>0</v>
      </c>
      <c r="I9336">
        <v>0.1741125760648204</v>
      </c>
      <c r="J9336">
        <v>0</v>
      </c>
      <c r="K9336">
        <v>0</v>
      </c>
      <c r="L9336" s="2">
        <v>0</v>
      </c>
      <c r="M9336">
        <v>91.18000000000001</v>
      </c>
      <c r="N9336" t="s">
        <v>10236</v>
      </c>
    </row>
    <row r="9337" spans="1:14">
      <c r="A9337" t="s">
        <v>24</v>
      </c>
      <c r="B9337" t="s">
        <v>9301</v>
      </c>
      <c r="C9337">
        <f>"1010235"</f>
        <v>0</v>
      </c>
      <c r="D9337">
        <v>0</v>
      </c>
      <c r="E9337">
        <v>31</v>
      </c>
      <c r="F9337" s="2">
        <v>4</v>
      </c>
      <c r="H9337">
        <v>0</v>
      </c>
      <c r="I9337">
        <v>0.1741125760648204</v>
      </c>
      <c r="J9337">
        <v>0</v>
      </c>
      <c r="K9337">
        <v>0</v>
      </c>
      <c r="L9337" s="2">
        <v>0</v>
      </c>
      <c r="M9337">
        <v>91.19</v>
      </c>
      <c r="N9337" t="s">
        <v>10236</v>
      </c>
    </row>
    <row r="9338" spans="1:14">
      <c r="A9338" t="s">
        <v>196</v>
      </c>
      <c r="B9338" t="s">
        <v>9302</v>
      </c>
      <c r="C9338">
        <f>"2056"</f>
        <v>0</v>
      </c>
      <c r="D9338">
        <v>0</v>
      </c>
      <c r="E9338">
        <v>0</v>
      </c>
      <c r="F9338" s="2">
        <v>0</v>
      </c>
      <c r="H9338">
        <v>0</v>
      </c>
      <c r="I9338">
        <v>0.1741125760648204</v>
      </c>
      <c r="J9338">
        <v>0</v>
      </c>
      <c r="K9338">
        <v>0</v>
      </c>
      <c r="L9338" s="2">
        <v>0</v>
      </c>
      <c r="M9338">
        <v>91.2</v>
      </c>
      <c r="N9338" t="s">
        <v>10236</v>
      </c>
    </row>
    <row r="9339" spans="1:14">
      <c r="A9339" t="s">
        <v>29</v>
      </c>
      <c r="B9339" t="s">
        <v>9303</v>
      </c>
      <c r="C9339">
        <f>"JUP01"</f>
        <v>0</v>
      </c>
      <c r="D9339">
        <v>0</v>
      </c>
      <c r="E9339">
        <v>0</v>
      </c>
      <c r="F9339" s="2">
        <v>0</v>
      </c>
      <c r="H9339">
        <v>0</v>
      </c>
      <c r="I9339">
        <v>0.1741125760648204</v>
      </c>
      <c r="J9339">
        <v>0</v>
      </c>
      <c r="K9339">
        <v>0</v>
      </c>
      <c r="L9339" s="2">
        <v>0</v>
      </c>
      <c r="M9339">
        <v>91.20999999999999</v>
      </c>
      <c r="N9339" t="s">
        <v>10236</v>
      </c>
    </row>
    <row r="9340" spans="1:14">
      <c r="A9340" t="s">
        <v>29</v>
      </c>
      <c r="B9340" t="s">
        <v>9304</v>
      </c>
      <c r="C9340">
        <f>"JUP22"</f>
        <v>0</v>
      </c>
      <c r="D9340">
        <v>0</v>
      </c>
      <c r="E9340">
        <v>0</v>
      </c>
      <c r="F9340" s="2">
        <v>0</v>
      </c>
      <c r="H9340">
        <v>0</v>
      </c>
      <c r="I9340">
        <v>0.1741125760648204</v>
      </c>
      <c r="J9340">
        <v>0</v>
      </c>
      <c r="K9340">
        <v>0</v>
      </c>
      <c r="L9340" s="2">
        <v>0</v>
      </c>
      <c r="M9340">
        <v>91.22</v>
      </c>
      <c r="N9340" t="s">
        <v>10236</v>
      </c>
    </row>
    <row r="9341" spans="1:14">
      <c r="A9341" t="s">
        <v>29</v>
      </c>
      <c r="B9341" t="s">
        <v>9305</v>
      </c>
      <c r="C9341">
        <f>"JUP02"</f>
        <v>0</v>
      </c>
      <c r="D9341">
        <v>0</v>
      </c>
      <c r="E9341">
        <v>1</v>
      </c>
      <c r="F9341" s="2">
        <v>17</v>
      </c>
      <c r="H9341">
        <v>0</v>
      </c>
      <c r="I9341">
        <v>0.1741125760648204</v>
      </c>
      <c r="J9341">
        <v>0</v>
      </c>
      <c r="K9341">
        <v>0</v>
      </c>
      <c r="L9341" s="2">
        <v>0</v>
      </c>
      <c r="M9341">
        <v>91.23</v>
      </c>
      <c r="N9341" t="s">
        <v>10236</v>
      </c>
    </row>
    <row r="9342" spans="1:14">
      <c r="A9342" t="s">
        <v>29</v>
      </c>
      <c r="B9342" t="s">
        <v>9306</v>
      </c>
      <c r="C9342">
        <f>"HW404B"</f>
        <v>0</v>
      </c>
      <c r="D9342">
        <v>0</v>
      </c>
      <c r="E9342">
        <v>0</v>
      </c>
      <c r="F9342" s="2">
        <v>0</v>
      </c>
      <c r="H9342">
        <v>0</v>
      </c>
      <c r="I9342">
        <v>0.1741125760648204</v>
      </c>
      <c r="J9342">
        <v>0</v>
      </c>
      <c r="K9342">
        <v>0</v>
      </c>
      <c r="L9342" s="2">
        <v>0</v>
      </c>
      <c r="M9342">
        <v>91.23999999999999</v>
      </c>
      <c r="N9342" t="s">
        <v>10236</v>
      </c>
    </row>
    <row r="9343" spans="1:14">
      <c r="A9343" t="s">
        <v>29</v>
      </c>
      <c r="B9343" t="s">
        <v>9307</v>
      </c>
      <c r="C9343">
        <f>"MV100"</f>
        <v>0</v>
      </c>
      <c r="D9343">
        <v>0</v>
      </c>
      <c r="E9343">
        <v>0</v>
      </c>
      <c r="F9343" s="2">
        <v>0</v>
      </c>
      <c r="H9343">
        <v>0</v>
      </c>
      <c r="I9343">
        <v>0.1741125760648204</v>
      </c>
      <c r="J9343">
        <v>0</v>
      </c>
      <c r="K9343">
        <v>0</v>
      </c>
      <c r="L9343" s="2">
        <v>0</v>
      </c>
      <c r="M9343">
        <v>91.25</v>
      </c>
      <c r="N9343" t="s">
        <v>10236</v>
      </c>
    </row>
    <row r="9344" spans="1:14">
      <c r="A9344" t="s">
        <v>29</v>
      </c>
      <c r="B9344" t="s">
        <v>9308</v>
      </c>
      <c r="C9344">
        <f>"ps2012"</f>
        <v>0</v>
      </c>
      <c r="D9344">
        <v>0</v>
      </c>
      <c r="E9344">
        <v>1</v>
      </c>
      <c r="F9344" s="2">
        <v>16</v>
      </c>
      <c r="H9344">
        <v>0</v>
      </c>
      <c r="I9344">
        <v>0.1741125760648204</v>
      </c>
      <c r="J9344">
        <v>0</v>
      </c>
      <c r="K9344">
        <v>0</v>
      </c>
      <c r="L9344" s="2">
        <v>0</v>
      </c>
      <c r="M9344">
        <v>91.26000000000001</v>
      </c>
      <c r="N9344" t="s">
        <v>10236</v>
      </c>
    </row>
    <row r="9345" spans="1:14">
      <c r="A9345" t="s">
        <v>35</v>
      </c>
      <c r="B9345" t="s">
        <v>9309</v>
      </c>
      <c r="C9345">
        <f>"3115MIX"</f>
        <v>0</v>
      </c>
      <c r="D9345">
        <v>0</v>
      </c>
      <c r="E9345">
        <v>3</v>
      </c>
      <c r="F9345" s="2">
        <v>1</v>
      </c>
      <c r="H9345">
        <v>0</v>
      </c>
      <c r="I9345">
        <v>0.1741125760648204</v>
      </c>
      <c r="J9345">
        <v>0</v>
      </c>
      <c r="K9345">
        <v>0</v>
      </c>
      <c r="L9345" s="2">
        <v>0</v>
      </c>
      <c r="M9345">
        <v>91.27</v>
      </c>
      <c r="N9345" t="s">
        <v>10236</v>
      </c>
    </row>
    <row r="9346" spans="1:14">
      <c r="A9346" t="s">
        <v>29</v>
      </c>
      <c r="B9346" t="s">
        <v>9310</v>
      </c>
      <c r="C9346">
        <f>"HW502"</f>
        <v>0</v>
      </c>
      <c r="D9346">
        <v>0</v>
      </c>
      <c r="E9346">
        <v>0</v>
      </c>
      <c r="F9346" s="2">
        <v>0</v>
      </c>
      <c r="H9346">
        <v>0</v>
      </c>
      <c r="I9346">
        <v>0.1741125760648204</v>
      </c>
      <c r="J9346">
        <v>0</v>
      </c>
      <c r="K9346">
        <v>0</v>
      </c>
      <c r="L9346" s="2">
        <v>0</v>
      </c>
      <c r="M9346">
        <v>91.27</v>
      </c>
      <c r="N9346" t="s">
        <v>10236</v>
      </c>
    </row>
    <row r="9347" spans="1:14">
      <c r="A9347" t="s">
        <v>29</v>
      </c>
      <c r="B9347" t="s">
        <v>9311</v>
      </c>
      <c r="C9347">
        <f>"JP044F"</f>
        <v>0</v>
      </c>
      <c r="D9347">
        <v>0</v>
      </c>
      <c r="E9347">
        <v>0</v>
      </c>
      <c r="F9347" s="2">
        <v>0</v>
      </c>
      <c r="H9347">
        <v>0</v>
      </c>
      <c r="I9347">
        <v>0.1741125760648204</v>
      </c>
      <c r="J9347">
        <v>0</v>
      </c>
      <c r="K9347">
        <v>0</v>
      </c>
      <c r="L9347" s="2">
        <v>0</v>
      </c>
      <c r="M9347">
        <v>91.28</v>
      </c>
      <c r="N9347" t="s">
        <v>10236</v>
      </c>
    </row>
    <row r="9348" spans="1:14">
      <c r="A9348" t="s">
        <v>35</v>
      </c>
      <c r="B9348" t="s">
        <v>9312</v>
      </c>
      <c r="C9348">
        <f>"HH095LMC"</f>
        <v>0</v>
      </c>
      <c r="D9348">
        <v>0</v>
      </c>
      <c r="E9348">
        <v>1</v>
      </c>
      <c r="F9348" s="2">
        <v>10</v>
      </c>
      <c r="H9348">
        <v>0</v>
      </c>
      <c r="I9348">
        <v>0.1741125760648204</v>
      </c>
      <c r="J9348">
        <v>0</v>
      </c>
      <c r="K9348">
        <v>0</v>
      </c>
      <c r="L9348" s="2">
        <v>0</v>
      </c>
      <c r="M9348">
        <v>91.29000000000001</v>
      </c>
      <c r="N9348" t="s">
        <v>10236</v>
      </c>
    </row>
    <row r="9349" spans="1:14">
      <c r="A9349" t="s">
        <v>29</v>
      </c>
      <c r="B9349" t="s">
        <v>9313</v>
      </c>
      <c r="C9349">
        <f>"HBL802"</f>
        <v>0</v>
      </c>
      <c r="D9349">
        <v>0</v>
      </c>
      <c r="E9349">
        <v>0</v>
      </c>
      <c r="F9349" s="2">
        <v>0</v>
      </c>
      <c r="H9349">
        <v>0</v>
      </c>
      <c r="I9349">
        <v>0.1741125760648204</v>
      </c>
      <c r="J9349">
        <v>0</v>
      </c>
      <c r="K9349">
        <v>0</v>
      </c>
      <c r="L9349" s="2">
        <v>0</v>
      </c>
      <c r="M9349">
        <v>91.3</v>
      </c>
      <c r="N9349" t="s">
        <v>10236</v>
      </c>
    </row>
    <row r="9350" spans="1:14">
      <c r="A9350" t="s">
        <v>29</v>
      </c>
      <c r="B9350" t="s">
        <v>9314</v>
      </c>
      <c r="C9350">
        <f>"C2400UV"</f>
        <v>0</v>
      </c>
      <c r="D9350">
        <v>0</v>
      </c>
      <c r="E9350">
        <v>1</v>
      </c>
      <c r="F9350" s="2">
        <v>179</v>
      </c>
      <c r="H9350">
        <v>0</v>
      </c>
      <c r="I9350">
        <v>0.1741125760648204</v>
      </c>
      <c r="J9350">
        <v>0</v>
      </c>
      <c r="K9350">
        <v>0</v>
      </c>
      <c r="L9350" s="2">
        <v>0</v>
      </c>
      <c r="M9350">
        <v>91.31</v>
      </c>
      <c r="N9350" t="s">
        <v>10236</v>
      </c>
    </row>
    <row r="9351" spans="1:14">
      <c r="A9351" t="s">
        <v>29</v>
      </c>
      <c r="B9351" t="s">
        <v>9315</v>
      </c>
      <c r="C9351">
        <f>"CF888UV"</f>
        <v>0</v>
      </c>
      <c r="D9351">
        <v>0</v>
      </c>
      <c r="E9351">
        <v>1</v>
      </c>
      <c r="F9351" s="2">
        <v>68</v>
      </c>
      <c r="H9351">
        <v>0</v>
      </c>
      <c r="I9351">
        <v>0.1741125760648204</v>
      </c>
      <c r="J9351">
        <v>0</v>
      </c>
      <c r="K9351">
        <v>0</v>
      </c>
      <c r="L9351" s="2">
        <v>0</v>
      </c>
      <c r="M9351">
        <v>91.31999999999999</v>
      </c>
      <c r="N9351" t="s">
        <v>10236</v>
      </c>
    </row>
    <row r="9352" spans="1:14">
      <c r="A9352" t="s">
        <v>29</v>
      </c>
      <c r="B9352" t="s">
        <v>9316</v>
      </c>
      <c r="C9352">
        <f>"RS75"</f>
        <v>0</v>
      </c>
      <c r="D9352">
        <v>0</v>
      </c>
      <c r="E9352">
        <v>6</v>
      </c>
      <c r="F9352" s="2">
        <v>54</v>
      </c>
      <c r="H9352">
        <v>0</v>
      </c>
      <c r="I9352">
        <v>0.1741125760648204</v>
      </c>
      <c r="J9352">
        <v>0</v>
      </c>
      <c r="K9352">
        <v>0</v>
      </c>
      <c r="L9352" s="2">
        <v>0</v>
      </c>
      <c r="M9352">
        <v>91.33</v>
      </c>
      <c r="N9352" t="s">
        <v>10236</v>
      </c>
    </row>
    <row r="9353" spans="1:14">
      <c r="A9353" t="s">
        <v>29</v>
      </c>
      <c r="B9353" t="s">
        <v>9317</v>
      </c>
      <c r="C9353">
        <f>"HW505B"</f>
        <v>0</v>
      </c>
      <c r="D9353">
        <v>0</v>
      </c>
      <c r="E9353">
        <v>1</v>
      </c>
      <c r="F9353" s="2">
        <v>34</v>
      </c>
      <c r="H9353">
        <v>0</v>
      </c>
      <c r="I9353">
        <v>0.1741125760648204</v>
      </c>
      <c r="J9353">
        <v>0</v>
      </c>
      <c r="K9353">
        <v>0</v>
      </c>
      <c r="L9353" s="2">
        <v>0</v>
      </c>
      <c r="M9353">
        <v>91.34</v>
      </c>
      <c r="N9353" t="s">
        <v>10236</v>
      </c>
    </row>
    <row r="9354" spans="1:14">
      <c r="A9354" t="s">
        <v>29</v>
      </c>
      <c r="B9354" t="s">
        <v>9318</v>
      </c>
      <c r="C9354">
        <f>"HW504B"</f>
        <v>0</v>
      </c>
      <c r="D9354">
        <v>0</v>
      </c>
      <c r="E9354">
        <v>1</v>
      </c>
      <c r="F9354" s="2">
        <v>45</v>
      </c>
      <c r="H9354">
        <v>0</v>
      </c>
      <c r="I9354">
        <v>0.1741125760648204</v>
      </c>
      <c r="J9354">
        <v>0</v>
      </c>
      <c r="K9354">
        <v>0</v>
      </c>
      <c r="L9354" s="2">
        <v>0</v>
      </c>
      <c r="M9354">
        <v>91.34999999999999</v>
      </c>
      <c r="N9354" t="s">
        <v>10236</v>
      </c>
    </row>
    <row r="9355" spans="1:14">
      <c r="A9355" t="s">
        <v>29</v>
      </c>
      <c r="B9355" t="s">
        <v>9319</v>
      </c>
      <c r="C9355">
        <f>"RS082A"</f>
        <v>0</v>
      </c>
      <c r="D9355">
        <v>0</v>
      </c>
      <c r="E9355">
        <v>0</v>
      </c>
      <c r="F9355" s="2">
        <v>0</v>
      </c>
      <c r="H9355">
        <v>0</v>
      </c>
      <c r="I9355">
        <v>0.1741125760648204</v>
      </c>
      <c r="J9355">
        <v>0</v>
      </c>
      <c r="K9355">
        <v>0</v>
      </c>
      <c r="L9355" s="2">
        <v>0</v>
      </c>
      <c r="M9355">
        <v>91.36</v>
      </c>
      <c r="N9355" t="s">
        <v>10236</v>
      </c>
    </row>
    <row r="9356" spans="1:14">
      <c r="A9356" t="s">
        <v>29</v>
      </c>
      <c r="B9356" t="s">
        <v>9320</v>
      </c>
      <c r="C9356">
        <f>"RS6001FA"</f>
        <v>0</v>
      </c>
      <c r="D9356">
        <v>0</v>
      </c>
      <c r="E9356">
        <v>0</v>
      </c>
      <c r="F9356" s="2">
        <v>0</v>
      </c>
      <c r="H9356">
        <v>0</v>
      </c>
      <c r="I9356">
        <v>0.1741125760648204</v>
      </c>
      <c r="J9356">
        <v>0</v>
      </c>
      <c r="K9356">
        <v>0</v>
      </c>
      <c r="L9356" s="2">
        <v>0</v>
      </c>
      <c r="M9356">
        <v>91.37</v>
      </c>
      <c r="N9356" t="s">
        <v>10236</v>
      </c>
    </row>
    <row r="9357" spans="1:14">
      <c r="A9357" t="s">
        <v>29</v>
      </c>
      <c r="B9357" t="s">
        <v>9321</v>
      </c>
      <c r="C9357">
        <f>"RS728A"</f>
        <v>0</v>
      </c>
      <c r="D9357">
        <v>0</v>
      </c>
      <c r="E9357">
        <v>0</v>
      </c>
      <c r="F9357" s="2">
        <v>0</v>
      </c>
      <c r="H9357">
        <v>0</v>
      </c>
      <c r="I9357">
        <v>0.1741125760648204</v>
      </c>
      <c r="J9357">
        <v>0</v>
      </c>
      <c r="K9357">
        <v>0</v>
      </c>
      <c r="L9357" s="2">
        <v>0</v>
      </c>
      <c r="M9357">
        <v>91.38</v>
      </c>
      <c r="N9357" t="s">
        <v>10236</v>
      </c>
    </row>
    <row r="9358" spans="1:14">
      <c r="A9358" t="s">
        <v>29</v>
      </c>
      <c r="B9358" t="s">
        <v>9322</v>
      </c>
      <c r="C9358">
        <f>"RS738A"</f>
        <v>0</v>
      </c>
      <c r="D9358">
        <v>0</v>
      </c>
      <c r="E9358">
        <v>0</v>
      </c>
      <c r="F9358" s="2">
        <v>0</v>
      </c>
      <c r="H9358">
        <v>0</v>
      </c>
      <c r="I9358">
        <v>0.1741125760648204</v>
      </c>
      <c r="J9358">
        <v>0</v>
      </c>
      <c r="K9358">
        <v>0</v>
      </c>
      <c r="L9358" s="2">
        <v>0</v>
      </c>
      <c r="M9358">
        <v>91.39</v>
      </c>
      <c r="N9358" t="s">
        <v>10236</v>
      </c>
    </row>
    <row r="9359" spans="1:14">
      <c r="A9359" t="s">
        <v>29</v>
      </c>
      <c r="B9359" t="s">
        <v>9323</v>
      </c>
      <c r="C9359">
        <f>"RS718A"</f>
        <v>0</v>
      </c>
      <c r="D9359">
        <v>0</v>
      </c>
      <c r="E9359">
        <v>0</v>
      </c>
      <c r="F9359" s="2">
        <v>0</v>
      </c>
      <c r="H9359">
        <v>0</v>
      </c>
      <c r="I9359">
        <v>0.1741125760648204</v>
      </c>
      <c r="J9359">
        <v>0</v>
      </c>
      <c r="K9359">
        <v>0</v>
      </c>
      <c r="L9359" s="2">
        <v>0</v>
      </c>
      <c r="M9359">
        <v>91.39</v>
      </c>
      <c r="N9359" t="s">
        <v>10236</v>
      </c>
    </row>
    <row r="9360" spans="1:14">
      <c r="A9360" t="s">
        <v>29</v>
      </c>
      <c r="B9360" t="s">
        <v>9324</v>
      </c>
      <c r="C9360">
        <f>"RS618B"</f>
        <v>0</v>
      </c>
      <c r="D9360">
        <v>0</v>
      </c>
      <c r="E9360">
        <v>0</v>
      </c>
      <c r="F9360" s="2">
        <v>0</v>
      </c>
      <c r="H9360">
        <v>0</v>
      </c>
      <c r="I9360">
        <v>0.1741125760648204</v>
      </c>
      <c r="J9360">
        <v>0</v>
      </c>
      <c r="K9360">
        <v>0</v>
      </c>
      <c r="L9360" s="2">
        <v>0</v>
      </c>
      <c r="M9360">
        <v>91.40000000000001</v>
      </c>
      <c r="N9360" t="s">
        <v>10236</v>
      </c>
    </row>
    <row r="9361" spans="1:14">
      <c r="A9361" t="s">
        <v>29</v>
      </c>
      <c r="B9361" t="s">
        <v>9325</v>
      </c>
      <c r="C9361">
        <f>"RS2002"</f>
        <v>0</v>
      </c>
      <c r="D9361">
        <v>0</v>
      </c>
      <c r="E9361">
        <v>0</v>
      </c>
      <c r="F9361" s="2">
        <v>0</v>
      </c>
      <c r="H9361">
        <v>0</v>
      </c>
      <c r="I9361">
        <v>0.1741125760648204</v>
      </c>
      <c r="J9361">
        <v>0</v>
      </c>
      <c r="K9361">
        <v>0</v>
      </c>
      <c r="L9361" s="2">
        <v>0</v>
      </c>
      <c r="M9361">
        <v>91.41</v>
      </c>
      <c r="N9361" t="s">
        <v>10236</v>
      </c>
    </row>
    <row r="9362" spans="1:14">
      <c r="A9362" t="s">
        <v>29</v>
      </c>
      <c r="B9362" t="s">
        <v>9326</v>
      </c>
      <c r="C9362">
        <f>"RS1000F"</f>
        <v>0</v>
      </c>
      <c r="D9362">
        <v>0</v>
      </c>
      <c r="E9362">
        <v>0</v>
      </c>
      <c r="F9362" s="2">
        <v>0</v>
      </c>
      <c r="H9362">
        <v>0</v>
      </c>
      <c r="I9362">
        <v>0.1741125760648204</v>
      </c>
      <c r="J9362">
        <v>0</v>
      </c>
      <c r="K9362">
        <v>0</v>
      </c>
      <c r="L9362" s="2">
        <v>0</v>
      </c>
      <c r="M9362">
        <v>91.42</v>
      </c>
      <c r="N9362" t="s">
        <v>10236</v>
      </c>
    </row>
    <row r="9363" spans="1:14">
      <c r="A9363" t="s">
        <v>29</v>
      </c>
      <c r="B9363" t="s">
        <v>9327</v>
      </c>
      <c r="C9363">
        <f>"NB1700F"</f>
        <v>0</v>
      </c>
      <c r="D9363">
        <v>0</v>
      </c>
      <c r="E9363">
        <v>1</v>
      </c>
      <c r="F9363" s="2">
        <v>5</v>
      </c>
      <c r="H9363">
        <v>0</v>
      </c>
      <c r="I9363">
        <v>0.1741125760648204</v>
      </c>
      <c r="J9363">
        <v>0</v>
      </c>
      <c r="K9363">
        <v>0</v>
      </c>
      <c r="L9363" s="2">
        <v>0</v>
      </c>
      <c r="M9363">
        <v>91.43000000000001</v>
      </c>
      <c r="N9363" t="s">
        <v>10236</v>
      </c>
    </row>
    <row r="9364" spans="1:14">
      <c r="A9364" t="s">
        <v>29</v>
      </c>
      <c r="B9364" t="s">
        <v>9328</v>
      </c>
      <c r="C9364">
        <f>"LAV700"</f>
        <v>0</v>
      </c>
      <c r="D9364">
        <v>0</v>
      </c>
      <c r="E9364">
        <v>0</v>
      </c>
      <c r="F9364" s="2">
        <v>0</v>
      </c>
      <c r="H9364">
        <v>0</v>
      </c>
      <c r="I9364">
        <v>0.1741125760648204</v>
      </c>
      <c r="J9364">
        <v>0</v>
      </c>
      <c r="K9364">
        <v>0</v>
      </c>
      <c r="L9364" s="2">
        <v>0</v>
      </c>
      <c r="M9364">
        <v>91.44</v>
      </c>
      <c r="N9364" t="s">
        <v>10236</v>
      </c>
    </row>
    <row r="9365" spans="1:14">
      <c r="A9365" t="s">
        <v>35</v>
      </c>
      <c r="B9365" t="s">
        <v>9329</v>
      </c>
      <c r="C9365">
        <f>"TR072"</f>
        <v>0</v>
      </c>
      <c r="D9365">
        <v>0</v>
      </c>
      <c r="E9365">
        <v>1</v>
      </c>
      <c r="F9365" s="2">
        <v>2</v>
      </c>
      <c r="H9365">
        <v>0</v>
      </c>
      <c r="I9365">
        <v>0.1741125760648204</v>
      </c>
      <c r="J9365">
        <v>0</v>
      </c>
      <c r="K9365">
        <v>0</v>
      </c>
      <c r="L9365" s="2">
        <v>0</v>
      </c>
      <c r="M9365">
        <v>91.45</v>
      </c>
      <c r="N9365" t="s">
        <v>10236</v>
      </c>
    </row>
    <row r="9366" spans="1:14">
      <c r="A9366" t="s">
        <v>29</v>
      </c>
      <c r="B9366" t="s">
        <v>9330</v>
      </c>
      <c r="C9366">
        <f>"FPL18"</f>
        <v>0</v>
      </c>
      <c r="D9366">
        <v>0</v>
      </c>
      <c r="E9366">
        <v>0</v>
      </c>
      <c r="F9366" s="2">
        <v>0</v>
      </c>
      <c r="H9366">
        <v>0</v>
      </c>
      <c r="I9366">
        <v>0.1741125760648204</v>
      </c>
      <c r="J9366">
        <v>0</v>
      </c>
      <c r="K9366">
        <v>0</v>
      </c>
      <c r="L9366" s="2">
        <v>0</v>
      </c>
      <c r="M9366">
        <v>91.45999999999999</v>
      </c>
      <c r="N9366" t="s">
        <v>10236</v>
      </c>
    </row>
    <row r="9367" spans="1:14">
      <c r="A9367" t="s">
        <v>29</v>
      </c>
      <c r="B9367" t="s">
        <v>9331</v>
      </c>
      <c r="C9367">
        <f>"FERTIL"</f>
        <v>0</v>
      </c>
      <c r="D9367">
        <v>0</v>
      </c>
      <c r="E9367">
        <v>0</v>
      </c>
      <c r="F9367" s="2">
        <v>0</v>
      </c>
      <c r="H9367">
        <v>0</v>
      </c>
      <c r="I9367">
        <v>0.1741125760648204</v>
      </c>
      <c r="J9367">
        <v>0</v>
      </c>
      <c r="K9367">
        <v>0</v>
      </c>
      <c r="L9367" s="2">
        <v>0</v>
      </c>
      <c r="M9367">
        <v>91.47</v>
      </c>
      <c r="N9367" t="s">
        <v>10236</v>
      </c>
    </row>
    <row r="9368" spans="1:14">
      <c r="A9368" t="s">
        <v>29</v>
      </c>
      <c r="B9368" t="s">
        <v>9332</v>
      </c>
      <c r="C9368">
        <f>"FERTIL18"</f>
        <v>0</v>
      </c>
      <c r="D9368">
        <v>0</v>
      </c>
      <c r="E9368">
        <v>0</v>
      </c>
      <c r="F9368" s="2">
        <v>0</v>
      </c>
      <c r="H9368">
        <v>0</v>
      </c>
      <c r="I9368">
        <v>0.1741125760648204</v>
      </c>
      <c r="J9368">
        <v>0</v>
      </c>
      <c r="K9368">
        <v>0</v>
      </c>
      <c r="L9368" s="2">
        <v>0</v>
      </c>
      <c r="M9368">
        <v>91.48</v>
      </c>
      <c r="N9368" t="s">
        <v>10236</v>
      </c>
    </row>
    <row r="9369" spans="1:14">
      <c r="A9369" t="s">
        <v>29</v>
      </c>
      <c r="B9369" t="s">
        <v>9333</v>
      </c>
      <c r="C9369">
        <f>"TAVTOR"</f>
        <v>0</v>
      </c>
      <c r="D9369">
        <v>0</v>
      </c>
      <c r="E9369">
        <v>0</v>
      </c>
      <c r="F9369" s="2">
        <v>0</v>
      </c>
      <c r="H9369">
        <v>0</v>
      </c>
      <c r="I9369">
        <v>0.1741125760648204</v>
      </c>
      <c r="J9369">
        <v>0</v>
      </c>
      <c r="K9369">
        <v>0</v>
      </c>
      <c r="L9369" s="2">
        <v>0</v>
      </c>
      <c r="M9369">
        <v>91.48999999999999</v>
      </c>
      <c r="N9369" t="s">
        <v>10236</v>
      </c>
    </row>
    <row r="9370" spans="1:14">
      <c r="A9370" t="s">
        <v>25</v>
      </c>
      <c r="B9370" t="s">
        <v>9334</v>
      </c>
      <c r="C9370">
        <f>"53161"</f>
        <v>0</v>
      </c>
      <c r="D9370">
        <v>0</v>
      </c>
      <c r="E9370">
        <v>1</v>
      </c>
      <c r="F9370" s="2">
        <v>3</v>
      </c>
      <c r="H9370">
        <v>0</v>
      </c>
      <c r="I9370">
        <v>0.1741125760648204</v>
      </c>
      <c r="J9370">
        <v>0</v>
      </c>
      <c r="K9370">
        <v>0</v>
      </c>
      <c r="L9370" s="2">
        <v>0</v>
      </c>
      <c r="M9370">
        <v>91.5</v>
      </c>
      <c r="N9370" t="s">
        <v>10236</v>
      </c>
    </row>
    <row r="9371" spans="1:14">
      <c r="A9371" t="s">
        <v>35</v>
      </c>
      <c r="B9371" t="s">
        <v>9335</v>
      </c>
      <c r="C9371">
        <f>"FEMUR1"</f>
        <v>0</v>
      </c>
      <c r="D9371">
        <v>0</v>
      </c>
      <c r="E9371">
        <v>0</v>
      </c>
      <c r="F9371" s="2">
        <v>0</v>
      </c>
      <c r="H9371">
        <v>0</v>
      </c>
      <c r="I9371">
        <v>0.1741125760648204</v>
      </c>
      <c r="J9371">
        <v>0</v>
      </c>
      <c r="K9371">
        <v>0</v>
      </c>
      <c r="L9371" s="2">
        <v>0</v>
      </c>
      <c r="M9371">
        <v>91.51000000000001</v>
      </c>
      <c r="N9371" t="s">
        <v>10236</v>
      </c>
    </row>
    <row r="9372" spans="1:14">
      <c r="A9372" t="s">
        <v>35</v>
      </c>
      <c r="B9372" t="s">
        <v>9336</v>
      </c>
      <c r="C9372">
        <f>"FEMUR2"</f>
        <v>0</v>
      </c>
      <c r="D9372">
        <v>0</v>
      </c>
      <c r="E9372">
        <v>0</v>
      </c>
      <c r="F9372" s="2">
        <v>0</v>
      </c>
      <c r="H9372">
        <v>0</v>
      </c>
      <c r="I9372">
        <v>0.1741125760648204</v>
      </c>
      <c r="J9372">
        <v>0</v>
      </c>
      <c r="K9372">
        <v>0</v>
      </c>
      <c r="L9372" s="2">
        <v>0</v>
      </c>
      <c r="M9372">
        <v>91.51000000000001</v>
      </c>
      <c r="N9372" t="s">
        <v>10236</v>
      </c>
    </row>
    <row r="9373" spans="1:14">
      <c r="A9373" t="s">
        <v>218</v>
      </c>
      <c r="B9373" t="s">
        <v>9337</v>
      </c>
      <c r="C9373">
        <f>"1009820"</f>
        <v>0</v>
      </c>
      <c r="D9373">
        <v>0</v>
      </c>
      <c r="E9373">
        <v>0</v>
      </c>
      <c r="F9373" s="2">
        <v>0</v>
      </c>
      <c r="H9373">
        <v>0</v>
      </c>
      <c r="I9373">
        <v>0.1741125760648204</v>
      </c>
      <c r="J9373">
        <v>0</v>
      </c>
      <c r="K9373">
        <v>0</v>
      </c>
      <c r="L9373" s="2">
        <v>0</v>
      </c>
      <c r="M9373">
        <v>91.52</v>
      </c>
      <c r="N9373" t="s">
        <v>10236</v>
      </c>
    </row>
    <row r="9374" spans="1:14">
      <c r="A9374" t="s">
        <v>198</v>
      </c>
      <c r="B9374" t="s">
        <v>9338</v>
      </c>
      <c r="C9374">
        <f>"5006932"</f>
        <v>0</v>
      </c>
      <c r="D9374">
        <v>0</v>
      </c>
      <c r="E9374">
        <v>17</v>
      </c>
      <c r="F9374" s="2">
        <v>1</v>
      </c>
      <c r="H9374">
        <v>0</v>
      </c>
      <c r="I9374">
        <v>0.1741125760648204</v>
      </c>
      <c r="J9374">
        <v>0</v>
      </c>
      <c r="K9374">
        <v>0</v>
      </c>
      <c r="L9374" s="2">
        <v>0</v>
      </c>
      <c r="M9374">
        <v>91.53</v>
      </c>
      <c r="N9374" t="s">
        <v>10236</v>
      </c>
    </row>
    <row r="9375" spans="1:14">
      <c r="A9375" t="s">
        <v>198</v>
      </c>
      <c r="B9375" t="s">
        <v>9339</v>
      </c>
      <c r="C9375">
        <f>"5006933"</f>
        <v>0</v>
      </c>
      <c r="D9375">
        <v>0</v>
      </c>
      <c r="E9375">
        <v>0</v>
      </c>
      <c r="F9375" s="2">
        <v>0</v>
      </c>
      <c r="H9375">
        <v>0</v>
      </c>
      <c r="I9375">
        <v>0.1741125760648204</v>
      </c>
      <c r="J9375">
        <v>0</v>
      </c>
      <c r="K9375">
        <v>0</v>
      </c>
      <c r="L9375" s="2">
        <v>0</v>
      </c>
      <c r="M9375">
        <v>91.54000000000001</v>
      </c>
      <c r="N9375" t="s">
        <v>10236</v>
      </c>
    </row>
    <row r="9376" spans="1:14">
      <c r="A9376" t="s">
        <v>198</v>
      </c>
      <c r="B9376" t="s">
        <v>9340</v>
      </c>
      <c r="C9376">
        <f>"5005331"</f>
        <v>0</v>
      </c>
      <c r="D9376">
        <v>0</v>
      </c>
      <c r="E9376">
        <v>0</v>
      </c>
      <c r="F9376" s="2">
        <v>0</v>
      </c>
      <c r="H9376">
        <v>0</v>
      </c>
      <c r="I9376">
        <v>0.1741125760648204</v>
      </c>
      <c r="J9376">
        <v>0</v>
      </c>
      <c r="K9376">
        <v>0</v>
      </c>
      <c r="L9376" s="2">
        <v>0</v>
      </c>
      <c r="M9376">
        <v>91.55</v>
      </c>
      <c r="N9376" t="s">
        <v>10236</v>
      </c>
    </row>
    <row r="9377" spans="1:14">
      <c r="A9377" t="s">
        <v>198</v>
      </c>
      <c r="B9377" t="s">
        <v>9341</v>
      </c>
      <c r="C9377">
        <f>"5000805"</f>
        <v>0</v>
      </c>
      <c r="D9377">
        <v>0</v>
      </c>
      <c r="E9377">
        <v>0</v>
      </c>
      <c r="F9377" s="2">
        <v>0</v>
      </c>
      <c r="H9377">
        <v>0</v>
      </c>
      <c r="I9377">
        <v>0.1741125760648204</v>
      </c>
      <c r="J9377">
        <v>0</v>
      </c>
      <c r="K9377">
        <v>0</v>
      </c>
      <c r="L9377" s="2">
        <v>0</v>
      </c>
      <c r="M9377">
        <v>91.56</v>
      </c>
      <c r="N9377" t="s">
        <v>10236</v>
      </c>
    </row>
    <row r="9378" spans="1:14">
      <c r="A9378" t="s">
        <v>198</v>
      </c>
      <c r="B9378" t="s">
        <v>9342</v>
      </c>
      <c r="C9378">
        <f>"5000808"</f>
        <v>0</v>
      </c>
      <c r="D9378">
        <v>0</v>
      </c>
      <c r="E9378">
        <v>0</v>
      </c>
      <c r="F9378" s="2">
        <v>0</v>
      </c>
      <c r="H9378">
        <v>0</v>
      </c>
      <c r="I9378">
        <v>0.1741125760648204</v>
      </c>
      <c r="J9378">
        <v>0</v>
      </c>
      <c r="K9378">
        <v>0</v>
      </c>
      <c r="L9378" s="2">
        <v>0</v>
      </c>
      <c r="M9378">
        <v>91.56999999999999</v>
      </c>
      <c r="N9378" t="s">
        <v>10236</v>
      </c>
    </row>
    <row r="9379" spans="1:14">
      <c r="A9379" t="s">
        <v>29</v>
      </c>
      <c r="B9379" t="s">
        <v>9343</v>
      </c>
      <c r="C9379">
        <f>"FILL100"</f>
        <v>0</v>
      </c>
      <c r="D9379">
        <v>0</v>
      </c>
      <c r="E9379">
        <v>0</v>
      </c>
      <c r="F9379" s="2">
        <v>0</v>
      </c>
      <c r="H9379">
        <v>0</v>
      </c>
      <c r="I9379">
        <v>0.1741125760648204</v>
      </c>
      <c r="J9379">
        <v>0</v>
      </c>
      <c r="K9379">
        <v>0</v>
      </c>
      <c r="L9379" s="2">
        <v>0</v>
      </c>
      <c r="M9379">
        <v>91.58</v>
      </c>
      <c r="N9379" t="s">
        <v>10236</v>
      </c>
    </row>
    <row r="9380" spans="1:14">
      <c r="A9380" t="s">
        <v>29</v>
      </c>
      <c r="B9380" t="s">
        <v>9344</v>
      </c>
      <c r="C9380">
        <f>"RS3004"</f>
        <v>0</v>
      </c>
      <c r="D9380">
        <v>0</v>
      </c>
      <c r="E9380">
        <v>1</v>
      </c>
      <c r="F9380" s="2">
        <v>6</v>
      </c>
      <c r="H9380">
        <v>0</v>
      </c>
      <c r="I9380">
        <v>0.1741125760648204</v>
      </c>
      <c r="J9380">
        <v>0</v>
      </c>
      <c r="K9380">
        <v>0</v>
      </c>
      <c r="L9380" s="2">
        <v>0</v>
      </c>
      <c r="M9380">
        <v>91.59</v>
      </c>
      <c r="N9380" t="s">
        <v>10236</v>
      </c>
    </row>
    <row r="9381" spans="1:14">
      <c r="A9381" t="s">
        <v>29</v>
      </c>
      <c r="B9381" t="s">
        <v>9345</v>
      </c>
      <c r="C9381">
        <f>"RS1507"</f>
        <v>0</v>
      </c>
      <c r="D9381">
        <v>0</v>
      </c>
      <c r="E9381">
        <v>0</v>
      </c>
      <c r="F9381" s="2">
        <v>0</v>
      </c>
      <c r="H9381">
        <v>0</v>
      </c>
      <c r="I9381">
        <v>0.1741125760648204</v>
      </c>
      <c r="J9381">
        <v>0</v>
      </c>
      <c r="K9381">
        <v>0</v>
      </c>
      <c r="L9381" s="2">
        <v>0</v>
      </c>
      <c r="M9381">
        <v>91.59999999999999</v>
      </c>
      <c r="N9381" t="s">
        <v>10236</v>
      </c>
    </row>
    <row r="9382" spans="1:14">
      <c r="A9382" t="s">
        <v>29</v>
      </c>
      <c r="B9382" t="s">
        <v>9346</v>
      </c>
      <c r="C9382">
        <f>"HLBT700"</f>
        <v>0</v>
      </c>
      <c r="D9382">
        <v>0</v>
      </c>
      <c r="E9382">
        <v>0</v>
      </c>
      <c r="F9382" s="2">
        <v>0</v>
      </c>
      <c r="H9382">
        <v>0</v>
      </c>
      <c r="I9382">
        <v>0.1741125760648204</v>
      </c>
      <c r="J9382">
        <v>0</v>
      </c>
      <c r="K9382">
        <v>0</v>
      </c>
      <c r="L9382" s="2">
        <v>0</v>
      </c>
      <c r="M9382">
        <v>91.61</v>
      </c>
      <c r="N9382" t="s">
        <v>10236</v>
      </c>
    </row>
    <row r="9383" spans="1:14">
      <c r="A9383" t="s">
        <v>29</v>
      </c>
      <c r="B9383" t="s">
        <v>9347</v>
      </c>
      <c r="C9383">
        <f>"W601"</f>
        <v>0</v>
      </c>
      <c r="D9383">
        <v>0</v>
      </c>
      <c r="E9383">
        <v>0</v>
      </c>
      <c r="F9383" s="2">
        <v>0</v>
      </c>
      <c r="H9383">
        <v>0</v>
      </c>
      <c r="I9383">
        <v>0.1741125760648204</v>
      </c>
      <c r="J9383">
        <v>0</v>
      </c>
      <c r="K9383">
        <v>0</v>
      </c>
      <c r="L9383" s="2">
        <v>0</v>
      </c>
      <c r="M9383">
        <v>91.62</v>
      </c>
      <c r="N9383" t="s">
        <v>10236</v>
      </c>
    </row>
    <row r="9384" spans="1:14">
      <c r="A9384" t="s">
        <v>29</v>
      </c>
      <c r="B9384" t="s">
        <v>9348</v>
      </c>
      <c r="C9384">
        <f>"W401"</f>
        <v>0</v>
      </c>
      <c r="D9384">
        <v>0</v>
      </c>
      <c r="E9384">
        <v>0</v>
      </c>
      <c r="F9384" s="2">
        <v>0</v>
      </c>
      <c r="H9384">
        <v>0</v>
      </c>
      <c r="I9384">
        <v>0.1741125760648204</v>
      </c>
      <c r="J9384">
        <v>0</v>
      </c>
      <c r="K9384">
        <v>0</v>
      </c>
      <c r="L9384" s="2">
        <v>0</v>
      </c>
      <c r="M9384">
        <v>91.63</v>
      </c>
      <c r="N9384" t="s">
        <v>10236</v>
      </c>
    </row>
    <row r="9385" spans="1:14">
      <c r="A9385" t="s">
        <v>29</v>
      </c>
      <c r="B9385" t="s">
        <v>9349</v>
      </c>
      <c r="C9385">
        <f>"CF300"</f>
        <v>0</v>
      </c>
      <c r="D9385">
        <v>0</v>
      </c>
      <c r="E9385">
        <v>0</v>
      </c>
      <c r="F9385" s="2">
        <v>0</v>
      </c>
      <c r="H9385">
        <v>0</v>
      </c>
      <c r="I9385">
        <v>0.1741125760648204</v>
      </c>
      <c r="J9385">
        <v>0</v>
      </c>
      <c r="K9385">
        <v>0</v>
      </c>
      <c r="L9385" s="2">
        <v>0</v>
      </c>
      <c r="M9385">
        <v>91.63</v>
      </c>
      <c r="N9385" t="s">
        <v>10236</v>
      </c>
    </row>
    <row r="9386" spans="1:14">
      <c r="A9386" t="s">
        <v>29</v>
      </c>
      <c r="B9386" t="s">
        <v>9350</v>
      </c>
      <c r="C9386">
        <f>"MC918UV"</f>
        <v>0</v>
      </c>
      <c r="D9386">
        <v>0</v>
      </c>
      <c r="E9386">
        <v>0</v>
      </c>
      <c r="F9386" s="2">
        <v>0</v>
      </c>
      <c r="H9386">
        <v>0</v>
      </c>
      <c r="I9386">
        <v>0.1741125760648204</v>
      </c>
      <c r="J9386">
        <v>0</v>
      </c>
      <c r="K9386">
        <v>0</v>
      </c>
      <c r="L9386" s="2">
        <v>0</v>
      </c>
      <c r="M9386">
        <v>91.64</v>
      </c>
      <c r="N9386" t="s">
        <v>10236</v>
      </c>
    </row>
    <row r="9387" spans="1:14">
      <c r="A9387" t="s">
        <v>29</v>
      </c>
      <c r="B9387" t="s">
        <v>9351</v>
      </c>
      <c r="C9387">
        <f>"MC917UV"</f>
        <v>0</v>
      </c>
      <c r="D9387">
        <v>0</v>
      </c>
      <c r="E9387">
        <v>0</v>
      </c>
      <c r="F9387" s="2">
        <v>0</v>
      </c>
      <c r="H9387">
        <v>0</v>
      </c>
      <c r="I9387">
        <v>0.1741125760648204</v>
      </c>
      <c r="J9387">
        <v>0</v>
      </c>
      <c r="K9387">
        <v>0</v>
      </c>
      <c r="L9387" s="2">
        <v>0</v>
      </c>
      <c r="M9387">
        <v>91.65000000000001</v>
      </c>
      <c r="N9387" t="s">
        <v>10236</v>
      </c>
    </row>
    <row r="9388" spans="1:14">
      <c r="A9388" t="s">
        <v>29</v>
      </c>
      <c r="B9388" t="s">
        <v>9352</v>
      </c>
      <c r="C9388">
        <f>"CF1288UV"</f>
        <v>0</v>
      </c>
      <c r="D9388">
        <v>0</v>
      </c>
      <c r="E9388">
        <v>1</v>
      </c>
      <c r="F9388" s="2">
        <v>76</v>
      </c>
      <c r="H9388">
        <v>0</v>
      </c>
      <c r="I9388">
        <v>0.1741125760648204</v>
      </c>
      <c r="J9388">
        <v>0</v>
      </c>
      <c r="K9388">
        <v>0</v>
      </c>
      <c r="L9388" s="2">
        <v>0</v>
      </c>
      <c r="M9388">
        <v>91.66</v>
      </c>
      <c r="N9388" t="s">
        <v>10236</v>
      </c>
    </row>
    <row r="9389" spans="1:14">
      <c r="A9389" t="s">
        <v>29</v>
      </c>
      <c r="B9389" t="s">
        <v>9353</v>
      </c>
      <c r="C9389">
        <f>"CF800"</f>
        <v>0</v>
      </c>
      <c r="D9389">
        <v>0</v>
      </c>
      <c r="E9389">
        <v>0</v>
      </c>
      <c r="F9389" s="2">
        <v>0</v>
      </c>
      <c r="H9389">
        <v>0</v>
      </c>
      <c r="I9389">
        <v>0.1741125760648204</v>
      </c>
      <c r="J9389">
        <v>0</v>
      </c>
      <c r="K9389">
        <v>0</v>
      </c>
      <c r="L9389" s="2">
        <v>0</v>
      </c>
      <c r="M9389">
        <v>91.67</v>
      </c>
      <c r="N9389" t="s">
        <v>10236</v>
      </c>
    </row>
    <row r="9390" spans="1:14">
      <c r="A9390" t="s">
        <v>29</v>
      </c>
      <c r="B9390" t="s">
        <v>9354</v>
      </c>
      <c r="C9390">
        <f>"CF600UV"</f>
        <v>0</v>
      </c>
      <c r="D9390">
        <v>0</v>
      </c>
      <c r="E9390">
        <v>0</v>
      </c>
      <c r="F9390" s="2">
        <v>0</v>
      </c>
      <c r="H9390">
        <v>0</v>
      </c>
      <c r="I9390">
        <v>0.1741125760648204</v>
      </c>
      <c r="J9390">
        <v>0</v>
      </c>
      <c r="K9390">
        <v>0</v>
      </c>
      <c r="L9390" s="2">
        <v>0</v>
      </c>
      <c r="M9390">
        <v>91.68000000000001</v>
      </c>
      <c r="N9390" t="s">
        <v>10236</v>
      </c>
    </row>
    <row r="9391" spans="1:14">
      <c r="A9391" t="s">
        <v>29</v>
      </c>
      <c r="B9391" t="s">
        <v>9354</v>
      </c>
      <c r="C9391">
        <f>"CF600"</f>
        <v>0</v>
      </c>
      <c r="D9391">
        <v>0</v>
      </c>
      <c r="E9391">
        <v>0</v>
      </c>
      <c r="F9391" s="2">
        <v>0</v>
      </c>
      <c r="H9391">
        <v>0</v>
      </c>
      <c r="I9391">
        <v>0.1741125760648204</v>
      </c>
      <c r="J9391">
        <v>0</v>
      </c>
      <c r="K9391">
        <v>0</v>
      </c>
      <c r="L9391" s="2">
        <v>0</v>
      </c>
      <c r="M9391">
        <v>91.69</v>
      </c>
      <c r="N9391" t="s">
        <v>10236</v>
      </c>
    </row>
    <row r="9392" spans="1:14">
      <c r="A9392" t="s">
        <v>29</v>
      </c>
      <c r="B9392" t="s">
        <v>9355</v>
      </c>
      <c r="C9392">
        <f>"CF1400"</f>
        <v>0</v>
      </c>
      <c r="D9392">
        <v>0</v>
      </c>
      <c r="E9392">
        <v>0</v>
      </c>
      <c r="F9392" s="2">
        <v>0</v>
      </c>
      <c r="H9392">
        <v>0</v>
      </c>
      <c r="I9392">
        <v>0.1741125760648204</v>
      </c>
      <c r="J9392">
        <v>0</v>
      </c>
      <c r="K9392">
        <v>0</v>
      </c>
      <c r="L9392" s="2">
        <v>0</v>
      </c>
      <c r="M9392">
        <v>91.7</v>
      </c>
      <c r="N9392" t="s">
        <v>10236</v>
      </c>
    </row>
    <row r="9393" spans="1:14">
      <c r="A9393" t="s">
        <v>29</v>
      </c>
      <c r="B9393" t="s">
        <v>9356</v>
      </c>
      <c r="C9393">
        <f>"CF1200"</f>
        <v>0</v>
      </c>
      <c r="D9393">
        <v>0</v>
      </c>
      <c r="E9393">
        <v>0</v>
      </c>
      <c r="F9393" s="2">
        <v>0</v>
      </c>
      <c r="H9393">
        <v>0</v>
      </c>
      <c r="I9393">
        <v>0.1741125760648204</v>
      </c>
      <c r="J9393">
        <v>0</v>
      </c>
      <c r="K9393">
        <v>0</v>
      </c>
      <c r="L9393" s="2">
        <v>0</v>
      </c>
      <c r="M9393">
        <v>91.70999999999999</v>
      </c>
      <c r="N9393" t="s">
        <v>10236</v>
      </c>
    </row>
    <row r="9394" spans="1:14">
      <c r="A9394" t="s">
        <v>29</v>
      </c>
      <c r="B9394" t="s">
        <v>9357</v>
      </c>
      <c r="C9394">
        <f>"HBL801"</f>
        <v>0</v>
      </c>
      <c r="D9394">
        <v>0</v>
      </c>
      <c r="E9394">
        <v>0</v>
      </c>
      <c r="F9394" s="2">
        <v>0</v>
      </c>
      <c r="H9394">
        <v>0</v>
      </c>
      <c r="I9394">
        <v>0.1741125760648204</v>
      </c>
      <c r="J9394">
        <v>0</v>
      </c>
      <c r="K9394">
        <v>0</v>
      </c>
      <c r="L9394" s="2">
        <v>0</v>
      </c>
      <c r="M9394">
        <v>91.72</v>
      </c>
      <c r="N9394" t="s">
        <v>10236</v>
      </c>
    </row>
    <row r="9395" spans="1:14">
      <c r="A9395" t="s">
        <v>29</v>
      </c>
      <c r="B9395" t="s">
        <v>9358</v>
      </c>
      <c r="C9395">
        <f>"MC915"</f>
        <v>0</v>
      </c>
      <c r="D9395">
        <v>0</v>
      </c>
      <c r="E9395">
        <v>0</v>
      </c>
      <c r="F9395" s="2">
        <v>0</v>
      </c>
      <c r="H9395">
        <v>0</v>
      </c>
      <c r="I9395">
        <v>0.1741125760648204</v>
      </c>
      <c r="J9395">
        <v>0</v>
      </c>
      <c r="K9395">
        <v>0</v>
      </c>
      <c r="L9395" s="2">
        <v>0</v>
      </c>
      <c r="M9395">
        <v>91.73</v>
      </c>
      <c r="N9395" t="s">
        <v>10236</v>
      </c>
    </row>
    <row r="9396" spans="1:14">
      <c r="A9396" t="s">
        <v>29</v>
      </c>
      <c r="B9396" t="s">
        <v>9359</v>
      </c>
      <c r="C9396">
        <f>"SFP16"</f>
        <v>0</v>
      </c>
      <c r="D9396">
        <v>0</v>
      </c>
      <c r="E9396">
        <v>1</v>
      </c>
      <c r="F9396" s="2">
        <v>6</v>
      </c>
      <c r="H9396">
        <v>0</v>
      </c>
      <c r="I9396">
        <v>0.1741125760648204</v>
      </c>
      <c r="J9396">
        <v>0</v>
      </c>
      <c r="K9396">
        <v>0</v>
      </c>
      <c r="L9396" s="2">
        <v>0</v>
      </c>
      <c r="M9396">
        <v>91.73999999999999</v>
      </c>
      <c r="N9396" t="s">
        <v>10236</v>
      </c>
    </row>
    <row r="9397" spans="1:14">
      <c r="A9397" t="s">
        <v>29</v>
      </c>
      <c r="B9397" t="s">
        <v>9360</v>
      </c>
      <c r="C9397">
        <f>"XY2820"</f>
        <v>0</v>
      </c>
      <c r="D9397">
        <v>0</v>
      </c>
      <c r="E9397">
        <v>0</v>
      </c>
      <c r="F9397" s="2">
        <v>0</v>
      </c>
      <c r="H9397">
        <v>0</v>
      </c>
      <c r="I9397">
        <v>0.1741125760648204</v>
      </c>
      <c r="J9397">
        <v>0</v>
      </c>
      <c r="K9397">
        <v>0</v>
      </c>
      <c r="L9397" s="2">
        <v>0</v>
      </c>
      <c r="M9397">
        <v>91.73999999999999</v>
      </c>
      <c r="N9397" t="s">
        <v>10236</v>
      </c>
    </row>
    <row r="9398" spans="1:14">
      <c r="A9398" t="s">
        <v>25</v>
      </c>
      <c r="B9398" t="s">
        <v>9361</v>
      </c>
      <c r="C9398">
        <f>"DR127"</f>
        <v>0</v>
      </c>
      <c r="D9398">
        <v>0</v>
      </c>
      <c r="E9398">
        <v>0</v>
      </c>
      <c r="F9398" s="2">
        <v>0</v>
      </c>
      <c r="H9398">
        <v>0</v>
      </c>
      <c r="I9398">
        <v>0.1741125760648204</v>
      </c>
      <c r="J9398">
        <v>0</v>
      </c>
      <c r="K9398">
        <v>0</v>
      </c>
      <c r="L9398" s="2">
        <v>0</v>
      </c>
      <c r="M9398">
        <v>91.75</v>
      </c>
      <c r="N9398" t="s">
        <v>10236</v>
      </c>
    </row>
    <row r="9399" spans="1:14">
      <c r="A9399" t="s">
        <v>29</v>
      </c>
      <c r="B9399" t="s">
        <v>9362</v>
      </c>
      <c r="C9399">
        <f>"RS062A"</f>
        <v>0</v>
      </c>
      <c r="D9399">
        <v>0</v>
      </c>
      <c r="E9399">
        <v>2</v>
      </c>
      <c r="F9399" s="2">
        <v>2</v>
      </c>
      <c r="H9399">
        <v>0</v>
      </c>
      <c r="I9399">
        <v>0.1741125760648204</v>
      </c>
      <c r="J9399">
        <v>0</v>
      </c>
      <c r="K9399">
        <v>0</v>
      </c>
      <c r="L9399" s="2">
        <v>0</v>
      </c>
      <c r="M9399">
        <v>91.76000000000001</v>
      </c>
      <c r="N9399" t="s">
        <v>10236</v>
      </c>
    </row>
    <row r="9400" spans="1:14">
      <c r="A9400" t="s">
        <v>29</v>
      </c>
      <c r="B9400" t="s">
        <v>9363</v>
      </c>
      <c r="C9400">
        <f>"RS06A"</f>
        <v>0</v>
      </c>
      <c r="D9400">
        <v>0</v>
      </c>
      <c r="E9400">
        <v>0</v>
      </c>
      <c r="F9400" s="2">
        <v>0</v>
      </c>
      <c r="H9400">
        <v>0</v>
      </c>
      <c r="I9400">
        <v>0.1741125760648204</v>
      </c>
      <c r="J9400">
        <v>0</v>
      </c>
      <c r="K9400">
        <v>0</v>
      </c>
      <c r="L9400" s="2">
        <v>0</v>
      </c>
      <c r="M9400">
        <v>91.77</v>
      </c>
      <c r="N9400" t="s">
        <v>10236</v>
      </c>
    </row>
    <row r="9401" spans="1:14">
      <c r="A9401" t="s">
        <v>29</v>
      </c>
      <c r="B9401" t="s">
        <v>9364</v>
      </c>
      <c r="C9401">
        <f>"UV1000F"</f>
        <v>0</v>
      </c>
      <c r="D9401">
        <v>0</v>
      </c>
      <c r="E9401">
        <v>0</v>
      </c>
      <c r="F9401" s="2">
        <v>0</v>
      </c>
      <c r="H9401">
        <v>0</v>
      </c>
      <c r="I9401">
        <v>0.1741125760648204</v>
      </c>
      <c r="J9401">
        <v>0</v>
      </c>
      <c r="K9401">
        <v>0</v>
      </c>
      <c r="L9401" s="2">
        <v>0</v>
      </c>
      <c r="M9401">
        <v>91.78</v>
      </c>
      <c r="N9401" t="s">
        <v>10236</v>
      </c>
    </row>
    <row r="9402" spans="1:14">
      <c r="A9402" t="s">
        <v>29</v>
      </c>
      <c r="B9402" t="s">
        <v>9365</v>
      </c>
      <c r="C9402">
        <f>"RS103"</f>
        <v>0</v>
      </c>
      <c r="D9402">
        <v>0</v>
      </c>
      <c r="E9402">
        <v>0</v>
      </c>
      <c r="F9402" s="2">
        <v>0</v>
      </c>
      <c r="H9402">
        <v>0</v>
      </c>
      <c r="I9402">
        <v>0.1741125760648204</v>
      </c>
      <c r="J9402">
        <v>0</v>
      </c>
      <c r="K9402">
        <v>0</v>
      </c>
      <c r="L9402" s="2">
        <v>0</v>
      </c>
      <c r="M9402">
        <v>91.79000000000001</v>
      </c>
      <c r="N9402" t="s">
        <v>10236</v>
      </c>
    </row>
    <row r="9403" spans="1:14">
      <c r="A9403" t="s">
        <v>29</v>
      </c>
      <c r="B9403" t="s">
        <v>9366</v>
      </c>
      <c r="C9403">
        <f>"HBL701"</f>
        <v>0</v>
      </c>
      <c r="D9403">
        <v>0</v>
      </c>
      <c r="E9403">
        <v>0</v>
      </c>
      <c r="F9403" s="2">
        <v>0</v>
      </c>
      <c r="H9403">
        <v>0</v>
      </c>
      <c r="I9403">
        <v>0.1741125760648204</v>
      </c>
      <c r="J9403">
        <v>0</v>
      </c>
      <c r="K9403">
        <v>0</v>
      </c>
      <c r="L9403" s="2">
        <v>0</v>
      </c>
      <c r="M9403">
        <v>91.8</v>
      </c>
      <c r="N9403" t="s">
        <v>10236</v>
      </c>
    </row>
    <row r="9404" spans="1:14">
      <c r="A9404" t="s">
        <v>29</v>
      </c>
      <c r="B9404" t="s">
        <v>9367</v>
      </c>
      <c r="C9404">
        <f>"HBL501"</f>
        <v>0</v>
      </c>
      <c r="D9404">
        <v>0</v>
      </c>
      <c r="E9404">
        <v>0</v>
      </c>
      <c r="F9404" s="2">
        <v>0</v>
      </c>
      <c r="H9404">
        <v>0</v>
      </c>
      <c r="I9404">
        <v>0.1741125760648204</v>
      </c>
      <c r="J9404">
        <v>0</v>
      </c>
      <c r="K9404">
        <v>0</v>
      </c>
      <c r="L9404" s="2">
        <v>0</v>
      </c>
      <c r="M9404">
        <v>91.81</v>
      </c>
      <c r="N9404" t="s">
        <v>10236</v>
      </c>
    </row>
    <row r="9405" spans="1:14">
      <c r="A9405" t="s">
        <v>29</v>
      </c>
      <c r="B9405" t="s">
        <v>9368</v>
      </c>
      <c r="C9405">
        <f>"HBL301"</f>
        <v>0</v>
      </c>
      <c r="D9405">
        <v>0</v>
      </c>
      <c r="E9405">
        <v>0</v>
      </c>
      <c r="F9405" s="2">
        <v>0</v>
      </c>
      <c r="H9405">
        <v>0</v>
      </c>
      <c r="I9405">
        <v>0.1741125760648204</v>
      </c>
      <c r="J9405">
        <v>0</v>
      </c>
      <c r="K9405">
        <v>0</v>
      </c>
      <c r="L9405" s="2">
        <v>0</v>
      </c>
      <c r="M9405">
        <v>91.81999999999999</v>
      </c>
      <c r="N9405" t="s">
        <v>10236</v>
      </c>
    </row>
    <row r="9406" spans="1:14">
      <c r="A9406" t="s">
        <v>29</v>
      </c>
      <c r="B9406" t="s">
        <v>9369</v>
      </c>
      <c r="C9406">
        <f>"H100"</f>
        <v>0</v>
      </c>
      <c r="D9406">
        <v>0</v>
      </c>
      <c r="E9406">
        <v>0</v>
      </c>
      <c r="F9406" s="2">
        <v>0</v>
      </c>
      <c r="H9406">
        <v>0</v>
      </c>
      <c r="I9406">
        <v>0.1741125760648204</v>
      </c>
      <c r="J9406">
        <v>0</v>
      </c>
      <c r="K9406">
        <v>0</v>
      </c>
      <c r="L9406" s="2">
        <v>0</v>
      </c>
      <c r="M9406">
        <v>91.83</v>
      </c>
      <c r="N9406" t="s">
        <v>10236</v>
      </c>
    </row>
    <row r="9407" spans="1:14">
      <c r="A9407" t="s">
        <v>29</v>
      </c>
      <c r="B9407" t="s">
        <v>9370</v>
      </c>
      <c r="C9407">
        <f>"H500"</f>
        <v>0</v>
      </c>
      <c r="D9407">
        <v>0</v>
      </c>
      <c r="E9407">
        <v>0</v>
      </c>
      <c r="F9407" s="2">
        <v>0</v>
      </c>
      <c r="H9407">
        <v>0</v>
      </c>
      <c r="I9407">
        <v>0.1741125760648204</v>
      </c>
      <c r="J9407">
        <v>0</v>
      </c>
      <c r="K9407">
        <v>0</v>
      </c>
      <c r="L9407" s="2">
        <v>0</v>
      </c>
      <c r="M9407">
        <v>91.84</v>
      </c>
      <c r="N9407" t="s">
        <v>10236</v>
      </c>
    </row>
    <row r="9408" spans="1:14">
      <c r="A9408" t="s">
        <v>29</v>
      </c>
      <c r="B9408" t="s">
        <v>9371</v>
      </c>
      <c r="C9408">
        <f>"H80"</f>
        <v>0</v>
      </c>
      <c r="D9408">
        <v>0</v>
      </c>
      <c r="E9408">
        <v>0</v>
      </c>
      <c r="F9408" s="2">
        <v>0</v>
      </c>
      <c r="H9408">
        <v>0</v>
      </c>
      <c r="I9408">
        <v>0.1741125760648204</v>
      </c>
      <c r="J9408">
        <v>0</v>
      </c>
      <c r="K9408">
        <v>0</v>
      </c>
      <c r="L9408" s="2">
        <v>0</v>
      </c>
      <c r="M9408">
        <v>91.84999999999999</v>
      </c>
      <c r="N9408" t="s">
        <v>10236</v>
      </c>
    </row>
    <row r="9409" spans="1:14">
      <c r="A9409" t="s">
        <v>29</v>
      </c>
      <c r="B9409" t="s">
        <v>9372</v>
      </c>
      <c r="C9409">
        <f>"H800"</f>
        <v>0</v>
      </c>
      <c r="D9409">
        <v>0</v>
      </c>
      <c r="E9409">
        <v>1</v>
      </c>
      <c r="F9409" s="2">
        <v>17</v>
      </c>
      <c r="H9409">
        <v>0</v>
      </c>
      <c r="I9409">
        <v>0.1741125760648204</v>
      </c>
      <c r="J9409">
        <v>0</v>
      </c>
      <c r="K9409">
        <v>0</v>
      </c>
      <c r="L9409" s="2">
        <v>0</v>
      </c>
      <c r="M9409">
        <v>91.86</v>
      </c>
      <c r="N9409" t="s">
        <v>10236</v>
      </c>
    </row>
    <row r="9410" spans="1:14">
      <c r="A9410" t="s">
        <v>29</v>
      </c>
      <c r="B9410" t="s">
        <v>9373</v>
      </c>
      <c r="C9410">
        <f>"HW302"</f>
        <v>0</v>
      </c>
      <c r="D9410">
        <v>0</v>
      </c>
      <c r="E9410">
        <v>0</v>
      </c>
      <c r="F9410" s="2">
        <v>0</v>
      </c>
      <c r="H9410">
        <v>0</v>
      </c>
      <c r="I9410">
        <v>0.1741125760648204</v>
      </c>
      <c r="J9410">
        <v>0</v>
      </c>
      <c r="K9410">
        <v>0</v>
      </c>
      <c r="L9410" s="2">
        <v>0</v>
      </c>
      <c r="M9410">
        <v>91.86</v>
      </c>
      <c r="N9410" t="s">
        <v>10236</v>
      </c>
    </row>
    <row r="9411" spans="1:14">
      <c r="A9411" t="s">
        <v>35</v>
      </c>
      <c r="B9411" t="s">
        <v>9374</v>
      </c>
      <c r="C9411">
        <f>"W008S"</f>
        <v>0</v>
      </c>
      <c r="D9411">
        <v>0</v>
      </c>
      <c r="E9411">
        <v>0</v>
      </c>
      <c r="F9411" s="2">
        <v>0</v>
      </c>
      <c r="H9411">
        <v>0</v>
      </c>
      <c r="I9411">
        <v>0.1741125760648204</v>
      </c>
      <c r="J9411">
        <v>0</v>
      </c>
      <c r="K9411">
        <v>0</v>
      </c>
      <c r="L9411" s="2">
        <v>0</v>
      </c>
      <c r="M9411">
        <v>91.87</v>
      </c>
      <c r="N9411" t="s">
        <v>10236</v>
      </c>
    </row>
    <row r="9412" spans="1:14">
      <c r="A9412" t="s">
        <v>35</v>
      </c>
      <c r="B9412" t="s">
        <v>9375</v>
      </c>
      <c r="C9412">
        <f>"W008M"</f>
        <v>0</v>
      </c>
      <c r="D9412">
        <v>0</v>
      </c>
      <c r="E9412">
        <v>0</v>
      </c>
      <c r="F9412" s="2">
        <v>0</v>
      </c>
      <c r="H9412">
        <v>0</v>
      </c>
      <c r="I9412">
        <v>0.1741125760648204</v>
      </c>
      <c r="J9412">
        <v>0</v>
      </c>
      <c r="K9412">
        <v>0</v>
      </c>
      <c r="L9412" s="2">
        <v>0</v>
      </c>
      <c r="M9412">
        <v>91.88</v>
      </c>
      <c r="N9412" t="s">
        <v>10236</v>
      </c>
    </row>
    <row r="9413" spans="1:14">
      <c r="A9413" t="s">
        <v>35</v>
      </c>
      <c r="B9413" t="s">
        <v>9376</v>
      </c>
      <c r="C9413">
        <f>"TC777Ss"</f>
        <v>0</v>
      </c>
      <c r="D9413">
        <v>0</v>
      </c>
      <c r="E9413">
        <v>0</v>
      </c>
      <c r="F9413" s="2">
        <v>0</v>
      </c>
      <c r="H9413">
        <v>0</v>
      </c>
      <c r="I9413">
        <v>0.1741125760648204</v>
      </c>
      <c r="J9413">
        <v>0</v>
      </c>
      <c r="K9413">
        <v>0</v>
      </c>
      <c r="L9413" s="2">
        <v>0</v>
      </c>
      <c r="M9413">
        <v>91.89</v>
      </c>
      <c r="N9413" t="s">
        <v>10236</v>
      </c>
    </row>
    <row r="9414" spans="1:14">
      <c r="A9414" t="s">
        <v>35</v>
      </c>
      <c r="B9414" t="s">
        <v>9377</v>
      </c>
      <c r="C9414">
        <f>"TC777MS"</f>
        <v>0</v>
      </c>
      <c r="D9414">
        <v>0</v>
      </c>
      <c r="E9414">
        <v>0</v>
      </c>
      <c r="F9414" s="2">
        <v>0</v>
      </c>
      <c r="H9414">
        <v>0</v>
      </c>
      <c r="I9414">
        <v>0.1741125760648204</v>
      </c>
      <c r="J9414">
        <v>0</v>
      </c>
      <c r="K9414">
        <v>0</v>
      </c>
      <c r="L9414" s="2">
        <v>0</v>
      </c>
      <c r="M9414">
        <v>91.90000000000001</v>
      </c>
      <c r="N9414" t="s">
        <v>10236</v>
      </c>
    </row>
    <row r="9415" spans="1:14">
      <c r="A9415" t="s">
        <v>35</v>
      </c>
      <c r="B9415" t="s">
        <v>9378</v>
      </c>
      <c r="C9415">
        <f>"TC777LS"</f>
        <v>0</v>
      </c>
      <c r="D9415">
        <v>0</v>
      </c>
      <c r="E9415">
        <v>0</v>
      </c>
      <c r="F9415" s="2">
        <v>0</v>
      </c>
      <c r="H9415">
        <v>0</v>
      </c>
      <c r="I9415">
        <v>0.1741125760648204</v>
      </c>
      <c r="J9415">
        <v>0</v>
      </c>
      <c r="K9415">
        <v>0</v>
      </c>
      <c r="L9415" s="2">
        <v>0</v>
      </c>
      <c r="M9415">
        <v>91.91</v>
      </c>
      <c r="N9415" t="s">
        <v>10236</v>
      </c>
    </row>
    <row r="9416" spans="1:14">
      <c r="A9416" t="s">
        <v>35</v>
      </c>
      <c r="B9416" t="s">
        <v>1332</v>
      </c>
      <c r="C9416">
        <f>"W008MR"</f>
        <v>0</v>
      </c>
      <c r="D9416">
        <v>0</v>
      </c>
      <c r="E9416">
        <v>0</v>
      </c>
      <c r="F9416" s="2">
        <v>0</v>
      </c>
      <c r="H9416">
        <v>0</v>
      </c>
      <c r="I9416">
        <v>0.1741125760648204</v>
      </c>
      <c r="J9416">
        <v>0</v>
      </c>
      <c r="K9416">
        <v>0</v>
      </c>
      <c r="L9416" s="2">
        <v>0</v>
      </c>
      <c r="M9416">
        <v>91.92</v>
      </c>
      <c r="N9416" t="s">
        <v>10236</v>
      </c>
    </row>
    <row r="9417" spans="1:14">
      <c r="A9417" t="s">
        <v>25</v>
      </c>
      <c r="B9417" t="s">
        <v>9379</v>
      </c>
      <c r="C9417">
        <f>"PD20014NM"</f>
        <v>0</v>
      </c>
      <c r="D9417">
        <v>0</v>
      </c>
      <c r="E9417">
        <v>5</v>
      </c>
      <c r="F9417" s="2">
        <v>0</v>
      </c>
      <c r="H9417">
        <v>0</v>
      </c>
      <c r="I9417">
        <v>0.1741125760648204</v>
      </c>
      <c r="J9417">
        <v>0</v>
      </c>
      <c r="K9417">
        <v>0</v>
      </c>
      <c r="L9417" s="2">
        <v>0</v>
      </c>
      <c r="M9417">
        <v>91.93000000000001</v>
      </c>
      <c r="N9417" t="s">
        <v>10236</v>
      </c>
    </row>
    <row r="9418" spans="1:14">
      <c r="A9418" t="s">
        <v>25</v>
      </c>
      <c r="B9418" t="s">
        <v>9379</v>
      </c>
      <c r="C9418">
        <f>"PD20014NL"</f>
        <v>0</v>
      </c>
      <c r="D9418">
        <v>0</v>
      </c>
      <c r="E9418">
        <v>4</v>
      </c>
      <c r="F9418" s="2">
        <v>0</v>
      </c>
      <c r="H9418">
        <v>0</v>
      </c>
      <c r="I9418">
        <v>0.1741125760648204</v>
      </c>
      <c r="J9418">
        <v>0</v>
      </c>
      <c r="K9418">
        <v>0</v>
      </c>
      <c r="L9418" s="2">
        <v>0</v>
      </c>
      <c r="M9418">
        <v>91.94</v>
      </c>
      <c r="N9418" t="s">
        <v>10236</v>
      </c>
    </row>
    <row r="9419" spans="1:14">
      <c r="A9419" t="s">
        <v>25</v>
      </c>
      <c r="B9419" t="s">
        <v>9286</v>
      </c>
      <c r="C9419">
        <f>"PD20014AXS"</f>
        <v>0</v>
      </c>
      <c r="D9419">
        <v>0</v>
      </c>
      <c r="E9419">
        <v>22</v>
      </c>
      <c r="F9419" s="2">
        <v>4</v>
      </c>
      <c r="H9419">
        <v>0</v>
      </c>
      <c r="I9419">
        <v>0.1741125760648204</v>
      </c>
      <c r="J9419">
        <v>0</v>
      </c>
      <c r="K9419">
        <v>0</v>
      </c>
      <c r="L9419" s="2">
        <v>0</v>
      </c>
      <c r="M9419">
        <v>91.95</v>
      </c>
      <c r="N9419" t="s">
        <v>10236</v>
      </c>
    </row>
    <row r="9420" spans="1:14">
      <c r="A9420" t="s">
        <v>35</v>
      </c>
      <c r="B9420" t="s">
        <v>9380</v>
      </c>
      <c r="C9420">
        <f>"DN08"</f>
        <v>0</v>
      </c>
      <c r="D9420">
        <v>0</v>
      </c>
      <c r="E9420">
        <v>0</v>
      </c>
      <c r="F9420" s="2">
        <v>0</v>
      </c>
      <c r="H9420">
        <v>0</v>
      </c>
      <c r="I9420">
        <v>0.1741125760648204</v>
      </c>
      <c r="J9420">
        <v>0</v>
      </c>
      <c r="K9420">
        <v>0</v>
      </c>
      <c r="L9420" s="2">
        <v>0</v>
      </c>
      <c r="M9420">
        <v>91.95999999999999</v>
      </c>
      <c r="N9420" t="s">
        <v>10236</v>
      </c>
    </row>
    <row r="9421" spans="1:14">
      <c r="A9421" t="s">
        <v>35</v>
      </c>
      <c r="B9421" t="s">
        <v>9381</v>
      </c>
      <c r="C9421">
        <f>"PT015XSM"</f>
        <v>0</v>
      </c>
      <c r="D9421">
        <v>0</v>
      </c>
      <c r="E9421">
        <v>0</v>
      </c>
      <c r="F9421" s="2">
        <v>0</v>
      </c>
      <c r="H9421">
        <v>0</v>
      </c>
      <c r="I9421">
        <v>0.1741125760648204</v>
      </c>
      <c r="J9421">
        <v>0</v>
      </c>
      <c r="K9421">
        <v>0</v>
      </c>
      <c r="L9421" s="2">
        <v>0</v>
      </c>
      <c r="M9421">
        <v>91.97</v>
      </c>
      <c r="N9421" t="s">
        <v>10236</v>
      </c>
    </row>
    <row r="9422" spans="1:14">
      <c r="A9422" t="s">
        <v>35</v>
      </c>
      <c r="B9422" t="s">
        <v>9382</v>
      </c>
      <c r="C9422">
        <f>"PT015XSMI"</f>
        <v>0</v>
      </c>
      <c r="D9422">
        <v>0</v>
      </c>
      <c r="E9422">
        <v>0</v>
      </c>
      <c r="F9422" s="2">
        <v>0</v>
      </c>
      <c r="H9422">
        <v>0</v>
      </c>
      <c r="I9422">
        <v>0.1741125760648204</v>
      </c>
      <c r="J9422">
        <v>0</v>
      </c>
      <c r="K9422">
        <v>0</v>
      </c>
      <c r="L9422" s="2">
        <v>0</v>
      </c>
      <c r="M9422">
        <v>91.98</v>
      </c>
      <c r="N9422" t="s">
        <v>10236</v>
      </c>
    </row>
    <row r="9423" spans="1:14">
      <c r="A9423" t="s">
        <v>35</v>
      </c>
      <c r="B9423" t="s">
        <v>9383</v>
      </c>
      <c r="C9423">
        <f>"PT015XSFN"</f>
        <v>0</v>
      </c>
      <c r="D9423">
        <v>0</v>
      </c>
      <c r="E9423">
        <v>1</v>
      </c>
      <c r="F9423" s="2">
        <v>0</v>
      </c>
      <c r="H9423">
        <v>0</v>
      </c>
      <c r="I9423">
        <v>0.1741125760648204</v>
      </c>
      <c r="J9423">
        <v>0</v>
      </c>
      <c r="K9423">
        <v>0</v>
      </c>
      <c r="L9423" s="2">
        <v>0</v>
      </c>
      <c r="M9423">
        <v>91.98</v>
      </c>
      <c r="N9423" t="s">
        <v>10236</v>
      </c>
    </row>
    <row r="9424" spans="1:14">
      <c r="A9424" t="s">
        <v>35</v>
      </c>
      <c r="B9424" t="s">
        <v>9384</v>
      </c>
      <c r="C9424">
        <f>"PT015XSDROJ"</f>
        <v>0</v>
      </c>
      <c r="D9424">
        <v>0</v>
      </c>
      <c r="E9424">
        <v>1</v>
      </c>
      <c r="F9424" s="2">
        <v>2</v>
      </c>
      <c r="H9424">
        <v>0</v>
      </c>
      <c r="I9424">
        <v>0.1741125760648204</v>
      </c>
      <c r="J9424">
        <v>0</v>
      </c>
      <c r="K9424">
        <v>0</v>
      </c>
      <c r="L9424" s="2">
        <v>0</v>
      </c>
      <c r="M9424">
        <v>91.98999999999999</v>
      </c>
      <c r="N9424" t="s">
        <v>10236</v>
      </c>
    </row>
    <row r="9425" spans="1:14">
      <c r="A9425" t="s">
        <v>195</v>
      </c>
      <c r="B9425" t="s">
        <v>9385</v>
      </c>
      <c r="C9425">
        <f>"25395724"</f>
        <v>0</v>
      </c>
      <c r="D9425">
        <v>0</v>
      </c>
      <c r="E9425">
        <v>1</v>
      </c>
      <c r="F9425" s="2">
        <v>6</v>
      </c>
      <c r="H9425">
        <v>0</v>
      </c>
      <c r="I9425">
        <v>0.1741125760648204</v>
      </c>
      <c r="J9425">
        <v>0</v>
      </c>
      <c r="K9425">
        <v>0</v>
      </c>
      <c r="L9425" s="2">
        <v>0</v>
      </c>
      <c r="M9425">
        <v>92</v>
      </c>
      <c r="N9425" t="s">
        <v>10236</v>
      </c>
    </row>
    <row r="9426" spans="1:14">
      <c r="A9426" t="s">
        <v>35</v>
      </c>
      <c r="B9426" t="s">
        <v>9386</v>
      </c>
      <c r="C9426">
        <f>"PT015XSCC"</f>
        <v>0</v>
      </c>
      <c r="D9426">
        <v>0</v>
      </c>
      <c r="E9426">
        <v>5</v>
      </c>
      <c r="F9426" s="2">
        <v>2</v>
      </c>
      <c r="H9426">
        <v>0</v>
      </c>
      <c r="I9426">
        <v>0.1741125760648204</v>
      </c>
      <c r="J9426">
        <v>0</v>
      </c>
      <c r="K9426">
        <v>0</v>
      </c>
      <c r="L9426" s="2">
        <v>0</v>
      </c>
      <c r="M9426">
        <v>92.01000000000001</v>
      </c>
      <c r="N9426" t="s">
        <v>10236</v>
      </c>
    </row>
    <row r="9427" spans="1:14">
      <c r="A9427" t="s">
        <v>35</v>
      </c>
      <c r="B9427" t="s">
        <v>9387</v>
      </c>
      <c r="C9427">
        <f>"PT015XSA"</f>
        <v>0</v>
      </c>
      <c r="D9427">
        <v>0</v>
      </c>
      <c r="E9427">
        <v>1</v>
      </c>
      <c r="F9427" s="2">
        <v>2</v>
      </c>
      <c r="H9427">
        <v>0</v>
      </c>
      <c r="I9427">
        <v>0.1741125760648204</v>
      </c>
      <c r="J9427">
        <v>0</v>
      </c>
      <c r="K9427">
        <v>0</v>
      </c>
      <c r="L9427" s="2">
        <v>0</v>
      </c>
      <c r="M9427">
        <v>92.02</v>
      </c>
      <c r="N9427" t="s">
        <v>10236</v>
      </c>
    </row>
    <row r="9428" spans="1:14">
      <c r="A9428" t="s">
        <v>35</v>
      </c>
      <c r="B9428" t="s">
        <v>9388</v>
      </c>
      <c r="C9428">
        <f>"LH100XSR"</f>
        <v>0</v>
      </c>
      <c r="D9428">
        <v>0</v>
      </c>
      <c r="E9428">
        <v>4</v>
      </c>
      <c r="F9428" s="2">
        <v>4</v>
      </c>
      <c r="H9428">
        <v>0</v>
      </c>
      <c r="I9428">
        <v>0.1741125760648204</v>
      </c>
      <c r="J9428">
        <v>0</v>
      </c>
      <c r="K9428">
        <v>0</v>
      </c>
      <c r="L9428" s="2">
        <v>0</v>
      </c>
      <c r="M9428">
        <v>92.03</v>
      </c>
      <c r="N9428" t="s">
        <v>10236</v>
      </c>
    </row>
    <row r="9429" spans="1:14">
      <c r="A9429" t="s">
        <v>35</v>
      </c>
      <c r="B9429" t="s">
        <v>9389</v>
      </c>
      <c r="C9429">
        <f>"LH100XSM"</f>
        <v>0</v>
      </c>
      <c r="D9429">
        <v>0</v>
      </c>
      <c r="E9429">
        <v>4</v>
      </c>
      <c r="F9429" s="2">
        <v>4</v>
      </c>
      <c r="H9429">
        <v>0</v>
      </c>
      <c r="I9429">
        <v>0.1741125760648204</v>
      </c>
      <c r="J9429">
        <v>0</v>
      </c>
      <c r="K9429">
        <v>0</v>
      </c>
      <c r="L9429" s="2">
        <v>0</v>
      </c>
      <c r="M9429">
        <v>92.04000000000001</v>
      </c>
      <c r="N9429" t="s">
        <v>10236</v>
      </c>
    </row>
    <row r="9430" spans="1:14">
      <c r="A9430" t="s">
        <v>35</v>
      </c>
      <c r="B9430" t="s">
        <v>9390</v>
      </c>
      <c r="C9430">
        <f>"LH100XSA"</f>
        <v>0</v>
      </c>
      <c r="D9430">
        <v>0</v>
      </c>
      <c r="E9430">
        <v>7</v>
      </c>
      <c r="F9430" s="2">
        <v>3</v>
      </c>
      <c r="H9430">
        <v>0</v>
      </c>
      <c r="I9430">
        <v>0.1741125760648204</v>
      </c>
      <c r="J9430">
        <v>0</v>
      </c>
      <c r="K9430">
        <v>0</v>
      </c>
      <c r="L9430" s="2">
        <v>0</v>
      </c>
      <c r="M9430">
        <v>92.05</v>
      </c>
      <c r="N9430" t="s">
        <v>10236</v>
      </c>
    </row>
    <row r="9431" spans="1:14">
      <c r="A9431" t="s">
        <v>30</v>
      </c>
      <c r="B9431" t="s">
        <v>9391</v>
      </c>
      <c r="C9431">
        <f>"100690"</f>
        <v>0</v>
      </c>
      <c r="D9431">
        <v>0</v>
      </c>
      <c r="E9431">
        <v>0</v>
      </c>
      <c r="F9431" s="2">
        <v>0</v>
      </c>
      <c r="H9431">
        <v>0</v>
      </c>
      <c r="I9431">
        <v>0.1741125760648204</v>
      </c>
      <c r="J9431">
        <v>0</v>
      </c>
      <c r="K9431">
        <v>0</v>
      </c>
      <c r="L9431" s="2">
        <v>0</v>
      </c>
      <c r="M9431">
        <v>92.06</v>
      </c>
      <c r="N9431" t="s">
        <v>10236</v>
      </c>
    </row>
    <row r="9432" spans="1:14">
      <c r="A9432" t="s">
        <v>30</v>
      </c>
      <c r="B9432" t="s">
        <v>9392</v>
      </c>
      <c r="C9432">
        <f>"100228"</f>
        <v>0</v>
      </c>
      <c r="D9432">
        <v>0</v>
      </c>
      <c r="E9432">
        <v>0</v>
      </c>
      <c r="F9432" s="2">
        <v>0</v>
      </c>
      <c r="H9432">
        <v>0</v>
      </c>
      <c r="I9432">
        <v>0.1741125760648204</v>
      </c>
      <c r="J9432">
        <v>0</v>
      </c>
      <c r="K9432">
        <v>0</v>
      </c>
      <c r="L9432" s="2">
        <v>0</v>
      </c>
      <c r="M9432">
        <v>92.06999999999999</v>
      </c>
      <c r="N9432" t="s">
        <v>10236</v>
      </c>
    </row>
    <row r="9433" spans="1:14">
      <c r="A9433" t="s">
        <v>30</v>
      </c>
      <c r="B9433" t="s">
        <v>9393</v>
      </c>
      <c r="C9433">
        <f>"100579"</f>
        <v>0</v>
      </c>
      <c r="D9433">
        <v>0</v>
      </c>
      <c r="E9433">
        <v>0</v>
      </c>
      <c r="F9433" s="2">
        <v>0</v>
      </c>
      <c r="H9433">
        <v>0</v>
      </c>
      <c r="I9433">
        <v>0.1741125760648204</v>
      </c>
      <c r="J9433">
        <v>0</v>
      </c>
      <c r="K9433">
        <v>0</v>
      </c>
      <c r="L9433" s="2">
        <v>0</v>
      </c>
      <c r="M9433">
        <v>92.08</v>
      </c>
      <c r="N9433" t="s">
        <v>10236</v>
      </c>
    </row>
    <row r="9434" spans="1:14">
      <c r="A9434" t="s">
        <v>30</v>
      </c>
      <c r="B9434" t="s">
        <v>9394</v>
      </c>
      <c r="C9434">
        <f>"100589"</f>
        <v>0</v>
      </c>
      <c r="D9434">
        <v>0</v>
      </c>
      <c r="E9434">
        <v>2</v>
      </c>
      <c r="F9434" s="2">
        <v>52</v>
      </c>
      <c r="H9434">
        <v>0</v>
      </c>
      <c r="I9434">
        <v>0.1741125760648204</v>
      </c>
      <c r="J9434">
        <v>0</v>
      </c>
      <c r="K9434">
        <v>0</v>
      </c>
      <c r="L9434" s="2">
        <v>0</v>
      </c>
      <c r="M9434">
        <v>92.09</v>
      </c>
      <c r="N9434" t="s">
        <v>10236</v>
      </c>
    </row>
    <row r="9435" spans="1:14">
      <c r="A9435" t="s">
        <v>35</v>
      </c>
      <c r="B9435" t="s">
        <v>9395</v>
      </c>
      <c r="C9435">
        <f>"DN09"</f>
        <v>0</v>
      </c>
      <c r="D9435">
        <v>0</v>
      </c>
      <c r="E9435">
        <v>0</v>
      </c>
      <c r="F9435" s="2">
        <v>0</v>
      </c>
      <c r="H9435">
        <v>0</v>
      </c>
      <c r="I9435">
        <v>0.1741125760648204</v>
      </c>
      <c r="J9435">
        <v>0</v>
      </c>
      <c r="K9435">
        <v>0</v>
      </c>
      <c r="L9435" s="2">
        <v>0</v>
      </c>
      <c r="M9435">
        <v>92.09999999999999</v>
      </c>
      <c r="N9435" t="s">
        <v>10236</v>
      </c>
    </row>
    <row r="9436" spans="1:14">
      <c r="A9436" t="s">
        <v>25</v>
      </c>
      <c r="B9436" t="s">
        <v>9396</v>
      </c>
      <c r="C9436">
        <f>"S500"</f>
        <v>0</v>
      </c>
      <c r="D9436">
        <v>0</v>
      </c>
      <c r="E9436">
        <v>0</v>
      </c>
      <c r="F9436" s="2">
        <v>0</v>
      </c>
      <c r="H9436">
        <v>0</v>
      </c>
      <c r="I9436">
        <v>0.1741125760648204</v>
      </c>
      <c r="J9436">
        <v>0</v>
      </c>
      <c r="K9436">
        <v>0</v>
      </c>
      <c r="L9436" s="2">
        <v>0</v>
      </c>
      <c r="M9436">
        <v>92.09999999999999</v>
      </c>
      <c r="N9436" t="s">
        <v>10236</v>
      </c>
    </row>
    <row r="9437" spans="1:14">
      <c r="A9437" t="s">
        <v>25</v>
      </c>
      <c r="B9437" t="s">
        <v>9397</v>
      </c>
      <c r="C9437">
        <f>"S501"</f>
        <v>0</v>
      </c>
      <c r="D9437">
        <v>0</v>
      </c>
      <c r="E9437">
        <v>0</v>
      </c>
      <c r="F9437" s="2">
        <v>0</v>
      </c>
      <c r="H9437">
        <v>0</v>
      </c>
      <c r="I9437">
        <v>0.1741125760648204</v>
      </c>
      <c r="J9437">
        <v>0</v>
      </c>
      <c r="K9437">
        <v>0</v>
      </c>
      <c r="L9437" s="2">
        <v>0</v>
      </c>
      <c r="M9437">
        <v>92.11</v>
      </c>
      <c r="N9437" t="s">
        <v>10236</v>
      </c>
    </row>
    <row r="9438" spans="1:14">
      <c r="A9438" t="s">
        <v>35</v>
      </c>
      <c r="B9438" t="s">
        <v>9398</v>
      </c>
      <c r="C9438">
        <f>"FPL981"</f>
        <v>0</v>
      </c>
      <c r="D9438">
        <v>0</v>
      </c>
      <c r="E9438">
        <v>0</v>
      </c>
      <c r="F9438" s="2">
        <v>0</v>
      </c>
      <c r="H9438">
        <v>0</v>
      </c>
      <c r="I9438">
        <v>0.1741125760648204</v>
      </c>
      <c r="J9438">
        <v>0</v>
      </c>
      <c r="K9438">
        <v>0</v>
      </c>
      <c r="L9438" s="2">
        <v>0</v>
      </c>
      <c r="M9438">
        <v>92.12</v>
      </c>
      <c r="N9438" t="s">
        <v>10236</v>
      </c>
    </row>
    <row r="9439" spans="1:14">
      <c r="A9439" t="s">
        <v>35</v>
      </c>
      <c r="B9439" t="s">
        <v>9399</v>
      </c>
      <c r="C9439">
        <f>"FPL980"</f>
        <v>0</v>
      </c>
      <c r="D9439">
        <v>0</v>
      </c>
      <c r="E9439">
        <v>0</v>
      </c>
      <c r="F9439" s="2">
        <v>0</v>
      </c>
      <c r="H9439">
        <v>0</v>
      </c>
      <c r="I9439">
        <v>0.1741125760648204</v>
      </c>
      <c r="J9439">
        <v>0</v>
      </c>
      <c r="K9439">
        <v>0</v>
      </c>
      <c r="L9439" s="2">
        <v>0</v>
      </c>
      <c r="M9439">
        <v>92.13</v>
      </c>
      <c r="N9439" t="s">
        <v>10236</v>
      </c>
    </row>
    <row r="9440" spans="1:14">
      <c r="A9440" t="s">
        <v>35</v>
      </c>
      <c r="B9440" t="s">
        <v>9400</v>
      </c>
      <c r="C9440">
        <f>"PT015XSMC"</f>
        <v>0</v>
      </c>
      <c r="D9440">
        <v>0</v>
      </c>
      <c r="E9440">
        <v>2</v>
      </c>
      <c r="F9440" s="2">
        <v>1</v>
      </c>
      <c r="H9440">
        <v>0</v>
      </c>
      <c r="I9440">
        <v>0.1741125760648204</v>
      </c>
      <c r="J9440">
        <v>0</v>
      </c>
      <c r="K9440">
        <v>0</v>
      </c>
      <c r="L9440" s="2">
        <v>0</v>
      </c>
      <c r="M9440">
        <v>92.14</v>
      </c>
      <c r="N9440" t="s">
        <v>10236</v>
      </c>
    </row>
    <row r="9441" spans="1:14">
      <c r="A9441" t="s">
        <v>35</v>
      </c>
      <c r="B9441" t="s">
        <v>9401</v>
      </c>
      <c r="C9441">
        <f>"RD016N"</f>
        <v>0</v>
      </c>
      <c r="D9441">
        <v>0</v>
      </c>
      <c r="E9441">
        <v>1</v>
      </c>
      <c r="F9441" s="2">
        <v>14</v>
      </c>
      <c r="H9441">
        <v>0</v>
      </c>
      <c r="I9441">
        <v>0.1741125760648204</v>
      </c>
      <c r="J9441">
        <v>0</v>
      </c>
      <c r="K9441">
        <v>0</v>
      </c>
      <c r="L9441" s="2">
        <v>0</v>
      </c>
      <c r="M9441">
        <v>92.15000000000001</v>
      </c>
      <c r="N9441" t="s">
        <v>10236</v>
      </c>
    </row>
    <row r="9442" spans="1:14">
      <c r="A9442" t="s">
        <v>35</v>
      </c>
      <c r="B9442" t="s">
        <v>9402</v>
      </c>
      <c r="C9442">
        <f>"MF889A"</f>
        <v>0</v>
      </c>
      <c r="D9442">
        <v>0</v>
      </c>
      <c r="E9442">
        <v>0</v>
      </c>
      <c r="F9442" s="2">
        <v>0</v>
      </c>
      <c r="H9442">
        <v>0</v>
      </c>
      <c r="I9442">
        <v>0.1741125760648204</v>
      </c>
      <c r="J9442">
        <v>0</v>
      </c>
      <c r="K9442">
        <v>0</v>
      </c>
      <c r="L9442" s="2">
        <v>0</v>
      </c>
      <c r="M9442">
        <v>92.16</v>
      </c>
      <c r="N9442" t="s">
        <v>10236</v>
      </c>
    </row>
    <row r="9443" spans="1:14">
      <c r="A9443" t="s">
        <v>35</v>
      </c>
      <c r="B9443" t="s">
        <v>9403</v>
      </c>
      <c r="C9443">
        <f>"DR27"</f>
        <v>0</v>
      </c>
      <c r="D9443">
        <v>0</v>
      </c>
      <c r="E9443">
        <v>0</v>
      </c>
      <c r="F9443" s="2">
        <v>0</v>
      </c>
      <c r="H9443">
        <v>0</v>
      </c>
      <c r="I9443">
        <v>0.1741125760648204</v>
      </c>
      <c r="J9443">
        <v>0</v>
      </c>
      <c r="K9443">
        <v>0</v>
      </c>
      <c r="L9443" s="2">
        <v>0</v>
      </c>
      <c r="M9443">
        <v>92.17</v>
      </c>
      <c r="N9443" t="s">
        <v>10236</v>
      </c>
    </row>
    <row r="9444" spans="1:14">
      <c r="A9444" t="s">
        <v>35</v>
      </c>
      <c r="B9444" t="s">
        <v>9404</v>
      </c>
      <c r="C9444">
        <f>"RJ745G"</f>
        <v>0</v>
      </c>
      <c r="D9444">
        <v>0</v>
      </c>
      <c r="E9444">
        <v>0</v>
      </c>
      <c r="F9444" s="2">
        <v>0</v>
      </c>
      <c r="H9444">
        <v>0</v>
      </c>
      <c r="I9444">
        <v>0.1741125760648204</v>
      </c>
      <c r="J9444">
        <v>0</v>
      </c>
      <c r="K9444">
        <v>0</v>
      </c>
      <c r="L9444" s="2">
        <v>0</v>
      </c>
      <c r="M9444">
        <v>92.18000000000001</v>
      </c>
      <c r="N9444" t="s">
        <v>10236</v>
      </c>
    </row>
    <row r="9445" spans="1:14">
      <c r="A9445" t="s">
        <v>35</v>
      </c>
      <c r="B9445" t="s">
        <v>9405</v>
      </c>
      <c r="C9445">
        <f>"RJ745A"</f>
        <v>0</v>
      </c>
      <c r="D9445">
        <v>0</v>
      </c>
      <c r="E9445">
        <v>0</v>
      </c>
      <c r="F9445" s="2">
        <v>0</v>
      </c>
      <c r="H9445">
        <v>0</v>
      </c>
      <c r="I9445">
        <v>0.1741125760648204</v>
      </c>
      <c r="J9445">
        <v>0</v>
      </c>
      <c r="K9445">
        <v>0</v>
      </c>
      <c r="L9445" s="2">
        <v>0</v>
      </c>
      <c r="M9445">
        <v>92.19</v>
      </c>
      <c r="N9445" t="s">
        <v>10236</v>
      </c>
    </row>
    <row r="9446" spans="1:14">
      <c r="A9446" t="s">
        <v>35</v>
      </c>
      <c r="B9446" t="s">
        <v>9406</v>
      </c>
      <c r="C9446">
        <f>"MF895a"</f>
        <v>0</v>
      </c>
      <c r="D9446">
        <v>0</v>
      </c>
      <c r="E9446">
        <v>0</v>
      </c>
      <c r="F9446" s="2">
        <v>0</v>
      </c>
      <c r="H9446">
        <v>0</v>
      </c>
      <c r="I9446">
        <v>0.1741125760648204</v>
      </c>
      <c r="J9446">
        <v>0</v>
      </c>
      <c r="K9446">
        <v>0</v>
      </c>
      <c r="L9446" s="2">
        <v>0</v>
      </c>
      <c r="M9446">
        <v>92.2</v>
      </c>
      <c r="N9446" t="s">
        <v>10236</v>
      </c>
    </row>
    <row r="9447" spans="1:14">
      <c r="A9447" t="s">
        <v>35</v>
      </c>
      <c r="B9447" t="s">
        <v>9407</v>
      </c>
      <c r="C9447">
        <f>"MF897a"</f>
        <v>0</v>
      </c>
      <c r="D9447">
        <v>0</v>
      </c>
      <c r="E9447">
        <v>8</v>
      </c>
      <c r="F9447" s="2">
        <v>13</v>
      </c>
      <c r="H9447">
        <v>0</v>
      </c>
      <c r="I9447">
        <v>0.1741125760648204</v>
      </c>
      <c r="J9447">
        <v>0</v>
      </c>
      <c r="K9447">
        <v>0</v>
      </c>
      <c r="L9447" s="2">
        <v>0</v>
      </c>
      <c r="M9447">
        <v>92.20999999999999</v>
      </c>
      <c r="N9447" t="s">
        <v>10236</v>
      </c>
    </row>
    <row r="9448" spans="1:14">
      <c r="A9448" t="s">
        <v>35</v>
      </c>
      <c r="B9448" t="s">
        <v>9408</v>
      </c>
      <c r="C9448">
        <f>"MF897"</f>
        <v>0</v>
      </c>
      <c r="D9448">
        <v>0</v>
      </c>
      <c r="E9448">
        <v>1</v>
      </c>
      <c r="F9448" s="2">
        <v>13</v>
      </c>
      <c r="H9448">
        <v>0</v>
      </c>
      <c r="I9448">
        <v>0.1741125760648204</v>
      </c>
      <c r="J9448">
        <v>0</v>
      </c>
      <c r="K9448">
        <v>0</v>
      </c>
      <c r="L9448" s="2">
        <v>0</v>
      </c>
      <c r="M9448">
        <v>92.20999999999999</v>
      </c>
      <c r="N9448" t="s">
        <v>10236</v>
      </c>
    </row>
    <row r="9449" spans="1:14">
      <c r="A9449" t="s">
        <v>202</v>
      </c>
      <c r="B9449" t="s">
        <v>9409</v>
      </c>
      <c r="C9449">
        <f>"21002005"</f>
        <v>0</v>
      </c>
      <c r="D9449">
        <v>0</v>
      </c>
      <c r="E9449">
        <v>0</v>
      </c>
      <c r="F9449" s="2">
        <v>0</v>
      </c>
      <c r="H9449">
        <v>0</v>
      </c>
      <c r="I9449">
        <v>0.1741125760648204</v>
      </c>
      <c r="J9449">
        <v>0</v>
      </c>
      <c r="K9449">
        <v>0</v>
      </c>
      <c r="L9449" s="2">
        <v>0</v>
      </c>
      <c r="M9449">
        <v>92.22</v>
      </c>
      <c r="N9449" t="s">
        <v>10236</v>
      </c>
    </row>
    <row r="9450" spans="1:14">
      <c r="A9450" t="s">
        <v>202</v>
      </c>
      <c r="B9450" t="s">
        <v>9410</v>
      </c>
      <c r="C9450">
        <f>"21004008"</f>
        <v>0</v>
      </c>
      <c r="D9450">
        <v>0</v>
      </c>
      <c r="E9450">
        <v>0</v>
      </c>
      <c r="F9450" s="2">
        <v>0</v>
      </c>
      <c r="H9450">
        <v>0</v>
      </c>
      <c r="I9450">
        <v>0.1741125760648204</v>
      </c>
      <c r="J9450">
        <v>0</v>
      </c>
      <c r="K9450">
        <v>0</v>
      </c>
      <c r="L9450" s="2">
        <v>0</v>
      </c>
      <c r="M9450">
        <v>92.23</v>
      </c>
      <c r="N9450" t="s">
        <v>10236</v>
      </c>
    </row>
    <row r="9451" spans="1:14">
      <c r="A9451" t="s">
        <v>35</v>
      </c>
      <c r="B9451" t="s">
        <v>9411</v>
      </c>
      <c r="C9451">
        <f>"FURLC"</f>
        <v>0</v>
      </c>
      <c r="D9451">
        <v>0</v>
      </c>
      <c r="E9451">
        <v>5</v>
      </c>
      <c r="F9451" s="2">
        <v>4</v>
      </c>
      <c r="H9451">
        <v>0</v>
      </c>
      <c r="I9451">
        <v>0.1741125760648204</v>
      </c>
      <c r="J9451">
        <v>0</v>
      </c>
      <c r="K9451">
        <v>0</v>
      </c>
      <c r="L9451" s="2">
        <v>0</v>
      </c>
      <c r="M9451">
        <v>92.23999999999999</v>
      </c>
      <c r="N9451" t="s">
        <v>10236</v>
      </c>
    </row>
    <row r="9452" spans="1:14">
      <c r="A9452" t="s">
        <v>192</v>
      </c>
      <c r="B9452" t="s">
        <v>9412</v>
      </c>
      <c r="C9452">
        <f>"ZVP3237"</f>
        <v>0</v>
      </c>
      <c r="D9452">
        <v>0</v>
      </c>
      <c r="E9452">
        <v>0</v>
      </c>
      <c r="F9452" s="2">
        <v>0</v>
      </c>
      <c r="H9452">
        <v>0</v>
      </c>
      <c r="I9452">
        <v>0.1741125760648204</v>
      </c>
      <c r="J9452">
        <v>0</v>
      </c>
      <c r="K9452">
        <v>0</v>
      </c>
      <c r="L9452" s="2">
        <v>0</v>
      </c>
      <c r="M9452">
        <v>92.25</v>
      </c>
      <c r="N9452" t="s">
        <v>10236</v>
      </c>
    </row>
    <row r="9453" spans="1:14">
      <c r="A9453" t="s">
        <v>192</v>
      </c>
      <c r="B9453" t="s">
        <v>9413</v>
      </c>
      <c r="C9453">
        <f>"ZVP3230"</f>
        <v>0</v>
      </c>
      <c r="D9453">
        <v>0</v>
      </c>
      <c r="E9453">
        <v>0</v>
      </c>
      <c r="F9453" s="2">
        <v>0</v>
      </c>
      <c r="H9453">
        <v>0</v>
      </c>
      <c r="I9453">
        <v>0.1741125760648204</v>
      </c>
      <c r="J9453">
        <v>0</v>
      </c>
      <c r="K9453">
        <v>0</v>
      </c>
      <c r="L9453" s="2">
        <v>0</v>
      </c>
      <c r="M9453">
        <v>92.26000000000001</v>
      </c>
      <c r="N9453" t="s">
        <v>10236</v>
      </c>
    </row>
    <row r="9454" spans="1:14">
      <c r="A9454" t="s">
        <v>194</v>
      </c>
      <c r="B9454" t="s">
        <v>9414</v>
      </c>
      <c r="C9454">
        <f>"400025"</f>
        <v>0</v>
      </c>
      <c r="D9454">
        <v>0</v>
      </c>
      <c r="E9454">
        <v>0</v>
      </c>
      <c r="F9454" s="2">
        <v>0</v>
      </c>
      <c r="H9454">
        <v>0</v>
      </c>
      <c r="I9454">
        <v>0.1741125760648204</v>
      </c>
      <c r="J9454">
        <v>0</v>
      </c>
      <c r="K9454">
        <v>0</v>
      </c>
      <c r="L9454" s="2">
        <v>0</v>
      </c>
      <c r="M9454">
        <v>92.27</v>
      </c>
      <c r="N9454" t="s">
        <v>10236</v>
      </c>
    </row>
    <row r="9455" spans="1:14">
      <c r="A9455" t="s">
        <v>35</v>
      </c>
      <c r="B9455" t="s">
        <v>9415</v>
      </c>
      <c r="C9455">
        <f>"TC777L"</f>
        <v>0</v>
      </c>
      <c r="D9455">
        <v>0</v>
      </c>
      <c r="E9455">
        <v>0</v>
      </c>
      <c r="F9455" s="2">
        <v>0</v>
      </c>
      <c r="H9455">
        <v>0</v>
      </c>
      <c r="I9455">
        <v>0.1741125760648204</v>
      </c>
      <c r="J9455">
        <v>0</v>
      </c>
      <c r="K9455">
        <v>0</v>
      </c>
      <c r="L9455" s="2">
        <v>0</v>
      </c>
      <c r="M9455">
        <v>92.28</v>
      </c>
      <c r="N9455" t="s">
        <v>10236</v>
      </c>
    </row>
    <row r="9456" spans="1:14">
      <c r="A9456" t="s">
        <v>194</v>
      </c>
      <c r="B9456" t="s">
        <v>9416</v>
      </c>
      <c r="C9456">
        <f>"20203020"</f>
        <v>0</v>
      </c>
      <c r="D9456">
        <v>0</v>
      </c>
      <c r="E9456">
        <v>16</v>
      </c>
      <c r="F9456" s="2">
        <v>0</v>
      </c>
      <c r="H9456">
        <v>0</v>
      </c>
      <c r="I9456">
        <v>0.1741125760648204</v>
      </c>
      <c r="J9456">
        <v>0</v>
      </c>
      <c r="K9456">
        <v>0</v>
      </c>
      <c r="L9456" s="2">
        <v>0</v>
      </c>
      <c r="M9456">
        <v>92.29000000000001</v>
      </c>
      <c r="N9456" t="s">
        <v>10236</v>
      </c>
    </row>
    <row r="9457" spans="1:14">
      <c r="A9457" t="s">
        <v>194</v>
      </c>
      <c r="B9457" t="s">
        <v>9417</v>
      </c>
      <c r="C9457">
        <f>"100101"</f>
        <v>0</v>
      </c>
      <c r="D9457">
        <v>0</v>
      </c>
      <c r="E9457">
        <v>0</v>
      </c>
      <c r="F9457" s="2">
        <v>0</v>
      </c>
      <c r="H9457">
        <v>0</v>
      </c>
      <c r="I9457">
        <v>0.1741125760648204</v>
      </c>
      <c r="J9457">
        <v>0</v>
      </c>
      <c r="K9457">
        <v>0</v>
      </c>
      <c r="L9457" s="2">
        <v>0</v>
      </c>
      <c r="M9457">
        <v>92.3</v>
      </c>
      <c r="N9457" t="s">
        <v>10236</v>
      </c>
    </row>
    <row r="9458" spans="1:14">
      <c r="A9458" t="s">
        <v>35</v>
      </c>
      <c r="B9458" t="s">
        <v>9418</v>
      </c>
      <c r="C9458">
        <f>"D412"</f>
        <v>0</v>
      </c>
      <c r="D9458">
        <v>0</v>
      </c>
      <c r="E9458">
        <v>0</v>
      </c>
      <c r="F9458" s="2">
        <v>0</v>
      </c>
      <c r="H9458">
        <v>0</v>
      </c>
      <c r="I9458">
        <v>0.1741125760648204</v>
      </c>
      <c r="J9458">
        <v>0</v>
      </c>
      <c r="K9458">
        <v>0</v>
      </c>
      <c r="L9458" s="2">
        <v>0</v>
      </c>
      <c r="M9458">
        <v>92.31</v>
      </c>
      <c r="N9458" t="s">
        <v>10236</v>
      </c>
    </row>
    <row r="9459" spans="1:14">
      <c r="A9459" t="s">
        <v>24</v>
      </c>
      <c r="B9459" t="s">
        <v>9419</v>
      </c>
      <c r="C9459">
        <f>"1392501"</f>
        <v>0</v>
      </c>
      <c r="D9459">
        <v>0</v>
      </c>
      <c r="E9459">
        <v>0</v>
      </c>
      <c r="F9459" s="2">
        <v>0</v>
      </c>
      <c r="H9459">
        <v>0</v>
      </c>
      <c r="I9459">
        <v>0.1741125760648204</v>
      </c>
      <c r="J9459">
        <v>0</v>
      </c>
      <c r="K9459">
        <v>0</v>
      </c>
      <c r="L9459" s="2">
        <v>0</v>
      </c>
      <c r="M9459">
        <v>92.31999999999999</v>
      </c>
      <c r="N9459" t="s">
        <v>10236</v>
      </c>
    </row>
    <row r="9460" spans="1:14">
      <c r="A9460" t="s">
        <v>35</v>
      </c>
      <c r="B9460" t="s">
        <v>9420</v>
      </c>
      <c r="C9460">
        <f>"28002C"</f>
        <v>0</v>
      </c>
      <c r="D9460">
        <v>0</v>
      </c>
      <c r="E9460">
        <v>0</v>
      </c>
      <c r="F9460" s="2">
        <v>0</v>
      </c>
      <c r="H9460">
        <v>0</v>
      </c>
      <c r="I9460">
        <v>0.1741125760648204</v>
      </c>
      <c r="J9460">
        <v>0</v>
      </c>
      <c r="K9460">
        <v>0</v>
      </c>
      <c r="L9460" s="2">
        <v>0</v>
      </c>
      <c r="M9460">
        <v>92.33</v>
      </c>
      <c r="N9460" t="s">
        <v>10236</v>
      </c>
    </row>
    <row r="9461" spans="1:14">
      <c r="A9461" t="s">
        <v>35</v>
      </c>
      <c r="B9461" t="s">
        <v>9421</v>
      </c>
      <c r="C9461">
        <f>"MF889"</f>
        <v>0</v>
      </c>
      <c r="D9461">
        <v>0</v>
      </c>
      <c r="E9461">
        <v>0</v>
      </c>
      <c r="F9461" s="2">
        <v>0</v>
      </c>
      <c r="H9461">
        <v>0</v>
      </c>
      <c r="I9461">
        <v>0.1741125760648204</v>
      </c>
      <c r="J9461">
        <v>0</v>
      </c>
      <c r="K9461">
        <v>0</v>
      </c>
      <c r="L9461" s="2">
        <v>0</v>
      </c>
      <c r="M9461">
        <v>92.33</v>
      </c>
      <c r="N9461" t="s">
        <v>10236</v>
      </c>
    </row>
    <row r="9462" spans="1:14">
      <c r="A9462" t="s">
        <v>29</v>
      </c>
      <c r="B9462" t="s">
        <v>9422</v>
      </c>
      <c r="C9462">
        <f>"PMF25"</f>
        <v>0</v>
      </c>
      <c r="D9462">
        <v>0</v>
      </c>
      <c r="E9462">
        <v>1</v>
      </c>
      <c r="F9462" s="2">
        <v>2</v>
      </c>
      <c r="H9462">
        <v>0</v>
      </c>
      <c r="I9462">
        <v>0.1741125760648204</v>
      </c>
      <c r="J9462">
        <v>0</v>
      </c>
      <c r="K9462">
        <v>0</v>
      </c>
      <c r="L9462" s="2">
        <v>0</v>
      </c>
      <c r="M9462">
        <v>92.34</v>
      </c>
      <c r="N9462" t="s">
        <v>10236</v>
      </c>
    </row>
    <row r="9463" spans="1:14">
      <c r="A9463" t="s">
        <v>25</v>
      </c>
      <c r="B9463" t="s">
        <v>9423</v>
      </c>
      <c r="C9463">
        <f>"ZVP1031"</f>
        <v>0</v>
      </c>
      <c r="D9463">
        <v>0</v>
      </c>
      <c r="E9463">
        <v>0</v>
      </c>
      <c r="F9463" s="2">
        <v>0</v>
      </c>
      <c r="H9463">
        <v>0</v>
      </c>
      <c r="I9463">
        <v>0.1741125760648204</v>
      </c>
      <c r="J9463">
        <v>0</v>
      </c>
      <c r="K9463">
        <v>0</v>
      </c>
      <c r="L9463" s="2">
        <v>0</v>
      </c>
      <c r="M9463">
        <v>92.34999999999999</v>
      </c>
      <c r="N9463" t="s">
        <v>10236</v>
      </c>
    </row>
    <row r="9464" spans="1:14">
      <c r="A9464" t="s">
        <v>29</v>
      </c>
      <c r="B9464" t="s">
        <v>9424</v>
      </c>
      <c r="C9464">
        <f>"M2KF1"</f>
        <v>0</v>
      </c>
      <c r="D9464">
        <v>0</v>
      </c>
      <c r="E9464">
        <v>70</v>
      </c>
      <c r="F9464" s="2">
        <v>0</v>
      </c>
      <c r="H9464">
        <v>0</v>
      </c>
      <c r="I9464">
        <v>0.1741125760648204</v>
      </c>
      <c r="J9464">
        <v>0</v>
      </c>
      <c r="K9464">
        <v>0</v>
      </c>
      <c r="L9464" s="2">
        <v>0</v>
      </c>
      <c r="M9464">
        <v>92.36</v>
      </c>
      <c r="N9464" t="s">
        <v>10236</v>
      </c>
    </row>
    <row r="9465" spans="1:14">
      <c r="A9465" t="s">
        <v>29</v>
      </c>
      <c r="B9465" t="s">
        <v>9425</v>
      </c>
      <c r="C9465">
        <f>"F3"</f>
        <v>0</v>
      </c>
      <c r="D9465">
        <v>0</v>
      </c>
      <c r="E9465">
        <v>8</v>
      </c>
      <c r="F9465" s="2">
        <v>1</v>
      </c>
      <c r="H9465">
        <v>0</v>
      </c>
      <c r="I9465">
        <v>0.1741125760648204</v>
      </c>
      <c r="J9465">
        <v>0</v>
      </c>
      <c r="K9465">
        <v>0</v>
      </c>
      <c r="L9465" s="2">
        <v>0</v>
      </c>
      <c r="M9465">
        <v>92.37</v>
      </c>
      <c r="N9465" t="s">
        <v>10236</v>
      </c>
    </row>
    <row r="9466" spans="1:14">
      <c r="A9466" t="s">
        <v>29</v>
      </c>
      <c r="B9466" t="s">
        <v>9426</v>
      </c>
      <c r="C9466">
        <f>"F50E"</f>
        <v>0</v>
      </c>
      <c r="D9466">
        <v>0</v>
      </c>
      <c r="E9466">
        <v>0</v>
      </c>
      <c r="F9466" s="2">
        <v>0</v>
      </c>
      <c r="H9466">
        <v>0</v>
      </c>
      <c r="I9466">
        <v>0.1741125760648204</v>
      </c>
      <c r="J9466">
        <v>0</v>
      </c>
      <c r="K9466">
        <v>0</v>
      </c>
      <c r="L9466" s="2">
        <v>0</v>
      </c>
      <c r="M9466">
        <v>92.38</v>
      </c>
      <c r="N9466" t="s">
        <v>10236</v>
      </c>
    </row>
    <row r="9467" spans="1:14">
      <c r="A9467" t="s">
        <v>29</v>
      </c>
      <c r="B9467" t="s">
        <v>9427</v>
      </c>
      <c r="C9467">
        <f>"F30E"</f>
        <v>0</v>
      </c>
      <c r="D9467">
        <v>0</v>
      </c>
      <c r="E9467">
        <v>0</v>
      </c>
      <c r="F9467" s="2">
        <v>0</v>
      </c>
      <c r="H9467">
        <v>0</v>
      </c>
      <c r="I9467">
        <v>0.1741125760648204</v>
      </c>
      <c r="J9467">
        <v>0</v>
      </c>
      <c r="K9467">
        <v>0</v>
      </c>
      <c r="L9467" s="2">
        <v>0</v>
      </c>
      <c r="M9467">
        <v>92.39</v>
      </c>
      <c r="N9467" t="s">
        <v>10236</v>
      </c>
    </row>
    <row r="9468" spans="1:14">
      <c r="A9468" t="s">
        <v>29</v>
      </c>
      <c r="B9468" t="s">
        <v>9428</v>
      </c>
      <c r="C9468">
        <f>"F3M2"</f>
        <v>0</v>
      </c>
      <c r="D9468">
        <v>0</v>
      </c>
      <c r="E9468">
        <v>8</v>
      </c>
      <c r="F9468" s="2">
        <v>1</v>
      </c>
      <c r="H9468">
        <v>0</v>
      </c>
      <c r="I9468">
        <v>0.1741125760648204</v>
      </c>
      <c r="J9468">
        <v>0</v>
      </c>
      <c r="K9468">
        <v>0</v>
      </c>
      <c r="L9468" s="2">
        <v>0</v>
      </c>
      <c r="M9468">
        <v>92.40000000000001</v>
      </c>
      <c r="N9468" t="s">
        <v>10236</v>
      </c>
    </row>
    <row r="9469" spans="1:14">
      <c r="A9469" t="s">
        <v>35</v>
      </c>
      <c r="B9469" t="s">
        <v>9429</v>
      </c>
      <c r="C9469">
        <f>"TC777S"</f>
        <v>0</v>
      </c>
      <c r="D9469">
        <v>0</v>
      </c>
      <c r="E9469">
        <v>0</v>
      </c>
      <c r="F9469" s="2">
        <v>0</v>
      </c>
      <c r="H9469">
        <v>0</v>
      </c>
      <c r="I9469">
        <v>0.1741125760648204</v>
      </c>
      <c r="J9469">
        <v>0</v>
      </c>
      <c r="K9469">
        <v>0</v>
      </c>
      <c r="L9469" s="2">
        <v>0</v>
      </c>
      <c r="M9469">
        <v>92.41</v>
      </c>
      <c r="N9469" t="s">
        <v>10236</v>
      </c>
    </row>
    <row r="9470" spans="1:14">
      <c r="A9470" t="s">
        <v>35</v>
      </c>
      <c r="B9470" t="s">
        <v>9430</v>
      </c>
      <c r="C9470">
        <f>"TC777M"</f>
        <v>0</v>
      </c>
      <c r="D9470">
        <v>0</v>
      </c>
      <c r="E9470">
        <v>0</v>
      </c>
      <c r="F9470" s="2">
        <v>0</v>
      </c>
      <c r="H9470">
        <v>0</v>
      </c>
      <c r="I9470">
        <v>0.1741125760648204</v>
      </c>
      <c r="J9470">
        <v>0</v>
      </c>
      <c r="K9470">
        <v>0</v>
      </c>
      <c r="L9470" s="2">
        <v>0</v>
      </c>
      <c r="M9470">
        <v>92.42</v>
      </c>
      <c r="N9470" t="s">
        <v>10236</v>
      </c>
    </row>
    <row r="9471" spans="1:14">
      <c r="A9471" t="s">
        <v>194</v>
      </c>
      <c r="B9471" t="s">
        <v>9431</v>
      </c>
      <c r="C9471">
        <f>"1110315"</f>
        <v>0</v>
      </c>
      <c r="D9471">
        <v>0</v>
      </c>
      <c r="E9471">
        <v>0</v>
      </c>
      <c r="F9471" s="2">
        <v>0</v>
      </c>
      <c r="H9471">
        <v>0</v>
      </c>
      <c r="I9471">
        <v>0.1741125760648204</v>
      </c>
      <c r="J9471">
        <v>0</v>
      </c>
      <c r="K9471">
        <v>0</v>
      </c>
      <c r="L9471" s="2">
        <v>0</v>
      </c>
      <c r="M9471">
        <v>92.43000000000001</v>
      </c>
      <c r="N9471" t="s">
        <v>10236</v>
      </c>
    </row>
    <row r="9472" spans="1:14">
      <c r="A9472" t="s">
        <v>35</v>
      </c>
      <c r="B9472" t="s">
        <v>9432</v>
      </c>
      <c r="C9472">
        <f>"HH309LCE"</f>
        <v>0</v>
      </c>
      <c r="D9472">
        <v>0</v>
      </c>
      <c r="E9472">
        <v>0</v>
      </c>
      <c r="F9472" s="2">
        <v>0</v>
      </c>
      <c r="H9472">
        <v>0</v>
      </c>
      <c r="I9472">
        <v>0.1741125760648204</v>
      </c>
      <c r="J9472">
        <v>0</v>
      </c>
      <c r="K9472">
        <v>0</v>
      </c>
      <c r="L9472" s="2">
        <v>0</v>
      </c>
      <c r="M9472">
        <v>92.44</v>
      </c>
      <c r="N9472" t="s">
        <v>10236</v>
      </c>
    </row>
    <row r="9473" spans="1:14">
      <c r="A9473" t="s">
        <v>25</v>
      </c>
      <c r="B9473" t="s">
        <v>9433</v>
      </c>
      <c r="C9473">
        <f>"S499"</f>
        <v>0</v>
      </c>
      <c r="D9473">
        <v>0</v>
      </c>
      <c r="E9473">
        <v>1</v>
      </c>
      <c r="F9473" s="2">
        <v>3</v>
      </c>
      <c r="H9473">
        <v>0</v>
      </c>
      <c r="I9473">
        <v>0.1741125760648204</v>
      </c>
      <c r="J9473">
        <v>0</v>
      </c>
      <c r="K9473">
        <v>0</v>
      </c>
      <c r="L9473" s="2">
        <v>0</v>
      </c>
      <c r="M9473">
        <v>92.45</v>
      </c>
      <c r="N9473" t="s">
        <v>10236</v>
      </c>
    </row>
    <row r="9474" spans="1:14">
      <c r="A9474" t="s">
        <v>25</v>
      </c>
      <c r="B9474" t="s">
        <v>9434</v>
      </c>
      <c r="C9474">
        <f>"W7028"</f>
        <v>0</v>
      </c>
      <c r="D9474">
        <v>0</v>
      </c>
      <c r="E9474">
        <v>0</v>
      </c>
      <c r="F9474" s="2">
        <v>0</v>
      </c>
      <c r="H9474">
        <v>0</v>
      </c>
      <c r="I9474">
        <v>0.1741125760648204</v>
      </c>
      <c r="J9474">
        <v>0</v>
      </c>
      <c r="K9474">
        <v>0</v>
      </c>
      <c r="L9474" s="2">
        <v>0</v>
      </c>
      <c r="M9474">
        <v>92.45</v>
      </c>
      <c r="N9474" t="s">
        <v>10236</v>
      </c>
    </row>
    <row r="9475" spans="1:14">
      <c r="A9475" t="s">
        <v>25</v>
      </c>
      <c r="B9475" t="s">
        <v>9435</v>
      </c>
      <c r="C9475">
        <f>"S497"</f>
        <v>0</v>
      </c>
      <c r="D9475">
        <v>0</v>
      </c>
      <c r="E9475">
        <v>0</v>
      </c>
      <c r="F9475" s="2">
        <v>0</v>
      </c>
      <c r="H9475">
        <v>0</v>
      </c>
      <c r="I9475">
        <v>0.1741125760648204</v>
      </c>
      <c r="J9475">
        <v>0</v>
      </c>
      <c r="K9475">
        <v>0</v>
      </c>
      <c r="L9475" s="2">
        <v>0</v>
      </c>
      <c r="M9475">
        <v>92.45999999999999</v>
      </c>
      <c r="N9475" t="s">
        <v>10236</v>
      </c>
    </row>
    <row r="9476" spans="1:14">
      <c r="A9476" t="s">
        <v>35</v>
      </c>
      <c r="B9476" t="s">
        <v>9436</v>
      </c>
      <c r="C9476">
        <f>"WD118361"</f>
        <v>0</v>
      </c>
      <c r="D9476">
        <v>0</v>
      </c>
      <c r="E9476">
        <v>0</v>
      </c>
      <c r="F9476" s="2">
        <v>0</v>
      </c>
      <c r="H9476">
        <v>0</v>
      </c>
      <c r="I9476">
        <v>0.1741125760648204</v>
      </c>
      <c r="J9476">
        <v>0</v>
      </c>
      <c r="K9476">
        <v>0</v>
      </c>
      <c r="L9476" s="2">
        <v>0</v>
      </c>
      <c r="M9476">
        <v>92.47</v>
      </c>
      <c r="N9476" t="s">
        <v>10236</v>
      </c>
    </row>
    <row r="9477" spans="1:14">
      <c r="A9477" t="s">
        <v>35</v>
      </c>
      <c r="B9477" t="s">
        <v>9437</v>
      </c>
      <c r="C9477">
        <f>"SP02310"</f>
        <v>0</v>
      </c>
      <c r="D9477">
        <v>0</v>
      </c>
      <c r="E9477">
        <v>2</v>
      </c>
      <c r="F9477" s="2">
        <v>2</v>
      </c>
      <c r="H9477">
        <v>0</v>
      </c>
      <c r="I9477">
        <v>0.1741125760648204</v>
      </c>
      <c r="J9477">
        <v>0</v>
      </c>
      <c r="K9477">
        <v>0</v>
      </c>
      <c r="L9477" s="2">
        <v>0</v>
      </c>
      <c r="M9477">
        <v>92.48</v>
      </c>
      <c r="N9477" t="s">
        <v>10236</v>
      </c>
    </row>
    <row r="9478" spans="1:14">
      <c r="A9478" t="s">
        <v>35</v>
      </c>
      <c r="B9478" t="s">
        <v>9438</v>
      </c>
      <c r="C9478">
        <f>"SP02315"</f>
        <v>0</v>
      </c>
      <c r="D9478">
        <v>0</v>
      </c>
      <c r="E9478">
        <v>0</v>
      </c>
      <c r="F9478" s="2">
        <v>0</v>
      </c>
      <c r="H9478">
        <v>0</v>
      </c>
      <c r="I9478">
        <v>0.1741125760648204</v>
      </c>
      <c r="J9478">
        <v>0</v>
      </c>
      <c r="K9478">
        <v>0</v>
      </c>
      <c r="L9478" s="2">
        <v>0</v>
      </c>
      <c r="M9478">
        <v>92.48999999999999</v>
      </c>
      <c r="N9478" t="s">
        <v>10236</v>
      </c>
    </row>
    <row r="9479" spans="1:14">
      <c r="A9479" t="s">
        <v>25</v>
      </c>
      <c r="B9479" t="s">
        <v>9439</v>
      </c>
      <c r="C9479">
        <f>"PD20014RM"</f>
        <v>0</v>
      </c>
      <c r="D9479">
        <v>0</v>
      </c>
      <c r="E9479">
        <v>2</v>
      </c>
      <c r="F9479" s="2">
        <v>0</v>
      </c>
      <c r="H9479">
        <v>0</v>
      </c>
      <c r="I9479">
        <v>0.1741125760648204</v>
      </c>
      <c r="J9479">
        <v>0</v>
      </c>
      <c r="K9479">
        <v>0</v>
      </c>
      <c r="L9479" s="2">
        <v>0</v>
      </c>
      <c r="M9479">
        <v>92.5</v>
      </c>
      <c r="N9479" t="s">
        <v>10236</v>
      </c>
    </row>
    <row r="9480" spans="1:14">
      <c r="A9480" t="s">
        <v>25</v>
      </c>
      <c r="B9480" t="s">
        <v>9439</v>
      </c>
      <c r="C9480">
        <f>"PD20014RL"</f>
        <v>0</v>
      </c>
      <c r="D9480">
        <v>0</v>
      </c>
      <c r="E9480">
        <v>12</v>
      </c>
      <c r="F9480" s="2">
        <v>3</v>
      </c>
      <c r="H9480">
        <v>0</v>
      </c>
      <c r="I9480">
        <v>0.1741125760648204</v>
      </c>
      <c r="J9480">
        <v>0</v>
      </c>
      <c r="K9480">
        <v>0</v>
      </c>
      <c r="L9480" s="2">
        <v>0</v>
      </c>
      <c r="M9480">
        <v>92.51000000000001</v>
      </c>
      <c r="N9480" t="s">
        <v>10236</v>
      </c>
    </row>
    <row r="9481" spans="1:14">
      <c r="A9481" t="s">
        <v>25</v>
      </c>
      <c r="B9481" t="s">
        <v>9379</v>
      </c>
      <c r="C9481">
        <f>"PD20014NXS"</f>
        <v>0</v>
      </c>
      <c r="D9481">
        <v>0</v>
      </c>
      <c r="E9481">
        <v>2</v>
      </c>
      <c r="F9481" s="2">
        <v>0</v>
      </c>
      <c r="H9481">
        <v>0</v>
      </c>
      <c r="I9481">
        <v>0.1741125760648204</v>
      </c>
      <c r="J9481">
        <v>0</v>
      </c>
      <c r="K9481">
        <v>0</v>
      </c>
      <c r="L9481" s="2">
        <v>0</v>
      </c>
      <c r="M9481">
        <v>92.52</v>
      </c>
      <c r="N9481" t="s">
        <v>10236</v>
      </c>
    </row>
    <row r="9482" spans="1:14">
      <c r="A9482" t="s">
        <v>25</v>
      </c>
      <c r="B9482" t="s">
        <v>9379</v>
      </c>
      <c r="C9482">
        <f>"PD20014NS"</f>
        <v>0</v>
      </c>
      <c r="D9482">
        <v>0</v>
      </c>
      <c r="E9482">
        <v>8</v>
      </c>
      <c r="F9482" s="2">
        <v>0</v>
      </c>
      <c r="H9482">
        <v>0</v>
      </c>
      <c r="I9482">
        <v>0.1741125760648204</v>
      </c>
      <c r="J9482">
        <v>0</v>
      </c>
      <c r="K9482">
        <v>0</v>
      </c>
      <c r="L9482" s="2">
        <v>0</v>
      </c>
      <c r="M9482">
        <v>92.53</v>
      </c>
      <c r="N9482" t="s">
        <v>10236</v>
      </c>
    </row>
    <row r="9483" spans="1:14">
      <c r="A9483" t="s">
        <v>37</v>
      </c>
      <c r="B9483" t="s">
        <v>9440</v>
      </c>
      <c r="C9483">
        <f>"5005041"</f>
        <v>0</v>
      </c>
      <c r="D9483">
        <v>0</v>
      </c>
      <c r="E9483">
        <v>0</v>
      </c>
      <c r="F9483" s="2">
        <v>0</v>
      </c>
      <c r="H9483">
        <v>0</v>
      </c>
      <c r="I9483">
        <v>0.1741125760648204</v>
      </c>
      <c r="J9483">
        <v>0</v>
      </c>
      <c r="K9483">
        <v>0</v>
      </c>
      <c r="L9483" s="2">
        <v>0</v>
      </c>
      <c r="M9483">
        <v>92.54000000000001</v>
      </c>
      <c r="N9483" t="s">
        <v>10236</v>
      </c>
    </row>
    <row r="9484" spans="1:14">
      <c r="A9484" t="s">
        <v>37</v>
      </c>
      <c r="B9484" t="s">
        <v>9441</v>
      </c>
      <c r="C9484">
        <f>"5005524"</f>
        <v>0</v>
      </c>
      <c r="D9484">
        <v>0</v>
      </c>
      <c r="E9484">
        <v>0</v>
      </c>
      <c r="F9484" s="2">
        <v>0</v>
      </c>
      <c r="H9484">
        <v>0</v>
      </c>
      <c r="I9484">
        <v>0.1741125760648204</v>
      </c>
      <c r="J9484">
        <v>0</v>
      </c>
      <c r="K9484">
        <v>0</v>
      </c>
      <c r="L9484" s="2">
        <v>0</v>
      </c>
      <c r="M9484">
        <v>92.55</v>
      </c>
      <c r="N9484" t="s">
        <v>10236</v>
      </c>
    </row>
    <row r="9485" spans="1:14">
      <c r="A9485" t="s">
        <v>37</v>
      </c>
      <c r="B9485" t="s">
        <v>9442</v>
      </c>
      <c r="C9485">
        <f>"5005044"</f>
        <v>0</v>
      </c>
      <c r="D9485">
        <v>0</v>
      </c>
      <c r="E9485">
        <v>0</v>
      </c>
      <c r="F9485" s="2">
        <v>0</v>
      </c>
      <c r="H9485">
        <v>0</v>
      </c>
      <c r="I9485">
        <v>0.1741125760648204</v>
      </c>
      <c r="J9485">
        <v>0</v>
      </c>
      <c r="K9485">
        <v>0</v>
      </c>
      <c r="L9485" s="2">
        <v>0</v>
      </c>
      <c r="M9485">
        <v>92.56</v>
      </c>
      <c r="N9485" t="s">
        <v>10236</v>
      </c>
    </row>
    <row r="9486" spans="1:14">
      <c r="A9486" t="s">
        <v>35</v>
      </c>
      <c r="B9486" t="s">
        <v>9443</v>
      </c>
      <c r="C9486">
        <f>"H60015XLROS"</f>
        <v>0</v>
      </c>
      <c r="D9486">
        <v>0</v>
      </c>
      <c r="E9486">
        <v>0</v>
      </c>
      <c r="F9486" s="2">
        <v>0</v>
      </c>
      <c r="H9486">
        <v>0</v>
      </c>
      <c r="I9486">
        <v>0.1741125760648204</v>
      </c>
      <c r="J9486">
        <v>0</v>
      </c>
      <c r="K9486">
        <v>0</v>
      </c>
      <c r="L9486" s="2">
        <v>0</v>
      </c>
      <c r="M9486">
        <v>92.56999999999999</v>
      </c>
      <c r="N9486" t="s">
        <v>10236</v>
      </c>
    </row>
    <row r="9487" spans="1:14">
      <c r="A9487" t="s">
        <v>37</v>
      </c>
      <c r="B9487" t="s">
        <v>9444</v>
      </c>
      <c r="C9487">
        <f>"517100"</f>
        <v>0</v>
      </c>
      <c r="D9487">
        <v>0</v>
      </c>
      <c r="E9487">
        <v>0</v>
      </c>
      <c r="F9487" s="2">
        <v>0</v>
      </c>
      <c r="H9487">
        <v>0</v>
      </c>
      <c r="I9487">
        <v>0.1741125760648204</v>
      </c>
      <c r="J9487">
        <v>0</v>
      </c>
      <c r="K9487">
        <v>0</v>
      </c>
      <c r="L9487" s="2">
        <v>0</v>
      </c>
      <c r="M9487">
        <v>92.56999999999999</v>
      </c>
      <c r="N9487" t="s">
        <v>10236</v>
      </c>
    </row>
    <row r="9488" spans="1:14">
      <c r="A9488" t="s">
        <v>37</v>
      </c>
      <c r="B9488" t="s">
        <v>9445</v>
      </c>
      <c r="C9488">
        <f>"573800"</f>
        <v>0</v>
      </c>
      <c r="D9488">
        <v>0</v>
      </c>
      <c r="E9488">
        <v>0</v>
      </c>
      <c r="F9488" s="2">
        <v>0</v>
      </c>
      <c r="H9488">
        <v>0</v>
      </c>
      <c r="I9488">
        <v>0.1741125760648204</v>
      </c>
      <c r="J9488">
        <v>0</v>
      </c>
      <c r="K9488">
        <v>0</v>
      </c>
      <c r="L9488" s="2">
        <v>0</v>
      </c>
      <c r="M9488">
        <v>92.58</v>
      </c>
      <c r="N9488" t="s">
        <v>10236</v>
      </c>
    </row>
    <row r="9489" spans="1:14">
      <c r="A9489" t="s">
        <v>37</v>
      </c>
      <c r="B9489" t="s">
        <v>9446</v>
      </c>
      <c r="C9489">
        <f>"573810"</f>
        <v>0</v>
      </c>
      <c r="D9489">
        <v>0</v>
      </c>
      <c r="E9489">
        <v>6</v>
      </c>
      <c r="F9489" s="2">
        <v>1</v>
      </c>
      <c r="H9489">
        <v>0</v>
      </c>
      <c r="I9489">
        <v>0.1741125760648204</v>
      </c>
      <c r="J9489">
        <v>0</v>
      </c>
      <c r="K9489">
        <v>0</v>
      </c>
      <c r="L9489" s="2">
        <v>0</v>
      </c>
      <c r="M9489">
        <v>92.59</v>
      </c>
      <c r="N9489" t="s">
        <v>10236</v>
      </c>
    </row>
    <row r="9490" spans="1:14">
      <c r="A9490" t="s">
        <v>37</v>
      </c>
      <c r="B9490" t="s">
        <v>9447</v>
      </c>
      <c r="C9490">
        <f>"55213221"</f>
        <v>0</v>
      </c>
      <c r="D9490">
        <v>0</v>
      </c>
      <c r="E9490">
        <v>11</v>
      </c>
      <c r="F9490" s="2">
        <v>0</v>
      </c>
      <c r="H9490">
        <v>0</v>
      </c>
      <c r="I9490">
        <v>0.1741125760648204</v>
      </c>
      <c r="J9490">
        <v>0</v>
      </c>
      <c r="K9490">
        <v>0</v>
      </c>
      <c r="L9490" s="2">
        <v>0</v>
      </c>
      <c r="M9490">
        <v>92.59999999999999</v>
      </c>
      <c r="N9490" t="s">
        <v>10236</v>
      </c>
    </row>
    <row r="9491" spans="1:14">
      <c r="A9491" t="s">
        <v>24</v>
      </c>
      <c r="B9491" t="s">
        <v>9448</v>
      </c>
      <c r="C9491">
        <f>"60142"</f>
        <v>0</v>
      </c>
      <c r="D9491">
        <v>0</v>
      </c>
      <c r="E9491">
        <v>18</v>
      </c>
      <c r="F9491" s="2">
        <v>14</v>
      </c>
      <c r="H9491">
        <v>0</v>
      </c>
      <c r="I9491">
        <v>0.1741125760648204</v>
      </c>
      <c r="J9491">
        <v>0</v>
      </c>
      <c r="K9491">
        <v>0</v>
      </c>
      <c r="L9491" s="2">
        <v>0</v>
      </c>
      <c r="M9491">
        <v>92.61</v>
      </c>
      <c r="N9491" t="s">
        <v>10236</v>
      </c>
    </row>
    <row r="9492" spans="1:14">
      <c r="A9492" t="s">
        <v>35</v>
      </c>
      <c r="B9492" t="s">
        <v>9449</v>
      </c>
      <c r="C9492">
        <f>"HH095SMO"</f>
        <v>0</v>
      </c>
      <c r="D9492">
        <v>0</v>
      </c>
      <c r="E9492">
        <v>0</v>
      </c>
      <c r="F9492" s="2">
        <v>0</v>
      </c>
      <c r="H9492">
        <v>0</v>
      </c>
      <c r="I9492">
        <v>0.1741125760648204</v>
      </c>
      <c r="J9492">
        <v>0</v>
      </c>
      <c r="K9492">
        <v>0</v>
      </c>
      <c r="L9492" s="2">
        <v>0</v>
      </c>
      <c r="M9492">
        <v>92.62</v>
      </c>
      <c r="N9492" t="s">
        <v>10236</v>
      </c>
    </row>
    <row r="9493" spans="1:14">
      <c r="A9493" t="s">
        <v>35</v>
      </c>
      <c r="B9493" t="s">
        <v>9450</v>
      </c>
      <c r="C9493">
        <f>"HH095SFU"</f>
        <v>0</v>
      </c>
      <c r="D9493">
        <v>0</v>
      </c>
      <c r="E9493">
        <v>0</v>
      </c>
      <c r="F9493" s="2">
        <v>0</v>
      </c>
      <c r="H9493">
        <v>0</v>
      </c>
      <c r="I9493">
        <v>0.1741125760648204</v>
      </c>
      <c r="J9493">
        <v>0</v>
      </c>
      <c r="K9493">
        <v>0</v>
      </c>
      <c r="L9493" s="2">
        <v>0</v>
      </c>
      <c r="M9493">
        <v>92.63</v>
      </c>
      <c r="N9493" t="s">
        <v>10236</v>
      </c>
    </row>
    <row r="9494" spans="1:14">
      <c r="A9494" t="s">
        <v>35</v>
      </c>
      <c r="B9494" t="s">
        <v>9451</v>
      </c>
      <c r="C9494">
        <f>"HH095SCE"</f>
        <v>0</v>
      </c>
      <c r="D9494">
        <v>0</v>
      </c>
      <c r="E9494">
        <v>1</v>
      </c>
      <c r="F9494" s="2">
        <v>8</v>
      </c>
      <c r="H9494">
        <v>0</v>
      </c>
      <c r="I9494">
        <v>0.1741125760648204</v>
      </c>
      <c r="J9494">
        <v>0</v>
      </c>
      <c r="K9494">
        <v>0</v>
      </c>
      <c r="L9494" s="2">
        <v>0</v>
      </c>
      <c r="M9494">
        <v>92.64</v>
      </c>
      <c r="N9494" t="s">
        <v>10236</v>
      </c>
    </row>
    <row r="9495" spans="1:14">
      <c r="A9495" t="s">
        <v>25</v>
      </c>
      <c r="B9495" t="s">
        <v>9286</v>
      </c>
      <c r="C9495">
        <f>"PD20014AS"</f>
        <v>0</v>
      </c>
      <c r="D9495">
        <v>0</v>
      </c>
      <c r="E9495">
        <v>0</v>
      </c>
      <c r="F9495" s="2">
        <v>0</v>
      </c>
      <c r="H9495">
        <v>0</v>
      </c>
      <c r="I9495">
        <v>0.1741125760648204</v>
      </c>
      <c r="J9495">
        <v>0</v>
      </c>
      <c r="K9495">
        <v>0</v>
      </c>
      <c r="L9495" s="2">
        <v>0</v>
      </c>
      <c r="M9495">
        <v>92.65000000000001</v>
      </c>
      <c r="N9495" t="s">
        <v>10236</v>
      </c>
    </row>
    <row r="9496" spans="1:14">
      <c r="A9496" t="s">
        <v>30</v>
      </c>
      <c r="B9496" t="s">
        <v>9452</v>
      </c>
      <c r="C9496">
        <f>"100598"</f>
        <v>0</v>
      </c>
      <c r="D9496">
        <v>0</v>
      </c>
      <c r="E9496">
        <v>2</v>
      </c>
      <c r="F9496" s="2">
        <v>12</v>
      </c>
      <c r="H9496">
        <v>0</v>
      </c>
      <c r="I9496">
        <v>0.1741125760648204</v>
      </c>
      <c r="J9496">
        <v>0</v>
      </c>
      <c r="K9496">
        <v>0</v>
      </c>
      <c r="L9496" s="2">
        <v>0</v>
      </c>
      <c r="M9496">
        <v>92.66</v>
      </c>
      <c r="N9496" t="s">
        <v>10236</v>
      </c>
    </row>
    <row r="9497" spans="1:14">
      <c r="A9497" t="s">
        <v>30</v>
      </c>
      <c r="B9497" t="s">
        <v>9453</v>
      </c>
      <c r="C9497">
        <f>"101317"</f>
        <v>0</v>
      </c>
      <c r="D9497">
        <v>0</v>
      </c>
      <c r="E9497">
        <v>0</v>
      </c>
      <c r="F9497" s="2">
        <v>0</v>
      </c>
      <c r="H9497">
        <v>0</v>
      </c>
      <c r="I9497">
        <v>0.1741125760648204</v>
      </c>
      <c r="J9497">
        <v>0</v>
      </c>
      <c r="K9497">
        <v>0</v>
      </c>
      <c r="L9497" s="2">
        <v>0</v>
      </c>
      <c r="M9497">
        <v>92.67</v>
      </c>
      <c r="N9497" t="s">
        <v>10236</v>
      </c>
    </row>
    <row r="9498" spans="1:14">
      <c r="A9498" t="s">
        <v>30</v>
      </c>
      <c r="B9498" t="s">
        <v>9454</v>
      </c>
      <c r="C9498">
        <f>"101396"</f>
        <v>0</v>
      </c>
      <c r="D9498">
        <v>0</v>
      </c>
      <c r="E9498">
        <v>0</v>
      </c>
      <c r="F9498" s="2">
        <v>0</v>
      </c>
      <c r="H9498">
        <v>0</v>
      </c>
      <c r="I9498">
        <v>0.1741125760648204</v>
      </c>
      <c r="J9498">
        <v>0</v>
      </c>
      <c r="K9498">
        <v>0</v>
      </c>
      <c r="L9498" s="2">
        <v>0</v>
      </c>
      <c r="M9498">
        <v>92.68000000000001</v>
      </c>
      <c r="N9498" t="s">
        <v>10236</v>
      </c>
    </row>
    <row r="9499" spans="1:14">
      <c r="A9499" t="s">
        <v>30</v>
      </c>
      <c r="B9499" t="s">
        <v>9455</v>
      </c>
      <c r="C9499">
        <f>"100684"</f>
        <v>0</v>
      </c>
      <c r="D9499">
        <v>0</v>
      </c>
      <c r="E9499">
        <v>0</v>
      </c>
      <c r="F9499" s="2">
        <v>0</v>
      </c>
      <c r="H9499">
        <v>0</v>
      </c>
      <c r="I9499">
        <v>0.1741125760648204</v>
      </c>
      <c r="J9499">
        <v>0</v>
      </c>
      <c r="K9499">
        <v>0</v>
      </c>
      <c r="L9499" s="2">
        <v>0</v>
      </c>
      <c r="M9499">
        <v>92.68000000000001</v>
      </c>
      <c r="N9499" t="s">
        <v>10236</v>
      </c>
    </row>
    <row r="9500" spans="1:14">
      <c r="A9500" t="s">
        <v>30</v>
      </c>
      <c r="B9500" t="s">
        <v>9456</v>
      </c>
      <c r="C9500">
        <f>"100604"</f>
        <v>0</v>
      </c>
      <c r="D9500">
        <v>0</v>
      </c>
      <c r="E9500">
        <v>3</v>
      </c>
      <c r="F9500" s="2">
        <v>11</v>
      </c>
      <c r="H9500">
        <v>0</v>
      </c>
      <c r="I9500">
        <v>0.1741125760648204</v>
      </c>
      <c r="J9500">
        <v>0</v>
      </c>
      <c r="K9500">
        <v>0</v>
      </c>
      <c r="L9500" s="2">
        <v>0</v>
      </c>
      <c r="M9500">
        <v>92.69</v>
      </c>
      <c r="N9500" t="s">
        <v>10236</v>
      </c>
    </row>
    <row r="9501" spans="1:14">
      <c r="A9501" t="s">
        <v>30</v>
      </c>
      <c r="B9501" t="s">
        <v>9457</v>
      </c>
      <c r="C9501">
        <f>"100605"</f>
        <v>0</v>
      </c>
      <c r="D9501">
        <v>0</v>
      </c>
      <c r="E9501">
        <v>0</v>
      </c>
      <c r="F9501" s="2">
        <v>0</v>
      </c>
      <c r="H9501">
        <v>0</v>
      </c>
      <c r="I9501">
        <v>0.1741125760648204</v>
      </c>
      <c r="J9501">
        <v>0</v>
      </c>
      <c r="K9501">
        <v>0</v>
      </c>
      <c r="L9501" s="2">
        <v>0</v>
      </c>
      <c r="M9501">
        <v>92.7</v>
      </c>
      <c r="N9501" t="s">
        <v>10236</v>
      </c>
    </row>
    <row r="9502" spans="1:14">
      <c r="A9502" t="s">
        <v>37</v>
      </c>
      <c r="B9502" t="s">
        <v>9458</v>
      </c>
      <c r="C9502">
        <f>"5005521"</f>
        <v>0</v>
      </c>
      <c r="D9502">
        <v>0</v>
      </c>
      <c r="E9502">
        <v>0</v>
      </c>
      <c r="F9502" s="2">
        <v>0</v>
      </c>
      <c r="H9502">
        <v>0</v>
      </c>
      <c r="I9502">
        <v>0.1741125760648204</v>
      </c>
      <c r="J9502">
        <v>0</v>
      </c>
      <c r="K9502">
        <v>0</v>
      </c>
      <c r="L9502" s="2">
        <v>0</v>
      </c>
      <c r="M9502">
        <v>92.70999999999999</v>
      </c>
      <c r="N9502" t="s">
        <v>10236</v>
      </c>
    </row>
    <row r="9503" spans="1:14">
      <c r="A9503" t="s">
        <v>35</v>
      </c>
      <c r="B9503" t="s">
        <v>9459</v>
      </c>
      <c r="C9503">
        <f>"H60015XLROJ"</f>
        <v>0</v>
      </c>
      <c r="D9503">
        <v>0</v>
      </c>
      <c r="E9503">
        <v>1</v>
      </c>
      <c r="F9503" s="2">
        <v>6</v>
      </c>
      <c r="H9503">
        <v>0</v>
      </c>
      <c r="I9503">
        <v>0.1741125760648204</v>
      </c>
      <c r="J9503">
        <v>0</v>
      </c>
      <c r="K9503">
        <v>0</v>
      </c>
      <c r="L9503" s="2">
        <v>0</v>
      </c>
      <c r="M9503">
        <v>92.72</v>
      </c>
      <c r="N9503" t="s">
        <v>10236</v>
      </c>
    </row>
    <row r="9504" spans="1:14">
      <c r="A9504" t="s">
        <v>35</v>
      </c>
      <c r="B9504" t="s">
        <v>9460</v>
      </c>
      <c r="C9504">
        <f>"HH309MNA"</f>
        <v>0</v>
      </c>
      <c r="D9504">
        <v>0</v>
      </c>
      <c r="E9504">
        <v>0</v>
      </c>
      <c r="F9504" s="2">
        <v>0</v>
      </c>
      <c r="H9504">
        <v>0</v>
      </c>
      <c r="I9504">
        <v>0.1741125760648204</v>
      </c>
      <c r="J9504">
        <v>0</v>
      </c>
      <c r="K9504">
        <v>0</v>
      </c>
      <c r="L9504" s="2">
        <v>0</v>
      </c>
      <c r="M9504">
        <v>92.73</v>
      </c>
      <c r="N9504" t="s">
        <v>10236</v>
      </c>
    </row>
    <row r="9505" spans="1:14">
      <c r="A9505" t="s">
        <v>35</v>
      </c>
      <c r="B9505" t="s">
        <v>9461</v>
      </c>
      <c r="C9505">
        <f>"HH309MO"</f>
        <v>0</v>
      </c>
      <c r="D9505">
        <v>0</v>
      </c>
      <c r="E9505">
        <v>0</v>
      </c>
      <c r="F9505" s="2">
        <v>0</v>
      </c>
      <c r="H9505">
        <v>0</v>
      </c>
      <c r="I9505">
        <v>0.1741125760648204</v>
      </c>
      <c r="J9505">
        <v>0</v>
      </c>
      <c r="K9505">
        <v>0</v>
      </c>
      <c r="L9505" s="2">
        <v>0</v>
      </c>
      <c r="M9505">
        <v>92.73999999999999</v>
      </c>
      <c r="N9505" t="s">
        <v>10236</v>
      </c>
    </row>
    <row r="9506" spans="1:14">
      <c r="A9506" t="s">
        <v>35</v>
      </c>
      <c r="B9506" t="s">
        <v>9462</v>
      </c>
      <c r="C9506">
        <f>"HH309MGR"</f>
        <v>0</v>
      </c>
      <c r="D9506">
        <v>0</v>
      </c>
      <c r="E9506">
        <v>0</v>
      </c>
      <c r="F9506" s="2">
        <v>0</v>
      </c>
      <c r="H9506">
        <v>0</v>
      </c>
      <c r="I9506">
        <v>0.1741125760648204</v>
      </c>
      <c r="J9506">
        <v>0</v>
      </c>
      <c r="K9506">
        <v>0</v>
      </c>
      <c r="L9506" s="2">
        <v>0</v>
      </c>
      <c r="M9506">
        <v>92.75</v>
      </c>
      <c r="N9506" t="s">
        <v>10236</v>
      </c>
    </row>
    <row r="9507" spans="1:14">
      <c r="A9507" t="s">
        <v>35</v>
      </c>
      <c r="B9507" t="s">
        <v>9463</v>
      </c>
      <c r="C9507">
        <f>"HH309MCE"</f>
        <v>0</v>
      </c>
      <c r="D9507">
        <v>0</v>
      </c>
      <c r="E9507">
        <v>0</v>
      </c>
      <c r="F9507" s="2">
        <v>0</v>
      </c>
      <c r="H9507">
        <v>0</v>
      </c>
      <c r="I9507">
        <v>0.1741125760648204</v>
      </c>
      <c r="J9507">
        <v>0</v>
      </c>
      <c r="K9507">
        <v>0</v>
      </c>
      <c r="L9507" s="2">
        <v>0</v>
      </c>
      <c r="M9507">
        <v>92.76000000000001</v>
      </c>
      <c r="N9507" t="s">
        <v>10236</v>
      </c>
    </row>
    <row r="9508" spans="1:14">
      <c r="A9508" t="s">
        <v>35</v>
      </c>
      <c r="B9508" t="s">
        <v>1332</v>
      </c>
      <c r="C9508">
        <f>"W008SR"</f>
        <v>0</v>
      </c>
      <c r="D9508">
        <v>0</v>
      </c>
      <c r="E9508">
        <v>0</v>
      </c>
      <c r="F9508" s="2">
        <v>0</v>
      </c>
      <c r="H9508">
        <v>0</v>
      </c>
      <c r="I9508">
        <v>0.1741125760648204</v>
      </c>
      <c r="J9508">
        <v>0</v>
      </c>
      <c r="K9508">
        <v>0</v>
      </c>
      <c r="L9508" s="2">
        <v>0</v>
      </c>
      <c r="M9508">
        <v>92.77</v>
      </c>
      <c r="N9508" t="s">
        <v>10236</v>
      </c>
    </row>
    <row r="9509" spans="1:14">
      <c r="A9509" t="s">
        <v>35</v>
      </c>
      <c r="B9509" t="s">
        <v>1332</v>
      </c>
      <c r="C9509">
        <f>"W008XSR"</f>
        <v>0</v>
      </c>
      <c r="D9509">
        <v>0</v>
      </c>
      <c r="E9509">
        <v>0</v>
      </c>
      <c r="F9509" s="2">
        <v>0</v>
      </c>
      <c r="H9509">
        <v>0</v>
      </c>
      <c r="I9509">
        <v>0.1741125760648204</v>
      </c>
      <c r="J9509">
        <v>0</v>
      </c>
      <c r="K9509">
        <v>0</v>
      </c>
      <c r="L9509" s="2">
        <v>0</v>
      </c>
      <c r="M9509">
        <v>92.78</v>
      </c>
      <c r="N9509" t="s">
        <v>10236</v>
      </c>
    </row>
    <row r="9510" spans="1:14">
      <c r="A9510" t="s">
        <v>35</v>
      </c>
      <c r="B9510" t="s">
        <v>1360</v>
      </c>
      <c r="C9510">
        <f>"W008MN"</f>
        <v>0</v>
      </c>
      <c r="D9510">
        <v>0</v>
      </c>
      <c r="E9510">
        <v>0</v>
      </c>
      <c r="F9510" s="2">
        <v>0</v>
      </c>
      <c r="H9510">
        <v>0</v>
      </c>
      <c r="I9510">
        <v>0.1741125760648204</v>
      </c>
      <c r="J9510">
        <v>0</v>
      </c>
      <c r="K9510">
        <v>0</v>
      </c>
      <c r="L9510" s="2">
        <v>0</v>
      </c>
      <c r="M9510">
        <v>92.79000000000001</v>
      </c>
      <c r="N9510" t="s">
        <v>10236</v>
      </c>
    </row>
    <row r="9511" spans="1:14">
      <c r="A9511" t="s">
        <v>35</v>
      </c>
      <c r="B9511" t="s">
        <v>1360</v>
      </c>
      <c r="C9511">
        <f>"W008SN"</f>
        <v>0</v>
      </c>
      <c r="D9511">
        <v>0</v>
      </c>
      <c r="E9511">
        <v>0</v>
      </c>
      <c r="F9511" s="2">
        <v>0</v>
      </c>
      <c r="H9511">
        <v>0</v>
      </c>
      <c r="I9511">
        <v>0.1741125760648204</v>
      </c>
      <c r="J9511">
        <v>0</v>
      </c>
      <c r="K9511">
        <v>0</v>
      </c>
      <c r="L9511" s="2">
        <v>0</v>
      </c>
      <c r="M9511">
        <v>92.8</v>
      </c>
      <c r="N9511" t="s">
        <v>10236</v>
      </c>
    </row>
    <row r="9512" spans="1:14">
      <c r="A9512" t="s">
        <v>35</v>
      </c>
      <c r="B9512" t="s">
        <v>9464</v>
      </c>
      <c r="C9512">
        <f>"W008MG"</f>
        <v>0</v>
      </c>
      <c r="D9512">
        <v>0</v>
      </c>
      <c r="E9512">
        <v>0</v>
      </c>
      <c r="F9512" s="2">
        <v>0</v>
      </c>
      <c r="H9512">
        <v>0</v>
      </c>
      <c r="I9512">
        <v>0.1741125760648204</v>
      </c>
      <c r="J9512">
        <v>0</v>
      </c>
      <c r="K9512">
        <v>0</v>
      </c>
      <c r="L9512" s="2">
        <v>0</v>
      </c>
      <c r="M9512">
        <v>92.8</v>
      </c>
      <c r="N9512" t="s">
        <v>10236</v>
      </c>
    </row>
    <row r="9513" spans="1:14">
      <c r="A9513" t="s">
        <v>35</v>
      </c>
      <c r="B9513" t="s">
        <v>9464</v>
      </c>
      <c r="C9513">
        <f>"W008SG"</f>
        <v>0</v>
      </c>
      <c r="D9513">
        <v>0</v>
      </c>
      <c r="E9513">
        <v>0</v>
      </c>
      <c r="F9513" s="2">
        <v>0</v>
      </c>
      <c r="H9513">
        <v>0</v>
      </c>
      <c r="I9513">
        <v>0.1741125760648204</v>
      </c>
      <c r="J9513">
        <v>0</v>
      </c>
      <c r="K9513">
        <v>0</v>
      </c>
      <c r="L9513" s="2">
        <v>0</v>
      </c>
      <c r="M9513">
        <v>92.81</v>
      </c>
      <c r="N9513" t="s">
        <v>10236</v>
      </c>
    </row>
    <row r="9514" spans="1:14">
      <c r="A9514" t="s">
        <v>35</v>
      </c>
      <c r="B9514" t="s">
        <v>9464</v>
      </c>
      <c r="C9514">
        <f>"W008XSG"</f>
        <v>0</v>
      </c>
      <c r="D9514">
        <v>0</v>
      </c>
      <c r="E9514">
        <v>0</v>
      </c>
      <c r="F9514" s="2">
        <v>0</v>
      </c>
      <c r="H9514">
        <v>0</v>
      </c>
      <c r="I9514">
        <v>0.1741125760648204</v>
      </c>
      <c r="J9514">
        <v>0</v>
      </c>
      <c r="K9514">
        <v>0</v>
      </c>
      <c r="L9514" s="2">
        <v>0</v>
      </c>
      <c r="M9514">
        <v>92.81999999999999</v>
      </c>
      <c r="N9514" t="s">
        <v>10236</v>
      </c>
    </row>
    <row r="9515" spans="1:14">
      <c r="A9515" t="s">
        <v>35</v>
      </c>
      <c r="B9515" t="s">
        <v>9464</v>
      </c>
      <c r="C9515">
        <f>"W008XXSG"</f>
        <v>0</v>
      </c>
      <c r="D9515">
        <v>0</v>
      </c>
      <c r="E9515">
        <v>0</v>
      </c>
      <c r="F9515" s="2">
        <v>0</v>
      </c>
      <c r="H9515">
        <v>0</v>
      </c>
      <c r="I9515">
        <v>0.1741125760648204</v>
      </c>
      <c r="J9515">
        <v>0</v>
      </c>
      <c r="K9515">
        <v>0</v>
      </c>
      <c r="L9515" s="2">
        <v>0</v>
      </c>
      <c r="M9515">
        <v>92.83</v>
      </c>
      <c r="N9515" t="s">
        <v>10236</v>
      </c>
    </row>
    <row r="9516" spans="1:14">
      <c r="A9516" t="s">
        <v>35</v>
      </c>
      <c r="B9516" t="s">
        <v>9465</v>
      </c>
      <c r="C9516">
        <f>"W008MA"</f>
        <v>0</v>
      </c>
      <c r="D9516">
        <v>0</v>
      </c>
      <c r="E9516">
        <v>0</v>
      </c>
      <c r="F9516" s="2">
        <v>0</v>
      </c>
      <c r="H9516">
        <v>0</v>
      </c>
      <c r="I9516">
        <v>0.1741125760648204</v>
      </c>
      <c r="J9516">
        <v>0</v>
      </c>
      <c r="K9516">
        <v>0</v>
      </c>
      <c r="L9516" s="2">
        <v>0</v>
      </c>
      <c r="M9516">
        <v>92.84</v>
      </c>
      <c r="N9516" t="s">
        <v>10236</v>
      </c>
    </row>
    <row r="9517" spans="1:14">
      <c r="A9517" t="s">
        <v>35</v>
      </c>
      <c r="B9517" t="s">
        <v>9466</v>
      </c>
      <c r="C9517">
        <f>"HH309LGR"</f>
        <v>0</v>
      </c>
      <c r="D9517">
        <v>0</v>
      </c>
      <c r="E9517">
        <v>1</v>
      </c>
      <c r="F9517" s="2">
        <v>6</v>
      </c>
      <c r="H9517">
        <v>0</v>
      </c>
      <c r="I9517">
        <v>0.1741125760648204</v>
      </c>
      <c r="J9517">
        <v>0</v>
      </c>
      <c r="K9517">
        <v>0</v>
      </c>
      <c r="L9517" s="2">
        <v>0</v>
      </c>
      <c r="M9517">
        <v>92.84999999999999</v>
      </c>
      <c r="N9517" t="s">
        <v>10236</v>
      </c>
    </row>
    <row r="9518" spans="1:14">
      <c r="A9518" t="s">
        <v>35</v>
      </c>
      <c r="B9518" t="s">
        <v>9465</v>
      </c>
      <c r="C9518">
        <f>"W008XSA"</f>
        <v>0</v>
      </c>
      <c r="D9518">
        <v>0</v>
      </c>
      <c r="E9518">
        <v>0</v>
      </c>
      <c r="F9518" s="2">
        <v>0</v>
      </c>
      <c r="H9518">
        <v>0</v>
      </c>
      <c r="I9518">
        <v>0.1741125760648204</v>
      </c>
      <c r="J9518">
        <v>0</v>
      </c>
      <c r="K9518">
        <v>0</v>
      </c>
      <c r="L9518" s="2">
        <v>0</v>
      </c>
      <c r="M9518">
        <v>92.86</v>
      </c>
      <c r="N9518" t="s">
        <v>10236</v>
      </c>
    </row>
    <row r="9519" spans="1:14">
      <c r="A9519" t="s">
        <v>35</v>
      </c>
      <c r="B9519" t="s">
        <v>9465</v>
      </c>
      <c r="C9519">
        <f>"W008XXSA"</f>
        <v>0</v>
      </c>
      <c r="D9519">
        <v>0</v>
      </c>
      <c r="E9519">
        <v>0</v>
      </c>
      <c r="F9519" s="2">
        <v>0</v>
      </c>
      <c r="H9519">
        <v>0</v>
      </c>
      <c r="I9519">
        <v>0.1741125760648204</v>
      </c>
      <c r="J9519">
        <v>0</v>
      </c>
      <c r="K9519">
        <v>0</v>
      </c>
      <c r="L9519" s="2">
        <v>0</v>
      </c>
      <c r="M9519">
        <v>92.87</v>
      </c>
      <c r="N9519" t="s">
        <v>10236</v>
      </c>
    </row>
    <row r="9520" spans="1:14">
      <c r="A9520" t="s">
        <v>32</v>
      </c>
      <c r="B9520" t="s">
        <v>9467</v>
      </c>
      <c r="C9520">
        <f>"CHE069"</f>
        <v>0</v>
      </c>
      <c r="D9520">
        <v>0</v>
      </c>
      <c r="E9520">
        <v>0</v>
      </c>
      <c r="F9520" s="2">
        <v>0</v>
      </c>
      <c r="H9520">
        <v>0</v>
      </c>
      <c r="I9520">
        <v>0.1741125760648204</v>
      </c>
      <c r="J9520">
        <v>0</v>
      </c>
      <c r="K9520">
        <v>0</v>
      </c>
      <c r="L9520" s="2">
        <v>0</v>
      </c>
      <c r="M9520">
        <v>92.88</v>
      </c>
      <c r="N9520" t="s">
        <v>10236</v>
      </c>
    </row>
    <row r="9521" spans="1:14">
      <c r="A9521" t="s">
        <v>35</v>
      </c>
      <c r="B9521" t="s">
        <v>9468</v>
      </c>
      <c r="C9521">
        <f>"CTB85VEF"</f>
        <v>0</v>
      </c>
      <c r="D9521">
        <v>0</v>
      </c>
      <c r="E9521">
        <v>0</v>
      </c>
      <c r="F9521" s="2">
        <v>0</v>
      </c>
      <c r="H9521">
        <v>0</v>
      </c>
      <c r="I9521">
        <v>0.1741125760648204</v>
      </c>
      <c r="J9521">
        <v>0</v>
      </c>
      <c r="K9521">
        <v>0</v>
      </c>
      <c r="L9521" s="2">
        <v>0</v>
      </c>
      <c r="M9521">
        <v>92.89</v>
      </c>
      <c r="N9521" t="s">
        <v>10236</v>
      </c>
    </row>
    <row r="9522" spans="1:14">
      <c r="A9522" t="s">
        <v>35</v>
      </c>
      <c r="B9522" t="s">
        <v>9469</v>
      </c>
      <c r="C9522">
        <f>"CTB85NA"</f>
        <v>0</v>
      </c>
      <c r="D9522">
        <v>0</v>
      </c>
      <c r="E9522">
        <v>0</v>
      </c>
      <c r="F9522" s="2">
        <v>0</v>
      </c>
      <c r="H9522">
        <v>0</v>
      </c>
      <c r="I9522">
        <v>0.1741125760648204</v>
      </c>
      <c r="J9522">
        <v>0</v>
      </c>
      <c r="K9522">
        <v>0</v>
      </c>
      <c r="L9522" s="2">
        <v>0</v>
      </c>
      <c r="M9522">
        <v>92.90000000000001</v>
      </c>
      <c r="N9522" t="s">
        <v>10236</v>
      </c>
    </row>
    <row r="9523" spans="1:14">
      <c r="A9523" t="s">
        <v>35</v>
      </c>
      <c r="B9523" t="s">
        <v>9470</v>
      </c>
      <c r="C9523">
        <f>"CTB85MO"</f>
        <v>0</v>
      </c>
      <c r="D9523">
        <v>0</v>
      </c>
      <c r="E9523">
        <v>0</v>
      </c>
      <c r="F9523" s="2">
        <v>0</v>
      </c>
      <c r="H9523">
        <v>0</v>
      </c>
      <c r="I9523">
        <v>0.1741125760648204</v>
      </c>
      <c r="J9523">
        <v>0</v>
      </c>
      <c r="K9523">
        <v>0</v>
      </c>
      <c r="L9523" s="2">
        <v>0</v>
      </c>
      <c r="M9523">
        <v>92.91</v>
      </c>
      <c r="N9523" t="s">
        <v>10236</v>
      </c>
    </row>
    <row r="9524" spans="1:14">
      <c r="A9524" t="s">
        <v>35</v>
      </c>
      <c r="B9524" t="s">
        <v>9471</v>
      </c>
      <c r="C9524">
        <f>"CTB85CE"</f>
        <v>0</v>
      </c>
      <c r="D9524">
        <v>0</v>
      </c>
      <c r="E9524">
        <v>0</v>
      </c>
      <c r="F9524" s="2">
        <v>0</v>
      </c>
      <c r="H9524">
        <v>0</v>
      </c>
      <c r="I9524">
        <v>0.1741125760648204</v>
      </c>
      <c r="J9524">
        <v>0</v>
      </c>
      <c r="K9524">
        <v>0</v>
      </c>
      <c r="L9524" s="2">
        <v>0</v>
      </c>
      <c r="M9524">
        <v>92.92</v>
      </c>
      <c r="N9524" t="s">
        <v>10236</v>
      </c>
    </row>
    <row r="9525" spans="1:14">
      <c r="A9525" t="s">
        <v>35</v>
      </c>
      <c r="B9525" t="s">
        <v>9472</v>
      </c>
      <c r="C9525">
        <f>"CTB85"</f>
        <v>0</v>
      </c>
      <c r="D9525">
        <v>0</v>
      </c>
      <c r="E9525">
        <v>0</v>
      </c>
      <c r="F9525" s="2">
        <v>0</v>
      </c>
      <c r="H9525">
        <v>0</v>
      </c>
      <c r="I9525">
        <v>0.1741125760648204</v>
      </c>
      <c r="J9525">
        <v>0</v>
      </c>
      <c r="K9525">
        <v>0</v>
      </c>
      <c r="L9525" s="2">
        <v>0</v>
      </c>
      <c r="M9525">
        <v>92.92</v>
      </c>
      <c r="N9525" t="s">
        <v>10236</v>
      </c>
    </row>
    <row r="9526" spans="1:14">
      <c r="A9526" t="s">
        <v>32</v>
      </c>
      <c r="B9526" t="s">
        <v>9473</v>
      </c>
      <c r="C9526">
        <f>"AZM00242"</f>
        <v>0</v>
      </c>
      <c r="D9526">
        <v>0</v>
      </c>
      <c r="E9526">
        <v>0</v>
      </c>
      <c r="F9526" s="2">
        <v>0</v>
      </c>
      <c r="H9526">
        <v>0</v>
      </c>
      <c r="I9526">
        <v>0.1741125760648204</v>
      </c>
      <c r="J9526">
        <v>0</v>
      </c>
      <c r="K9526">
        <v>0</v>
      </c>
      <c r="L9526" s="2">
        <v>0</v>
      </c>
      <c r="M9526">
        <v>92.93000000000001</v>
      </c>
      <c r="N9526" t="s">
        <v>10236</v>
      </c>
    </row>
    <row r="9527" spans="1:14">
      <c r="A9527" t="s">
        <v>218</v>
      </c>
      <c r="B9527" t="s">
        <v>9474</v>
      </c>
      <c r="C9527">
        <f>"TESTDIAG07"</f>
        <v>0</v>
      </c>
      <c r="D9527">
        <v>0</v>
      </c>
      <c r="E9527">
        <v>0</v>
      </c>
      <c r="F9527" s="2">
        <v>0</v>
      </c>
      <c r="H9527">
        <v>0</v>
      </c>
      <c r="I9527">
        <v>0.1741125760648204</v>
      </c>
      <c r="J9527">
        <v>0</v>
      </c>
      <c r="K9527">
        <v>0</v>
      </c>
      <c r="L9527" s="2">
        <v>0</v>
      </c>
      <c r="M9527">
        <v>92.94</v>
      </c>
      <c r="N9527" t="s">
        <v>10236</v>
      </c>
    </row>
    <row r="9528" spans="1:14">
      <c r="A9528" t="s">
        <v>37</v>
      </c>
      <c r="B9528" t="s">
        <v>9475</v>
      </c>
      <c r="C9528">
        <f>"576060"</f>
        <v>0</v>
      </c>
      <c r="D9528">
        <v>0</v>
      </c>
      <c r="E9528">
        <v>56</v>
      </c>
      <c r="F9528" s="2">
        <v>1</v>
      </c>
      <c r="H9528">
        <v>0</v>
      </c>
      <c r="I9528">
        <v>0.1741125760648204</v>
      </c>
      <c r="J9528">
        <v>0</v>
      </c>
      <c r="K9528">
        <v>0</v>
      </c>
      <c r="L9528" s="2">
        <v>0</v>
      </c>
      <c r="M9528">
        <v>92.95</v>
      </c>
      <c r="N9528" t="s">
        <v>10236</v>
      </c>
    </row>
    <row r="9529" spans="1:14">
      <c r="A9529" t="s">
        <v>37</v>
      </c>
      <c r="B9529" t="s">
        <v>9476</v>
      </c>
      <c r="C9529">
        <f>"576085"</f>
        <v>0</v>
      </c>
      <c r="D9529">
        <v>0</v>
      </c>
      <c r="E9529">
        <v>0</v>
      </c>
      <c r="F9529" s="2">
        <v>0</v>
      </c>
      <c r="H9529">
        <v>0</v>
      </c>
      <c r="I9529">
        <v>0.1741125760648204</v>
      </c>
      <c r="J9529">
        <v>0</v>
      </c>
      <c r="K9529">
        <v>0</v>
      </c>
      <c r="L9529" s="2">
        <v>0</v>
      </c>
      <c r="M9529">
        <v>92.95999999999999</v>
      </c>
      <c r="N9529" t="s">
        <v>10236</v>
      </c>
    </row>
    <row r="9530" spans="1:14">
      <c r="A9530" t="s">
        <v>35</v>
      </c>
      <c r="B9530" t="s">
        <v>9477</v>
      </c>
      <c r="C9530">
        <f>"HH095LMO"</f>
        <v>0</v>
      </c>
      <c r="D9530">
        <v>0</v>
      </c>
      <c r="E9530">
        <v>1</v>
      </c>
      <c r="F9530" s="2">
        <v>10</v>
      </c>
      <c r="H9530">
        <v>0</v>
      </c>
      <c r="I9530">
        <v>0.1741125760648204</v>
      </c>
      <c r="J9530">
        <v>0</v>
      </c>
      <c r="K9530">
        <v>0</v>
      </c>
      <c r="L9530" s="2">
        <v>0</v>
      </c>
      <c r="M9530">
        <v>92.97</v>
      </c>
      <c r="N9530" t="s">
        <v>10236</v>
      </c>
    </row>
    <row r="9531" spans="1:14">
      <c r="A9531" t="s">
        <v>35</v>
      </c>
      <c r="B9531" t="s">
        <v>9478</v>
      </c>
      <c r="C9531">
        <f>"HH095LFU"</f>
        <v>0</v>
      </c>
      <c r="D9531">
        <v>0</v>
      </c>
      <c r="E9531">
        <v>0</v>
      </c>
      <c r="F9531" s="2">
        <v>0</v>
      </c>
      <c r="H9531">
        <v>0</v>
      </c>
      <c r="I9531">
        <v>0.1741125760648204</v>
      </c>
      <c r="J9531">
        <v>0</v>
      </c>
      <c r="K9531">
        <v>0</v>
      </c>
      <c r="L9531" s="2">
        <v>0</v>
      </c>
      <c r="M9531">
        <v>92.98</v>
      </c>
      <c r="N9531" t="s">
        <v>10236</v>
      </c>
    </row>
    <row r="9532" spans="1:14">
      <c r="A9532" t="s">
        <v>35</v>
      </c>
      <c r="B9532" t="s">
        <v>9479</v>
      </c>
      <c r="C9532">
        <f>"HH095LCE"</f>
        <v>0</v>
      </c>
      <c r="D9532">
        <v>0</v>
      </c>
      <c r="E9532">
        <v>1</v>
      </c>
      <c r="F9532" s="2">
        <v>9</v>
      </c>
      <c r="H9532">
        <v>0</v>
      </c>
      <c r="I9532">
        <v>0.1741125760648204</v>
      </c>
      <c r="J9532">
        <v>0</v>
      </c>
      <c r="K9532">
        <v>0</v>
      </c>
      <c r="L9532" s="2">
        <v>0</v>
      </c>
      <c r="M9532">
        <v>92.98999999999999</v>
      </c>
      <c r="N9532" t="s">
        <v>10236</v>
      </c>
    </row>
    <row r="9533" spans="1:14">
      <c r="A9533" t="s">
        <v>35</v>
      </c>
      <c r="B9533" t="s">
        <v>9465</v>
      </c>
      <c r="C9533">
        <f>"W008SA"</f>
        <v>0</v>
      </c>
      <c r="D9533">
        <v>0</v>
      </c>
      <c r="E9533">
        <v>0</v>
      </c>
      <c r="F9533" s="2">
        <v>0</v>
      </c>
      <c r="H9533">
        <v>0</v>
      </c>
      <c r="I9533">
        <v>0.1741125760648204</v>
      </c>
      <c r="J9533">
        <v>0</v>
      </c>
      <c r="K9533">
        <v>0</v>
      </c>
      <c r="L9533" s="2">
        <v>0</v>
      </c>
      <c r="M9533">
        <v>93</v>
      </c>
      <c r="N9533" t="s">
        <v>10236</v>
      </c>
    </row>
    <row r="9534" spans="1:14">
      <c r="A9534" t="s">
        <v>25</v>
      </c>
      <c r="B9534" t="s">
        <v>9480</v>
      </c>
      <c r="C9534">
        <f>"RJ738"</f>
        <v>0</v>
      </c>
      <c r="D9534">
        <v>0</v>
      </c>
      <c r="E9534">
        <v>0</v>
      </c>
      <c r="F9534" s="2">
        <v>0</v>
      </c>
      <c r="H9534">
        <v>0</v>
      </c>
      <c r="I9534">
        <v>0.1741125760648204</v>
      </c>
      <c r="J9534">
        <v>0</v>
      </c>
      <c r="K9534">
        <v>0</v>
      </c>
      <c r="L9534" s="2">
        <v>0</v>
      </c>
      <c r="M9534">
        <v>93.01000000000001</v>
      </c>
      <c r="N9534" t="s">
        <v>10236</v>
      </c>
    </row>
    <row r="9535" spans="1:14">
      <c r="A9535" t="s">
        <v>28</v>
      </c>
      <c r="B9535" t="s">
        <v>9481</v>
      </c>
      <c r="C9535">
        <f>"ECLE24KG"</f>
        <v>0</v>
      </c>
      <c r="D9535">
        <v>0</v>
      </c>
      <c r="E9535">
        <v>0</v>
      </c>
      <c r="F9535" s="2">
        <v>0</v>
      </c>
      <c r="H9535">
        <v>0</v>
      </c>
      <c r="I9535">
        <v>0.1741125760648204</v>
      </c>
      <c r="J9535">
        <v>0</v>
      </c>
      <c r="K9535">
        <v>0</v>
      </c>
      <c r="L9535" s="2">
        <v>0</v>
      </c>
      <c r="M9535">
        <v>93.02</v>
      </c>
      <c r="N9535" t="s">
        <v>10236</v>
      </c>
    </row>
    <row r="9536" spans="1:14">
      <c r="A9536" t="s">
        <v>28</v>
      </c>
      <c r="B9536" t="s">
        <v>379</v>
      </c>
      <c r="C9536">
        <f>"ECLE"</f>
        <v>0</v>
      </c>
      <c r="D9536">
        <v>0</v>
      </c>
      <c r="E9536">
        <v>0</v>
      </c>
      <c r="F9536" s="2">
        <v>0</v>
      </c>
      <c r="H9536">
        <v>0</v>
      </c>
      <c r="I9536">
        <v>0.1741125760648204</v>
      </c>
      <c r="J9536">
        <v>0</v>
      </c>
      <c r="K9536">
        <v>0</v>
      </c>
      <c r="L9536" s="2">
        <v>0</v>
      </c>
      <c r="M9536">
        <v>93.03</v>
      </c>
      <c r="N9536" t="s">
        <v>10236</v>
      </c>
    </row>
    <row r="9537" spans="1:14">
      <c r="A9537" t="s">
        <v>28</v>
      </c>
      <c r="B9537" t="s">
        <v>9482</v>
      </c>
      <c r="C9537">
        <f>"BTAL24KG"</f>
        <v>0</v>
      </c>
      <c r="D9537">
        <v>0</v>
      </c>
      <c r="E9537">
        <v>0</v>
      </c>
      <c r="F9537" s="2">
        <v>0</v>
      </c>
      <c r="H9537">
        <v>0</v>
      </c>
      <c r="I9537">
        <v>0.1741125760648204</v>
      </c>
      <c r="J9537">
        <v>0</v>
      </c>
      <c r="K9537">
        <v>0</v>
      </c>
      <c r="L9537" s="2">
        <v>0</v>
      </c>
      <c r="M9537">
        <v>93.04000000000001</v>
      </c>
      <c r="N9537" t="s">
        <v>10236</v>
      </c>
    </row>
    <row r="9538" spans="1:14">
      <c r="A9538" t="s">
        <v>28</v>
      </c>
      <c r="B9538" t="s">
        <v>782</v>
      </c>
      <c r="C9538">
        <f>"BTAL"</f>
        <v>0</v>
      </c>
      <c r="D9538">
        <v>0</v>
      </c>
      <c r="E9538">
        <v>0</v>
      </c>
      <c r="F9538" s="2">
        <v>0</v>
      </c>
      <c r="H9538">
        <v>0</v>
      </c>
      <c r="I9538">
        <v>0.1741125760648204</v>
      </c>
      <c r="J9538">
        <v>0</v>
      </c>
      <c r="K9538">
        <v>0</v>
      </c>
      <c r="L9538" s="2">
        <v>0</v>
      </c>
      <c r="M9538">
        <v>93.04000000000001</v>
      </c>
      <c r="N9538" t="s">
        <v>10236</v>
      </c>
    </row>
    <row r="9539" spans="1:14">
      <c r="A9539" t="s">
        <v>28</v>
      </c>
      <c r="B9539" t="s">
        <v>782</v>
      </c>
      <c r="C9539">
        <f>"BTLA"</f>
        <v>0</v>
      </c>
      <c r="D9539">
        <v>0</v>
      </c>
      <c r="E9539">
        <v>0</v>
      </c>
      <c r="F9539" s="2">
        <v>0</v>
      </c>
      <c r="H9539">
        <v>0</v>
      </c>
      <c r="I9539">
        <v>0.1741125760648204</v>
      </c>
      <c r="J9539">
        <v>0</v>
      </c>
      <c r="K9539">
        <v>0</v>
      </c>
      <c r="L9539" s="2">
        <v>0</v>
      </c>
      <c r="M9539">
        <v>93.05</v>
      </c>
      <c r="N9539" t="s">
        <v>10236</v>
      </c>
    </row>
    <row r="9540" spans="1:14">
      <c r="A9540" t="s">
        <v>35</v>
      </c>
      <c r="B9540" t="s">
        <v>9483</v>
      </c>
      <c r="C9540">
        <f>"JW9026RS"</f>
        <v>0</v>
      </c>
      <c r="D9540">
        <v>0</v>
      </c>
      <c r="E9540">
        <v>4</v>
      </c>
      <c r="F9540" s="2">
        <v>0</v>
      </c>
      <c r="H9540">
        <v>0</v>
      </c>
      <c r="I9540">
        <v>0.1741125760648204</v>
      </c>
      <c r="J9540">
        <v>0</v>
      </c>
      <c r="K9540">
        <v>0</v>
      </c>
      <c r="L9540" s="2">
        <v>0</v>
      </c>
      <c r="M9540">
        <v>93.06</v>
      </c>
      <c r="N9540" t="s">
        <v>10236</v>
      </c>
    </row>
    <row r="9541" spans="1:14">
      <c r="A9541" t="s">
        <v>35</v>
      </c>
      <c r="B9541" t="s">
        <v>9484</v>
      </c>
      <c r="C9541">
        <f>"JW9026RJ"</f>
        <v>0</v>
      </c>
      <c r="D9541">
        <v>0</v>
      </c>
      <c r="E9541">
        <v>4</v>
      </c>
      <c r="F9541" s="2">
        <v>0</v>
      </c>
      <c r="H9541">
        <v>0</v>
      </c>
      <c r="I9541">
        <v>0.1741125760648204</v>
      </c>
      <c r="J9541">
        <v>0</v>
      </c>
      <c r="K9541">
        <v>0</v>
      </c>
      <c r="L9541" s="2">
        <v>0</v>
      </c>
      <c r="M9541">
        <v>93.06999999999999</v>
      </c>
      <c r="N9541" t="s">
        <v>10236</v>
      </c>
    </row>
    <row r="9542" spans="1:14">
      <c r="A9542" t="s">
        <v>35</v>
      </c>
      <c r="B9542" t="s">
        <v>9485</v>
      </c>
      <c r="C9542">
        <f>"JW9026A"</f>
        <v>0</v>
      </c>
      <c r="D9542">
        <v>0</v>
      </c>
      <c r="E9542">
        <v>6</v>
      </c>
      <c r="F9542" s="2">
        <v>0</v>
      </c>
      <c r="H9542">
        <v>0</v>
      </c>
      <c r="I9542">
        <v>0.1741125760648204</v>
      </c>
      <c r="J9542">
        <v>0</v>
      </c>
      <c r="K9542">
        <v>0</v>
      </c>
      <c r="L9542" s="2">
        <v>0</v>
      </c>
      <c r="M9542">
        <v>93.08</v>
      </c>
      <c r="N9542" t="s">
        <v>10236</v>
      </c>
    </row>
    <row r="9543" spans="1:14">
      <c r="A9543" t="s">
        <v>35</v>
      </c>
      <c r="B9543" t="s">
        <v>9486</v>
      </c>
      <c r="C9543">
        <f>"HH095XSFU"</f>
        <v>0</v>
      </c>
      <c r="D9543">
        <v>0</v>
      </c>
      <c r="E9543">
        <v>0</v>
      </c>
      <c r="F9543" s="2">
        <v>0</v>
      </c>
      <c r="H9543">
        <v>0</v>
      </c>
      <c r="I9543">
        <v>0.1741125760648204</v>
      </c>
      <c r="J9543">
        <v>0</v>
      </c>
      <c r="K9543">
        <v>0</v>
      </c>
      <c r="L9543" s="2">
        <v>0</v>
      </c>
      <c r="M9543">
        <v>93.09</v>
      </c>
      <c r="N9543" t="s">
        <v>10236</v>
      </c>
    </row>
    <row r="9544" spans="1:14">
      <c r="A9544" t="s">
        <v>35</v>
      </c>
      <c r="B9544" t="s">
        <v>9487</v>
      </c>
      <c r="C9544">
        <f>"HH095XSCE"</f>
        <v>0</v>
      </c>
      <c r="D9544">
        <v>0</v>
      </c>
      <c r="E9544">
        <v>1</v>
      </c>
      <c r="F9544" s="2">
        <v>7</v>
      </c>
      <c r="H9544">
        <v>0</v>
      </c>
      <c r="I9544">
        <v>0.1741125760648204</v>
      </c>
      <c r="J9544">
        <v>0</v>
      </c>
      <c r="K9544">
        <v>0</v>
      </c>
      <c r="L9544" s="2">
        <v>0</v>
      </c>
      <c r="M9544">
        <v>93.09999999999999</v>
      </c>
      <c r="N9544" t="s">
        <v>10236</v>
      </c>
    </row>
    <row r="9545" spans="1:14">
      <c r="A9545" t="s">
        <v>35</v>
      </c>
      <c r="B9545" t="s">
        <v>9488</v>
      </c>
      <c r="C9545">
        <f>"HH095XLV"</f>
        <v>0</v>
      </c>
      <c r="D9545">
        <v>0</v>
      </c>
      <c r="E9545">
        <v>1</v>
      </c>
      <c r="F9545" s="2">
        <v>11</v>
      </c>
      <c r="H9545">
        <v>0</v>
      </c>
      <c r="I9545">
        <v>0.1741125760648204</v>
      </c>
      <c r="J9545">
        <v>0</v>
      </c>
      <c r="K9545">
        <v>0</v>
      </c>
      <c r="L9545" s="2">
        <v>0</v>
      </c>
      <c r="M9545">
        <v>93.11</v>
      </c>
      <c r="N9545" t="s">
        <v>10236</v>
      </c>
    </row>
    <row r="9546" spans="1:14">
      <c r="A9546" t="s">
        <v>35</v>
      </c>
      <c r="B9546" t="s">
        <v>9489</v>
      </c>
      <c r="C9546">
        <f>"HH095XLROS"</f>
        <v>0</v>
      </c>
      <c r="D9546">
        <v>0</v>
      </c>
      <c r="E9546">
        <v>1</v>
      </c>
      <c r="F9546" s="2">
        <v>11</v>
      </c>
      <c r="H9546">
        <v>0</v>
      </c>
      <c r="I9546">
        <v>0.1741125760648204</v>
      </c>
      <c r="J9546">
        <v>0</v>
      </c>
      <c r="K9546">
        <v>0</v>
      </c>
      <c r="L9546" s="2">
        <v>0</v>
      </c>
      <c r="M9546">
        <v>93.12</v>
      </c>
      <c r="N9546" t="s">
        <v>10236</v>
      </c>
    </row>
    <row r="9547" spans="1:14">
      <c r="A9547" t="s">
        <v>35</v>
      </c>
      <c r="B9547" t="s">
        <v>9490</v>
      </c>
      <c r="C9547">
        <f>"HH095XLROJ"</f>
        <v>0</v>
      </c>
      <c r="D9547">
        <v>0</v>
      </c>
      <c r="E9547">
        <v>1</v>
      </c>
      <c r="F9547" s="2">
        <v>10</v>
      </c>
      <c r="H9547">
        <v>0</v>
      </c>
      <c r="I9547">
        <v>0.1741125760648204</v>
      </c>
      <c r="J9547">
        <v>0</v>
      </c>
      <c r="K9547">
        <v>0</v>
      </c>
      <c r="L9547" s="2">
        <v>0</v>
      </c>
      <c r="M9547">
        <v>93.13</v>
      </c>
      <c r="N9547" t="s">
        <v>10236</v>
      </c>
    </row>
    <row r="9548" spans="1:14">
      <c r="A9548" t="s">
        <v>198</v>
      </c>
      <c r="B9548" t="s">
        <v>9491</v>
      </c>
      <c r="C9548">
        <f>"5000806"</f>
        <v>0</v>
      </c>
      <c r="D9548">
        <v>0</v>
      </c>
      <c r="E9548">
        <v>0</v>
      </c>
      <c r="F9548" s="2">
        <v>0</v>
      </c>
      <c r="H9548">
        <v>0</v>
      </c>
      <c r="I9548">
        <v>0.1741125760648204</v>
      </c>
      <c r="J9548">
        <v>0</v>
      </c>
      <c r="K9548">
        <v>0</v>
      </c>
      <c r="L9548" s="2">
        <v>0</v>
      </c>
      <c r="M9548">
        <v>93.14</v>
      </c>
      <c r="N9548" t="s">
        <v>10236</v>
      </c>
    </row>
    <row r="9549" spans="1:14">
      <c r="A9549" t="s">
        <v>35</v>
      </c>
      <c r="B9549" t="s">
        <v>9492</v>
      </c>
      <c r="C9549">
        <f>"HH095XLMO"</f>
        <v>0</v>
      </c>
      <c r="D9549">
        <v>0</v>
      </c>
      <c r="E9549">
        <v>0</v>
      </c>
      <c r="F9549" s="2">
        <v>0</v>
      </c>
      <c r="H9549">
        <v>0</v>
      </c>
      <c r="I9549">
        <v>0.1741125760648204</v>
      </c>
      <c r="J9549">
        <v>0</v>
      </c>
      <c r="K9549">
        <v>0</v>
      </c>
      <c r="L9549" s="2">
        <v>0</v>
      </c>
      <c r="M9549">
        <v>93.15000000000001</v>
      </c>
      <c r="N9549" t="s">
        <v>10236</v>
      </c>
    </row>
    <row r="9550" spans="1:14">
      <c r="A9550" t="s">
        <v>35</v>
      </c>
      <c r="B9550" t="s">
        <v>9493</v>
      </c>
      <c r="C9550">
        <f>"HH095XLFU"</f>
        <v>0</v>
      </c>
      <c r="D9550">
        <v>0</v>
      </c>
      <c r="E9550">
        <v>0</v>
      </c>
      <c r="F9550" s="2">
        <v>0</v>
      </c>
      <c r="H9550">
        <v>0</v>
      </c>
      <c r="I9550">
        <v>0.1741125760648204</v>
      </c>
      <c r="J9550">
        <v>0</v>
      </c>
      <c r="K9550">
        <v>0</v>
      </c>
      <c r="L9550" s="2">
        <v>0</v>
      </c>
      <c r="M9550">
        <v>93.16</v>
      </c>
      <c r="N9550" t="s">
        <v>10236</v>
      </c>
    </row>
    <row r="9551" spans="1:14">
      <c r="A9551" t="s">
        <v>35</v>
      </c>
      <c r="B9551" t="s">
        <v>9494</v>
      </c>
      <c r="C9551">
        <f>"HH095XLCE"</f>
        <v>0</v>
      </c>
      <c r="D9551">
        <v>0</v>
      </c>
      <c r="E9551">
        <v>1</v>
      </c>
      <c r="F9551" s="2">
        <v>11</v>
      </c>
      <c r="H9551">
        <v>0</v>
      </c>
      <c r="I9551">
        <v>0.1741125760648204</v>
      </c>
      <c r="J9551">
        <v>0</v>
      </c>
      <c r="K9551">
        <v>0</v>
      </c>
      <c r="L9551" s="2">
        <v>0</v>
      </c>
      <c r="M9551">
        <v>93.16</v>
      </c>
      <c r="N9551" t="s">
        <v>10236</v>
      </c>
    </row>
    <row r="9552" spans="1:14">
      <c r="A9552" t="s">
        <v>35</v>
      </c>
      <c r="B9552" t="s">
        <v>9495</v>
      </c>
      <c r="C9552">
        <f>"PD20016S"</f>
        <v>0</v>
      </c>
      <c r="D9552">
        <v>0</v>
      </c>
      <c r="E9552">
        <v>2</v>
      </c>
      <c r="F9552" s="2">
        <v>5</v>
      </c>
      <c r="H9552">
        <v>0</v>
      </c>
      <c r="I9552">
        <v>0.1741125760648204</v>
      </c>
      <c r="J9552">
        <v>0</v>
      </c>
      <c r="K9552">
        <v>0</v>
      </c>
      <c r="L9552" s="2">
        <v>0</v>
      </c>
      <c r="M9552">
        <v>93.17</v>
      </c>
      <c r="N9552" t="s">
        <v>10236</v>
      </c>
    </row>
    <row r="9553" spans="1:14">
      <c r="A9553" t="s">
        <v>35</v>
      </c>
      <c r="B9553" t="s">
        <v>9496</v>
      </c>
      <c r="C9553">
        <f>"PD200016M"</f>
        <v>0</v>
      </c>
      <c r="D9553">
        <v>0</v>
      </c>
      <c r="E9553">
        <v>1</v>
      </c>
      <c r="F9553" s="2">
        <v>5</v>
      </c>
      <c r="H9553">
        <v>0</v>
      </c>
      <c r="I9553">
        <v>0.1741125760648204</v>
      </c>
      <c r="J9553">
        <v>0</v>
      </c>
      <c r="K9553">
        <v>0</v>
      </c>
      <c r="L9553" s="2">
        <v>0</v>
      </c>
      <c r="M9553">
        <v>93.18000000000001</v>
      </c>
      <c r="N9553" t="s">
        <v>10236</v>
      </c>
    </row>
    <row r="9554" spans="1:14">
      <c r="A9554" t="s">
        <v>35</v>
      </c>
      <c r="B9554" t="s">
        <v>9497</v>
      </c>
      <c r="C9554">
        <f>"PD20016L"</f>
        <v>0</v>
      </c>
      <c r="D9554">
        <v>0</v>
      </c>
      <c r="E9554">
        <v>2</v>
      </c>
      <c r="F9554" s="2">
        <v>5</v>
      </c>
      <c r="H9554">
        <v>0</v>
      </c>
      <c r="I9554">
        <v>0.1741125760648204</v>
      </c>
      <c r="J9554">
        <v>0</v>
      </c>
      <c r="K9554">
        <v>0</v>
      </c>
      <c r="L9554" s="2">
        <v>0</v>
      </c>
      <c r="M9554">
        <v>93.19</v>
      </c>
      <c r="N9554" t="s">
        <v>10236</v>
      </c>
    </row>
    <row r="9555" spans="1:14">
      <c r="A9555" t="s">
        <v>35</v>
      </c>
      <c r="B9555" t="s">
        <v>9498</v>
      </c>
      <c r="C9555">
        <f>"HH095XXSV"</f>
        <v>0</v>
      </c>
      <c r="D9555">
        <v>0</v>
      </c>
      <c r="E9555">
        <v>0</v>
      </c>
      <c r="F9555" s="2">
        <v>0</v>
      </c>
      <c r="H9555">
        <v>0</v>
      </c>
      <c r="I9555">
        <v>0.1741125760648204</v>
      </c>
      <c r="J9555">
        <v>0</v>
      </c>
      <c r="K9555">
        <v>0</v>
      </c>
      <c r="L9555" s="2">
        <v>0</v>
      </c>
      <c r="M9555">
        <v>93.2</v>
      </c>
      <c r="N9555" t="s">
        <v>10236</v>
      </c>
    </row>
    <row r="9556" spans="1:14">
      <c r="A9556" t="s">
        <v>28</v>
      </c>
      <c r="B9556" t="s">
        <v>9499</v>
      </c>
      <c r="C9556">
        <f>"EC20AL"</f>
        <v>0</v>
      </c>
      <c r="D9556">
        <v>0</v>
      </c>
      <c r="E9556">
        <v>0</v>
      </c>
      <c r="F9556" s="2">
        <v>0</v>
      </c>
      <c r="H9556">
        <v>0</v>
      </c>
      <c r="I9556">
        <v>0.1741125760648204</v>
      </c>
      <c r="J9556">
        <v>0</v>
      </c>
      <c r="K9556">
        <v>0</v>
      </c>
      <c r="L9556" s="2">
        <v>0</v>
      </c>
      <c r="M9556">
        <v>93.20999999999999</v>
      </c>
      <c r="N9556" t="s">
        <v>10236</v>
      </c>
    </row>
    <row r="9557" spans="1:14">
      <c r="A9557" t="s">
        <v>28</v>
      </c>
      <c r="B9557" t="s">
        <v>9500</v>
      </c>
      <c r="C9557">
        <f>"EC20LE"</f>
        <v>0</v>
      </c>
      <c r="D9557">
        <v>0</v>
      </c>
      <c r="E9557">
        <v>0</v>
      </c>
      <c r="F9557" s="2">
        <v>0</v>
      </c>
      <c r="H9557">
        <v>0</v>
      </c>
      <c r="I9557">
        <v>0.1741125760648204</v>
      </c>
      <c r="J9557">
        <v>0</v>
      </c>
      <c r="K9557">
        <v>0</v>
      </c>
      <c r="L9557" s="2">
        <v>0</v>
      </c>
      <c r="M9557">
        <v>93.22</v>
      </c>
      <c r="N9557" t="s">
        <v>10236</v>
      </c>
    </row>
    <row r="9558" spans="1:14">
      <c r="A9558" t="s">
        <v>28</v>
      </c>
      <c r="B9558" t="s">
        <v>9501</v>
      </c>
      <c r="C9558">
        <f>"EC20JA"</f>
        <v>0</v>
      </c>
      <c r="D9558">
        <v>0</v>
      </c>
      <c r="E9558">
        <v>0</v>
      </c>
      <c r="F9558" s="2">
        <v>0</v>
      </c>
      <c r="H9558">
        <v>0</v>
      </c>
      <c r="I9558">
        <v>0.1741125760648204</v>
      </c>
      <c r="J9558">
        <v>0</v>
      </c>
      <c r="K9558">
        <v>0</v>
      </c>
      <c r="L9558" s="2">
        <v>0</v>
      </c>
      <c r="M9558">
        <v>93.23</v>
      </c>
      <c r="N9558" t="s">
        <v>10236</v>
      </c>
    </row>
    <row r="9559" spans="1:14">
      <c r="A9559" t="s">
        <v>41</v>
      </c>
      <c r="B9559" t="s">
        <v>9502</v>
      </c>
      <c r="C9559">
        <f>"CENTEAS01"</f>
        <v>0</v>
      </c>
      <c r="D9559">
        <v>0</v>
      </c>
      <c r="E9559">
        <v>0</v>
      </c>
      <c r="F9559" s="2">
        <v>0</v>
      </c>
      <c r="H9559">
        <v>0</v>
      </c>
      <c r="I9559">
        <v>0.1741125760648204</v>
      </c>
      <c r="J9559">
        <v>0</v>
      </c>
      <c r="K9559">
        <v>0</v>
      </c>
      <c r="L9559" s="2">
        <v>0</v>
      </c>
      <c r="M9559">
        <v>93.23999999999999</v>
      </c>
      <c r="N9559" t="s">
        <v>10236</v>
      </c>
    </row>
    <row r="9560" spans="1:14">
      <c r="A9560" t="s">
        <v>193</v>
      </c>
      <c r="B9560" t="s">
        <v>9503</v>
      </c>
      <c r="C9560">
        <f>"1PA430"</f>
        <v>0</v>
      </c>
      <c r="D9560">
        <v>0</v>
      </c>
      <c r="E9560">
        <v>0</v>
      </c>
      <c r="F9560" s="2">
        <v>0</v>
      </c>
      <c r="H9560">
        <v>0</v>
      </c>
      <c r="I9560">
        <v>0.1741125760648204</v>
      </c>
      <c r="J9560">
        <v>0</v>
      </c>
      <c r="K9560">
        <v>0</v>
      </c>
      <c r="L9560" s="2">
        <v>0</v>
      </c>
      <c r="M9560">
        <v>93.25</v>
      </c>
      <c r="N9560" t="s">
        <v>10236</v>
      </c>
    </row>
    <row r="9561" spans="1:14">
      <c r="A9561" t="s">
        <v>29</v>
      </c>
      <c r="B9561" t="s">
        <v>9504</v>
      </c>
      <c r="C9561">
        <f>"70011"</f>
        <v>0</v>
      </c>
      <c r="D9561">
        <v>0</v>
      </c>
      <c r="E9561">
        <v>0</v>
      </c>
      <c r="F9561" s="2">
        <v>0</v>
      </c>
      <c r="H9561">
        <v>0</v>
      </c>
      <c r="I9561">
        <v>0.1741125760648204</v>
      </c>
      <c r="J9561">
        <v>0</v>
      </c>
      <c r="K9561">
        <v>0</v>
      </c>
      <c r="L9561" s="2">
        <v>0</v>
      </c>
      <c r="M9561">
        <v>93.26000000000001</v>
      </c>
      <c r="N9561" t="s">
        <v>10236</v>
      </c>
    </row>
    <row r="9562" spans="1:14">
      <c r="A9562" t="s">
        <v>35</v>
      </c>
      <c r="B9562" t="s">
        <v>9505</v>
      </c>
      <c r="C9562">
        <f>"HC091"</f>
        <v>0</v>
      </c>
      <c r="D9562">
        <v>0</v>
      </c>
      <c r="E9562">
        <v>0</v>
      </c>
      <c r="F9562" s="2">
        <v>0</v>
      </c>
      <c r="H9562">
        <v>0</v>
      </c>
      <c r="I9562">
        <v>0.1741125760648204</v>
      </c>
      <c r="J9562">
        <v>0</v>
      </c>
      <c r="K9562">
        <v>0</v>
      </c>
      <c r="L9562" s="2">
        <v>0</v>
      </c>
      <c r="M9562">
        <v>93.27</v>
      </c>
      <c r="N9562" t="s">
        <v>10236</v>
      </c>
    </row>
    <row r="9563" spans="1:14">
      <c r="A9563" t="s">
        <v>35</v>
      </c>
      <c r="B9563" t="s">
        <v>9506</v>
      </c>
      <c r="C9563">
        <f>"HH095XLNE"</f>
        <v>0</v>
      </c>
      <c r="D9563">
        <v>0</v>
      </c>
      <c r="E9563">
        <v>0</v>
      </c>
      <c r="F9563" s="2">
        <v>0</v>
      </c>
      <c r="H9563">
        <v>0</v>
      </c>
      <c r="I9563">
        <v>0.1741125760648204</v>
      </c>
      <c r="J9563">
        <v>0</v>
      </c>
      <c r="K9563">
        <v>0</v>
      </c>
      <c r="L9563" s="2">
        <v>0</v>
      </c>
      <c r="M9563">
        <v>93.27</v>
      </c>
      <c r="N9563" t="s">
        <v>10236</v>
      </c>
    </row>
    <row r="9564" spans="1:14">
      <c r="A9564" t="s">
        <v>25</v>
      </c>
      <c r="B9564" t="s">
        <v>9507</v>
      </c>
      <c r="C9564">
        <f>"RJ154"</f>
        <v>0</v>
      </c>
      <c r="D9564">
        <v>0</v>
      </c>
      <c r="E9564">
        <v>0</v>
      </c>
      <c r="F9564" s="2">
        <v>0</v>
      </c>
      <c r="H9564">
        <v>0</v>
      </c>
      <c r="I9564">
        <v>0.1741125760648204</v>
      </c>
      <c r="J9564">
        <v>0</v>
      </c>
      <c r="K9564">
        <v>0</v>
      </c>
      <c r="L9564" s="2">
        <v>0</v>
      </c>
      <c r="M9564">
        <v>93.28</v>
      </c>
      <c r="N9564" t="s">
        <v>10236</v>
      </c>
    </row>
    <row r="9565" spans="1:14">
      <c r="A9565" t="s">
        <v>207</v>
      </c>
      <c r="B9565" t="s">
        <v>9508</v>
      </c>
      <c r="C9565">
        <f>"ERIZO"</f>
        <v>0</v>
      </c>
      <c r="D9565">
        <v>0</v>
      </c>
      <c r="E9565">
        <v>0</v>
      </c>
      <c r="F9565" s="2">
        <v>0</v>
      </c>
      <c r="H9565">
        <v>0</v>
      </c>
      <c r="I9565">
        <v>0.1741125760648204</v>
      </c>
      <c r="J9565">
        <v>0</v>
      </c>
      <c r="K9565">
        <v>0</v>
      </c>
      <c r="L9565" s="2">
        <v>0</v>
      </c>
      <c r="M9565">
        <v>93.29000000000001</v>
      </c>
      <c r="N9565" t="s">
        <v>10236</v>
      </c>
    </row>
    <row r="9566" spans="1:14">
      <c r="A9566" t="s">
        <v>202</v>
      </c>
      <c r="B9566" t="s">
        <v>9509</v>
      </c>
      <c r="C9566">
        <f>"21102008"</f>
        <v>0</v>
      </c>
      <c r="D9566">
        <v>0</v>
      </c>
      <c r="E9566">
        <v>0</v>
      </c>
      <c r="F9566" s="2">
        <v>0</v>
      </c>
      <c r="H9566">
        <v>0</v>
      </c>
      <c r="I9566">
        <v>0.1741125760648204</v>
      </c>
      <c r="J9566">
        <v>0</v>
      </c>
      <c r="K9566">
        <v>0</v>
      </c>
      <c r="L9566" s="2">
        <v>0</v>
      </c>
      <c r="M9566">
        <v>93.3</v>
      </c>
      <c r="N9566" t="s">
        <v>10236</v>
      </c>
    </row>
    <row r="9567" spans="1:14">
      <c r="A9567" t="s">
        <v>202</v>
      </c>
      <c r="B9567" t="s">
        <v>9510</v>
      </c>
      <c r="C9567">
        <f>"21102004"</f>
        <v>0</v>
      </c>
      <c r="D9567">
        <v>0</v>
      </c>
      <c r="E9567">
        <v>0</v>
      </c>
      <c r="F9567" s="2">
        <v>0</v>
      </c>
      <c r="H9567">
        <v>0</v>
      </c>
      <c r="I9567">
        <v>0.1741125760648204</v>
      </c>
      <c r="J9567">
        <v>0</v>
      </c>
      <c r="K9567">
        <v>0</v>
      </c>
      <c r="L9567" s="2">
        <v>0</v>
      </c>
      <c r="M9567">
        <v>93.31</v>
      </c>
      <c r="N9567" t="s">
        <v>10236</v>
      </c>
    </row>
    <row r="9568" spans="1:14">
      <c r="A9568" t="s">
        <v>202</v>
      </c>
      <c r="B9568" t="s">
        <v>9511</v>
      </c>
      <c r="C9568">
        <f>"21102020"</f>
        <v>0</v>
      </c>
      <c r="D9568">
        <v>0</v>
      </c>
      <c r="E9568">
        <v>0</v>
      </c>
      <c r="F9568" s="2">
        <v>0</v>
      </c>
      <c r="H9568">
        <v>0</v>
      </c>
      <c r="I9568">
        <v>0.1741125760648204</v>
      </c>
      <c r="J9568">
        <v>0</v>
      </c>
      <c r="K9568">
        <v>0</v>
      </c>
      <c r="L9568" s="2">
        <v>0</v>
      </c>
      <c r="M9568">
        <v>93.31999999999999</v>
      </c>
      <c r="N9568" t="s">
        <v>10236</v>
      </c>
    </row>
    <row r="9569" spans="1:14">
      <c r="A9569" t="s">
        <v>202</v>
      </c>
      <c r="B9569" t="s">
        <v>9512</v>
      </c>
      <c r="C9569">
        <f>"21102026"</f>
        <v>0</v>
      </c>
      <c r="D9569">
        <v>0</v>
      </c>
      <c r="E9569">
        <v>0</v>
      </c>
      <c r="F9569" s="2">
        <v>0</v>
      </c>
      <c r="H9569">
        <v>0</v>
      </c>
      <c r="I9569">
        <v>0.1741125760648204</v>
      </c>
      <c r="J9569">
        <v>0</v>
      </c>
      <c r="K9569">
        <v>0</v>
      </c>
      <c r="L9569" s="2">
        <v>0</v>
      </c>
      <c r="M9569">
        <v>93.33</v>
      </c>
      <c r="N9569" t="s">
        <v>10236</v>
      </c>
    </row>
    <row r="9570" spans="1:14">
      <c r="A9570" t="s">
        <v>202</v>
      </c>
      <c r="B9570" t="s">
        <v>9513</v>
      </c>
      <c r="C9570">
        <f>"11102047"</f>
        <v>0</v>
      </c>
      <c r="D9570">
        <v>0</v>
      </c>
      <c r="E9570">
        <v>2</v>
      </c>
      <c r="F9570" s="2">
        <v>33</v>
      </c>
      <c r="H9570">
        <v>0</v>
      </c>
      <c r="I9570">
        <v>0.1741125760648204</v>
      </c>
      <c r="J9570">
        <v>0</v>
      </c>
      <c r="K9570">
        <v>0</v>
      </c>
      <c r="L9570" s="2">
        <v>0</v>
      </c>
      <c r="M9570">
        <v>93.34</v>
      </c>
      <c r="N9570" t="s">
        <v>10236</v>
      </c>
    </row>
    <row r="9571" spans="1:14">
      <c r="A9571" t="s">
        <v>202</v>
      </c>
      <c r="B9571" t="s">
        <v>9514</v>
      </c>
      <c r="C9571">
        <f>"21102035"</f>
        <v>0</v>
      </c>
      <c r="D9571">
        <v>0</v>
      </c>
      <c r="E9571">
        <v>0</v>
      </c>
      <c r="F9571" s="2">
        <v>0</v>
      </c>
      <c r="H9571">
        <v>0</v>
      </c>
      <c r="I9571">
        <v>0.1741125760648204</v>
      </c>
      <c r="J9571">
        <v>0</v>
      </c>
      <c r="K9571">
        <v>0</v>
      </c>
      <c r="L9571" s="2">
        <v>0</v>
      </c>
      <c r="M9571">
        <v>93.34999999999999</v>
      </c>
      <c r="N9571" t="s">
        <v>10236</v>
      </c>
    </row>
    <row r="9572" spans="1:14">
      <c r="A9572" t="s">
        <v>202</v>
      </c>
      <c r="B9572" t="s">
        <v>9515</v>
      </c>
      <c r="C9572">
        <f>"21102029"</f>
        <v>0</v>
      </c>
      <c r="D9572">
        <v>0</v>
      </c>
      <c r="E9572">
        <v>0</v>
      </c>
      <c r="F9572" s="2">
        <v>0</v>
      </c>
      <c r="H9572">
        <v>0</v>
      </c>
      <c r="I9572">
        <v>0.1741125760648204</v>
      </c>
      <c r="J9572">
        <v>0</v>
      </c>
      <c r="K9572">
        <v>0</v>
      </c>
      <c r="L9572" s="2">
        <v>0</v>
      </c>
      <c r="M9572">
        <v>93.36</v>
      </c>
      <c r="N9572" t="s">
        <v>10236</v>
      </c>
    </row>
    <row r="9573" spans="1:14">
      <c r="A9573" t="s">
        <v>202</v>
      </c>
      <c r="B9573" t="s">
        <v>9516</v>
      </c>
      <c r="C9573">
        <f>"11102046"</f>
        <v>0</v>
      </c>
      <c r="D9573">
        <v>0</v>
      </c>
      <c r="E9573">
        <v>0</v>
      </c>
      <c r="F9573" s="2">
        <v>0</v>
      </c>
      <c r="H9573">
        <v>0</v>
      </c>
      <c r="I9573">
        <v>0.1741125760648204</v>
      </c>
      <c r="J9573">
        <v>0</v>
      </c>
      <c r="K9573">
        <v>0</v>
      </c>
      <c r="L9573" s="2">
        <v>0</v>
      </c>
      <c r="M9573">
        <v>93.37</v>
      </c>
      <c r="N9573" t="s">
        <v>10236</v>
      </c>
    </row>
    <row r="9574" spans="1:14">
      <c r="A9574" t="s">
        <v>202</v>
      </c>
      <c r="B9574" t="s">
        <v>9517</v>
      </c>
      <c r="C9574">
        <f>"21102031"</f>
        <v>0</v>
      </c>
      <c r="D9574">
        <v>0</v>
      </c>
      <c r="E9574">
        <v>0</v>
      </c>
      <c r="F9574" s="2">
        <v>0</v>
      </c>
      <c r="H9574">
        <v>0</v>
      </c>
      <c r="I9574">
        <v>0.1741125760648204</v>
      </c>
      <c r="J9574">
        <v>0</v>
      </c>
      <c r="K9574">
        <v>0</v>
      </c>
      <c r="L9574" s="2">
        <v>0</v>
      </c>
      <c r="M9574">
        <v>93.38</v>
      </c>
      <c r="N9574" t="s">
        <v>10236</v>
      </c>
    </row>
    <row r="9575" spans="1:14">
      <c r="A9575" t="s">
        <v>202</v>
      </c>
      <c r="B9575" t="s">
        <v>9518</v>
      </c>
      <c r="C9575">
        <f>"21102027"</f>
        <v>0</v>
      </c>
      <c r="D9575">
        <v>0</v>
      </c>
      <c r="E9575">
        <v>0</v>
      </c>
      <c r="F9575" s="2">
        <v>0</v>
      </c>
      <c r="H9575">
        <v>0</v>
      </c>
      <c r="I9575">
        <v>0.1741125760648204</v>
      </c>
      <c r="J9575">
        <v>0</v>
      </c>
      <c r="K9575">
        <v>0</v>
      </c>
      <c r="L9575" s="2">
        <v>0</v>
      </c>
      <c r="M9575">
        <v>93.39</v>
      </c>
      <c r="N9575" t="s">
        <v>10236</v>
      </c>
    </row>
    <row r="9576" spans="1:14">
      <c r="A9576" t="s">
        <v>202</v>
      </c>
      <c r="B9576" t="s">
        <v>9519</v>
      </c>
      <c r="C9576">
        <f>"21102005"</f>
        <v>0</v>
      </c>
      <c r="D9576">
        <v>0</v>
      </c>
      <c r="E9576">
        <v>0</v>
      </c>
      <c r="F9576" s="2">
        <v>0</v>
      </c>
      <c r="H9576">
        <v>0</v>
      </c>
      <c r="I9576">
        <v>0.1741125760648204</v>
      </c>
      <c r="J9576">
        <v>0</v>
      </c>
      <c r="K9576">
        <v>0</v>
      </c>
      <c r="L9576" s="2">
        <v>0</v>
      </c>
      <c r="M9576">
        <v>93.39</v>
      </c>
      <c r="N9576" t="s">
        <v>10236</v>
      </c>
    </row>
    <row r="9577" spans="1:14">
      <c r="A9577" t="s">
        <v>202</v>
      </c>
      <c r="B9577" t="s">
        <v>9520</v>
      </c>
      <c r="C9577">
        <f>"21102002"</f>
        <v>0</v>
      </c>
      <c r="D9577">
        <v>0</v>
      </c>
      <c r="E9577">
        <v>0</v>
      </c>
      <c r="F9577" s="2">
        <v>0</v>
      </c>
      <c r="H9577">
        <v>0</v>
      </c>
      <c r="I9577">
        <v>0.1741125760648204</v>
      </c>
      <c r="J9577">
        <v>0</v>
      </c>
      <c r="K9577">
        <v>0</v>
      </c>
      <c r="L9577" s="2">
        <v>0</v>
      </c>
      <c r="M9577">
        <v>93.40000000000001</v>
      </c>
      <c r="N9577" t="s">
        <v>10236</v>
      </c>
    </row>
    <row r="9578" spans="1:14">
      <c r="A9578" t="s">
        <v>192</v>
      </c>
      <c r="B9578" t="s">
        <v>9521</v>
      </c>
      <c r="C9578">
        <f>"ZVP2106"</f>
        <v>0</v>
      </c>
      <c r="D9578">
        <v>0</v>
      </c>
      <c r="E9578">
        <v>0</v>
      </c>
      <c r="F9578" s="2">
        <v>0</v>
      </c>
      <c r="H9578">
        <v>0</v>
      </c>
      <c r="I9578">
        <v>0.1741125760648204</v>
      </c>
      <c r="J9578">
        <v>0</v>
      </c>
      <c r="K9578">
        <v>0</v>
      </c>
      <c r="L9578" s="2">
        <v>0</v>
      </c>
      <c r="M9578">
        <v>93.41</v>
      </c>
      <c r="N9578" t="s">
        <v>10236</v>
      </c>
    </row>
    <row r="9579" spans="1:14">
      <c r="A9579" t="s">
        <v>202</v>
      </c>
      <c r="B9579" t="s">
        <v>9522</v>
      </c>
      <c r="C9579">
        <f>"21102012"</f>
        <v>0</v>
      </c>
      <c r="D9579">
        <v>0</v>
      </c>
      <c r="E9579">
        <v>0</v>
      </c>
      <c r="F9579" s="2">
        <v>0</v>
      </c>
      <c r="H9579">
        <v>0</v>
      </c>
      <c r="I9579">
        <v>0.1741125760648204</v>
      </c>
      <c r="J9579">
        <v>0</v>
      </c>
      <c r="K9579">
        <v>0</v>
      </c>
      <c r="L9579" s="2">
        <v>0</v>
      </c>
      <c r="M9579">
        <v>93.42</v>
      </c>
      <c r="N9579" t="s">
        <v>10236</v>
      </c>
    </row>
    <row r="9580" spans="1:14">
      <c r="A9580" t="s">
        <v>202</v>
      </c>
      <c r="B9580" t="s">
        <v>9523</v>
      </c>
      <c r="C9580">
        <f>"21102010"</f>
        <v>0</v>
      </c>
      <c r="D9580">
        <v>0</v>
      </c>
      <c r="E9580">
        <v>0</v>
      </c>
      <c r="F9580" s="2">
        <v>0</v>
      </c>
      <c r="H9580">
        <v>0</v>
      </c>
      <c r="I9580">
        <v>0.1741125760648204</v>
      </c>
      <c r="J9580">
        <v>0</v>
      </c>
      <c r="K9580">
        <v>0</v>
      </c>
      <c r="L9580" s="2">
        <v>0</v>
      </c>
      <c r="M9580">
        <v>93.43000000000001</v>
      </c>
      <c r="N9580" t="s">
        <v>10236</v>
      </c>
    </row>
    <row r="9581" spans="1:14">
      <c r="A9581" t="s">
        <v>218</v>
      </c>
      <c r="B9581" t="s">
        <v>9524</v>
      </c>
      <c r="C9581">
        <f>"humsdr0042"</f>
        <v>0</v>
      </c>
      <c r="D9581">
        <v>0</v>
      </c>
      <c r="E9581">
        <v>0</v>
      </c>
      <c r="F9581" s="2">
        <v>0</v>
      </c>
      <c r="H9581">
        <v>0</v>
      </c>
      <c r="I9581">
        <v>0.1741125760648204</v>
      </c>
      <c r="J9581">
        <v>0</v>
      </c>
      <c r="K9581">
        <v>0</v>
      </c>
      <c r="L9581" s="2">
        <v>0</v>
      </c>
      <c r="M9581">
        <v>93.44</v>
      </c>
      <c r="N9581" t="s">
        <v>10236</v>
      </c>
    </row>
    <row r="9582" spans="1:14">
      <c r="A9582" t="s">
        <v>35</v>
      </c>
      <c r="B9582" t="s">
        <v>9525</v>
      </c>
      <c r="C9582">
        <f>"EP"</f>
        <v>0</v>
      </c>
      <c r="D9582">
        <v>0</v>
      </c>
      <c r="E9582">
        <v>0</v>
      </c>
      <c r="F9582" s="2">
        <v>0</v>
      </c>
      <c r="H9582">
        <v>0</v>
      </c>
      <c r="I9582">
        <v>0.1741125760648204</v>
      </c>
      <c r="J9582">
        <v>0</v>
      </c>
      <c r="K9582">
        <v>0</v>
      </c>
      <c r="L9582" s="2">
        <v>0</v>
      </c>
      <c r="M9582">
        <v>93.45</v>
      </c>
      <c r="N9582" t="s">
        <v>10236</v>
      </c>
    </row>
    <row r="9583" spans="1:14">
      <c r="A9583" t="s">
        <v>32</v>
      </c>
      <c r="B9583" t="s">
        <v>9526</v>
      </c>
      <c r="C9583">
        <f>"VETDKS0049"</f>
        <v>0</v>
      </c>
      <c r="D9583">
        <v>0</v>
      </c>
      <c r="E9583">
        <v>0</v>
      </c>
      <c r="F9583" s="2">
        <v>0</v>
      </c>
      <c r="H9583">
        <v>0</v>
      </c>
      <c r="I9583">
        <v>0.1741125760648204</v>
      </c>
      <c r="J9583">
        <v>0</v>
      </c>
      <c r="K9583">
        <v>0</v>
      </c>
      <c r="L9583" s="2">
        <v>0</v>
      </c>
      <c r="M9583">
        <v>93.45999999999999</v>
      </c>
      <c r="N9583" t="s">
        <v>10236</v>
      </c>
    </row>
    <row r="9584" spans="1:14">
      <c r="A9584" t="s">
        <v>218</v>
      </c>
      <c r="B9584" t="s">
        <v>9527</v>
      </c>
      <c r="C9584">
        <f>"1013756"</f>
        <v>0</v>
      </c>
      <c r="D9584">
        <v>0</v>
      </c>
      <c r="E9584">
        <v>0</v>
      </c>
      <c r="F9584" s="2">
        <v>0</v>
      </c>
      <c r="H9584">
        <v>0</v>
      </c>
      <c r="I9584">
        <v>0.1741125760648204</v>
      </c>
      <c r="J9584">
        <v>0</v>
      </c>
      <c r="K9584">
        <v>0</v>
      </c>
      <c r="L9584" s="2">
        <v>0</v>
      </c>
      <c r="M9584">
        <v>93.47</v>
      </c>
      <c r="N9584" t="s">
        <v>10236</v>
      </c>
    </row>
    <row r="9585" spans="1:14">
      <c r="A9585" t="s">
        <v>32</v>
      </c>
      <c r="B9585" t="s">
        <v>9528</v>
      </c>
      <c r="C9585">
        <f>"500997"</f>
        <v>0</v>
      </c>
      <c r="D9585">
        <v>0</v>
      </c>
      <c r="E9585">
        <v>1</v>
      </c>
      <c r="F9585" s="2">
        <v>9</v>
      </c>
      <c r="H9585">
        <v>0</v>
      </c>
      <c r="I9585">
        <v>0.1741125760648204</v>
      </c>
      <c r="J9585">
        <v>0</v>
      </c>
      <c r="K9585">
        <v>0</v>
      </c>
      <c r="L9585" s="2">
        <v>0</v>
      </c>
      <c r="M9585">
        <v>93.48</v>
      </c>
      <c r="N9585" t="s">
        <v>10236</v>
      </c>
    </row>
    <row r="9586" spans="1:14">
      <c r="A9586" t="s">
        <v>207</v>
      </c>
      <c r="B9586" t="s">
        <v>9529</v>
      </c>
      <c r="C9586">
        <f>"ENANOOREJASCAIDAS"</f>
        <v>0</v>
      </c>
      <c r="D9586">
        <v>0</v>
      </c>
      <c r="E9586">
        <v>0</v>
      </c>
      <c r="F9586" s="2">
        <v>0</v>
      </c>
      <c r="H9586">
        <v>0</v>
      </c>
      <c r="I9586">
        <v>0.1741125760648204</v>
      </c>
      <c r="J9586">
        <v>0</v>
      </c>
      <c r="K9586">
        <v>0</v>
      </c>
      <c r="L9586" s="2">
        <v>0</v>
      </c>
      <c r="M9586">
        <v>93.48999999999999</v>
      </c>
      <c r="N9586" t="s">
        <v>10236</v>
      </c>
    </row>
    <row r="9587" spans="1:14">
      <c r="A9587" t="s">
        <v>195</v>
      </c>
      <c r="B9587" t="s">
        <v>9530</v>
      </c>
      <c r="C9587">
        <f>"25702591"</f>
        <v>0</v>
      </c>
      <c r="D9587">
        <v>0</v>
      </c>
      <c r="E9587">
        <v>0</v>
      </c>
      <c r="F9587" s="2">
        <v>0</v>
      </c>
      <c r="H9587">
        <v>0</v>
      </c>
      <c r="I9587">
        <v>0.1741125760648204</v>
      </c>
      <c r="J9587">
        <v>0</v>
      </c>
      <c r="K9587">
        <v>0</v>
      </c>
      <c r="L9587" s="2">
        <v>0</v>
      </c>
      <c r="M9587">
        <v>93.5</v>
      </c>
      <c r="N9587" t="s">
        <v>10236</v>
      </c>
    </row>
    <row r="9588" spans="1:14">
      <c r="A9588" t="s">
        <v>35</v>
      </c>
      <c r="B9588" t="s">
        <v>9531</v>
      </c>
      <c r="C9588">
        <f>"25702652"</f>
        <v>0</v>
      </c>
      <c r="D9588">
        <v>0</v>
      </c>
      <c r="E9588">
        <v>0</v>
      </c>
      <c r="F9588" s="2">
        <v>0</v>
      </c>
      <c r="H9588">
        <v>0</v>
      </c>
      <c r="I9588">
        <v>0.1741125760648204</v>
      </c>
      <c r="J9588">
        <v>0</v>
      </c>
      <c r="K9588">
        <v>0</v>
      </c>
      <c r="L9588" s="2">
        <v>0</v>
      </c>
      <c r="M9588">
        <v>93.51000000000001</v>
      </c>
      <c r="N9588" t="s">
        <v>10236</v>
      </c>
    </row>
    <row r="9589" spans="1:14">
      <c r="A9589" t="s">
        <v>35</v>
      </c>
      <c r="B9589" t="s">
        <v>9532</v>
      </c>
      <c r="C9589">
        <f>"25702626"</f>
        <v>0</v>
      </c>
      <c r="D9589">
        <v>0</v>
      </c>
      <c r="E9589">
        <v>0</v>
      </c>
      <c r="F9589" s="2">
        <v>0</v>
      </c>
      <c r="H9589">
        <v>0</v>
      </c>
      <c r="I9589">
        <v>0.1741125760648204</v>
      </c>
      <c r="J9589">
        <v>0</v>
      </c>
      <c r="K9589">
        <v>0</v>
      </c>
      <c r="L9589" s="2">
        <v>0</v>
      </c>
      <c r="M9589">
        <v>93.51000000000001</v>
      </c>
      <c r="N9589" t="s">
        <v>10236</v>
      </c>
    </row>
    <row r="9590" spans="1:14">
      <c r="A9590" t="s">
        <v>205</v>
      </c>
      <c r="B9590" t="s">
        <v>9533</v>
      </c>
      <c r="C9590">
        <f>"EO06F5"</f>
        <v>0</v>
      </c>
      <c r="D9590">
        <v>0</v>
      </c>
      <c r="E9590">
        <v>0</v>
      </c>
      <c r="F9590" s="2">
        <v>0</v>
      </c>
      <c r="H9590">
        <v>0</v>
      </c>
      <c r="I9590">
        <v>0.1741125760648204</v>
      </c>
      <c r="J9590">
        <v>0</v>
      </c>
      <c r="K9590">
        <v>0</v>
      </c>
      <c r="L9590" s="2">
        <v>0</v>
      </c>
      <c r="M9590">
        <v>93.52</v>
      </c>
      <c r="N9590" t="s">
        <v>10236</v>
      </c>
    </row>
    <row r="9591" spans="1:14">
      <c r="A9591" t="s">
        <v>205</v>
      </c>
      <c r="B9591" t="s">
        <v>9534</v>
      </c>
      <c r="C9591">
        <f>"EO06F22"</f>
        <v>0</v>
      </c>
      <c r="D9591">
        <v>0</v>
      </c>
      <c r="E9591">
        <v>0</v>
      </c>
      <c r="F9591" s="2">
        <v>0</v>
      </c>
      <c r="H9591">
        <v>0</v>
      </c>
      <c r="I9591">
        <v>0.1741125760648204</v>
      </c>
      <c r="J9591">
        <v>0</v>
      </c>
      <c r="K9591">
        <v>0</v>
      </c>
      <c r="L9591" s="2">
        <v>0</v>
      </c>
      <c r="M9591">
        <v>93.53</v>
      </c>
      <c r="N9591" t="s">
        <v>10236</v>
      </c>
    </row>
    <row r="9592" spans="1:14">
      <c r="A9592" t="s">
        <v>217</v>
      </c>
      <c r="B9592" t="s">
        <v>9535</v>
      </c>
      <c r="C9592">
        <f>"EP0001"</f>
        <v>0</v>
      </c>
      <c r="D9592">
        <v>0</v>
      </c>
      <c r="E9592">
        <v>3</v>
      </c>
      <c r="F9592" s="2">
        <v>9</v>
      </c>
      <c r="H9592">
        <v>0</v>
      </c>
      <c r="I9592">
        <v>0.1741125760648204</v>
      </c>
      <c r="J9592">
        <v>0</v>
      </c>
      <c r="K9592">
        <v>0</v>
      </c>
      <c r="L9592" s="2">
        <v>0</v>
      </c>
      <c r="M9592">
        <v>93.54000000000001</v>
      </c>
      <c r="N9592" t="s">
        <v>10236</v>
      </c>
    </row>
    <row r="9593" spans="1:14">
      <c r="A9593" t="s">
        <v>32</v>
      </c>
      <c r="B9593" t="s">
        <v>9536</v>
      </c>
      <c r="C9593">
        <f>"EHL007"</f>
        <v>0</v>
      </c>
      <c r="D9593">
        <v>0</v>
      </c>
      <c r="E9593">
        <v>0</v>
      </c>
      <c r="F9593" s="2">
        <v>0</v>
      </c>
      <c r="H9593">
        <v>0</v>
      </c>
      <c r="I9593">
        <v>0.1741125760648204</v>
      </c>
      <c r="J9593">
        <v>0</v>
      </c>
      <c r="K9593">
        <v>0</v>
      </c>
      <c r="L9593" s="2">
        <v>0</v>
      </c>
      <c r="M9593">
        <v>93.55</v>
      </c>
      <c r="N9593" t="s">
        <v>10236</v>
      </c>
    </row>
    <row r="9594" spans="1:14">
      <c r="A9594" t="s">
        <v>202</v>
      </c>
      <c r="B9594" t="s">
        <v>9537</v>
      </c>
      <c r="C9594">
        <f>"21102017"</f>
        <v>0</v>
      </c>
      <c r="D9594">
        <v>0</v>
      </c>
      <c r="E9594">
        <v>0</v>
      </c>
      <c r="F9594" s="2">
        <v>0</v>
      </c>
      <c r="H9594">
        <v>0</v>
      </c>
      <c r="I9594">
        <v>0.1741125760648204</v>
      </c>
      <c r="J9594">
        <v>0</v>
      </c>
      <c r="K9594">
        <v>0</v>
      </c>
      <c r="L9594" s="2">
        <v>0</v>
      </c>
      <c r="M9594">
        <v>93.56</v>
      </c>
      <c r="N9594" t="s">
        <v>10236</v>
      </c>
    </row>
    <row r="9595" spans="1:14">
      <c r="A9595" t="s">
        <v>35</v>
      </c>
      <c r="B9595" t="s">
        <v>9538</v>
      </c>
      <c r="C9595">
        <f>"CL01L"</f>
        <v>0</v>
      </c>
      <c r="D9595">
        <v>0</v>
      </c>
      <c r="E9595">
        <v>0</v>
      </c>
      <c r="F9595" s="2">
        <v>0</v>
      </c>
      <c r="H9595">
        <v>0</v>
      </c>
      <c r="I9595">
        <v>0.1741125760648204</v>
      </c>
      <c r="J9595">
        <v>0</v>
      </c>
      <c r="K9595">
        <v>0</v>
      </c>
      <c r="L9595" s="2">
        <v>0</v>
      </c>
      <c r="M9595">
        <v>93.56999999999999</v>
      </c>
      <c r="N9595" t="s">
        <v>10236</v>
      </c>
    </row>
    <row r="9596" spans="1:14">
      <c r="A9596" t="s">
        <v>35</v>
      </c>
      <c r="B9596" t="s">
        <v>9539</v>
      </c>
      <c r="C9596">
        <f>"CL02M"</f>
        <v>0</v>
      </c>
      <c r="D9596">
        <v>0</v>
      </c>
      <c r="E9596">
        <v>0</v>
      </c>
      <c r="F9596" s="2">
        <v>0</v>
      </c>
      <c r="H9596">
        <v>0</v>
      </c>
      <c r="I9596">
        <v>0.1741125760648204</v>
      </c>
      <c r="J9596">
        <v>0</v>
      </c>
      <c r="K9596">
        <v>0</v>
      </c>
      <c r="L9596" s="2">
        <v>0</v>
      </c>
      <c r="M9596">
        <v>93.58</v>
      </c>
      <c r="N9596" t="s">
        <v>10236</v>
      </c>
    </row>
    <row r="9597" spans="1:14">
      <c r="A9597" t="s">
        <v>32</v>
      </c>
      <c r="B9597" t="s">
        <v>9540</v>
      </c>
      <c r="C9597">
        <f>"5007614"</f>
        <v>0</v>
      </c>
      <c r="D9597">
        <v>0</v>
      </c>
      <c r="E9597">
        <v>0</v>
      </c>
      <c r="F9597" s="2">
        <v>0</v>
      </c>
      <c r="H9597">
        <v>0</v>
      </c>
      <c r="I9597">
        <v>0.1741125760648204</v>
      </c>
      <c r="J9597">
        <v>0</v>
      </c>
      <c r="K9597">
        <v>0</v>
      </c>
      <c r="L9597" s="2">
        <v>0</v>
      </c>
      <c r="M9597">
        <v>93.59</v>
      </c>
      <c r="N9597" t="s">
        <v>10236</v>
      </c>
    </row>
    <row r="9598" spans="1:14">
      <c r="A9598" t="s">
        <v>24</v>
      </c>
      <c r="B9598" t="s">
        <v>9541</v>
      </c>
      <c r="C9598">
        <f>"1018379"</f>
        <v>0</v>
      </c>
      <c r="D9598">
        <v>0</v>
      </c>
      <c r="E9598">
        <v>0</v>
      </c>
      <c r="F9598" s="2">
        <v>0</v>
      </c>
      <c r="H9598">
        <v>0</v>
      </c>
      <c r="I9598">
        <v>0.1741125760648204</v>
      </c>
      <c r="J9598">
        <v>0</v>
      </c>
      <c r="K9598">
        <v>0</v>
      </c>
      <c r="L9598" s="2">
        <v>0</v>
      </c>
      <c r="M9598">
        <v>93.59999999999999</v>
      </c>
      <c r="N9598" t="s">
        <v>10236</v>
      </c>
    </row>
    <row r="9599" spans="1:14">
      <c r="A9599" t="s">
        <v>25</v>
      </c>
      <c r="B9599" t="s">
        <v>9542</v>
      </c>
      <c r="C9599">
        <f>"REPHY"</f>
        <v>0</v>
      </c>
      <c r="D9599">
        <v>0</v>
      </c>
      <c r="E9599">
        <v>0</v>
      </c>
      <c r="F9599" s="2">
        <v>0</v>
      </c>
      <c r="H9599">
        <v>0</v>
      </c>
      <c r="I9599">
        <v>0.1741125760648204</v>
      </c>
      <c r="J9599">
        <v>0</v>
      </c>
      <c r="K9599">
        <v>0</v>
      </c>
      <c r="L9599" s="2">
        <v>0</v>
      </c>
      <c r="M9599">
        <v>93.61</v>
      </c>
      <c r="N9599" t="s">
        <v>10236</v>
      </c>
    </row>
    <row r="9600" spans="1:14">
      <c r="A9600" t="s">
        <v>29</v>
      </c>
      <c r="B9600" t="s">
        <v>9543</v>
      </c>
      <c r="C9600">
        <f>"PH2500"</f>
        <v>0</v>
      </c>
      <c r="D9600">
        <v>0</v>
      </c>
      <c r="E9600">
        <v>0</v>
      </c>
      <c r="F9600" s="2">
        <v>0</v>
      </c>
      <c r="H9600">
        <v>0</v>
      </c>
      <c r="I9600">
        <v>0.1741125760648204</v>
      </c>
      <c r="J9600">
        <v>0</v>
      </c>
      <c r="K9600">
        <v>0</v>
      </c>
      <c r="L9600" s="2">
        <v>0</v>
      </c>
      <c r="M9600">
        <v>93.62</v>
      </c>
      <c r="N9600" t="s">
        <v>10236</v>
      </c>
    </row>
    <row r="9601" spans="1:14">
      <c r="A9601" t="s">
        <v>35</v>
      </c>
      <c r="B9601" t="s">
        <v>9544</v>
      </c>
      <c r="C9601">
        <f>"HH088XLAC"</f>
        <v>0</v>
      </c>
      <c r="D9601">
        <v>0</v>
      </c>
      <c r="E9601">
        <v>2</v>
      </c>
      <c r="F9601" s="2">
        <v>11</v>
      </c>
      <c r="H9601">
        <v>0</v>
      </c>
      <c r="I9601">
        <v>0.1741125760648204</v>
      </c>
      <c r="J9601">
        <v>0</v>
      </c>
      <c r="K9601">
        <v>0</v>
      </c>
      <c r="L9601" s="2">
        <v>0</v>
      </c>
      <c r="M9601">
        <v>93.63</v>
      </c>
      <c r="N9601" t="s">
        <v>10236</v>
      </c>
    </row>
    <row r="9602" spans="1:14">
      <c r="A9602" t="s">
        <v>35</v>
      </c>
      <c r="B9602" t="s">
        <v>9545</v>
      </c>
      <c r="C9602">
        <f>"HH088SAC"</f>
        <v>0</v>
      </c>
      <c r="D9602">
        <v>0</v>
      </c>
      <c r="E9602">
        <v>5</v>
      </c>
      <c r="F9602" s="2">
        <v>9</v>
      </c>
      <c r="H9602">
        <v>0</v>
      </c>
      <c r="I9602">
        <v>0.1741125760648204</v>
      </c>
      <c r="J9602">
        <v>0</v>
      </c>
      <c r="K9602">
        <v>0</v>
      </c>
      <c r="L9602" s="2">
        <v>0</v>
      </c>
      <c r="M9602">
        <v>93.63</v>
      </c>
      <c r="N9602" t="s">
        <v>10236</v>
      </c>
    </row>
    <row r="9603" spans="1:14">
      <c r="A9603" t="s">
        <v>35</v>
      </c>
      <c r="B9603" t="s">
        <v>9546</v>
      </c>
      <c r="C9603">
        <f>"HH088MAC"</f>
        <v>0</v>
      </c>
      <c r="D9603">
        <v>0</v>
      </c>
      <c r="E9603">
        <v>0</v>
      </c>
      <c r="F9603" s="2">
        <v>0</v>
      </c>
      <c r="H9603">
        <v>0</v>
      </c>
      <c r="I9603">
        <v>0.1741125760648204</v>
      </c>
      <c r="J9603">
        <v>0</v>
      </c>
      <c r="K9603">
        <v>0</v>
      </c>
      <c r="L9603" s="2">
        <v>0</v>
      </c>
      <c r="M9603">
        <v>93.64</v>
      </c>
      <c r="N9603" t="s">
        <v>10236</v>
      </c>
    </row>
    <row r="9604" spans="1:14">
      <c r="A9604" t="s">
        <v>35</v>
      </c>
      <c r="B9604" t="s">
        <v>9547</v>
      </c>
      <c r="C9604">
        <f>"JW9026"</f>
        <v>0</v>
      </c>
      <c r="D9604">
        <v>0</v>
      </c>
      <c r="E9604">
        <v>1</v>
      </c>
      <c r="F9604" s="2">
        <v>2</v>
      </c>
      <c r="H9604">
        <v>0</v>
      </c>
      <c r="I9604">
        <v>0.1741125760648204</v>
      </c>
      <c r="J9604">
        <v>0</v>
      </c>
      <c r="K9604">
        <v>0</v>
      </c>
      <c r="L9604" s="2">
        <v>0</v>
      </c>
      <c r="M9604">
        <v>93.65000000000001</v>
      </c>
      <c r="N9604" t="s">
        <v>10236</v>
      </c>
    </row>
    <row r="9605" spans="1:14">
      <c r="A9605" t="s">
        <v>35</v>
      </c>
      <c r="B9605" t="s">
        <v>9548</v>
      </c>
      <c r="C9605">
        <f>"PD20011M"</f>
        <v>0</v>
      </c>
      <c r="D9605">
        <v>0</v>
      </c>
      <c r="E9605">
        <v>0</v>
      </c>
      <c r="F9605" s="2">
        <v>0</v>
      </c>
      <c r="H9605">
        <v>0</v>
      </c>
      <c r="I9605">
        <v>0.1741125760648204</v>
      </c>
      <c r="J9605">
        <v>0</v>
      </c>
      <c r="K9605">
        <v>0</v>
      </c>
      <c r="L9605" s="2">
        <v>0</v>
      </c>
      <c r="M9605">
        <v>93.66</v>
      </c>
      <c r="N9605" t="s">
        <v>10236</v>
      </c>
    </row>
    <row r="9606" spans="1:14">
      <c r="A9606" t="s">
        <v>35</v>
      </c>
      <c r="B9606" t="s">
        <v>9549</v>
      </c>
      <c r="C9606">
        <f>"HCJ011LAZ"</f>
        <v>0</v>
      </c>
      <c r="D9606">
        <v>0</v>
      </c>
      <c r="E9606">
        <v>0</v>
      </c>
      <c r="F9606" s="2">
        <v>0</v>
      </c>
      <c r="H9606">
        <v>0</v>
      </c>
      <c r="I9606">
        <v>0.1741125760648204</v>
      </c>
      <c r="J9606">
        <v>0</v>
      </c>
      <c r="K9606">
        <v>0</v>
      </c>
      <c r="L9606" s="2">
        <v>0</v>
      </c>
      <c r="M9606">
        <v>93.67</v>
      </c>
      <c r="N9606" t="s">
        <v>10236</v>
      </c>
    </row>
    <row r="9607" spans="1:14">
      <c r="A9607" t="s">
        <v>192</v>
      </c>
      <c r="B9607" t="s">
        <v>9550</v>
      </c>
      <c r="C9607">
        <f>"calafblangris"</f>
        <v>0</v>
      </c>
      <c r="D9607">
        <v>0</v>
      </c>
      <c r="E9607">
        <v>0</v>
      </c>
      <c r="F9607" s="2">
        <v>0</v>
      </c>
      <c r="H9607">
        <v>0</v>
      </c>
      <c r="I9607">
        <v>0.1741125760648204</v>
      </c>
      <c r="J9607">
        <v>0</v>
      </c>
      <c r="K9607">
        <v>0</v>
      </c>
      <c r="L9607" s="2">
        <v>0</v>
      </c>
      <c r="M9607">
        <v>93.68000000000001</v>
      </c>
      <c r="N9607" t="s">
        <v>10236</v>
      </c>
    </row>
    <row r="9608" spans="1:14">
      <c r="A9608" t="s">
        <v>35</v>
      </c>
      <c r="B9608" t="s">
        <v>9551</v>
      </c>
      <c r="C9608">
        <f>"JXL3232"</f>
        <v>0</v>
      </c>
      <c r="D9608">
        <v>0</v>
      </c>
      <c r="E9608">
        <v>0</v>
      </c>
      <c r="F9608" s="2">
        <v>0</v>
      </c>
      <c r="H9608">
        <v>0</v>
      </c>
      <c r="I9608">
        <v>0.1741125760648204</v>
      </c>
      <c r="J9608">
        <v>0</v>
      </c>
      <c r="K9608">
        <v>0</v>
      </c>
      <c r="L9608" s="2">
        <v>0</v>
      </c>
      <c r="M9608">
        <v>93.69</v>
      </c>
      <c r="N9608" t="s">
        <v>10236</v>
      </c>
    </row>
    <row r="9609" spans="1:14">
      <c r="A9609" t="s">
        <v>35</v>
      </c>
      <c r="B9609" t="s">
        <v>9552</v>
      </c>
      <c r="C9609">
        <f>"HC090"</f>
        <v>0</v>
      </c>
      <c r="D9609">
        <v>0</v>
      </c>
      <c r="E9609">
        <v>0</v>
      </c>
      <c r="F9609" s="2">
        <v>0</v>
      </c>
      <c r="H9609">
        <v>0</v>
      </c>
      <c r="I9609">
        <v>0.1741125760648204</v>
      </c>
      <c r="J9609">
        <v>0</v>
      </c>
      <c r="K9609">
        <v>0</v>
      </c>
      <c r="L9609" s="2">
        <v>0</v>
      </c>
      <c r="M9609">
        <v>93.7</v>
      </c>
      <c r="N9609" t="s">
        <v>10236</v>
      </c>
    </row>
    <row r="9610" spans="1:14">
      <c r="A9610" t="s">
        <v>218</v>
      </c>
      <c r="B9610" t="s">
        <v>9553</v>
      </c>
      <c r="C9610">
        <f>"inscls0012"</f>
        <v>0</v>
      </c>
      <c r="D9610">
        <v>0</v>
      </c>
      <c r="E9610">
        <v>0</v>
      </c>
      <c r="F9610" s="2">
        <v>0</v>
      </c>
      <c r="H9610">
        <v>0</v>
      </c>
      <c r="I9610">
        <v>0.1741125760648204</v>
      </c>
      <c r="J9610">
        <v>0</v>
      </c>
      <c r="K9610">
        <v>0</v>
      </c>
      <c r="L9610" s="2">
        <v>0</v>
      </c>
      <c r="M9610">
        <v>93.70999999999999</v>
      </c>
      <c r="N9610" t="s">
        <v>10236</v>
      </c>
    </row>
    <row r="9611" spans="1:14">
      <c r="A9611" t="s">
        <v>29</v>
      </c>
      <c r="B9611" t="s">
        <v>9554</v>
      </c>
      <c r="C9611">
        <f>"BB11"</f>
        <v>0</v>
      </c>
      <c r="D9611">
        <v>0</v>
      </c>
      <c r="E9611">
        <v>4</v>
      </c>
      <c r="F9611" s="2">
        <v>4</v>
      </c>
      <c r="H9611">
        <v>0</v>
      </c>
      <c r="I9611">
        <v>0.1741125760648204</v>
      </c>
      <c r="J9611">
        <v>0</v>
      </c>
      <c r="K9611">
        <v>0</v>
      </c>
      <c r="L9611" s="2">
        <v>0</v>
      </c>
      <c r="M9611">
        <v>93.72</v>
      </c>
      <c r="N9611" t="s">
        <v>10236</v>
      </c>
    </row>
    <row r="9612" spans="1:14">
      <c r="A9612" t="s">
        <v>35</v>
      </c>
      <c r="B9612" t="s">
        <v>9555</v>
      </c>
      <c r="C9612">
        <f>"ANG10"</f>
        <v>0</v>
      </c>
      <c r="D9612">
        <v>0</v>
      </c>
      <c r="E9612">
        <v>0</v>
      </c>
      <c r="F9612" s="2">
        <v>0</v>
      </c>
      <c r="H9612">
        <v>0</v>
      </c>
      <c r="I9612">
        <v>0.1741125760648204</v>
      </c>
      <c r="J9612">
        <v>0</v>
      </c>
      <c r="K9612">
        <v>0</v>
      </c>
      <c r="L9612" s="2">
        <v>0</v>
      </c>
      <c r="M9612">
        <v>93.73</v>
      </c>
      <c r="N9612" t="s">
        <v>10236</v>
      </c>
    </row>
    <row r="9613" spans="1:14">
      <c r="A9613" t="s">
        <v>196</v>
      </c>
      <c r="B9613" t="s">
        <v>9556</v>
      </c>
      <c r="C9613">
        <f>"2024"</f>
        <v>0</v>
      </c>
      <c r="D9613">
        <v>0</v>
      </c>
      <c r="E9613">
        <v>1</v>
      </c>
      <c r="F9613" s="2">
        <v>2</v>
      </c>
      <c r="H9613">
        <v>0</v>
      </c>
      <c r="I9613">
        <v>0.1741125760648204</v>
      </c>
      <c r="J9613">
        <v>0</v>
      </c>
      <c r="K9613">
        <v>0</v>
      </c>
      <c r="L9613" s="2">
        <v>0</v>
      </c>
      <c r="M9613">
        <v>93.73999999999999</v>
      </c>
      <c r="N9613" t="s">
        <v>10236</v>
      </c>
    </row>
    <row r="9614" spans="1:14">
      <c r="A9614" t="s">
        <v>30</v>
      </c>
      <c r="B9614" t="s">
        <v>9557</v>
      </c>
      <c r="C9614">
        <f>"100602"</f>
        <v>0</v>
      </c>
      <c r="D9614">
        <v>0</v>
      </c>
      <c r="E9614">
        <v>1</v>
      </c>
      <c r="F9614" s="2">
        <v>12</v>
      </c>
      <c r="H9614">
        <v>0</v>
      </c>
      <c r="I9614">
        <v>0.1741125760648204</v>
      </c>
      <c r="J9614">
        <v>0</v>
      </c>
      <c r="K9614">
        <v>0</v>
      </c>
      <c r="L9614" s="2">
        <v>0</v>
      </c>
      <c r="M9614">
        <v>93.73999999999999</v>
      </c>
      <c r="N9614" t="s">
        <v>10236</v>
      </c>
    </row>
    <row r="9615" spans="1:14">
      <c r="A9615" t="s">
        <v>30</v>
      </c>
      <c r="B9615" t="s">
        <v>9558</v>
      </c>
      <c r="C9615">
        <f>"101399"</f>
        <v>0</v>
      </c>
      <c r="D9615">
        <v>0</v>
      </c>
      <c r="E9615">
        <v>0</v>
      </c>
      <c r="F9615" s="2">
        <v>0</v>
      </c>
      <c r="H9615">
        <v>0</v>
      </c>
      <c r="I9615">
        <v>0.1741125760648204</v>
      </c>
      <c r="J9615">
        <v>0</v>
      </c>
      <c r="K9615">
        <v>0</v>
      </c>
      <c r="L9615" s="2">
        <v>0</v>
      </c>
      <c r="M9615">
        <v>93.75</v>
      </c>
      <c r="N9615" t="s">
        <v>10236</v>
      </c>
    </row>
    <row r="9616" spans="1:14">
      <c r="A9616" t="s">
        <v>25</v>
      </c>
      <c r="B9616" t="s">
        <v>9559</v>
      </c>
      <c r="C9616">
        <f>"MS004"</f>
        <v>0</v>
      </c>
      <c r="D9616">
        <v>0</v>
      </c>
      <c r="E9616">
        <v>5</v>
      </c>
      <c r="F9616" s="2">
        <v>1</v>
      </c>
      <c r="H9616">
        <v>0</v>
      </c>
      <c r="I9616">
        <v>0.1741125760648204</v>
      </c>
      <c r="J9616">
        <v>0</v>
      </c>
      <c r="K9616">
        <v>0</v>
      </c>
      <c r="L9616" s="2">
        <v>0</v>
      </c>
      <c r="M9616">
        <v>93.76000000000001</v>
      </c>
      <c r="N9616" t="s">
        <v>10236</v>
      </c>
    </row>
    <row r="9617" spans="1:14">
      <c r="A9617" t="s">
        <v>35</v>
      </c>
      <c r="B9617" t="s">
        <v>9560</v>
      </c>
      <c r="C9617">
        <f>"PD20011L"</f>
        <v>0</v>
      </c>
      <c r="D9617">
        <v>0</v>
      </c>
      <c r="E9617">
        <v>0</v>
      </c>
      <c r="F9617" s="2">
        <v>0</v>
      </c>
      <c r="H9617">
        <v>0</v>
      </c>
      <c r="I9617">
        <v>0.1741125760648204</v>
      </c>
      <c r="J9617">
        <v>0</v>
      </c>
      <c r="K9617">
        <v>0</v>
      </c>
      <c r="L9617" s="2">
        <v>0</v>
      </c>
      <c r="M9617">
        <v>93.77</v>
      </c>
      <c r="N9617" t="s">
        <v>10236</v>
      </c>
    </row>
    <row r="9618" spans="1:14">
      <c r="A9618" t="s">
        <v>35</v>
      </c>
      <c r="B9618" t="s">
        <v>9561</v>
      </c>
      <c r="C9618">
        <f>"DM40060XS"</f>
        <v>0</v>
      </c>
      <c r="D9618">
        <v>0</v>
      </c>
      <c r="E9618">
        <v>5</v>
      </c>
      <c r="F9618" s="2">
        <v>3</v>
      </c>
      <c r="H9618">
        <v>0</v>
      </c>
      <c r="I9618">
        <v>0.1741125760648204</v>
      </c>
      <c r="J9618">
        <v>0</v>
      </c>
      <c r="K9618">
        <v>0</v>
      </c>
      <c r="L9618" s="2">
        <v>0</v>
      </c>
      <c r="M9618">
        <v>93.78</v>
      </c>
      <c r="N9618" t="s">
        <v>10236</v>
      </c>
    </row>
    <row r="9619" spans="1:14">
      <c r="A9619" t="s">
        <v>35</v>
      </c>
      <c r="B9619" t="s">
        <v>9562</v>
      </c>
      <c r="C9619">
        <f>"DM40060XL"</f>
        <v>0</v>
      </c>
      <c r="D9619">
        <v>0</v>
      </c>
      <c r="E9619">
        <v>35</v>
      </c>
      <c r="F9619" s="2">
        <v>1</v>
      </c>
      <c r="H9619">
        <v>0</v>
      </c>
      <c r="I9619">
        <v>0.1741125760648204</v>
      </c>
      <c r="J9619">
        <v>0</v>
      </c>
      <c r="K9619">
        <v>0</v>
      </c>
      <c r="L9619" s="2">
        <v>0</v>
      </c>
      <c r="M9619">
        <v>93.79000000000001</v>
      </c>
      <c r="N9619" t="s">
        <v>10236</v>
      </c>
    </row>
    <row r="9620" spans="1:14">
      <c r="A9620" t="s">
        <v>35</v>
      </c>
      <c r="B9620" t="s">
        <v>9563</v>
      </c>
      <c r="C9620">
        <f>"DM40060S"</f>
        <v>0</v>
      </c>
      <c r="D9620">
        <v>0</v>
      </c>
      <c r="E9620">
        <v>0</v>
      </c>
      <c r="F9620" s="2">
        <v>0</v>
      </c>
      <c r="H9620">
        <v>0</v>
      </c>
      <c r="I9620">
        <v>0.1741125760648204</v>
      </c>
      <c r="J9620">
        <v>0</v>
      </c>
      <c r="K9620">
        <v>0</v>
      </c>
      <c r="L9620" s="2">
        <v>0</v>
      </c>
      <c r="M9620">
        <v>93.8</v>
      </c>
      <c r="N9620" t="s">
        <v>10236</v>
      </c>
    </row>
    <row r="9621" spans="1:14">
      <c r="A9621" t="s">
        <v>35</v>
      </c>
      <c r="B9621" t="s">
        <v>9564</v>
      </c>
      <c r="C9621">
        <f>"DM40060M"</f>
        <v>0</v>
      </c>
      <c r="D9621">
        <v>0</v>
      </c>
      <c r="E9621">
        <v>0</v>
      </c>
      <c r="F9621" s="2">
        <v>0</v>
      </c>
      <c r="H9621">
        <v>0</v>
      </c>
      <c r="I9621">
        <v>0.1741125760648204</v>
      </c>
      <c r="J9621">
        <v>0</v>
      </c>
      <c r="K9621">
        <v>0</v>
      </c>
      <c r="L9621" s="2">
        <v>0</v>
      </c>
      <c r="M9621">
        <v>93.81</v>
      </c>
      <c r="N9621" t="s">
        <v>10236</v>
      </c>
    </row>
    <row r="9622" spans="1:14">
      <c r="A9622" t="s">
        <v>35</v>
      </c>
      <c r="B9622" t="s">
        <v>9565</v>
      </c>
      <c r="C9622">
        <f>"PD20016XL"</f>
        <v>0</v>
      </c>
      <c r="D9622">
        <v>0</v>
      </c>
      <c r="E9622">
        <v>26</v>
      </c>
      <c r="F9622" s="2">
        <v>7</v>
      </c>
      <c r="H9622">
        <v>0</v>
      </c>
      <c r="I9622">
        <v>0.1741125760648204</v>
      </c>
      <c r="J9622">
        <v>0</v>
      </c>
      <c r="K9622">
        <v>0</v>
      </c>
      <c r="L9622" s="2">
        <v>0</v>
      </c>
      <c r="M9622">
        <v>93.81999999999999</v>
      </c>
      <c r="N9622" t="s">
        <v>10236</v>
      </c>
    </row>
    <row r="9623" spans="1:14">
      <c r="A9623" t="s">
        <v>35</v>
      </c>
      <c r="B9623" t="s">
        <v>9566</v>
      </c>
      <c r="C9623">
        <f>"LV09092M"</f>
        <v>0</v>
      </c>
      <c r="D9623">
        <v>0</v>
      </c>
      <c r="E9623">
        <v>0</v>
      </c>
      <c r="F9623" s="2">
        <v>0</v>
      </c>
      <c r="H9623">
        <v>0</v>
      </c>
      <c r="I9623">
        <v>0.1741125760648204</v>
      </c>
      <c r="J9623">
        <v>0</v>
      </c>
      <c r="K9623">
        <v>0</v>
      </c>
      <c r="L9623" s="2">
        <v>0</v>
      </c>
      <c r="M9623">
        <v>93.83</v>
      </c>
      <c r="N9623" t="s">
        <v>10236</v>
      </c>
    </row>
    <row r="9624" spans="1:14">
      <c r="A9624" t="s">
        <v>35</v>
      </c>
      <c r="B9624" t="s">
        <v>9567</v>
      </c>
      <c r="C9624">
        <f>"LV09092L"</f>
        <v>0</v>
      </c>
      <c r="D9624">
        <v>0</v>
      </c>
      <c r="E9624">
        <v>0</v>
      </c>
      <c r="F9624" s="2">
        <v>0</v>
      </c>
      <c r="H9624">
        <v>0</v>
      </c>
      <c r="I9624">
        <v>0.1741125760648204</v>
      </c>
      <c r="J9624">
        <v>0</v>
      </c>
      <c r="K9624">
        <v>0</v>
      </c>
      <c r="L9624" s="2">
        <v>0</v>
      </c>
      <c r="M9624">
        <v>93.84</v>
      </c>
      <c r="N9624" t="s">
        <v>10236</v>
      </c>
    </row>
    <row r="9625" spans="1:14">
      <c r="A9625" t="s">
        <v>34</v>
      </c>
      <c r="B9625" t="s">
        <v>9568</v>
      </c>
      <c r="C9625">
        <f>"cajajoseragift"</f>
        <v>0</v>
      </c>
      <c r="D9625">
        <v>0</v>
      </c>
      <c r="E9625">
        <v>0</v>
      </c>
      <c r="F9625" s="2">
        <v>0</v>
      </c>
      <c r="H9625">
        <v>0</v>
      </c>
      <c r="I9625">
        <v>0.1741125760648204</v>
      </c>
      <c r="J9625">
        <v>0</v>
      </c>
      <c r="K9625">
        <v>0</v>
      </c>
      <c r="L9625" s="2">
        <v>0</v>
      </c>
      <c r="M9625">
        <v>93.84999999999999</v>
      </c>
      <c r="N9625" t="s">
        <v>10236</v>
      </c>
    </row>
    <row r="9626" spans="1:14">
      <c r="A9626" t="s">
        <v>215</v>
      </c>
      <c r="B9626" t="s">
        <v>9569</v>
      </c>
      <c r="C9626">
        <f>"633K02000"</f>
        <v>0</v>
      </c>
      <c r="D9626">
        <v>0</v>
      </c>
      <c r="E9626">
        <v>0</v>
      </c>
      <c r="F9626" s="2">
        <v>0</v>
      </c>
      <c r="H9626">
        <v>0</v>
      </c>
      <c r="I9626">
        <v>0.1741125760648204</v>
      </c>
      <c r="J9626">
        <v>0</v>
      </c>
      <c r="K9626">
        <v>0</v>
      </c>
      <c r="L9626" s="2">
        <v>0</v>
      </c>
      <c r="M9626">
        <v>93.86</v>
      </c>
      <c r="N9626" t="s">
        <v>10236</v>
      </c>
    </row>
    <row r="9627" spans="1:14">
      <c r="A9627" t="s">
        <v>32</v>
      </c>
      <c r="B9627" t="s">
        <v>9570</v>
      </c>
      <c r="C9627">
        <f>"1589923447400"</f>
        <v>0</v>
      </c>
      <c r="D9627">
        <v>0</v>
      </c>
      <c r="E9627">
        <v>2</v>
      </c>
      <c r="F9627" s="2">
        <v>2</v>
      </c>
      <c r="H9627">
        <v>0</v>
      </c>
      <c r="I9627">
        <v>0.1741125760648204</v>
      </c>
      <c r="J9627">
        <v>0</v>
      </c>
      <c r="K9627">
        <v>0</v>
      </c>
      <c r="L9627" s="2">
        <v>0</v>
      </c>
      <c r="M9627">
        <v>93.86</v>
      </c>
      <c r="N9627" t="s">
        <v>10236</v>
      </c>
    </row>
    <row r="9628" spans="1:14">
      <c r="A9628" t="s">
        <v>32</v>
      </c>
      <c r="B9628" t="s">
        <v>9571</v>
      </c>
      <c r="C9628">
        <f>"1589923366853"</f>
        <v>0</v>
      </c>
      <c r="D9628">
        <v>0</v>
      </c>
      <c r="E9628">
        <v>0</v>
      </c>
      <c r="F9628" s="2">
        <v>0</v>
      </c>
      <c r="H9628">
        <v>0</v>
      </c>
      <c r="I9628">
        <v>0.1741125760648204</v>
      </c>
      <c r="J9628">
        <v>0</v>
      </c>
      <c r="K9628">
        <v>0</v>
      </c>
      <c r="L9628" s="2">
        <v>0</v>
      </c>
      <c r="M9628">
        <v>93.87</v>
      </c>
      <c r="N9628" t="s">
        <v>10236</v>
      </c>
    </row>
    <row r="9629" spans="1:14">
      <c r="A9629" t="s">
        <v>196</v>
      </c>
      <c r="B9629" t="s">
        <v>9572</v>
      </c>
      <c r="C9629">
        <f>"2021"</f>
        <v>0</v>
      </c>
      <c r="D9629">
        <v>0</v>
      </c>
      <c r="E9629">
        <v>3</v>
      </c>
      <c r="F9629" s="2">
        <v>3</v>
      </c>
      <c r="H9629">
        <v>0</v>
      </c>
      <c r="I9629">
        <v>0.1741125760648204</v>
      </c>
      <c r="J9629">
        <v>0</v>
      </c>
      <c r="K9629">
        <v>0</v>
      </c>
      <c r="L9629" s="2">
        <v>0</v>
      </c>
      <c r="M9629">
        <v>93.88</v>
      </c>
      <c r="N9629" t="s">
        <v>10236</v>
      </c>
    </row>
    <row r="9630" spans="1:14">
      <c r="A9630" t="s">
        <v>25</v>
      </c>
      <c r="B9630" t="s">
        <v>9573</v>
      </c>
      <c r="C9630">
        <f>"ZVP400YO"</f>
        <v>0</v>
      </c>
      <c r="D9630">
        <v>0</v>
      </c>
      <c r="E9630">
        <v>2</v>
      </c>
      <c r="F9630" s="2">
        <v>1</v>
      </c>
      <c r="H9630">
        <v>0</v>
      </c>
      <c r="I9630">
        <v>0.1741125760648204</v>
      </c>
      <c r="J9630">
        <v>0</v>
      </c>
      <c r="K9630">
        <v>0</v>
      </c>
      <c r="L9630" s="2">
        <v>0</v>
      </c>
      <c r="M9630">
        <v>93.89</v>
      </c>
      <c r="N9630" t="s">
        <v>10236</v>
      </c>
    </row>
    <row r="9631" spans="1:14">
      <c r="A9631" t="s">
        <v>35</v>
      </c>
      <c r="B9631" t="s">
        <v>9574</v>
      </c>
      <c r="C9631">
        <f>"LO81001"</f>
        <v>0</v>
      </c>
      <c r="D9631">
        <v>0</v>
      </c>
      <c r="E9631">
        <v>0</v>
      </c>
      <c r="F9631" s="2">
        <v>0</v>
      </c>
      <c r="H9631">
        <v>0</v>
      </c>
      <c r="I9631">
        <v>0.1741125760648204</v>
      </c>
      <c r="J9631">
        <v>0</v>
      </c>
      <c r="K9631">
        <v>0</v>
      </c>
      <c r="L9631" s="2">
        <v>0</v>
      </c>
      <c r="M9631">
        <v>93.90000000000001</v>
      </c>
      <c r="N9631" t="s">
        <v>10236</v>
      </c>
    </row>
    <row r="9632" spans="1:14">
      <c r="A9632" t="s">
        <v>35</v>
      </c>
      <c r="B9632" t="s">
        <v>9575</v>
      </c>
      <c r="C9632">
        <f>"LO81020"</f>
        <v>0</v>
      </c>
      <c r="D9632">
        <v>0</v>
      </c>
      <c r="E9632">
        <v>0</v>
      </c>
      <c r="F9632" s="2">
        <v>0</v>
      </c>
      <c r="H9632">
        <v>0</v>
      </c>
      <c r="I9632">
        <v>0.1741125760648204</v>
      </c>
      <c r="J9632">
        <v>0</v>
      </c>
      <c r="K9632">
        <v>0</v>
      </c>
      <c r="L9632" s="2">
        <v>0</v>
      </c>
      <c r="M9632">
        <v>93.91</v>
      </c>
      <c r="N9632" t="s">
        <v>10236</v>
      </c>
    </row>
    <row r="9633" spans="1:14">
      <c r="A9633" t="s">
        <v>35</v>
      </c>
      <c r="B9633" t="s">
        <v>9576</v>
      </c>
      <c r="C9633">
        <f>"LO81021"</f>
        <v>0</v>
      </c>
      <c r="D9633">
        <v>0</v>
      </c>
      <c r="E9633">
        <v>0</v>
      </c>
      <c r="F9633" s="2">
        <v>0</v>
      </c>
      <c r="H9633">
        <v>0</v>
      </c>
      <c r="I9633">
        <v>0.1741125760648204</v>
      </c>
      <c r="J9633">
        <v>0</v>
      </c>
      <c r="K9633">
        <v>0</v>
      </c>
      <c r="L9633" s="2">
        <v>0</v>
      </c>
      <c r="M9633">
        <v>93.92</v>
      </c>
      <c r="N9633" t="s">
        <v>10236</v>
      </c>
    </row>
    <row r="9634" spans="1:14">
      <c r="A9634" t="s">
        <v>35</v>
      </c>
      <c r="B9634" t="s">
        <v>9577</v>
      </c>
      <c r="C9634">
        <f>"LO81010"</f>
        <v>0</v>
      </c>
      <c r="D9634">
        <v>0</v>
      </c>
      <c r="E9634">
        <v>3</v>
      </c>
      <c r="F9634" s="2">
        <v>1</v>
      </c>
      <c r="H9634">
        <v>0</v>
      </c>
      <c r="I9634">
        <v>0.1741125760648204</v>
      </c>
      <c r="J9634">
        <v>0</v>
      </c>
      <c r="K9634">
        <v>0</v>
      </c>
      <c r="L9634" s="2">
        <v>0</v>
      </c>
      <c r="M9634">
        <v>93.93000000000001</v>
      </c>
      <c r="N9634" t="s">
        <v>10236</v>
      </c>
    </row>
    <row r="9635" spans="1:14">
      <c r="A9635" t="s">
        <v>35</v>
      </c>
      <c r="B9635" t="s">
        <v>9578</v>
      </c>
      <c r="C9635">
        <f>"LO81011"</f>
        <v>0</v>
      </c>
      <c r="D9635">
        <v>0</v>
      </c>
      <c r="E9635">
        <v>0</v>
      </c>
      <c r="F9635" s="2">
        <v>0</v>
      </c>
      <c r="H9635">
        <v>0</v>
      </c>
      <c r="I9635">
        <v>0.1741125760648204</v>
      </c>
      <c r="J9635">
        <v>0</v>
      </c>
      <c r="K9635">
        <v>0</v>
      </c>
      <c r="L9635" s="2">
        <v>0</v>
      </c>
      <c r="M9635">
        <v>93.94</v>
      </c>
      <c r="N9635" t="s">
        <v>10236</v>
      </c>
    </row>
    <row r="9636" spans="1:14">
      <c r="A9636" t="s">
        <v>36</v>
      </c>
      <c r="B9636" t="s">
        <v>9579</v>
      </c>
      <c r="C9636">
        <f>"1011297"</f>
        <v>0</v>
      </c>
      <c r="D9636">
        <v>0</v>
      </c>
      <c r="E9636">
        <v>0</v>
      </c>
      <c r="F9636" s="2">
        <v>0</v>
      </c>
      <c r="H9636">
        <v>0</v>
      </c>
      <c r="I9636">
        <v>0.1741125760648204</v>
      </c>
      <c r="J9636">
        <v>0</v>
      </c>
      <c r="K9636">
        <v>0</v>
      </c>
      <c r="L9636" s="2">
        <v>0</v>
      </c>
      <c r="M9636">
        <v>93.95</v>
      </c>
      <c r="N9636" t="s">
        <v>10236</v>
      </c>
    </row>
    <row r="9637" spans="1:14">
      <c r="A9637" t="s">
        <v>35</v>
      </c>
      <c r="B9637" t="s">
        <v>9580</v>
      </c>
      <c r="C9637">
        <f>"PD20011S"</f>
        <v>0</v>
      </c>
      <c r="D9637">
        <v>0</v>
      </c>
      <c r="E9637">
        <v>0</v>
      </c>
      <c r="F9637" s="2">
        <v>0</v>
      </c>
      <c r="H9637">
        <v>0</v>
      </c>
      <c r="I9637">
        <v>0.1741125760648204</v>
      </c>
      <c r="J9637">
        <v>0</v>
      </c>
      <c r="K9637">
        <v>0</v>
      </c>
      <c r="L9637" s="2">
        <v>0</v>
      </c>
      <c r="M9637">
        <v>93.95999999999999</v>
      </c>
      <c r="N9637" t="s">
        <v>10236</v>
      </c>
    </row>
    <row r="9638" spans="1:14">
      <c r="A9638" t="s">
        <v>35</v>
      </c>
      <c r="B9638" t="s">
        <v>9581</v>
      </c>
      <c r="C9638">
        <f>"H015XXLV"</f>
        <v>0</v>
      </c>
      <c r="D9638">
        <v>0</v>
      </c>
      <c r="E9638">
        <v>1</v>
      </c>
      <c r="F9638" s="2">
        <v>9</v>
      </c>
      <c r="H9638">
        <v>0</v>
      </c>
      <c r="I9638">
        <v>0.1741125760648204</v>
      </c>
      <c r="J9638">
        <v>0</v>
      </c>
      <c r="K9638">
        <v>0</v>
      </c>
      <c r="L9638" s="2">
        <v>0</v>
      </c>
      <c r="M9638">
        <v>93.97</v>
      </c>
      <c r="N9638" t="s">
        <v>10236</v>
      </c>
    </row>
    <row r="9639" spans="1:14">
      <c r="A9639" t="s">
        <v>35</v>
      </c>
      <c r="B9639" t="s">
        <v>9582</v>
      </c>
      <c r="C9639">
        <f>"H015XXLROS"</f>
        <v>0</v>
      </c>
      <c r="D9639">
        <v>0</v>
      </c>
      <c r="E9639">
        <v>1</v>
      </c>
      <c r="F9639" s="2">
        <v>0</v>
      </c>
      <c r="H9639">
        <v>0</v>
      </c>
      <c r="I9639">
        <v>0.1741125760648204</v>
      </c>
      <c r="J9639">
        <v>0</v>
      </c>
      <c r="K9639">
        <v>0</v>
      </c>
      <c r="L9639" s="2">
        <v>0</v>
      </c>
      <c r="M9639">
        <v>93.98</v>
      </c>
      <c r="N9639" t="s">
        <v>10236</v>
      </c>
    </row>
    <row r="9640" spans="1:14">
      <c r="A9640" t="s">
        <v>25</v>
      </c>
      <c r="B9640" t="s">
        <v>9583</v>
      </c>
      <c r="C9640">
        <f>"DRAGBARB"</f>
        <v>0</v>
      </c>
      <c r="D9640">
        <v>0</v>
      </c>
      <c r="E9640">
        <v>0</v>
      </c>
      <c r="F9640" s="2">
        <v>0</v>
      </c>
      <c r="H9640">
        <v>0</v>
      </c>
      <c r="I9640">
        <v>0.1741125760648204</v>
      </c>
      <c r="J9640">
        <v>0</v>
      </c>
      <c r="K9640">
        <v>0</v>
      </c>
      <c r="L9640" s="2">
        <v>0</v>
      </c>
      <c r="M9640">
        <v>93.98</v>
      </c>
      <c r="N9640" t="s">
        <v>10236</v>
      </c>
    </row>
    <row r="9641" spans="1:14">
      <c r="A9641" t="s">
        <v>35</v>
      </c>
      <c r="B9641" t="s">
        <v>9584</v>
      </c>
      <c r="C9641">
        <f>"HH095XXSMO"</f>
        <v>0</v>
      </c>
      <c r="D9641">
        <v>0</v>
      </c>
      <c r="E9641">
        <v>0</v>
      </c>
      <c r="F9641" s="2">
        <v>0</v>
      </c>
      <c r="H9641">
        <v>0</v>
      </c>
      <c r="I9641">
        <v>0.1741125760648204</v>
      </c>
      <c r="J9641">
        <v>0</v>
      </c>
      <c r="K9641">
        <v>0</v>
      </c>
      <c r="L9641" s="2">
        <v>0</v>
      </c>
      <c r="M9641">
        <v>93.98999999999999</v>
      </c>
      <c r="N9641" t="s">
        <v>10236</v>
      </c>
    </row>
    <row r="9642" spans="1:14">
      <c r="A9642" t="s">
        <v>35</v>
      </c>
      <c r="B9642" t="s">
        <v>9585</v>
      </c>
      <c r="C9642">
        <f>"HH095XXSFU"</f>
        <v>0</v>
      </c>
      <c r="D9642">
        <v>0</v>
      </c>
      <c r="E9642">
        <v>0</v>
      </c>
      <c r="F9642" s="2">
        <v>0</v>
      </c>
      <c r="H9642">
        <v>0</v>
      </c>
      <c r="I9642">
        <v>0.1741125760648204</v>
      </c>
      <c r="J9642">
        <v>0</v>
      </c>
      <c r="K9642">
        <v>0</v>
      </c>
      <c r="L9642" s="2">
        <v>0</v>
      </c>
      <c r="M9642">
        <v>94</v>
      </c>
      <c r="N9642" t="s">
        <v>10236</v>
      </c>
    </row>
    <row r="9643" spans="1:14">
      <c r="A9643" t="s">
        <v>35</v>
      </c>
      <c r="B9643" t="s">
        <v>9586</v>
      </c>
      <c r="C9643">
        <f>"HH095XXSCE"</f>
        <v>0</v>
      </c>
      <c r="D9643">
        <v>0</v>
      </c>
      <c r="E9643">
        <v>1</v>
      </c>
      <c r="F9643" s="2">
        <v>6</v>
      </c>
      <c r="H9643">
        <v>0</v>
      </c>
      <c r="I9643">
        <v>0.1741125760648204</v>
      </c>
      <c r="J9643">
        <v>0</v>
      </c>
      <c r="K9643">
        <v>0</v>
      </c>
      <c r="L9643" s="2">
        <v>0</v>
      </c>
      <c r="M9643">
        <v>94.01000000000001</v>
      </c>
      <c r="N9643" t="s">
        <v>10236</v>
      </c>
    </row>
    <row r="9644" spans="1:14">
      <c r="A9644" t="s">
        <v>35</v>
      </c>
      <c r="B9644" t="s">
        <v>9587</v>
      </c>
      <c r="C9644">
        <f>"HH095XXLV"</f>
        <v>0</v>
      </c>
      <c r="D9644">
        <v>0</v>
      </c>
      <c r="E9644">
        <v>0</v>
      </c>
      <c r="F9644" s="2">
        <v>0</v>
      </c>
      <c r="H9644">
        <v>0</v>
      </c>
      <c r="I9644">
        <v>0.1741125760648204</v>
      </c>
      <c r="J9644">
        <v>0</v>
      </c>
      <c r="K9644">
        <v>0</v>
      </c>
      <c r="L9644" s="2">
        <v>0</v>
      </c>
      <c r="M9644">
        <v>94.02</v>
      </c>
      <c r="N9644" t="s">
        <v>10236</v>
      </c>
    </row>
    <row r="9645" spans="1:14">
      <c r="A9645" t="s">
        <v>35</v>
      </c>
      <c r="B9645" t="s">
        <v>9588</v>
      </c>
      <c r="C9645">
        <f>"HH095XXLROS"</f>
        <v>0</v>
      </c>
      <c r="D9645">
        <v>0</v>
      </c>
      <c r="E9645">
        <v>0</v>
      </c>
      <c r="F9645" s="2">
        <v>0</v>
      </c>
      <c r="H9645">
        <v>0</v>
      </c>
      <c r="I9645">
        <v>0.1741125760648204</v>
      </c>
      <c r="J9645">
        <v>0</v>
      </c>
      <c r="K9645">
        <v>0</v>
      </c>
      <c r="L9645" s="2">
        <v>0</v>
      </c>
      <c r="M9645">
        <v>94.03</v>
      </c>
      <c r="N9645" t="s">
        <v>10236</v>
      </c>
    </row>
    <row r="9646" spans="1:14">
      <c r="A9646" t="s">
        <v>35</v>
      </c>
      <c r="B9646" t="s">
        <v>9589</v>
      </c>
      <c r="C9646">
        <f>"HH095XXLROJ"</f>
        <v>0</v>
      </c>
      <c r="D9646">
        <v>0</v>
      </c>
      <c r="E9646">
        <v>1</v>
      </c>
      <c r="F9646" s="2">
        <v>11</v>
      </c>
      <c r="H9646">
        <v>0</v>
      </c>
      <c r="I9646">
        <v>0.1741125760648204</v>
      </c>
      <c r="J9646">
        <v>0</v>
      </c>
      <c r="K9646">
        <v>0</v>
      </c>
      <c r="L9646" s="2">
        <v>0</v>
      </c>
      <c r="M9646">
        <v>94.04000000000001</v>
      </c>
      <c r="N9646" t="s">
        <v>10236</v>
      </c>
    </row>
    <row r="9647" spans="1:14">
      <c r="A9647" t="s">
        <v>35</v>
      </c>
      <c r="B9647" t="s">
        <v>9590</v>
      </c>
      <c r="C9647">
        <f>"HH095XXLNE"</f>
        <v>0</v>
      </c>
      <c r="D9647">
        <v>0</v>
      </c>
      <c r="E9647">
        <v>1</v>
      </c>
      <c r="F9647" s="2">
        <v>11</v>
      </c>
      <c r="H9647">
        <v>0</v>
      </c>
      <c r="I9647">
        <v>0.1741125760648204</v>
      </c>
      <c r="J9647">
        <v>0</v>
      </c>
      <c r="K9647">
        <v>0</v>
      </c>
      <c r="L9647" s="2">
        <v>0</v>
      </c>
      <c r="M9647">
        <v>94.05</v>
      </c>
      <c r="N9647" t="s">
        <v>10236</v>
      </c>
    </row>
    <row r="9648" spans="1:14">
      <c r="A9648" t="s">
        <v>35</v>
      </c>
      <c r="B9648" t="s">
        <v>9591</v>
      </c>
      <c r="C9648">
        <f>"HH095XXLMO"</f>
        <v>0</v>
      </c>
      <c r="D9648">
        <v>0</v>
      </c>
      <c r="E9648">
        <v>0</v>
      </c>
      <c r="F9648" s="2">
        <v>0</v>
      </c>
      <c r="H9648">
        <v>0</v>
      </c>
      <c r="I9648">
        <v>0.1741125760648204</v>
      </c>
      <c r="J9648">
        <v>0</v>
      </c>
      <c r="K9648">
        <v>0</v>
      </c>
      <c r="L9648" s="2">
        <v>0</v>
      </c>
      <c r="M9648">
        <v>94.06</v>
      </c>
      <c r="N9648" t="s">
        <v>10236</v>
      </c>
    </row>
    <row r="9649" spans="1:14">
      <c r="A9649" t="s">
        <v>35</v>
      </c>
      <c r="B9649" t="s">
        <v>9592</v>
      </c>
      <c r="C9649">
        <f>"H015L"</f>
        <v>0</v>
      </c>
      <c r="D9649">
        <v>0</v>
      </c>
      <c r="E9649">
        <v>0</v>
      </c>
      <c r="F9649" s="2">
        <v>0</v>
      </c>
      <c r="H9649">
        <v>0</v>
      </c>
      <c r="I9649">
        <v>0.1741125760648204</v>
      </c>
      <c r="J9649">
        <v>0</v>
      </c>
      <c r="K9649">
        <v>0</v>
      </c>
      <c r="L9649" s="2">
        <v>0</v>
      </c>
      <c r="M9649">
        <v>94.06999999999999</v>
      </c>
      <c r="N9649" t="s">
        <v>10236</v>
      </c>
    </row>
    <row r="9650" spans="1:14">
      <c r="A9650" t="s">
        <v>35</v>
      </c>
      <c r="B9650" t="s">
        <v>9593</v>
      </c>
      <c r="C9650">
        <f>"JW9024"</f>
        <v>0</v>
      </c>
      <c r="D9650">
        <v>0</v>
      </c>
      <c r="E9650">
        <v>0</v>
      </c>
      <c r="F9650" s="2">
        <v>0</v>
      </c>
      <c r="H9650">
        <v>0</v>
      </c>
      <c r="I9650">
        <v>0.1741125760648204</v>
      </c>
      <c r="J9650">
        <v>0</v>
      </c>
      <c r="K9650">
        <v>0</v>
      </c>
      <c r="L9650" s="2">
        <v>0</v>
      </c>
      <c r="M9650">
        <v>94.08</v>
      </c>
      <c r="N9650" t="s">
        <v>10236</v>
      </c>
    </row>
    <row r="9651" spans="1:14">
      <c r="A9651" t="s">
        <v>35</v>
      </c>
      <c r="B9651" t="s">
        <v>9594</v>
      </c>
      <c r="C9651">
        <f>"JW9025"</f>
        <v>0</v>
      </c>
      <c r="D9651">
        <v>0</v>
      </c>
      <c r="E9651">
        <v>0</v>
      </c>
      <c r="F9651" s="2">
        <v>0</v>
      </c>
      <c r="H9651">
        <v>0</v>
      </c>
      <c r="I9651">
        <v>0.1741125760648204</v>
      </c>
      <c r="J9651">
        <v>0</v>
      </c>
      <c r="K9651">
        <v>0</v>
      </c>
      <c r="L9651" s="2">
        <v>0</v>
      </c>
      <c r="M9651">
        <v>94.09</v>
      </c>
      <c r="N9651" t="s">
        <v>10236</v>
      </c>
    </row>
    <row r="9652" spans="1:14">
      <c r="A9652" t="s">
        <v>35</v>
      </c>
      <c r="B9652" t="s">
        <v>9595</v>
      </c>
      <c r="C9652">
        <f>"JW9026V"</f>
        <v>0</v>
      </c>
      <c r="D9652">
        <v>0</v>
      </c>
      <c r="E9652">
        <v>3</v>
      </c>
      <c r="F9652" s="2">
        <v>0</v>
      </c>
      <c r="H9652">
        <v>0</v>
      </c>
      <c r="I9652">
        <v>0.1741125760648204</v>
      </c>
      <c r="J9652">
        <v>0</v>
      </c>
      <c r="K9652">
        <v>0</v>
      </c>
      <c r="L9652" s="2">
        <v>0</v>
      </c>
      <c r="M9652">
        <v>94.09999999999999</v>
      </c>
      <c r="N9652" t="s">
        <v>10236</v>
      </c>
    </row>
    <row r="9653" spans="1:14">
      <c r="A9653" t="s">
        <v>36</v>
      </c>
      <c r="B9653" t="s">
        <v>9596</v>
      </c>
      <c r="C9653">
        <f>"1000146"</f>
        <v>0</v>
      </c>
      <c r="D9653">
        <v>0</v>
      </c>
      <c r="E9653">
        <v>0</v>
      </c>
      <c r="F9653" s="2">
        <v>0</v>
      </c>
      <c r="H9653">
        <v>0</v>
      </c>
      <c r="I9653">
        <v>0.1741125760648204</v>
      </c>
      <c r="J9653">
        <v>0</v>
      </c>
      <c r="K9653">
        <v>0</v>
      </c>
      <c r="L9653" s="2">
        <v>0</v>
      </c>
      <c r="M9653">
        <v>94.09999999999999</v>
      </c>
      <c r="N9653" t="s">
        <v>10236</v>
      </c>
    </row>
    <row r="9654" spans="1:14">
      <c r="A9654" t="s">
        <v>36</v>
      </c>
      <c r="B9654" t="s">
        <v>9597</v>
      </c>
      <c r="C9654">
        <f>"1003758"</f>
        <v>0</v>
      </c>
      <c r="D9654">
        <v>0</v>
      </c>
      <c r="E9654">
        <v>0</v>
      </c>
      <c r="F9654" s="2">
        <v>0</v>
      </c>
      <c r="H9654">
        <v>0</v>
      </c>
      <c r="I9654">
        <v>0.1741125760648204</v>
      </c>
      <c r="J9654">
        <v>0</v>
      </c>
      <c r="K9654">
        <v>0</v>
      </c>
      <c r="L9654" s="2">
        <v>0</v>
      </c>
      <c r="M9654">
        <v>94.11</v>
      </c>
      <c r="N9654" t="s">
        <v>10236</v>
      </c>
    </row>
    <row r="9655" spans="1:14">
      <c r="A9655" t="s">
        <v>24</v>
      </c>
      <c r="B9655" t="s">
        <v>9598</v>
      </c>
      <c r="C9655">
        <f>"DPI037"</f>
        <v>0</v>
      </c>
      <c r="D9655">
        <v>0</v>
      </c>
      <c r="E9655">
        <v>0</v>
      </c>
      <c r="F9655" s="2">
        <v>0</v>
      </c>
      <c r="H9655">
        <v>0</v>
      </c>
      <c r="I9655">
        <v>0.1741125760648204</v>
      </c>
      <c r="J9655">
        <v>0</v>
      </c>
      <c r="K9655">
        <v>0</v>
      </c>
      <c r="L9655" s="2">
        <v>0</v>
      </c>
      <c r="M9655">
        <v>94.12</v>
      </c>
      <c r="N9655" t="s">
        <v>10236</v>
      </c>
    </row>
    <row r="9656" spans="1:14">
      <c r="A9656" t="s">
        <v>35</v>
      </c>
      <c r="B9656" t="s">
        <v>9599</v>
      </c>
      <c r="C9656">
        <f>"HH095XXSNA"</f>
        <v>0</v>
      </c>
      <c r="D9656">
        <v>0</v>
      </c>
      <c r="E9656">
        <v>1</v>
      </c>
      <c r="F9656" s="2">
        <v>6</v>
      </c>
      <c r="H9656">
        <v>0</v>
      </c>
      <c r="I9656">
        <v>0.1741125760648204</v>
      </c>
      <c r="J9656">
        <v>0</v>
      </c>
      <c r="K9656">
        <v>0</v>
      </c>
      <c r="L9656" s="2">
        <v>0</v>
      </c>
      <c r="M9656">
        <v>94.13</v>
      </c>
      <c r="N9656" t="s">
        <v>10236</v>
      </c>
    </row>
    <row r="9657" spans="1:14">
      <c r="A9657" t="s">
        <v>25</v>
      </c>
      <c r="B9657" t="s">
        <v>9439</v>
      </c>
      <c r="C9657">
        <f>"PD20014RXS"</f>
        <v>0</v>
      </c>
      <c r="D9657">
        <v>0</v>
      </c>
      <c r="E9657">
        <v>5</v>
      </c>
      <c r="F9657" s="2">
        <v>0</v>
      </c>
      <c r="H9657">
        <v>0</v>
      </c>
      <c r="I9657">
        <v>0.1741125760648204</v>
      </c>
      <c r="J9657">
        <v>0</v>
      </c>
      <c r="K9657">
        <v>0</v>
      </c>
      <c r="L9657" s="2">
        <v>0</v>
      </c>
      <c r="M9657">
        <v>94.14</v>
      </c>
      <c r="N9657" t="s">
        <v>10236</v>
      </c>
    </row>
    <row r="9658" spans="1:14">
      <c r="A9658" t="s">
        <v>25</v>
      </c>
      <c r="B9658" t="s">
        <v>9439</v>
      </c>
      <c r="C9658">
        <f>"PD20014RS"</f>
        <v>0</v>
      </c>
      <c r="D9658">
        <v>0</v>
      </c>
      <c r="E9658">
        <v>4</v>
      </c>
      <c r="F9658" s="2">
        <v>0</v>
      </c>
      <c r="H9658">
        <v>0</v>
      </c>
      <c r="I9658">
        <v>0.1741125760648204</v>
      </c>
      <c r="J9658">
        <v>0</v>
      </c>
      <c r="K9658">
        <v>0</v>
      </c>
      <c r="L9658" s="2">
        <v>0</v>
      </c>
      <c r="M9658">
        <v>94.15000000000001</v>
      </c>
      <c r="N9658" t="s">
        <v>10236</v>
      </c>
    </row>
    <row r="9659" spans="1:14">
      <c r="A9659" t="s">
        <v>35</v>
      </c>
      <c r="B9659" t="s">
        <v>9600</v>
      </c>
      <c r="C9659">
        <f>"HH095SV"</f>
        <v>0</v>
      </c>
      <c r="D9659">
        <v>0</v>
      </c>
      <c r="E9659">
        <v>1</v>
      </c>
      <c r="F9659" s="2">
        <v>8</v>
      </c>
      <c r="H9659">
        <v>0</v>
      </c>
      <c r="I9659">
        <v>0.1741125760648204</v>
      </c>
      <c r="J9659">
        <v>0</v>
      </c>
      <c r="K9659">
        <v>0</v>
      </c>
      <c r="L9659" s="2">
        <v>0</v>
      </c>
      <c r="M9659">
        <v>94.16</v>
      </c>
      <c r="N9659" t="s">
        <v>10236</v>
      </c>
    </row>
    <row r="9660" spans="1:14">
      <c r="A9660" t="s">
        <v>35</v>
      </c>
      <c r="B9660" t="s">
        <v>9601</v>
      </c>
      <c r="C9660">
        <f>"HH095SROS"</f>
        <v>0</v>
      </c>
      <c r="D9660">
        <v>0</v>
      </c>
      <c r="E9660">
        <v>0</v>
      </c>
      <c r="F9660" s="2">
        <v>0</v>
      </c>
      <c r="H9660">
        <v>0</v>
      </c>
      <c r="I9660">
        <v>0.1741125760648204</v>
      </c>
      <c r="J9660">
        <v>0</v>
      </c>
      <c r="K9660">
        <v>0</v>
      </c>
      <c r="L9660" s="2">
        <v>0</v>
      </c>
      <c r="M9660">
        <v>94.17</v>
      </c>
      <c r="N9660" t="s">
        <v>10236</v>
      </c>
    </row>
    <row r="9661" spans="1:14">
      <c r="A9661" t="s">
        <v>35</v>
      </c>
      <c r="B9661" t="s">
        <v>9602</v>
      </c>
      <c r="C9661">
        <f>"HH095SROJ"</f>
        <v>0</v>
      </c>
      <c r="D9661">
        <v>0</v>
      </c>
      <c r="E9661">
        <v>0</v>
      </c>
      <c r="F9661" s="2">
        <v>0</v>
      </c>
      <c r="H9661">
        <v>0</v>
      </c>
      <c r="I9661">
        <v>0.1741125760648204</v>
      </c>
      <c r="J9661">
        <v>0</v>
      </c>
      <c r="K9661">
        <v>0</v>
      </c>
      <c r="L9661" s="2">
        <v>0</v>
      </c>
      <c r="M9661">
        <v>94.18000000000001</v>
      </c>
      <c r="N9661" t="s">
        <v>10236</v>
      </c>
    </row>
    <row r="9662" spans="1:14">
      <c r="A9662" t="s">
        <v>35</v>
      </c>
      <c r="B9662" t="s">
        <v>9603</v>
      </c>
      <c r="C9662">
        <f>"HH095SNE"</f>
        <v>0</v>
      </c>
      <c r="D9662">
        <v>0</v>
      </c>
      <c r="E9662">
        <v>0</v>
      </c>
      <c r="F9662" s="2">
        <v>0</v>
      </c>
      <c r="H9662">
        <v>0</v>
      </c>
      <c r="I9662">
        <v>0.1741125760648204</v>
      </c>
      <c r="J9662">
        <v>0</v>
      </c>
      <c r="K9662">
        <v>0</v>
      </c>
      <c r="L9662" s="2">
        <v>0</v>
      </c>
      <c r="M9662">
        <v>94.19</v>
      </c>
      <c r="N9662" t="s">
        <v>10236</v>
      </c>
    </row>
    <row r="9663" spans="1:14">
      <c r="A9663" t="s">
        <v>193</v>
      </c>
      <c r="B9663" t="s">
        <v>9604</v>
      </c>
      <c r="C9663">
        <f>"564165"</f>
        <v>0</v>
      </c>
      <c r="D9663">
        <v>0</v>
      </c>
      <c r="E9663">
        <v>0</v>
      </c>
      <c r="F9663" s="2">
        <v>0</v>
      </c>
      <c r="H9663">
        <v>0</v>
      </c>
      <c r="I9663">
        <v>0.1741125760648204</v>
      </c>
      <c r="J9663">
        <v>0</v>
      </c>
      <c r="K9663">
        <v>0</v>
      </c>
      <c r="L9663" s="2">
        <v>0</v>
      </c>
      <c r="M9663">
        <v>94.2</v>
      </c>
      <c r="N9663" t="s">
        <v>10236</v>
      </c>
    </row>
    <row r="9664" spans="1:14">
      <c r="A9664" t="s">
        <v>193</v>
      </c>
      <c r="B9664" t="s">
        <v>9605</v>
      </c>
      <c r="C9664">
        <f>"564653"</f>
        <v>0</v>
      </c>
      <c r="D9664">
        <v>0</v>
      </c>
      <c r="E9664">
        <v>0</v>
      </c>
      <c r="F9664" s="2">
        <v>0</v>
      </c>
      <c r="H9664">
        <v>0</v>
      </c>
      <c r="I9664">
        <v>0.1741125760648204</v>
      </c>
      <c r="J9664">
        <v>0</v>
      </c>
      <c r="K9664">
        <v>0</v>
      </c>
      <c r="L9664" s="2">
        <v>0</v>
      </c>
      <c r="M9664">
        <v>94.20999999999999</v>
      </c>
      <c r="N9664" t="s">
        <v>10236</v>
      </c>
    </row>
    <row r="9665" spans="1:14">
      <c r="A9665" t="s">
        <v>193</v>
      </c>
      <c r="B9665" t="s">
        <v>9606</v>
      </c>
      <c r="C9665">
        <f>"564363"</f>
        <v>0</v>
      </c>
      <c r="D9665">
        <v>0</v>
      </c>
      <c r="E9665">
        <v>0</v>
      </c>
      <c r="F9665" s="2">
        <v>0</v>
      </c>
      <c r="H9665">
        <v>0</v>
      </c>
      <c r="I9665">
        <v>0.1741125760648204</v>
      </c>
      <c r="J9665">
        <v>0</v>
      </c>
      <c r="K9665">
        <v>0</v>
      </c>
      <c r="L9665" s="2">
        <v>0</v>
      </c>
      <c r="M9665">
        <v>94.22</v>
      </c>
      <c r="N9665" t="s">
        <v>10236</v>
      </c>
    </row>
    <row r="9666" spans="1:14">
      <c r="A9666" t="s">
        <v>195</v>
      </c>
      <c r="B9666" t="s">
        <v>9607</v>
      </c>
      <c r="C9666">
        <f>"25702282"</f>
        <v>0</v>
      </c>
      <c r="D9666">
        <v>0</v>
      </c>
      <c r="E9666">
        <v>1</v>
      </c>
      <c r="F9666" s="2">
        <v>9</v>
      </c>
      <c r="H9666">
        <v>0</v>
      </c>
      <c r="I9666">
        <v>0.1741125760648204</v>
      </c>
      <c r="J9666">
        <v>0</v>
      </c>
      <c r="K9666">
        <v>0</v>
      </c>
      <c r="L9666" s="2">
        <v>0</v>
      </c>
      <c r="M9666">
        <v>94.22</v>
      </c>
      <c r="N9666" t="s">
        <v>10236</v>
      </c>
    </row>
    <row r="9667" spans="1:14">
      <c r="A9667" t="s">
        <v>195</v>
      </c>
      <c r="B9667" t="s">
        <v>9608</v>
      </c>
      <c r="C9667">
        <f>"25702283"</f>
        <v>0</v>
      </c>
      <c r="D9667">
        <v>0</v>
      </c>
      <c r="E9667">
        <v>1</v>
      </c>
      <c r="F9667" s="2">
        <v>10</v>
      </c>
      <c r="H9667">
        <v>0</v>
      </c>
      <c r="I9667">
        <v>0.1741125760648204</v>
      </c>
      <c r="J9667">
        <v>0</v>
      </c>
      <c r="K9667">
        <v>0</v>
      </c>
      <c r="L9667" s="2">
        <v>0</v>
      </c>
      <c r="M9667">
        <v>94.23</v>
      </c>
      <c r="N9667" t="s">
        <v>10236</v>
      </c>
    </row>
    <row r="9668" spans="1:14">
      <c r="A9668" t="s">
        <v>195</v>
      </c>
      <c r="B9668" t="s">
        <v>9609</v>
      </c>
      <c r="C9668">
        <f>"25022139"</f>
        <v>0</v>
      </c>
      <c r="D9668">
        <v>0</v>
      </c>
      <c r="E9668">
        <v>0</v>
      </c>
      <c r="F9668" s="2">
        <v>0</v>
      </c>
      <c r="H9668">
        <v>0</v>
      </c>
      <c r="I9668">
        <v>0.1741125760648204</v>
      </c>
      <c r="J9668">
        <v>0</v>
      </c>
      <c r="K9668">
        <v>0</v>
      </c>
      <c r="L9668" s="2">
        <v>0</v>
      </c>
      <c r="M9668">
        <v>94.23999999999999</v>
      </c>
      <c r="N9668" t="s">
        <v>10236</v>
      </c>
    </row>
    <row r="9669" spans="1:14">
      <c r="A9669" t="s">
        <v>213</v>
      </c>
      <c r="B9669" t="s">
        <v>9610</v>
      </c>
      <c r="C9669">
        <f>"402546"</f>
        <v>0</v>
      </c>
      <c r="D9669">
        <v>0</v>
      </c>
      <c r="E9669">
        <v>0</v>
      </c>
      <c r="F9669" s="2">
        <v>0</v>
      </c>
      <c r="H9669">
        <v>0</v>
      </c>
      <c r="I9669">
        <v>0.1741125760648204</v>
      </c>
      <c r="J9669">
        <v>0</v>
      </c>
      <c r="K9669">
        <v>0</v>
      </c>
      <c r="L9669" s="2">
        <v>0</v>
      </c>
      <c r="M9669">
        <v>94.25</v>
      </c>
      <c r="N9669" t="s">
        <v>10236</v>
      </c>
    </row>
    <row r="9670" spans="1:14">
      <c r="A9670" t="s">
        <v>196</v>
      </c>
      <c r="B9670" t="s">
        <v>9611</v>
      </c>
      <c r="C9670">
        <f>"2014"</f>
        <v>0</v>
      </c>
      <c r="D9670">
        <v>0</v>
      </c>
      <c r="E9670">
        <v>0</v>
      </c>
      <c r="F9670" s="2">
        <v>0</v>
      </c>
      <c r="H9670">
        <v>0</v>
      </c>
      <c r="I9670">
        <v>0.1741125760648204</v>
      </c>
      <c r="J9670">
        <v>0</v>
      </c>
      <c r="K9670">
        <v>0</v>
      </c>
      <c r="L9670" s="2">
        <v>0</v>
      </c>
      <c r="M9670">
        <v>94.26000000000001</v>
      </c>
      <c r="N9670" t="s">
        <v>10236</v>
      </c>
    </row>
    <row r="9671" spans="1:14">
      <c r="A9671" t="s">
        <v>192</v>
      </c>
      <c r="B9671" t="s">
        <v>9612</v>
      </c>
      <c r="C9671">
        <f>"6354A"</f>
        <v>0</v>
      </c>
      <c r="D9671">
        <v>0</v>
      </c>
      <c r="E9671">
        <v>0</v>
      </c>
      <c r="F9671" s="2">
        <v>0</v>
      </c>
      <c r="H9671">
        <v>0</v>
      </c>
      <c r="I9671">
        <v>0.1741125760648204</v>
      </c>
      <c r="J9671">
        <v>0</v>
      </c>
      <c r="K9671">
        <v>0</v>
      </c>
      <c r="L9671" s="2">
        <v>0</v>
      </c>
      <c r="M9671">
        <v>94.27</v>
      </c>
      <c r="N9671" t="s">
        <v>10236</v>
      </c>
    </row>
    <row r="9672" spans="1:14">
      <c r="A9672" t="s">
        <v>35</v>
      </c>
      <c r="B9672" t="s">
        <v>9613</v>
      </c>
      <c r="C9672">
        <f>"PCE088"</f>
        <v>0</v>
      </c>
      <c r="D9672">
        <v>0</v>
      </c>
      <c r="E9672">
        <v>0</v>
      </c>
      <c r="F9672" s="2">
        <v>0</v>
      </c>
      <c r="H9672">
        <v>0</v>
      </c>
      <c r="I9672">
        <v>0.1741125760648204</v>
      </c>
      <c r="J9672">
        <v>0</v>
      </c>
      <c r="K9672">
        <v>0</v>
      </c>
      <c r="L9672" s="2">
        <v>0</v>
      </c>
      <c r="M9672">
        <v>94.28</v>
      </c>
      <c r="N9672" t="s">
        <v>10236</v>
      </c>
    </row>
    <row r="9673" spans="1:14">
      <c r="A9673" t="s">
        <v>35</v>
      </c>
      <c r="B9673" t="s">
        <v>9614</v>
      </c>
      <c r="C9673">
        <f>"PCE087"</f>
        <v>0</v>
      </c>
      <c r="D9673">
        <v>0</v>
      </c>
      <c r="E9673">
        <v>0</v>
      </c>
      <c r="F9673" s="2">
        <v>0</v>
      </c>
      <c r="H9673">
        <v>0</v>
      </c>
      <c r="I9673">
        <v>0.1741125760648204</v>
      </c>
      <c r="J9673">
        <v>0</v>
      </c>
      <c r="K9673">
        <v>0</v>
      </c>
      <c r="L9673" s="2">
        <v>0</v>
      </c>
      <c r="M9673">
        <v>94.29000000000001</v>
      </c>
      <c r="N9673" t="s">
        <v>10236</v>
      </c>
    </row>
    <row r="9674" spans="1:14">
      <c r="A9674" t="s">
        <v>35</v>
      </c>
      <c r="B9674" t="s">
        <v>9615</v>
      </c>
      <c r="C9674">
        <f>"PCE085"</f>
        <v>0</v>
      </c>
      <c r="D9674">
        <v>0</v>
      </c>
      <c r="E9674">
        <v>1</v>
      </c>
      <c r="F9674" s="2">
        <v>6</v>
      </c>
      <c r="H9674">
        <v>0</v>
      </c>
      <c r="I9674">
        <v>0.1741125760648204</v>
      </c>
      <c r="J9674">
        <v>0</v>
      </c>
      <c r="K9674">
        <v>0</v>
      </c>
      <c r="L9674" s="2">
        <v>0</v>
      </c>
      <c r="M9674">
        <v>94.3</v>
      </c>
      <c r="N9674" t="s">
        <v>10236</v>
      </c>
    </row>
    <row r="9675" spans="1:14">
      <c r="A9675" t="s">
        <v>35</v>
      </c>
      <c r="B9675" t="s">
        <v>9616</v>
      </c>
      <c r="C9675">
        <f>"PCE083"</f>
        <v>0</v>
      </c>
      <c r="D9675">
        <v>0</v>
      </c>
      <c r="E9675">
        <v>0</v>
      </c>
      <c r="F9675" s="2">
        <v>0</v>
      </c>
      <c r="H9675">
        <v>0</v>
      </c>
      <c r="I9675">
        <v>0.1741125760648204</v>
      </c>
      <c r="J9675">
        <v>0</v>
      </c>
      <c r="K9675">
        <v>0</v>
      </c>
      <c r="L9675" s="2">
        <v>0</v>
      </c>
      <c r="M9675">
        <v>94.31</v>
      </c>
      <c r="N9675" t="s">
        <v>10236</v>
      </c>
    </row>
    <row r="9676" spans="1:14">
      <c r="A9676" t="s">
        <v>35</v>
      </c>
      <c r="B9676" t="s">
        <v>9617</v>
      </c>
      <c r="C9676">
        <f>"PCE084"</f>
        <v>0</v>
      </c>
      <c r="D9676">
        <v>0</v>
      </c>
      <c r="E9676">
        <v>0</v>
      </c>
      <c r="F9676" s="2">
        <v>0</v>
      </c>
      <c r="H9676">
        <v>0</v>
      </c>
      <c r="I9676">
        <v>0.1741125760648204</v>
      </c>
      <c r="J9676">
        <v>0</v>
      </c>
      <c r="K9676">
        <v>0</v>
      </c>
      <c r="L9676" s="2">
        <v>0</v>
      </c>
      <c r="M9676">
        <v>94.31999999999999</v>
      </c>
      <c r="N9676" t="s">
        <v>10236</v>
      </c>
    </row>
    <row r="9677" spans="1:14">
      <c r="A9677" t="s">
        <v>35</v>
      </c>
      <c r="B9677" t="s">
        <v>9618</v>
      </c>
      <c r="C9677">
        <f>"PCE86"</f>
        <v>0</v>
      </c>
      <c r="D9677">
        <v>0</v>
      </c>
      <c r="E9677">
        <v>0</v>
      </c>
      <c r="F9677" s="2">
        <v>0</v>
      </c>
      <c r="H9677">
        <v>0</v>
      </c>
      <c r="I9677">
        <v>0.1741125760648204</v>
      </c>
      <c r="J9677">
        <v>0</v>
      </c>
      <c r="K9677">
        <v>0</v>
      </c>
      <c r="L9677" s="2">
        <v>0</v>
      </c>
      <c r="M9677">
        <v>94.33</v>
      </c>
      <c r="N9677" t="s">
        <v>10236</v>
      </c>
    </row>
    <row r="9678" spans="1:14">
      <c r="A9678" t="s">
        <v>223</v>
      </c>
      <c r="B9678" t="s">
        <v>9619</v>
      </c>
      <c r="C9678">
        <f>"5640015"</f>
        <v>0</v>
      </c>
      <c r="D9678">
        <v>0</v>
      </c>
      <c r="E9678">
        <v>0</v>
      </c>
      <c r="F9678" s="2">
        <v>0</v>
      </c>
      <c r="H9678">
        <v>0</v>
      </c>
      <c r="I9678">
        <v>0.1741125760648204</v>
      </c>
      <c r="J9678">
        <v>0</v>
      </c>
      <c r="K9678">
        <v>0</v>
      </c>
      <c r="L9678" s="2">
        <v>0</v>
      </c>
      <c r="M9678">
        <v>94.33</v>
      </c>
      <c r="N9678" t="s">
        <v>10236</v>
      </c>
    </row>
    <row r="9679" spans="1:14">
      <c r="A9679" t="s">
        <v>35</v>
      </c>
      <c r="B9679" t="s">
        <v>9620</v>
      </c>
      <c r="C9679">
        <f>"KE3500"</f>
        <v>0</v>
      </c>
      <c r="D9679">
        <v>0</v>
      </c>
      <c r="E9679">
        <v>0</v>
      </c>
      <c r="F9679" s="2">
        <v>0</v>
      </c>
      <c r="H9679">
        <v>0</v>
      </c>
      <c r="I9679">
        <v>0.1741125760648204</v>
      </c>
      <c r="J9679">
        <v>0</v>
      </c>
      <c r="K9679">
        <v>0</v>
      </c>
      <c r="L9679" s="2">
        <v>0</v>
      </c>
      <c r="M9679">
        <v>94.34</v>
      </c>
      <c r="N9679" t="s">
        <v>10236</v>
      </c>
    </row>
    <row r="9680" spans="1:14">
      <c r="A9680" t="s">
        <v>25</v>
      </c>
      <c r="B9680" t="s">
        <v>9621</v>
      </c>
      <c r="C9680">
        <f>"ZVP5129"</f>
        <v>0</v>
      </c>
      <c r="D9680">
        <v>0</v>
      </c>
      <c r="E9680">
        <v>1</v>
      </c>
      <c r="F9680" s="2">
        <v>33</v>
      </c>
      <c r="H9680">
        <v>0</v>
      </c>
      <c r="I9680">
        <v>0.1741125760648204</v>
      </c>
      <c r="J9680">
        <v>0</v>
      </c>
      <c r="K9680">
        <v>0</v>
      </c>
      <c r="L9680" s="2">
        <v>0</v>
      </c>
      <c r="M9680">
        <v>94.34999999999999</v>
      </c>
      <c r="N9680" t="s">
        <v>10236</v>
      </c>
    </row>
    <row r="9681" spans="1:14">
      <c r="A9681" t="s">
        <v>223</v>
      </c>
      <c r="B9681" t="s">
        <v>9622</v>
      </c>
      <c r="C9681">
        <f>"10145945"</f>
        <v>0</v>
      </c>
      <c r="D9681">
        <v>0</v>
      </c>
      <c r="E9681">
        <v>0</v>
      </c>
      <c r="F9681" s="2">
        <v>0</v>
      </c>
      <c r="H9681">
        <v>0</v>
      </c>
      <c r="I9681">
        <v>0.1741125760648204</v>
      </c>
      <c r="J9681">
        <v>0</v>
      </c>
      <c r="K9681">
        <v>0</v>
      </c>
      <c r="L9681" s="2">
        <v>0</v>
      </c>
      <c r="M9681">
        <v>94.36</v>
      </c>
      <c r="N9681" t="s">
        <v>10236</v>
      </c>
    </row>
    <row r="9682" spans="1:14">
      <c r="A9682" t="s">
        <v>223</v>
      </c>
      <c r="B9682" t="s">
        <v>9623</v>
      </c>
      <c r="C9682">
        <f>"10145929"</f>
        <v>0</v>
      </c>
      <c r="D9682">
        <v>0</v>
      </c>
      <c r="E9682">
        <v>0</v>
      </c>
      <c r="F9682" s="2">
        <v>0</v>
      </c>
      <c r="H9682">
        <v>0</v>
      </c>
      <c r="I9682">
        <v>0.1741125760648204</v>
      </c>
      <c r="J9682">
        <v>0</v>
      </c>
      <c r="K9682">
        <v>0</v>
      </c>
      <c r="L9682" s="2">
        <v>0</v>
      </c>
      <c r="M9682">
        <v>94.37</v>
      </c>
      <c r="N9682" t="s">
        <v>10236</v>
      </c>
    </row>
    <row r="9683" spans="1:14">
      <c r="A9683" t="s">
        <v>223</v>
      </c>
      <c r="B9683" t="s">
        <v>9624</v>
      </c>
      <c r="C9683">
        <f>"10145939"</f>
        <v>0</v>
      </c>
      <c r="D9683">
        <v>0</v>
      </c>
      <c r="E9683">
        <v>0</v>
      </c>
      <c r="F9683" s="2">
        <v>0</v>
      </c>
      <c r="H9683">
        <v>0</v>
      </c>
      <c r="I9683">
        <v>0.1741125760648204</v>
      </c>
      <c r="J9683">
        <v>0</v>
      </c>
      <c r="K9683">
        <v>0</v>
      </c>
      <c r="L9683" s="2">
        <v>0</v>
      </c>
      <c r="M9683">
        <v>94.38</v>
      </c>
      <c r="N9683" t="s">
        <v>10236</v>
      </c>
    </row>
    <row r="9684" spans="1:14">
      <c r="A9684" t="s">
        <v>223</v>
      </c>
      <c r="B9684" t="s">
        <v>9625</v>
      </c>
      <c r="C9684">
        <f>"1643244443"</f>
        <v>0</v>
      </c>
      <c r="D9684">
        <v>0</v>
      </c>
      <c r="E9684">
        <v>0</v>
      </c>
      <c r="F9684" s="2">
        <v>0</v>
      </c>
      <c r="H9684">
        <v>0</v>
      </c>
      <c r="I9684">
        <v>0.1741125760648204</v>
      </c>
      <c r="J9684">
        <v>0</v>
      </c>
      <c r="K9684">
        <v>0</v>
      </c>
      <c r="L9684" s="2">
        <v>0</v>
      </c>
      <c r="M9684">
        <v>94.39</v>
      </c>
      <c r="N9684" t="s">
        <v>10236</v>
      </c>
    </row>
    <row r="9685" spans="1:14">
      <c r="A9685" t="s">
        <v>223</v>
      </c>
      <c r="B9685" t="s">
        <v>9626</v>
      </c>
      <c r="C9685">
        <f>"704528"</f>
        <v>0</v>
      </c>
      <c r="D9685">
        <v>0</v>
      </c>
      <c r="E9685">
        <v>0</v>
      </c>
      <c r="F9685" s="2">
        <v>0</v>
      </c>
      <c r="H9685">
        <v>0</v>
      </c>
      <c r="I9685">
        <v>0.1741125760648204</v>
      </c>
      <c r="J9685">
        <v>0</v>
      </c>
      <c r="K9685">
        <v>0</v>
      </c>
      <c r="L9685" s="2">
        <v>0</v>
      </c>
      <c r="M9685">
        <v>94.40000000000001</v>
      </c>
      <c r="N9685" t="s">
        <v>10236</v>
      </c>
    </row>
    <row r="9686" spans="1:14">
      <c r="A9686" t="s">
        <v>223</v>
      </c>
      <c r="B9686" t="s">
        <v>9627</v>
      </c>
      <c r="C9686">
        <f>"10145921"</f>
        <v>0</v>
      </c>
      <c r="D9686">
        <v>0</v>
      </c>
      <c r="E9686">
        <v>0</v>
      </c>
      <c r="F9686" s="2">
        <v>0</v>
      </c>
      <c r="H9686">
        <v>0</v>
      </c>
      <c r="I9686">
        <v>0.1741125760648204</v>
      </c>
      <c r="J9686">
        <v>0</v>
      </c>
      <c r="K9686">
        <v>0</v>
      </c>
      <c r="L9686" s="2">
        <v>0</v>
      </c>
      <c r="M9686">
        <v>94.41</v>
      </c>
      <c r="N9686" t="s">
        <v>10236</v>
      </c>
    </row>
    <row r="9687" spans="1:14">
      <c r="A9687" t="s">
        <v>192</v>
      </c>
      <c r="B9687" t="s">
        <v>9628</v>
      </c>
      <c r="C9687">
        <f>"EH1214"</f>
        <v>0</v>
      </c>
      <c r="D9687">
        <v>0</v>
      </c>
      <c r="E9687">
        <v>0</v>
      </c>
      <c r="F9687" s="2">
        <v>0</v>
      </c>
      <c r="H9687">
        <v>0</v>
      </c>
      <c r="I9687">
        <v>0.1741125760648204</v>
      </c>
      <c r="J9687">
        <v>0</v>
      </c>
      <c r="K9687">
        <v>0</v>
      </c>
      <c r="L9687" s="2">
        <v>0</v>
      </c>
      <c r="M9687">
        <v>94.42</v>
      </c>
      <c r="N9687" t="s">
        <v>10236</v>
      </c>
    </row>
    <row r="9688" spans="1:14">
      <c r="A9688" t="s">
        <v>32</v>
      </c>
      <c r="B9688" t="s">
        <v>9629</v>
      </c>
      <c r="C9688">
        <f>"5000051"</f>
        <v>0</v>
      </c>
      <c r="D9688">
        <v>0</v>
      </c>
      <c r="E9688">
        <v>0</v>
      </c>
      <c r="F9688" s="2">
        <v>0</v>
      </c>
      <c r="H9688">
        <v>0</v>
      </c>
      <c r="I9688">
        <v>0.1741125760648204</v>
      </c>
      <c r="J9688">
        <v>0</v>
      </c>
      <c r="K9688">
        <v>0</v>
      </c>
      <c r="L9688" s="2">
        <v>0</v>
      </c>
      <c r="M9688">
        <v>94.43000000000001</v>
      </c>
      <c r="N9688" t="s">
        <v>10236</v>
      </c>
    </row>
    <row r="9689" spans="1:14">
      <c r="A9689" t="s">
        <v>223</v>
      </c>
      <c r="B9689" t="s">
        <v>9630</v>
      </c>
      <c r="C9689">
        <f>"3361015"</f>
        <v>0</v>
      </c>
      <c r="D9689">
        <v>0</v>
      </c>
      <c r="E9689">
        <v>0</v>
      </c>
      <c r="F9689" s="2">
        <v>0</v>
      </c>
      <c r="H9689">
        <v>0</v>
      </c>
      <c r="I9689">
        <v>0.1741125760648204</v>
      </c>
      <c r="J9689">
        <v>0</v>
      </c>
      <c r="K9689">
        <v>0</v>
      </c>
      <c r="L9689" s="2">
        <v>0</v>
      </c>
      <c r="M9689">
        <v>94.44</v>
      </c>
      <c r="N9689" t="s">
        <v>10236</v>
      </c>
    </row>
    <row r="9690" spans="1:14">
      <c r="A9690" t="s">
        <v>202</v>
      </c>
      <c r="B9690" t="s">
        <v>9631</v>
      </c>
      <c r="C9690">
        <f>"21001066"</f>
        <v>0</v>
      </c>
      <c r="D9690">
        <v>0</v>
      </c>
      <c r="E9690">
        <v>0</v>
      </c>
      <c r="F9690" s="2">
        <v>0</v>
      </c>
      <c r="H9690">
        <v>0</v>
      </c>
      <c r="I9690">
        <v>0.1741125760648204</v>
      </c>
      <c r="J9690">
        <v>0</v>
      </c>
      <c r="K9690">
        <v>0</v>
      </c>
      <c r="L9690" s="2">
        <v>0</v>
      </c>
      <c r="M9690">
        <v>94.45</v>
      </c>
      <c r="N9690" t="s">
        <v>10236</v>
      </c>
    </row>
    <row r="9691" spans="1:14">
      <c r="A9691" t="s">
        <v>218</v>
      </c>
      <c r="B9691" t="s">
        <v>9632</v>
      </c>
      <c r="C9691">
        <f>"1011884"</f>
        <v>0</v>
      </c>
      <c r="D9691">
        <v>0</v>
      </c>
      <c r="E9691">
        <v>0</v>
      </c>
      <c r="F9691" s="2">
        <v>0</v>
      </c>
      <c r="H9691">
        <v>0</v>
      </c>
      <c r="I9691">
        <v>0.1741125760648204</v>
      </c>
      <c r="J9691">
        <v>0</v>
      </c>
      <c r="K9691">
        <v>0</v>
      </c>
      <c r="L9691" s="2">
        <v>0</v>
      </c>
      <c r="M9691">
        <v>94.45</v>
      </c>
      <c r="N9691" t="s">
        <v>10236</v>
      </c>
    </row>
    <row r="9692" spans="1:14">
      <c r="A9692" t="s">
        <v>32</v>
      </c>
      <c r="B9692" t="s">
        <v>9633</v>
      </c>
      <c r="C9692">
        <f>"CHE093"</f>
        <v>0</v>
      </c>
      <c r="D9692">
        <v>0</v>
      </c>
      <c r="E9692">
        <v>0</v>
      </c>
      <c r="F9692" s="2">
        <v>0</v>
      </c>
      <c r="H9692">
        <v>0</v>
      </c>
      <c r="I9692">
        <v>0.1741125760648204</v>
      </c>
      <c r="J9692">
        <v>0</v>
      </c>
      <c r="K9692">
        <v>0</v>
      </c>
      <c r="L9692" s="2">
        <v>0</v>
      </c>
      <c r="M9692">
        <v>94.45999999999999</v>
      </c>
      <c r="N9692" t="s">
        <v>10236</v>
      </c>
    </row>
    <row r="9693" spans="1:14">
      <c r="A9693" t="s">
        <v>35</v>
      </c>
      <c r="B9693" t="s">
        <v>9634</v>
      </c>
      <c r="C9693">
        <f>"HH095XSROJ"</f>
        <v>0</v>
      </c>
      <c r="D9693">
        <v>0</v>
      </c>
      <c r="E9693">
        <v>0</v>
      </c>
      <c r="F9693" s="2">
        <v>0</v>
      </c>
      <c r="H9693">
        <v>0</v>
      </c>
      <c r="I9693">
        <v>0.1741125760648204</v>
      </c>
      <c r="J9693">
        <v>0</v>
      </c>
      <c r="K9693">
        <v>0</v>
      </c>
      <c r="L9693" s="2">
        <v>0</v>
      </c>
      <c r="M9693">
        <v>94.47</v>
      </c>
      <c r="N9693" t="s">
        <v>10236</v>
      </c>
    </row>
    <row r="9694" spans="1:14">
      <c r="A9694" t="s">
        <v>35</v>
      </c>
      <c r="B9694" t="s">
        <v>9635</v>
      </c>
      <c r="C9694">
        <f>"HH095XSNE"</f>
        <v>0</v>
      </c>
      <c r="D9694">
        <v>0</v>
      </c>
      <c r="E9694">
        <v>1</v>
      </c>
      <c r="F9694" s="2">
        <v>7</v>
      </c>
      <c r="H9694">
        <v>0</v>
      </c>
      <c r="I9694">
        <v>0.1741125760648204</v>
      </c>
      <c r="J9694">
        <v>0</v>
      </c>
      <c r="K9694">
        <v>0</v>
      </c>
      <c r="L9694" s="2">
        <v>0</v>
      </c>
      <c r="M9694">
        <v>94.48</v>
      </c>
      <c r="N9694" t="s">
        <v>10236</v>
      </c>
    </row>
    <row r="9695" spans="1:14">
      <c r="A9695" t="s">
        <v>35</v>
      </c>
      <c r="B9695" t="s">
        <v>9636</v>
      </c>
      <c r="C9695">
        <f>"HH095XSMO"</f>
        <v>0</v>
      </c>
      <c r="D9695">
        <v>0</v>
      </c>
      <c r="E9695">
        <v>1</v>
      </c>
      <c r="F9695" s="2">
        <v>6</v>
      </c>
      <c r="H9695">
        <v>0</v>
      </c>
      <c r="I9695">
        <v>0.1741125760648204</v>
      </c>
      <c r="J9695">
        <v>0</v>
      </c>
      <c r="K9695">
        <v>0</v>
      </c>
      <c r="L9695" s="2">
        <v>0</v>
      </c>
      <c r="M9695">
        <v>94.48999999999999</v>
      </c>
      <c r="N9695" t="s">
        <v>10236</v>
      </c>
    </row>
    <row r="9696" spans="1:14">
      <c r="A9696" t="s">
        <v>35</v>
      </c>
      <c r="B9696" t="s">
        <v>9637</v>
      </c>
      <c r="C9696">
        <f>"SW003XL"</f>
        <v>0</v>
      </c>
      <c r="D9696">
        <v>0</v>
      </c>
      <c r="E9696">
        <v>0</v>
      </c>
      <c r="F9696" s="2">
        <v>0</v>
      </c>
      <c r="H9696">
        <v>0</v>
      </c>
      <c r="I9696">
        <v>0.1741125760648204</v>
      </c>
      <c r="J9696">
        <v>0</v>
      </c>
      <c r="K9696">
        <v>0</v>
      </c>
      <c r="L9696" s="2">
        <v>0</v>
      </c>
      <c r="M9696">
        <v>94.5</v>
      </c>
      <c r="N9696" t="s">
        <v>10236</v>
      </c>
    </row>
    <row r="9697" spans="1:14">
      <c r="A9697" t="s">
        <v>35</v>
      </c>
      <c r="B9697" t="s">
        <v>9638</v>
      </c>
      <c r="C9697">
        <f>"ACA45"</f>
        <v>0</v>
      </c>
      <c r="D9697">
        <v>0</v>
      </c>
      <c r="E9697">
        <v>19</v>
      </c>
      <c r="F9697" s="2">
        <v>1</v>
      </c>
      <c r="H9697">
        <v>0</v>
      </c>
      <c r="I9697">
        <v>0.1741125760648204</v>
      </c>
      <c r="J9697">
        <v>0</v>
      </c>
      <c r="K9697">
        <v>0</v>
      </c>
      <c r="L9697" s="2">
        <v>0</v>
      </c>
      <c r="M9697">
        <v>94.51000000000001</v>
      </c>
      <c r="N9697" t="s">
        <v>10236</v>
      </c>
    </row>
    <row r="9698" spans="1:14">
      <c r="A9698" t="s">
        <v>35</v>
      </c>
      <c r="B9698" t="s">
        <v>9639</v>
      </c>
      <c r="C9698">
        <f>"ACA40"</f>
        <v>0</v>
      </c>
      <c r="D9698">
        <v>0</v>
      </c>
      <c r="E9698">
        <v>5</v>
      </c>
      <c r="F9698" s="2">
        <v>1</v>
      </c>
      <c r="H9698">
        <v>0</v>
      </c>
      <c r="I9698">
        <v>0.1741125760648204</v>
      </c>
      <c r="J9698">
        <v>0</v>
      </c>
      <c r="K9698">
        <v>0</v>
      </c>
      <c r="L9698" s="2">
        <v>0</v>
      </c>
      <c r="M9698">
        <v>94.52</v>
      </c>
      <c r="N9698" t="s">
        <v>10236</v>
      </c>
    </row>
    <row r="9699" spans="1:14">
      <c r="A9699" t="s">
        <v>29</v>
      </c>
      <c r="B9699" t="s">
        <v>9640</v>
      </c>
      <c r="C9699">
        <f>"AS14W"</f>
        <v>0</v>
      </c>
      <c r="D9699">
        <v>0</v>
      </c>
      <c r="E9699">
        <v>5</v>
      </c>
      <c r="F9699" s="2">
        <v>19</v>
      </c>
      <c r="H9699">
        <v>0</v>
      </c>
      <c r="I9699">
        <v>0.1741125760648204</v>
      </c>
      <c r="J9699">
        <v>0</v>
      </c>
      <c r="K9699">
        <v>0</v>
      </c>
      <c r="L9699" s="2">
        <v>0</v>
      </c>
      <c r="M9699">
        <v>94.53</v>
      </c>
      <c r="N9699" t="s">
        <v>10236</v>
      </c>
    </row>
    <row r="9700" spans="1:14">
      <c r="A9700" t="s">
        <v>29</v>
      </c>
      <c r="B9700" t="s">
        <v>9641</v>
      </c>
      <c r="C9700">
        <f>"AS8W"</f>
        <v>0</v>
      </c>
      <c r="D9700">
        <v>0</v>
      </c>
      <c r="E9700">
        <v>11</v>
      </c>
      <c r="F9700" s="2">
        <v>13</v>
      </c>
      <c r="H9700">
        <v>0</v>
      </c>
      <c r="I9700">
        <v>0.1741125760648204</v>
      </c>
      <c r="J9700">
        <v>0</v>
      </c>
      <c r="K9700">
        <v>0</v>
      </c>
      <c r="L9700" s="2">
        <v>0</v>
      </c>
      <c r="M9700">
        <v>94.54000000000001</v>
      </c>
      <c r="N9700" t="s">
        <v>10236</v>
      </c>
    </row>
    <row r="9701" spans="1:14">
      <c r="A9701" t="s">
        <v>24</v>
      </c>
      <c r="B9701" t="s">
        <v>9642</v>
      </c>
      <c r="C9701">
        <f>"DPI237"</f>
        <v>0</v>
      </c>
      <c r="D9701">
        <v>0</v>
      </c>
      <c r="E9701">
        <v>1</v>
      </c>
      <c r="F9701" s="2">
        <v>10</v>
      </c>
      <c r="H9701">
        <v>0</v>
      </c>
      <c r="I9701">
        <v>0.1741125760648204</v>
      </c>
      <c r="J9701">
        <v>0</v>
      </c>
      <c r="K9701">
        <v>0</v>
      </c>
      <c r="L9701" s="2">
        <v>0</v>
      </c>
      <c r="M9701">
        <v>94.55</v>
      </c>
      <c r="N9701" t="s">
        <v>10236</v>
      </c>
    </row>
    <row r="9702" spans="1:14">
      <c r="A9702" t="s">
        <v>25</v>
      </c>
      <c r="B9702" t="s">
        <v>9643</v>
      </c>
      <c r="C9702">
        <f>"PD20014VL"</f>
        <v>0</v>
      </c>
      <c r="D9702">
        <v>0</v>
      </c>
      <c r="E9702">
        <v>5</v>
      </c>
      <c r="F9702" s="2">
        <v>0</v>
      </c>
      <c r="H9702">
        <v>0</v>
      </c>
      <c r="I9702">
        <v>0.1741125760648204</v>
      </c>
      <c r="J9702">
        <v>0</v>
      </c>
      <c r="K9702">
        <v>0</v>
      </c>
      <c r="L9702" s="2">
        <v>0</v>
      </c>
      <c r="M9702">
        <v>94.56</v>
      </c>
      <c r="N9702" t="s">
        <v>10236</v>
      </c>
    </row>
    <row r="9703" spans="1:14">
      <c r="A9703" t="s">
        <v>30</v>
      </c>
      <c r="B9703" t="s">
        <v>9644</v>
      </c>
      <c r="C9703">
        <f>"100692"</f>
        <v>0</v>
      </c>
      <c r="D9703">
        <v>0</v>
      </c>
      <c r="E9703">
        <v>0</v>
      </c>
      <c r="F9703" s="2">
        <v>0</v>
      </c>
      <c r="H9703">
        <v>0</v>
      </c>
      <c r="I9703">
        <v>0.1741125760648204</v>
      </c>
      <c r="J9703">
        <v>0</v>
      </c>
      <c r="K9703">
        <v>0</v>
      </c>
      <c r="L9703" s="2">
        <v>0</v>
      </c>
      <c r="M9703">
        <v>94.56999999999999</v>
      </c>
      <c r="N9703" t="s">
        <v>10236</v>
      </c>
    </row>
    <row r="9704" spans="1:14">
      <c r="A9704" t="s">
        <v>30</v>
      </c>
      <c r="B9704" t="s">
        <v>9645</v>
      </c>
      <c r="C9704">
        <f>"100691"</f>
        <v>0</v>
      </c>
      <c r="D9704">
        <v>0</v>
      </c>
      <c r="E9704">
        <v>0</v>
      </c>
      <c r="F9704" s="2">
        <v>0</v>
      </c>
      <c r="H9704">
        <v>0</v>
      </c>
      <c r="I9704">
        <v>0.1741125760648204</v>
      </c>
      <c r="J9704">
        <v>0</v>
      </c>
      <c r="K9704">
        <v>0</v>
      </c>
      <c r="L9704" s="2">
        <v>0</v>
      </c>
      <c r="M9704">
        <v>94.56999999999999</v>
      </c>
      <c r="N9704" t="s">
        <v>10236</v>
      </c>
    </row>
    <row r="9705" spans="1:14">
      <c r="A9705" t="s">
        <v>223</v>
      </c>
      <c r="B9705" t="s">
        <v>9646</v>
      </c>
      <c r="C9705">
        <f>"5445120"</f>
        <v>0</v>
      </c>
      <c r="D9705">
        <v>0</v>
      </c>
      <c r="E9705">
        <v>0</v>
      </c>
      <c r="F9705" s="2">
        <v>0</v>
      </c>
      <c r="H9705">
        <v>0</v>
      </c>
      <c r="I9705">
        <v>0.1741125760648204</v>
      </c>
      <c r="J9705">
        <v>0</v>
      </c>
      <c r="K9705">
        <v>0</v>
      </c>
      <c r="L9705" s="2">
        <v>0</v>
      </c>
      <c r="M9705">
        <v>94.58</v>
      </c>
      <c r="N9705" t="s">
        <v>10236</v>
      </c>
    </row>
    <row r="9706" spans="1:14">
      <c r="A9706" t="s">
        <v>195</v>
      </c>
      <c r="B9706" t="s">
        <v>9647</v>
      </c>
      <c r="C9706">
        <f>"25702071"</f>
        <v>0</v>
      </c>
      <c r="D9706">
        <v>0</v>
      </c>
      <c r="E9706">
        <v>0</v>
      </c>
      <c r="F9706" s="2">
        <v>0</v>
      </c>
      <c r="H9706">
        <v>0</v>
      </c>
      <c r="I9706">
        <v>0.1741125760648204</v>
      </c>
      <c r="J9706">
        <v>0</v>
      </c>
      <c r="K9706">
        <v>0</v>
      </c>
      <c r="L9706" s="2">
        <v>0</v>
      </c>
      <c r="M9706">
        <v>94.59</v>
      </c>
      <c r="N9706" t="s">
        <v>10236</v>
      </c>
    </row>
    <row r="9707" spans="1:14">
      <c r="A9707" t="s">
        <v>195</v>
      </c>
      <c r="B9707" t="s">
        <v>9648</v>
      </c>
      <c r="C9707">
        <f>"25702047"</f>
        <v>0</v>
      </c>
      <c r="D9707">
        <v>0</v>
      </c>
      <c r="E9707">
        <v>0</v>
      </c>
      <c r="F9707" s="2">
        <v>0</v>
      </c>
      <c r="H9707">
        <v>0</v>
      </c>
      <c r="I9707">
        <v>0.1741125760648204</v>
      </c>
      <c r="J9707">
        <v>0</v>
      </c>
      <c r="K9707">
        <v>0</v>
      </c>
      <c r="L9707" s="2">
        <v>0</v>
      </c>
      <c r="M9707">
        <v>94.59999999999999</v>
      </c>
      <c r="N9707" t="s">
        <v>10236</v>
      </c>
    </row>
    <row r="9708" spans="1:14">
      <c r="A9708" t="s">
        <v>31</v>
      </c>
      <c r="B9708" t="s">
        <v>9649</v>
      </c>
      <c r="C9708">
        <f>"RCM049"</f>
        <v>0</v>
      </c>
      <c r="D9708">
        <v>0</v>
      </c>
      <c r="E9708">
        <v>0</v>
      </c>
      <c r="F9708" s="2">
        <v>0</v>
      </c>
      <c r="H9708">
        <v>0</v>
      </c>
      <c r="I9708">
        <v>0.1741125760648204</v>
      </c>
      <c r="J9708">
        <v>0</v>
      </c>
      <c r="K9708">
        <v>0</v>
      </c>
      <c r="L9708" s="2">
        <v>0</v>
      </c>
      <c r="M9708">
        <v>94.61</v>
      </c>
      <c r="N9708" t="s">
        <v>10236</v>
      </c>
    </row>
    <row r="9709" spans="1:14">
      <c r="A9709" t="s">
        <v>32</v>
      </c>
      <c r="B9709" t="s">
        <v>9650</v>
      </c>
      <c r="C9709">
        <f>"RCM061"</f>
        <v>0</v>
      </c>
      <c r="D9709">
        <v>0</v>
      </c>
      <c r="E9709">
        <v>0</v>
      </c>
      <c r="F9709" s="2">
        <v>0</v>
      </c>
      <c r="H9709">
        <v>0</v>
      </c>
      <c r="I9709">
        <v>0.1741125760648204</v>
      </c>
      <c r="J9709">
        <v>0</v>
      </c>
      <c r="K9709">
        <v>0</v>
      </c>
      <c r="L9709" s="2">
        <v>0</v>
      </c>
      <c r="M9709">
        <v>94.62</v>
      </c>
      <c r="N9709" t="s">
        <v>10236</v>
      </c>
    </row>
    <row r="9710" spans="1:14">
      <c r="A9710" t="s">
        <v>203</v>
      </c>
      <c r="B9710" t="s">
        <v>9651</v>
      </c>
      <c r="C9710">
        <f>"YT108868"</f>
        <v>0</v>
      </c>
      <c r="D9710">
        <v>0</v>
      </c>
      <c r="E9710">
        <v>1</v>
      </c>
      <c r="F9710" s="2">
        <v>0</v>
      </c>
      <c r="H9710">
        <v>0</v>
      </c>
      <c r="I9710">
        <v>0.1741125760648204</v>
      </c>
      <c r="J9710">
        <v>0</v>
      </c>
      <c r="K9710">
        <v>0</v>
      </c>
      <c r="L9710" s="2">
        <v>0</v>
      </c>
      <c r="M9710">
        <v>94.63</v>
      </c>
      <c r="N9710" t="s">
        <v>10236</v>
      </c>
    </row>
    <row r="9711" spans="1:14">
      <c r="A9711" t="s">
        <v>30</v>
      </c>
      <c r="B9711" t="s">
        <v>9652</v>
      </c>
      <c r="C9711">
        <f>"520473"</f>
        <v>0</v>
      </c>
      <c r="D9711">
        <v>0</v>
      </c>
      <c r="E9711">
        <v>0</v>
      </c>
      <c r="F9711" s="2">
        <v>0</v>
      </c>
      <c r="H9711">
        <v>0</v>
      </c>
      <c r="I9711">
        <v>0.1741125760648204</v>
      </c>
      <c r="J9711">
        <v>0</v>
      </c>
      <c r="K9711">
        <v>0</v>
      </c>
      <c r="L9711" s="2">
        <v>0</v>
      </c>
      <c r="M9711">
        <v>94.64</v>
      </c>
      <c r="N9711" t="s">
        <v>10236</v>
      </c>
    </row>
    <row r="9712" spans="1:14">
      <c r="A9712" t="s">
        <v>30</v>
      </c>
      <c r="B9712" t="s">
        <v>9653</v>
      </c>
      <c r="C9712">
        <f>"100610"</f>
        <v>0</v>
      </c>
      <c r="D9712">
        <v>0</v>
      </c>
      <c r="E9712">
        <v>0</v>
      </c>
      <c r="F9712" s="2">
        <v>0</v>
      </c>
      <c r="H9712">
        <v>0</v>
      </c>
      <c r="I9712">
        <v>0.1741125760648204</v>
      </c>
      <c r="J9712">
        <v>0</v>
      </c>
      <c r="K9712">
        <v>0</v>
      </c>
      <c r="L9712" s="2">
        <v>0</v>
      </c>
      <c r="M9712">
        <v>94.65000000000001</v>
      </c>
      <c r="N9712" t="s">
        <v>10236</v>
      </c>
    </row>
    <row r="9713" spans="1:14">
      <c r="A9713" t="s">
        <v>35</v>
      </c>
      <c r="B9713" t="s">
        <v>9654</v>
      </c>
      <c r="C9713">
        <f>"SW003M"</f>
        <v>0</v>
      </c>
      <c r="D9713">
        <v>0</v>
      </c>
      <c r="E9713">
        <v>0</v>
      </c>
      <c r="F9713" s="2">
        <v>0</v>
      </c>
      <c r="H9713">
        <v>0</v>
      </c>
      <c r="I9713">
        <v>0.1741125760648204</v>
      </c>
      <c r="J9713">
        <v>0</v>
      </c>
      <c r="K9713">
        <v>0</v>
      </c>
      <c r="L9713" s="2">
        <v>0</v>
      </c>
      <c r="M9713">
        <v>94.66</v>
      </c>
      <c r="N9713" t="s">
        <v>10236</v>
      </c>
    </row>
    <row r="9714" spans="1:14">
      <c r="A9714" t="s">
        <v>35</v>
      </c>
      <c r="B9714" t="s">
        <v>9655</v>
      </c>
      <c r="C9714">
        <f>"SW003L"</f>
        <v>0</v>
      </c>
      <c r="D9714">
        <v>0</v>
      </c>
      <c r="E9714">
        <v>0</v>
      </c>
      <c r="F9714" s="2">
        <v>0</v>
      </c>
      <c r="H9714">
        <v>0</v>
      </c>
      <c r="I9714">
        <v>0.1741125760648204</v>
      </c>
      <c r="J9714">
        <v>0</v>
      </c>
      <c r="K9714">
        <v>0</v>
      </c>
      <c r="L9714" s="2">
        <v>0</v>
      </c>
      <c r="M9714">
        <v>94.67</v>
      </c>
      <c r="N9714" t="s">
        <v>10236</v>
      </c>
    </row>
    <row r="9715" spans="1:14">
      <c r="A9715" t="s">
        <v>25</v>
      </c>
      <c r="B9715" t="s">
        <v>9643</v>
      </c>
      <c r="C9715">
        <f>"PD20014VXS"</f>
        <v>0</v>
      </c>
      <c r="D9715">
        <v>0</v>
      </c>
      <c r="E9715">
        <v>2</v>
      </c>
      <c r="F9715" s="2">
        <v>0</v>
      </c>
      <c r="H9715">
        <v>0</v>
      </c>
      <c r="I9715">
        <v>0.1741125760648204</v>
      </c>
      <c r="J9715">
        <v>0</v>
      </c>
      <c r="K9715">
        <v>0</v>
      </c>
      <c r="L9715" s="2">
        <v>0</v>
      </c>
      <c r="M9715">
        <v>94.68000000000001</v>
      </c>
      <c r="N9715" t="s">
        <v>10236</v>
      </c>
    </row>
    <row r="9716" spans="1:14">
      <c r="A9716" t="s">
        <v>25</v>
      </c>
      <c r="B9716" t="s">
        <v>9643</v>
      </c>
      <c r="C9716">
        <f>"PD20014VS"</f>
        <v>0</v>
      </c>
      <c r="D9716">
        <v>0</v>
      </c>
      <c r="E9716">
        <v>4</v>
      </c>
      <c r="F9716" s="2">
        <v>0</v>
      </c>
      <c r="H9716">
        <v>0</v>
      </c>
      <c r="I9716">
        <v>0.1741125760648204</v>
      </c>
      <c r="J9716">
        <v>0</v>
      </c>
      <c r="K9716">
        <v>0</v>
      </c>
      <c r="L9716" s="2">
        <v>0</v>
      </c>
      <c r="M9716">
        <v>94.69</v>
      </c>
      <c r="N9716" t="s">
        <v>10236</v>
      </c>
    </row>
    <row r="9717" spans="1:14">
      <c r="A9717" t="s">
        <v>25</v>
      </c>
      <c r="B9717" t="s">
        <v>9643</v>
      </c>
      <c r="C9717">
        <f>"PD20014VM"</f>
        <v>0</v>
      </c>
      <c r="D9717">
        <v>0</v>
      </c>
      <c r="E9717">
        <v>2</v>
      </c>
      <c r="F9717" s="2">
        <v>0</v>
      </c>
      <c r="H9717">
        <v>0</v>
      </c>
      <c r="I9717">
        <v>0.1741125760648204</v>
      </c>
      <c r="J9717">
        <v>0</v>
      </c>
      <c r="K9717">
        <v>0</v>
      </c>
      <c r="L9717" s="2">
        <v>0</v>
      </c>
      <c r="M9717">
        <v>94.69</v>
      </c>
      <c r="N9717" t="s">
        <v>10236</v>
      </c>
    </row>
    <row r="9718" spans="1:14">
      <c r="A9718" t="s">
        <v>25</v>
      </c>
      <c r="B9718" t="s">
        <v>9656</v>
      </c>
      <c r="C9718">
        <f>"AYCS2601"</f>
        <v>0</v>
      </c>
      <c r="D9718">
        <v>0</v>
      </c>
      <c r="E9718">
        <v>0</v>
      </c>
      <c r="F9718" s="2">
        <v>0</v>
      </c>
      <c r="H9718">
        <v>0</v>
      </c>
      <c r="I9718">
        <v>0.1741125760648204</v>
      </c>
      <c r="J9718">
        <v>0</v>
      </c>
      <c r="K9718">
        <v>0</v>
      </c>
      <c r="L9718" s="2">
        <v>0</v>
      </c>
      <c r="M9718">
        <v>94.7</v>
      </c>
      <c r="N9718" t="s">
        <v>10236</v>
      </c>
    </row>
    <row r="9719" spans="1:14">
      <c r="A9719" t="s">
        <v>35</v>
      </c>
      <c r="B9719" t="s">
        <v>9657</v>
      </c>
      <c r="C9719">
        <f>"HH095MCE"</f>
        <v>0</v>
      </c>
      <c r="D9719">
        <v>0</v>
      </c>
      <c r="E9719">
        <v>0</v>
      </c>
      <c r="F9719" s="2">
        <v>0</v>
      </c>
      <c r="H9719">
        <v>0</v>
      </c>
      <c r="I9719">
        <v>0.1741125760648204</v>
      </c>
      <c r="J9719">
        <v>0</v>
      </c>
      <c r="K9719">
        <v>0</v>
      </c>
      <c r="L9719" s="2">
        <v>0</v>
      </c>
      <c r="M9719">
        <v>94.70999999999999</v>
      </c>
      <c r="N9719" t="s">
        <v>10236</v>
      </c>
    </row>
    <row r="9720" spans="1:14">
      <c r="A9720" t="s">
        <v>35</v>
      </c>
      <c r="B9720" t="s">
        <v>9658</v>
      </c>
      <c r="C9720">
        <f>"HH095LV"</f>
        <v>0</v>
      </c>
      <c r="D9720">
        <v>0</v>
      </c>
      <c r="E9720">
        <v>0</v>
      </c>
      <c r="F9720" s="2">
        <v>0</v>
      </c>
      <c r="H9720">
        <v>0</v>
      </c>
      <c r="I9720">
        <v>0.1741125760648204</v>
      </c>
      <c r="J9720">
        <v>0</v>
      </c>
      <c r="K9720">
        <v>0</v>
      </c>
      <c r="L9720" s="2">
        <v>0</v>
      </c>
      <c r="M9720">
        <v>94.72</v>
      </c>
      <c r="N9720" t="s">
        <v>10236</v>
      </c>
    </row>
    <row r="9721" spans="1:14">
      <c r="A9721" t="s">
        <v>35</v>
      </c>
      <c r="B9721" t="s">
        <v>9659</v>
      </c>
      <c r="C9721">
        <f>"HH095XXLFU"</f>
        <v>0</v>
      </c>
      <c r="D9721">
        <v>0</v>
      </c>
      <c r="E9721">
        <v>0</v>
      </c>
      <c r="F9721" s="2">
        <v>0</v>
      </c>
      <c r="H9721">
        <v>0</v>
      </c>
      <c r="I9721">
        <v>0.1741125760648204</v>
      </c>
      <c r="J9721">
        <v>0</v>
      </c>
      <c r="K9721">
        <v>0</v>
      </c>
      <c r="L9721" s="2">
        <v>0</v>
      </c>
      <c r="M9721">
        <v>94.73</v>
      </c>
      <c r="N9721" t="s">
        <v>10236</v>
      </c>
    </row>
    <row r="9722" spans="1:14">
      <c r="A9722" t="s">
        <v>35</v>
      </c>
      <c r="B9722" t="s">
        <v>9660</v>
      </c>
      <c r="C9722">
        <f>"HH095XXLCE"</f>
        <v>0</v>
      </c>
      <c r="D9722">
        <v>0</v>
      </c>
      <c r="E9722">
        <v>1</v>
      </c>
      <c r="F9722" s="2">
        <v>13</v>
      </c>
      <c r="H9722">
        <v>0</v>
      </c>
      <c r="I9722">
        <v>0.1741125760648204</v>
      </c>
      <c r="J9722">
        <v>0</v>
      </c>
      <c r="K9722">
        <v>0</v>
      </c>
      <c r="L9722" s="2">
        <v>0</v>
      </c>
      <c r="M9722">
        <v>94.73999999999999</v>
      </c>
      <c r="N9722" t="s">
        <v>10236</v>
      </c>
    </row>
    <row r="9723" spans="1:14">
      <c r="A9723" t="s">
        <v>35</v>
      </c>
      <c r="B9723" t="s">
        <v>9661</v>
      </c>
      <c r="C9723">
        <f>"HH095XSV"</f>
        <v>0</v>
      </c>
      <c r="D9723">
        <v>0</v>
      </c>
      <c r="E9723">
        <v>1</v>
      </c>
      <c r="F9723" s="2">
        <v>7</v>
      </c>
      <c r="H9723">
        <v>0</v>
      </c>
      <c r="I9723">
        <v>0.1741125760648204</v>
      </c>
      <c r="J9723">
        <v>0</v>
      </c>
      <c r="K9723">
        <v>0</v>
      </c>
      <c r="L9723" s="2">
        <v>0</v>
      </c>
      <c r="M9723">
        <v>94.75</v>
      </c>
      <c r="N9723" t="s">
        <v>10236</v>
      </c>
    </row>
    <row r="9724" spans="1:14">
      <c r="A9724" t="s">
        <v>35</v>
      </c>
      <c r="B9724" t="s">
        <v>9662</v>
      </c>
      <c r="C9724">
        <f>"HH095XSROS"</f>
        <v>0</v>
      </c>
      <c r="D9724">
        <v>0</v>
      </c>
      <c r="E9724">
        <v>0</v>
      </c>
      <c r="F9724" s="2">
        <v>0</v>
      </c>
      <c r="H9724">
        <v>0</v>
      </c>
      <c r="I9724">
        <v>0.1741125760648204</v>
      </c>
      <c r="J9724">
        <v>0</v>
      </c>
      <c r="K9724">
        <v>0</v>
      </c>
      <c r="L9724" s="2">
        <v>0</v>
      </c>
      <c r="M9724">
        <v>94.76000000000001</v>
      </c>
      <c r="N9724" t="s">
        <v>10236</v>
      </c>
    </row>
    <row r="9725" spans="1:14">
      <c r="A9725" t="s">
        <v>32</v>
      </c>
      <c r="B9725" t="s">
        <v>9663</v>
      </c>
      <c r="C9725">
        <f>"APPCR"</f>
        <v>0</v>
      </c>
      <c r="D9725">
        <v>0</v>
      </c>
      <c r="E9725">
        <v>0</v>
      </c>
      <c r="F9725" s="2">
        <v>0</v>
      </c>
      <c r="H9725">
        <v>0</v>
      </c>
      <c r="I9725">
        <v>0.1741125760648204</v>
      </c>
      <c r="J9725">
        <v>0</v>
      </c>
      <c r="K9725">
        <v>0</v>
      </c>
      <c r="L9725" s="2">
        <v>0</v>
      </c>
      <c r="M9725">
        <v>94.77</v>
      </c>
      <c r="N9725" t="s">
        <v>10236</v>
      </c>
    </row>
    <row r="9726" spans="1:14">
      <c r="A9726" t="s">
        <v>192</v>
      </c>
      <c r="B9726" t="s">
        <v>9664</v>
      </c>
      <c r="C9726">
        <f>"AB91"</f>
        <v>0</v>
      </c>
      <c r="D9726">
        <v>0</v>
      </c>
      <c r="E9726">
        <v>1</v>
      </c>
      <c r="F9726" s="2">
        <v>891</v>
      </c>
      <c r="H9726">
        <v>0</v>
      </c>
      <c r="I9726">
        <v>0.1741125760648204</v>
      </c>
      <c r="J9726">
        <v>0</v>
      </c>
      <c r="K9726">
        <v>0</v>
      </c>
      <c r="L9726" s="2">
        <v>0</v>
      </c>
      <c r="M9726">
        <v>94.78</v>
      </c>
      <c r="N9726" t="s">
        <v>10236</v>
      </c>
    </row>
    <row r="9727" spans="1:14">
      <c r="A9727" t="s">
        <v>192</v>
      </c>
      <c r="B9727" t="s">
        <v>9665</v>
      </c>
      <c r="C9727">
        <f>"6641"</f>
        <v>0</v>
      </c>
      <c r="D9727">
        <v>0</v>
      </c>
      <c r="E9727">
        <v>0</v>
      </c>
      <c r="F9727" s="2">
        <v>0</v>
      </c>
      <c r="H9727">
        <v>0</v>
      </c>
      <c r="I9727">
        <v>0.1741125760648204</v>
      </c>
      <c r="J9727">
        <v>0</v>
      </c>
      <c r="K9727">
        <v>0</v>
      </c>
      <c r="L9727" s="2">
        <v>0</v>
      </c>
      <c r="M9727">
        <v>94.79000000000001</v>
      </c>
      <c r="N9727" t="s">
        <v>10236</v>
      </c>
    </row>
    <row r="9728" spans="1:14">
      <c r="A9728" t="s">
        <v>192</v>
      </c>
      <c r="B9728" t="s">
        <v>9666</v>
      </c>
      <c r="C9728">
        <f>"6408"</f>
        <v>0</v>
      </c>
      <c r="D9728">
        <v>0</v>
      </c>
      <c r="E9728">
        <v>0</v>
      </c>
      <c r="F9728" s="2">
        <v>0</v>
      </c>
      <c r="H9728">
        <v>0</v>
      </c>
      <c r="I9728">
        <v>0.1741125760648204</v>
      </c>
      <c r="J9728">
        <v>0</v>
      </c>
      <c r="K9728">
        <v>0</v>
      </c>
      <c r="L9728" s="2">
        <v>0</v>
      </c>
      <c r="M9728">
        <v>94.8</v>
      </c>
      <c r="N9728" t="s">
        <v>10236</v>
      </c>
    </row>
    <row r="9729" spans="1:14">
      <c r="A9729" t="s">
        <v>192</v>
      </c>
      <c r="B9729" t="s">
        <v>9667</v>
      </c>
      <c r="C9729">
        <f>"6404"</f>
        <v>0</v>
      </c>
      <c r="D9729">
        <v>0</v>
      </c>
      <c r="E9729">
        <v>0</v>
      </c>
      <c r="F9729" s="2">
        <v>0</v>
      </c>
      <c r="H9729">
        <v>0</v>
      </c>
      <c r="I9729">
        <v>0.1741125760648204</v>
      </c>
      <c r="J9729">
        <v>0</v>
      </c>
      <c r="K9729">
        <v>0</v>
      </c>
      <c r="L9729" s="2">
        <v>0</v>
      </c>
      <c r="M9729">
        <v>94.8</v>
      </c>
      <c r="N9729" t="s">
        <v>10236</v>
      </c>
    </row>
    <row r="9730" spans="1:14">
      <c r="A9730" t="s">
        <v>192</v>
      </c>
      <c r="B9730" t="s">
        <v>9668</v>
      </c>
      <c r="C9730">
        <f>"6406"</f>
        <v>0</v>
      </c>
      <c r="D9730">
        <v>0</v>
      </c>
      <c r="E9730">
        <v>0</v>
      </c>
      <c r="F9730" s="2">
        <v>0</v>
      </c>
      <c r="H9730">
        <v>0</v>
      </c>
      <c r="I9730">
        <v>0.1741125760648204</v>
      </c>
      <c r="J9730">
        <v>0</v>
      </c>
      <c r="K9730">
        <v>0</v>
      </c>
      <c r="L9730" s="2">
        <v>0</v>
      </c>
      <c r="M9730">
        <v>94.81</v>
      </c>
      <c r="N9730" t="s">
        <v>10236</v>
      </c>
    </row>
    <row r="9731" spans="1:14">
      <c r="A9731" t="s">
        <v>192</v>
      </c>
      <c r="B9731" t="s">
        <v>9669</v>
      </c>
      <c r="C9731">
        <f>"ECMA"</f>
        <v>0</v>
      </c>
      <c r="D9731">
        <v>0</v>
      </c>
      <c r="E9731">
        <v>0</v>
      </c>
      <c r="F9731" s="2">
        <v>0</v>
      </c>
      <c r="H9731">
        <v>0</v>
      </c>
      <c r="I9731">
        <v>0.1741125760648204</v>
      </c>
      <c r="J9731">
        <v>0</v>
      </c>
      <c r="K9731">
        <v>0</v>
      </c>
      <c r="L9731" s="2">
        <v>0</v>
      </c>
      <c r="M9731">
        <v>94.81999999999999</v>
      </c>
      <c r="N9731" t="s">
        <v>10236</v>
      </c>
    </row>
    <row r="9732" spans="1:14">
      <c r="A9732" t="s">
        <v>192</v>
      </c>
      <c r="B9732" t="s">
        <v>9670</v>
      </c>
      <c r="C9732">
        <f>"6411"</f>
        <v>0</v>
      </c>
      <c r="D9732">
        <v>0</v>
      </c>
      <c r="E9732">
        <v>0</v>
      </c>
      <c r="F9732" s="2">
        <v>0</v>
      </c>
      <c r="H9732">
        <v>0</v>
      </c>
      <c r="I9732">
        <v>0.1741125760648204</v>
      </c>
      <c r="J9732">
        <v>0</v>
      </c>
      <c r="K9732">
        <v>0</v>
      </c>
      <c r="L9732" s="2">
        <v>0</v>
      </c>
      <c r="M9732">
        <v>94.83</v>
      </c>
      <c r="N9732" t="s">
        <v>10236</v>
      </c>
    </row>
    <row r="9733" spans="1:14">
      <c r="A9733" t="s">
        <v>223</v>
      </c>
      <c r="B9733" t="s">
        <v>9671</v>
      </c>
      <c r="C9733">
        <f>"10145931"</f>
        <v>0</v>
      </c>
      <c r="D9733">
        <v>0</v>
      </c>
      <c r="E9733">
        <v>0</v>
      </c>
      <c r="F9733" s="2">
        <v>0</v>
      </c>
      <c r="H9733">
        <v>0</v>
      </c>
      <c r="I9733">
        <v>0.1741125760648204</v>
      </c>
      <c r="J9733">
        <v>0</v>
      </c>
      <c r="K9733">
        <v>0</v>
      </c>
      <c r="L9733" s="2">
        <v>0</v>
      </c>
      <c r="M9733">
        <v>94.84</v>
      </c>
      <c r="N9733" t="s">
        <v>10236</v>
      </c>
    </row>
    <row r="9734" spans="1:14">
      <c r="A9734" t="s">
        <v>214</v>
      </c>
      <c r="B9734" t="s">
        <v>9672</v>
      </c>
      <c r="C9734">
        <f>"34012"</f>
        <v>0</v>
      </c>
      <c r="D9734">
        <v>0</v>
      </c>
      <c r="E9734">
        <v>0</v>
      </c>
      <c r="F9734" s="2">
        <v>0</v>
      </c>
      <c r="H9734">
        <v>0</v>
      </c>
      <c r="I9734">
        <v>0.1741125760648204</v>
      </c>
      <c r="J9734">
        <v>0</v>
      </c>
      <c r="K9734">
        <v>0</v>
      </c>
      <c r="L9734" s="2">
        <v>0</v>
      </c>
      <c r="M9734">
        <v>94.84999999999999</v>
      </c>
      <c r="N9734" t="s">
        <v>10236</v>
      </c>
    </row>
    <row r="9735" spans="1:14">
      <c r="A9735" t="s">
        <v>214</v>
      </c>
      <c r="B9735" t="s">
        <v>9673</v>
      </c>
      <c r="C9735">
        <f>"34015"</f>
        <v>0</v>
      </c>
      <c r="D9735">
        <v>0</v>
      </c>
      <c r="E9735">
        <v>1</v>
      </c>
      <c r="F9735" s="2">
        <v>5</v>
      </c>
      <c r="H9735">
        <v>0</v>
      </c>
      <c r="I9735">
        <v>0.1741125760648204</v>
      </c>
      <c r="J9735">
        <v>0</v>
      </c>
      <c r="K9735">
        <v>0</v>
      </c>
      <c r="L9735" s="2">
        <v>0</v>
      </c>
      <c r="M9735">
        <v>94.86</v>
      </c>
      <c r="N9735" t="s">
        <v>10236</v>
      </c>
    </row>
    <row r="9736" spans="1:14">
      <c r="A9736" t="s">
        <v>214</v>
      </c>
      <c r="B9736" t="s">
        <v>9674</v>
      </c>
      <c r="C9736">
        <f>"34105"</f>
        <v>0</v>
      </c>
      <c r="D9736">
        <v>0</v>
      </c>
      <c r="E9736">
        <v>4</v>
      </c>
      <c r="F9736" s="2">
        <v>5</v>
      </c>
      <c r="H9736">
        <v>0</v>
      </c>
      <c r="I9736">
        <v>0.1741125760648204</v>
      </c>
      <c r="J9736">
        <v>0</v>
      </c>
      <c r="K9736">
        <v>0</v>
      </c>
      <c r="L9736" s="2">
        <v>0</v>
      </c>
      <c r="M9736">
        <v>94.87</v>
      </c>
      <c r="N9736" t="s">
        <v>10236</v>
      </c>
    </row>
    <row r="9737" spans="1:14">
      <c r="A9737" t="s">
        <v>25</v>
      </c>
      <c r="B9737" t="s">
        <v>9675</v>
      </c>
      <c r="C9737">
        <f>"RJ333"</f>
        <v>0</v>
      </c>
      <c r="D9737">
        <v>0</v>
      </c>
      <c r="E9737">
        <v>0</v>
      </c>
      <c r="F9737" s="2">
        <v>0</v>
      </c>
      <c r="H9737">
        <v>0</v>
      </c>
      <c r="I9737">
        <v>0.1741125760648204</v>
      </c>
      <c r="J9737">
        <v>0</v>
      </c>
      <c r="K9737">
        <v>0</v>
      </c>
      <c r="L9737" s="2">
        <v>0</v>
      </c>
      <c r="M9737">
        <v>94.88</v>
      </c>
      <c r="N9737" t="s">
        <v>10236</v>
      </c>
    </row>
    <row r="9738" spans="1:14">
      <c r="A9738" t="s">
        <v>25</v>
      </c>
      <c r="B9738" t="s">
        <v>9676</v>
      </c>
      <c r="C9738">
        <f>"L883"</f>
        <v>0</v>
      </c>
      <c r="D9738">
        <v>0</v>
      </c>
      <c r="E9738">
        <v>0</v>
      </c>
      <c r="F9738" s="2">
        <v>0</v>
      </c>
      <c r="H9738">
        <v>0</v>
      </c>
      <c r="I9738">
        <v>0.1741125760648204</v>
      </c>
      <c r="J9738">
        <v>0</v>
      </c>
      <c r="K9738">
        <v>0</v>
      </c>
      <c r="L9738" s="2">
        <v>0</v>
      </c>
      <c r="M9738">
        <v>94.89</v>
      </c>
      <c r="N9738" t="s">
        <v>10236</v>
      </c>
    </row>
    <row r="9739" spans="1:14">
      <c r="A9739" t="s">
        <v>25</v>
      </c>
      <c r="B9739" t="s">
        <v>9677</v>
      </c>
      <c r="C9739">
        <f>"S304"</f>
        <v>0</v>
      </c>
      <c r="D9739">
        <v>0</v>
      </c>
      <c r="E9739">
        <v>5</v>
      </c>
      <c r="F9739" s="2">
        <v>3</v>
      </c>
      <c r="H9739">
        <v>0</v>
      </c>
      <c r="I9739">
        <v>0.1741125760648204</v>
      </c>
      <c r="J9739">
        <v>0</v>
      </c>
      <c r="K9739">
        <v>0</v>
      </c>
      <c r="L9739" s="2">
        <v>0</v>
      </c>
      <c r="M9739">
        <v>94.90000000000001</v>
      </c>
      <c r="N9739" t="s">
        <v>10236</v>
      </c>
    </row>
    <row r="9740" spans="1:14">
      <c r="A9740" t="s">
        <v>25</v>
      </c>
      <c r="B9740" t="s">
        <v>9678</v>
      </c>
      <c r="C9740">
        <f>"RJ179"</f>
        <v>0</v>
      </c>
      <c r="D9740">
        <v>0</v>
      </c>
      <c r="E9740">
        <v>0</v>
      </c>
      <c r="F9740" s="2">
        <v>0</v>
      </c>
      <c r="H9740">
        <v>0</v>
      </c>
      <c r="I9740">
        <v>0.1741125760648204</v>
      </c>
      <c r="J9740">
        <v>0</v>
      </c>
      <c r="K9740">
        <v>0</v>
      </c>
      <c r="L9740" s="2">
        <v>0</v>
      </c>
      <c r="M9740">
        <v>94.91</v>
      </c>
      <c r="N9740" t="s">
        <v>10236</v>
      </c>
    </row>
    <row r="9741" spans="1:14">
      <c r="A9741" t="s">
        <v>35</v>
      </c>
      <c r="B9741" t="s">
        <v>9679</v>
      </c>
      <c r="C9741">
        <f>"NV0100"</f>
        <v>0</v>
      </c>
      <c r="D9741">
        <v>0</v>
      </c>
      <c r="E9741">
        <v>0</v>
      </c>
      <c r="F9741" s="2">
        <v>0</v>
      </c>
      <c r="H9741">
        <v>0</v>
      </c>
      <c r="I9741">
        <v>0.1741125760648204</v>
      </c>
      <c r="J9741">
        <v>0</v>
      </c>
      <c r="K9741">
        <v>0</v>
      </c>
      <c r="L9741" s="2">
        <v>0</v>
      </c>
      <c r="M9741">
        <v>94.92</v>
      </c>
      <c r="N9741" t="s">
        <v>10236</v>
      </c>
    </row>
    <row r="9742" spans="1:14">
      <c r="A9742" t="s">
        <v>25</v>
      </c>
      <c r="B9742" t="s">
        <v>9680</v>
      </c>
      <c r="C9742">
        <f>"RJ182"</f>
        <v>0</v>
      </c>
      <c r="D9742">
        <v>0</v>
      </c>
      <c r="E9742">
        <v>0</v>
      </c>
      <c r="F9742" s="2">
        <v>0</v>
      </c>
      <c r="H9742">
        <v>0</v>
      </c>
      <c r="I9742">
        <v>0.1741125760648204</v>
      </c>
      <c r="J9742">
        <v>0</v>
      </c>
      <c r="K9742">
        <v>0</v>
      </c>
      <c r="L9742" s="2">
        <v>0</v>
      </c>
      <c r="M9742">
        <v>94.92</v>
      </c>
      <c r="N9742" t="s">
        <v>10236</v>
      </c>
    </row>
    <row r="9743" spans="1:14">
      <c r="A9743" t="s">
        <v>35</v>
      </c>
      <c r="B9743" t="s">
        <v>9681</v>
      </c>
      <c r="C9743">
        <f>"GY0020"</f>
        <v>0</v>
      </c>
      <c r="D9743">
        <v>0</v>
      </c>
      <c r="E9743">
        <v>11</v>
      </c>
      <c r="F9743" s="2">
        <v>1</v>
      </c>
      <c r="H9743">
        <v>0</v>
      </c>
      <c r="I9743">
        <v>0.1741125760648204</v>
      </c>
      <c r="J9743">
        <v>0</v>
      </c>
      <c r="K9743">
        <v>0</v>
      </c>
      <c r="L9743" s="2">
        <v>0</v>
      </c>
      <c r="M9743">
        <v>94.93000000000001</v>
      </c>
      <c r="N9743" t="s">
        <v>10236</v>
      </c>
    </row>
    <row r="9744" spans="1:14">
      <c r="A9744" t="s">
        <v>25</v>
      </c>
      <c r="B9744" t="s">
        <v>9682</v>
      </c>
      <c r="C9744">
        <f>"S305AM"</f>
        <v>0</v>
      </c>
      <c r="D9744">
        <v>0</v>
      </c>
      <c r="E9744">
        <v>1</v>
      </c>
      <c r="F9744" s="2">
        <v>7</v>
      </c>
      <c r="H9744">
        <v>0</v>
      </c>
      <c r="I9744">
        <v>0.1741125760648204</v>
      </c>
      <c r="J9744">
        <v>0</v>
      </c>
      <c r="K9744">
        <v>0</v>
      </c>
      <c r="L9744" s="2">
        <v>0</v>
      </c>
      <c r="M9744">
        <v>94.94</v>
      </c>
      <c r="N9744" t="s">
        <v>10236</v>
      </c>
    </row>
    <row r="9745" spans="1:14">
      <c r="A9745" t="s">
        <v>35</v>
      </c>
      <c r="B9745" t="s">
        <v>9683</v>
      </c>
      <c r="C9745">
        <f>"S311VE"</f>
        <v>0</v>
      </c>
      <c r="D9745">
        <v>0</v>
      </c>
      <c r="E9745">
        <v>0</v>
      </c>
      <c r="F9745" s="2">
        <v>0</v>
      </c>
      <c r="H9745">
        <v>0</v>
      </c>
      <c r="I9745">
        <v>0.1741125760648204</v>
      </c>
      <c r="J9745">
        <v>0</v>
      </c>
      <c r="K9745">
        <v>0</v>
      </c>
      <c r="L9745" s="2">
        <v>0</v>
      </c>
      <c r="M9745">
        <v>94.95</v>
      </c>
      <c r="N9745" t="s">
        <v>10236</v>
      </c>
    </row>
    <row r="9746" spans="1:14">
      <c r="A9746" t="s">
        <v>35</v>
      </c>
      <c r="B9746" t="s">
        <v>9684</v>
      </c>
      <c r="C9746">
        <f>"S311AZ"</f>
        <v>0</v>
      </c>
      <c r="D9746">
        <v>0</v>
      </c>
      <c r="E9746">
        <v>0</v>
      </c>
      <c r="F9746" s="2">
        <v>0</v>
      </c>
      <c r="H9746">
        <v>0</v>
      </c>
      <c r="I9746">
        <v>0.1741125760648204</v>
      </c>
      <c r="J9746">
        <v>0</v>
      </c>
      <c r="K9746">
        <v>0</v>
      </c>
      <c r="L9746" s="2">
        <v>0</v>
      </c>
      <c r="M9746">
        <v>94.95999999999999</v>
      </c>
      <c r="N9746" t="s">
        <v>10236</v>
      </c>
    </row>
    <row r="9747" spans="1:14">
      <c r="A9747" t="s">
        <v>35</v>
      </c>
      <c r="B9747" t="s">
        <v>9685</v>
      </c>
      <c r="C9747">
        <f>"S311"</f>
        <v>0</v>
      </c>
      <c r="D9747">
        <v>0</v>
      </c>
      <c r="E9747">
        <v>0</v>
      </c>
      <c r="F9747" s="2">
        <v>0</v>
      </c>
      <c r="H9747">
        <v>0</v>
      </c>
      <c r="I9747">
        <v>0.1741125760648204</v>
      </c>
      <c r="J9747">
        <v>0</v>
      </c>
      <c r="K9747">
        <v>0</v>
      </c>
      <c r="L9747" s="2">
        <v>0</v>
      </c>
      <c r="M9747">
        <v>94.97</v>
      </c>
      <c r="N9747" t="s">
        <v>10236</v>
      </c>
    </row>
    <row r="9748" spans="1:14">
      <c r="A9748" t="s">
        <v>192</v>
      </c>
      <c r="B9748" t="s">
        <v>9686</v>
      </c>
      <c r="C9748">
        <f>"LN055"</f>
        <v>0</v>
      </c>
      <c r="D9748">
        <v>0</v>
      </c>
      <c r="E9748">
        <v>0</v>
      </c>
      <c r="F9748" s="2">
        <v>0</v>
      </c>
      <c r="H9748">
        <v>0</v>
      </c>
      <c r="I9748">
        <v>0.1741125760648204</v>
      </c>
      <c r="J9748">
        <v>0</v>
      </c>
      <c r="K9748">
        <v>0</v>
      </c>
      <c r="L9748" s="2">
        <v>0</v>
      </c>
      <c r="M9748">
        <v>94.98</v>
      </c>
      <c r="N9748" t="s">
        <v>10236</v>
      </c>
    </row>
    <row r="9749" spans="1:14">
      <c r="A9749" t="s">
        <v>29</v>
      </c>
      <c r="B9749" t="s">
        <v>9687</v>
      </c>
      <c r="C9749">
        <f>"34014"</f>
        <v>0</v>
      </c>
      <c r="D9749">
        <v>0</v>
      </c>
      <c r="E9749">
        <v>1</v>
      </c>
      <c r="F9749" s="2">
        <v>3</v>
      </c>
      <c r="H9749">
        <v>0</v>
      </c>
      <c r="I9749">
        <v>0.1741125760648204</v>
      </c>
      <c r="J9749">
        <v>0</v>
      </c>
      <c r="K9749">
        <v>0</v>
      </c>
      <c r="L9749" s="2">
        <v>0</v>
      </c>
      <c r="M9749">
        <v>94.98999999999999</v>
      </c>
      <c r="N9749" t="s">
        <v>10236</v>
      </c>
    </row>
    <row r="9750" spans="1:14">
      <c r="A9750" t="s">
        <v>223</v>
      </c>
      <c r="B9750" t="s">
        <v>9688</v>
      </c>
      <c r="C9750">
        <f>"10145903"</f>
        <v>0</v>
      </c>
      <c r="D9750">
        <v>0</v>
      </c>
      <c r="E9750">
        <v>0</v>
      </c>
      <c r="F9750" s="2">
        <v>0</v>
      </c>
      <c r="H9750">
        <v>0</v>
      </c>
      <c r="I9750">
        <v>0.1741125760648204</v>
      </c>
      <c r="J9750">
        <v>0</v>
      </c>
      <c r="K9750">
        <v>0</v>
      </c>
      <c r="L9750" s="2">
        <v>0</v>
      </c>
      <c r="M9750">
        <v>95</v>
      </c>
      <c r="N9750" t="s">
        <v>10236</v>
      </c>
    </row>
    <row r="9751" spans="1:14">
      <c r="A9751" t="s">
        <v>223</v>
      </c>
      <c r="B9751" t="s">
        <v>9689</v>
      </c>
      <c r="C9751">
        <f>"10145907"</f>
        <v>0</v>
      </c>
      <c r="D9751">
        <v>0</v>
      </c>
      <c r="E9751">
        <v>0</v>
      </c>
      <c r="F9751" s="2">
        <v>0</v>
      </c>
      <c r="H9751">
        <v>0</v>
      </c>
      <c r="I9751">
        <v>0.1741125760648204</v>
      </c>
      <c r="J9751">
        <v>0</v>
      </c>
      <c r="K9751">
        <v>0</v>
      </c>
      <c r="L9751" s="2">
        <v>0</v>
      </c>
      <c r="M9751">
        <v>95.01000000000001</v>
      </c>
      <c r="N9751" t="s">
        <v>10237</v>
      </c>
    </row>
    <row r="9752" spans="1:14">
      <c r="A9752" t="s">
        <v>223</v>
      </c>
      <c r="B9752" t="s">
        <v>9690</v>
      </c>
      <c r="C9752">
        <f>"7050150"</f>
        <v>0</v>
      </c>
      <c r="D9752">
        <v>0</v>
      </c>
      <c r="E9752">
        <v>0</v>
      </c>
      <c r="F9752" s="2">
        <v>0</v>
      </c>
      <c r="H9752">
        <v>0</v>
      </c>
      <c r="I9752">
        <v>0.1741125760648204</v>
      </c>
      <c r="J9752">
        <v>0</v>
      </c>
      <c r="K9752">
        <v>0</v>
      </c>
      <c r="L9752" s="2">
        <v>0</v>
      </c>
      <c r="M9752">
        <v>95.02</v>
      </c>
      <c r="N9752" t="s">
        <v>10237</v>
      </c>
    </row>
    <row r="9753" spans="1:14">
      <c r="A9753" t="s">
        <v>223</v>
      </c>
      <c r="B9753" t="s">
        <v>9691</v>
      </c>
      <c r="C9753">
        <f>"913572800"</f>
        <v>0</v>
      </c>
      <c r="D9753">
        <v>0</v>
      </c>
      <c r="E9753">
        <v>0</v>
      </c>
      <c r="F9753" s="2">
        <v>0</v>
      </c>
      <c r="H9753">
        <v>0</v>
      </c>
      <c r="I9753">
        <v>0.1741125760648204</v>
      </c>
      <c r="J9753">
        <v>0</v>
      </c>
      <c r="K9753">
        <v>0</v>
      </c>
      <c r="L9753" s="2">
        <v>0</v>
      </c>
      <c r="M9753">
        <v>95.03</v>
      </c>
      <c r="N9753" t="s">
        <v>10237</v>
      </c>
    </row>
    <row r="9754" spans="1:14">
      <c r="A9754" t="s">
        <v>223</v>
      </c>
      <c r="B9754" t="s">
        <v>9692</v>
      </c>
      <c r="C9754">
        <f>"913584000"</f>
        <v>0</v>
      </c>
      <c r="D9754">
        <v>0</v>
      </c>
      <c r="E9754">
        <v>0</v>
      </c>
      <c r="F9754" s="2">
        <v>0</v>
      </c>
      <c r="H9754">
        <v>0</v>
      </c>
      <c r="I9754">
        <v>0.1741125760648204</v>
      </c>
      <c r="J9754">
        <v>0</v>
      </c>
      <c r="K9754">
        <v>0</v>
      </c>
      <c r="L9754" s="2">
        <v>0</v>
      </c>
      <c r="M9754">
        <v>95.04000000000001</v>
      </c>
      <c r="N9754" t="s">
        <v>10237</v>
      </c>
    </row>
    <row r="9755" spans="1:14">
      <c r="A9755" t="s">
        <v>223</v>
      </c>
      <c r="B9755" t="s">
        <v>9693</v>
      </c>
      <c r="C9755">
        <f>"10145949"</f>
        <v>0</v>
      </c>
      <c r="D9755">
        <v>0</v>
      </c>
      <c r="E9755">
        <v>0</v>
      </c>
      <c r="F9755" s="2">
        <v>0</v>
      </c>
      <c r="H9755">
        <v>0</v>
      </c>
      <c r="I9755">
        <v>0.1741125760648204</v>
      </c>
      <c r="J9755">
        <v>0</v>
      </c>
      <c r="K9755">
        <v>0</v>
      </c>
      <c r="L9755" s="2">
        <v>0</v>
      </c>
      <c r="M9755">
        <v>95.04000000000001</v>
      </c>
      <c r="N9755" t="s">
        <v>10237</v>
      </c>
    </row>
    <row r="9756" spans="1:14">
      <c r="A9756" t="s">
        <v>223</v>
      </c>
      <c r="B9756" t="s">
        <v>9694</v>
      </c>
      <c r="C9756">
        <f>"9576405"</f>
        <v>0</v>
      </c>
      <c r="D9756">
        <v>0</v>
      </c>
      <c r="E9756">
        <v>0</v>
      </c>
      <c r="F9756" s="2">
        <v>0</v>
      </c>
      <c r="H9756">
        <v>0</v>
      </c>
      <c r="I9756">
        <v>0.1741125760648204</v>
      </c>
      <c r="J9756">
        <v>0</v>
      </c>
      <c r="K9756">
        <v>0</v>
      </c>
      <c r="L9756" s="2">
        <v>0</v>
      </c>
      <c r="M9756">
        <v>95.05</v>
      </c>
      <c r="N9756" t="s">
        <v>10237</v>
      </c>
    </row>
    <row r="9757" spans="1:14">
      <c r="A9757" t="s">
        <v>223</v>
      </c>
      <c r="B9757" t="s">
        <v>9695</v>
      </c>
      <c r="C9757">
        <f>"9577130"</f>
        <v>0</v>
      </c>
      <c r="D9757">
        <v>0</v>
      </c>
      <c r="E9757">
        <v>0</v>
      </c>
      <c r="F9757" s="2">
        <v>0</v>
      </c>
      <c r="H9757">
        <v>0</v>
      </c>
      <c r="I9757">
        <v>0.1741125760648204</v>
      </c>
      <c r="J9757">
        <v>0</v>
      </c>
      <c r="K9757">
        <v>0</v>
      </c>
      <c r="L9757" s="2">
        <v>0</v>
      </c>
      <c r="M9757">
        <v>95.06</v>
      </c>
      <c r="N9757" t="s">
        <v>10237</v>
      </c>
    </row>
    <row r="9758" spans="1:14">
      <c r="A9758" t="s">
        <v>223</v>
      </c>
      <c r="B9758" t="s">
        <v>9696</v>
      </c>
      <c r="C9758">
        <f>"1014915"</f>
        <v>0</v>
      </c>
      <c r="D9758">
        <v>0</v>
      </c>
      <c r="E9758">
        <v>0</v>
      </c>
      <c r="F9758" s="2">
        <v>0</v>
      </c>
      <c r="H9758">
        <v>0</v>
      </c>
      <c r="I9758">
        <v>0.1741125760648204</v>
      </c>
      <c r="J9758">
        <v>0</v>
      </c>
      <c r="K9758">
        <v>0</v>
      </c>
      <c r="L9758" s="2">
        <v>0</v>
      </c>
      <c r="M9758">
        <v>95.06999999999999</v>
      </c>
      <c r="N9758" t="s">
        <v>10237</v>
      </c>
    </row>
    <row r="9759" spans="1:14">
      <c r="A9759" t="s">
        <v>35</v>
      </c>
      <c r="B9759" t="s">
        <v>9697</v>
      </c>
      <c r="C9759">
        <f>"KE3273D"</f>
        <v>0</v>
      </c>
      <c r="D9759">
        <v>0</v>
      </c>
      <c r="E9759">
        <v>0</v>
      </c>
      <c r="F9759" s="2">
        <v>0</v>
      </c>
      <c r="H9759">
        <v>0</v>
      </c>
      <c r="I9759">
        <v>0.1741125760648204</v>
      </c>
      <c r="J9759">
        <v>0</v>
      </c>
      <c r="K9759">
        <v>0</v>
      </c>
      <c r="L9759" s="2">
        <v>0</v>
      </c>
      <c r="M9759">
        <v>95.08</v>
      </c>
      <c r="N9759" t="s">
        <v>10237</v>
      </c>
    </row>
    <row r="9760" spans="1:14">
      <c r="A9760" t="s">
        <v>35</v>
      </c>
      <c r="B9760" t="s">
        <v>9698</v>
      </c>
      <c r="C9760">
        <f>"KE3276D"</f>
        <v>0</v>
      </c>
      <c r="D9760">
        <v>0</v>
      </c>
      <c r="E9760">
        <v>1</v>
      </c>
      <c r="F9760" s="2">
        <v>5</v>
      </c>
      <c r="H9760">
        <v>0</v>
      </c>
      <c r="I9760">
        <v>0.1741125760648204</v>
      </c>
      <c r="J9760">
        <v>0</v>
      </c>
      <c r="K9760">
        <v>0</v>
      </c>
      <c r="L9760" s="2">
        <v>0</v>
      </c>
      <c r="M9760">
        <v>95.09</v>
      </c>
      <c r="N9760" t="s">
        <v>10237</v>
      </c>
    </row>
    <row r="9761" spans="1:14">
      <c r="A9761" t="s">
        <v>35</v>
      </c>
      <c r="B9761" t="s">
        <v>9699</v>
      </c>
      <c r="C9761">
        <f>"KE3272D"</f>
        <v>0</v>
      </c>
      <c r="D9761">
        <v>0</v>
      </c>
      <c r="E9761">
        <v>0</v>
      </c>
      <c r="F9761" s="2">
        <v>0</v>
      </c>
      <c r="H9761">
        <v>0</v>
      </c>
      <c r="I9761">
        <v>0.1741125760648204</v>
      </c>
      <c r="J9761">
        <v>0</v>
      </c>
      <c r="K9761">
        <v>0</v>
      </c>
      <c r="L9761" s="2">
        <v>0</v>
      </c>
      <c r="M9761">
        <v>95.09999999999999</v>
      </c>
      <c r="N9761" t="s">
        <v>10237</v>
      </c>
    </row>
    <row r="9762" spans="1:14">
      <c r="A9762" t="s">
        <v>35</v>
      </c>
      <c r="B9762" t="s">
        <v>9700</v>
      </c>
      <c r="C9762">
        <f>"KE3275D"</f>
        <v>0</v>
      </c>
      <c r="D9762">
        <v>0</v>
      </c>
      <c r="E9762">
        <v>0</v>
      </c>
      <c r="F9762" s="2">
        <v>0</v>
      </c>
      <c r="H9762">
        <v>0</v>
      </c>
      <c r="I9762">
        <v>0.1741125760648204</v>
      </c>
      <c r="J9762">
        <v>0</v>
      </c>
      <c r="K9762">
        <v>0</v>
      </c>
      <c r="L9762" s="2">
        <v>0</v>
      </c>
      <c r="M9762">
        <v>95.11</v>
      </c>
      <c r="N9762" t="s">
        <v>10237</v>
      </c>
    </row>
    <row r="9763" spans="1:14">
      <c r="A9763" t="s">
        <v>35</v>
      </c>
      <c r="B9763" t="s">
        <v>9701</v>
      </c>
      <c r="C9763">
        <f>"KE3271D"</f>
        <v>0</v>
      </c>
      <c r="D9763">
        <v>0</v>
      </c>
      <c r="E9763">
        <v>0</v>
      </c>
      <c r="F9763" s="2">
        <v>0</v>
      </c>
      <c r="H9763">
        <v>0</v>
      </c>
      <c r="I9763">
        <v>0.1741125760648204</v>
      </c>
      <c r="J9763">
        <v>0</v>
      </c>
      <c r="K9763">
        <v>0</v>
      </c>
      <c r="L9763" s="2">
        <v>0</v>
      </c>
      <c r="M9763">
        <v>95.12</v>
      </c>
      <c r="N9763" t="s">
        <v>10237</v>
      </c>
    </row>
    <row r="9764" spans="1:14">
      <c r="A9764" t="s">
        <v>35</v>
      </c>
      <c r="B9764" t="s">
        <v>9702</v>
      </c>
      <c r="C9764">
        <f>"HH095MFU"</f>
        <v>0</v>
      </c>
      <c r="D9764">
        <v>0</v>
      </c>
      <c r="E9764">
        <v>0</v>
      </c>
      <c r="F9764" s="2">
        <v>0</v>
      </c>
      <c r="H9764">
        <v>0</v>
      </c>
      <c r="I9764">
        <v>0.1741125760648204</v>
      </c>
      <c r="J9764">
        <v>0</v>
      </c>
      <c r="K9764">
        <v>0</v>
      </c>
      <c r="L9764" s="2">
        <v>0</v>
      </c>
      <c r="M9764">
        <v>95.13</v>
      </c>
      <c r="N9764" t="s">
        <v>10237</v>
      </c>
    </row>
    <row r="9765" spans="1:14">
      <c r="A9765" t="s">
        <v>35</v>
      </c>
      <c r="B9765" t="s">
        <v>9703</v>
      </c>
      <c r="C9765">
        <f>"D201"</f>
        <v>0</v>
      </c>
      <c r="D9765">
        <v>0</v>
      </c>
      <c r="E9765">
        <v>0</v>
      </c>
      <c r="F9765" s="2">
        <v>0</v>
      </c>
      <c r="H9765">
        <v>0</v>
      </c>
      <c r="I9765">
        <v>0.1741125760648204</v>
      </c>
      <c r="J9765">
        <v>0</v>
      </c>
      <c r="K9765">
        <v>0</v>
      </c>
      <c r="L9765" s="2">
        <v>0</v>
      </c>
      <c r="M9765">
        <v>95.14</v>
      </c>
      <c r="N9765" t="s">
        <v>10237</v>
      </c>
    </row>
    <row r="9766" spans="1:14">
      <c r="A9766" t="s">
        <v>32</v>
      </c>
      <c r="B9766" t="s">
        <v>9704</v>
      </c>
      <c r="C9766">
        <f>"AGR096"</f>
        <v>0</v>
      </c>
      <c r="D9766">
        <v>0</v>
      </c>
      <c r="E9766">
        <v>0</v>
      </c>
      <c r="F9766" s="2">
        <v>0</v>
      </c>
      <c r="H9766">
        <v>0</v>
      </c>
      <c r="I9766">
        <v>0.1741125760648204</v>
      </c>
      <c r="J9766">
        <v>0</v>
      </c>
      <c r="K9766">
        <v>0</v>
      </c>
      <c r="L9766" s="2">
        <v>0</v>
      </c>
      <c r="M9766">
        <v>95.15000000000001</v>
      </c>
      <c r="N9766" t="s">
        <v>10237</v>
      </c>
    </row>
    <row r="9767" spans="1:14">
      <c r="A9767" t="s">
        <v>32</v>
      </c>
      <c r="B9767" t="s">
        <v>9705</v>
      </c>
      <c r="C9767">
        <f>"748406030633"</f>
        <v>0</v>
      </c>
      <c r="D9767">
        <v>0</v>
      </c>
      <c r="E9767">
        <v>0</v>
      </c>
      <c r="F9767" s="2">
        <v>0</v>
      </c>
      <c r="H9767">
        <v>0</v>
      </c>
      <c r="I9767">
        <v>0.1741125760648204</v>
      </c>
      <c r="J9767">
        <v>0</v>
      </c>
      <c r="K9767">
        <v>0</v>
      </c>
      <c r="L9767" s="2">
        <v>0</v>
      </c>
      <c r="M9767">
        <v>95.16</v>
      </c>
      <c r="N9767" t="s">
        <v>10237</v>
      </c>
    </row>
    <row r="9768" spans="1:14">
      <c r="A9768" t="s">
        <v>32</v>
      </c>
      <c r="B9768" t="s">
        <v>9706</v>
      </c>
      <c r="C9768">
        <f>"748406012783"</f>
        <v>0</v>
      </c>
      <c r="D9768">
        <v>0</v>
      </c>
      <c r="E9768">
        <v>0</v>
      </c>
      <c r="F9768" s="2">
        <v>0</v>
      </c>
      <c r="H9768">
        <v>0</v>
      </c>
      <c r="I9768">
        <v>0.1741125760648204</v>
      </c>
      <c r="J9768">
        <v>0</v>
      </c>
      <c r="K9768">
        <v>0</v>
      </c>
      <c r="L9768" s="2">
        <v>0</v>
      </c>
      <c r="M9768">
        <v>95.16</v>
      </c>
      <c r="N9768" t="s">
        <v>10237</v>
      </c>
    </row>
    <row r="9769" spans="1:14">
      <c r="A9769" t="s">
        <v>32</v>
      </c>
      <c r="B9769" t="s">
        <v>9707</v>
      </c>
      <c r="C9769">
        <f>"74840601277"</f>
        <v>0</v>
      </c>
      <c r="D9769">
        <v>0</v>
      </c>
      <c r="E9769">
        <v>0</v>
      </c>
      <c r="F9769" s="2">
        <v>0</v>
      </c>
      <c r="H9769">
        <v>0</v>
      </c>
      <c r="I9769">
        <v>0.1741125760648204</v>
      </c>
      <c r="J9769">
        <v>0</v>
      </c>
      <c r="K9769">
        <v>0</v>
      </c>
      <c r="L9769" s="2">
        <v>0</v>
      </c>
      <c r="M9769">
        <v>95.17</v>
      </c>
      <c r="N9769" t="s">
        <v>10237</v>
      </c>
    </row>
    <row r="9770" spans="1:14">
      <c r="A9770" t="s">
        <v>32</v>
      </c>
      <c r="B9770" t="s">
        <v>9708</v>
      </c>
      <c r="C9770">
        <f>"748406014572"</f>
        <v>0</v>
      </c>
      <c r="D9770">
        <v>0</v>
      </c>
      <c r="E9770">
        <v>2</v>
      </c>
      <c r="F9770" s="2">
        <v>6</v>
      </c>
      <c r="H9770">
        <v>0</v>
      </c>
      <c r="I9770">
        <v>0.1741125760648204</v>
      </c>
      <c r="J9770">
        <v>0</v>
      </c>
      <c r="K9770">
        <v>0</v>
      </c>
      <c r="L9770" s="2">
        <v>0</v>
      </c>
      <c r="M9770">
        <v>95.18000000000001</v>
      </c>
      <c r="N9770" t="s">
        <v>10237</v>
      </c>
    </row>
    <row r="9771" spans="1:14">
      <c r="A9771" t="s">
        <v>35</v>
      </c>
      <c r="B9771" t="s">
        <v>9709</v>
      </c>
      <c r="C9771">
        <f>"HH095XXSROS"</f>
        <v>0</v>
      </c>
      <c r="D9771">
        <v>0</v>
      </c>
      <c r="E9771">
        <v>0</v>
      </c>
      <c r="F9771" s="2">
        <v>0</v>
      </c>
      <c r="H9771">
        <v>0</v>
      </c>
      <c r="I9771">
        <v>0.1741125760648204</v>
      </c>
      <c r="J9771">
        <v>0</v>
      </c>
      <c r="K9771">
        <v>0</v>
      </c>
      <c r="L9771" s="2">
        <v>0</v>
      </c>
      <c r="M9771">
        <v>95.19</v>
      </c>
      <c r="N9771" t="s">
        <v>10237</v>
      </c>
    </row>
    <row r="9772" spans="1:14">
      <c r="A9772" t="s">
        <v>35</v>
      </c>
      <c r="B9772" t="s">
        <v>9710</v>
      </c>
      <c r="C9772">
        <f>"HH095XXSROJ"</f>
        <v>0</v>
      </c>
      <c r="D9772">
        <v>0</v>
      </c>
      <c r="E9772">
        <v>1</v>
      </c>
      <c r="F9772" s="2">
        <v>6</v>
      </c>
      <c r="H9772">
        <v>0</v>
      </c>
      <c r="I9772">
        <v>0.1741125760648204</v>
      </c>
      <c r="J9772">
        <v>0</v>
      </c>
      <c r="K9772">
        <v>0</v>
      </c>
      <c r="L9772" s="2">
        <v>0</v>
      </c>
      <c r="M9772">
        <v>95.2</v>
      </c>
      <c r="N9772" t="s">
        <v>10237</v>
      </c>
    </row>
    <row r="9773" spans="1:14">
      <c r="A9773" t="s">
        <v>35</v>
      </c>
      <c r="B9773" t="s">
        <v>9711</v>
      </c>
      <c r="C9773">
        <f>"HH095XXSNE"</f>
        <v>0</v>
      </c>
      <c r="D9773">
        <v>0</v>
      </c>
      <c r="E9773">
        <v>0</v>
      </c>
      <c r="F9773" s="2">
        <v>0</v>
      </c>
      <c r="H9773">
        <v>0</v>
      </c>
      <c r="I9773">
        <v>0.1741125760648204</v>
      </c>
      <c r="J9773">
        <v>0</v>
      </c>
      <c r="K9773">
        <v>0</v>
      </c>
      <c r="L9773" s="2">
        <v>0</v>
      </c>
      <c r="M9773">
        <v>95.20999999999999</v>
      </c>
      <c r="N9773" t="s">
        <v>10237</v>
      </c>
    </row>
    <row r="9774" spans="1:14">
      <c r="A9774" t="s">
        <v>35</v>
      </c>
      <c r="B9774" t="s">
        <v>9712</v>
      </c>
      <c r="C9774">
        <f>"HH095MV"</f>
        <v>0</v>
      </c>
      <c r="D9774">
        <v>0</v>
      </c>
      <c r="E9774">
        <v>1</v>
      </c>
      <c r="F9774" s="2">
        <v>9</v>
      </c>
      <c r="H9774">
        <v>0</v>
      </c>
      <c r="I9774">
        <v>0.1741125760648204</v>
      </c>
      <c r="J9774">
        <v>0</v>
      </c>
      <c r="K9774">
        <v>0</v>
      </c>
      <c r="L9774" s="2">
        <v>0</v>
      </c>
      <c r="M9774">
        <v>95.22</v>
      </c>
      <c r="N9774" t="s">
        <v>10237</v>
      </c>
    </row>
    <row r="9775" spans="1:14">
      <c r="A9775" t="s">
        <v>35</v>
      </c>
      <c r="B9775" t="s">
        <v>9713</v>
      </c>
      <c r="C9775">
        <f>"HH095MROS"</f>
        <v>0</v>
      </c>
      <c r="D9775">
        <v>0</v>
      </c>
      <c r="E9775">
        <v>0</v>
      </c>
      <c r="F9775" s="2">
        <v>0</v>
      </c>
      <c r="H9775">
        <v>0</v>
      </c>
      <c r="I9775">
        <v>0.1741125760648204</v>
      </c>
      <c r="J9775">
        <v>0</v>
      </c>
      <c r="K9775">
        <v>0</v>
      </c>
      <c r="L9775" s="2">
        <v>0</v>
      </c>
      <c r="M9775">
        <v>95.23</v>
      </c>
      <c r="N9775" t="s">
        <v>10237</v>
      </c>
    </row>
    <row r="9776" spans="1:14">
      <c r="A9776" t="s">
        <v>35</v>
      </c>
      <c r="B9776" t="s">
        <v>9714</v>
      </c>
      <c r="C9776">
        <f>"HH095MROJ"</f>
        <v>0</v>
      </c>
      <c r="D9776">
        <v>0</v>
      </c>
      <c r="E9776">
        <v>1</v>
      </c>
      <c r="F9776" s="2">
        <v>9</v>
      </c>
      <c r="H9776">
        <v>0</v>
      </c>
      <c r="I9776">
        <v>0.1741125760648204</v>
      </c>
      <c r="J9776">
        <v>0</v>
      </c>
      <c r="K9776">
        <v>0</v>
      </c>
      <c r="L9776" s="2">
        <v>0</v>
      </c>
      <c r="M9776">
        <v>95.23999999999999</v>
      </c>
      <c r="N9776" t="s">
        <v>10237</v>
      </c>
    </row>
    <row r="9777" spans="1:14">
      <c r="A9777" t="s">
        <v>35</v>
      </c>
      <c r="B9777" t="s">
        <v>9715</v>
      </c>
      <c r="C9777">
        <f>"HH095MNE"</f>
        <v>0</v>
      </c>
      <c r="D9777">
        <v>0</v>
      </c>
      <c r="E9777">
        <v>1</v>
      </c>
      <c r="F9777" s="2">
        <v>8</v>
      </c>
      <c r="H9777">
        <v>0</v>
      </c>
      <c r="I9777">
        <v>0.1741125760648204</v>
      </c>
      <c r="J9777">
        <v>0</v>
      </c>
      <c r="K9777">
        <v>0</v>
      </c>
      <c r="L9777" s="2">
        <v>0</v>
      </c>
      <c r="M9777">
        <v>95.25</v>
      </c>
      <c r="N9777" t="s">
        <v>10237</v>
      </c>
    </row>
    <row r="9778" spans="1:14">
      <c r="A9778" t="s">
        <v>35</v>
      </c>
      <c r="B9778" t="s">
        <v>9716</v>
      </c>
      <c r="C9778">
        <f>"HH095MMC"</f>
        <v>0</v>
      </c>
      <c r="D9778">
        <v>0</v>
      </c>
      <c r="E9778">
        <v>1</v>
      </c>
      <c r="F9778" s="2">
        <v>9</v>
      </c>
      <c r="H9778">
        <v>0</v>
      </c>
      <c r="I9778">
        <v>0.1741125760648204</v>
      </c>
      <c r="J9778">
        <v>0</v>
      </c>
      <c r="K9778">
        <v>0</v>
      </c>
      <c r="L9778" s="2">
        <v>0</v>
      </c>
      <c r="M9778">
        <v>95.26000000000001</v>
      </c>
      <c r="N9778" t="s">
        <v>10237</v>
      </c>
    </row>
    <row r="9779" spans="1:14">
      <c r="A9779" t="s">
        <v>35</v>
      </c>
      <c r="B9779" t="s">
        <v>9717</v>
      </c>
      <c r="C9779">
        <f>"HH095MMO"</f>
        <v>0</v>
      </c>
      <c r="D9779">
        <v>0</v>
      </c>
      <c r="E9779">
        <v>1</v>
      </c>
      <c r="F9779" s="2">
        <v>8</v>
      </c>
      <c r="H9779">
        <v>0</v>
      </c>
      <c r="I9779">
        <v>0.1741125760648204</v>
      </c>
      <c r="J9779">
        <v>0</v>
      </c>
      <c r="K9779">
        <v>0</v>
      </c>
      <c r="L9779" s="2">
        <v>0</v>
      </c>
      <c r="M9779">
        <v>95.27</v>
      </c>
      <c r="N9779" t="s">
        <v>10237</v>
      </c>
    </row>
    <row r="9780" spans="1:14">
      <c r="A9780" t="s">
        <v>35</v>
      </c>
      <c r="B9780" t="s">
        <v>9718</v>
      </c>
      <c r="C9780">
        <f>"KE3274D"</f>
        <v>0</v>
      </c>
      <c r="D9780">
        <v>0</v>
      </c>
      <c r="E9780">
        <v>0</v>
      </c>
      <c r="F9780" s="2">
        <v>0</v>
      </c>
      <c r="H9780">
        <v>0</v>
      </c>
      <c r="I9780">
        <v>0.1741125760648204</v>
      </c>
      <c r="J9780">
        <v>0</v>
      </c>
      <c r="K9780">
        <v>0</v>
      </c>
      <c r="L9780" s="2">
        <v>0</v>
      </c>
      <c r="M9780">
        <v>95.27</v>
      </c>
      <c r="N9780" t="s">
        <v>10237</v>
      </c>
    </row>
    <row r="9781" spans="1:14">
      <c r="A9781" t="s">
        <v>35</v>
      </c>
      <c r="B9781" t="s">
        <v>9719</v>
      </c>
      <c r="C9781">
        <f>"15X15"</f>
        <v>0</v>
      </c>
      <c r="D9781">
        <v>0</v>
      </c>
      <c r="E9781">
        <v>0</v>
      </c>
      <c r="F9781" s="2">
        <v>0</v>
      </c>
      <c r="H9781">
        <v>0</v>
      </c>
      <c r="I9781">
        <v>0.1741125760648204</v>
      </c>
      <c r="J9781">
        <v>0</v>
      </c>
      <c r="K9781">
        <v>0</v>
      </c>
      <c r="L9781" s="2">
        <v>0</v>
      </c>
      <c r="M9781">
        <v>95.28</v>
      </c>
      <c r="N9781" t="s">
        <v>10237</v>
      </c>
    </row>
    <row r="9782" spans="1:14">
      <c r="A9782" t="s">
        <v>35</v>
      </c>
      <c r="B9782" t="s">
        <v>9720</v>
      </c>
      <c r="C9782">
        <f>"12X12"</f>
        <v>0</v>
      </c>
      <c r="D9782">
        <v>0</v>
      </c>
      <c r="E9782">
        <v>0</v>
      </c>
      <c r="F9782" s="2">
        <v>0</v>
      </c>
      <c r="H9782">
        <v>0</v>
      </c>
      <c r="I9782">
        <v>0.1741125760648204</v>
      </c>
      <c r="J9782">
        <v>0</v>
      </c>
      <c r="K9782">
        <v>0</v>
      </c>
      <c r="L9782" s="2">
        <v>0</v>
      </c>
      <c r="M9782">
        <v>95.29000000000001</v>
      </c>
      <c r="N9782" t="s">
        <v>10237</v>
      </c>
    </row>
    <row r="9783" spans="1:14">
      <c r="A9783" t="s">
        <v>35</v>
      </c>
      <c r="B9783" t="s">
        <v>9721</v>
      </c>
      <c r="C9783">
        <f>"40X40"</f>
        <v>0</v>
      </c>
      <c r="D9783">
        <v>0</v>
      </c>
      <c r="E9783">
        <v>0</v>
      </c>
      <c r="F9783" s="2">
        <v>0</v>
      </c>
      <c r="H9783">
        <v>0</v>
      </c>
      <c r="I9783">
        <v>0.1741125760648204</v>
      </c>
      <c r="J9783">
        <v>0</v>
      </c>
      <c r="K9783">
        <v>0</v>
      </c>
      <c r="L9783" s="2">
        <v>0</v>
      </c>
      <c r="M9783">
        <v>95.3</v>
      </c>
      <c r="N9783" t="s">
        <v>10237</v>
      </c>
    </row>
    <row r="9784" spans="1:14">
      <c r="A9784" t="s">
        <v>196</v>
      </c>
      <c r="B9784" t="s">
        <v>9722</v>
      </c>
      <c r="C9784">
        <f>"25521"</f>
        <v>0</v>
      </c>
      <c r="D9784">
        <v>0</v>
      </c>
      <c r="E9784">
        <v>0</v>
      </c>
      <c r="F9784" s="2">
        <v>0</v>
      </c>
      <c r="H9784">
        <v>0</v>
      </c>
      <c r="I9784">
        <v>0.1741125760648204</v>
      </c>
      <c r="J9784">
        <v>0</v>
      </c>
      <c r="K9784">
        <v>0</v>
      </c>
      <c r="L9784" s="2">
        <v>0</v>
      </c>
      <c r="M9784">
        <v>95.31</v>
      </c>
      <c r="N9784" t="s">
        <v>10237</v>
      </c>
    </row>
    <row r="9785" spans="1:14">
      <c r="A9785" t="s">
        <v>202</v>
      </c>
      <c r="B9785" t="s">
        <v>9723</v>
      </c>
      <c r="C9785">
        <f>"12101083"</f>
        <v>0</v>
      </c>
      <c r="D9785">
        <v>0</v>
      </c>
      <c r="E9785">
        <v>0</v>
      </c>
      <c r="F9785" s="2">
        <v>0</v>
      </c>
      <c r="H9785">
        <v>0</v>
      </c>
      <c r="I9785">
        <v>0.1741125760648204</v>
      </c>
      <c r="J9785">
        <v>0</v>
      </c>
      <c r="K9785">
        <v>0</v>
      </c>
      <c r="L9785" s="2">
        <v>0</v>
      </c>
      <c r="M9785">
        <v>95.31999999999999</v>
      </c>
      <c r="N9785" t="s">
        <v>10237</v>
      </c>
    </row>
    <row r="9786" spans="1:14">
      <c r="A9786" t="s">
        <v>202</v>
      </c>
      <c r="B9786" t="s">
        <v>9724</v>
      </c>
      <c r="C9786">
        <f>"12101084"</f>
        <v>0</v>
      </c>
      <c r="D9786">
        <v>0</v>
      </c>
      <c r="E9786">
        <v>0</v>
      </c>
      <c r="F9786" s="2">
        <v>0</v>
      </c>
      <c r="H9786">
        <v>0</v>
      </c>
      <c r="I9786">
        <v>0.1741125760648204</v>
      </c>
      <c r="J9786">
        <v>0</v>
      </c>
      <c r="K9786">
        <v>0</v>
      </c>
      <c r="L9786" s="2">
        <v>0</v>
      </c>
      <c r="M9786">
        <v>95.33</v>
      </c>
      <c r="N9786" t="s">
        <v>10237</v>
      </c>
    </row>
    <row r="9787" spans="1:14">
      <c r="A9787" t="s">
        <v>202</v>
      </c>
      <c r="B9787" t="s">
        <v>9725</v>
      </c>
      <c r="C9787">
        <f>"12101085"</f>
        <v>0</v>
      </c>
      <c r="D9787">
        <v>0</v>
      </c>
      <c r="E9787">
        <v>0</v>
      </c>
      <c r="F9787" s="2">
        <v>0</v>
      </c>
      <c r="H9787">
        <v>0</v>
      </c>
      <c r="I9787">
        <v>0.1741125760648204</v>
      </c>
      <c r="J9787">
        <v>0</v>
      </c>
      <c r="K9787">
        <v>0</v>
      </c>
      <c r="L9787" s="2">
        <v>0</v>
      </c>
      <c r="M9787">
        <v>95.34</v>
      </c>
      <c r="N9787" t="s">
        <v>10237</v>
      </c>
    </row>
    <row r="9788" spans="1:14">
      <c r="A9788" t="s">
        <v>35</v>
      </c>
      <c r="B9788" t="s">
        <v>9726</v>
      </c>
      <c r="C9788">
        <f>"ZHM"</f>
        <v>0</v>
      </c>
      <c r="D9788">
        <v>0</v>
      </c>
      <c r="E9788">
        <v>0</v>
      </c>
      <c r="F9788" s="2">
        <v>0</v>
      </c>
      <c r="H9788">
        <v>0</v>
      </c>
      <c r="I9788">
        <v>0.1741125760648204</v>
      </c>
      <c r="J9788">
        <v>0</v>
      </c>
      <c r="K9788">
        <v>0</v>
      </c>
      <c r="L9788" s="2">
        <v>0</v>
      </c>
      <c r="M9788">
        <v>95.34999999999999</v>
      </c>
      <c r="N9788" t="s">
        <v>10237</v>
      </c>
    </row>
    <row r="9789" spans="1:14">
      <c r="A9789" t="s">
        <v>35</v>
      </c>
      <c r="B9789" t="s">
        <v>9727</v>
      </c>
      <c r="C9789">
        <f>"22769"</f>
        <v>0</v>
      </c>
      <c r="D9789">
        <v>0</v>
      </c>
      <c r="E9789">
        <v>0</v>
      </c>
      <c r="F9789" s="2">
        <v>0</v>
      </c>
      <c r="H9789">
        <v>0</v>
      </c>
      <c r="I9789">
        <v>0.1741125760648204</v>
      </c>
      <c r="J9789">
        <v>0</v>
      </c>
      <c r="K9789">
        <v>0</v>
      </c>
      <c r="L9789" s="2">
        <v>0</v>
      </c>
      <c r="M9789">
        <v>95.36</v>
      </c>
      <c r="N9789" t="s">
        <v>10237</v>
      </c>
    </row>
    <row r="9790" spans="1:14">
      <c r="A9790" t="s">
        <v>35</v>
      </c>
      <c r="B9790" t="s">
        <v>9728</v>
      </c>
      <c r="C9790">
        <f>"22766"</f>
        <v>0</v>
      </c>
      <c r="D9790">
        <v>0</v>
      </c>
      <c r="E9790">
        <v>0</v>
      </c>
      <c r="F9790" s="2">
        <v>0</v>
      </c>
      <c r="H9790">
        <v>0</v>
      </c>
      <c r="I9790">
        <v>0.1741125760648204</v>
      </c>
      <c r="J9790">
        <v>0</v>
      </c>
      <c r="K9790">
        <v>0</v>
      </c>
      <c r="L9790" s="2">
        <v>0</v>
      </c>
      <c r="M9790">
        <v>95.37</v>
      </c>
      <c r="N9790" t="s">
        <v>10237</v>
      </c>
    </row>
    <row r="9791" spans="1:14">
      <c r="A9791" t="s">
        <v>35</v>
      </c>
      <c r="B9791" t="s">
        <v>9729</v>
      </c>
      <c r="C9791">
        <f>"22767"</f>
        <v>0</v>
      </c>
      <c r="D9791">
        <v>0</v>
      </c>
      <c r="E9791">
        <v>0</v>
      </c>
      <c r="F9791" s="2">
        <v>0</v>
      </c>
      <c r="H9791">
        <v>0</v>
      </c>
      <c r="I9791">
        <v>0.1741125760648204</v>
      </c>
      <c r="J9791">
        <v>0</v>
      </c>
      <c r="K9791">
        <v>0</v>
      </c>
      <c r="L9791" s="2">
        <v>0</v>
      </c>
      <c r="M9791">
        <v>95.38</v>
      </c>
      <c r="N9791" t="s">
        <v>10237</v>
      </c>
    </row>
    <row r="9792" spans="1:14">
      <c r="A9792" t="s">
        <v>35</v>
      </c>
      <c r="B9792" t="s">
        <v>9730</v>
      </c>
      <c r="C9792">
        <f>"22768"</f>
        <v>0</v>
      </c>
      <c r="D9792">
        <v>0</v>
      </c>
      <c r="E9792">
        <v>0</v>
      </c>
      <c r="F9792" s="2">
        <v>0</v>
      </c>
      <c r="H9792">
        <v>0</v>
      </c>
      <c r="I9792">
        <v>0.1741125760648204</v>
      </c>
      <c r="J9792">
        <v>0</v>
      </c>
      <c r="K9792">
        <v>0</v>
      </c>
      <c r="L9792" s="2">
        <v>0</v>
      </c>
      <c r="M9792">
        <v>95.39</v>
      </c>
      <c r="N9792" t="s">
        <v>10237</v>
      </c>
    </row>
    <row r="9793" spans="1:14">
      <c r="A9793" t="s">
        <v>35</v>
      </c>
      <c r="B9793" t="s">
        <v>9731</v>
      </c>
      <c r="C9793">
        <f>"23122"</f>
        <v>0</v>
      </c>
      <c r="D9793">
        <v>0</v>
      </c>
      <c r="E9793">
        <v>0</v>
      </c>
      <c r="F9793" s="2">
        <v>0</v>
      </c>
      <c r="H9793">
        <v>0</v>
      </c>
      <c r="I9793">
        <v>0.1741125760648204</v>
      </c>
      <c r="J9793">
        <v>0</v>
      </c>
      <c r="K9793">
        <v>0</v>
      </c>
      <c r="L9793" s="2">
        <v>0</v>
      </c>
      <c r="M9793">
        <v>95.39</v>
      </c>
      <c r="N9793" t="s">
        <v>10237</v>
      </c>
    </row>
    <row r="9794" spans="1:14">
      <c r="A9794" t="s">
        <v>35</v>
      </c>
      <c r="B9794" t="s">
        <v>9732</v>
      </c>
      <c r="C9794">
        <f>"23120"</f>
        <v>0</v>
      </c>
      <c r="D9794">
        <v>0</v>
      </c>
      <c r="E9794">
        <v>0</v>
      </c>
      <c r="F9794" s="2">
        <v>0</v>
      </c>
      <c r="H9794">
        <v>0</v>
      </c>
      <c r="I9794">
        <v>0.1741125760648204</v>
      </c>
      <c r="J9794">
        <v>0</v>
      </c>
      <c r="K9794">
        <v>0</v>
      </c>
      <c r="L9794" s="2">
        <v>0</v>
      </c>
      <c r="M9794">
        <v>95.40000000000001</v>
      </c>
      <c r="N9794" t="s">
        <v>10237</v>
      </c>
    </row>
    <row r="9795" spans="1:14">
      <c r="A9795" t="s">
        <v>35</v>
      </c>
      <c r="B9795" t="s">
        <v>9733</v>
      </c>
      <c r="C9795">
        <f>"RD016"</f>
        <v>0</v>
      </c>
      <c r="D9795">
        <v>0</v>
      </c>
      <c r="E9795">
        <v>0</v>
      </c>
      <c r="F9795" s="2">
        <v>0</v>
      </c>
      <c r="H9795">
        <v>0</v>
      </c>
      <c r="I9795">
        <v>0.1741125760648204</v>
      </c>
      <c r="J9795">
        <v>0</v>
      </c>
      <c r="K9795">
        <v>0</v>
      </c>
      <c r="L9795" s="2">
        <v>0</v>
      </c>
      <c r="M9795">
        <v>95.41</v>
      </c>
      <c r="N9795" t="s">
        <v>10237</v>
      </c>
    </row>
    <row r="9796" spans="1:14">
      <c r="A9796" t="s">
        <v>217</v>
      </c>
      <c r="B9796" t="s">
        <v>9734</v>
      </c>
      <c r="C9796">
        <f>"HP0100"</f>
        <v>0</v>
      </c>
      <c r="D9796">
        <v>0</v>
      </c>
      <c r="E9796">
        <v>5</v>
      </c>
      <c r="F9796" s="2">
        <v>8</v>
      </c>
      <c r="H9796">
        <v>0</v>
      </c>
      <c r="I9796">
        <v>0.1741125760648204</v>
      </c>
      <c r="J9796">
        <v>0</v>
      </c>
      <c r="K9796">
        <v>0</v>
      </c>
      <c r="L9796" s="2">
        <v>0</v>
      </c>
      <c r="M9796">
        <v>95.42</v>
      </c>
      <c r="N9796" t="s">
        <v>10237</v>
      </c>
    </row>
    <row r="9797" spans="1:14">
      <c r="A9797" t="s">
        <v>32</v>
      </c>
      <c r="B9797" t="s">
        <v>9735</v>
      </c>
      <c r="C9797">
        <f>"1018703"</f>
        <v>0</v>
      </c>
      <c r="D9797">
        <v>0</v>
      </c>
      <c r="E9797">
        <v>1</v>
      </c>
      <c r="F9797" s="2">
        <v>25</v>
      </c>
      <c r="H9797">
        <v>0</v>
      </c>
      <c r="I9797">
        <v>0.1741125760648204</v>
      </c>
      <c r="J9797">
        <v>0</v>
      </c>
      <c r="K9797">
        <v>0</v>
      </c>
      <c r="L9797" s="2">
        <v>0</v>
      </c>
      <c r="M9797">
        <v>95.43000000000001</v>
      </c>
      <c r="N9797" t="s">
        <v>10237</v>
      </c>
    </row>
    <row r="9798" spans="1:14">
      <c r="A9798" t="s">
        <v>223</v>
      </c>
      <c r="B9798" t="s">
        <v>9736</v>
      </c>
      <c r="C9798">
        <f>"2217015"</f>
        <v>0</v>
      </c>
      <c r="D9798">
        <v>0</v>
      </c>
      <c r="E9798">
        <v>0</v>
      </c>
      <c r="F9798" s="2">
        <v>0</v>
      </c>
      <c r="H9798">
        <v>0</v>
      </c>
      <c r="I9798">
        <v>0.1741125760648204</v>
      </c>
      <c r="J9798">
        <v>0</v>
      </c>
      <c r="K9798">
        <v>0</v>
      </c>
      <c r="L9798" s="2">
        <v>0</v>
      </c>
      <c r="M9798">
        <v>95.44</v>
      </c>
      <c r="N9798" t="s">
        <v>10237</v>
      </c>
    </row>
    <row r="9799" spans="1:14">
      <c r="A9799" t="s">
        <v>223</v>
      </c>
      <c r="B9799" t="s">
        <v>9737</v>
      </c>
      <c r="C9799">
        <f>"1643245660"</f>
        <v>0</v>
      </c>
      <c r="D9799">
        <v>0</v>
      </c>
      <c r="E9799">
        <v>0</v>
      </c>
      <c r="F9799" s="2">
        <v>0</v>
      </c>
      <c r="H9799">
        <v>0</v>
      </c>
      <c r="I9799">
        <v>0.1741125760648204</v>
      </c>
      <c r="J9799">
        <v>0</v>
      </c>
      <c r="K9799">
        <v>0</v>
      </c>
      <c r="L9799" s="2">
        <v>0</v>
      </c>
      <c r="M9799">
        <v>95.45</v>
      </c>
      <c r="N9799" t="s">
        <v>10237</v>
      </c>
    </row>
    <row r="9800" spans="1:14">
      <c r="A9800" t="s">
        <v>195</v>
      </c>
      <c r="B9800" t="s">
        <v>9738</v>
      </c>
      <c r="C9800">
        <f>"25390117"</f>
        <v>0</v>
      </c>
      <c r="D9800">
        <v>0</v>
      </c>
      <c r="E9800">
        <v>1</v>
      </c>
      <c r="F9800" s="2">
        <v>8</v>
      </c>
      <c r="H9800">
        <v>0</v>
      </c>
      <c r="I9800">
        <v>0.1741125760648204</v>
      </c>
      <c r="J9800">
        <v>0</v>
      </c>
      <c r="K9800">
        <v>0</v>
      </c>
      <c r="L9800" s="2">
        <v>0</v>
      </c>
      <c r="M9800">
        <v>95.45999999999999</v>
      </c>
      <c r="N9800" t="s">
        <v>10237</v>
      </c>
    </row>
    <row r="9801" spans="1:14">
      <c r="A9801" t="s">
        <v>195</v>
      </c>
      <c r="B9801" t="s">
        <v>9739</v>
      </c>
      <c r="C9801">
        <f>"25390118"</f>
        <v>0</v>
      </c>
      <c r="D9801">
        <v>0</v>
      </c>
      <c r="E9801">
        <v>2</v>
      </c>
      <c r="F9801" s="2">
        <v>6</v>
      </c>
      <c r="H9801">
        <v>0</v>
      </c>
      <c r="I9801">
        <v>0.1741125760648204</v>
      </c>
      <c r="J9801">
        <v>0</v>
      </c>
      <c r="K9801">
        <v>0</v>
      </c>
      <c r="L9801" s="2">
        <v>0</v>
      </c>
      <c r="M9801">
        <v>95.47</v>
      </c>
      <c r="N9801" t="s">
        <v>10237</v>
      </c>
    </row>
    <row r="9802" spans="1:14">
      <c r="A9802" t="s">
        <v>195</v>
      </c>
      <c r="B9802" t="s">
        <v>9740</v>
      </c>
      <c r="C9802">
        <f>"25390112"</f>
        <v>0</v>
      </c>
      <c r="D9802">
        <v>0</v>
      </c>
      <c r="E9802">
        <v>1</v>
      </c>
      <c r="F9802" s="2">
        <v>5</v>
      </c>
      <c r="H9802">
        <v>0</v>
      </c>
      <c r="I9802">
        <v>0.1741125760648204</v>
      </c>
      <c r="J9802">
        <v>0</v>
      </c>
      <c r="K9802">
        <v>0</v>
      </c>
      <c r="L9802" s="2">
        <v>0</v>
      </c>
      <c r="M9802">
        <v>95.48</v>
      </c>
      <c r="N9802" t="s">
        <v>10237</v>
      </c>
    </row>
    <row r="9803" spans="1:14">
      <c r="A9803" t="s">
        <v>195</v>
      </c>
      <c r="B9803" t="s">
        <v>9741</v>
      </c>
      <c r="C9803">
        <f>"25390113"</f>
        <v>0</v>
      </c>
      <c r="D9803">
        <v>0</v>
      </c>
      <c r="E9803">
        <v>0</v>
      </c>
      <c r="F9803" s="2">
        <v>0</v>
      </c>
      <c r="H9803">
        <v>0</v>
      </c>
      <c r="I9803">
        <v>0.1741125760648204</v>
      </c>
      <c r="J9803">
        <v>0</v>
      </c>
      <c r="K9803">
        <v>0</v>
      </c>
      <c r="L9803" s="2">
        <v>0</v>
      </c>
      <c r="M9803">
        <v>95.48999999999999</v>
      </c>
      <c r="N9803" t="s">
        <v>10237</v>
      </c>
    </row>
    <row r="9804" spans="1:14">
      <c r="A9804" t="s">
        <v>195</v>
      </c>
      <c r="B9804" t="s">
        <v>9742</v>
      </c>
      <c r="C9804">
        <f>"25390114"</f>
        <v>0</v>
      </c>
      <c r="D9804">
        <v>0</v>
      </c>
      <c r="E9804">
        <v>6</v>
      </c>
      <c r="F9804" s="2">
        <v>6</v>
      </c>
      <c r="H9804">
        <v>0</v>
      </c>
      <c r="I9804">
        <v>0.1741125760648204</v>
      </c>
      <c r="J9804">
        <v>0</v>
      </c>
      <c r="K9804">
        <v>0</v>
      </c>
      <c r="L9804" s="2">
        <v>0</v>
      </c>
      <c r="M9804">
        <v>95.5</v>
      </c>
      <c r="N9804" t="s">
        <v>10237</v>
      </c>
    </row>
    <row r="9805" spans="1:14">
      <c r="A9805" t="s">
        <v>195</v>
      </c>
      <c r="B9805" t="s">
        <v>9743</v>
      </c>
      <c r="C9805">
        <f>"25390111"</f>
        <v>0</v>
      </c>
      <c r="D9805">
        <v>0</v>
      </c>
      <c r="E9805">
        <v>0</v>
      </c>
      <c r="F9805" s="2">
        <v>0</v>
      </c>
      <c r="H9805">
        <v>0</v>
      </c>
      <c r="I9805">
        <v>0.1741125760648204</v>
      </c>
      <c r="J9805">
        <v>0</v>
      </c>
      <c r="K9805">
        <v>0</v>
      </c>
      <c r="L9805" s="2">
        <v>0</v>
      </c>
      <c r="M9805">
        <v>95.51000000000001</v>
      </c>
      <c r="N9805" t="s">
        <v>10237</v>
      </c>
    </row>
    <row r="9806" spans="1:14">
      <c r="A9806" t="s">
        <v>195</v>
      </c>
      <c r="B9806" t="s">
        <v>9744</v>
      </c>
      <c r="C9806">
        <f>"25390129"</f>
        <v>0</v>
      </c>
      <c r="D9806">
        <v>0</v>
      </c>
      <c r="E9806">
        <v>0</v>
      </c>
      <c r="F9806" s="2">
        <v>0</v>
      </c>
      <c r="H9806">
        <v>0</v>
      </c>
      <c r="I9806">
        <v>0.1741125760648204</v>
      </c>
      <c r="J9806">
        <v>0</v>
      </c>
      <c r="K9806">
        <v>0</v>
      </c>
      <c r="L9806" s="2">
        <v>0</v>
      </c>
      <c r="M9806">
        <v>95.51000000000001</v>
      </c>
      <c r="N9806" t="s">
        <v>10237</v>
      </c>
    </row>
    <row r="9807" spans="1:14">
      <c r="A9807" t="s">
        <v>195</v>
      </c>
      <c r="B9807" t="s">
        <v>9745</v>
      </c>
      <c r="C9807">
        <f>"25390123"</f>
        <v>0</v>
      </c>
      <c r="D9807">
        <v>0</v>
      </c>
      <c r="E9807">
        <v>0</v>
      </c>
      <c r="F9807" s="2">
        <v>0</v>
      </c>
      <c r="H9807">
        <v>0</v>
      </c>
      <c r="I9807">
        <v>0.1741125760648204</v>
      </c>
      <c r="J9807">
        <v>0</v>
      </c>
      <c r="K9807">
        <v>0</v>
      </c>
      <c r="L9807" s="2">
        <v>0</v>
      </c>
      <c r="M9807">
        <v>95.52</v>
      </c>
      <c r="N9807" t="s">
        <v>10237</v>
      </c>
    </row>
    <row r="9808" spans="1:14">
      <c r="A9808" t="s">
        <v>195</v>
      </c>
      <c r="B9808" t="s">
        <v>9746</v>
      </c>
      <c r="C9808">
        <f>"25390124"</f>
        <v>0</v>
      </c>
      <c r="D9808">
        <v>0</v>
      </c>
      <c r="E9808">
        <v>0</v>
      </c>
      <c r="F9808" s="2">
        <v>0</v>
      </c>
      <c r="H9808">
        <v>0</v>
      </c>
      <c r="I9808">
        <v>0.1741125760648204</v>
      </c>
      <c r="J9808">
        <v>0</v>
      </c>
      <c r="K9808">
        <v>0</v>
      </c>
      <c r="L9808" s="2">
        <v>0</v>
      </c>
      <c r="M9808">
        <v>95.53</v>
      </c>
      <c r="N9808" t="s">
        <v>10237</v>
      </c>
    </row>
    <row r="9809" spans="1:14">
      <c r="A9809" t="s">
        <v>195</v>
      </c>
      <c r="B9809" t="s">
        <v>9747</v>
      </c>
      <c r="C9809">
        <f>"25390125"</f>
        <v>0</v>
      </c>
      <c r="D9809">
        <v>0</v>
      </c>
      <c r="E9809">
        <v>0</v>
      </c>
      <c r="F9809" s="2">
        <v>0</v>
      </c>
      <c r="H9809">
        <v>0</v>
      </c>
      <c r="I9809">
        <v>0.1741125760648204</v>
      </c>
      <c r="J9809">
        <v>0</v>
      </c>
      <c r="K9809">
        <v>0</v>
      </c>
      <c r="L9809" s="2">
        <v>0</v>
      </c>
      <c r="M9809">
        <v>95.54000000000001</v>
      </c>
      <c r="N9809" t="s">
        <v>10237</v>
      </c>
    </row>
    <row r="9810" spans="1:14">
      <c r="A9810" t="s">
        <v>35</v>
      </c>
      <c r="B9810" t="s">
        <v>9748</v>
      </c>
      <c r="C9810">
        <f>"23117"</f>
        <v>0</v>
      </c>
      <c r="D9810">
        <v>0</v>
      </c>
      <c r="E9810">
        <v>0</v>
      </c>
      <c r="F9810" s="2">
        <v>0</v>
      </c>
      <c r="H9810">
        <v>0</v>
      </c>
      <c r="I9810">
        <v>0.1741125760648204</v>
      </c>
      <c r="J9810">
        <v>0</v>
      </c>
      <c r="K9810">
        <v>0</v>
      </c>
      <c r="L9810" s="2">
        <v>0</v>
      </c>
      <c r="M9810">
        <v>95.55</v>
      </c>
      <c r="N9810" t="s">
        <v>10237</v>
      </c>
    </row>
    <row r="9811" spans="1:14">
      <c r="A9811" t="s">
        <v>35</v>
      </c>
      <c r="B9811" t="s">
        <v>9749</v>
      </c>
      <c r="C9811">
        <f>"1854M"</f>
        <v>0</v>
      </c>
      <c r="D9811">
        <v>0</v>
      </c>
      <c r="E9811">
        <v>0</v>
      </c>
      <c r="F9811" s="2">
        <v>0</v>
      </c>
      <c r="H9811">
        <v>0</v>
      </c>
      <c r="I9811">
        <v>0.1741125760648204</v>
      </c>
      <c r="J9811">
        <v>0</v>
      </c>
      <c r="K9811">
        <v>0</v>
      </c>
      <c r="L9811" s="2">
        <v>0</v>
      </c>
      <c r="M9811">
        <v>95.56</v>
      </c>
      <c r="N9811" t="s">
        <v>10237</v>
      </c>
    </row>
    <row r="9812" spans="1:14">
      <c r="A9812" t="s">
        <v>35</v>
      </c>
      <c r="B9812" t="s">
        <v>9750</v>
      </c>
      <c r="C9812">
        <f>"EK3004RO"</f>
        <v>0</v>
      </c>
      <c r="D9812">
        <v>0</v>
      </c>
      <c r="E9812">
        <v>8</v>
      </c>
      <c r="F9812" s="2">
        <v>2</v>
      </c>
      <c r="H9812">
        <v>0</v>
      </c>
      <c r="I9812">
        <v>0.1741125760648204</v>
      </c>
      <c r="J9812">
        <v>0</v>
      </c>
      <c r="K9812">
        <v>0</v>
      </c>
      <c r="L9812" s="2">
        <v>0</v>
      </c>
      <c r="M9812">
        <v>95.56999999999999</v>
      </c>
      <c r="N9812" t="s">
        <v>10237</v>
      </c>
    </row>
    <row r="9813" spans="1:14">
      <c r="A9813" t="s">
        <v>35</v>
      </c>
      <c r="B9813" t="s">
        <v>9751</v>
      </c>
      <c r="C9813">
        <f>"EK3004CA"</f>
        <v>0</v>
      </c>
      <c r="D9813">
        <v>0</v>
      </c>
      <c r="E9813">
        <v>6</v>
      </c>
      <c r="F9813" s="2">
        <v>2</v>
      </c>
      <c r="H9813">
        <v>0</v>
      </c>
      <c r="I9813">
        <v>0.1741125760648204</v>
      </c>
      <c r="J9813">
        <v>0</v>
      </c>
      <c r="K9813">
        <v>0</v>
      </c>
      <c r="L9813" s="2">
        <v>0</v>
      </c>
      <c r="M9813">
        <v>95.58</v>
      </c>
      <c r="N9813" t="s">
        <v>10237</v>
      </c>
    </row>
    <row r="9814" spans="1:14">
      <c r="A9814" t="s">
        <v>202</v>
      </c>
      <c r="B9814" t="s">
        <v>9752</v>
      </c>
      <c r="C9814">
        <f>"11001118"</f>
        <v>0</v>
      </c>
      <c r="D9814">
        <v>0</v>
      </c>
      <c r="E9814">
        <v>2</v>
      </c>
      <c r="F9814" s="2">
        <v>12</v>
      </c>
      <c r="H9814">
        <v>0</v>
      </c>
      <c r="I9814">
        <v>0.1741125760648204</v>
      </c>
      <c r="J9814">
        <v>0</v>
      </c>
      <c r="K9814">
        <v>0</v>
      </c>
      <c r="L9814" s="2">
        <v>0</v>
      </c>
      <c r="M9814">
        <v>95.59</v>
      </c>
      <c r="N9814" t="s">
        <v>10237</v>
      </c>
    </row>
    <row r="9815" spans="1:14">
      <c r="A9815" t="s">
        <v>202</v>
      </c>
      <c r="B9815" t="s">
        <v>9753</v>
      </c>
      <c r="C9815">
        <f>"21001029"</f>
        <v>0</v>
      </c>
      <c r="D9815">
        <v>0</v>
      </c>
      <c r="E9815">
        <v>0</v>
      </c>
      <c r="F9815" s="2">
        <v>0</v>
      </c>
      <c r="H9815">
        <v>0</v>
      </c>
      <c r="I9815">
        <v>0.1741125760648204</v>
      </c>
      <c r="J9815">
        <v>0</v>
      </c>
      <c r="K9815">
        <v>0</v>
      </c>
      <c r="L9815" s="2">
        <v>0</v>
      </c>
      <c r="M9815">
        <v>95.59999999999999</v>
      </c>
      <c r="N9815" t="s">
        <v>10237</v>
      </c>
    </row>
    <row r="9816" spans="1:14">
      <c r="A9816" t="s">
        <v>202</v>
      </c>
      <c r="B9816" t="s">
        <v>9754</v>
      </c>
      <c r="C9816">
        <f>"11002142"</f>
        <v>0</v>
      </c>
      <c r="D9816">
        <v>0</v>
      </c>
      <c r="E9816">
        <v>2</v>
      </c>
      <c r="F9816" s="2">
        <v>12</v>
      </c>
      <c r="H9816">
        <v>0</v>
      </c>
      <c r="I9816">
        <v>0.1741125760648204</v>
      </c>
      <c r="J9816">
        <v>0</v>
      </c>
      <c r="K9816">
        <v>0</v>
      </c>
      <c r="L9816" s="2">
        <v>0</v>
      </c>
      <c r="M9816">
        <v>95.61</v>
      </c>
      <c r="N9816" t="s">
        <v>10237</v>
      </c>
    </row>
    <row r="9817" spans="1:14">
      <c r="A9817" t="s">
        <v>29</v>
      </c>
      <c r="B9817" t="s">
        <v>9755</v>
      </c>
      <c r="C9817">
        <f>"PMH25"</f>
        <v>0</v>
      </c>
      <c r="D9817">
        <v>0</v>
      </c>
      <c r="E9817">
        <v>1</v>
      </c>
      <c r="F9817" s="2">
        <v>2</v>
      </c>
      <c r="H9817">
        <v>0</v>
      </c>
      <c r="I9817">
        <v>0.1741125760648204</v>
      </c>
      <c r="J9817">
        <v>0</v>
      </c>
      <c r="K9817">
        <v>0</v>
      </c>
      <c r="L9817" s="2">
        <v>0</v>
      </c>
      <c r="M9817">
        <v>95.62</v>
      </c>
      <c r="N9817" t="s">
        <v>10237</v>
      </c>
    </row>
    <row r="9818" spans="1:14">
      <c r="A9818" t="s">
        <v>29</v>
      </c>
      <c r="B9818" t="s">
        <v>9756</v>
      </c>
      <c r="C9818">
        <f>"PMH100"</f>
        <v>0</v>
      </c>
      <c r="D9818">
        <v>0</v>
      </c>
      <c r="E9818">
        <v>4</v>
      </c>
      <c r="F9818" s="2">
        <v>4</v>
      </c>
      <c r="H9818">
        <v>0</v>
      </c>
      <c r="I9818">
        <v>0.1741125760648204</v>
      </c>
      <c r="J9818">
        <v>0</v>
      </c>
      <c r="K9818">
        <v>0</v>
      </c>
      <c r="L9818" s="2">
        <v>0</v>
      </c>
      <c r="M9818">
        <v>95.63</v>
      </c>
      <c r="N9818" t="s">
        <v>10237</v>
      </c>
    </row>
    <row r="9819" spans="1:14">
      <c r="A9819" t="s">
        <v>29</v>
      </c>
      <c r="B9819" t="s">
        <v>9757</v>
      </c>
      <c r="C9819">
        <f>"PMHM50"</f>
        <v>0</v>
      </c>
      <c r="D9819">
        <v>0</v>
      </c>
      <c r="E9819">
        <v>0</v>
      </c>
      <c r="F9819" s="2">
        <v>0</v>
      </c>
      <c r="H9819">
        <v>0</v>
      </c>
      <c r="I9819">
        <v>0.1741125760648204</v>
      </c>
      <c r="J9819">
        <v>0</v>
      </c>
      <c r="K9819">
        <v>0</v>
      </c>
      <c r="L9819" s="2">
        <v>0</v>
      </c>
      <c r="M9819">
        <v>95.63</v>
      </c>
      <c r="N9819" t="s">
        <v>10237</v>
      </c>
    </row>
    <row r="9820" spans="1:14">
      <c r="A9820" t="s">
        <v>29</v>
      </c>
      <c r="B9820" t="s">
        <v>9758</v>
      </c>
      <c r="C9820">
        <f>"PMHM25"</f>
        <v>0</v>
      </c>
      <c r="D9820">
        <v>0</v>
      </c>
      <c r="E9820">
        <v>0</v>
      </c>
      <c r="F9820" s="2">
        <v>0</v>
      </c>
      <c r="H9820">
        <v>0</v>
      </c>
      <c r="I9820">
        <v>0.1741125760648204</v>
      </c>
      <c r="J9820">
        <v>0</v>
      </c>
      <c r="K9820">
        <v>0</v>
      </c>
      <c r="L9820" s="2">
        <v>0</v>
      </c>
      <c r="M9820">
        <v>95.64</v>
      </c>
      <c r="N9820" t="s">
        <v>10237</v>
      </c>
    </row>
    <row r="9821" spans="1:14">
      <c r="A9821" t="s">
        <v>29</v>
      </c>
      <c r="B9821" t="s">
        <v>9759</v>
      </c>
      <c r="C9821">
        <f>"PHHM100"</f>
        <v>0</v>
      </c>
      <c r="D9821">
        <v>0</v>
      </c>
      <c r="E9821">
        <v>0</v>
      </c>
      <c r="F9821" s="2">
        <v>0</v>
      </c>
      <c r="H9821">
        <v>0</v>
      </c>
      <c r="I9821">
        <v>0.1741125760648204</v>
      </c>
      <c r="J9821">
        <v>0</v>
      </c>
      <c r="K9821">
        <v>0</v>
      </c>
      <c r="L9821" s="2">
        <v>0</v>
      </c>
      <c r="M9821">
        <v>95.65000000000001</v>
      </c>
      <c r="N9821" t="s">
        <v>10237</v>
      </c>
    </row>
    <row r="9822" spans="1:14">
      <c r="A9822" t="s">
        <v>32</v>
      </c>
      <c r="B9822" t="s">
        <v>9760</v>
      </c>
      <c r="C9822">
        <f>"5001328"</f>
        <v>0</v>
      </c>
      <c r="D9822">
        <v>0</v>
      </c>
      <c r="E9822">
        <v>0</v>
      </c>
      <c r="F9822" s="2">
        <v>0</v>
      </c>
      <c r="H9822">
        <v>0</v>
      </c>
      <c r="I9822">
        <v>0.1741125760648204</v>
      </c>
      <c r="J9822">
        <v>0</v>
      </c>
      <c r="K9822">
        <v>0</v>
      </c>
      <c r="L9822" s="2">
        <v>0</v>
      </c>
      <c r="M9822">
        <v>95.66</v>
      </c>
      <c r="N9822" t="s">
        <v>10237</v>
      </c>
    </row>
    <row r="9823" spans="1:14">
      <c r="A9823" t="s">
        <v>35</v>
      </c>
      <c r="B9823" t="s">
        <v>9761</v>
      </c>
      <c r="C9823">
        <f>"0465"</f>
        <v>0</v>
      </c>
      <c r="D9823">
        <v>0</v>
      </c>
      <c r="E9823">
        <v>0</v>
      </c>
      <c r="F9823" s="2">
        <v>0</v>
      </c>
      <c r="H9823">
        <v>0</v>
      </c>
      <c r="I9823">
        <v>0.1741125760648204</v>
      </c>
      <c r="J9823">
        <v>0</v>
      </c>
      <c r="K9823">
        <v>0</v>
      </c>
      <c r="L9823" s="2">
        <v>0</v>
      </c>
      <c r="M9823">
        <v>95.67</v>
      </c>
      <c r="N9823" t="s">
        <v>10237</v>
      </c>
    </row>
    <row r="9824" spans="1:14">
      <c r="A9824" t="s">
        <v>35</v>
      </c>
      <c r="B9824" t="s">
        <v>9762</v>
      </c>
      <c r="C9824">
        <f>"20X20"</f>
        <v>0</v>
      </c>
      <c r="D9824">
        <v>0</v>
      </c>
      <c r="E9824">
        <v>0</v>
      </c>
      <c r="F9824" s="2">
        <v>0</v>
      </c>
      <c r="H9824">
        <v>0</v>
      </c>
      <c r="I9824">
        <v>0.1741125760648204</v>
      </c>
      <c r="J9824">
        <v>0</v>
      </c>
      <c r="K9824">
        <v>0</v>
      </c>
      <c r="L9824" s="2">
        <v>0</v>
      </c>
      <c r="M9824">
        <v>95.68000000000001</v>
      </c>
      <c r="N9824" t="s">
        <v>10237</v>
      </c>
    </row>
    <row r="9825" spans="1:14">
      <c r="A9825" t="s">
        <v>25</v>
      </c>
      <c r="B9825" t="s">
        <v>9763</v>
      </c>
      <c r="C9825">
        <f>"RJ122"</f>
        <v>0</v>
      </c>
      <c r="D9825">
        <v>0</v>
      </c>
      <c r="E9825">
        <v>0</v>
      </c>
      <c r="F9825" s="2">
        <v>0</v>
      </c>
      <c r="H9825">
        <v>0</v>
      </c>
      <c r="I9825">
        <v>0.1741125760648204</v>
      </c>
      <c r="J9825">
        <v>0</v>
      </c>
      <c r="K9825">
        <v>0</v>
      </c>
      <c r="L9825" s="2">
        <v>0</v>
      </c>
      <c r="M9825">
        <v>95.69</v>
      </c>
      <c r="N9825" t="s">
        <v>10237</v>
      </c>
    </row>
    <row r="9826" spans="1:14">
      <c r="A9826" t="s">
        <v>202</v>
      </c>
      <c r="B9826" t="s">
        <v>9764</v>
      </c>
      <c r="C9826">
        <f>"11002052"</f>
        <v>0</v>
      </c>
      <c r="D9826">
        <v>0</v>
      </c>
      <c r="E9826">
        <v>1</v>
      </c>
      <c r="F9826" s="2">
        <v>13</v>
      </c>
      <c r="H9826">
        <v>0</v>
      </c>
      <c r="I9826">
        <v>0.1741125760648204</v>
      </c>
      <c r="J9826">
        <v>0</v>
      </c>
      <c r="K9826">
        <v>0</v>
      </c>
      <c r="L9826" s="2">
        <v>0</v>
      </c>
      <c r="M9826">
        <v>95.7</v>
      </c>
      <c r="N9826" t="s">
        <v>10237</v>
      </c>
    </row>
    <row r="9827" spans="1:14">
      <c r="A9827" t="s">
        <v>218</v>
      </c>
      <c r="B9827" t="s">
        <v>9765</v>
      </c>
      <c r="C9827">
        <f>"1018603"</f>
        <v>0</v>
      </c>
      <c r="D9827">
        <v>0</v>
      </c>
      <c r="E9827">
        <v>0</v>
      </c>
      <c r="F9827" s="2">
        <v>0</v>
      </c>
      <c r="H9827">
        <v>0</v>
      </c>
      <c r="I9827">
        <v>0.1741125760648204</v>
      </c>
      <c r="J9827">
        <v>0</v>
      </c>
      <c r="K9827">
        <v>0</v>
      </c>
      <c r="L9827" s="2">
        <v>0</v>
      </c>
      <c r="M9827">
        <v>95.70999999999999</v>
      </c>
      <c r="N9827" t="s">
        <v>10237</v>
      </c>
    </row>
    <row r="9828" spans="1:14">
      <c r="A9828" t="s">
        <v>35</v>
      </c>
      <c r="B9828" t="s">
        <v>9766</v>
      </c>
      <c r="C9828">
        <f>"4803031"</f>
        <v>0</v>
      </c>
      <c r="D9828">
        <v>0</v>
      </c>
      <c r="E9828">
        <v>0</v>
      </c>
      <c r="F9828" s="2">
        <v>0</v>
      </c>
      <c r="H9828">
        <v>0</v>
      </c>
      <c r="I9828">
        <v>0.1741125760648204</v>
      </c>
      <c r="J9828">
        <v>0</v>
      </c>
      <c r="K9828">
        <v>0</v>
      </c>
      <c r="L9828" s="2">
        <v>0</v>
      </c>
      <c r="M9828">
        <v>95.72</v>
      </c>
      <c r="N9828" t="s">
        <v>10237</v>
      </c>
    </row>
    <row r="9829" spans="1:14">
      <c r="A9829" t="s">
        <v>35</v>
      </c>
      <c r="B9829" t="s">
        <v>9767</v>
      </c>
      <c r="C9829">
        <f>"4804466"</f>
        <v>0</v>
      </c>
      <c r="D9829">
        <v>0</v>
      </c>
      <c r="E9829">
        <v>1</v>
      </c>
      <c r="F9829" s="2">
        <v>13</v>
      </c>
      <c r="H9829">
        <v>0</v>
      </c>
      <c r="I9829">
        <v>0.1741125760648204</v>
      </c>
      <c r="J9829">
        <v>0</v>
      </c>
      <c r="K9829">
        <v>0</v>
      </c>
      <c r="L9829" s="2">
        <v>0</v>
      </c>
      <c r="M9829">
        <v>95.73</v>
      </c>
      <c r="N9829" t="s">
        <v>10237</v>
      </c>
    </row>
    <row r="9830" spans="1:14">
      <c r="A9830" t="s">
        <v>35</v>
      </c>
      <c r="B9830" t="s">
        <v>9768</v>
      </c>
      <c r="C9830">
        <f>"4806588"</f>
        <v>0</v>
      </c>
      <c r="D9830">
        <v>0</v>
      </c>
      <c r="E9830">
        <v>18</v>
      </c>
      <c r="F9830" s="2">
        <v>12</v>
      </c>
      <c r="H9830">
        <v>0</v>
      </c>
      <c r="I9830">
        <v>0.1741125760648204</v>
      </c>
      <c r="J9830">
        <v>0</v>
      </c>
      <c r="K9830">
        <v>0</v>
      </c>
      <c r="L9830" s="2">
        <v>0</v>
      </c>
      <c r="M9830">
        <v>95.73999999999999</v>
      </c>
      <c r="N9830" t="s">
        <v>10237</v>
      </c>
    </row>
    <row r="9831" spans="1:14">
      <c r="A9831" t="s">
        <v>35</v>
      </c>
      <c r="B9831" t="s">
        <v>9769</v>
      </c>
      <c r="C9831">
        <f>"4803030"</f>
        <v>0</v>
      </c>
      <c r="D9831">
        <v>0</v>
      </c>
      <c r="E9831">
        <v>0</v>
      </c>
      <c r="F9831" s="2">
        <v>0</v>
      </c>
      <c r="H9831">
        <v>0</v>
      </c>
      <c r="I9831">
        <v>0.1741125760648204</v>
      </c>
      <c r="J9831">
        <v>0</v>
      </c>
      <c r="K9831">
        <v>0</v>
      </c>
      <c r="L9831" s="2">
        <v>0</v>
      </c>
      <c r="M9831">
        <v>95.75</v>
      </c>
      <c r="N9831" t="s">
        <v>10237</v>
      </c>
    </row>
    <row r="9832" spans="1:14">
      <c r="A9832" t="s">
        <v>35</v>
      </c>
      <c r="B9832" t="s">
        <v>9770</v>
      </c>
      <c r="C9832">
        <f>"4806741"</f>
        <v>0</v>
      </c>
      <c r="D9832">
        <v>0</v>
      </c>
      <c r="E9832">
        <v>5</v>
      </c>
      <c r="F9832" s="2">
        <v>10</v>
      </c>
      <c r="H9832">
        <v>0</v>
      </c>
      <c r="I9832">
        <v>0.1741125760648204</v>
      </c>
      <c r="J9832">
        <v>0</v>
      </c>
      <c r="K9832">
        <v>0</v>
      </c>
      <c r="L9832" s="2">
        <v>0</v>
      </c>
      <c r="M9832">
        <v>95.75</v>
      </c>
      <c r="N9832" t="s">
        <v>10237</v>
      </c>
    </row>
    <row r="9833" spans="1:14">
      <c r="A9833" t="s">
        <v>24</v>
      </c>
      <c r="B9833" t="s">
        <v>9771</v>
      </c>
      <c r="C9833">
        <f>"1320501"</f>
        <v>0</v>
      </c>
      <c r="D9833">
        <v>0</v>
      </c>
      <c r="E9833">
        <v>1</v>
      </c>
      <c r="F9833" s="2">
        <v>7</v>
      </c>
      <c r="H9833">
        <v>0</v>
      </c>
      <c r="I9833">
        <v>0.1741125760648204</v>
      </c>
      <c r="J9833">
        <v>0</v>
      </c>
      <c r="K9833">
        <v>0</v>
      </c>
      <c r="L9833" s="2">
        <v>0</v>
      </c>
      <c r="M9833">
        <v>95.76000000000001</v>
      </c>
      <c r="N9833" t="s">
        <v>10237</v>
      </c>
    </row>
    <row r="9834" spans="1:14">
      <c r="A9834" t="s">
        <v>41</v>
      </c>
      <c r="B9834" t="s">
        <v>9772</v>
      </c>
      <c r="C9834">
        <f>"PAHRP30"</f>
        <v>0</v>
      </c>
      <c r="D9834">
        <v>0</v>
      </c>
      <c r="E9834">
        <v>1</v>
      </c>
      <c r="F9834" s="2">
        <v>17</v>
      </c>
      <c r="H9834">
        <v>0</v>
      </c>
      <c r="I9834">
        <v>0.1741125760648204</v>
      </c>
      <c r="J9834">
        <v>0</v>
      </c>
      <c r="K9834">
        <v>0</v>
      </c>
      <c r="L9834" s="2">
        <v>0</v>
      </c>
      <c r="M9834">
        <v>95.77</v>
      </c>
      <c r="N9834" t="s">
        <v>10237</v>
      </c>
    </row>
    <row r="9835" spans="1:14">
      <c r="A9835" t="s">
        <v>202</v>
      </c>
      <c r="B9835" t="s">
        <v>9773</v>
      </c>
      <c r="C9835">
        <f>"11002032"</f>
        <v>0</v>
      </c>
      <c r="D9835">
        <v>0</v>
      </c>
      <c r="E9835">
        <v>8</v>
      </c>
      <c r="F9835" s="2">
        <v>2</v>
      </c>
      <c r="H9835">
        <v>0</v>
      </c>
      <c r="I9835">
        <v>0.1741125760648204</v>
      </c>
      <c r="J9835">
        <v>0</v>
      </c>
      <c r="K9835">
        <v>0</v>
      </c>
      <c r="L9835" s="2">
        <v>0</v>
      </c>
      <c r="M9835">
        <v>95.78</v>
      </c>
      <c r="N9835" t="s">
        <v>10237</v>
      </c>
    </row>
    <row r="9836" spans="1:14">
      <c r="A9836" t="s">
        <v>202</v>
      </c>
      <c r="B9836" t="s">
        <v>9774</v>
      </c>
      <c r="C9836">
        <f>"11002154"</f>
        <v>0</v>
      </c>
      <c r="D9836">
        <v>0</v>
      </c>
      <c r="E9836">
        <v>8</v>
      </c>
      <c r="F9836" s="2">
        <v>2</v>
      </c>
      <c r="H9836">
        <v>0</v>
      </c>
      <c r="I9836">
        <v>0.1741125760648204</v>
      </c>
      <c r="J9836">
        <v>0</v>
      </c>
      <c r="K9836">
        <v>0</v>
      </c>
      <c r="L9836" s="2">
        <v>0</v>
      </c>
      <c r="M9836">
        <v>95.79000000000001</v>
      </c>
      <c r="N9836" t="s">
        <v>10237</v>
      </c>
    </row>
    <row r="9837" spans="1:14">
      <c r="A9837" t="s">
        <v>223</v>
      </c>
      <c r="B9837" t="s">
        <v>9775</v>
      </c>
      <c r="C9837">
        <f>"5019101"</f>
        <v>0</v>
      </c>
      <c r="D9837">
        <v>0</v>
      </c>
      <c r="E9837">
        <v>0</v>
      </c>
      <c r="F9837" s="2">
        <v>0</v>
      </c>
      <c r="H9837">
        <v>0</v>
      </c>
      <c r="I9837">
        <v>0.1741125760648204</v>
      </c>
      <c r="J9837">
        <v>0</v>
      </c>
      <c r="K9837">
        <v>0</v>
      </c>
      <c r="L9837" s="2">
        <v>0</v>
      </c>
      <c r="M9837">
        <v>95.8</v>
      </c>
      <c r="N9837" t="s">
        <v>10237</v>
      </c>
    </row>
    <row r="9838" spans="1:14">
      <c r="A9838" t="s">
        <v>223</v>
      </c>
      <c r="B9838" t="s">
        <v>9776</v>
      </c>
      <c r="C9838">
        <f>"285210"</f>
        <v>0</v>
      </c>
      <c r="D9838">
        <v>0</v>
      </c>
      <c r="E9838">
        <v>0</v>
      </c>
      <c r="F9838" s="2">
        <v>0</v>
      </c>
      <c r="H9838">
        <v>0</v>
      </c>
      <c r="I9838">
        <v>0.1741125760648204</v>
      </c>
      <c r="J9838">
        <v>0</v>
      </c>
      <c r="K9838">
        <v>0</v>
      </c>
      <c r="L9838" s="2">
        <v>0</v>
      </c>
      <c r="M9838">
        <v>95.81</v>
      </c>
      <c r="N9838" t="s">
        <v>10237</v>
      </c>
    </row>
    <row r="9839" spans="1:14">
      <c r="A9839" t="s">
        <v>25</v>
      </c>
      <c r="B9839" t="s">
        <v>9777</v>
      </c>
      <c r="C9839">
        <f>"S366"</f>
        <v>0</v>
      </c>
      <c r="D9839">
        <v>0</v>
      </c>
      <c r="E9839">
        <v>2</v>
      </c>
      <c r="F9839" s="2">
        <v>5</v>
      </c>
      <c r="H9839">
        <v>0</v>
      </c>
      <c r="I9839">
        <v>0.1741125760648204</v>
      </c>
      <c r="J9839">
        <v>0</v>
      </c>
      <c r="K9839">
        <v>0</v>
      </c>
      <c r="L9839" s="2">
        <v>0</v>
      </c>
      <c r="M9839">
        <v>95.81999999999999</v>
      </c>
      <c r="N9839" t="s">
        <v>10237</v>
      </c>
    </row>
    <row r="9840" spans="1:14">
      <c r="A9840" t="s">
        <v>25</v>
      </c>
      <c r="B9840" t="s">
        <v>9778</v>
      </c>
      <c r="C9840">
        <f>"NV1531"</f>
        <v>0</v>
      </c>
      <c r="D9840">
        <v>0</v>
      </c>
      <c r="E9840">
        <v>1</v>
      </c>
      <c r="F9840" s="2">
        <v>6</v>
      </c>
      <c r="H9840">
        <v>0</v>
      </c>
      <c r="I9840">
        <v>0.1741125760648204</v>
      </c>
      <c r="J9840">
        <v>0</v>
      </c>
      <c r="K9840">
        <v>0</v>
      </c>
      <c r="L9840" s="2">
        <v>0</v>
      </c>
      <c r="M9840">
        <v>95.83</v>
      </c>
      <c r="N9840" t="s">
        <v>10237</v>
      </c>
    </row>
    <row r="9841" spans="1:14">
      <c r="A9841" t="s">
        <v>202</v>
      </c>
      <c r="B9841" t="s">
        <v>9779</v>
      </c>
      <c r="C9841">
        <f>"11001116"</f>
        <v>0</v>
      </c>
      <c r="D9841">
        <v>0</v>
      </c>
      <c r="E9841">
        <v>2</v>
      </c>
      <c r="F9841" s="2">
        <v>13</v>
      </c>
      <c r="H9841">
        <v>0</v>
      </c>
      <c r="I9841">
        <v>0.1741125760648204</v>
      </c>
      <c r="J9841">
        <v>0</v>
      </c>
      <c r="K9841">
        <v>0</v>
      </c>
      <c r="L9841" s="2">
        <v>0</v>
      </c>
      <c r="M9841">
        <v>95.84</v>
      </c>
      <c r="N9841" t="s">
        <v>10237</v>
      </c>
    </row>
    <row r="9842" spans="1:14">
      <c r="A9842" t="s">
        <v>35</v>
      </c>
      <c r="B9842" t="s">
        <v>9780</v>
      </c>
      <c r="C9842">
        <f>"EK3003AZ"</f>
        <v>0</v>
      </c>
      <c r="D9842">
        <v>0</v>
      </c>
      <c r="E9842">
        <v>2</v>
      </c>
      <c r="F9842" s="2">
        <v>1</v>
      </c>
      <c r="H9842">
        <v>0</v>
      </c>
      <c r="I9842">
        <v>0.1741125760648204</v>
      </c>
      <c r="J9842">
        <v>0</v>
      </c>
      <c r="K9842">
        <v>0</v>
      </c>
      <c r="L9842" s="2">
        <v>0</v>
      </c>
      <c r="M9842">
        <v>95.84999999999999</v>
      </c>
      <c r="N9842" t="s">
        <v>10237</v>
      </c>
    </row>
    <row r="9843" spans="1:14">
      <c r="A9843" t="s">
        <v>35</v>
      </c>
      <c r="B9843" t="s">
        <v>9781</v>
      </c>
      <c r="C9843">
        <f>"EK3003AM"</f>
        <v>0</v>
      </c>
      <c r="D9843">
        <v>0</v>
      </c>
      <c r="E9843">
        <v>3</v>
      </c>
      <c r="F9843" s="2">
        <v>1</v>
      </c>
      <c r="H9843">
        <v>0</v>
      </c>
      <c r="I9843">
        <v>0.1741125760648204</v>
      </c>
      <c r="J9843">
        <v>0</v>
      </c>
      <c r="K9843">
        <v>0</v>
      </c>
      <c r="L9843" s="2">
        <v>0</v>
      </c>
      <c r="M9843">
        <v>95.86</v>
      </c>
      <c r="N9843" t="s">
        <v>10237</v>
      </c>
    </row>
    <row r="9844" spans="1:14">
      <c r="A9844" t="s">
        <v>35</v>
      </c>
      <c r="B9844" t="s">
        <v>9782</v>
      </c>
      <c r="C9844">
        <f>"EK3003"</f>
        <v>0</v>
      </c>
      <c r="D9844">
        <v>0</v>
      </c>
      <c r="E9844">
        <v>1</v>
      </c>
      <c r="F9844" s="2">
        <v>1</v>
      </c>
      <c r="H9844">
        <v>0</v>
      </c>
      <c r="I9844">
        <v>0.1741125760648204</v>
      </c>
      <c r="J9844">
        <v>0</v>
      </c>
      <c r="K9844">
        <v>0</v>
      </c>
      <c r="L9844" s="2">
        <v>0</v>
      </c>
      <c r="M9844">
        <v>95.86</v>
      </c>
      <c r="N9844" t="s">
        <v>10237</v>
      </c>
    </row>
    <row r="9845" spans="1:14">
      <c r="A9845" t="s">
        <v>35</v>
      </c>
      <c r="B9845" t="s">
        <v>9783</v>
      </c>
      <c r="C9845">
        <f>"EK3002RO"</f>
        <v>0</v>
      </c>
      <c r="D9845">
        <v>0</v>
      </c>
      <c r="E9845">
        <v>2</v>
      </c>
      <c r="F9845" s="2">
        <v>1</v>
      </c>
      <c r="H9845">
        <v>0</v>
      </c>
      <c r="I9845">
        <v>0.1741125760648204</v>
      </c>
      <c r="J9845">
        <v>0</v>
      </c>
      <c r="K9845">
        <v>0</v>
      </c>
      <c r="L9845" s="2">
        <v>0</v>
      </c>
      <c r="M9845">
        <v>95.87</v>
      </c>
      <c r="N9845" t="s">
        <v>10237</v>
      </c>
    </row>
    <row r="9846" spans="1:14">
      <c r="A9846" t="s">
        <v>35</v>
      </c>
      <c r="B9846" t="s">
        <v>9784</v>
      </c>
      <c r="C9846">
        <f>"EK3002NE"</f>
        <v>0</v>
      </c>
      <c r="D9846">
        <v>0</v>
      </c>
      <c r="E9846">
        <v>4</v>
      </c>
      <c r="F9846" s="2">
        <v>1</v>
      </c>
      <c r="H9846">
        <v>0</v>
      </c>
      <c r="I9846">
        <v>0.1741125760648204</v>
      </c>
      <c r="J9846">
        <v>0</v>
      </c>
      <c r="K9846">
        <v>0</v>
      </c>
      <c r="L9846" s="2">
        <v>0</v>
      </c>
      <c r="M9846">
        <v>95.88</v>
      </c>
      <c r="N9846" t="s">
        <v>10237</v>
      </c>
    </row>
    <row r="9847" spans="1:14">
      <c r="A9847" t="s">
        <v>35</v>
      </c>
      <c r="B9847" t="s">
        <v>9785</v>
      </c>
      <c r="C9847">
        <f>"EK3002AZ"</f>
        <v>0</v>
      </c>
      <c r="D9847">
        <v>0</v>
      </c>
      <c r="E9847">
        <v>2</v>
      </c>
      <c r="F9847" s="2">
        <v>1</v>
      </c>
      <c r="H9847">
        <v>0</v>
      </c>
      <c r="I9847">
        <v>0.1741125760648204</v>
      </c>
      <c r="J9847">
        <v>0</v>
      </c>
      <c r="K9847">
        <v>0</v>
      </c>
      <c r="L9847" s="2">
        <v>0</v>
      </c>
      <c r="M9847">
        <v>95.89</v>
      </c>
      <c r="N9847" t="s">
        <v>10237</v>
      </c>
    </row>
    <row r="9848" spans="1:14">
      <c r="A9848" t="s">
        <v>35</v>
      </c>
      <c r="B9848" t="s">
        <v>9786</v>
      </c>
      <c r="C9848">
        <f>"HP111S"</f>
        <v>0</v>
      </c>
      <c r="D9848">
        <v>0</v>
      </c>
      <c r="E9848">
        <v>4</v>
      </c>
      <c r="F9848" s="2">
        <v>2</v>
      </c>
      <c r="H9848">
        <v>0</v>
      </c>
      <c r="I9848">
        <v>0.1741125760648204</v>
      </c>
      <c r="J9848">
        <v>0</v>
      </c>
      <c r="K9848">
        <v>0</v>
      </c>
      <c r="L9848" s="2">
        <v>0</v>
      </c>
      <c r="M9848">
        <v>95.90000000000001</v>
      </c>
      <c r="N9848" t="s">
        <v>10237</v>
      </c>
    </row>
    <row r="9849" spans="1:14">
      <c r="A9849" t="s">
        <v>35</v>
      </c>
      <c r="B9849" t="s">
        <v>9787</v>
      </c>
      <c r="C9849">
        <f>"HP111M"</f>
        <v>0</v>
      </c>
      <c r="D9849">
        <v>0</v>
      </c>
      <c r="E9849">
        <v>1</v>
      </c>
      <c r="F9849" s="2">
        <v>3</v>
      </c>
      <c r="H9849">
        <v>0</v>
      </c>
      <c r="I9849">
        <v>0.1741125760648204</v>
      </c>
      <c r="J9849">
        <v>0</v>
      </c>
      <c r="K9849">
        <v>0</v>
      </c>
      <c r="L9849" s="2">
        <v>0</v>
      </c>
      <c r="M9849">
        <v>95.91</v>
      </c>
      <c r="N9849" t="s">
        <v>10237</v>
      </c>
    </row>
    <row r="9850" spans="1:14">
      <c r="A9850" t="s">
        <v>35</v>
      </c>
      <c r="B9850" t="s">
        <v>9788</v>
      </c>
      <c r="C9850">
        <f>"23119"</f>
        <v>0</v>
      </c>
      <c r="D9850">
        <v>0</v>
      </c>
      <c r="E9850">
        <v>0</v>
      </c>
      <c r="F9850" s="2">
        <v>0</v>
      </c>
      <c r="H9850">
        <v>0</v>
      </c>
      <c r="I9850">
        <v>0.1741125760648204</v>
      </c>
      <c r="J9850">
        <v>0</v>
      </c>
      <c r="K9850">
        <v>0</v>
      </c>
      <c r="L9850" s="2">
        <v>0</v>
      </c>
      <c r="M9850">
        <v>95.92</v>
      </c>
      <c r="N9850" t="s">
        <v>10237</v>
      </c>
    </row>
    <row r="9851" spans="1:14">
      <c r="A9851" t="s">
        <v>29</v>
      </c>
      <c r="B9851" t="s">
        <v>9789</v>
      </c>
      <c r="C9851">
        <f>"32072"</f>
        <v>0</v>
      </c>
      <c r="D9851">
        <v>0</v>
      </c>
      <c r="E9851">
        <v>0</v>
      </c>
      <c r="F9851" s="2">
        <v>0</v>
      </c>
      <c r="H9851">
        <v>0</v>
      </c>
      <c r="I9851">
        <v>0.1741125760648204</v>
      </c>
      <c r="J9851">
        <v>0</v>
      </c>
      <c r="K9851">
        <v>0</v>
      </c>
      <c r="L9851" s="2">
        <v>0</v>
      </c>
      <c r="M9851">
        <v>95.93000000000001</v>
      </c>
      <c r="N9851" t="s">
        <v>10237</v>
      </c>
    </row>
    <row r="9852" spans="1:14">
      <c r="A9852" t="s">
        <v>217</v>
      </c>
      <c r="B9852" t="s">
        <v>9790</v>
      </c>
      <c r="C9852">
        <f>"HLMX10"</f>
        <v>0</v>
      </c>
      <c r="D9852">
        <v>0</v>
      </c>
      <c r="E9852">
        <v>4</v>
      </c>
      <c r="F9852" s="2">
        <v>14</v>
      </c>
      <c r="H9852">
        <v>0</v>
      </c>
      <c r="I9852">
        <v>0.1741125760648204</v>
      </c>
      <c r="J9852">
        <v>0</v>
      </c>
      <c r="K9852">
        <v>0</v>
      </c>
      <c r="L9852" s="2">
        <v>0</v>
      </c>
      <c r="M9852">
        <v>95.94</v>
      </c>
      <c r="N9852" t="s">
        <v>10237</v>
      </c>
    </row>
    <row r="9853" spans="1:14">
      <c r="A9853" t="s">
        <v>35</v>
      </c>
      <c r="B9853" t="s">
        <v>9791</v>
      </c>
      <c r="C9853">
        <f>"DT641LR"</f>
        <v>0</v>
      </c>
      <c r="D9853">
        <v>0</v>
      </c>
      <c r="E9853">
        <v>47</v>
      </c>
      <c r="F9853" s="2">
        <v>3</v>
      </c>
      <c r="H9853">
        <v>0</v>
      </c>
      <c r="I9853">
        <v>0.1741125760648204</v>
      </c>
      <c r="J9853">
        <v>0</v>
      </c>
      <c r="K9853">
        <v>0</v>
      </c>
      <c r="L9853" s="2">
        <v>0</v>
      </c>
      <c r="M9853">
        <v>95.95</v>
      </c>
      <c r="N9853" t="s">
        <v>10237</v>
      </c>
    </row>
    <row r="9854" spans="1:14">
      <c r="A9854" t="s">
        <v>35</v>
      </c>
      <c r="B9854" t="s">
        <v>9792</v>
      </c>
      <c r="C9854">
        <f>"45656SA"</f>
        <v>0</v>
      </c>
      <c r="D9854">
        <v>0</v>
      </c>
      <c r="E9854">
        <v>68</v>
      </c>
      <c r="F9854" s="2">
        <v>1</v>
      </c>
      <c r="H9854">
        <v>0</v>
      </c>
      <c r="I9854">
        <v>0.1741125760648204</v>
      </c>
      <c r="J9854">
        <v>0</v>
      </c>
      <c r="K9854">
        <v>0</v>
      </c>
      <c r="L9854" s="2">
        <v>0</v>
      </c>
      <c r="M9854">
        <v>95.95999999999999</v>
      </c>
      <c r="N9854" t="s">
        <v>10237</v>
      </c>
    </row>
    <row r="9855" spans="1:14">
      <c r="A9855" t="s">
        <v>35</v>
      </c>
      <c r="B9855" t="s">
        <v>9793</v>
      </c>
      <c r="C9855">
        <f>"45656SR"</f>
        <v>0</v>
      </c>
      <c r="D9855">
        <v>0</v>
      </c>
      <c r="E9855">
        <v>75</v>
      </c>
      <c r="F9855" s="2">
        <v>1</v>
      </c>
      <c r="H9855">
        <v>0</v>
      </c>
      <c r="I9855">
        <v>0.1741125760648204</v>
      </c>
      <c r="J9855">
        <v>0</v>
      </c>
      <c r="K9855">
        <v>0</v>
      </c>
      <c r="L9855" s="2">
        <v>0</v>
      </c>
      <c r="M9855">
        <v>95.97</v>
      </c>
      <c r="N9855" t="s">
        <v>10237</v>
      </c>
    </row>
    <row r="9856" spans="1:14">
      <c r="A9856" t="s">
        <v>195</v>
      </c>
      <c r="B9856" t="s">
        <v>9794</v>
      </c>
      <c r="C9856">
        <f>"25390122"</f>
        <v>0</v>
      </c>
      <c r="D9856">
        <v>0</v>
      </c>
      <c r="E9856">
        <v>0</v>
      </c>
      <c r="F9856" s="2">
        <v>0</v>
      </c>
      <c r="H9856">
        <v>0</v>
      </c>
      <c r="I9856">
        <v>0.1741125760648204</v>
      </c>
      <c r="J9856">
        <v>0</v>
      </c>
      <c r="K9856">
        <v>0</v>
      </c>
      <c r="L9856" s="2">
        <v>0</v>
      </c>
      <c r="M9856">
        <v>95.98</v>
      </c>
      <c r="N9856" t="s">
        <v>10237</v>
      </c>
    </row>
    <row r="9857" spans="1:14">
      <c r="A9857" t="s">
        <v>35</v>
      </c>
      <c r="B9857" t="s">
        <v>9795</v>
      </c>
      <c r="C9857">
        <f>"45656MA"</f>
        <v>0</v>
      </c>
      <c r="D9857">
        <v>0</v>
      </c>
      <c r="E9857">
        <v>99</v>
      </c>
      <c r="F9857" s="2">
        <v>1</v>
      </c>
      <c r="H9857">
        <v>0</v>
      </c>
      <c r="I9857">
        <v>0.1741125760648204</v>
      </c>
      <c r="J9857">
        <v>0</v>
      </c>
      <c r="K9857">
        <v>0</v>
      </c>
      <c r="L9857" s="2">
        <v>0</v>
      </c>
      <c r="M9857">
        <v>95.98</v>
      </c>
      <c r="N9857" t="s">
        <v>10237</v>
      </c>
    </row>
    <row r="9858" spans="1:14">
      <c r="A9858" t="s">
        <v>223</v>
      </c>
      <c r="B9858" t="s">
        <v>9796</v>
      </c>
      <c r="C9858">
        <f>"5376015"</f>
        <v>0</v>
      </c>
      <c r="D9858">
        <v>0</v>
      </c>
      <c r="E9858">
        <v>0</v>
      </c>
      <c r="F9858" s="2">
        <v>0</v>
      </c>
      <c r="H9858">
        <v>0</v>
      </c>
      <c r="I9858">
        <v>0.1741125760648204</v>
      </c>
      <c r="J9858">
        <v>0</v>
      </c>
      <c r="K9858">
        <v>0</v>
      </c>
      <c r="L9858" s="2">
        <v>0</v>
      </c>
      <c r="M9858">
        <v>95.98999999999999</v>
      </c>
      <c r="N9858" t="s">
        <v>10237</v>
      </c>
    </row>
    <row r="9859" spans="1:14">
      <c r="A9859" t="s">
        <v>25</v>
      </c>
      <c r="B9859" t="s">
        <v>9797</v>
      </c>
      <c r="C9859">
        <f>"RJ187"</f>
        <v>0</v>
      </c>
      <c r="D9859">
        <v>0</v>
      </c>
      <c r="E9859">
        <v>0</v>
      </c>
      <c r="F9859" s="2">
        <v>0</v>
      </c>
      <c r="H9859">
        <v>0</v>
      </c>
      <c r="I9859">
        <v>0.1741125760648204</v>
      </c>
      <c r="J9859">
        <v>0</v>
      </c>
      <c r="K9859">
        <v>0</v>
      </c>
      <c r="L9859" s="2">
        <v>0</v>
      </c>
      <c r="M9859">
        <v>96</v>
      </c>
      <c r="N9859" t="s">
        <v>10237</v>
      </c>
    </row>
    <row r="9860" spans="1:14">
      <c r="A9860" t="s">
        <v>216</v>
      </c>
      <c r="B9860" t="s">
        <v>9798</v>
      </c>
      <c r="C9860">
        <f>"GRM"</f>
        <v>0</v>
      </c>
      <c r="D9860">
        <v>0</v>
      </c>
      <c r="E9860">
        <v>0</v>
      </c>
      <c r="F9860" s="2">
        <v>0</v>
      </c>
      <c r="H9860">
        <v>0</v>
      </c>
      <c r="I9860">
        <v>0.1741125760648204</v>
      </c>
      <c r="J9860">
        <v>0</v>
      </c>
      <c r="K9860">
        <v>0</v>
      </c>
      <c r="L9860" s="2">
        <v>0</v>
      </c>
      <c r="M9860">
        <v>96.01000000000001</v>
      </c>
      <c r="N9860" t="s">
        <v>10237</v>
      </c>
    </row>
    <row r="9861" spans="1:14">
      <c r="A9861" t="s">
        <v>25</v>
      </c>
      <c r="B9861" t="s">
        <v>9799</v>
      </c>
      <c r="C9861">
        <f>"RJ185"</f>
        <v>0</v>
      </c>
      <c r="D9861">
        <v>0</v>
      </c>
      <c r="E9861">
        <v>0</v>
      </c>
      <c r="F9861" s="2">
        <v>0</v>
      </c>
      <c r="H9861">
        <v>0</v>
      </c>
      <c r="I9861">
        <v>0.1741125760648204</v>
      </c>
      <c r="J9861">
        <v>0</v>
      </c>
      <c r="K9861">
        <v>0</v>
      </c>
      <c r="L9861" s="2">
        <v>0</v>
      </c>
      <c r="M9861">
        <v>96.02</v>
      </c>
      <c r="N9861" t="s">
        <v>10237</v>
      </c>
    </row>
    <row r="9862" spans="1:14">
      <c r="A9862" t="s">
        <v>207</v>
      </c>
      <c r="B9862" t="s">
        <v>9800</v>
      </c>
      <c r="C9862">
        <f>"HAMSTERR"</f>
        <v>0</v>
      </c>
      <c r="D9862">
        <v>0</v>
      </c>
      <c r="E9862">
        <v>0</v>
      </c>
      <c r="F9862" s="2">
        <v>0</v>
      </c>
      <c r="H9862">
        <v>0</v>
      </c>
      <c r="I9862">
        <v>0.1741125760648204</v>
      </c>
      <c r="J9862">
        <v>0</v>
      </c>
      <c r="K9862">
        <v>0</v>
      </c>
      <c r="L9862" s="2">
        <v>0</v>
      </c>
      <c r="M9862">
        <v>96.03</v>
      </c>
      <c r="N9862" t="s">
        <v>10237</v>
      </c>
    </row>
    <row r="9863" spans="1:14">
      <c r="A9863" t="s">
        <v>25</v>
      </c>
      <c r="B9863" t="s">
        <v>9801</v>
      </c>
      <c r="C9863">
        <f>"53121"</f>
        <v>0</v>
      </c>
      <c r="D9863">
        <v>0</v>
      </c>
      <c r="E9863">
        <v>1</v>
      </c>
      <c r="F9863" s="2">
        <v>3</v>
      </c>
      <c r="H9863">
        <v>0</v>
      </c>
      <c r="I9863">
        <v>0.1741125760648204</v>
      </c>
      <c r="J9863">
        <v>0</v>
      </c>
      <c r="K9863">
        <v>0</v>
      </c>
      <c r="L9863" s="2">
        <v>0</v>
      </c>
      <c r="M9863">
        <v>96.04000000000001</v>
      </c>
      <c r="N9863" t="s">
        <v>10237</v>
      </c>
    </row>
    <row r="9864" spans="1:14">
      <c r="A9864" t="s">
        <v>25</v>
      </c>
      <c r="B9864" t="s">
        <v>9802</v>
      </c>
      <c r="C9864">
        <f>"ZVP5130"</f>
        <v>0</v>
      </c>
      <c r="D9864">
        <v>0</v>
      </c>
      <c r="E9864">
        <v>0</v>
      </c>
      <c r="F9864" s="2">
        <v>0</v>
      </c>
      <c r="H9864">
        <v>0</v>
      </c>
      <c r="I9864">
        <v>0.1741125760648204</v>
      </c>
      <c r="J9864">
        <v>0</v>
      </c>
      <c r="K9864">
        <v>0</v>
      </c>
      <c r="L9864" s="2">
        <v>0</v>
      </c>
      <c r="M9864">
        <v>96.05</v>
      </c>
      <c r="N9864" t="s">
        <v>10237</v>
      </c>
    </row>
    <row r="9865" spans="1:14">
      <c r="A9865" t="s">
        <v>218</v>
      </c>
      <c r="B9865" t="s">
        <v>9803</v>
      </c>
      <c r="C9865">
        <f>"5000329"</f>
        <v>0</v>
      </c>
      <c r="D9865">
        <v>0</v>
      </c>
      <c r="E9865">
        <v>0</v>
      </c>
      <c r="F9865" s="2">
        <v>0</v>
      </c>
      <c r="H9865">
        <v>0</v>
      </c>
      <c r="I9865">
        <v>0.1741125760648204</v>
      </c>
      <c r="J9865">
        <v>0</v>
      </c>
      <c r="K9865">
        <v>0</v>
      </c>
      <c r="L9865" s="2">
        <v>0</v>
      </c>
      <c r="M9865">
        <v>96.06</v>
      </c>
      <c r="N9865" t="s">
        <v>10237</v>
      </c>
    </row>
    <row r="9866" spans="1:14">
      <c r="A9866" t="s">
        <v>218</v>
      </c>
      <c r="B9866" t="s">
        <v>9804</v>
      </c>
      <c r="C9866">
        <f>"1015304"</f>
        <v>0</v>
      </c>
      <c r="D9866">
        <v>0</v>
      </c>
      <c r="E9866">
        <v>0</v>
      </c>
      <c r="F9866" s="2">
        <v>0</v>
      </c>
      <c r="H9866">
        <v>0</v>
      </c>
      <c r="I9866">
        <v>0.1741125760648204</v>
      </c>
      <c r="J9866">
        <v>0</v>
      </c>
      <c r="K9866">
        <v>0</v>
      </c>
      <c r="L9866" s="2">
        <v>0</v>
      </c>
      <c r="M9866">
        <v>96.06999999999999</v>
      </c>
      <c r="N9866" t="s">
        <v>10237</v>
      </c>
    </row>
    <row r="9867" spans="1:14">
      <c r="A9867" t="s">
        <v>218</v>
      </c>
      <c r="B9867" t="s">
        <v>9805</v>
      </c>
      <c r="C9867">
        <f>"1007975"</f>
        <v>0</v>
      </c>
      <c r="D9867">
        <v>0</v>
      </c>
      <c r="E9867">
        <v>0</v>
      </c>
      <c r="F9867" s="2">
        <v>0</v>
      </c>
      <c r="H9867">
        <v>0</v>
      </c>
      <c r="I9867">
        <v>0.1741125760648204</v>
      </c>
      <c r="J9867">
        <v>0</v>
      </c>
      <c r="K9867">
        <v>0</v>
      </c>
      <c r="L9867" s="2">
        <v>0</v>
      </c>
      <c r="M9867">
        <v>96.08</v>
      </c>
      <c r="N9867" t="s">
        <v>10237</v>
      </c>
    </row>
    <row r="9868" spans="1:14">
      <c r="A9868" t="s">
        <v>218</v>
      </c>
      <c r="B9868" t="s">
        <v>9806</v>
      </c>
      <c r="C9868">
        <f>"1007974"</f>
        <v>0</v>
      </c>
      <c r="D9868">
        <v>0</v>
      </c>
      <c r="E9868">
        <v>0</v>
      </c>
      <c r="F9868" s="2">
        <v>0</v>
      </c>
      <c r="H9868">
        <v>0</v>
      </c>
      <c r="I9868">
        <v>0.1741125760648204</v>
      </c>
      <c r="J9868">
        <v>0</v>
      </c>
      <c r="K9868">
        <v>0</v>
      </c>
      <c r="L9868" s="2">
        <v>0</v>
      </c>
      <c r="M9868">
        <v>96.09</v>
      </c>
      <c r="N9868" t="s">
        <v>10237</v>
      </c>
    </row>
    <row r="9869" spans="1:14">
      <c r="A9869" t="s">
        <v>218</v>
      </c>
      <c r="B9869" t="s">
        <v>9807</v>
      </c>
      <c r="C9869">
        <f>"1005468"</f>
        <v>0</v>
      </c>
      <c r="D9869">
        <v>0</v>
      </c>
      <c r="E9869">
        <v>0</v>
      </c>
      <c r="F9869" s="2">
        <v>0</v>
      </c>
      <c r="H9869">
        <v>0</v>
      </c>
      <c r="I9869">
        <v>0.1741125760648204</v>
      </c>
      <c r="J9869">
        <v>0</v>
      </c>
      <c r="K9869">
        <v>0</v>
      </c>
      <c r="L9869" s="2">
        <v>0</v>
      </c>
      <c r="M9869">
        <v>96.09999999999999</v>
      </c>
      <c r="N9869" t="s">
        <v>10237</v>
      </c>
    </row>
    <row r="9870" spans="1:14">
      <c r="A9870" t="s">
        <v>218</v>
      </c>
      <c r="B9870" t="s">
        <v>9808</v>
      </c>
      <c r="C9870">
        <f>"BIO001"</f>
        <v>0</v>
      </c>
      <c r="D9870">
        <v>0</v>
      </c>
      <c r="E9870">
        <v>0</v>
      </c>
      <c r="F9870" s="2">
        <v>0</v>
      </c>
      <c r="H9870">
        <v>0</v>
      </c>
      <c r="I9870">
        <v>0.1741125760648204</v>
      </c>
      <c r="J9870">
        <v>0</v>
      </c>
      <c r="K9870">
        <v>0</v>
      </c>
      <c r="L9870" s="2">
        <v>0</v>
      </c>
      <c r="M9870">
        <v>96.09999999999999</v>
      </c>
      <c r="N9870" t="s">
        <v>10237</v>
      </c>
    </row>
    <row r="9871" spans="1:14">
      <c r="A9871" t="s">
        <v>35</v>
      </c>
      <c r="B9871" t="s">
        <v>9809</v>
      </c>
      <c r="C9871">
        <f>"YE79454"</f>
        <v>0</v>
      </c>
      <c r="D9871">
        <v>0</v>
      </c>
      <c r="E9871">
        <v>0</v>
      </c>
      <c r="F9871" s="2">
        <v>0</v>
      </c>
      <c r="H9871">
        <v>0</v>
      </c>
      <c r="I9871">
        <v>0.1741125760648204</v>
      </c>
      <c r="J9871">
        <v>0</v>
      </c>
      <c r="K9871">
        <v>0</v>
      </c>
      <c r="L9871" s="2">
        <v>0</v>
      </c>
      <c r="M9871">
        <v>96.11</v>
      </c>
      <c r="N9871" t="s">
        <v>10237</v>
      </c>
    </row>
    <row r="9872" spans="1:14">
      <c r="A9872" t="s">
        <v>35</v>
      </c>
      <c r="B9872" t="s">
        <v>9810</v>
      </c>
      <c r="C9872">
        <f>"45656MR"</f>
        <v>0</v>
      </c>
      <c r="D9872">
        <v>0</v>
      </c>
      <c r="E9872">
        <v>95</v>
      </c>
      <c r="F9872" s="2">
        <v>1</v>
      </c>
      <c r="H9872">
        <v>0</v>
      </c>
      <c r="I9872">
        <v>0.1741125760648204</v>
      </c>
      <c r="J9872">
        <v>0</v>
      </c>
      <c r="K9872">
        <v>0</v>
      </c>
      <c r="L9872" s="2">
        <v>0</v>
      </c>
      <c r="M9872">
        <v>96.12</v>
      </c>
      <c r="N9872" t="s">
        <v>10237</v>
      </c>
    </row>
    <row r="9873" spans="1:14">
      <c r="A9873" t="s">
        <v>218</v>
      </c>
      <c r="B9873" t="s">
        <v>9811</v>
      </c>
      <c r="C9873">
        <f>"1215301"</f>
        <v>0</v>
      </c>
      <c r="D9873">
        <v>0</v>
      </c>
      <c r="E9873">
        <v>0</v>
      </c>
      <c r="F9873" s="2">
        <v>0</v>
      </c>
      <c r="H9873">
        <v>0</v>
      </c>
      <c r="I9873">
        <v>0.1741125760648204</v>
      </c>
      <c r="J9873">
        <v>0</v>
      </c>
      <c r="K9873">
        <v>0</v>
      </c>
      <c r="L9873" s="2">
        <v>0</v>
      </c>
      <c r="M9873">
        <v>96.13</v>
      </c>
      <c r="N9873" t="s">
        <v>10237</v>
      </c>
    </row>
    <row r="9874" spans="1:14">
      <c r="A9874" t="s">
        <v>24</v>
      </c>
      <c r="B9874" t="s">
        <v>9812</v>
      </c>
      <c r="C9874">
        <f>"DPI147"</f>
        <v>0</v>
      </c>
      <c r="D9874">
        <v>0</v>
      </c>
      <c r="E9874">
        <v>0</v>
      </c>
      <c r="F9874" s="2">
        <v>0</v>
      </c>
      <c r="H9874">
        <v>0</v>
      </c>
      <c r="I9874">
        <v>0.1741125760648204</v>
      </c>
      <c r="J9874">
        <v>0</v>
      </c>
      <c r="K9874">
        <v>0</v>
      </c>
      <c r="L9874" s="2">
        <v>0</v>
      </c>
      <c r="M9874">
        <v>96.14</v>
      </c>
      <c r="N9874" t="s">
        <v>10237</v>
      </c>
    </row>
    <row r="9875" spans="1:14">
      <c r="A9875" t="s">
        <v>218</v>
      </c>
      <c r="B9875" t="s">
        <v>9813</v>
      </c>
      <c r="C9875">
        <f>"1003636"</f>
        <v>0</v>
      </c>
      <c r="D9875">
        <v>0</v>
      </c>
      <c r="E9875">
        <v>0</v>
      </c>
      <c r="F9875" s="2">
        <v>0</v>
      </c>
      <c r="H9875">
        <v>0</v>
      </c>
      <c r="I9875">
        <v>0.1741125760648204</v>
      </c>
      <c r="J9875">
        <v>0</v>
      </c>
      <c r="K9875">
        <v>0</v>
      </c>
      <c r="L9875" s="2">
        <v>0</v>
      </c>
      <c r="M9875">
        <v>96.15000000000001</v>
      </c>
      <c r="N9875" t="s">
        <v>10237</v>
      </c>
    </row>
    <row r="9876" spans="1:14">
      <c r="A9876" t="s">
        <v>25</v>
      </c>
      <c r="B9876" t="s">
        <v>9814</v>
      </c>
      <c r="C9876">
        <f>"53111"</f>
        <v>0</v>
      </c>
      <c r="D9876">
        <v>0</v>
      </c>
      <c r="E9876">
        <v>0</v>
      </c>
      <c r="F9876" s="2">
        <v>0</v>
      </c>
      <c r="H9876">
        <v>0</v>
      </c>
      <c r="I9876">
        <v>0.1741125760648204</v>
      </c>
      <c r="J9876">
        <v>0</v>
      </c>
      <c r="K9876">
        <v>0</v>
      </c>
      <c r="L9876" s="2">
        <v>0</v>
      </c>
      <c r="M9876">
        <v>96.16</v>
      </c>
      <c r="N9876" t="s">
        <v>10237</v>
      </c>
    </row>
    <row r="9877" spans="1:14">
      <c r="A9877" t="s">
        <v>207</v>
      </c>
      <c r="B9877" t="s">
        <v>9815</v>
      </c>
      <c r="C9877">
        <f>"HAMSTERC"</f>
        <v>0</v>
      </c>
      <c r="D9877">
        <v>0</v>
      </c>
      <c r="E9877">
        <v>0</v>
      </c>
      <c r="F9877" s="2">
        <v>0</v>
      </c>
      <c r="H9877">
        <v>0</v>
      </c>
      <c r="I9877">
        <v>0.1741125760648204</v>
      </c>
      <c r="J9877">
        <v>0</v>
      </c>
      <c r="K9877">
        <v>0</v>
      </c>
      <c r="L9877" s="2">
        <v>0</v>
      </c>
      <c r="M9877">
        <v>96.17</v>
      </c>
      <c r="N9877" t="s">
        <v>10237</v>
      </c>
    </row>
    <row r="9878" spans="1:14">
      <c r="A9878" t="s">
        <v>207</v>
      </c>
      <c r="B9878" t="s">
        <v>9816</v>
      </c>
      <c r="C9878">
        <f>"HAMSTERCH"</f>
        <v>0</v>
      </c>
      <c r="D9878">
        <v>0</v>
      </c>
      <c r="E9878">
        <v>0</v>
      </c>
      <c r="F9878" s="2">
        <v>0</v>
      </c>
      <c r="H9878">
        <v>0</v>
      </c>
      <c r="I9878">
        <v>0.1741125760648204</v>
      </c>
      <c r="J9878">
        <v>0</v>
      </c>
      <c r="K9878">
        <v>0</v>
      </c>
      <c r="L9878" s="2">
        <v>0</v>
      </c>
      <c r="M9878">
        <v>96.18000000000001</v>
      </c>
      <c r="N9878" t="s">
        <v>10237</v>
      </c>
    </row>
    <row r="9879" spans="1:14">
      <c r="A9879" t="s">
        <v>25</v>
      </c>
      <c r="B9879" t="s">
        <v>9817</v>
      </c>
      <c r="C9879">
        <f>"AYCS037"</f>
        <v>0</v>
      </c>
      <c r="D9879">
        <v>0</v>
      </c>
      <c r="E9879">
        <v>0</v>
      </c>
      <c r="F9879" s="2">
        <v>0</v>
      </c>
      <c r="H9879">
        <v>0</v>
      </c>
      <c r="I9879">
        <v>0.1741125760648204</v>
      </c>
      <c r="J9879">
        <v>0</v>
      </c>
      <c r="K9879">
        <v>0</v>
      </c>
      <c r="L9879" s="2">
        <v>0</v>
      </c>
      <c r="M9879">
        <v>96.19</v>
      </c>
      <c r="N9879" t="s">
        <v>10237</v>
      </c>
    </row>
    <row r="9880" spans="1:14">
      <c r="A9880" t="s">
        <v>25</v>
      </c>
      <c r="B9880" t="s">
        <v>9818</v>
      </c>
      <c r="C9880">
        <f>"HTV"</f>
        <v>0</v>
      </c>
      <c r="D9880">
        <v>0</v>
      </c>
      <c r="E9880">
        <v>0</v>
      </c>
      <c r="F9880" s="2">
        <v>0</v>
      </c>
      <c r="H9880">
        <v>0</v>
      </c>
      <c r="I9880">
        <v>0.1741125760648204</v>
      </c>
      <c r="J9880">
        <v>0</v>
      </c>
      <c r="K9880">
        <v>0</v>
      </c>
      <c r="L9880" s="2">
        <v>0</v>
      </c>
      <c r="M9880">
        <v>96.2</v>
      </c>
      <c r="N9880" t="s">
        <v>10237</v>
      </c>
    </row>
    <row r="9881" spans="1:14">
      <c r="A9881" t="s">
        <v>25</v>
      </c>
      <c r="B9881" t="s">
        <v>9819</v>
      </c>
      <c r="C9881">
        <f>"RJ203"</f>
        <v>0</v>
      </c>
      <c r="D9881">
        <v>0</v>
      </c>
      <c r="E9881">
        <v>0</v>
      </c>
      <c r="F9881" s="2">
        <v>0</v>
      </c>
      <c r="H9881">
        <v>0</v>
      </c>
      <c r="I9881">
        <v>0.1741125760648204</v>
      </c>
      <c r="J9881">
        <v>0</v>
      </c>
      <c r="K9881">
        <v>0</v>
      </c>
      <c r="L9881" s="2">
        <v>0</v>
      </c>
      <c r="M9881">
        <v>96.20999999999999</v>
      </c>
      <c r="N9881" t="s">
        <v>10237</v>
      </c>
    </row>
    <row r="9882" spans="1:14">
      <c r="A9882" t="s">
        <v>25</v>
      </c>
      <c r="B9882" t="s">
        <v>9820</v>
      </c>
      <c r="C9882">
        <f>"DC01"</f>
        <v>0</v>
      </c>
      <c r="D9882">
        <v>0</v>
      </c>
      <c r="E9882">
        <v>0</v>
      </c>
      <c r="F9882" s="2">
        <v>0</v>
      </c>
      <c r="H9882">
        <v>0</v>
      </c>
      <c r="I9882">
        <v>0.1741125760648204</v>
      </c>
      <c r="J9882">
        <v>0</v>
      </c>
      <c r="K9882">
        <v>0</v>
      </c>
      <c r="L9882" s="2">
        <v>0</v>
      </c>
      <c r="M9882">
        <v>96.22</v>
      </c>
      <c r="N9882" t="s">
        <v>10237</v>
      </c>
    </row>
    <row r="9883" spans="1:14">
      <c r="A9883" t="s">
        <v>25</v>
      </c>
      <c r="B9883" t="s">
        <v>9821</v>
      </c>
      <c r="C9883">
        <f>"RJ200"</f>
        <v>0</v>
      </c>
      <c r="D9883">
        <v>0</v>
      </c>
      <c r="E9883">
        <v>0</v>
      </c>
      <c r="F9883" s="2">
        <v>0</v>
      </c>
      <c r="H9883">
        <v>0</v>
      </c>
      <c r="I9883">
        <v>0.1741125760648204</v>
      </c>
      <c r="J9883">
        <v>0</v>
      </c>
      <c r="K9883">
        <v>0</v>
      </c>
      <c r="L9883" s="2">
        <v>0</v>
      </c>
      <c r="M9883">
        <v>96.22</v>
      </c>
      <c r="N9883" t="s">
        <v>10237</v>
      </c>
    </row>
    <row r="9884" spans="1:14">
      <c r="A9884" t="s">
        <v>25</v>
      </c>
      <c r="B9884" t="s">
        <v>9822</v>
      </c>
      <c r="C9884">
        <f>"AYCS240"</f>
        <v>0</v>
      </c>
      <c r="D9884">
        <v>0</v>
      </c>
      <c r="E9884">
        <v>10</v>
      </c>
      <c r="F9884" s="2">
        <v>4</v>
      </c>
      <c r="H9884">
        <v>0</v>
      </c>
      <c r="I9884">
        <v>0.1741125760648204</v>
      </c>
      <c r="J9884">
        <v>0</v>
      </c>
      <c r="K9884">
        <v>0</v>
      </c>
      <c r="L9884" s="2">
        <v>0</v>
      </c>
      <c r="M9884">
        <v>96.23</v>
      </c>
      <c r="N9884" t="s">
        <v>10237</v>
      </c>
    </row>
    <row r="9885" spans="1:14">
      <c r="A9885" t="s">
        <v>35</v>
      </c>
      <c r="B9885" t="s">
        <v>9823</v>
      </c>
      <c r="C9885">
        <f>"23121"</f>
        <v>0</v>
      </c>
      <c r="D9885">
        <v>0</v>
      </c>
      <c r="E9885">
        <v>0</v>
      </c>
      <c r="F9885" s="2">
        <v>0</v>
      </c>
      <c r="H9885">
        <v>0</v>
      </c>
      <c r="I9885">
        <v>0.1741125760648204</v>
      </c>
      <c r="J9885">
        <v>0</v>
      </c>
      <c r="K9885">
        <v>0</v>
      </c>
      <c r="L9885" s="2">
        <v>0</v>
      </c>
      <c r="M9885">
        <v>96.23999999999999</v>
      </c>
      <c r="N9885" t="s">
        <v>10237</v>
      </c>
    </row>
    <row r="9886" spans="1:14">
      <c r="A9886" t="s">
        <v>35</v>
      </c>
      <c r="B9886" t="s">
        <v>9824</v>
      </c>
      <c r="C9886">
        <f>"H60015SGR"</f>
        <v>0</v>
      </c>
      <c r="D9886">
        <v>0</v>
      </c>
      <c r="E9886">
        <v>0</v>
      </c>
      <c r="F9886" s="2">
        <v>0</v>
      </c>
      <c r="H9886">
        <v>0</v>
      </c>
      <c r="I9886">
        <v>0.1741125760648204</v>
      </c>
      <c r="J9886">
        <v>0</v>
      </c>
      <c r="K9886">
        <v>0</v>
      </c>
      <c r="L9886" s="2">
        <v>0</v>
      </c>
      <c r="M9886">
        <v>96.25</v>
      </c>
      <c r="N9886" t="s">
        <v>10237</v>
      </c>
    </row>
    <row r="9887" spans="1:14">
      <c r="A9887" t="s">
        <v>35</v>
      </c>
      <c r="B9887" t="s">
        <v>9825</v>
      </c>
      <c r="C9887">
        <f>"EK3003CA"</f>
        <v>0</v>
      </c>
      <c r="D9887">
        <v>0</v>
      </c>
      <c r="E9887">
        <v>4</v>
      </c>
      <c r="F9887" s="2">
        <v>1</v>
      </c>
      <c r="H9887">
        <v>0</v>
      </c>
      <c r="I9887">
        <v>0.1741125760648204</v>
      </c>
      <c r="J9887">
        <v>0</v>
      </c>
      <c r="K9887">
        <v>0</v>
      </c>
      <c r="L9887" s="2">
        <v>0</v>
      </c>
      <c r="M9887">
        <v>96.26000000000001</v>
      </c>
      <c r="N9887" t="s">
        <v>10237</v>
      </c>
    </row>
    <row r="9888" spans="1:14">
      <c r="A9888" t="s">
        <v>35</v>
      </c>
      <c r="B9888" t="s">
        <v>9826</v>
      </c>
      <c r="C9888">
        <f>"H60015MROS"</f>
        <v>0</v>
      </c>
      <c r="D9888">
        <v>0</v>
      </c>
      <c r="E9888">
        <v>1</v>
      </c>
      <c r="F9888" s="2">
        <v>5</v>
      </c>
      <c r="H9888">
        <v>0</v>
      </c>
      <c r="I9888">
        <v>0.1741125760648204</v>
      </c>
      <c r="J9888">
        <v>0</v>
      </c>
      <c r="K9888">
        <v>0</v>
      </c>
      <c r="L9888" s="2">
        <v>0</v>
      </c>
      <c r="M9888">
        <v>96.27</v>
      </c>
      <c r="N9888" t="s">
        <v>10237</v>
      </c>
    </row>
    <row r="9889" spans="1:14">
      <c r="A9889" t="s">
        <v>35</v>
      </c>
      <c r="B9889" t="s">
        <v>9827</v>
      </c>
      <c r="C9889">
        <f>"EK3003RO"</f>
        <v>0</v>
      </c>
      <c r="D9889">
        <v>0</v>
      </c>
      <c r="E9889">
        <v>3</v>
      </c>
      <c r="F9889" s="2">
        <v>1</v>
      </c>
      <c r="H9889">
        <v>0</v>
      </c>
      <c r="I9889">
        <v>0.1741125760648204</v>
      </c>
      <c r="J9889">
        <v>0</v>
      </c>
      <c r="K9889">
        <v>0</v>
      </c>
      <c r="L9889" s="2">
        <v>0</v>
      </c>
      <c r="M9889">
        <v>96.28</v>
      </c>
      <c r="N9889" t="s">
        <v>10237</v>
      </c>
    </row>
    <row r="9890" spans="1:14">
      <c r="A9890" t="s">
        <v>35</v>
      </c>
      <c r="B9890" t="s">
        <v>9828</v>
      </c>
      <c r="C9890">
        <f>"EK3003NE"</f>
        <v>0</v>
      </c>
      <c r="D9890">
        <v>0</v>
      </c>
      <c r="E9890">
        <v>0</v>
      </c>
      <c r="F9890" s="2">
        <v>0</v>
      </c>
      <c r="H9890">
        <v>0</v>
      </c>
      <c r="I9890">
        <v>0.1741125760648204</v>
      </c>
      <c r="J9890">
        <v>0</v>
      </c>
      <c r="K9890">
        <v>0</v>
      </c>
      <c r="L9890" s="2">
        <v>0</v>
      </c>
      <c r="M9890">
        <v>96.29000000000001</v>
      </c>
      <c r="N9890" t="s">
        <v>10237</v>
      </c>
    </row>
    <row r="9891" spans="1:14">
      <c r="A9891" t="s">
        <v>35</v>
      </c>
      <c r="B9891" t="s">
        <v>9829</v>
      </c>
      <c r="C9891">
        <f>"PT015XXLROJ"</f>
        <v>0</v>
      </c>
      <c r="D9891">
        <v>0</v>
      </c>
      <c r="E9891">
        <v>2</v>
      </c>
      <c r="F9891" s="2">
        <v>4</v>
      </c>
      <c r="H9891">
        <v>0</v>
      </c>
      <c r="I9891">
        <v>0.1741125760648204</v>
      </c>
      <c r="J9891">
        <v>0</v>
      </c>
      <c r="K9891">
        <v>0</v>
      </c>
      <c r="L9891" s="2">
        <v>0</v>
      </c>
      <c r="M9891">
        <v>96.3</v>
      </c>
      <c r="N9891" t="s">
        <v>10237</v>
      </c>
    </row>
    <row r="9892" spans="1:14">
      <c r="A9892" t="s">
        <v>35</v>
      </c>
      <c r="B9892" t="s">
        <v>9830</v>
      </c>
      <c r="C9892">
        <f>"PT015XXLN"</f>
        <v>0</v>
      </c>
      <c r="D9892">
        <v>0</v>
      </c>
      <c r="E9892">
        <v>3</v>
      </c>
      <c r="F9892" s="2">
        <v>0</v>
      </c>
      <c r="H9892">
        <v>0</v>
      </c>
      <c r="I9892">
        <v>0.1741125760648204</v>
      </c>
      <c r="J9892">
        <v>0</v>
      </c>
      <c r="K9892">
        <v>0</v>
      </c>
      <c r="L9892" s="2">
        <v>0</v>
      </c>
      <c r="M9892">
        <v>96.31</v>
      </c>
      <c r="N9892" t="s">
        <v>10237</v>
      </c>
    </row>
    <row r="9893" spans="1:14">
      <c r="A9893" t="s">
        <v>35</v>
      </c>
      <c r="B9893" t="s">
        <v>9831</v>
      </c>
      <c r="C9893">
        <f>"PT015XXLMI"</f>
        <v>0</v>
      </c>
      <c r="D9893">
        <v>0</v>
      </c>
      <c r="E9893">
        <v>2</v>
      </c>
      <c r="F9893" s="2">
        <v>2</v>
      </c>
      <c r="H9893">
        <v>0</v>
      </c>
      <c r="I9893">
        <v>0.1741125760648204</v>
      </c>
      <c r="J9893">
        <v>0</v>
      </c>
      <c r="K9893">
        <v>0</v>
      </c>
      <c r="L9893" s="2">
        <v>0</v>
      </c>
      <c r="M9893">
        <v>96.31999999999999</v>
      </c>
      <c r="N9893" t="s">
        <v>10237</v>
      </c>
    </row>
    <row r="9894" spans="1:14">
      <c r="A9894" t="s">
        <v>194</v>
      </c>
      <c r="B9894" t="s">
        <v>9832</v>
      </c>
      <c r="C9894">
        <f>"201100014"</f>
        <v>0</v>
      </c>
      <c r="D9894">
        <v>0</v>
      </c>
      <c r="E9894">
        <v>0</v>
      </c>
      <c r="F9894" s="2">
        <v>0</v>
      </c>
      <c r="H9894">
        <v>0</v>
      </c>
      <c r="I9894">
        <v>0.1741125760648204</v>
      </c>
      <c r="J9894">
        <v>0</v>
      </c>
      <c r="K9894">
        <v>0</v>
      </c>
      <c r="L9894" s="2">
        <v>0</v>
      </c>
      <c r="M9894">
        <v>96.33</v>
      </c>
      <c r="N9894" t="s">
        <v>10237</v>
      </c>
    </row>
    <row r="9895" spans="1:14">
      <c r="A9895" t="s">
        <v>214</v>
      </c>
      <c r="B9895" t="s">
        <v>9833</v>
      </c>
      <c r="C9895">
        <f>"77335"</f>
        <v>0</v>
      </c>
      <c r="D9895">
        <v>0</v>
      </c>
      <c r="E9895">
        <v>6</v>
      </c>
      <c r="F9895" s="2">
        <v>9</v>
      </c>
      <c r="H9895">
        <v>0</v>
      </c>
      <c r="I9895">
        <v>0.1741125760648204</v>
      </c>
      <c r="J9895">
        <v>0</v>
      </c>
      <c r="K9895">
        <v>0</v>
      </c>
      <c r="L9895" s="2">
        <v>0</v>
      </c>
      <c r="M9895">
        <v>96.33</v>
      </c>
      <c r="N9895" t="s">
        <v>10237</v>
      </c>
    </row>
    <row r="9896" spans="1:14">
      <c r="A9896" t="s">
        <v>29</v>
      </c>
      <c r="B9896" t="s">
        <v>9834</v>
      </c>
      <c r="C9896">
        <f>"77333"</f>
        <v>0</v>
      </c>
      <c r="D9896">
        <v>0</v>
      </c>
      <c r="E9896">
        <v>0</v>
      </c>
      <c r="F9896" s="2">
        <v>0</v>
      </c>
      <c r="H9896">
        <v>0</v>
      </c>
      <c r="I9896">
        <v>0.1741125760648204</v>
      </c>
      <c r="J9896">
        <v>0</v>
      </c>
      <c r="K9896">
        <v>0</v>
      </c>
      <c r="L9896" s="2">
        <v>0</v>
      </c>
      <c r="M9896">
        <v>96.34</v>
      </c>
      <c r="N9896" t="s">
        <v>10237</v>
      </c>
    </row>
    <row r="9897" spans="1:14">
      <c r="A9897" t="s">
        <v>35</v>
      </c>
      <c r="B9897" t="s">
        <v>9835</v>
      </c>
      <c r="C9897">
        <f>"HC280"</f>
        <v>0</v>
      </c>
      <c r="D9897">
        <v>0</v>
      </c>
      <c r="E9897">
        <v>0</v>
      </c>
      <c r="F9897" s="2">
        <v>0</v>
      </c>
      <c r="H9897">
        <v>0</v>
      </c>
      <c r="I9897">
        <v>0.1741125760648204</v>
      </c>
      <c r="J9897">
        <v>0</v>
      </c>
      <c r="K9897">
        <v>0</v>
      </c>
      <c r="L9897" s="2">
        <v>0</v>
      </c>
      <c r="M9897">
        <v>96.34999999999999</v>
      </c>
      <c r="N9897" t="s">
        <v>10237</v>
      </c>
    </row>
    <row r="9898" spans="1:14">
      <c r="A9898" t="s">
        <v>30</v>
      </c>
      <c r="B9898" t="s">
        <v>9836</v>
      </c>
      <c r="C9898">
        <f>"100402"</f>
        <v>0</v>
      </c>
      <c r="D9898">
        <v>0</v>
      </c>
      <c r="E9898">
        <v>0</v>
      </c>
      <c r="F9898" s="2">
        <v>0</v>
      </c>
      <c r="H9898">
        <v>0</v>
      </c>
      <c r="I9898">
        <v>0.1741125760648204</v>
      </c>
      <c r="J9898">
        <v>0</v>
      </c>
      <c r="K9898">
        <v>0</v>
      </c>
      <c r="L9898" s="2">
        <v>0</v>
      </c>
      <c r="M9898">
        <v>96.36</v>
      </c>
      <c r="N9898" t="s">
        <v>10237</v>
      </c>
    </row>
    <row r="9899" spans="1:14">
      <c r="A9899" t="s">
        <v>30</v>
      </c>
      <c r="B9899" t="s">
        <v>9837</v>
      </c>
      <c r="C9899">
        <f>"101256"</f>
        <v>0</v>
      </c>
      <c r="D9899">
        <v>0</v>
      </c>
      <c r="E9899">
        <v>0</v>
      </c>
      <c r="F9899" s="2">
        <v>0</v>
      </c>
      <c r="H9899">
        <v>0</v>
      </c>
      <c r="I9899">
        <v>0.1741125760648204</v>
      </c>
      <c r="J9899">
        <v>0</v>
      </c>
      <c r="K9899">
        <v>0</v>
      </c>
      <c r="L9899" s="2">
        <v>0</v>
      </c>
      <c r="M9899">
        <v>96.37</v>
      </c>
      <c r="N9899" t="s">
        <v>10237</v>
      </c>
    </row>
    <row r="9900" spans="1:14">
      <c r="A9900" t="s">
        <v>30</v>
      </c>
      <c r="B9900" t="s">
        <v>9838</v>
      </c>
      <c r="C9900">
        <f>"101324"</f>
        <v>0</v>
      </c>
      <c r="D9900">
        <v>0</v>
      </c>
      <c r="E9900">
        <v>0</v>
      </c>
      <c r="F9900" s="2">
        <v>0</v>
      </c>
      <c r="H9900">
        <v>0</v>
      </c>
      <c r="I9900">
        <v>0.1741125760648204</v>
      </c>
      <c r="J9900">
        <v>0</v>
      </c>
      <c r="K9900">
        <v>0</v>
      </c>
      <c r="L9900" s="2">
        <v>0</v>
      </c>
      <c r="M9900">
        <v>96.38</v>
      </c>
      <c r="N9900" t="s">
        <v>10237</v>
      </c>
    </row>
    <row r="9901" spans="1:14">
      <c r="A9901" t="s">
        <v>30</v>
      </c>
      <c r="B9901" t="s">
        <v>9839</v>
      </c>
      <c r="C9901">
        <f>"101231"</f>
        <v>0</v>
      </c>
      <c r="D9901">
        <v>0</v>
      </c>
      <c r="E9901">
        <v>2</v>
      </c>
      <c r="F9901" s="2">
        <v>14</v>
      </c>
      <c r="H9901">
        <v>0</v>
      </c>
      <c r="I9901">
        <v>0.1741125760648204</v>
      </c>
      <c r="J9901">
        <v>0</v>
      </c>
      <c r="K9901">
        <v>0</v>
      </c>
      <c r="L9901" s="2">
        <v>0</v>
      </c>
      <c r="M9901">
        <v>96.39</v>
      </c>
      <c r="N9901" t="s">
        <v>10237</v>
      </c>
    </row>
    <row r="9902" spans="1:14">
      <c r="A9902" t="s">
        <v>30</v>
      </c>
      <c r="B9902" t="s">
        <v>9840</v>
      </c>
      <c r="C9902">
        <f>"101321"</f>
        <v>0</v>
      </c>
      <c r="D9902">
        <v>0</v>
      </c>
      <c r="E9902">
        <v>0</v>
      </c>
      <c r="F9902" s="2">
        <v>0</v>
      </c>
      <c r="H9902">
        <v>0</v>
      </c>
      <c r="I9902">
        <v>0.1741125760648204</v>
      </c>
      <c r="J9902">
        <v>0</v>
      </c>
      <c r="K9902">
        <v>0</v>
      </c>
      <c r="L9902" s="2">
        <v>0</v>
      </c>
      <c r="M9902">
        <v>96.40000000000001</v>
      </c>
      <c r="N9902" t="s">
        <v>10237</v>
      </c>
    </row>
    <row r="9903" spans="1:14">
      <c r="A9903" t="s">
        <v>35</v>
      </c>
      <c r="B9903" t="s">
        <v>9841</v>
      </c>
      <c r="C9903">
        <f>"H60015SCEL"</f>
        <v>0</v>
      </c>
      <c r="D9903">
        <v>0</v>
      </c>
      <c r="E9903">
        <v>1</v>
      </c>
      <c r="F9903" s="2">
        <v>5</v>
      </c>
      <c r="H9903">
        <v>0</v>
      </c>
      <c r="I9903">
        <v>0.1741125760648204</v>
      </c>
      <c r="J9903">
        <v>0</v>
      </c>
      <c r="K9903">
        <v>0</v>
      </c>
      <c r="L9903" s="2">
        <v>0</v>
      </c>
      <c r="M9903">
        <v>96.41</v>
      </c>
      <c r="N9903" t="s">
        <v>10237</v>
      </c>
    </row>
    <row r="9904" spans="1:14">
      <c r="A9904" t="s">
        <v>195</v>
      </c>
      <c r="B9904" t="s">
        <v>9842</v>
      </c>
      <c r="C9904">
        <f>"25002165"</f>
        <v>0</v>
      </c>
      <c r="D9904">
        <v>0</v>
      </c>
      <c r="E9904">
        <v>0</v>
      </c>
      <c r="F9904" s="2">
        <v>0</v>
      </c>
      <c r="H9904">
        <v>0</v>
      </c>
      <c r="I9904">
        <v>0.1741125760648204</v>
      </c>
      <c r="J9904">
        <v>0</v>
      </c>
      <c r="K9904">
        <v>0</v>
      </c>
      <c r="L9904" s="2">
        <v>0</v>
      </c>
      <c r="M9904">
        <v>96.42</v>
      </c>
      <c r="N9904" t="s">
        <v>10237</v>
      </c>
    </row>
    <row r="9905" spans="1:14">
      <c r="A9905" t="s">
        <v>195</v>
      </c>
      <c r="B9905" t="s">
        <v>9843</v>
      </c>
      <c r="C9905">
        <f>"25570833"</f>
        <v>0</v>
      </c>
      <c r="D9905">
        <v>0</v>
      </c>
      <c r="E9905">
        <v>0</v>
      </c>
      <c r="F9905" s="2">
        <v>0</v>
      </c>
      <c r="H9905">
        <v>0</v>
      </c>
      <c r="I9905">
        <v>0.1741125760648204</v>
      </c>
      <c r="J9905">
        <v>0</v>
      </c>
      <c r="K9905">
        <v>0</v>
      </c>
      <c r="L9905" s="2">
        <v>0</v>
      </c>
      <c r="M9905">
        <v>96.43000000000001</v>
      </c>
      <c r="N9905" t="s">
        <v>10237</v>
      </c>
    </row>
    <row r="9906" spans="1:14">
      <c r="A9906" t="s">
        <v>195</v>
      </c>
      <c r="B9906" t="s">
        <v>9844</v>
      </c>
      <c r="C9906">
        <f>"25395697"</f>
        <v>0</v>
      </c>
      <c r="D9906">
        <v>0</v>
      </c>
      <c r="E9906">
        <v>0</v>
      </c>
      <c r="F9906" s="2">
        <v>0</v>
      </c>
      <c r="H9906">
        <v>0</v>
      </c>
      <c r="I9906">
        <v>0.1741125760648204</v>
      </c>
      <c r="J9906">
        <v>0</v>
      </c>
      <c r="K9906">
        <v>0</v>
      </c>
      <c r="L9906" s="2">
        <v>0</v>
      </c>
      <c r="M9906">
        <v>96.44</v>
      </c>
      <c r="N9906" t="s">
        <v>10237</v>
      </c>
    </row>
    <row r="9907" spans="1:14">
      <c r="A9907" t="s">
        <v>202</v>
      </c>
      <c r="B9907" t="s">
        <v>9845</v>
      </c>
      <c r="C9907">
        <f>"11201069"</f>
        <v>0</v>
      </c>
      <c r="D9907">
        <v>0</v>
      </c>
      <c r="E9907">
        <v>1</v>
      </c>
      <c r="F9907" s="2">
        <v>10</v>
      </c>
      <c r="H9907">
        <v>0</v>
      </c>
      <c r="I9907">
        <v>0.1741125760648204</v>
      </c>
      <c r="J9907">
        <v>0</v>
      </c>
      <c r="K9907">
        <v>0</v>
      </c>
      <c r="L9907" s="2">
        <v>0</v>
      </c>
      <c r="M9907">
        <v>96.45</v>
      </c>
      <c r="N9907" t="s">
        <v>10237</v>
      </c>
    </row>
    <row r="9908" spans="1:14">
      <c r="A9908" t="s">
        <v>35</v>
      </c>
      <c r="B9908" t="s">
        <v>9846</v>
      </c>
      <c r="C9908">
        <f>"HC0150"</f>
        <v>0</v>
      </c>
      <c r="D9908">
        <v>0</v>
      </c>
      <c r="E9908">
        <v>0</v>
      </c>
      <c r="F9908" s="2">
        <v>0</v>
      </c>
      <c r="H9908">
        <v>0</v>
      </c>
      <c r="I9908">
        <v>0.1741125760648204</v>
      </c>
      <c r="J9908">
        <v>0</v>
      </c>
      <c r="K9908">
        <v>0</v>
      </c>
      <c r="L9908" s="2">
        <v>0</v>
      </c>
      <c r="M9908">
        <v>96.45</v>
      </c>
      <c r="N9908" t="s">
        <v>10237</v>
      </c>
    </row>
    <row r="9909" spans="1:14">
      <c r="A9909" t="s">
        <v>35</v>
      </c>
      <c r="B9909" t="s">
        <v>9847</v>
      </c>
      <c r="C9909">
        <f>"HC0125"</f>
        <v>0</v>
      </c>
      <c r="D9909">
        <v>0</v>
      </c>
      <c r="E9909">
        <v>0</v>
      </c>
      <c r="F9909" s="2">
        <v>0</v>
      </c>
      <c r="H9909">
        <v>0</v>
      </c>
      <c r="I9909">
        <v>0.1741125760648204</v>
      </c>
      <c r="J9909">
        <v>0</v>
      </c>
      <c r="K9909">
        <v>0</v>
      </c>
      <c r="L9909" s="2">
        <v>0</v>
      </c>
      <c r="M9909">
        <v>96.45999999999999</v>
      </c>
      <c r="N9909" t="s">
        <v>10237</v>
      </c>
    </row>
    <row r="9910" spans="1:14">
      <c r="A9910" t="s">
        <v>35</v>
      </c>
      <c r="B9910" t="s">
        <v>9848</v>
      </c>
      <c r="C9910">
        <f>"HC007"</f>
        <v>0</v>
      </c>
      <c r="D9910">
        <v>0</v>
      </c>
      <c r="E9910">
        <v>0</v>
      </c>
      <c r="F9910" s="2">
        <v>0</v>
      </c>
      <c r="H9910">
        <v>0</v>
      </c>
      <c r="I9910">
        <v>0.1741125760648204</v>
      </c>
      <c r="J9910">
        <v>0</v>
      </c>
      <c r="K9910">
        <v>0</v>
      </c>
      <c r="L9910" s="2">
        <v>0</v>
      </c>
      <c r="M9910">
        <v>96.47</v>
      </c>
      <c r="N9910" t="s">
        <v>10237</v>
      </c>
    </row>
    <row r="9911" spans="1:14">
      <c r="A9911" t="s">
        <v>35</v>
      </c>
      <c r="B9911" t="s">
        <v>9848</v>
      </c>
      <c r="C9911">
        <f>"HC006"</f>
        <v>0</v>
      </c>
      <c r="D9911">
        <v>0</v>
      </c>
      <c r="E9911">
        <v>0</v>
      </c>
      <c r="F9911" s="2">
        <v>0</v>
      </c>
      <c r="H9911">
        <v>0</v>
      </c>
      <c r="I9911">
        <v>0.1741125760648204</v>
      </c>
      <c r="J9911">
        <v>0</v>
      </c>
      <c r="K9911">
        <v>0</v>
      </c>
      <c r="L9911" s="2">
        <v>0</v>
      </c>
      <c r="M9911">
        <v>96.48</v>
      </c>
      <c r="N9911" t="s">
        <v>10237</v>
      </c>
    </row>
    <row r="9912" spans="1:14">
      <c r="A9912" t="s">
        <v>35</v>
      </c>
      <c r="B9912" t="s">
        <v>9848</v>
      </c>
      <c r="C9912">
        <f>"HC001"</f>
        <v>0</v>
      </c>
      <c r="D9912">
        <v>0</v>
      </c>
      <c r="E9912">
        <v>0</v>
      </c>
      <c r="F9912" s="2">
        <v>0</v>
      </c>
      <c r="H9912">
        <v>0</v>
      </c>
      <c r="I9912">
        <v>0.1741125760648204</v>
      </c>
      <c r="J9912">
        <v>0</v>
      </c>
      <c r="K9912">
        <v>0</v>
      </c>
      <c r="L9912" s="2">
        <v>0</v>
      </c>
      <c r="M9912">
        <v>96.48999999999999</v>
      </c>
      <c r="N9912" t="s">
        <v>10237</v>
      </c>
    </row>
    <row r="9913" spans="1:14">
      <c r="A9913" t="s">
        <v>202</v>
      </c>
      <c r="B9913" t="s">
        <v>9849</v>
      </c>
      <c r="C9913">
        <f>"11201026"</f>
        <v>0</v>
      </c>
      <c r="D9913">
        <v>0</v>
      </c>
      <c r="E9913">
        <v>1</v>
      </c>
      <c r="F9913" s="2">
        <v>8</v>
      </c>
      <c r="H9913">
        <v>0</v>
      </c>
      <c r="I9913">
        <v>0.1741125760648204</v>
      </c>
      <c r="J9913">
        <v>0</v>
      </c>
      <c r="K9913">
        <v>0</v>
      </c>
      <c r="L9913" s="2">
        <v>0</v>
      </c>
      <c r="M9913">
        <v>96.5</v>
      </c>
      <c r="N9913" t="s">
        <v>10237</v>
      </c>
    </row>
    <row r="9914" spans="1:14">
      <c r="A9914" t="s">
        <v>202</v>
      </c>
      <c r="B9914" t="s">
        <v>9850</v>
      </c>
      <c r="C9914">
        <f>"11201058"</f>
        <v>0</v>
      </c>
      <c r="D9914">
        <v>0</v>
      </c>
      <c r="E9914">
        <v>1</v>
      </c>
      <c r="F9914" s="2">
        <v>12</v>
      </c>
      <c r="H9914">
        <v>0</v>
      </c>
      <c r="I9914">
        <v>0.1741125760648204</v>
      </c>
      <c r="J9914">
        <v>0</v>
      </c>
      <c r="K9914">
        <v>0</v>
      </c>
      <c r="L9914" s="2">
        <v>0</v>
      </c>
      <c r="M9914">
        <v>96.51000000000001</v>
      </c>
      <c r="N9914" t="s">
        <v>10237</v>
      </c>
    </row>
    <row r="9915" spans="1:14">
      <c r="A9915" t="s">
        <v>202</v>
      </c>
      <c r="B9915" t="s">
        <v>9851</v>
      </c>
      <c r="C9915">
        <f>"11201049"</f>
        <v>0</v>
      </c>
      <c r="D9915">
        <v>0</v>
      </c>
      <c r="E9915">
        <v>1</v>
      </c>
      <c r="F9915" s="2">
        <v>11</v>
      </c>
      <c r="H9915">
        <v>0</v>
      </c>
      <c r="I9915">
        <v>0.1741125760648204</v>
      </c>
      <c r="J9915">
        <v>0</v>
      </c>
      <c r="K9915">
        <v>0</v>
      </c>
      <c r="L9915" s="2">
        <v>0</v>
      </c>
      <c r="M9915">
        <v>96.52</v>
      </c>
      <c r="N9915" t="s">
        <v>10237</v>
      </c>
    </row>
    <row r="9916" spans="1:14">
      <c r="A9916" t="s">
        <v>29</v>
      </c>
      <c r="B9916" t="s">
        <v>9852</v>
      </c>
      <c r="C9916">
        <f>"HCC"</f>
        <v>0</v>
      </c>
      <c r="D9916">
        <v>0</v>
      </c>
      <c r="E9916">
        <v>0</v>
      </c>
      <c r="F9916" s="2">
        <v>0</v>
      </c>
      <c r="H9916">
        <v>0</v>
      </c>
      <c r="I9916">
        <v>0.1741125760648204</v>
      </c>
      <c r="J9916">
        <v>0</v>
      </c>
      <c r="K9916">
        <v>0</v>
      </c>
      <c r="L9916" s="2">
        <v>0</v>
      </c>
      <c r="M9916">
        <v>96.53</v>
      </c>
      <c r="N9916" t="s">
        <v>10237</v>
      </c>
    </row>
    <row r="9917" spans="1:14">
      <c r="A9917" t="s">
        <v>29</v>
      </c>
      <c r="B9917" t="s">
        <v>9853</v>
      </c>
      <c r="C9917">
        <f>"HOJ50"</f>
        <v>0</v>
      </c>
      <c r="D9917">
        <v>0</v>
      </c>
      <c r="E9917">
        <v>2</v>
      </c>
      <c r="F9917" s="2">
        <v>0</v>
      </c>
      <c r="H9917">
        <v>0</v>
      </c>
      <c r="I9917">
        <v>0.1741125760648204</v>
      </c>
      <c r="J9917">
        <v>0</v>
      </c>
      <c r="K9917">
        <v>0</v>
      </c>
      <c r="L9917" s="2">
        <v>0</v>
      </c>
      <c r="M9917">
        <v>96.54000000000001</v>
      </c>
      <c r="N9917" t="s">
        <v>10237</v>
      </c>
    </row>
    <row r="9918" spans="1:14">
      <c r="A9918" t="s">
        <v>35</v>
      </c>
      <c r="B9918" t="s">
        <v>9854</v>
      </c>
      <c r="C9918">
        <f>"1854S"</f>
        <v>0</v>
      </c>
      <c r="D9918">
        <v>0</v>
      </c>
      <c r="E9918">
        <v>0</v>
      </c>
      <c r="F9918" s="2">
        <v>0</v>
      </c>
      <c r="H9918">
        <v>0</v>
      </c>
      <c r="I9918">
        <v>0.1741125760648204</v>
      </c>
      <c r="J9918">
        <v>0</v>
      </c>
      <c r="K9918">
        <v>0</v>
      </c>
      <c r="L9918" s="2">
        <v>0</v>
      </c>
      <c r="M9918">
        <v>96.55</v>
      </c>
      <c r="N9918" t="s">
        <v>10237</v>
      </c>
    </row>
    <row r="9919" spans="1:14">
      <c r="A9919" t="s">
        <v>218</v>
      </c>
      <c r="B9919" t="s">
        <v>9855</v>
      </c>
      <c r="C9919">
        <f>"BRA011"</f>
        <v>0</v>
      </c>
      <c r="D9919">
        <v>0</v>
      </c>
      <c r="E9919">
        <v>0</v>
      </c>
      <c r="F9919" s="2">
        <v>0</v>
      </c>
      <c r="H9919">
        <v>0</v>
      </c>
      <c r="I9919">
        <v>0.1741125760648204</v>
      </c>
      <c r="J9919">
        <v>0</v>
      </c>
      <c r="K9919">
        <v>0</v>
      </c>
      <c r="L9919" s="2">
        <v>0</v>
      </c>
      <c r="M9919">
        <v>96.56</v>
      </c>
      <c r="N9919" t="s">
        <v>10237</v>
      </c>
    </row>
    <row r="9920" spans="1:14">
      <c r="A9920" t="s">
        <v>218</v>
      </c>
      <c r="B9920" t="s">
        <v>9856</v>
      </c>
      <c r="C9920">
        <f>"1580835385933"</f>
        <v>0</v>
      </c>
      <c r="D9920">
        <v>0</v>
      </c>
      <c r="E9920">
        <v>0</v>
      </c>
      <c r="F9920" s="2">
        <v>0</v>
      </c>
      <c r="H9920">
        <v>0</v>
      </c>
      <c r="I9920">
        <v>0.1741125760648204</v>
      </c>
      <c r="J9920">
        <v>0</v>
      </c>
      <c r="K9920">
        <v>0</v>
      </c>
      <c r="L9920" s="2">
        <v>0</v>
      </c>
      <c r="M9920">
        <v>96.56999999999999</v>
      </c>
      <c r="N9920" t="s">
        <v>10237</v>
      </c>
    </row>
    <row r="9921" spans="1:14">
      <c r="A9921" t="s">
        <v>196</v>
      </c>
      <c r="B9921" t="s">
        <v>9857</v>
      </c>
      <c r="C9921">
        <f>"2121"</f>
        <v>0</v>
      </c>
      <c r="D9921">
        <v>0</v>
      </c>
      <c r="E9921">
        <v>0</v>
      </c>
      <c r="F9921" s="2">
        <v>0</v>
      </c>
      <c r="H9921">
        <v>0</v>
      </c>
      <c r="I9921">
        <v>0.1741125760648204</v>
      </c>
      <c r="J9921">
        <v>0</v>
      </c>
      <c r="K9921">
        <v>0</v>
      </c>
      <c r="L9921" s="2">
        <v>0</v>
      </c>
      <c r="M9921">
        <v>96.56999999999999</v>
      </c>
      <c r="N9921" t="s">
        <v>10237</v>
      </c>
    </row>
    <row r="9922" spans="1:14">
      <c r="A9922" t="s">
        <v>39</v>
      </c>
      <c r="B9922" t="s">
        <v>9858</v>
      </c>
      <c r="C9922">
        <f>"VALIM02002"</f>
        <v>0</v>
      </c>
      <c r="D9922">
        <v>0</v>
      </c>
      <c r="E9922">
        <v>3</v>
      </c>
      <c r="F9922" s="2">
        <v>14</v>
      </c>
      <c r="H9922">
        <v>0</v>
      </c>
      <c r="I9922">
        <v>0.1741125760648204</v>
      </c>
      <c r="J9922">
        <v>0</v>
      </c>
      <c r="K9922">
        <v>0</v>
      </c>
      <c r="L9922" s="2">
        <v>0</v>
      </c>
      <c r="M9922">
        <v>96.58</v>
      </c>
      <c r="N9922" t="s">
        <v>10237</v>
      </c>
    </row>
    <row r="9923" spans="1:14">
      <c r="A9923" t="s">
        <v>35</v>
      </c>
      <c r="B9923" t="s">
        <v>9859</v>
      </c>
      <c r="C9923">
        <f>"SC02UNID"</f>
        <v>0</v>
      </c>
      <c r="D9923">
        <v>0</v>
      </c>
      <c r="E9923">
        <v>91</v>
      </c>
      <c r="F9923" s="2">
        <v>0</v>
      </c>
      <c r="H9923">
        <v>0</v>
      </c>
      <c r="I9923">
        <v>0.1741125760648204</v>
      </c>
      <c r="J9923">
        <v>0</v>
      </c>
      <c r="K9923">
        <v>0</v>
      </c>
      <c r="L9923" s="2">
        <v>0</v>
      </c>
      <c r="M9923">
        <v>96.59</v>
      </c>
      <c r="N9923" t="s">
        <v>10237</v>
      </c>
    </row>
    <row r="9924" spans="1:14">
      <c r="A9924" t="s">
        <v>35</v>
      </c>
      <c r="B9924" t="s">
        <v>9859</v>
      </c>
      <c r="C9924">
        <f>"SC02"</f>
        <v>0</v>
      </c>
      <c r="D9924">
        <v>0</v>
      </c>
      <c r="E9924">
        <v>8</v>
      </c>
      <c r="F9924" s="2">
        <v>17</v>
      </c>
      <c r="H9924">
        <v>0</v>
      </c>
      <c r="I9924">
        <v>0.1741125760648204</v>
      </c>
      <c r="J9924">
        <v>0</v>
      </c>
      <c r="K9924">
        <v>0</v>
      </c>
      <c r="L9924" s="2">
        <v>0</v>
      </c>
      <c r="M9924">
        <v>96.59999999999999</v>
      </c>
      <c r="N9924" t="s">
        <v>10237</v>
      </c>
    </row>
    <row r="9925" spans="1:14">
      <c r="A9925" t="s">
        <v>195</v>
      </c>
      <c r="B9925" t="s">
        <v>9860</v>
      </c>
      <c r="C9925">
        <f>"25390006"</f>
        <v>0</v>
      </c>
      <c r="D9925">
        <v>0</v>
      </c>
      <c r="E9925">
        <v>0</v>
      </c>
      <c r="F9925" s="2">
        <v>0</v>
      </c>
      <c r="H9925">
        <v>0</v>
      </c>
      <c r="I9925">
        <v>0.1741125760648204</v>
      </c>
      <c r="J9925">
        <v>0</v>
      </c>
      <c r="K9925">
        <v>0</v>
      </c>
      <c r="L9925" s="2">
        <v>0</v>
      </c>
      <c r="M9925">
        <v>96.61</v>
      </c>
      <c r="N9925" t="s">
        <v>10237</v>
      </c>
    </row>
    <row r="9926" spans="1:14">
      <c r="A9926" t="s">
        <v>202</v>
      </c>
      <c r="B9926" t="s">
        <v>9861</v>
      </c>
      <c r="C9926">
        <f>"11002048"</f>
        <v>0</v>
      </c>
      <c r="D9926">
        <v>0</v>
      </c>
      <c r="E9926">
        <v>8</v>
      </c>
      <c r="F9926" s="2">
        <v>2</v>
      </c>
      <c r="H9926">
        <v>0</v>
      </c>
      <c r="I9926">
        <v>0.1741125760648204</v>
      </c>
      <c r="J9926">
        <v>0</v>
      </c>
      <c r="K9926">
        <v>0</v>
      </c>
      <c r="L9926" s="2">
        <v>0</v>
      </c>
      <c r="M9926">
        <v>96.62</v>
      </c>
      <c r="N9926" t="s">
        <v>10237</v>
      </c>
    </row>
    <row r="9927" spans="1:14">
      <c r="A9927" t="s">
        <v>202</v>
      </c>
      <c r="B9927" t="s">
        <v>9862</v>
      </c>
      <c r="C9927">
        <f>"21002082"</f>
        <v>0</v>
      </c>
      <c r="D9927">
        <v>0</v>
      </c>
      <c r="E9927">
        <v>0</v>
      </c>
      <c r="F9927" s="2">
        <v>0</v>
      </c>
      <c r="H9927">
        <v>0</v>
      </c>
      <c r="I9927">
        <v>0.1741125760648204</v>
      </c>
      <c r="J9927">
        <v>0</v>
      </c>
      <c r="K9927">
        <v>0</v>
      </c>
      <c r="L9927" s="2">
        <v>0</v>
      </c>
      <c r="M9927">
        <v>96.63</v>
      </c>
      <c r="N9927" t="s">
        <v>10237</v>
      </c>
    </row>
    <row r="9928" spans="1:14">
      <c r="A9928" t="s">
        <v>202</v>
      </c>
      <c r="B9928" t="s">
        <v>9863</v>
      </c>
      <c r="C9928">
        <f>"21002050"</f>
        <v>0</v>
      </c>
      <c r="D9928">
        <v>0</v>
      </c>
      <c r="E9928">
        <v>0</v>
      </c>
      <c r="F9928" s="2">
        <v>0</v>
      </c>
      <c r="H9928">
        <v>0</v>
      </c>
      <c r="I9928">
        <v>0.1741125760648204</v>
      </c>
      <c r="J9928">
        <v>0</v>
      </c>
      <c r="K9928">
        <v>0</v>
      </c>
      <c r="L9928" s="2">
        <v>0</v>
      </c>
      <c r="M9928">
        <v>96.64</v>
      </c>
      <c r="N9928" t="s">
        <v>10237</v>
      </c>
    </row>
    <row r="9929" spans="1:14">
      <c r="A9929" t="s">
        <v>202</v>
      </c>
      <c r="B9929" t="s">
        <v>9864</v>
      </c>
      <c r="C9929">
        <f>"11201068"</f>
        <v>0</v>
      </c>
      <c r="D9929">
        <v>0</v>
      </c>
      <c r="E9929">
        <v>1</v>
      </c>
      <c r="F9929" s="2">
        <v>9</v>
      </c>
      <c r="H9929">
        <v>0</v>
      </c>
      <c r="I9929">
        <v>0.1741125760648204</v>
      </c>
      <c r="J9929">
        <v>0</v>
      </c>
      <c r="K9929">
        <v>0</v>
      </c>
      <c r="L9929" s="2">
        <v>0</v>
      </c>
      <c r="M9929">
        <v>96.65000000000001</v>
      </c>
      <c r="N9929" t="s">
        <v>10237</v>
      </c>
    </row>
    <row r="9930" spans="1:14">
      <c r="A9930" t="s">
        <v>35</v>
      </c>
      <c r="B9930" t="s">
        <v>9865</v>
      </c>
      <c r="C9930">
        <f>"EK3004AZ"</f>
        <v>0</v>
      </c>
      <c r="D9930">
        <v>0</v>
      </c>
      <c r="E9930">
        <v>10</v>
      </c>
      <c r="F9930" s="2">
        <v>2</v>
      </c>
      <c r="H9930">
        <v>0</v>
      </c>
      <c r="I9930">
        <v>0.1741125760648204</v>
      </c>
      <c r="J9930">
        <v>0</v>
      </c>
      <c r="K9930">
        <v>0</v>
      </c>
      <c r="L9930" s="2">
        <v>0</v>
      </c>
      <c r="M9930">
        <v>96.66</v>
      </c>
      <c r="N9930" t="s">
        <v>10237</v>
      </c>
    </row>
    <row r="9931" spans="1:14">
      <c r="A9931" t="s">
        <v>35</v>
      </c>
      <c r="B9931" t="s">
        <v>9866</v>
      </c>
      <c r="C9931">
        <f>"EK3004"</f>
        <v>0</v>
      </c>
      <c r="D9931">
        <v>0</v>
      </c>
      <c r="E9931">
        <v>0</v>
      </c>
      <c r="F9931" s="2">
        <v>0</v>
      </c>
      <c r="H9931">
        <v>0</v>
      </c>
      <c r="I9931">
        <v>0.1741125760648204</v>
      </c>
      <c r="J9931">
        <v>0</v>
      </c>
      <c r="K9931">
        <v>0</v>
      </c>
      <c r="L9931" s="2">
        <v>0</v>
      </c>
      <c r="M9931">
        <v>96.67</v>
      </c>
      <c r="N9931" t="s">
        <v>10237</v>
      </c>
    </row>
    <row r="9932" spans="1:14">
      <c r="A9932" t="s">
        <v>35</v>
      </c>
      <c r="B9932" t="s">
        <v>9867</v>
      </c>
      <c r="C9932">
        <f>"EK3003VE"</f>
        <v>0</v>
      </c>
      <c r="D9932">
        <v>0</v>
      </c>
      <c r="E9932">
        <v>2</v>
      </c>
      <c r="F9932" s="2">
        <v>1</v>
      </c>
      <c r="H9932">
        <v>0</v>
      </c>
      <c r="I9932">
        <v>0.1741125760648204</v>
      </c>
      <c r="J9932">
        <v>0</v>
      </c>
      <c r="K9932">
        <v>0</v>
      </c>
      <c r="L9932" s="2">
        <v>0</v>
      </c>
      <c r="M9932">
        <v>96.68000000000001</v>
      </c>
      <c r="N9932" t="s">
        <v>10237</v>
      </c>
    </row>
    <row r="9933" spans="1:14">
      <c r="A9933" t="s">
        <v>196</v>
      </c>
      <c r="B9933" t="s">
        <v>9868</v>
      </c>
      <c r="C9933">
        <f>"2037"</f>
        <v>0</v>
      </c>
      <c r="D9933">
        <v>0</v>
      </c>
      <c r="E9933">
        <v>0</v>
      </c>
      <c r="F9933" s="2">
        <v>0</v>
      </c>
      <c r="H9933">
        <v>0</v>
      </c>
      <c r="I9933">
        <v>0.1741125760648204</v>
      </c>
      <c r="J9933">
        <v>0</v>
      </c>
      <c r="K9933">
        <v>0</v>
      </c>
      <c r="L9933" s="2">
        <v>0</v>
      </c>
      <c r="M9933">
        <v>96.69</v>
      </c>
      <c r="N9933" t="s">
        <v>10237</v>
      </c>
    </row>
    <row r="9934" spans="1:14">
      <c r="A9934" t="s">
        <v>35</v>
      </c>
      <c r="B9934" t="s">
        <v>9869</v>
      </c>
      <c r="C9934">
        <f>"HC260"</f>
        <v>0</v>
      </c>
      <c r="D9934">
        <v>0</v>
      </c>
      <c r="E9934">
        <v>0</v>
      </c>
      <c r="F9934" s="2">
        <v>0</v>
      </c>
      <c r="H9934">
        <v>0</v>
      </c>
      <c r="I9934">
        <v>0.1741125760648204</v>
      </c>
      <c r="J9934">
        <v>0</v>
      </c>
      <c r="K9934">
        <v>0</v>
      </c>
      <c r="L9934" s="2">
        <v>0</v>
      </c>
      <c r="M9934">
        <v>96.69</v>
      </c>
      <c r="N9934" t="s">
        <v>10237</v>
      </c>
    </row>
    <row r="9935" spans="1:14">
      <c r="A9935" t="s">
        <v>35</v>
      </c>
      <c r="B9935" t="s">
        <v>9870</v>
      </c>
      <c r="C9935">
        <f>"HC123"</f>
        <v>0</v>
      </c>
      <c r="D9935">
        <v>0</v>
      </c>
      <c r="E9935">
        <v>0</v>
      </c>
      <c r="F9935" s="2">
        <v>0</v>
      </c>
      <c r="H9935">
        <v>0</v>
      </c>
      <c r="I9935">
        <v>0.1741125760648204</v>
      </c>
      <c r="J9935">
        <v>0</v>
      </c>
      <c r="K9935">
        <v>0</v>
      </c>
      <c r="L9935" s="2">
        <v>0</v>
      </c>
      <c r="M9935">
        <v>96.7</v>
      </c>
      <c r="N9935" t="s">
        <v>10237</v>
      </c>
    </row>
    <row r="9936" spans="1:14">
      <c r="A9936" t="s">
        <v>35</v>
      </c>
      <c r="B9936" t="s">
        <v>9871</v>
      </c>
      <c r="C9936">
        <f>"HC116"</f>
        <v>0</v>
      </c>
      <c r="D9936">
        <v>0</v>
      </c>
      <c r="E9936">
        <v>0</v>
      </c>
      <c r="F9936" s="2">
        <v>0</v>
      </c>
      <c r="H9936">
        <v>0</v>
      </c>
      <c r="I9936">
        <v>0.1741125760648204</v>
      </c>
      <c r="J9936">
        <v>0</v>
      </c>
      <c r="K9936">
        <v>0</v>
      </c>
      <c r="L9936" s="2">
        <v>0</v>
      </c>
      <c r="M9936">
        <v>96.70999999999999</v>
      </c>
      <c r="N9936" t="s">
        <v>10237</v>
      </c>
    </row>
    <row r="9937" spans="1:14">
      <c r="A9937" t="s">
        <v>35</v>
      </c>
      <c r="B9937" t="s">
        <v>9872</v>
      </c>
      <c r="C9937">
        <f>"HC005"</f>
        <v>0</v>
      </c>
      <c r="D9937">
        <v>0</v>
      </c>
      <c r="E9937">
        <v>0</v>
      </c>
      <c r="F9937" s="2">
        <v>0</v>
      </c>
      <c r="H9937">
        <v>0</v>
      </c>
      <c r="I9937">
        <v>0.1741125760648204</v>
      </c>
      <c r="J9937">
        <v>0</v>
      </c>
      <c r="K9937">
        <v>0</v>
      </c>
      <c r="L9937" s="2">
        <v>0</v>
      </c>
      <c r="M9937">
        <v>96.72</v>
      </c>
      <c r="N9937" t="s">
        <v>10237</v>
      </c>
    </row>
    <row r="9938" spans="1:14">
      <c r="A9938" t="s">
        <v>35</v>
      </c>
      <c r="B9938" t="s">
        <v>9872</v>
      </c>
      <c r="C9938">
        <f>"H005"</f>
        <v>0</v>
      </c>
      <c r="D9938">
        <v>0</v>
      </c>
      <c r="E9938">
        <v>0</v>
      </c>
      <c r="F9938" s="2">
        <v>0</v>
      </c>
      <c r="H9938">
        <v>0</v>
      </c>
      <c r="I9938">
        <v>0.1741125760648204</v>
      </c>
      <c r="J9938">
        <v>0</v>
      </c>
      <c r="K9938">
        <v>0</v>
      </c>
      <c r="L9938" s="2">
        <v>0</v>
      </c>
      <c r="M9938">
        <v>96.73</v>
      </c>
      <c r="N9938" t="s">
        <v>10237</v>
      </c>
    </row>
    <row r="9939" spans="1:14">
      <c r="A9939" t="s">
        <v>35</v>
      </c>
      <c r="B9939" t="s">
        <v>9873</v>
      </c>
      <c r="C9939">
        <f>"ZRD2019200"</f>
        <v>0</v>
      </c>
      <c r="D9939">
        <v>0</v>
      </c>
      <c r="E9939">
        <v>0</v>
      </c>
      <c r="F9939" s="2">
        <v>0</v>
      </c>
      <c r="H9939">
        <v>0</v>
      </c>
      <c r="I9939">
        <v>0.1741125760648204</v>
      </c>
      <c r="J9939">
        <v>0</v>
      </c>
      <c r="K9939">
        <v>0</v>
      </c>
      <c r="L9939" s="2">
        <v>0</v>
      </c>
      <c r="M9939">
        <v>96.73999999999999</v>
      </c>
      <c r="N9939" t="s">
        <v>10237</v>
      </c>
    </row>
    <row r="9940" spans="1:14">
      <c r="A9940" t="s">
        <v>35</v>
      </c>
      <c r="B9940" t="s">
        <v>9874</v>
      </c>
      <c r="C9940">
        <f>"ZRD2019199"</f>
        <v>0</v>
      </c>
      <c r="D9940">
        <v>0</v>
      </c>
      <c r="E9940">
        <v>0</v>
      </c>
      <c r="F9940" s="2">
        <v>0</v>
      </c>
      <c r="H9940">
        <v>0</v>
      </c>
      <c r="I9940">
        <v>0.1741125760648204</v>
      </c>
      <c r="J9940">
        <v>0</v>
      </c>
      <c r="K9940">
        <v>0</v>
      </c>
      <c r="L9940" s="2">
        <v>0</v>
      </c>
      <c r="M9940">
        <v>96.75</v>
      </c>
      <c r="N9940" t="s">
        <v>10237</v>
      </c>
    </row>
    <row r="9941" spans="1:14">
      <c r="A9941" t="s">
        <v>35</v>
      </c>
      <c r="B9941" t="s">
        <v>9875</v>
      </c>
      <c r="C9941">
        <f>"ZRD2019124"</f>
        <v>0</v>
      </c>
      <c r="D9941">
        <v>0</v>
      </c>
      <c r="E9941">
        <v>0</v>
      </c>
      <c r="F9941" s="2">
        <v>0</v>
      </c>
      <c r="H9941">
        <v>0</v>
      </c>
      <c r="I9941">
        <v>0.1741125760648204</v>
      </c>
      <c r="J9941">
        <v>0</v>
      </c>
      <c r="K9941">
        <v>0</v>
      </c>
      <c r="L9941" s="2">
        <v>0</v>
      </c>
      <c r="M9941">
        <v>96.76000000000001</v>
      </c>
      <c r="N9941" t="s">
        <v>10237</v>
      </c>
    </row>
    <row r="9942" spans="1:14">
      <c r="A9942" t="s">
        <v>35</v>
      </c>
      <c r="B9942" t="s">
        <v>9876</v>
      </c>
      <c r="C9942">
        <f>"0025000004"</f>
        <v>0</v>
      </c>
      <c r="D9942">
        <v>0</v>
      </c>
      <c r="E9942">
        <v>0</v>
      </c>
      <c r="F9942" s="2">
        <v>0</v>
      </c>
      <c r="H9942">
        <v>0</v>
      </c>
      <c r="I9942">
        <v>0.1741125760648204</v>
      </c>
      <c r="J9942">
        <v>0</v>
      </c>
      <c r="K9942">
        <v>0</v>
      </c>
      <c r="L9942" s="2">
        <v>0</v>
      </c>
      <c r="M9942">
        <v>96.77</v>
      </c>
      <c r="N9942" t="s">
        <v>10237</v>
      </c>
    </row>
    <row r="9943" spans="1:14">
      <c r="A9943" t="s">
        <v>35</v>
      </c>
      <c r="B9943" t="s">
        <v>9877</v>
      </c>
      <c r="C9943">
        <f>"X007"</f>
        <v>0</v>
      </c>
      <c r="D9943">
        <v>0</v>
      </c>
      <c r="E9943">
        <v>0</v>
      </c>
      <c r="F9943" s="2">
        <v>0</v>
      </c>
      <c r="H9943">
        <v>0</v>
      </c>
      <c r="I9943">
        <v>0.1741125760648204</v>
      </c>
      <c r="J9943">
        <v>0</v>
      </c>
      <c r="K9943">
        <v>0</v>
      </c>
      <c r="L9943" s="2">
        <v>0</v>
      </c>
      <c r="M9943">
        <v>96.78</v>
      </c>
      <c r="N9943" t="s">
        <v>10237</v>
      </c>
    </row>
    <row r="9944" spans="1:14">
      <c r="A9944" t="s">
        <v>35</v>
      </c>
      <c r="B9944" t="s">
        <v>9878</v>
      </c>
      <c r="C9944">
        <f>"HC083"</f>
        <v>0</v>
      </c>
      <c r="D9944">
        <v>0</v>
      </c>
      <c r="E9944">
        <v>0</v>
      </c>
      <c r="F9944" s="2">
        <v>0</v>
      </c>
      <c r="H9944">
        <v>0</v>
      </c>
      <c r="I9944">
        <v>0.1741125760648204</v>
      </c>
      <c r="J9944">
        <v>0</v>
      </c>
      <c r="K9944">
        <v>0</v>
      </c>
      <c r="L9944" s="2">
        <v>0</v>
      </c>
      <c r="M9944">
        <v>96.79000000000001</v>
      </c>
      <c r="N9944" t="s">
        <v>10237</v>
      </c>
    </row>
    <row r="9945" spans="1:14">
      <c r="A9945" t="s">
        <v>35</v>
      </c>
      <c r="B9945" t="s">
        <v>9879</v>
      </c>
      <c r="C9945">
        <f>"HC080"</f>
        <v>0</v>
      </c>
      <c r="D9945">
        <v>0</v>
      </c>
      <c r="E9945">
        <v>0</v>
      </c>
      <c r="F9945" s="2">
        <v>0</v>
      </c>
      <c r="H9945">
        <v>0</v>
      </c>
      <c r="I9945">
        <v>0.1741125760648204</v>
      </c>
      <c r="J9945">
        <v>0</v>
      </c>
      <c r="K9945">
        <v>0</v>
      </c>
      <c r="L9945" s="2">
        <v>0</v>
      </c>
      <c r="M9945">
        <v>96.8</v>
      </c>
      <c r="N9945" t="s">
        <v>10237</v>
      </c>
    </row>
    <row r="9946" spans="1:14">
      <c r="A9946" t="s">
        <v>35</v>
      </c>
      <c r="B9946" t="s">
        <v>9880</v>
      </c>
      <c r="C9946">
        <f>"HC094"</f>
        <v>0</v>
      </c>
      <c r="D9946">
        <v>0</v>
      </c>
      <c r="E9946">
        <v>0</v>
      </c>
      <c r="F9946" s="2">
        <v>0</v>
      </c>
      <c r="H9946">
        <v>0</v>
      </c>
      <c r="I9946">
        <v>0.1741125760648204</v>
      </c>
      <c r="J9946">
        <v>0</v>
      </c>
      <c r="K9946">
        <v>0</v>
      </c>
      <c r="L9946" s="2">
        <v>0</v>
      </c>
      <c r="M9946">
        <v>96.81</v>
      </c>
      <c r="N9946" t="s">
        <v>10237</v>
      </c>
    </row>
    <row r="9947" spans="1:14">
      <c r="A9947" t="s">
        <v>35</v>
      </c>
      <c r="B9947" t="s">
        <v>9881</v>
      </c>
      <c r="C9947">
        <f>"HC082"</f>
        <v>0</v>
      </c>
      <c r="D9947">
        <v>0</v>
      </c>
      <c r="E9947">
        <v>0</v>
      </c>
      <c r="F9947" s="2">
        <v>0</v>
      </c>
      <c r="H9947">
        <v>0</v>
      </c>
      <c r="I9947">
        <v>0.1741125760648204</v>
      </c>
      <c r="J9947">
        <v>0</v>
      </c>
      <c r="K9947">
        <v>0</v>
      </c>
      <c r="L9947" s="2">
        <v>0</v>
      </c>
      <c r="M9947">
        <v>96.81</v>
      </c>
      <c r="N9947" t="s">
        <v>10237</v>
      </c>
    </row>
    <row r="9948" spans="1:14">
      <c r="A9948" t="s">
        <v>195</v>
      </c>
      <c r="B9948" t="s">
        <v>9882</v>
      </c>
      <c r="C9948">
        <f>"25002164"</f>
        <v>0</v>
      </c>
      <c r="D9948">
        <v>0</v>
      </c>
      <c r="E9948">
        <v>0</v>
      </c>
      <c r="F9948" s="2">
        <v>0</v>
      </c>
      <c r="H9948">
        <v>0</v>
      </c>
      <c r="I9948">
        <v>0.1741125760648204</v>
      </c>
      <c r="J9948">
        <v>0</v>
      </c>
      <c r="K9948">
        <v>0</v>
      </c>
      <c r="L9948" s="2">
        <v>0</v>
      </c>
      <c r="M9948">
        <v>96.81999999999999</v>
      </c>
      <c r="N9948" t="s">
        <v>10237</v>
      </c>
    </row>
    <row r="9949" spans="1:14">
      <c r="A9949" t="s">
        <v>35</v>
      </c>
      <c r="B9949" t="s">
        <v>9883</v>
      </c>
      <c r="C9949">
        <f>"HC079"</f>
        <v>0</v>
      </c>
      <c r="D9949">
        <v>0</v>
      </c>
      <c r="E9949">
        <v>0</v>
      </c>
      <c r="F9949" s="2">
        <v>0</v>
      </c>
      <c r="H9949">
        <v>0</v>
      </c>
      <c r="I9949">
        <v>0.1741125760648204</v>
      </c>
      <c r="J9949">
        <v>0</v>
      </c>
      <c r="K9949">
        <v>0</v>
      </c>
      <c r="L9949" s="2">
        <v>0</v>
      </c>
      <c r="M9949">
        <v>96.83</v>
      </c>
      <c r="N9949" t="s">
        <v>10237</v>
      </c>
    </row>
    <row r="9950" spans="1:14">
      <c r="A9950" t="s">
        <v>35</v>
      </c>
      <c r="B9950" t="s">
        <v>9884</v>
      </c>
      <c r="C9950">
        <f>"HC081"</f>
        <v>0</v>
      </c>
      <c r="D9950">
        <v>0</v>
      </c>
      <c r="E9950">
        <v>0</v>
      </c>
      <c r="F9950" s="2">
        <v>0</v>
      </c>
      <c r="H9950">
        <v>0</v>
      </c>
      <c r="I9950">
        <v>0.1741125760648204</v>
      </c>
      <c r="J9950">
        <v>0</v>
      </c>
      <c r="K9950">
        <v>0</v>
      </c>
      <c r="L9950" s="2">
        <v>0</v>
      </c>
      <c r="M9950">
        <v>96.84</v>
      </c>
      <c r="N9950" t="s">
        <v>10237</v>
      </c>
    </row>
    <row r="9951" spans="1:14">
      <c r="A9951" t="s">
        <v>35</v>
      </c>
      <c r="B9951" t="s">
        <v>9885</v>
      </c>
      <c r="C9951">
        <f>"HC078"</f>
        <v>0</v>
      </c>
      <c r="D9951">
        <v>0</v>
      </c>
      <c r="E9951">
        <v>0</v>
      </c>
      <c r="F9951" s="2">
        <v>0</v>
      </c>
      <c r="H9951">
        <v>0</v>
      </c>
      <c r="I9951">
        <v>0.1741125760648204</v>
      </c>
      <c r="J9951">
        <v>0</v>
      </c>
      <c r="K9951">
        <v>0</v>
      </c>
      <c r="L9951" s="2">
        <v>0</v>
      </c>
      <c r="M9951">
        <v>96.84999999999999</v>
      </c>
      <c r="N9951" t="s">
        <v>10237</v>
      </c>
    </row>
    <row r="9952" spans="1:14">
      <c r="A9952" t="s">
        <v>35</v>
      </c>
      <c r="B9952" t="s">
        <v>9886</v>
      </c>
      <c r="C9952">
        <f>"HC092"</f>
        <v>0</v>
      </c>
      <c r="D9952">
        <v>0</v>
      </c>
      <c r="E9952">
        <v>0</v>
      </c>
      <c r="F9952" s="2">
        <v>0</v>
      </c>
      <c r="H9952">
        <v>0</v>
      </c>
      <c r="I9952">
        <v>0.1741125760648204</v>
      </c>
      <c r="J9952">
        <v>0</v>
      </c>
      <c r="K9952">
        <v>0</v>
      </c>
      <c r="L9952" s="2">
        <v>0</v>
      </c>
      <c r="M9952">
        <v>96.86</v>
      </c>
      <c r="N9952" t="s">
        <v>10237</v>
      </c>
    </row>
    <row r="9953" spans="1:14">
      <c r="A9953" t="s">
        <v>35</v>
      </c>
      <c r="B9953" t="s">
        <v>9887</v>
      </c>
      <c r="C9953">
        <f>"hc070"</f>
        <v>0</v>
      </c>
      <c r="D9953">
        <v>0</v>
      </c>
      <c r="E9953">
        <v>0</v>
      </c>
      <c r="F9953" s="2">
        <v>0</v>
      </c>
      <c r="H9953">
        <v>0</v>
      </c>
      <c r="I9953">
        <v>0.1741125760648204</v>
      </c>
      <c r="J9953">
        <v>0</v>
      </c>
      <c r="K9953">
        <v>0</v>
      </c>
      <c r="L9953" s="2">
        <v>0</v>
      </c>
      <c r="M9953">
        <v>96.87</v>
      </c>
      <c r="N9953" t="s">
        <v>10237</v>
      </c>
    </row>
    <row r="9954" spans="1:14">
      <c r="A9954" t="s">
        <v>35</v>
      </c>
      <c r="B9954" t="s">
        <v>9888</v>
      </c>
      <c r="C9954">
        <f>"HC071"</f>
        <v>0</v>
      </c>
      <c r="D9954">
        <v>0</v>
      </c>
      <c r="E9954">
        <v>0</v>
      </c>
      <c r="F9954" s="2">
        <v>0</v>
      </c>
      <c r="H9954">
        <v>0</v>
      </c>
      <c r="I9954">
        <v>0.1741125760648204</v>
      </c>
      <c r="J9954">
        <v>0</v>
      </c>
      <c r="K9954">
        <v>0</v>
      </c>
      <c r="L9954" s="2">
        <v>0</v>
      </c>
      <c r="M9954">
        <v>96.88</v>
      </c>
      <c r="N9954" t="s">
        <v>10237</v>
      </c>
    </row>
    <row r="9955" spans="1:14">
      <c r="A9955" t="s">
        <v>35</v>
      </c>
      <c r="B9955" t="s">
        <v>9889</v>
      </c>
      <c r="C9955">
        <f>"W2002"</f>
        <v>0</v>
      </c>
      <c r="D9955">
        <v>0</v>
      </c>
      <c r="E9955">
        <v>0</v>
      </c>
      <c r="F9955" s="2">
        <v>0</v>
      </c>
      <c r="H9955">
        <v>0</v>
      </c>
      <c r="I9955">
        <v>0.1741125760648204</v>
      </c>
      <c r="J9955">
        <v>0</v>
      </c>
      <c r="K9955">
        <v>0</v>
      </c>
      <c r="L9955" s="2">
        <v>0</v>
      </c>
      <c r="M9955">
        <v>96.89</v>
      </c>
      <c r="N9955" t="s">
        <v>10237</v>
      </c>
    </row>
    <row r="9956" spans="1:14">
      <c r="A9956" t="s">
        <v>35</v>
      </c>
      <c r="B9956" t="s">
        <v>9890</v>
      </c>
      <c r="C9956">
        <f>"w0053"</f>
        <v>0</v>
      </c>
      <c r="D9956">
        <v>0</v>
      </c>
      <c r="E9956">
        <v>0</v>
      </c>
      <c r="F9956" s="2">
        <v>0</v>
      </c>
      <c r="H9956">
        <v>0</v>
      </c>
      <c r="I9956">
        <v>0.1741125760648204</v>
      </c>
      <c r="J9956">
        <v>0</v>
      </c>
      <c r="K9956">
        <v>0</v>
      </c>
      <c r="L9956" s="2">
        <v>0</v>
      </c>
      <c r="M9956">
        <v>96.90000000000001</v>
      </c>
      <c r="N9956" t="s">
        <v>10237</v>
      </c>
    </row>
    <row r="9957" spans="1:14">
      <c r="A9957" t="s">
        <v>35</v>
      </c>
      <c r="B9957" t="s">
        <v>9891</v>
      </c>
      <c r="C9957">
        <f>"HC0151"</f>
        <v>0</v>
      </c>
      <c r="D9957">
        <v>0</v>
      </c>
      <c r="E9957">
        <v>0</v>
      </c>
      <c r="F9957" s="2">
        <v>0</v>
      </c>
      <c r="H9957">
        <v>0</v>
      </c>
      <c r="I9957">
        <v>0.1741125760648204</v>
      </c>
      <c r="J9957">
        <v>0</v>
      </c>
      <c r="K9957">
        <v>0</v>
      </c>
      <c r="L9957" s="2">
        <v>0</v>
      </c>
      <c r="M9957">
        <v>96.91</v>
      </c>
      <c r="N9957" t="s">
        <v>10237</v>
      </c>
    </row>
    <row r="9958" spans="1:14">
      <c r="A9958" t="s">
        <v>195</v>
      </c>
      <c r="B9958" t="s">
        <v>9892</v>
      </c>
      <c r="C9958">
        <f>"25390007"</f>
        <v>0</v>
      </c>
      <c r="D9958">
        <v>0</v>
      </c>
      <c r="E9958">
        <v>0</v>
      </c>
      <c r="F9958" s="2">
        <v>0</v>
      </c>
      <c r="H9958">
        <v>0</v>
      </c>
      <c r="I9958">
        <v>0.1741125760648204</v>
      </c>
      <c r="J9958">
        <v>0</v>
      </c>
      <c r="K9958">
        <v>0</v>
      </c>
      <c r="L9958" s="2">
        <v>0</v>
      </c>
      <c r="M9958">
        <v>96.92</v>
      </c>
      <c r="N9958" t="s">
        <v>10237</v>
      </c>
    </row>
    <row r="9959" spans="1:14">
      <c r="A9959" t="s">
        <v>195</v>
      </c>
      <c r="B9959" t="s">
        <v>9893</v>
      </c>
      <c r="C9959">
        <f>"25002036"</f>
        <v>0</v>
      </c>
      <c r="D9959">
        <v>0</v>
      </c>
      <c r="E9959">
        <v>0</v>
      </c>
      <c r="F9959" s="2">
        <v>0</v>
      </c>
      <c r="H9959">
        <v>0</v>
      </c>
      <c r="I9959">
        <v>0.1741125760648204</v>
      </c>
      <c r="J9959">
        <v>0</v>
      </c>
      <c r="K9959">
        <v>0</v>
      </c>
      <c r="L9959" s="2">
        <v>0</v>
      </c>
      <c r="M9959">
        <v>96.92</v>
      </c>
      <c r="N9959" t="s">
        <v>10237</v>
      </c>
    </row>
    <row r="9960" spans="1:14">
      <c r="A9960" t="s">
        <v>195</v>
      </c>
      <c r="B9960" t="s">
        <v>9894</v>
      </c>
      <c r="C9960">
        <f>"25002037"</f>
        <v>0</v>
      </c>
      <c r="D9960">
        <v>0</v>
      </c>
      <c r="E9960">
        <v>0</v>
      </c>
      <c r="F9960" s="2">
        <v>0</v>
      </c>
      <c r="H9960">
        <v>0</v>
      </c>
      <c r="I9960">
        <v>0.1741125760648204</v>
      </c>
      <c r="J9960">
        <v>0</v>
      </c>
      <c r="K9960">
        <v>0</v>
      </c>
      <c r="L9960" s="2">
        <v>0</v>
      </c>
      <c r="M9960">
        <v>96.93000000000001</v>
      </c>
      <c r="N9960" t="s">
        <v>10237</v>
      </c>
    </row>
    <row r="9961" spans="1:14">
      <c r="A9961" t="s">
        <v>195</v>
      </c>
      <c r="B9961" t="s">
        <v>9895</v>
      </c>
      <c r="C9961">
        <f>"25570831"</f>
        <v>0</v>
      </c>
      <c r="D9961">
        <v>0</v>
      </c>
      <c r="E9961">
        <v>0</v>
      </c>
      <c r="F9961" s="2">
        <v>0</v>
      </c>
      <c r="H9961">
        <v>0</v>
      </c>
      <c r="I9961">
        <v>0.1741125760648204</v>
      </c>
      <c r="J9961">
        <v>0</v>
      </c>
      <c r="K9961">
        <v>0</v>
      </c>
      <c r="L9961" s="2">
        <v>0</v>
      </c>
      <c r="M9961">
        <v>96.94</v>
      </c>
      <c r="N9961" t="s">
        <v>10237</v>
      </c>
    </row>
    <row r="9962" spans="1:14">
      <c r="A9962" t="s">
        <v>195</v>
      </c>
      <c r="B9962" t="s">
        <v>9896</v>
      </c>
      <c r="C9962">
        <f>"25570834"</f>
        <v>0</v>
      </c>
      <c r="D9962">
        <v>0</v>
      </c>
      <c r="E9962">
        <v>0</v>
      </c>
      <c r="F9962" s="2">
        <v>0</v>
      </c>
      <c r="H9962">
        <v>0</v>
      </c>
      <c r="I9962">
        <v>0.1741125760648204</v>
      </c>
      <c r="J9962">
        <v>0</v>
      </c>
      <c r="K9962">
        <v>0</v>
      </c>
      <c r="L9962" s="2">
        <v>0</v>
      </c>
      <c r="M9962">
        <v>96.95</v>
      </c>
      <c r="N9962" t="s">
        <v>10237</v>
      </c>
    </row>
    <row r="9963" spans="1:14">
      <c r="A9963" t="s">
        <v>195</v>
      </c>
      <c r="B9963" t="s">
        <v>9897</v>
      </c>
      <c r="C9963">
        <f>"25002163"</f>
        <v>0</v>
      </c>
      <c r="D9963">
        <v>0</v>
      </c>
      <c r="E9963">
        <v>0</v>
      </c>
      <c r="F9963" s="2">
        <v>0</v>
      </c>
      <c r="H9963">
        <v>0</v>
      </c>
      <c r="I9963">
        <v>0.1741125760648204</v>
      </c>
      <c r="J9963">
        <v>0</v>
      </c>
      <c r="K9963">
        <v>0</v>
      </c>
      <c r="L9963" s="2">
        <v>0</v>
      </c>
      <c r="M9963">
        <v>96.95999999999999</v>
      </c>
      <c r="N9963" t="s">
        <v>10237</v>
      </c>
    </row>
    <row r="9964" spans="1:14">
      <c r="A9964" t="s">
        <v>35</v>
      </c>
      <c r="B9964" t="s">
        <v>9898</v>
      </c>
      <c r="C9964">
        <f>"HC093"</f>
        <v>0</v>
      </c>
      <c r="D9964">
        <v>0</v>
      </c>
      <c r="E9964">
        <v>0</v>
      </c>
      <c r="F9964" s="2">
        <v>0</v>
      </c>
      <c r="H9964">
        <v>0</v>
      </c>
      <c r="I9964">
        <v>0.1741125760648204</v>
      </c>
      <c r="J9964">
        <v>0</v>
      </c>
      <c r="K9964">
        <v>0</v>
      </c>
      <c r="L9964" s="2">
        <v>0</v>
      </c>
      <c r="M9964">
        <v>96.97</v>
      </c>
      <c r="N9964" t="s">
        <v>10237</v>
      </c>
    </row>
    <row r="9965" spans="1:14">
      <c r="A9965" t="s">
        <v>202</v>
      </c>
      <c r="B9965" t="s">
        <v>9899</v>
      </c>
      <c r="C9965">
        <f>"11001115"</f>
        <v>0</v>
      </c>
      <c r="D9965">
        <v>0</v>
      </c>
      <c r="E9965">
        <v>2</v>
      </c>
      <c r="F9965" s="2">
        <v>36</v>
      </c>
      <c r="H9965">
        <v>0</v>
      </c>
      <c r="I9965">
        <v>0.1741125760648204</v>
      </c>
      <c r="J9965">
        <v>0</v>
      </c>
      <c r="K9965">
        <v>0</v>
      </c>
      <c r="L9965" s="2">
        <v>0</v>
      </c>
      <c r="M9965">
        <v>96.98</v>
      </c>
      <c r="N9965" t="s">
        <v>10237</v>
      </c>
    </row>
    <row r="9966" spans="1:14">
      <c r="A9966" t="s">
        <v>202</v>
      </c>
      <c r="B9966" t="s">
        <v>9900</v>
      </c>
      <c r="C9966">
        <f>"21002080"</f>
        <v>0</v>
      </c>
      <c r="D9966">
        <v>0</v>
      </c>
      <c r="E9966">
        <v>0</v>
      </c>
      <c r="F9966" s="2">
        <v>0</v>
      </c>
      <c r="H9966">
        <v>0</v>
      </c>
      <c r="I9966">
        <v>0.1741125760648204</v>
      </c>
      <c r="J9966">
        <v>0</v>
      </c>
      <c r="K9966">
        <v>0</v>
      </c>
      <c r="L9966" s="2">
        <v>0</v>
      </c>
      <c r="M9966">
        <v>96.98999999999999</v>
      </c>
      <c r="N9966" t="s">
        <v>10237</v>
      </c>
    </row>
    <row r="9967" spans="1:14">
      <c r="A9967" t="s">
        <v>30</v>
      </c>
      <c r="B9967" t="s">
        <v>9901</v>
      </c>
      <c r="C9967">
        <f>"101267"</f>
        <v>0</v>
      </c>
      <c r="D9967">
        <v>0</v>
      </c>
      <c r="E9967">
        <v>0</v>
      </c>
      <c r="F9967" s="2">
        <v>0</v>
      </c>
      <c r="H9967">
        <v>0</v>
      </c>
      <c r="I9967">
        <v>0.1741125760648204</v>
      </c>
      <c r="J9967">
        <v>0</v>
      </c>
      <c r="K9967">
        <v>0</v>
      </c>
      <c r="L9967" s="2">
        <v>0</v>
      </c>
      <c r="M9967">
        <v>97</v>
      </c>
      <c r="N9967" t="s">
        <v>10237</v>
      </c>
    </row>
    <row r="9968" spans="1:14">
      <c r="A9968" t="s">
        <v>30</v>
      </c>
      <c r="B9968" t="s">
        <v>9902</v>
      </c>
      <c r="C9968">
        <f>"101265"</f>
        <v>0</v>
      </c>
      <c r="D9968">
        <v>0</v>
      </c>
      <c r="E9968">
        <v>0</v>
      </c>
      <c r="F9968" s="2">
        <v>0</v>
      </c>
      <c r="H9968">
        <v>0</v>
      </c>
      <c r="I9968">
        <v>0.1741125760648204</v>
      </c>
      <c r="J9968">
        <v>0</v>
      </c>
      <c r="K9968">
        <v>0</v>
      </c>
      <c r="L9968" s="2">
        <v>0</v>
      </c>
      <c r="M9968">
        <v>97.01000000000001</v>
      </c>
      <c r="N9968" t="s">
        <v>10237</v>
      </c>
    </row>
    <row r="9969" spans="1:14">
      <c r="A9969" t="s">
        <v>30</v>
      </c>
      <c r="B9969" t="s">
        <v>9903</v>
      </c>
      <c r="C9969">
        <f>"101264"</f>
        <v>0</v>
      </c>
      <c r="D9969">
        <v>0</v>
      </c>
      <c r="E9969">
        <v>0</v>
      </c>
      <c r="F9969" s="2">
        <v>0</v>
      </c>
      <c r="H9969">
        <v>0</v>
      </c>
      <c r="I9969">
        <v>0.1741125760648204</v>
      </c>
      <c r="J9969">
        <v>0</v>
      </c>
      <c r="K9969">
        <v>0</v>
      </c>
      <c r="L9969" s="2">
        <v>0</v>
      </c>
      <c r="M9969">
        <v>97.02</v>
      </c>
      <c r="N9969" t="s">
        <v>10237</v>
      </c>
    </row>
    <row r="9970" spans="1:14">
      <c r="A9970" t="s">
        <v>30</v>
      </c>
      <c r="B9970" t="s">
        <v>9904</v>
      </c>
      <c r="C9970">
        <f>"101262"</f>
        <v>0</v>
      </c>
      <c r="D9970">
        <v>0</v>
      </c>
      <c r="E9970">
        <v>0</v>
      </c>
      <c r="F9970" s="2">
        <v>0</v>
      </c>
      <c r="H9970">
        <v>0</v>
      </c>
      <c r="I9970">
        <v>0.1741125760648204</v>
      </c>
      <c r="J9970">
        <v>0</v>
      </c>
      <c r="K9970">
        <v>0</v>
      </c>
      <c r="L9970" s="2">
        <v>0</v>
      </c>
      <c r="M9970">
        <v>97.03</v>
      </c>
      <c r="N9970" t="s">
        <v>10237</v>
      </c>
    </row>
    <row r="9971" spans="1:14">
      <c r="A9971" t="s">
        <v>29</v>
      </c>
      <c r="B9971" t="s">
        <v>9905</v>
      </c>
      <c r="C9971">
        <f>"34394"</f>
        <v>0</v>
      </c>
      <c r="D9971">
        <v>0</v>
      </c>
      <c r="E9971">
        <v>3</v>
      </c>
      <c r="F9971" s="2">
        <v>3</v>
      </c>
      <c r="H9971">
        <v>0</v>
      </c>
      <c r="I9971">
        <v>0.1741125760648204</v>
      </c>
      <c r="J9971">
        <v>0</v>
      </c>
      <c r="K9971">
        <v>0</v>
      </c>
      <c r="L9971" s="2">
        <v>0</v>
      </c>
      <c r="M9971">
        <v>97.04000000000001</v>
      </c>
      <c r="N9971" t="s">
        <v>10237</v>
      </c>
    </row>
    <row r="9972" spans="1:14">
      <c r="A9972" t="s">
        <v>214</v>
      </c>
      <c r="B9972" t="s">
        <v>9906</v>
      </c>
      <c r="C9972">
        <f>"34301"</f>
        <v>0</v>
      </c>
      <c r="D9972">
        <v>0</v>
      </c>
      <c r="E9972">
        <v>0</v>
      </c>
      <c r="F9972" s="2">
        <v>0</v>
      </c>
      <c r="H9972">
        <v>0</v>
      </c>
      <c r="I9972">
        <v>0.1741125760648204</v>
      </c>
      <c r="J9972">
        <v>0</v>
      </c>
      <c r="K9972">
        <v>0</v>
      </c>
      <c r="L9972" s="2">
        <v>0</v>
      </c>
      <c r="M9972">
        <v>97.04000000000001</v>
      </c>
      <c r="N9972" t="s">
        <v>10237</v>
      </c>
    </row>
    <row r="9973" spans="1:14">
      <c r="A9973" t="s">
        <v>217</v>
      </c>
      <c r="B9973" t="s">
        <v>9907</v>
      </c>
      <c r="C9973">
        <f>"AT0040"</f>
        <v>0</v>
      </c>
      <c r="D9973">
        <v>0</v>
      </c>
      <c r="E9973">
        <v>10</v>
      </c>
      <c r="F9973" s="2">
        <v>10</v>
      </c>
      <c r="H9973">
        <v>0</v>
      </c>
      <c r="I9973">
        <v>0.1741125760648204</v>
      </c>
      <c r="J9973">
        <v>0</v>
      </c>
      <c r="K9973">
        <v>0</v>
      </c>
      <c r="L9973" s="2">
        <v>0</v>
      </c>
      <c r="M9973">
        <v>97.05</v>
      </c>
      <c r="N9973" t="s">
        <v>10237</v>
      </c>
    </row>
    <row r="9974" spans="1:14">
      <c r="A9974" t="s">
        <v>218</v>
      </c>
      <c r="B9974" t="s">
        <v>9908</v>
      </c>
      <c r="C9974">
        <f>"DRAGARTR02"</f>
        <v>0</v>
      </c>
      <c r="D9974">
        <v>0</v>
      </c>
      <c r="E9974">
        <v>0</v>
      </c>
      <c r="F9974" s="2">
        <v>0</v>
      </c>
      <c r="H9974">
        <v>0</v>
      </c>
      <c r="I9974">
        <v>0.1741125760648204</v>
      </c>
      <c r="J9974">
        <v>0</v>
      </c>
      <c r="K9974">
        <v>0</v>
      </c>
      <c r="L9974" s="2">
        <v>0</v>
      </c>
      <c r="M9974">
        <v>97.06</v>
      </c>
      <c r="N9974" t="s">
        <v>10237</v>
      </c>
    </row>
    <row r="9975" spans="1:14">
      <c r="A9975" t="s">
        <v>216</v>
      </c>
      <c r="B9975" t="s">
        <v>9909</v>
      </c>
      <c r="C9975">
        <f>"1576886464549"</f>
        <v>0</v>
      </c>
      <c r="D9975">
        <v>0</v>
      </c>
      <c r="E9975">
        <v>0</v>
      </c>
      <c r="F9975" s="2">
        <v>0</v>
      </c>
      <c r="H9975">
        <v>0</v>
      </c>
      <c r="I9975">
        <v>0.1741125760648204</v>
      </c>
      <c r="J9975">
        <v>0</v>
      </c>
      <c r="K9975">
        <v>0</v>
      </c>
      <c r="L9975" s="2">
        <v>0</v>
      </c>
      <c r="M9975">
        <v>97.06999999999999</v>
      </c>
      <c r="N9975" t="s">
        <v>10237</v>
      </c>
    </row>
    <row r="9976" spans="1:14">
      <c r="A9976" t="s">
        <v>35</v>
      </c>
      <c r="B9976" t="s">
        <v>9910</v>
      </c>
      <c r="C9976">
        <f>"ER035"</f>
        <v>0</v>
      </c>
      <c r="D9976">
        <v>0</v>
      </c>
      <c r="E9976">
        <v>6</v>
      </c>
      <c r="F9976" s="2">
        <v>1</v>
      </c>
      <c r="H9976">
        <v>0</v>
      </c>
      <c r="I9976">
        <v>0.1741125760648204</v>
      </c>
      <c r="J9976">
        <v>0</v>
      </c>
      <c r="K9976">
        <v>0</v>
      </c>
      <c r="L9976" s="2">
        <v>0</v>
      </c>
      <c r="M9976">
        <v>97.08</v>
      </c>
      <c r="N9976" t="s">
        <v>10237</v>
      </c>
    </row>
    <row r="9977" spans="1:14">
      <c r="A9977" t="s">
        <v>202</v>
      </c>
      <c r="B9977" t="s">
        <v>9911</v>
      </c>
      <c r="C9977">
        <f>"11001117"</f>
        <v>0</v>
      </c>
      <c r="D9977">
        <v>0</v>
      </c>
      <c r="E9977">
        <v>2</v>
      </c>
      <c r="F9977" s="2">
        <v>13</v>
      </c>
      <c r="H9977">
        <v>0</v>
      </c>
      <c r="I9977">
        <v>0.1741125760648204</v>
      </c>
      <c r="J9977">
        <v>0</v>
      </c>
      <c r="K9977">
        <v>0</v>
      </c>
      <c r="L9977" s="2">
        <v>0</v>
      </c>
      <c r="M9977">
        <v>97.09</v>
      </c>
      <c r="N9977" t="s">
        <v>10237</v>
      </c>
    </row>
    <row r="9978" spans="1:14">
      <c r="A9978" t="s">
        <v>202</v>
      </c>
      <c r="B9978" t="s">
        <v>9912</v>
      </c>
      <c r="C9978">
        <f>"11001030"</f>
        <v>0</v>
      </c>
      <c r="D9978">
        <v>0</v>
      </c>
      <c r="E9978">
        <v>6</v>
      </c>
      <c r="F9978" s="2">
        <v>3</v>
      </c>
      <c r="H9978">
        <v>0</v>
      </c>
      <c r="I9978">
        <v>0.1741125760648204</v>
      </c>
      <c r="J9978">
        <v>0</v>
      </c>
      <c r="K9978">
        <v>0</v>
      </c>
      <c r="L9978" s="2">
        <v>0</v>
      </c>
      <c r="M9978">
        <v>97.09999999999999</v>
      </c>
      <c r="N9978" t="s">
        <v>10237</v>
      </c>
    </row>
    <row r="9979" spans="1:14">
      <c r="A9979" t="s">
        <v>35</v>
      </c>
      <c r="B9979" t="s">
        <v>9913</v>
      </c>
      <c r="C9979">
        <f>"HH337SAZ"</f>
        <v>0</v>
      </c>
      <c r="D9979">
        <v>0</v>
      </c>
      <c r="E9979">
        <v>1</v>
      </c>
      <c r="F9979" s="2">
        <v>9</v>
      </c>
      <c r="H9979">
        <v>0</v>
      </c>
      <c r="I9979">
        <v>0.1741125760648204</v>
      </c>
      <c r="J9979">
        <v>0</v>
      </c>
      <c r="K9979">
        <v>0</v>
      </c>
      <c r="L9979" s="2">
        <v>0</v>
      </c>
      <c r="M9979">
        <v>97.11</v>
      </c>
      <c r="N9979" t="s">
        <v>10237</v>
      </c>
    </row>
    <row r="9980" spans="1:14">
      <c r="A9980" t="s">
        <v>202</v>
      </c>
      <c r="B9980" t="s">
        <v>9914</v>
      </c>
      <c r="C9980">
        <f>"21002096"</f>
        <v>0</v>
      </c>
      <c r="D9980">
        <v>0</v>
      </c>
      <c r="E9980">
        <v>0</v>
      </c>
      <c r="F9980" s="2">
        <v>0</v>
      </c>
      <c r="H9980">
        <v>0</v>
      </c>
      <c r="I9980">
        <v>0.1741125760648204</v>
      </c>
      <c r="J9980">
        <v>0</v>
      </c>
      <c r="K9980">
        <v>0</v>
      </c>
      <c r="L9980" s="2">
        <v>0</v>
      </c>
      <c r="M9980">
        <v>97.12</v>
      </c>
      <c r="N9980" t="s">
        <v>10237</v>
      </c>
    </row>
    <row r="9981" spans="1:14">
      <c r="A9981" t="s">
        <v>202</v>
      </c>
      <c r="B9981" t="s">
        <v>9915</v>
      </c>
      <c r="C9981">
        <f>"11001098"</f>
        <v>0</v>
      </c>
      <c r="D9981">
        <v>0</v>
      </c>
      <c r="E9981">
        <v>2</v>
      </c>
      <c r="F9981" s="2">
        <v>25</v>
      </c>
      <c r="H9981">
        <v>0</v>
      </c>
      <c r="I9981">
        <v>0.1741125760648204</v>
      </c>
      <c r="J9981">
        <v>0</v>
      </c>
      <c r="K9981">
        <v>0</v>
      </c>
      <c r="L9981" s="2">
        <v>0</v>
      </c>
      <c r="M9981">
        <v>97.13</v>
      </c>
      <c r="N9981" t="s">
        <v>10237</v>
      </c>
    </row>
    <row r="9982" spans="1:14">
      <c r="A9982" t="s">
        <v>202</v>
      </c>
      <c r="B9982" t="s">
        <v>9916</v>
      </c>
      <c r="C9982">
        <f>"11002004"</f>
        <v>0</v>
      </c>
      <c r="D9982">
        <v>0</v>
      </c>
      <c r="E9982">
        <v>8</v>
      </c>
      <c r="F9982" s="2">
        <v>2</v>
      </c>
      <c r="H9982">
        <v>0</v>
      </c>
      <c r="I9982">
        <v>0.1741125760648204</v>
      </c>
      <c r="J9982">
        <v>0</v>
      </c>
      <c r="K9982">
        <v>0</v>
      </c>
      <c r="L9982" s="2">
        <v>0</v>
      </c>
      <c r="M9982">
        <v>97.14</v>
      </c>
      <c r="N9982" t="s">
        <v>10237</v>
      </c>
    </row>
    <row r="9983" spans="1:14">
      <c r="A9983" t="s">
        <v>202</v>
      </c>
      <c r="B9983" t="s">
        <v>9917</v>
      </c>
      <c r="C9983">
        <f>"11002153"</f>
        <v>0</v>
      </c>
      <c r="D9983">
        <v>0</v>
      </c>
      <c r="E9983">
        <v>8</v>
      </c>
      <c r="F9983" s="2">
        <v>2</v>
      </c>
      <c r="H9983">
        <v>0</v>
      </c>
      <c r="I9983">
        <v>0.1741125760648204</v>
      </c>
      <c r="J9983">
        <v>0</v>
      </c>
      <c r="K9983">
        <v>0</v>
      </c>
      <c r="L9983" s="2">
        <v>0</v>
      </c>
      <c r="M9983">
        <v>97.15000000000001</v>
      </c>
      <c r="N9983" t="s">
        <v>10237</v>
      </c>
    </row>
    <row r="9984" spans="1:14">
      <c r="A9984" t="s">
        <v>202</v>
      </c>
      <c r="B9984" t="s">
        <v>9918</v>
      </c>
      <c r="C9984">
        <f>"21002036"</f>
        <v>0</v>
      </c>
      <c r="D9984">
        <v>0</v>
      </c>
      <c r="E9984">
        <v>0</v>
      </c>
      <c r="F9984" s="2">
        <v>0</v>
      </c>
      <c r="H9984">
        <v>0</v>
      </c>
      <c r="I9984">
        <v>0.1741125760648204</v>
      </c>
      <c r="J9984">
        <v>0</v>
      </c>
      <c r="K9984">
        <v>0</v>
      </c>
      <c r="L9984" s="2">
        <v>0</v>
      </c>
      <c r="M9984">
        <v>97.16</v>
      </c>
      <c r="N9984" t="s">
        <v>10237</v>
      </c>
    </row>
    <row r="9985" spans="1:14">
      <c r="A9985" t="s">
        <v>35</v>
      </c>
      <c r="B9985" t="s">
        <v>9919</v>
      </c>
      <c r="C9985">
        <f>"HP111L"</f>
        <v>0</v>
      </c>
      <c r="D9985">
        <v>0</v>
      </c>
      <c r="E9985">
        <v>2</v>
      </c>
      <c r="F9985" s="2">
        <v>3</v>
      </c>
      <c r="H9985">
        <v>0</v>
      </c>
      <c r="I9985">
        <v>0.1741125760648204</v>
      </c>
      <c r="J9985">
        <v>0</v>
      </c>
      <c r="K9985">
        <v>0</v>
      </c>
      <c r="L9985" s="2">
        <v>0</v>
      </c>
      <c r="M9985">
        <v>97.16</v>
      </c>
      <c r="N9985" t="s">
        <v>10237</v>
      </c>
    </row>
    <row r="9986" spans="1:14">
      <c r="A9986" t="s">
        <v>35</v>
      </c>
      <c r="B9986" t="s">
        <v>9920</v>
      </c>
      <c r="C9986">
        <f>"HP112XXS"</f>
        <v>0</v>
      </c>
      <c r="D9986">
        <v>0</v>
      </c>
      <c r="E9986">
        <v>7</v>
      </c>
      <c r="F9986" s="2">
        <v>4</v>
      </c>
      <c r="H9986">
        <v>0</v>
      </c>
      <c r="I9986">
        <v>0.1741125760648204</v>
      </c>
      <c r="J9986">
        <v>0</v>
      </c>
      <c r="K9986">
        <v>0</v>
      </c>
      <c r="L9986" s="2">
        <v>0</v>
      </c>
      <c r="M9986">
        <v>97.17</v>
      </c>
      <c r="N9986" t="s">
        <v>10237</v>
      </c>
    </row>
    <row r="9987" spans="1:14">
      <c r="A9987" t="s">
        <v>35</v>
      </c>
      <c r="B9987" t="s">
        <v>9921</v>
      </c>
      <c r="C9987">
        <f>"HP112XS"</f>
        <v>0</v>
      </c>
      <c r="D9987">
        <v>0</v>
      </c>
      <c r="E9987">
        <v>8</v>
      </c>
      <c r="F9987" s="2">
        <v>4</v>
      </c>
      <c r="H9987">
        <v>0</v>
      </c>
      <c r="I9987">
        <v>0.1741125760648204</v>
      </c>
      <c r="J9987">
        <v>0</v>
      </c>
      <c r="K9987">
        <v>0</v>
      </c>
      <c r="L9987" s="2">
        <v>0</v>
      </c>
      <c r="M9987">
        <v>97.18000000000001</v>
      </c>
      <c r="N9987" t="s">
        <v>10237</v>
      </c>
    </row>
    <row r="9988" spans="1:14">
      <c r="A9988" t="s">
        <v>35</v>
      </c>
      <c r="B9988" t="s">
        <v>9922</v>
      </c>
      <c r="C9988">
        <f>"EK3001AM"</f>
        <v>0</v>
      </c>
      <c r="D9988">
        <v>0</v>
      </c>
      <c r="E9988">
        <v>3</v>
      </c>
      <c r="F9988" s="2">
        <v>1</v>
      </c>
      <c r="H9988">
        <v>0</v>
      </c>
      <c r="I9988">
        <v>0.1741125760648204</v>
      </c>
      <c r="J9988">
        <v>0</v>
      </c>
      <c r="K9988">
        <v>0</v>
      </c>
      <c r="L9988" s="2">
        <v>0</v>
      </c>
      <c r="M9988">
        <v>97.19</v>
      </c>
      <c r="N9988" t="s">
        <v>10237</v>
      </c>
    </row>
    <row r="9989" spans="1:14">
      <c r="A9989" t="s">
        <v>35</v>
      </c>
      <c r="B9989" t="s">
        <v>9923</v>
      </c>
      <c r="C9989">
        <f>"EK3001"</f>
        <v>0</v>
      </c>
      <c r="D9989">
        <v>0</v>
      </c>
      <c r="E9989">
        <v>0</v>
      </c>
      <c r="F9989" s="2">
        <v>0</v>
      </c>
      <c r="H9989">
        <v>0</v>
      </c>
      <c r="I9989">
        <v>0.1741125760648204</v>
      </c>
      <c r="J9989">
        <v>0</v>
      </c>
      <c r="K9989">
        <v>0</v>
      </c>
      <c r="L9989" s="2">
        <v>0</v>
      </c>
      <c r="M9989">
        <v>97.2</v>
      </c>
      <c r="N9989" t="s">
        <v>10237</v>
      </c>
    </row>
    <row r="9990" spans="1:14">
      <c r="A9990" t="s">
        <v>25</v>
      </c>
      <c r="B9990" t="s">
        <v>9924</v>
      </c>
      <c r="C9990">
        <f>"SP001L"</f>
        <v>0</v>
      </c>
      <c r="D9990">
        <v>0</v>
      </c>
      <c r="E9990">
        <v>2</v>
      </c>
      <c r="F9990" s="2">
        <v>3</v>
      </c>
      <c r="H9990">
        <v>0</v>
      </c>
      <c r="I9990">
        <v>0.1741125760648204</v>
      </c>
      <c r="J9990">
        <v>0</v>
      </c>
      <c r="K9990">
        <v>0</v>
      </c>
      <c r="L9990" s="2">
        <v>0</v>
      </c>
      <c r="M9990">
        <v>97.20999999999999</v>
      </c>
      <c r="N9990" t="s">
        <v>10237</v>
      </c>
    </row>
    <row r="9991" spans="1:14">
      <c r="A9991" t="s">
        <v>25</v>
      </c>
      <c r="B9991" t="s">
        <v>9925</v>
      </c>
      <c r="C9991">
        <f>"AYCS202"</f>
        <v>0</v>
      </c>
      <c r="D9991">
        <v>0</v>
      </c>
      <c r="E9991">
        <v>27</v>
      </c>
      <c r="F9991" s="2">
        <v>4</v>
      </c>
      <c r="H9991">
        <v>0</v>
      </c>
      <c r="I9991">
        <v>0.1741125760648204</v>
      </c>
      <c r="J9991">
        <v>0</v>
      </c>
      <c r="K9991">
        <v>0</v>
      </c>
      <c r="L9991" s="2">
        <v>0</v>
      </c>
      <c r="M9991">
        <v>97.22</v>
      </c>
      <c r="N9991" t="s">
        <v>10237</v>
      </c>
    </row>
    <row r="9992" spans="1:14">
      <c r="A9992" t="s">
        <v>25</v>
      </c>
      <c r="B9992" t="s">
        <v>9926</v>
      </c>
      <c r="C9992">
        <f>"SP001XL"</f>
        <v>0</v>
      </c>
      <c r="D9992">
        <v>0</v>
      </c>
      <c r="E9992">
        <v>2</v>
      </c>
      <c r="F9992" s="2">
        <v>4</v>
      </c>
      <c r="H9992">
        <v>0</v>
      </c>
      <c r="I9992">
        <v>0.1741125760648204</v>
      </c>
      <c r="J9992">
        <v>0</v>
      </c>
      <c r="K9992">
        <v>0</v>
      </c>
      <c r="L9992" s="2">
        <v>0</v>
      </c>
      <c r="M9992">
        <v>97.23</v>
      </c>
      <c r="N9992" t="s">
        <v>10237</v>
      </c>
    </row>
    <row r="9993" spans="1:14">
      <c r="A9993" t="s">
        <v>35</v>
      </c>
      <c r="B9993" t="s">
        <v>9927</v>
      </c>
      <c r="C9993">
        <f>"1854XXS"</f>
        <v>0</v>
      </c>
      <c r="D9993">
        <v>0</v>
      </c>
      <c r="E9993">
        <v>0</v>
      </c>
      <c r="F9993" s="2">
        <v>0</v>
      </c>
      <c r="H9993">
        <v>0</v>
      </c>
      <c r="I9993">
        <v>0.1741125760648204</v>
      </c>
      <c r="J9993">
        <v>0</v>
      </c>
      <c r="K9993">
        <v>0</v>
      </c>
      <c r="L9993" s="2">
        <v>0</v>
      </c>
      <c r="M9993">
        <v>97.23999999999999</v>
      </c>
      <c r="N9993" t="s">
        <v>10237</v>
      </c>
    </row>
    <row r="9994" spans="1:14">
      <c r="A9994" t="s">
        <v>35</v>
      </c>
      <c r="B9994" t="s">
        <v>9928</v>
      </c>
      <c r="C9994">
        <f>"1854XS"</f>
        <v>0</v>
      </c>
      <c r="D9994">
        <v>0</v>
      </c>
      <c r="E9994">
        <v>0</v>
      </c>
      <c r="F9994" s="2">
        <v>0</v>
      </c>
      <c r="H9994">
        <v>0</v>
      </c>
      <c r="I9994">
        <v>0.1741125760648204</v>
      </c>
      <c r="J9994">
        <v>0</v>
      </c>
      <c r="K9994">
        <v>0</v>
      </c>
      <c r="L9994" s="2">
        <v>0</v>
      </c>
      <c r="M9994">
        <v>97.25</v>
      </c>
      <c r="N9994" t="s">
        <v>10237</v>
      </c>
    </row>
    <row r="9995" spans="1:14">
      <c r="A9995" t="s">
        <v>202</v>
      </c>
      <c r="B9995" t="s">
        <v>9929</v>
      </c>
      <c r="C9995">
        <f>"21102018"</f>
        <v>0</v>
      </c>
      <c r="D9995">
        <v>0</v>
      </c>
      <c r="E9995">
        <v>1</v>
      </c>
      <c r="F9995" s="2">
        <v>15</v>
      </c>
      <c r="H9995">
        <v>0</v>
      </c>
      <c r="I9995">
        <v>0.1741125760648204</v>
      </c>
      <c r="J9995">
        <v>0</v>
      </c>
      <c r="K9995">
        <v>0</v>
      </c>
      <c r="L9995" s="2">
        <v>0</v>
      </c>
      <c r="M9995">
        <v>97.26000000000001</v>
      </c>
      <c r="N9995" t="s">
        <v>10237</v>
      </c>
    </row>
    <row r="9996" spans="1:14">
      <c r="A9996" t="s">
        <v>35</v>
      </c>
      <c r="B9996" t="s">
        <v>9930</v>
      </c>
      <c r="C9996">
        <f>"HH337MNA"</f>
        <v>0</v>
      </c>
      <c r="D9996">
        <v>0</v>
      </c>
      <c r="E9996">
        <v>0</v>
      </c>
      <c r="F9996" s="2">
        <v>0</v>
      </c>
      <c r="H9996">
        <v>0</v>
      </c>
      <c r="I9996">
        <v>0.1741125760648204</v>
      </c>
      <c r="J9996">
        <v>0</v>
      </c>
      <c r="K9996">
        <v>0</v>
      </c>
      <c r="L9996" s="2">
        <v>0</v>
      </c>
      <c r="M9996">
        <v>97.27</v>
      </c>
      <c r="N9996" t="s">
        <v>10237</v>
      </c>
    </row>
    <row r="9997" spans="1:14">
      <c r="A9997" t="s">
        <v>35</v>
      </c>
      <c r="B9997" t="s">
        <v>9931</v>
      </c>
      <c r="C9997">
        <f>"HH337LAZ"</f>
        <v>0</v>
      </c>
      <c r="D9997">
        <v>0</v>
      </c>
      <c r="E9997">
        <v>1</v>
      </c>
      <c r="F9997" s="2">
        <v>11</v>
      </c>
      <c r="H9997">
        <v>0</v>
      </c>
      <c r="I9997">
        <v>0.1741125760648204</v>
      </c>
      <c r="J9997">
        <v>0</v>
      </c>
      <c r="K9997">
        <v>0</v>
      </c>
      <c r="L9997" s="2">
        <v>0</v>
      </c>
      <c r="M9997">
        <v>97.28</v>
      </c>
      <c r="N9997" t="s">
        <v>10237</v>
      </c>
    </row>
    <row r="9998" spans="1:14">
      <c r="A9998" t="s">
        <v>35</v>
      </c>
      <c r="B9998" t="s">
        <v>9932</v>
      </c>
      <c r="C9998">
        <f>"FB857XSV"</f>
        <v>0</v>
      </c>
      <c r="D9998">
        <v>0</v>
      </c>
      <c r="E9998">
        <v>0</v>
      </c>
      <c r="F9998" s="2">
        <v>0</v>
      </c>
      <c r="H9998">
        <v>0</v>
      </c>
      <c r="I9998">
        <v>0.1741125760648204</v>
      </c>
      <c r="J9998">
        <v>0</v>
      </c>
      <c r="K9998">
        <v>0</v>
      </c>
      <c r="L9998" s="2">
        <v>0</v>
      </c>
      <c r="M9998">
        <v>97.28</v>
      </c>
      <c r="N9998" t="s">
        <v>10237</v>
      </c>
    </row>
    <row r="9999" spans="1:14">
      <c r="A9999" t="s">
        <v>35</v>
      </c>
      <c r="B9999" t="s">
        <v>9933</v>
      </c>
      <c r="C9999">
        <f>"FB857XSRO"</f>
        <v>0</v>
      </c>
      <c r="D9999">
        <v>0</v>
      </c>
      <c r="E9999">
        <v>0</v>
      </c>
      <c r="F9999" s="2">
        <v>0</v>
      </c>
      <c r="H9999">
        <v>0</v>
      </c>
      <c r="I9999">
        <v>0.1741125760648204</v>
      </c>
      <c r="J9999">
        <v>0</v>
      </c>
      <c r="K9999">
        <v>0</v>
      </c>
      <c r="L9999" s="2">
        <v>0</v>
      </c>
      <c r="M9999">
        <v>97.29000000000001</v>
      </c>
      <c r="N9999" t="s">
        <v>10237</v>
      </c>
    </row>
    <row r="10000" spans="1:14">
      <c r="A10000" t="s">
        <v>35</v>
      </c>
      <c r="B10000" t="s">
        <v>9934</v>
      </c>
      <c r="C10000">
        <f>"FB857XSR"</f>
        <v>0</v>
      </c>
      <c r="D10000">
        <v>0</v>
      </c>
      <c r="E10000">
        <v>2</v>
      </c>
      <c r="F10000" s="2">
        <v>3</v>
      </c>
      <c r="H10000">
        <v>0</v>
      </c>
      <c r="I10000">
        <v>0.1741125760648204</v>
      </c>
      <c r="J10000">
        <v>0</v>
      </c>
      <c r="K10000">
        <v>0</v>
      </c>
      <c r="L10000" s="2">
        <v>0</v>
      </c>
      <c r="M10000">
        <v>97.3</v>
      </c>
      <c r="N10000" t="s">
        <v>10237</v>
      </c>
    </row>
    <row r="10001" spans="1:14">
      <c r="A10001" t="s">
        <v>35</v>
      </c>
      <c r="B10001" t="s">
        <v>9935</v>
      </c>
      <c r="C10001">
        <f>"FB857XSA"</f>
        <v>0</v>
      </c>
      <c r="D10001">
        <v>0</v>
      </c>
      <c r="E10001">
        <v>0</v>
      </c>
      <c r="F10001" s="2">
        <v>0</v>
      </c>
      <c r="H10001">
        <v>0</v>
      </c>
      <c r="I10001">
        <v>0.1741125760648204</v>
      </c>
      <c r="J10001">
        <v>0</v>
      </c>
      <c r="K10001">
        <v>0</v>
      </c>
      <c r="L10001" s="2">
        <v>0</v>
      </c>
      <c r="M10001">
        <v>97.31</v>
      </c>
      <c r="N10001" t="s">
        <v>10237</v>
      </c>
    </row>
    <row r="10002" spans="1:14">
      <c r="A10002" t="s">
        <v>35</v>
      </c>
      <c r="B10002" t="s">
        <v>9936</v>
      </c>
      <c r="C10002">
        <f>"FB857SC"</f>
        <v>0</v>
      </c>
      <c r="D10002">
        <v>0</v>
      </c>
      <c r="E10002">
        <v>0</v>
      </c>
      <c r="F10002" s="2">
        <v>0</v>
      </c>
      <c r="H10002">
        <v>0</v>
      </c>
      <c r="I10002">
        <v>0.1741125760648204</v>
      </c>
      <c r="J10002">
        <v>0</v>
      </c>
      <c r="K10002">
        <v>0</v>
      </c>
      <c r="L10002" s="2">
        <v>0</v>
      </c>
      <c r="M10002">
        <v>97.31999999999999</v>
      </c>
      <c r="N10002" t="s">
        <v>10237</v>
      </c>
    </row>
    <row r="10003" spans="1:14">
      <c r="A10003" t="s">
        <v>35</v>
      </c>
      <c r="B10003" t="s">
        <v>9937</v>
      </c>
      <c r="C10003">
        <f>"EK3002"</f>
        <v>0</v>
      </c>
      <c r="D10003">
        <v>0</v>
      </c>
      <c r="E10003">
        <v>1</v>
      </c>
      <c r="F10003" s="2">
        <v>981</v>
      </c>
      <c r="H10003">
        <v>0</v>
      </c>
      <c r="I10003">
        <v>0.1741125760648204</v>
      </c>
      <c r="J10003">
        <v>0</v>
      </c>
      <c r="K10003">
        <v>0</v>
      </c>
      <c r="L10003" s="2">
        <v>0</v>
      </c>
      <c r="M10003">
        <v>97.33</v>
      </c>
      <c r="N10003" t="s">
        <v>10237</v>
      </c>
    </row>
    <row r="10004" spans="1:14">
      <c r="A10004" t="s">
        <v>35</v>
      </c>
      <c r="B10004" t="s">
        <v>9938</v>
      </c>
      <c r="C10004">
        <f>"EK3001NE"</f>
        <v>0</v>
      </c>
      <c r="D10004">
        <v>0</v>
      </c>
      <c r="E10004">
        <v>1</v>
      </c>
      <c r="F10004" s="2">
        <v>765</v>
      </c>
      <c r="H10004">
        <v>0</v>
      </c>
      <c r="I10004">
        <v>0.1741125760648204</v>
      </c>
      <c r="J10004">
        <v>0</v>
      </c>
      <c r="K10004">
        <v>0</v>
      </c>
      <c r="L10004" s="2">
        <v>0</v>
      </c>
      <c r="M10004">
        <v>97.34</v>
      </c>
      <c r="N10004" t="s">
        <v>10237</v>
      </c>
    </row>
    <row r="10005" spans="1:14">
      <c r="A10005" t="s">
        <v>202</v>
      </c>
      <c r="B10005" t="s">
        <v>9939</v>
      </c>
      <c r="C10005">
        <f>"11201076"</f>
        <v>0</v>
      </c>
      <c r="D10005">
        <v>0</v>
      </c>
      <c r="E10005">
        <v>1</v>
      </c>
      <c r="F10005" s="2">
        <v>15</v>
      </c>
      <c r="H10005">
        <v>0</v>
      </c>
      <c r="I10005">
        <v>0.1741125760648204</v>
      </c>
      <c r="J10005">
        <v>0</v>
      </c>
      <c r="K10005">
        <v>0</v>
      </c>
      <c r="L10005" s="2">
        <v>0</v>
      </c>
      <c r="M10005">
        <v>97.34999999999999</v>
      </c>
      <c r="N10005" t="s">
        <v>10237</v>
      </c>
    </row>
    <row r="10006" spans="1:14">
      <c r="A10006" t="s">
        <v>202</v>
      </c>
      <c r="B10006" t="s">
        <v>9940</v>
      </c>
      <c r="C10006">
        <f>"11201067"</f>
        <v>0</v>
      </c>
      <c r="D10006">
        <v>0</v>
      </c>
      <c r="E10006">
        <v>1</v>
      </c>
      <c r="F10006" s="2">
        <v>9</v>
      </c>
      <c r="H10006">
        <v>0</v>
      </c>
      <c r="I10006">
        <v>0.1741125760648204</v>
      </c>
      <c r="J10006">
        <v>0</v>
      </c>
      <c r="K10006">
        <v>0</v>
      </c>
      <c r="L10006" s="2">
        <v>0</v>
      </c>
      <c r="M10006">
        <v>97.36</v>
      </c>
      <c r="N10006" t="s">
        <v>10237</v>
      </c>
    </row>
    <row r="10007" spans="1:14">
      <c r="A10007" t="s">
        <v>202</v>
      </c>
      <c r="B10007" t="s">
        <v>9941</v>
      </c>
      <c r="C10007">
        <f>"76928706598917"</f>
        <v>0</v>
      </c>
      <c r="D10007">
        <v>0</v>
      </c>
      <c r="E10007">
        <v>1</v>
      </c>
      <c r="F10007" s="2">
        <v>15</v>
      </c>
      <c r="H10007">
        <v>0</v>
      </c>
      <c r="I10007">
        <v>0.1741125760648204</v>
      </c>
      <c r="J10007">
        <v>0</v>
      </c>
      <c r="K10007">
        <v>0</v>
      </c>
      <c r="L10007" s="2">
        <v>0</v>
      </c>
      <c r="M10007">
        <v>97.37</v>
      </c>
      <c r="N10007" t="s">
        <v>10237</v>
      </c>
    </row>
    <row r="10008" spans="1:14">
      <c r="A10008" t="s">
        <v>202</v>
      </c>
      <c r="B10008" t="s">
        <v>9942</v>
      </c>
      <c r="C10008">
        <f>"11002071"</f>
        <v>0</v>
      </c>
      <c r="D10008">
        <v>0</v>
      </c>
      <c r="E10008">
        <v>9</v>
      </c>
      <c r="F10008" s="2">
        <v>2</v>
      </c>
      <c r="H10008">
        <v>0</v>
      </c>
      <c r="I10008">
        <v>0.1741125760648204</v>
      </c>
      <c r="J10008">
        <v>0</v>
      </c>
      <c r="K10008">
        <v>0</v>
      </c>
      <c r="L10008" s="2">
        <v>0</v>
      </c>
      <c r="M10008">
        <v>97.38</v>
      </c>
      <c r="N10008" t="s">
        <v>10237</v>
      </c>
    </row>
    <row r="10009" spans="1:14">
      <c r="A10009" t="s">
        <v>202</v>
      </c>
      <c r="B10009" t="s">
        <v>9943</v>
      </c>
      <c r="C10009">
        <f>"11002121"</f>
        <v>0</v>
      </c>
      <c r="D10009">
        <v>0</v>
      </c>
      <c r="E10009">
        <v>8</v>
      </c>
      <c r="F10009" s="2">
        <v>2</v>
      </c>
      <c r="H10009">
        <v>0</v>
      </c>
      <c r="I10009">
        <v>0.1741125760648204</v>
      </c>
      <c r="J10009">
        <v>0</v>
      </c>
      <c r="K10009">
        <v>0</v>
      </c>
      <c r="L10009" s="2">
        <v>0</v>
      </c>
      <c r="M10009">
        <v>97.39</v>
      </c>
      <c r="N10009" t="s">
        <v>10237</v>
      </c>
    </row>
    <row r="10010" spans="1:14">
      <c r="A10010" t="s">
        <v>202</v>
      </c>
      <c r="B10010" t="s">
        <v>9944</v>
      </c>
      <c r="C10010">
        <f>"11002143"</f>
        <v>0</v>
      </c>
      <c r="D10010">
        <v>0</v>
      </c>
      <c r="E10010">
        <v>2</v>
      </c>
      <c r="F10010" s="2">
        <v>12</v>
      </c>
      <c r="H10010">
        <v>0</v>
      </c>
      <c r="I10010">
        <v>0.1741125760648204</v>
      </c>
      <c r="J10010">
        <v>0</v>
      </c>
      <c r="K10010">
        <v>0</v>
      </c>
      <c r="L10010" s="2">
        <v>0</v>
      </c>
      <c r="M10010">
        <v>97.39</v>
      </c>
      <c r="N10010" t="s">
        <v>10237</v>
      </c>
    </row>
    <row r="10011" spans="1:14">
      <c r="A10011" t="s">
        <v>202</v>
      </c>
      <c r="B10011" t="s">
        <v>9945</v>
      </c>
      <c r="C10011">
        <f>"11002141"</f>
        <v>0</v>
      </c>
      <c r="D10011">
        <v>0</v>
      </c>
      <c r="E10011">
        <v>8</v>
      </c>
      <c r="F10011" s="2">
        <v>2</v>
      </c>
      <c r="H10011">
        <v>0</v>
      </c>
      <c r="I10011">
        <v>0.1741125760648204</v>
      </c>
      <c r="J10011">
        <v>0</v>
      </c>
      <c r="K10011">
        <v>0</v>
      </c>
      <c r="L10011" s="2">
        <v>0</v>
      </c>
      <c r="M10011">
        <v>97.40000000000001</v>
      </c>
      <c r="N10011" t="s">
        <v>10237</v>
      </c>
    </row>
    <row r="10012" spans="1:14">
      <c r="A10012" t="s">
        <v>202</v>
      </c>
      <c r="B10012" t="s">
        <v>9946</v>
      </c>
      <c r="C10012">
        <f>"21002060"</f>
        <v>0</v>
      </c>
      <c r="D10012">
        <v>0</v>
      </c>
      <c r="E10012">
        <v>3</v>
      </c>
      <c r="F10012" s="2">
        <v>13</v>
      </c>
      <c r="H10012">
        <v>0</v>
      </c>
      <c r="I10012">
        <v>0.1741125760648204</v>
      </c>
      <c r="J10012">
        <v>0</v>
      </c>
      <c r="K10012">
        <v>0</v>
      </c>
      <c r="L10012" s="2">
        <v>0</v>
      </c>
      <c r="M10012">
        <v>97.41</v>
      </c>
      <c r="N10012" t="s">
        <v>10237</v>
      </c>
    </row>
    <row r="10013" spans="1:14">
      <c r="A10013" t="s">
        <v>202</v>
      </c>
      <c r="B10013" t="s">
        <v>9947</v>
      </c>
      <c r="C10013">
        <f>"11002053"</f>
        <v>0</v>
      </c>
      <c r="D10013">
        <v>0</v>
      </c>
      <c r="E10013">
        <v>8</v>
      </c>
      <c r="F10013" s="2">
        <v>2</v>
      </c>
      <c r="H10013">
        <v>0</v>
      </c>
      <c r="I10013">
        <v>0.1741125760648204</v>
      </c>
      <c r="J10013">
        <v>0</v>
      </c>
      <c r="K10013">
        <v>0</v>
      </c>
      <c r="L10013" s="2">
        <v>0</v>
      </c>
      <c r="M10013">
        <v>97.42</v>
      </c>
      <c r="N10013" t="s">
        <v>10237</v>
      </c>
    </row>
    <row r="10014" spans="1:14">
      <c r="A10014" t="s">
        <v>202</v>
      </c>
      <c r="B10014" t="s">
        <v>9948</v>
      </c>
      <c r="C10014">
        <f>"21002042"</f>
        <v>0</v>
      </c>
      <c r="D10014">
        <v>0</v>
      </c>
      <c r="E10014">
        <v>1</v>
      </c>
      <c r="F10014" s="2">
        <v>29</v>
      </c>
      <c r="H10014">
        <v>0</v>
      </c>
      <c r="I10014">
        <v>0.1741125760648204</v>
      </c>
      <c r="J10014">
        <v>0</v>
      </c>
      <c r="K10014">
        <v>0</v>
      </c>
      <c r="L10014" s="2">
        <v>0</v>
      </c>
      <c r="M10014">
        <v>97.43000000000001</v>
      </c>
      <c r="N10014" t="s">
        <v>10237</v>
      </c>
    </row>
    <row r="10015" spans="1:14">
      <c r="A10015" t="s">
        <v>202</v>
      </c>
      <c r="B10015" t="s">
        <v>9949</v>
      </c>
      <c r="C10015">
        <f>"11002041"</f>
        <v>0</v>
      </c>
      <c r="D10015">
        <v>0</v>
      </c>
      <c r="E10015">
        <v>2</v>
      </c>
      <c r="F10015" s="2">
        <v>33</v>
      </c>
      <c r="H10015">
        <v>0</v>
      </c>
      <c r="I10015">
        <v>0.1741125760648204</v>
      </c>
      <c r="J10015">
        <v>0</v>
      </c>
      <c r="K10015">
        <v>0</v>
      </c>
      <c r="L10015" s="2">
        <v>0</v>
      </c>
      <c r="M10015">
        <v>97.44</v>
      </c>
      <c r="N10015" t="s">
        <v>10237</v>
      </c>
    </row>
    <row r="10016" spans="1:14">
      <c r="A10016" t="s">
        <v>202</v>
      </c>
      <c r="B10016" t="s">
        <v>9950</v>
      </c>
      <c r="C10016">
        <f>"21001041"</f>
        <v>0</v>
      </c>
      <c r="D10016">
        <v>0</v>
      </c>
      <c r="E10016">
        <v>1</v>
      </c>
      <c r="F10016" s="2">
        <v>3</v>
      </c>
      <c r="H10016">
        <v>0</v>
      </c>
      <c r="I10016">
        <v>0.1741125760648204</v>
      </c>
      <c r="J10016">
        <v>0</v>
      </c>
      <c r="K10016">
        <v>0</v>
      </c>
      <c r="L10016" s="2">
        <v>0</v>
      </c>
      <c r="M10016">
        <v>97.45</v>
      </c>
      <c r="N10016" t="s">
        <v>10237</v>
      </c>
    </row>
    <row r="10017" spans="1:14">
      <c r="A10017" t="s">
        <v>202</v>
      </c>
      <c r="B10017" t="s">
        <v>9951</v>
      </c>
      <c r="C10017">
        <f>"21001044"</f>
        <v>0</v>
      </c>
      <c r="D10017">
        <v>0</v>
      </c>
      <c r="E10017">
        <v>1</v>
      </c>
      <c r="F10017" s="2">
        <v>3</v>
      </c>
      <c r="H10017">
        <v>0</v>
      </c>
      <c r="I10017">
        <v>0.1741125760648204</v>
      </c>
      <c r="J10017">
        <v>0</v>
      </c>
      <c r="K10017">
        <v>0</v>
      </c>
      <c r="L10017" s="2">
        <v>0</v>
      </c>
      <c r="M10017">
        <v>97.45999999999999</v>
      </c>
      <c r="N10017" t="s">
        <v>10237</v>
      </c>
    </row>
    <row r="10018" spans="1:14">
      <c r="A10018" t="s">
        <v>202</v>
      </c>
      <c r="B10018" t="s">
        <v>9952</v>
      </c>
      <c r="C10018">
        <f>"21002003"</f>
        <v>0</v>
      </c>
      <c r="D10018">
        <v>0</v>
      </c>
      <c r="E10018">
        <v>1</v>
      </c>
      <c r="F10018" s="2">
        <v>13</v>
      </c>
      <c r="H10018">
        <v>0</v>
      </c>
      <c r="I10018">
        <v>0.1741125760648204</v>
      </c>
      <c r="J10018">
        <v>0</v>
      </c>
      <c r="K10018">
        <v>0</v>
      </c>
      <c r="L10018" s="2">
        <v>0</v>
      </c>
      <c r="M10018">
        <v>97.47</v>
      </c>
      <c r="N10018" t="s">
        <v>10237</v>
      </c>
    </row>
    <row r="10019" spans="1:14">
      <c r="A10019" t="s">
        <v>202</v>
      </c>
      <c r="B10019" t="s">
        <v>9953</v>
      </c>
      <c r="C10019">
        <f>"21002046"</f>
        <v>0</v>
      </c>
      <c r="D10019">
        <v>0</v>
      </c>
      <c r="E10019">
        <v>1</v>
      </c>
      <c r="F10019" s="2">
        <v>13</v>
      </c>
      <c r="H10019">
        <v>0</v>
      </c>
      <c r="I10019">
        <v>0.1741125760648204</v>
      </c>
      <c r="J10019">
        <v>0</v>
      </c>
      <c r="K10019">
        <v>0</v>
      </c>
      <c r="L10019" s="2">
        <v>0</v>
      </c>
      <c r="M10019">
        <v>97.48</v>
      </c>
      <c r="N10019" t="s">
        <v>10237</v>
      </c>
    </row>
    <row r="10020" spans="1:14">
      <c r="A10020" t="s">
        <v>202</v>
      </c>
      <c r="B10020" t="s">
        <v>9954</v>
      </c>
      <c r="C10020">
        <f>"21002043"</f>
        <v>0</v>
      </c>
      <c r="D10020">
        <v>0</v>
      </c>
      <c r="E10020">
        <v>1</v>
      </c>
      <c r="F10020" s="2">
        <v>12</v>
      </c>
      <c r="H10020">
        <v>0</v>
      </c>
      <c r="I10020">
        <v>0.1741125760648204</v>
      </c>
      <c r="J10020">
        <v>0</v>
      </c>
      <c r="K10020">
        <v>0</v>
      </c>
      <c r="L10020" s="2">
        <v>0</v>
      </c>
      <c r="M10020">
        <v>97.48999999999999</v>
      </c>
      <c r="N10020" t="s">
        <v>10237</v>
      </c>
    </row>
    <row r="10021" spans="1:14">
      <c r="A10021" t="s">
        <v>202</v>
      </c>
      <c r="B10021" t="s">
        <v>9955</v>
      </c>
      <c r="C10021">
        <f>"11002037"</f>
        <v>0</v>
      </c>
      <c r="D10021">
        <v>0</v>
      </c>
      <c r="E10021">
        <v>9</v>
      </c>
      <c r="F10021" s="2">
        <v>2</v>
      </c>
      <c r="H10021">
        <v>0</v>
      </c>
      <c r="I10021">
        <v>0.1741125760648204</v>
      </c>
      <c r="J10021">
        <v>0</v>
      </c>
      <c r="K10021">
        <v>0</v>
      </c>
      <c r="L10021" s="2">
        <v>0</v>
      </c>
      <c r="M10021">
        <v>97.5</v>
      </c>
      <c r="N10021" t="s">
        <v>10237</v>
      </c>
    </row>
    <row r="10022" spans="1:14">
      <c r="A10022" t="s">
        <v>202</v>
      </c>
      <c r="B10022" t="s">
        <v>9956</v>
      </c>
      <c r="C10022">
        <f>"21001025"</f>
        <v>0</v>
      </c>
      <c r="D10022">
        <v>0</v>
      </c>
      <c r="E10022">
        <v>2</v>
      </c>
      <c r="F10022" s="2">
        <v>12</v>
      </c>
      <c r="H10022">
        <v>0</v>
      </c>
      <c r="I10022">
        <v>0.1741125760648204</v>
      </c>
      <c r="J10022">
        <v>0</v>
      </c>
      <c r="K10022">
        <v>0</v>
      </c>
      <c r="L10022" s="2">
        <v>0</v>
      </c>
      <c r="M10022">
        <v>97.51000000000001</v>
      </c>
      <c r="N10022" t="s">
        <v>10237</v>
      </c>
    </row>
    <row r="10023" spans="1:14">
      <c r="A10023" t="s">
        <v>202</v>
      </c>
      <c r="B10023" t="s">
        <v>9957</v>
      </c>
      <c r="C10023">
        <f>"21001014"</f>
        <v>0</v>
      </c>
      <c r="D10023">
        <v>0</v>
      </c>
      <c r="E10023">
        <v>0</v>
      </c>
      <c r="F10023" s="2">
        <v>0</v>
      </c>
      <c r="H10023">
        <v>0</v>
      </c>
      <c r="I10023">
        <v>0.1741125760648204</v>
      </c>
      <c r="J10023">
        <v>0</v>
      </c>
      <c r="K10023">
        <v>0</v>
      </c>
      <c r="L10023" s="2">
        <v>0</v>
      </c>
      <c r="M10023">
        <v>97.51000000000001</v>
      </c>
      <c r="N10023" t="s">
        <v>10237</v>
      </c>
    </row>
    <row r="10024" spans="1:14">
      <c r="A10024" t="s">
        <v>202</v>
      </c>
      <c r="B10024" t="s">
        <v>9958</v>
      </c>
      <c r="C10024">
        <f>"11001119"</f>
        <v>0</v>
      </c>
      <c r="D10024">
        <v>0</v>
      </c>
      <c r="E10024">
        <v>6</v>
      </c>
      <c r="F10024" s="2">
        <v>3</v>
      </c>
      <c r="H10024">
        <v>0</v>
      </c>
      <c r="I10024">
        <v>0.1741125760648204</v>
      </c>
      <c r="J10024">
        <v>0</v>
      </c>
      <c r="K10024">
        <v>0</v>
      </c>
      <c r="L10024" s="2">
        <v>0</v>
      </c>
      <c r="M10024">
        <v>97.52</v>
      </c>
      <c r="N10024" t="s">
        <v>10237</v>
      </c>
    </row>
    <row r="10025" spans="1:14">
      <c r="A10025" t="s">
        <v>202</v>
      </c>
      <c r="B10025" t="s">
        <v>9959</v>
      </c>
      <c r="C10025">
        <f>"11002084"</f>
        <v>0</v>
      </c>
      <c r="D10025">
        <v>0</v>
      </c>
      <c r="E10025">
        <v>0</v>
      </c>
      <c r="F10025" s="2">
        <v>0</v>
      </c>
      <c r="H10025">
        <v>0</v>
      </c>
      <c r="I10025">
        <v>0.1741125760648204</v>
      </c>
      <c r="J10025">
        <v>0</v>
      </c>
      <c r="K10025">
        <v>0</v>
      </c>
      <c r="L10025" s="2">
        <v>0</v>
      </c>
      <c r="M10025">
        <v>97.53</v>
      </c>
      <c r="N10025" t="s">
        <v>10237</v>
      </c>
    </row>
    <row r="10026" spans="1:14">
      <c r="A10026" t="s">
        <v>202</v>
      </c>
      <c r="B10026" t="s">
        <v>9960</v>
      </c>
      <c r="C10026">
        <f>"11001067"</f>
        <v>0</v>
      </c>
      <c r="D10026">
        <v>0</v>
      </c>
      <c r="E10026">
        <v>2</v>
      </c>
      <c r="F10026" s="2">
        <v>18</v>
      </c>
      <c r="H10026">
        <v>0</v>
      </c>
      <c r="I10026">
        <v>0.1741125760648204</v>
      </c>
      <c r="J10026">
        <v>0</v>
      </c>
      <c r="K10026">
        <v>0</v>
      </c>
      <c r="L10026" s="2">
        <v>0</v>
      </c>
      <c r="M10026">
        <v>97.54000000000001</v>
      </c>
      <c r="N10026" t="s">
        <v>10237</v>
      </c>
    </row>
    <row r="10027" spans="1:14">
      <c r="A10027" t="s">
        <v>223</v>
      </c>
      <c r="B10027" t="s">
        <v>9961</v>
      </c>
      <c r="C10027">
        <f>"1231035"</f>
        <v>0</v>
      </c>
      <c r="D10027">
        <v>0</v>
      </c>
      <c r="E10027">
        <v>0</v>
      </c>
      <c r="F10027" s="2">
        <v>0</v>
      </c>
      <c r="H10027">
        <v>0</v>
      </c>
      <c r="I10027">
        <v>0.1741125760648204</v>
      </c>
      <c r="J10027">
        <v>0</v>
      </c>
      <c r="K10027">
        <v>0</v>
      </c>
      <c r="L10027" s="2">
        <v>0</v>
      </c>
      <c r="M10027">
        <v>97.55</v>
      </c>
      <c r="N10027" t="s">
        <v>10237</v>
      </c>
    </row>
    <row r="10028" spans="1:14">
      <c r="A10028" t="s">
        <v>223</v>
      </c>
      <c r="B10028" t="s">
        <v>9962</v>
      </c>
      <c r="C10028">
        <f>"1231015"</f>
        <v>0</v>
      </c>
      <c r="D10028">
        <v>0</v>
      </c>
      <c r="E10028">
        <v>0</v>
      </c>
      <c r="F10028" s="2">
        <v>0</v>
      </c>
      <c r="H10028">
        <v>0</v>
      </c>
      <c r="I10028">
        <v>0.1741125760648204</v>
      </c>
      <c r="J10028">
        <v>0</v>
      </c>
      <c r="K10028">
        <v>0</v>
      </c>
      <c r="L10028" s="2">
        <v>0</v>
      </c>
      <c r="M10028">
        <v>97.56</v>
      </c>
      <c r="N10028" t="s">
        <v>10237</v>
      </c>
    </row>
    <row r="10029" spans="1:14">
      <c r="A10029" t="s">
        <v>223</v>
      </c>
      <c r="B10029" t="s">
        <v>9963</v>
      </c>
      <c r="C10029">
        <f>"1232035"</f>
        <v>0</v>
      </c>
      <c r="D10029">
        <v>0</v>
      </c>
      <c r="E10029">
        <v>0</v>
      </c>
      <c r="F10029" s="2">
        <v>0</v>
      </c>
      <c r="H10029">
        <v>0</v>
      </c>
      <c r="I10029">
        <v>0.1741125760648204</v>
      </c>
      <c r="J10029">
        <v>0</v>
      </c>
      <c r="K10029">
        <v>0</v>
      </c>
      <c r="L10029" s="2">
        <v>0</v>
      </c>
      <c r="M10029">
        <v>97.56999999999999</v>
      </c>
      <c r="N10029" t="s">
        <v>10237</v>
      </c>
    </row>
    <row r="10030" spans="1:14">
      <c r="A10030" t="s">
        <v>223</v>
      </c>
      <c r="B10030" t="s">
        <v>9964</v>
      </c>
      <c r="C10030">
        <f>"1232015"</f>
        <v>0</v>
      </c>
      <c r="D10030">
        <v>0</v>
      </c>
      <c r="E10030">
        <v>0</v>
      </c>
      <c r="F10030" s="2">
        <v>0</v>
      </c>
      <c r="H10030">
        <v>0</v>
      </c>
      <c r="I10030">
        <v>0.1741125760648204</v>
      </c>
      <c r="J10030">
        <v>0</v>
      </c>
      <c r="K10030">
        <v>0</v>
      </c>
      <c r="L10030" s="2">
        <v>0</v>
      </c>
      <c r="M10030">
        <v>97.58</v>
      </c>
      <c r="N10030" t="s">
        <v>10237</v>
      </c>
    </row>
    <row r="10031" spans="1:14">
      <c r="A10031" t="s">
        <v>213</v>
      </c>
      <c r="B10031" t="s">
        <v>9965</v>
      </c>
      <c r="C10031">
        <f>"500979"</f>
        <v>0</v>
      </c>
      <c r="D10031">
        <v>0</v>
      </c>
      <c r="E10031">
        <v>0</v>
      </c>
      <c r="F10031" s="2">
        <v>0</v>
      </c>
      <c r="H10031">
        <v>0</v>
      </c>
      <c r="I10031">
        <v>0.1741125760648204</v>
      </c>
      <c r="J10031">
        <v>0</v>
      </c>
      <c r="K10031">
        <v>0</v>
      </c>
      <c r="L10031" s="2">
        <v>0</v>
      </c>
      <c r="M10031">
        <v>97.59</v>
      </c>
      <c r="N10031" t="s">
        <v>10237</v>
      </c>
    </row>
    <row r="10032" spans="1:14">
      <c r="A10032" t="s">
        <v>213</v>
      </c>
      <c r="B10032" t="s">
        <v>9966</v>
      </c>
      <c r="C10032">
        <f>"501102"</f>
        <v>0</v>
      </c>
      <c r="D10032">
        <v>0</v>
      </c>
      <c r="E10032">
        <v>0</v>
      </c>
      <c r="F10032" s="2">
        <v>0</v>
      </c>
      <c r="H10032">
        <v>0</v>
      </c>
      <c r="I10032">
        <v>0.1741125760648204</v>
      </c>
      <c r="J10032">
        <v>0</v>
      </c>
      <c r="K10032">
        <v>0</v>
      </c>
      <c r="L10032" s="2">
        <v>0</v>
      </c>
      <c r="M10032">
        <v>97.59999999999999</v>
      </c>
      <c r="N10032" t="s">
        <v>10237</v>
      </c>
    </row>
    <row r="10033" spans="1:14">
      <c r="A10033" t="s">
        <v>213</v>
      </c>
      <c r="B10033" t="s">
        <v>9967</v>
      </c>
      <c r="C10033">
        <f>"500994"</f>
        <v>0</v>
      </c>
      <c r="D10033">
        <v>0</v>
      </c>
      <c r="E10033">
        <v>0</v>
      </c>
      <c r="F10033" s="2">
        <v>0</v>
      </c>
      <c r="H10033">
        <v>0</v>
      </c>
      <c r="I10033">
        <v>0.1741125760648204</v>
      </c>
      <c r="J10033">
        <v>0</v>
      </c>
      <c r="K10033">
        <v>0</v>
      </c>
      <c r="L10033" s="2">
        <v>0</v>
      </c>
      <c r="M10033">
        <v>97.61</v>
      </c>
      <c r="N10033" t="s">
        <v>10237</v>
      </c>
    </row>
    <row r="10034" spans="1:14">
      <c r="A10034" t="s">
        <v>213</v>
      </c>
      <c r="B10034" t="s">
        <v>9968</v>
      </c>
      <c r="C10034">
        <f>"501105"</f>
        <v>0</v>
      </c>
      <c r="D10034">
        <v>0</v>
      </c>
      <c r="E10034">
        <v>0</v>
      </c>
      <c r="F10034" s="2">
        <v>0</v>
      </c>
      <c r="H10034">
        <v>0</v>
      </c>
      <c r="I10034">
        <v>0.1741125760648204</v>
      </c>
      <c r="J10034">
        <v>0</v>
      </c>
      <c r="K10034">
        <v>0</v>
      </c>
      <c r="L10034" s="2">
        <v>0</v>
      </c>
      <c r="M10034">
        <v>97.62</v>
      </c>
      <c r="N10034" t="s">
        <v>10237</v>
      </c>
    </row>
    <row r="10035" spans="1:14">
      <c r="A10035" t="s">
        <v>213</v>
      </c>
      <c r="B10035" t="s">
        <v>9969</v>
      </c>
      <c r="C10035">
        <f>"500978"</f>
        <v>0</v>
      </c>
      <c r="D10035">
        <v>0</v>
      </c>
      <c r="E10035">
        <v>0</v>
      </c>
      <c r="F10035" s="2">
        <v>0</v>
      </c>
      <c r="H10035">
        <v>0</v>
      </c>
      <c r="I10035">
        <v>0.1741125760648204</v>
      </c>
      <c r="J10035">
        <v>0</v>
      </c>
      <c r="K10035">
        <v>0</v>
      </c>
      <c r="L10035" s="2">
        <v>0</v>
      </c>
      <c r="M10035">
        <v>97.63</v>
      </c>
      <c r="N10035" t="s">
        <v>10237</v>
      </c>
    </row>
    <row r="10036" spans="1:14">
      <c r="A10036" t="s">
        <v>213</v>
      </c>
      <c r="B10036" t="s">
        <v>9970</v>
      </c>
      <c r="C10036">
        <f>"501101"</f>
        <v>0</v>
      </c>
      <c r="D10036">
        <v>0</v>
      </c>
      <c r="E10036">
        <v>0</v>
      </c>
      <c r="F10036" s="2">
        <v>0</v>
      </c>
      <c r="H10036">
        <v>0</v>
      </c>
      <c r="I10036">
        <v>0.1741125760648204</v>
      </c>
      <c r="J10036">
        <v>0</v>
      </c>
      <c r="K10036">
        <v>0</v>
      </c>
      <c r="L10036" s="2">
        <v>0</v>
      </c>
      <c r="M10036">
        <v>97.63</v>
      </c>
      <c r="N10036" t="s">
        <v>10237</v>
      </c>
    </row>
    <row r="10037" spans="1:14">
      <c r="A10037" t="s">
        <v>35</v>
      </c>
      <c r="B10037" t="s">
        <v>9971</v>
      </c>
      <c r="C10037">
        <f>"1003"</f>
        <v>0</v>
      </c>
      <c r="D10037">
        <v>0</v>
      </c>
      <c r="E10037">
        <v>0</v>
      </c>
      <c r="F10037" s="2">
        <v>0</v>
      </c>
      <c r="H10037">
        <v>0</v>
      </c>
      <c r="I10037">
        <v>0.1741125760648204</v>
      </c>
      <c r="J10037">
        <v>0</v>
      </c>
      <c r="K10037">
        <v>0</v>
      </c>
      <c r="L10037" s="2">
        <v>0</v>
      </c>
      <c r="M10037">
        <v>97.64</v>
      </c>
      <c r="N10037" t="s">
        <v>10237</v>
      </c>
    </row>
    <row r="10038" spans="1:14">
      <c r="A10038" t="s">
        <v>193</v>
      </c>
      <c r="B10038" t="s">
        <v>9972</v>
      </c>
      <c r="C10038">
        <f>"300810"</f>
        <v>0</v>
      </c>
      <c r="D10038">
        <v>0</v>
      </c>
      <c r="E10038">
        <v>1</v>
      </c>
      <c r="F10038" s="2">
        <v>871</v>
      </c>
      <c r="H10038">
        <v>0</v>
      </c>
      <c r="I10038">
        <v>0.1741125760648204</v>
      </c>
      <c r="J10038">
        <v>0</v>
      </c>
      <c r="K10038">
        <v>0</v>
      </c>
      <c r="L10038" s="2">
        <v>0</v>
      </c>
      <c r="M10038">
        <v>97.65000000000001</v>
      </c>
      <c r="N10038" t="s">
        <v>10237</v>
      </c>
    </row>
    <row r="10039" spans="1:14">
      <c r="A10039" t="s">
        <v>223</v>
      </c>
      <c r="B10039" t="s">
        <v>9973</v>
      </c>
      <c r="C10039">
        <f>"44725"</f>
        <v>0</v>
      </c>
      <c r="D10039">
        <v>0</v>
      </c>
      <c r="E10039">
        <v>0</v>
      </c>
      <c r="F10039" s="2">
        <v>0</v>
      </c>
      <c r="H10039">
        <v>0</v>
      </c>
      <c r="I10039">
        <v>0.1741125760648204</v>
      </c>
      <c r="J10039">
        <v>0</v>
      </c>
      <c r="K10039">
        <v>0</v>
      </c>
      <c r="L10039" s="2">
        <v>0</v>
      </c>
      <c r="M10039">
        <v>97.66</v>
      </c>
      <c r="N10039" t="s">
        <v>10237</v>
      </c>
    </row>
    <row r="10040" spans="1:14">
      <c r="A10040" t="s">
        <v>223</v>
      </c>
      <c r="B10040" t="s">
        <v>9974</v>
      </c>
      <c r="C10040">
        <f>"2050020"</f>
        <v>0</v>
      </c>
      <c r="D10040">
        <v>0</v>
      </c>
      <c r="E10040">
        <v>0</v>
      </c>
      <c r="F10040" s="2">
        <v>0</v>
      </c>
      <c r="H10040">
        <v>0</v>
      </c>
      <c r="I10040">
        <v>0.1741125760648204</v>
      </c>
      <c r="J10040">
        <v>0</v>
      </c>
      <c r="K10040">
        <v>0</v>
      </c>
      <c r="L10040" s="2">
        <v>0</v>
      </c>
      <c r="M10040">
        <v>97.67</v>
      </c>
      <c r="N10040" t="s">
        <v>10237</v>
      </c>
    </row>
    <row r="10041" spans="1:14">
      <c r="A10041" t="s">
        <v>218</v>
      </c>
      <c r="B10041" t="s">
        <v>9975</v>
      </c>
      <c r="C10041">
        <f>"is152gt"</f>
        <v>0</v>
      </c>
      <c r="D10041">
        <v>0</v>
      </c>
      <c r="E10041">
        <v>0</v>
      </c>
      <c r="F10041" s="2">
        <v>0</v>
      </c>
      <c r="H10041">
        <v>0</v>
      </c>
      <c r="I10041">
        <v>0.1741125760648204</v>
      </c>
      <c r="J10041">
        <v>0</v>
      </c>
      <c r="K10041">
        <v>0</v>
      </c>
      <c r="L10041" s="2">
        <v>0</v>
      </c>
      <c r="M10041">
        <v>97.68000000000001</v>
      </c>
      <c r="N10041" t="s">
        <v>10237</v>
      </c>
    </row>
    <row r="10042" spans="1:14">
      <c r="A10042" t="s">
        <v>223</v>
      </c>
      <c r="B10042" t="s">
        <v>9976</v>
      </c>
      <c r="C10042">
        <f>"7112050"</f>
        <v>0</v>
      </c>
      <c r="D10042">
        <v>0</v>
      </c>
      <c r="E10042">
        <v>0</v>
      </c>
      <c r="F10042" s="2">
        <v>0</v>
      </c>
      <c r="H10042">
        <v>0</v>
      </c>
      <c r="I10042">
        <v>0.1741125760648204</v>
      </c>
      <c r="J10042">
        <v>0</v>
      </c>
      <c r="K10042">
        <v>0</v>
      </c>
      <c r="L10042" s="2">
        <v>0</v>
      </c>
      <c r="M10042">
        <v>97.69</v>
      </c>
      <c r="N10042" t="s">
        <v>10237</v>
      </c>
    </row>
    <row r="10043" spans="1:14">
      <c r="A10043" t="s">
        <v>223</v>
      </c>
      <c r="B10043" t="s">
        <v>9977</v>
      </c>
      <c r="C10043">
        <f>"7118060"</f>
        <v>0</v>
      </c>
      <c r="D10043">
        <v>0</v>
      </c>
      <c r="E10043">
        <v>0</v>
      </c>
      <c r="F10043" s="2">
        <v>0</v>
      </c>
      <c r="H10043">
        <v>0</v>
      </c>
      <c r="I10043">
        <v>0.1741125760648204</v>
      </c>
      <c r="J10043">
        <v>0</v>
      </c>
      <c r="K10043">
        <v>0</v>
      </c>
      <c r="L10043" s="2">
        <v>0</v>
      </c>
      <c r="M10043">
        <v>97.7</v>
      </c>
      <c r="N10043" t="s">
        <v>10237</v>
      </c>
    </row>
    <row r="10044" spans="1:14">
      <c r="A10044" t="s">
        <v>35</v>
      </c>
      <c r="B10044" t="s">
        <v>9978</v>
      </c>
      <c r="C10044">
        <f>"GASM"</f>
        <v>0</v>
      </c>
      <c r="D10044">
        <v>0</v>
      </c>
      <c r="E10044">
        <v>0</v>
      </c>
      <c r="F10044" s="2">
        <v>0</v>
      </c>
      <c r="H10044">
        <v>0</v>
      </c>
      <c r="I10044">
        <v>0.1741125760648204</v>
      </c>
      <c r="J10044">
        <v>0</v>
      </c>
      <c r="K10044">
        <v>0</v>
      </c>
      <c r="L10044" s="2">
        <v>0</v>
      </c>
      <c r="M10044">
        <v>97.70999999999999</v>
      </c>
      <c r="N10044" t="s">
        <v>10237</v>
      </c>
    </row>
    <row r="10045" spans="1:14">
      <c r="A10045" t="s">
        <v>35</v>
      </c>
      <c r="B10045" t="s">
        <v>9979</v>
      </c>
      <c r="C10045">
        <f>"GASL"</f>
        <v>0</v>
      </c>
      <c r="D10045">
        <v>0</v>
      </c>
      <c r="E10045">
        <v>0</v>
      </c>
      <c r="F10045" s="2">
        <v>0</v>
      </c>
      <c r="H10045">
        <v>0</v>
      </c>
      <c r="I10045">
        <v>0.1741125760648204</v>
      </c>
      <c r="J10045">
        <v>0</v>
      </c>
      <c r="K10045">
        <v>0</v>
      </c>
      <c r="L10045" s="2">
        <v>0</v>
      </c>
      <c r="M10045">
        <v>97.72</v>
      </c>
      <c r="N10045" t="s">
        <v>10237</v>
      </c>
    </row>
    <row r="10046" spans="1:14">
      <c r="A10046" t="s">
        <v>218</v>
      </c>
      <c r="B10046" t="s">
        <v>9980</v>
      </c>
      <c r="C10046">
        <f>"10041566"</f>
        <v>0</v>
      </c>
      <c r="D10046">
        <v>0</v>
      </c>
      <c r="E10046">
        <v>0</v>
      </c>
      <c r="F10046" s="2">
        <v>0</v>
      </c>
      <c r="H10046">
        <v>0</v>
      </c>
      <c r="I10046">
        <v>0.1741125760648204</v>
      </c>
      <c r="J10046">
        <v>0</v>
      </c>
      <c r="K10046">
        <v>0</v>
      </c>
      <c r="L10046" s="2">
        <v>0</v>
      </c>
      <c r="M10046">
        <v>97.73</v>
      </c>
      <c r="N10046" t="s">
        <v>10237</v>
      </c>
    </row>
    <row r="10047" spans="1:14">
      <c r="A10047" t="s">
        <v>218</v>
      </c>
      <c r="B10047" t="s">
        <v>9981</v>
      </c>
      <c r="C10047">
        <f>"is103gs"</f>
        <v>0</v>
      </c>
      <c r="D10047">
        <v>0</v>
      </c>
      <c r="E10047">
        <v>0</v>
      </c>
      <c r="F10047" s="2">
        <v>0</v>
      </c>
      <c r="H10047">
        <v>0</v>
      </c>
      <c r="I10047">
        <v>0.1741125760648204</v>
      </c>
      <c r="J10047">
        <v>0</v>
      </c>
      <c r="K10047">
        <v>0</v>
      </c>
      <c r="L10047" s="2">
        <v>0</v>
      </c>
      <c r="M10047">
        <v>97.73999999999999</v>
      </c>
      <c r="N10047" t="s">
        <v>10237</v>
      </c>
    </row>
    <row r="10048" spans="1:14">
      <c r="A10048" t="s">
        <v>218</v>
      </c>
      <c r="B10048" t="s">
        <v>9982</v>
      </c>
      <c r="C10048">
        <f>"1017362"</f>
        <v>0</v>
      </c>
      <c r="D10048">
        <v>0</v>
      </c>
      <c r="E10048">
        <v>0</v>
      </c>
      <c r="F10048" s="2">
        <v>0</v>
      </c>
      <c r="H10048">
        <v>0</v>
      </c>
      <c r="I10048">
        <v>0.1741125760648204</v>
      </c>
      <c r="J10048">
        <v>0</v>
      </c>
      <c r="K10048">
        <v>0</v>
      </c>
      <c r="L10048" s="2">
        <v>0</v>
      </c>
      <c r="M10048">
        <v>97.75</v>
      </c>
      <c r="N10048" t="s">
        <v>10237</v>
      </c>
    </row>
    <row r="10049" spans="1:14">
      <c r="A10049" t="s">
        <v>25</v>
      </c>
      <c r="B10049" t="s">
        <v>9983</v>
      </c>
      <c r="C10049">
        <f>"NG02"</f>
        <v>0</v>
      </c>
      <c r="D10049">
        <v>0</v>
      </c>
      <c r="E10049">
        <v>20</v>
      </c>
      <c r="F10049" s="2">
        <v>3</v>
      </c>
      <c r="H10049">
        <v>0</v>
      </c>
      <c r="I10049">
        <v>0.1741125760648204</v>
      </c>
      <c r="J10049">
        <v>0</v>
      </c>
      <c r="K10049">
        <v>0</v>
      </c>
      <c r="L10049" s="2">
        <v>0</v>
      </c>
      <c r="M10049">
        <v>97.75</v>
      </c>
      <c r="N10049" t="s">
        <v>10237</v>
      </c>
    </row>
    <row r="10050" spans="1:14">
      <c r="A10050" t="s">
        <v>29</v>
      </c>
      <c r="B10050" t="s">
        <v>9984</v>
      </c>
      <c r="C10050">
        <f>"GGP"</f>
        <v>0</v>
      </c>
      <c r="D10050">
        <v>0</v>
      </c>
      <c r="E10050">
        <v>0</v>
      </c>
      <c r="F10050" s="2">
        <v>0</v>
      </c>
      <c r="H10050">
        <v>0</v>
      </c>
      <c r="I10050">
        <v>0.1741125760648204</v>
      </c>
      <c r="J10050">
        <v>0</v>
      </c>
      <c r="K10050">
        <v>0</v>
      </c>
      <c r="L10050" s="2">
        <v>0</v>
      </c>
      <c r="M10050">
        <v>97.76000000000001</v>
      </c>
      <c r="N10050" t="s">
        <v>10237</v>
      </c>
    </row>
    <row r="10051" spans="1:14">
      <c r="A10051" t="s">
        <v>29</v>
      </c>
      <c r="B10051" t="s">
        <v>9985</v>
      </c>
      <c r="C10051">
        <f>"GAMMARUSGRS"</f>
        <v>0</v>
      </c>
      <c r="D10051">
        <v>0</v>
      </c>
      <c r="E10051">
        <v>0</v>
      </c>
      <c r="F10051" s="2">
        <v>0</v>
      </c>
      <c r="H10051">
        <v>0</v>
      </c>
      <c r="I10051">
        <v>0.1741125760648204</v>
      </c>
      <c r="J10051">
        <v>0</v>
      </c>
      <c r="K10051">
        <v>0</v>
      </c>
      <c r="L10051" s="2">
        <v>0</v>
      </c>
      <c r="M10051">
        <v>97.77</v>
      </c>
      <c r="N10051" t="s">
        <v>10237</v>
      </c>
    </row>
    <row r="10052" spans="1:14">
      <c r="A10052" t="s">
        <v>35</v>
      </c>
      <c r="B10052" t="s">
        <v>9986</v>
      </c>
      <c r="C10052">
        <f>"2258"</f>
        <v>0</v>
      </c>
      <c r="D10052">
        <v>0</v>
      </c>
      <c r="E10052">
        <v>0</v>
      </c>
      <c r="F10052" s="2">
        <v>0</v>
      </c>
      <c r="H10052">
        <v>0</v>
      </c>
      <c r="I10052">
        <v>0.1741125760648204</v>
      </c>
      <c r="J10052">
        <v>0</v>
      </c>
      <c r="K10052">
        <v>0</v>
      </c>
      <c r="L10052" s="2">
        <v>0</v>
      </c>
      <c r="M10052">
        <v>97.78</v>
      </c>
      <c r="N10052" t="s">
        <v>10237</v>
      </c>
    </row>
    <row r="10053" spans="1:14">
      <c r="A10053" t="s">
        <v>35</v>
      </c>
      <c r="B10053" t="s">
        <v>9987</v>
      </c>
      <c r="C10053">
        <f>"LO80600"</f>
        <v>0</v>
      </c>
      <c r="D10053">
        <v>0</v>
      </c>
      <c r="E10053">
        <v>0</v>
      </c>
      <c r="F10053" s="2">
        <v>0</v>
      </c>
      <c r="H10053">
        <v>0</v>
      </c>
      <c r="I10053">
        <v>0.1741125760648204</v>
      </c>
      <c r="J10053">
        <v>0</v>
      </c>
      <c r="K10053">
        <v>0</v>
      </c>
      <c r="L10053" s="2">
        <v>0</v>
      </c>
      <c r="M10053">
        <v>97.79000000000001</v>
      </c>
      <c r="N10053" t="s">
        <v>10237</v>
      </c>
    </row>
    <row r="10054" spans="1:14">
      <c r="A10054" t="s">
        <v>35</v>
      </c>
      <c r="B10054" t="s">
        <v>9988</v>
      </c>
      <c r="C10054">
        <f>"LO80601"</f>
        <v>0</v>
      </c>
      <c r="D10054">
        <v>0</v>
      </c>
      <c r="E10054">
        <v>0</v>
      </c>
      <c r="F10054" s="2">
        <v>0</v>
      </c>
      <c r="H10054">
        <v>0</v>
      </c>
      <c r="I10054">
        <v>0.1741125760648204</v>
      </c>
      <c r="J10054">
        <v>0</v>
      </c>
      <c r="K10054">
        <v>0</v>
      </c>
      <c r="L10054" s="2">
        <v>0</v>
      </c>
      <c r="M10054">
        <v>97.8</v>
      </c>
      <c r="N10054" t="s">
        <v>10237</v>
      </c>
    </row>
    <row r="10055" spans="1:14">
      <c r="A10055" t="s">
        <v>35</v>
      </c>
      <c r="B10055" t="s">
        <v>9989</v>
      </c>
      <c r="C10055">
        <f>"LO80762"</f>
        <v>0</v>
      </c>
      <c r="D10055">
        <v>0</v>
      </c>
      <c r="E10055">
        <v>0</v>
      </c>
      <c r="F10055" s="2">
        <v>0</v>
      </c>
      <c r="H10055">
        <v>0</v>
      </c>
      <c r="I10055">
        <v>0.1741125760648204</v>
      </c>
      <c r="J10055">
        <v>0</v>
      </c>
      <c r="K10055">
        <v>0</v>
      </c>
      <c r="L10055" s="2">
        <v>0</v>
      </c>
      <c r="M10055">
        <v>97.81</v>
      </c>
      <c r="N10055" t="s">
        <v>10237</v>
      </c>
    </row>
    <row r="10056" spans="1:14">
      <c r="A10056" t="s">
        <v>223</v>
      </c>
      <c r="B10056" t="s">
        <v>9990</v>
      </c>
      <c r="C10056">
        <f>"5040101"</f>
        <v>0</v>
      </c>
      <c r="D10056">
        <v>0</v>
      </c>
      <c r="E10056">
        <v>0</v>
      </c>
      <c r="F10056" s="2">
        <v>0</v>
      </c>
      <c r="H10056">
        <v>0</v>
      </c>
      <c r="I10056">
        <v>0.1741125760648204</v>
      </c>
      <c r="J10056">
        <v>0</v>
      </c>
      <c r="K10056">
        <v>0</v>
      </c>
      <c r="L10056" s="2">
        <v>0</v>
      </c>
      <c r="M10056">
        <v>97.81999999999999</v>
      </c>
      <c r="N10056" t="s">
        <v>10237</v>
      </c>
    </row>
    <row r="10057" spans="1:14">
      <c r="A10057" t="s">
        <v>30</v>
      </c>
      <c r="B10057" t="s">
        <v>9991</v>
      </c>
      <c r="C10057">
        <f>"101325"</f>
        <v>0</v>
      </c>
      <c r="D10057">
        <v>0</v>
      </c>
      <c r="E10057">
        <v>0</v>
      </c>
      <c r="F10057" s="2">
        <v>0</v>
      </c>
      <c r="H10057">
        <v>0</v>
      </c>
      <c r="I10057">
        <v>0.1741125760648204</v>
      </c>
      <c r="J10057">
        <v>0</v>
      </c>
      <c r="K10057">
        <v>0</v>
      </c>
      <c r="L10057" s="2">
        <v>0</v>
      </c>
      <c r="M10057">
        <v>97.83</v>
      </c>
      <c r="N10057" t="s">
        <v>10237</v>
      </c>
    </row>
    <row r="10058" spans="1:14">
      <c r="A10058" t="s">
        <v>25</v>
      </c>
      <c r="B10058" t="s">
        <v>9992</v>
      </c>
      <c r="C10058">
        <f>"53186"</f>
        <v>0</v>
      </c>
      <c r="D10058">
        <v>0</v>
      </c>
      <c r="E10058">
        <v>0</v>
      </c>
      <c r="F10058" s="2">
        <v>0</v>
      </c>
      <c r="H10058">
        <v>0</v>
      </c>
      <c r="I10058">
        <v>0.1741125760648204</v>
      </c>
      <c r="J10058">
        <v>0</v>
      </c>
      <c r="K10058">
        <v>0</v>
      </c>
      <c r="L10058" s="2">
        <v>0</v>
      </c>
      <c r="M10058">
        <v>97.84</v>
      </c>
      <c r="N10058" t="s">
        <v>10237</v>
      </c>
    </row>
    <row r="10059" spans="1:14">
      <c r="A10059" t="s">
        <v>35</v>
      </c>
      <c r="B10059" t="s">
        <v>9993</v>
      </c>
      <c r="C10059">
        <f>"LH100MR"</f>
        <v>0</v>
      </c>
      <c r="D10059">
        <v>0</v>
      </c>
      <c r="E10059">
        <v>2</v>
      </c>
      <c r="F10059" s="2">
        <v>5</v>
      </c>
      <c r="H10059">
        <v>0</v>
      </c>
      <c r="I10059">
        <v>0.1741125760648204</v>
      </c>
      <c r="J10059">
        <v>0</v>
      </c>
      <c r="K10059">
        <v>0</v>
      </c>
      <c r="L10059" s="2">
        <v>0</v>
      </c>
      <c r="M10059">
        <v>97.84999999999999</v>
      </c>
      <c r="N10059" t="s">
        <v>10237</v>
      </c>
    </row>
    <row r="10060" spans="1:14">
      <c r="A10060" t="s">
        <v>35</v>
      </c>
      <c r="B10060" t="s">
        <v>9994</v>
      </c>
      <c r="C10060">
        <f>"LH100MM"</f>
        <v>0</v>
      </c>
      <c r="D10060">
        <v>0</v>
      </c>
      <c r="E10060">
        <v>3</v>
      </c>
      <c r="F10060" s="2">
        <v>5</v>
      </c>
      <c r="H10060">
        <v>0</v>
      </c>
      <c r="I10060">
        <v>0.1741125760648204</v>
      </c>
      <c r="J10060">
        <v>0</v>
      </c>
      <c r="K10060">
        <v>0</v>
      </c>
      <c r="L10060" s="2">
        <v>0</v>
      </c>
      <c r="M10060">
        <v>97.86</v>
      </c>
      <c r="N10060" t="s">
        <v>10237</v>
      </c>
    </row>
    <row r="10061" spans="1:14">
      <c r="A10061" t="s">
        <v>35</v>
      </c>
      <c r="B10061" t="s">
        <v>9995</v>
      </c>
      <c r="C10061">
        <f>"LH100MA"</f>
        <v>0</v>
      </c>
      <c r="D10061">
        <v>0</v>
      </c>
      <c r="E10061">
        <v>2</v>
      </c>
      <c r="F10061" s="2">
        <v>5</v>
      </c>
      <c r="H10061">
        <v>0</v>
      </c>
      <c r="I10061">
        <v>0.1741125760648204</v>
      </c>
      <c r="J10061">
        <v>0</v>
      </c>
      <c r="K10061">
        <v>0</v>
      </c>
      <c r="L10061" s="2">
        <v>0</v>
      </c>
      <c r="M10061">
        <v>97.86</v>
      </c>
      <c r="N10061" t="s">
        <v>10237</v>
      </c>
    </row>
    <row r="10062" spans="1:14">
      <c r="A10062" t="s">
        <v>35</v>
      </c>
      <c r="B10062" t="s">
        <v>9996</v>
      </c>
      <c r="C10062">
        <f>"LH100LR"</f>
        <v>0</v>
      </c>
      <c r="D10062">
        <v>0</v>
      </c>
      <c r="E10062">
        <v>1</v>
      </c>
      <c r="F10062" s="2">
        <v>5</v>
      </c>
      <c r="H10062">
        <v>0</v>
      </c>
      <c r="I10062">
        <v>0.1741125760648204</v>
      </c>
      <c r="J10062">
        <v>0</v>
      </c>
      <c r="K10062">
        <v>0</v>
      </c>
      <c r="L10062" s="2">
        <v>0</v>
      </c>
      <c r="M10062">
        <v>97.87</v>
      </c>
      <c r="N10062" t="s">
        <v>10237</v>
      </c>
    </row>
    <row r="10063" spans="1:14">
      <c r="A10063" t="s">
        <v>35</v>
      </c>
      <c r="B10063" t="s">
        <v>9997</v>
      </c>
      <c r="C10063">
        <f>"LH100LM"</f>
        <v>0</v>
      </c>
      <c r="D10063">
        <v>0</v>
      </c>
      <c r="E10063">
        <v>7</v>
      </c>
      <c r="F10063" s="2">
        <v>5</v>
      </c>
      <c r="H10063">
        <v>0</v>
      </c>
      <c r="I10063">
        <v>0.1741125760648204</v>
      </c>
      <c r="J10063">
        <v>0</v>
      </c>
      <c r="K10063">
        <v>0</v>
      </c>
      <c r="L10063" s="2">
        <v>0</v>
      </c>
      <c r="M10063">
        <v>97.88</v>
      </c>
      <c r="N10063" t="s">
        <v>10237</v>
      </c>
    </row>
    <row r="10064" spans="1:14">
      <c r="A10064" t="s">
        <v>35</v>
      </c>
      <c r="B10064" t="s">
        <v>9998</v>
      </c>
      <c r="C10064">
        <f>"LH100LA"</f>
        <v>0</v>
      </c>
      <c r="D10064">
        <v>0</v>
      </c>
      <c r="E10064">
        <v>14</v>
      </c>
      <c r="F10064" s="2">
        <v>5</v>
      </c>
      <c r="H10064">
        <v>0</v>
      </c>
      <c r="I10064">
        <v>0.1741125760648204</v>
      </c>
      <c r="J10064">
        <v>0</v>
      </c>
      <c r="K10064">
        <v>0</v>
      </c>
      <c r="L10064" s="2">
        <v>0</v>
      </c>
      <c r="M10064">
        <v>97.89</v>
      </c>
      <c r="N10064" t="s">
        <v>10237</v>
      </c>
    </row>
    <row r="10065" spans="1:14">
      <c r="A10065" t="s">
        <v>32</v>
      </c>
      <c r="B10065" t="s">
        <v>9999</v>
      </c>
      <c r="C10065">
        <f>"PCE15"</f>
        <v>0</v>
      </c>
      <c r="D10065">
        <v>0</v>
      </c>
      <c r="E10065">
        <v>0</v>
      </c>
      <c r="F10065" s="2">
        <v>0</v>
      </c>
      <c r="H10065">
        <v>0</v>
      </c>
      <c r="I10065">
        <v>0.1741125760648204</v>
      </c>
      <c r="J10065">
        <v>0</v>
      </c>
      <c r="K10065">
        <v>0</v>
      </c>
      <c r="L10065" s="2">
        <v>0</v>
      </c>
      <c r="M10065">
        <v>97.90000000000001</v>
      </c>
      <c r="N10065" t="s">
        <v>10237</v>
      </c>
    </row>
    <row r="10066" spans="1:14">
      <c r="A10066" t="s">
        <v>32</v>
      </c>
      <c r="B10066" t="s">
        <v>10000</v>
      </c>
      <c r="C10066">
        <f>"5002394"</f>
        <v>0</v>
      </c>
      <c r="D10066">
        <v>0</v>
      </c>
      <c r="E10066">
        <v>0</v>
      </c>
      <c r="F10066" s="2">
        <v>0</v>
      </c>
      <c r="H10066">
        <v>0</v>
      </c>
      <c r="I10066">
        <v>0.1741125760648204</v>
      </c>
      <c r="J10066">
        <v>0</v>
      </c>
      <c r="K10066">
        <v>0</v>
      </c>
      <c r="L10066" s="2">
        <v>0</v>
      </c>
      <c r="M10066">
        <v>97.91</v>
      </c>
      <c r="N10066" t="s">
        <v>10237</v>
      </c>
    </row>
    <row r="10067" spans="1:14">
      <c r="A10067" t="s">
        <v>32</v>
      </c>
      <c r="B10067" t="s">
        <v>10001</v>
      </c>
      <c r="C10067">
        <f>"1583855393116"</f>
        <v>0</v>
      </c>
      <c r="D10067">
        <v>0</v>
      </c>
      <c r="E10067">
        <v>0</v>
      </c>
      <c r="F10067" s="2">
        <v>0</v>
      </c>
      <c r="H10067">
        <v>0</v>
      </c>
      <c r="I10067">
        <v>0.1741125760648204</v>
      </c>
      <c r="J10067">
        <v>0</v>
      </c>
      <c r="K10067">
        <v>0</v>
      </c>
      <c r="L10067" s="2">
        <v>0</v>
      </c>
      <c r="M10067">
        <v>97.92</v>
      </c>
      <c r="N10067" t="s">
        <v>10237</v>
      </c>
    </row>
    <row r="10068" spans="1:14">
      <c r="A10068" t="s">
        <v>29</v>
      </c>
      <c r="B10068" t="s">
        <v>10002</v>
      </c>
      <c r="C10068">
        <f>"61736"</f>
        <v>0</v>
      </c>
      <c r="D10068">
        <v>0</v>
      </c>
      <c r="E10068">
        <v>0</v>
      </c>
      <c r="F10068" s="2">
        <v>0</v>
      </c>
      <c r="H10068">
        <v>0</v>
      </c>
      <c r="I10068">
        <v>0.1741125760648204</v>
      </c>
      <c r="J10068">
        <v>0</v>
      </c>
      <c r="K10068">
        <v>0</v>
      </c>
      <c r="L10068" s="2">
        <v>0</v>
      </c>
      <c r="M10068">
        <v>97.93000000000001</v>
      </c>
      <c r="N10068" t="s">
        <v>10237</v>
      </c>
    </row>
    <row r="10069" spans="1:14">
      <c r="A10069" t="s">
        <v>29</v>
      </c>
      <c r="B10069" t="s">
        <v>10003</v>
      </c>
      <c r="C10069">
        <f>"61726"</f>
        <v>0</v>
      </c>
      <c r="D10069">
        <v>0</v>
      </c>
      <c r="E10069">
        <v>0</v>
      </c>
      <c r="F10069" s="2">
        <v>0</v>
      </c>
      <c r="H10069">
        <v>0</v>
      </c>
      <c r="I10069">
        <v>0.1741125760648204</v>
      </c>
      <c r="J10069">
        <v>0</v>
      </c>
      <c r="K10069">
        <v>0</v>
      </c>
      <c r="L10069" s="2">
        <v>0</v>
      </c>
      <c r="M10069">
        <v>97.94</v>
      </c>
      <c r="N10069" t="s">
        <v>10237</v>
      </c>
    </row>
    <row r="10070" spans="1:14">
      <c r="A10070" t="s">
        <v>29</v>
      </c>
      <c r="B10070" t="s">
        <v>10004</v>
      </c>
      <c r="C10070">
        <f>"61716"</f>
        <v>0</v>
      </c>
      <c r="D10070">
        <v>0</v>
      </c>
      <c r="E10070">
        <v>0</v>
      </c>
      <c r="F10070" s="2">
        <v>0</v>
      </c>
      <c r="H10070">
        <v>0</v>
      </c>
      <c r="I10070">
        <v>0.1741125760648204</v>
      </c>
      <c r="J10070">
        <v>0</v>
      </c>
      <c r="K10070">
        <v>0</v>
      </c>
      <c r="L10070" s="2">
        <v>0</v>
      </c>
      <c r="M10070">
        <v>97.95</v>
      </c>
      <c r="N10070" t="s">
        <v>10237</v>
      </c>
    </row>
    <row r="10071" spans="1:14">
      <c r="A10071" t="s">
        <v>25</v>
      </c>
      <c r="B10071" t="s">
        <v>10005</v>
      </c>
      <c r="C10071">
        <f>"GECKLEO"</f>
        <v>0</v>
      </c>
      <c r="D10071">
        <v>0</v>
      </c>
      <c r="E10071">
        <v>0</v>
      </c>
      <c r="F10071" s="2">
        <v>0</v>
      </c>
      <c r="H10071">
        <v>0</v>
      </c>
      <c r="I10071">
        <v>0.1741125760648204</v>
      </c>
      <c r="J10071">
        <v>0</v>
      </c>
      <c r="K10071">
        <v>0</v>
      </c>
      <c r="L10071" s="2">
        <v>0</v>
      </c>
      <c r="M10071">
        <v>97.95999999999999</v>
      </c>
      <c r="N10071" t="s">
        <v>10237</v>
      </c>
    </row>
    <row r="10072" spans="1:14">
      <c r="A10072" t="s">
        <v>35</v>
      </c>
      <c r="B10072" t="s">
        <v>10006</v>
      </c>
      <c r="C10072">
        <f>"DN01"</f>
        <v>0</v>
      </c>
      <c r="D10072">
        <v>0</v>
      </c>
      <c r="E10072">
        <v>0</v>
      </c>
      <c r="F10072" s="2">
        <v>0</v>
      </c>
      <c r="H10072">
        <v>0</v>
      </c>
      <c r="I10072">
        <v>0.1741125760648204</v>
      </c>
      <c r="J10072">
        <v>0</v>
      </c>
      <c r="K10072">
        <v>0</v>
      </c>
      <c r="L10072" s="2">
        <v>0</v>
      </c>
      <c r="M10072">
        <v>97.97</v>
      </c>
      <c r="N10072" t="s">
        <v>10237</v>
      </c>
    </row>
    <row r="10073" spans="1:14">
      <c r="A10073" t="s">
        <v>35</v>
      </c>
      <c r="B10073" t="s">
        <v>10007</v>
      </c>
      <c r="C10073">
        <f>"DN02"</f>
        <v>0</v>
      </c>
      <c r="D10073">
        <v>0</v>
      </c>
      <c r="E10073">
        <v>2</v>
      </c>
      <c r="F10073" s="2">
        <v>2</v>
      </c>
      <c r="H10073">
        <v>0</v>
      </c>
      <c r="I10073">
        <v>0.1741125760648204</v>
      </c>
      <c r="J10073">
        <v>0</v>
      </c>
      <c r="K10073">
        <v>0</v>
      </c>
      <c r="L10073" s="2">
        <v>0</v>
      </c>
      <c r="M10073">
        <v>97.98</v>
      </c>
      <c r="N10073" t="s">
        <v>10237</v>
      </c>
    </row>
    <row r="10074" spans="1:14">
      <c r="A10074" t="s">
        <v>35</v>
      </c>
      <c r="B10074" t="s">
        <v>10008</v>
      </c>
      <c r="C10074">
        <f>"HP112XL"</f>
        <v>0</v>
      </c>
      <c r="D10074">
        <v>0</v>
      </c>
      <c r="E10074">
        <v>8</v>
      </c>
      <c r="F10074" s="2">
        <v>5</v>
      </c>
      <c r="H10074">
        <v>0</v>
      </c>
      <c r="I10074">
        <v>0.1741125760648204</v>
      </c>
      <c r="J10074">
        <v>0</v>
      </c>
      <c r="K10074">
        <v>0</v>
      </c>
      <c r="L10074" s="2">
        <v>0</v>
      </c>
      <c r="M10074">
        <v>97.98</v>
      </c>
      <c r="N10074" t="s">
        <v>10237</v>
      </c>
    </row>
    <row r="10075" spans="1:14">
      <c r="A10075" t="s">
        <v>35</v>
      </c>
      <c r="B10075" t="s">
        <v>10009</v>
      </c>
      <c r="C10075">
        <f>"HP112S"</f>
        <v>0</v>
      </c>
      <c r="D10075">
        <v>0</v>
      </c>
      <c r="E10075">
        <v>5</v>
      </c>
      <c r="F10075" s="2">
        <v>4</v>
      </c>
      <c r="H10075">
        <v>0</v>
      </c>
      <c r="I10075">
        <v>0.1741125760648204</v>
      </c>
      <c r="J10075">
        <v>0</v>
      </c>
      <c r="K10075">
        <v>0</v>
      </c>
      <c r="L10075" s="2">
        <v>0</v>
      </c>
      <c r="M10075">
        <v>97.98999999999999</v>
      </c>
      <c r="N10075" t="s">
        <v>10237</v>
      </c>
    </row>
    <row r="10076" spans="1:14">
      <c r="A10076" t="s">
        <v>35</v>
      </c>
      <c r="B10076" t="s">
        <v>10010</v>
      </c>
      <c r="C10076">
        <f>"HP112M"</f>
        <v>0</v>
      </c>
      <c r="D10076">
        <v>0</v>
      </c>
      <c r="E10076">
        <v>2</v>
      </c>
      <c r="F10076" s="2">
        <v>4</v>
      </c>
      <c r="H10076">
        <v>0</v>
      </c>
      <c r="I10076">
        <v>0.1741125760648204</v>
      </c>
      <c r="J10076">
        <v>0</v>
      </c>
      <c r="K10076">
        <v>0</v>
      </c>
      <c r="L10076" s="2">
        <v>0</v>
      </c>
      <c r="M10076">
        <v>98</v>
      </c>
      <c r="N10076" t="s">
        <v>10237</v>
      </c>
    </row>
    <row r="10077" spans="1:14">
      <c r="A10077" t="s">
        <v>35</v>
      </c>
      <c r="B10077" t="s">
        <v>10011</v>
      </c>
      <c r="C10077">
        <f>"HP112L"</f>
        <v>0</v>
      </c>
      <c r="D10077">
        <v>0</v>
      </c>
      <c r="E10077">
        <v>1</v>
      </c>
      <c r="F10077" s="2">
        <v>4</v>
      </c>
      <c r="H10077">
        <v>0</v>
      </c>
      <c r="I10077">
        <v>0.1741125760648204</v>
      </c>
      <c r="J10077">
        <v>0</v>
      </c>
      <c r="K10077">
        <v>0</v>
      </c>
      <c r="L10077" s="2">
        <v>0</v>
      </c>
      <c r="M10077">
        <v>98.01000000000001</v>
      </c>
      <c r="N10077" t="s">
        <v>10237</v>
      </c>
    </row>
    <row r="10078" spans="1:14">
      <c r="A10078" t="s">
        <v>35</v>
      </c>
      <c r="B10078" t="s">
        <v>10012</v>
      </c>
      <c r="C10078">
        <f>"WD06325"</f>
        <v>0</v>
      </c>
      <c r="D10078">
        <v>0</v>
      </c>
      <c r="E10078">
        <v>0</v>
      </c>
      <c r="F10078" s="2">
        <v>0</v>
      </c>
      <c r="H10078">
        <v>0</v>
      </c>
      <c r="I10078">
        <v>0.1741125760648204</v>
      </c>
      <c r="J10078">
        <v>0</v>
      </c>
      <c r="K10078">
        <v>0</v>
      </c>
      <c r="L10078" s="2">
        <v>0</v>
      </c>
      <c r="M10078">
        <v>98.02</v>
      </c>
      <c r="N10078" t="s">
        <v>10237</v>
      </c>
    </row>
    <row r="10079" spans="1:14">
      <c r="A10079" t="s">
        <v>35</v>
      </c>
      <c r="B10079" t="s">
        <v>10013</v>
      </c>
      <c r="C10079">
        <f>"WD06310"</f>
        <v>0</v>
      </c>
      <c r="D10079">
        <v>0</v>
      </c>
      <c r="E10079">
        <v>0</v>
      </c>
      <c r="F10079" s="2">
        <v>0</v>
      </c>
      <c r="H10079">
        <v>0</v>
      </c>
      <c r="I10079">
        <v>0.1741125760648204</v>
      </c>
      <c r="J10079">
        <v>0</v>
      </c>
      <c r="K10079">
        <v>0</v>
      </c>
      <c r="L10079" s="2">
        <v>0</v>
      </c>
      <c r="M10079">
        <v>98.03</v>
      </c>
      <c r="N10079" t="s">
        <v>10237</v>
      </c>
    </row>
    <row r="10080" spans="1:14">
      <c r="A10080" t="s">
        <v>35</v>
      </c>
      <c r="B10080" t="s">
        <v>10014</v>
      </c>
      <c r="C10080">
        <f>"WD06315"</f>
        <v>0</v>
      </c>
      <c r="D10080">
        <v>0</v>
      </c>
      <c r="E10080">
        <v>0</v>
      </c>
      <c r="F10080" s="2">
        <v>0</v>
      </c>
      <c r="H10080">
        <v>0</v>
      </c>
      <c r="I10080">
        <v>0.1741125760648204</v>
      </c>
      <c r="J10080">
        <v>0</v>
      </c>
      <c r="K10080">
        <v>0</v>
      </c>
      <c r="L10080" s="2">
        <v>0</v>
      </c>
      <c r="M10080">
        <v>98.04000000000001</v>
      </c>
      <c r="N10080" t="s">
        <v>10237</v>
      </c>
    </row>
    <row r="10081" spans="1:14">
      <c r="A10081" t="s">
        <v>35</v>
      </c>
      <c r="B10081" t="s">
        <v>10015</v>
      </c>
      <c r="C10081">
        <f>"WD06320"</f>
        <v>0</v>
      </c>
      <c r="D10081">
        <v>0</v>
      </c>
      <c r="E10081">
        <v>0</v>
      </c>
      <c r="F10081" s="2">
        <v>0</v>
      </c>
      <c r="H10081">
        <v>0</v>
      </c>
      <c r="I10081">
        <v>0.1741125760648204</v>
      </c>
      <c r="J10081">
        <v>0</v>
      </c>
      <c r="K10081">
        <v>0</v>
      </c>
      <c r="L10081" s="2">
        <v>0</v>
      </c>
      <c r="M10081">
        <v>98.05</v>
      </c>
      <c r="N10081" t="s">
        <v>10237</v>
      </c>
    </row>
    <row r="10082" spans="1:14">
      <c r="A10082" t="s">
        <v>35</v>
      </c>
      <c r="B10082" t="s">
        <v>10016</v>
      </c>
      <c r="C10082">
        <f>"H60015XLGR"</f>
        <v>0</v>
      </c>
      <c r="D10082">
        <v>0</v>
      </c>
      <c r="E10082">
        <v>0</v>
      </c>
      <c r="F10082" s="2">
        <v>0</v>
      </c>
      <c r="H10082">
        <v>0</v>
      </c>
      <c r="I10082">
        <v>0.1741125760648204</v>
      </c>
      <c r="J10082">
        <v>0</v>
      </c>
      <c r="K10082">
        <v>0</v>
      </c>
      <c r="L10082" s="2">
        <v>0</v>
      </c>
      <c r="M10082">
        <v>98.06</v>
      </c>
      <c r="N10082" t="s">
        <v>10237</v>
      </c>
    </row>
    <row r="10083" spans="1:14">
      <c r="A10083" t="s">
        <v>35</v>
      </c>
      <c r="B10083" t="s">
        <v>10017</v>
      </c>
      <c r="C10083">
        <f>"H60015XLCEL"</f>
        <v>0</v>
      </c>
      <c r="D10083">
        <v>0</v>
      </c>
      <c r="E10083">
        <v>0</v>
      </c>
      <c r="F10083" s="2">
        <v>0</v>
      </c>
      <c r="H10083">
        <v>0</v>
      </c>
      <c r="I10083">
        <v>0.1741125760648204</v>
      </c>
      <c r="J10083">
        <v>0</v>
      </c>
      <c r="K10083">
        <v>0</v>
      </c>
      <c r="L10083" s="2">
        <v>0</v>
      </c>
      <c r="M10083">
        <v>98.06999999999999</v>
      </c>
      <c r="N10083" t="s">
        <v>10237</v>
      </c>
    </row>
    <row r="10084" spans="1:14">
      <c r="A10084" t="s">
        <v>35</v>
      </c>
      <c r="B10084" t="s">
        <v>10018</v>
      </c>
      <c r="C10084">
        <f>"H60015SROS"</f>
        <v>0</v>
      </c>
      <c r="D10084">
        <v>0</v>
      </c>
      <c r="E10084">
        <v>1</v>
      </c>
      <c r="F10084" s="2">
        <v>5</v>
      </c>
      <c r="H10084">
        <v>0</v>
      </c>
      <c r="I10084">
        <v>0.1741125760648204</v>
      </c>
      <c r="J10084">
        <v>0</v>
      </c>
      <c r="K10084">
        <v>0</v>
      </c>
      <c r="L10084" s="2">
        <v>0</v>
      </c>
      <c r="M10084">
        <v>98.08</v>
      </c>
      <c r="N10084" t="s">
        <v>10237</v>
      </c>
    </row>
    <row r="10085" spans="1:14">
      <c r="A10085" t="s">
        <v>35</v>
      </c>
      <c r="B10085" t="s">
        <v>10019</v>
      </c>
      <c r="C10085">
        <f>"H60015SROJ"</f>
        <v>0</v>
      </c>
      <c r="D10085">
        <v>0</v>
      </c>
      <c r="E10085">
        <v>1</v>
      </c>
      <c r="F10085" s="2">
        <v>5</v>
      </c>
      <c r="H10085">
        <v>0</v>
      </c>
      <c r="I10085">
        <v>0.1741125760648204</v>
      </c>
      <c r="J10085">
        <v>0</v>
      </c>
      <c r="K10085">
        <v>0</v>
      </c>
      <c r="L10085" s="2">
        <v>0</v>
      </c>
      <c r="M10085">
        <v>98.09</v>
      </c>
      <c r="N10085" t="s">
        <v>10237</v>
      </c>
    </row>
    <row r="10086" spans="1:14">
      <c r="A10086" t="s">
        <v>193</v>
      </c>
      <c r="B10086" t="s">
        <v>10020</v>
      </c>
      <c r="C10086">
        <f>"300520"</f>
        <v>0</v>
      </c>
      <c r="D10086">
        <v>0</v>
      </c>
      <c r="E10086">
        <v>0</v>
      </c>
      <c r="F10086" s="2">
        <v>0</v>
      </c>
      <c r="H10086">
        <v>0</v>
      </c>
      <c r="I10086">
        <v>0.1741125760648204</v>
      </c>
      <c r="J10086">
        <v>0</v>
      </c>
      <c r="K10086">
        <v>0</v>
      </c>
      <c r="L10086" s="2">
        <v>0</v>
      </c>
      <c r="M10086">
        <v>98.09999999999999</v>
      </c>
      <c r="N10086" t="s">
        <v>10237</v>
      </c>
    </row>
    <row r="10087" spans="1:14">
      <c r="A10087" t="s">
        <v>35</v>
      </c>
      <c r="B10087" t="s">
        <v>10021</v>
      </c>
      <c r="C10087">
        <f>"153312"</f>
        <v>0</v>
      </c>
      <c r="D10087">
        <v>0</v>
      </c>
      <c r="E10087">
        <v>0</v>
      </c>
      <c r="F10087" s="2">
        <v>0</v>
      </c>
      <c r="H10087">
        <v>0</v>
      </c>
      <c r="I10087">
        <v>0.1741125760648204</v>
      </c>
      <c r="J10087">
        <v>0</v>
      </c>
      <c r="K10087">
        <v>0</v>
      </c>
      <c r="L10087" s="2">
        <v>0</v>
      </c>
      <c r="M10087">
        <v>98.09999999999999</v>
      </c>
      <c r="N10087" t="s">
        <v>10237</v>
      </c>
    </row>
    <row r="10088" spans="1:14">
      <c r="A10088" t="s">
        <v>35</v>
      </c>
      <c r="B10088" t="s">
        <v>10022</v>
      </c>
      <c r="C10088">
        <f>"H60015MCEL"</f>
        <v>0</v>
      </c>
      <c r="D10088">
        <v>0</v>
      </c>
      <c r="E10088">
        <v>0</v>
      </c>
      <c r="F10088" s="2">
        <v>0</v>
      </c>
      <c r="H10088">
        <v>0</v>
      </c>
      <c r="I10088">
        <v>0.1741125760648204</v>
      </c>
      <c r="J10088">
        <v>0</v>
      </c>
      <c r="K10088">
        <v>0</v>
      </c>
      <c r="L10088" s="2">
        <v>0</v>
      </c>
      <c r="M10088">
        <v>98.11</v>
      </c>
      <c r="N10088" t="s">
        <v>10237</v>
      </c>
    </row>
    <row r="10089" spans="1:14">
      <c r="A10089" t="s">
        <v>35</v>
      </c>
      <c r="B10089" t="s">
        <v>10023</v>
      </c>
      <c r="C10089">
        <f>"H60015LROS"</f>
        <v>0</v>
      </c>
      <c r="D10089">
        <v>0</v>
      </c>
      <c r="E10089">
        <v>1</v>
      </c>
      <c r="F10089" s="2">
        <v>6</v>
      </c>
      <c r="H10089">
        <v>0</v>
      </c>
      <c r="I10089">
        <v>0.1741125760648204</v>
      </c>
      <c r="J10089">
        <v>0</v>
      </c>
      <c r="K10089">
        <v>0</v>
      </c>
      <c r="L10089" s="2">
        <v>0</v>
      </c>
      <c r="M10089">
        <v>98.12</v>
      </c>
      <c r="N10089" t="s">
        <v>10237</v>
      </c>
    </row>
    <row r="10090" spans="1:14">
      <c r="A10090" t="s">
        <v>35</v>
      </c>
      <c r="B10090" t="s">
        <v>10024</v>
      </c>
      <c r="C10090">
        <f>"H60015LROJ"</f>
        <v>0</v>
      </c>
      <c r="D10090">
        <v>0</v>
      </c>
      <c r="E10090">
        <v>1</v>
      </c>
      <c r="F10090" s="2">
        <v>6</v>
      </c>
      <c r="H10090">
        <v>0</v>
      </c>
      <c r="I10090">
        <v>0.1741125760648204</v>
      </c>
      <c r="J10090">
        <v>0</v>
      </c>
      <c r="K10090">
        <v>0</v>
      </c>
      <c r="L10090" s="2">
        <v>0</v>
      </c>
      <c r="M10090">
        <v>98.13</v>
      </c>
      <c r="N10090" t="s">
        <v>10237</v>
      </c>
    </row>
    <row r="10091" spans="1:14">
      <c r="A10091" t="s">
        <v>35</v>
      </c>
      <c r="B10091" t="s">
        <v>10025</v>
      </c>
      <c r="C10091">
        <f>"H60015LGR"</f>
        <v>0</v>
      </c>
      <c r="D10091">
        <v>0</v>
      </c>
      <c r="E10091">
        <v>1</v>
      </c>
      <c r="F10091" s="2">
        <v>6</v>
      </c>
      <c r="H10091">
        <v>0</v>
      </c>
      <c r="I10091">
        <v>0.1741125760648204</v>
      </c>
      <c r="J10091">
        <v>0</v>
      </c>
      <c r="K10091">
        <v>0</v>
      </c>
      <c r="L10091" s="2">
        <v>0</v>
      </c>
      <c r="M10091">
        <v>98.14</v>
      </c>
      <c r="N10091" t="s">
        <v>10237</v>
      </c>
    </row>
    <row r="10092" spans="1:14">
      <c r="A10092" t="s">
        <v>35</v>
      </c>
      <c r="B10092" t="s">
        <v>10026</v>
      </c>
      <c r="C10092">
        <f>"H60015LCEL"</f>
        <v>0</v>
      </c>
      <c r="D10092">
        <v>0</v>
      </c>
      <c r="E10092">
        <v>0</v>
      </c>
      <c r="F10092" s="2">
        <v>0</v>
      </c>
      <c r="H10092">
        <v>0</v>
      </c>
      <c r="I10092">
        <v>0.1741125760648204</v>
      </c>
      <c r="J10092">
        <v>0</v>
      </c>
      <c r="K10092">
        <v>0</v>
      </c>
      <c r="L10092" s="2">
        <v>0</v>
      </c>
      <c r="M10092">
        <v>98.15000000000001</v>
      </c>
      <c r="N10092" t="s">
        <v>10237</v>
      </c>
    </row>
    <row r="10093" spans="1:14">
      <c r="A10093" t="s">
        <v>35</v>
      </c>
      <c r="B10093" t="s">
        <v>10027</v>
      </c>
      <c r="C10093">
        <f>"hp111xs"</f>
        <v>0</v>
      </c>
      <c r="D10093">
        <v>0</v>
      </c>
      <c r="E10093">
        <v>0</v>
      </c>
      <c r="F10093" s="2">
        <v>0</v>
      </c>
      <c r="H10093">
        <v>0</v>
      </c>
      <c r="I10093">
        <v>0.1741125760648204</v>
      </c>
      <c r="J10093">
        <v>0</v>
      </c>
      <c r="K10093">
        <v>0</v>
      </c>
      <c r="L10093" s="2">
        <v>0</v>
      </c>
      <c r="M10093">
        <v>98.16</v>
      </c>
      <c r="N10093" t="s">
        <v>10237</v>
      </c>
    </row>
    <row r="10094" spans="1:14">
      <c r="A10094" t="s">
        <v>35</v>
      </c>
      <c r="B10094" t="s">
        <v>10028</v>
      </c>
      <c r="C10094">
        <f>"DN83"</f>
        <v>0</v>
      </c>
      <c r="D10094">
        <v>0</v>
      </c>
      <c r="E10094">
        <v>0</v>
      </c>
      <c r="F10094" s="2">
        <v>0</v>
      </c>
      <c r="H10094">
        <v>0</v>
      </c>
      <c r="I10094">
        <v>0.1741125760648204</v>
      </c>
      <c r="J10094">
        <v>0</v>
      </c>
      <c r="K10094">
        <v>0</v>
      </c>
      <c r="L10094" s="2">
        <v>0</v>
      </c>
      <c r="M10094">
        <v>98.17</v>
      </c>
      <c r="N10094" t="s">
        <v>10237</v>
      </c>
    </row>
    <row r="10095" spans="1:14">
      <c r="A10095" t="s">
        <v>35</v>
      </c>
      <c r="B10095" t="s">
        <v>10029</v>
      </c>
      <c r="C10095">
        <f>"LO80802"</f>
        <v>0</v>
      </c>
      <c r="D10095">
        <v>0</v>
      </c>
      <c r="E10095">
        <v>0</v>
      </c>
      <c r="F10095" s="2">
        <v>0</v>
      </c>
      <c r="H10095">
        <v>0</v>
      </c>
      <c r="I10095">
        <v>0.1741125760648204</v>
      </c>
      <c r="J10095">
        <v>0</v>
      </c>
      <c r="K10095">
        <v>0</v>
      </c>
      <c r="L10095" s="2">
        <v>0</v>
      </c>
      <c r="M10095">
        <v>98.18000000000001</v>
      </c>
      <c r="N10095" t="s">
        <v>10237</v>
      </c>
    </row>
    <row r="10096" spans="1:14">
      <c r="A10096" t="s">
        <v>35</v>
      </c>
      <c r="B10096" t="s">
        <v>10030</v>
      </c>
      <c r="C10096">
        <f>"LO80752"</f>
        <v>0</v>
      </c>
      <c r="D10096">
        <v>0</v>
      </c>
      <c r="E10096">
        <v>0</v>
      </c>
      <c r="F10096" s="2">
        <v>0</v>
      </c>
      <c r="H10096">
        <v>0</v>
      </c>
      <c r="I10096">
        <v>0.1741125760648204</v>
      </c>
      <c r="J10096">
        <v>0</v>
      </c>
      <c r="K10096">
        <v>0</v>
      </c>
      <c r="L10096" s="2">
        <v>0</v>
      </c>
      <c r="M10096">
        <v>98.19</v>
      </c>
      <c r="N10096" t="s">
        <v>10237</v>
      </c>
    </row>
    <row r="10097" spans="1:14">
      <c r="A10097" t="s">
        <v>32</v>
      </c>
      <c r="B10097" t="s">
        <v>10031</v>
      </c>
      <c r="C10097">
        <f>"Z015003951"</f>
        <v>0</v>
      </c>
      <c r="D10097">
        <v>0</v>
      </c>
      <c r="E10097">
        <v>0</v>
      </c>
      <c r="F10097" s="2">
        <v>0</v>
      </c>
      <c r="H10097">
        <v>0</v>
      </c>
      <c r="I10097">
        <v>0.1741125760648204</v>
      </c>
      <c r="J10097">
        <v>0</v>
      </c>
      <c r="K10097">
        <v>0</v>
      </c>
      <c r="L10097" s="2">
        <v>0</v>
      </c>
      <c r="M10097">
        <v>98.2</v>
      </c>
      <c r="N10097" t="s">
        <v>10237</v>
      </c>
    </row>
    <row r="10098" spans="1:14">
      <c r="A10098" t="s">
        <v>194</v>
      </c>
      <c r="B10098" t="s">
        <v>10032</v>
      </c>
      <c r="C10098">
        <f>"FBD0018"</f>
        <v>0</v>
      </c>
      <c r="D10098">
        <v>0</v>
      </c>
      <c r="E10098">
        <v>0</v>
      </c>
      <c r="F10098" s="2">
        <v>0</v>
      </c>
      <c r="H10098">
        <v>0</v>
      </c>
      <c r="I10098">
        <v>0.1741125760648204</v>
      </c>
      <c r="J10098">
        <v>0</v>
      </c>
      <c r="K10098">
        <v>0</v>
      </c>
      <c r="L10098" s="2">
        <v>0</v>
      </c>
      <c r="M10098">
        <v>98.20999999999999</v>
      </c>
      <c r="N10098" t="s">
        <v>10237</v>
      </c>
    </row>
    <row r="10099" spans="1:14">
      <c r="A10099" t="s">
        <v>194</v>
      </c>
      <c r="B10099" t="s">
        <v>10033</v>
      </c>
      <c r="C10099">
        <f>"FBD0005"</f>
        <v>0</v>
      </c>
      <c r="D10099">
        <v>0</v>
      </c>
      <c r="E10099">
        <v>0</v>
      </c>
      <c r="F10099" s="2">
        <v>0</v>
      </c>
      <c r="H10099">
        <v>0</v>
      </c>
      <c r="I10099">
        <v>0.1741125760648204</v>
      </c>
      <c r="J10099">
        <v>0</v>
      </c>
      <c r="K10099">
        <v>0</v>
      </c>
      <c r="L10099" s="2">
        <v>0</v>
      </c>
      <c r="M10099">
        <v>98.22</v>
      </c>
      <c r="N10099" t="s">
        <v>10237</v>
      </c>
    </row>
    <row r="10100" spans="1:14">
      <c r="A10100" t="s">
        <v>30</v>
      </c>
      <c r="B10100" t="s">
        <v>10034</v>
      </c>
      <c r="C10100">
        <f>"101270"</f>
        <v>0</v>
      </c>
      <c r="D10100">
        <v>0</v>
      </c>
      <c r="E10100">
        <v>0</v>
      </c>
      <c r="F10100" s="2">
        <v>0</v>
      </c>
      <c r="H10100">
        <v>0</v>
      </c>
      <c r="I10100">
        <v>0.1741125760648204</v>
      </c>
      <c r="J10100">
        <v>0</v>
      </c>
      <c r="K10100">
        <v>0</v>
      </c>
      <c r="L10100" s="2">
        <v>0</v>
      </c>
      <c r="M10100">
        <v>98.22</v>
      </c>
      <c r="N10100" t="s">
        <v>10237</v>
      </c>
    </row>
    <row r="10101" spans="1:14">
      <c r="A10101" t="s">
        <v>30</v>
      </c>
      <c r="B10101" t="s">
        <v>10035</v>
      </c>
      <c r="C10101">
        <f>"101268"</f>
        <v>0</v>
      </c>
      <c r="D10101">
        <v>0</v>
      </c>
      <c r="E10101">
        <v>0</v>
      </c>
      <c r="F10101" s="2">
        <v>0</v>
      </c>
      <c r="H10101">
        <v>0</v>
      </c>
      <c r="I10101">
        <v>0.1741125760648204</v>
      </c>
      <c r="J10101">
        <v>0</v>
      </c>
      <c r="K10101">
        <v>0</v>
      </c>
      <c r="L10101" s="2">
        <v>0</v>
      </c>
      <c r="M10101">
        <v>98.23</v>
      </c>
      <c r="N10101" t="s">
        <v>10237</v>
      </c>
    </row>
    <row r="10102" spans="1:14">
      <c r="A10102" t="s">
        <v>35</v>
      </c>
      <c r="B10102" t="s">
        <v>10036</v>
      </c>
      <c r="C10102">
        <f>"LO80803"</f>
        <v>0</v>
      </c>
      <c r="D10102">
        <v>0</v>
      </c>
      <c r="E10102">
        <v>0</v>
      </c>
      <c r="F10102" s="2">
        <v>0</v>
      </c>
      <c r="H10102">
        <v>0</v>
      </c>
      <c r="I10102">
        <v>0.1741125760648204</v>
      </c>
      <c r="J10102">
        <v>0</v>
      </c>
      <c r="K10102">
        <v>0</v>
      </c>
      <c r="L10102" s="2">
        <v>0</v>
      </c>
      <c r="M10102">
        <v>98.23999999999999</v>
      </c>
      <c r="N10102" t="s">
        <v>10237</v>
      </c>
    </row>
    <row r="10103" spans="1:14">
      <c r="A10103" t="s">
        <v>30</v>
      </c>
      <c r="B10103" t="s">
        <v>10037</v>
      </c>
      <c r="C10103">
        <f>"101106"</f>
        <v>0</v>
      </c>
      <c r="D10103">
        <v>0</v>
      </c>
      <c r="E10103">
        <v>0</v>
      </c>
      <c r="F10103" s="2">
        <v>0</v>
      </c>
      <c r="H10103">
        <v>0</v>
      </c>
      <c r="I10103">
        <v>0.1741125760648204</v>
      </c>
      <c r="J10103">
        <v>0</v>
      </c>
      <c r="K10103">
        <v>0</v>
      </c>
      <c r="L10103" s="2">
        <v>0</v>
      </c>
      <c r="M10103">
        <v>98.25</v>
      </c>
      <c r="N10103" t="s">
        <v>10237</v>
      </c>
    </row>
    <row r="10104" spans="1:14">
      <c r="A10104" t="s">
        <v>30</v>
      </c>
      <c r="B10104" t="s">
        <v>10038</v>
      </c>
      <c r="C10104">
        <f>"100409"</f>
        <v>0</v>
      </c>
      <c r="D10104">
        <v>0</v>
      </c>
      <c r="E10104">
        <v>0</v>
      </c>
      <c r="F10104" s="2">
        <v>0</v>
      </c>
      <c r="H10104">
        <v>0</v>
      </c>
      <c r="I10104">
        <v>0.1741125760648204</v>
      </c>
      <c r="J10104">
        <v>0</v>
      </c>
      <c r="K10104">
        <v>0</v>
      </c>
      <c r="L10104" s="2">
        <v>0</v>
      </c>
      <c r="M10104">
        <v>98.26000000000001</v>
      </c>
      <c r="N10104" t="s">
        <v>10237</v>
      </c>
    </row>
    <row r="10105" spans="1:14">
      <c r="A10105" t="s">
        <v>30</v>
      </c>
      <c r="B10105" t="s">
        <v>10039</v>
      </c>
      <c r="C10105">
        <f>"101337"</f>
        <v>0</v>
      </c>
      <c r="D10105">
        <v>0</v>
      </c>
      <c r="E10105">
        <v>4</v>
      </c>
      <c r="F10105" s="2">
        <v>33</v>
      </c>
      <c r="H10105">
        <v>0</v>
      </c>
      <c r="I10105">
        <v>0.1741125760648204</v>
      </c>
      <c r="J10105">
        <v>0</v>
      </c>
      <c r="K10105">
        <v>0</v>
      </c>
      <c r="L10105" s="2">
        <v>0</v>
      </c>
      <c r="M10105">
        <v>98.27</v>
      </c>
      <c r="N10105" t="s">
        <v>10237</v>
      </c>
    </row>
    <row r="10106" spans="1:14">
      <c r="A10106" t="s">
        <v>30</v>
      </c>
      <c r="B10106" t="s">
        <v>10040</v>
      </c>
      <c r="C10106">
        <f>"101322"</f>
        <v>0</v>
      </c>
      <c r="D10106">
        <v>0</v>
      </c>
      <c r="E10106">
        <v>0</v>
      </c>
      <c r="F10106" s="2">
        <v>0</v>
      </c>
      <c r="H10106">
        <v>0</v>
      </c>
      <c r="I10106">
        <v>0.1741125760648204</v>
      </c>
      <c r="J10106">
        <v>0</v>
      </c>
      <c r="K10106">
        <v>0</v>
      </c>
      <c r="L10106" s="2">
        <v>0</v>
      </c>
      <c r="M10106">
        <v>98.28</v>
      </c>
      <c r="N10106" t="s">
        <v>10237</v>
      </c>
    </row>
    <row r="10107" spans="1:14">
      <c r="A10107" t="s">
        <v>30</v>
      </c>
      <c r="B10107" t="s">
        <v>10041</v>
      </c>
      <c r="C10107">
        <f>"101149"</f>
        <v>0</v>
      </c>
      <c r="D10107">
        <v>0</v>
      </c>
      <c r="E10107">
        <v>0</v>
      </c>
      <c r="F10107" s="2">
        <v>0</v>
      </c>
      <c r="H10107">
        <v>0</v>
      </c>
      <c r="I10107">
        <v>0.1741125760648204</v>
      </c>
      <c r="J10107">
        <v>0</v>
      </c>
      <c r="K10107">
        <v>0</v>
      </c>
      <c r="L10107" s="2">
        <v>0</v>
      </c>
      <c r="M10107">
        <v>98.29000000000001</v>
      </c>
      <c r="N10107" t="s">
        <v>10237</v>
      </c>
    </row>
    <row r="10108" spans="1:14">
      <c r="A10108" t="s">
        <v>35</v>
      </c>
      <c r="B10108" t="s">
        <v>10042</v>
      </c>
      <c r="C10108">
        <f>"RD001A"</f>
        <v>0</v>
      </c>
      <c r="D10108">
        <v>0</v>
      </c>
      <c r="E10108">
        <v>0</v>
      </c>
      <c r="F10108" s="2">
        <v>0</v>
      </c>
      <c r="H10108">
        <v>0</v>
      </c>
      <c r="I10108">
        <v>0.1741125760648204</v>
      </c>
      <c r="J10108">
        <v>0</v>
      </c>
      <c r="K10108">
        <v>0</v>
      </c>
      <c r="L10108" s="2">
        <v>0</v>
      </c>
      <c r="M10108">
        <v>98.3</v>
      </c>
      <c r="N10108" t="s">
        <v>10237</v>
      </c>
    </row>
    <row r="10109" spans="1:14">
      <c r="A10109" t="s">
        <v>205</v>
      </c>
      <c r="B10109" t="s">
        <v>10043</v>
      </c>
      <c r="C10109">
        <f>"RD018"</f>
        <v>0</v>
      </c>
      <c r="D10109">
        <v>0</v>
      </c>
      <c r="E10109">
        <v>0</v>
      </c>
      <c r="F10109" s="2">
        <v>0</v>
      </c>
      <c r="H10109">
        <v>0</v>
      </c>
      <c r="I10109">
        <v>0.1741125760648204</v>
      </c>
      <c r="J10109">
        <v>0</v>
      </c>
      <c r="K10109">
        <v>0</v>
      </c>
      <c r="L10109" s="2">
        <v>0</v>
      </c>
      <c r="M10109">
        <v>98.31</v>
      </c>
      <c r="N10109" t="s">
        <v>10237</v>
      </c>
    </row>
    <row r="10110" spans="1:14">
      <c r="A10110" t="s">
        <v>35</v>
      </c>
      <c r="B10110" t="s">
        <v>10044</v>
      </c>
      <c r="C10110">
        <f>"DR113A"</f>
        <v>0</v>
      </c>
      <c r="D10110">
        <v>0</v>
      </c>
      <c r="E10110">
        <v>0</v>
      </c>
      <c r="F10110" s="2">
        <v>0</v>
      </c>
      <c r="H10110">
        <v>0</v>
      </c>
      <c r="I10110">
        <v>0.1741125760648204</v>
      </c>
      <c r="J10110">
        <v>0</v>
      </c>
      <c r="K10110">
        <v>0</v>
      </c>
      <c r="L10110" s="2">
        <v>0</v>
      </c>
      <c r="M10110">
        <v>98.31999999999999</v>
      </c>
      <c r="N10110" t="s">
        <v>10237</v>
      </c>
    </row>
    <row r="10111" spans="1:14">
      <c r="A10111" t="s">
        <v>35</v>
      </c>
      <c r="B10111" t="s">
        <v>10045</v>
      </c>
      <c r="C10111">
        <f>"DR117G"</f>
        <v>0</v>
      </c>
      <c r="D10111">
        <v>0</v>
      </c>
      <c r="E10111">
        <v>5</v>
      </c>
      <c r="F10111" s="2">
        <v>17</v>
      </c>
      <c r="H10111">
        <v>0</v>
      </c>
      <c r="I10111">
        <v>0.1741125760648204</v>
      </c>
      <c r="J10111">
        <v>0</v>
      </c>
      <c r="K10111">
        <v>0</v>
      </c>
      <c r="L10111" s="2">
        <v>0</v>
      </c>
      <c r="M10111">
        <v>98.33</v>
      </c>
      <c r="N10111" t="s">
        <v>10237</v>
      </c>
    </row>
    <row r="10112" spans="1:14">
      <c r="A10112" t="s">
        <v>35</v>
      </c>
      <c r="B10112" t="s">
        <v>10046</v>
      </c>
      <c r="C10112">
        <f>"DR117A"</f>
        <v>0</v>
      </c>
      <c r="D10112">
        <v>0</v>
      </c>
      <c r="E10112">
        <v>5</v>
      </c>
      <c r="F10112" s="2">
        <v>17</v>
      </c>
      <c r="H10112">
        <v>0</v>
      </c>
      <c r="I10112">
        <v>0.1741125760648204</v>
      </c>
      <c r="J10112">
        <v>0</v>
      </c>
      <c r="K10112">
        <v>0</v>
      </c>
      <c r="L10112" s="2">
        <v>0</v>
      </c>
      <c r="M10112">
        <v>98.34</v>
      </c>
      <c r="N10112" t="s">
        <v>10237</v>
      </c>
    </row>
    <row r="10113" spans="1:14">
      <c r="A10113" t="s">
        <v>25</v>
      </c>
      <c r="B10113" t="s">
        <v>10047</v>
      </c>
      <c r="C10113">
        <f>"DR111V"</f>
        <v>0</v>
      </c>
      <c r="D10113">
        <v>0</v>
      </c>
      <c r="E10113">
        <v>0</v>
      </c>
      <c r="F10113" s="2">
        <v>0</v>
      </c>
      <c r="H10113">
        <v>0</v>
      </c>
      <c r="I10113">
        <v>0.1741125760648204</v>
      </c>
      <c r="J10113">
        <v>0</v>
      </c>
      <c r="K10113">
        <v>0</v>
      </c>
      <c r="L10113" s="2">
        <v>0</v>
      </c>
      <c r="M10113">
        <v>98.34</v>
      </c>
      <c r="N10113" t="s">
        <v>10237</v>
      </c>
    </row>
    <row r="10114" spans="1:14">
      <c r="A10114" t="s">
        <v>35</v>
      </c>
      <c r="B10114" t="s">
        <v>10048</v>
      </c>
      <c r="C10114">
        <f>"DR111N"</f>
        <v>0</v>
      </c>
      <c r="D10114">
        <v>0</v>
      </c>
      <c r="E10114">
        <v>2</v>
      </c>
      <c r="F10114" s="2">
        <v>14</v>
      </c>
      <c r="H10114">
        <v>0</v>
      </c>
      <c r="I10114">
        <v>0.1741125760648204</v>
      </c>
      <c r="J10114">
        <v>0</v>
      </c>
      <c r="K10114">
        <v>0</v>
      </c>
      <c r="L10114" s="2">
        <v>0</v>
      </c>
      <c r="M10114">
        <v>98.34999999999999</v>
      </c>
      <c r="N10114" t="s">
        <v>10237</v>
      </c>
    </row>
    <row r="10115" spans="1:14">
      <c r="A10115" t="s">
        <v>25</v>
      </c>
      <c r="B10115" t="s">
        <v>10049</v>
      </c>
      <c r="C10115">
        <f>"DR111A"</f>
        <v>0</v>
      </c>
      <c r="D10115">
        <v>0</v>
      </c>
      <c r="E10115">
        <v>1</v>
      </c>
      <c r="F10115" s="2">
        <v>0</v>
      </c>
      <c r="H10115">
        <v>0</v>
      </c>
      <c r="I10115">
        <v>0.1741125760648204</v>
      </c>
      <c r="J10115">
        <v>0</v>
      </c>
      <c r="K10115">
        <v>0</v>
      </c>
      <c r="L10115" s="2">
        <v>0</v>
      </c>
      <c r="M10115">
        <v>98.36</v>
      </c>
      <c r="N10115" t="s">
        <v>10237</v>
      </c>
    </row>
    <row r="10116" spans="1:14">
      <c r="A10116" t="s">
        <v>35</v>
      </c>
      <c r="B10116" t="s">
        <v>10050</v>
      </c>
      <c r="C10116">
        <f>"LO80800"</f>
        <v>0</v>
      </c>
      <c r="D10116">
        <v>0</v>
      </c>
      <c r="E10116">
        <v>0</v>
      </c>
      <c r="F10116" s="2">
        <v>0</v>
      </c>
      <c r="H10116">
        <v>0</v>
      </c>
      <c r="I10116">
        <v>0.1741125760648204</v>
      </c>
      <c r="J10116">
        <v>0</v>
      </c>
      <c r="K10116">
        <v>0</v>
      </c>
      <c r="L10116" s="2">
        <v>0</v>
      </c>
      <c r="M10116">
        <v>98.37</v>
      </c>
      <c r="N10116" t="s">
        <v>10237</v>
      </c>
    </row>
    <row r="10117" spans="1:14">
      <c r="A10117" t="s">
        <v>35</v>
      </c>
      <c r="B10117" t="s">
        <v>10051</v>
      </c>
      <c r="C10117">
        <f>"HC0105"</f>
        <v>0</v>
      </c>
      <c r="D10117">
        <v>0</v>
      </c>
      <c r="E10117">
        <v>0</v>
      </c>
      <c r="F10117" s="2">
        <v>0</v>
      </c>
      <c r="H10117">
        <v>0</v>
      </c>
      <c r="I10117">
        <v>0.1741125760648204</v>
      </c>
      <c r="J10117">
        <v>0</v>
      </c>
      <c r="K10117">
        <v>0</v>
      </c>
      <c r="L10117" s="2">
        <v>0</v>
      </c>
      <c r="M10117">
        <v>98.38</v>
      </c>
      <c r="N10117" t="s">
        <v>10237</v>
      </c>
    </row>
    <row r="10118" spans="1:14">
      <c r="A10118" t="s">
        <v>30</v>
      </c>
      <c r="B10118" t="s">
        <v>10052</v>
      </c>
      <c r="C10118">
        <f>"100581"</f>
        <v>0</v>
      </c>
      <c r="D10118">
        <v>0</v>
      </c>
      <c r="E10118">
        <v>0</v>
      </c>
      <c r="F10118" s="2">
        <v>0</v>
      </c>
      <c r="H10118">
        <v>0</v>
      </c>
      <c r="I10118">
        <v>0.1741125760648204</v>
      </c>
      <c r="J10118">
        <v>0</v>
      </c>
      <c r="K10118">
        <v>0</v>
      </c>
      <c r="L10118" s="2">
        <v>0</v>
      </c>
      <c r="M10118">
        <v>98.39</v>
      </c>
      <c r="N10118" t="s">
        <v>10237</v>
      </c>
    </row>
    <row r="10119" spans="1:14">
      <c r="A10119" t="s">
        <v>35</v>
      </c>
      <c r="B10119" t="s">
        <v>10053</v>
      </c>
      <c r="C10119">
        <f>"LO80804"</f>
        <v>0</v>
      </c>
      <c r="D10119">
        <v>0</v>
      </c>
      <c r="E10119">
        <v>0</v>
      </c>
      <c r="F10119" s="2">
        <v>0</v>
      </c>
      <c r="H10119">
        <v>0</v>
      </c>
      <c r="I10119">
        <v>0.1741125760648204</v>
      </c>
      <c r="J10119">
        <v>0</v>
      </c>
      <c r="K10119">
        <v>0</v>
      </c>
      <c r="L10119" s="2">
        <v>0</v>
      </c>
      <c r="M10119">
        <v>98.40000000000001</v>
      </c>
      <c r="N10119" t="s">
        <v>10237</v>
      </c>
    </row>
    <row r="10120" spans="1:14">
      <c r="A10120" t="s">
        <v>35</v>
      </c>
      <c r="B10120" t="s">
        <v>10054</v>
      </c>
      <c r="C10120">
        <f>"LO80612"</f>
        <v>0</v>
      </c>
      <c r="D10120">
        <v>0</v>
      </c>
      <c r="E10120">
        <v>0</v>
      </c>
      <c r="F10120" s="2">
        <v>0</v>
      </c>
      <c r="H10120">
        <v>0</v>
      </c>
      <c r="I10120">
        <v>0.1741125760648204</v>
      </c>
      <c r="J10120">
        <v>0</v>
      </c>
      <c r="K10120">
        <v>0</v>
      </c>
      <c r="L10120" s="2">
        <v>0</v>
      </c>
      <c r="M10120">
        <v>98.41</v>
      </c>
      <c r="N10120" t="s">
        <v>10237</v>
      </c>
    </row>
    <row r="10121" spans="1:14">
      <c r="A10121" t="s">
        <v>35</v>
      </c>
      <c r="B10121" t="s">
        <v>10055</v>
      </c>
      <c r="C10121">
        <f>"LO80603"</f>
        <v>0</v>
      </c>
      <c r="D10121">
        <v>0</v>
      </c>
      <c r="E10121">
        <v>0</v>
      </c>
      <c r="F10121" s="2">
        <v>0</v>
      </c>
      <c r="H10121">
        <v>0</v>
      </c>
      <c r="I10121">
        <v>0.1741125760648204</v>
      </c>
      <c r="J10121">
        <v>0</v>
      </c>
      <c r="K10121">
        <v>0</v>
      </c>
      <c r="L10121" s="2">
        <v>0</v>
      </c>
      <c r="M10121">
        <v>98.42</v>
      </c>
      <c r="N10121" t="s">
        <v>10237</v>
      </c>
    </row>
    <row r="10122" spans="1:14">
      <c r="A10122" t="s">
        <v>35</v>
      </c>
      <c r="B10122" t="s">
        <v>10056</v>
      </c>
      <c r="C10122">
        <f>"LO80604"</f>
        <v>0</v>
      </c>
      <c r="D10122">
        <v>0</v>
      </c>
      <c r="E10122">
        <v>0</v>
      </c>
      <c r="F10122" s="2">
        <v>0</v>
      </c>
      <c r="H10122">
        <v>0</v>
      </c>
      <c r="I10122">
        <v>0.1741125760648204</v>
      </c>
      <c r="J10122">
        <v>0</v>
      </c>
      <c r="K10122">
        <v>0</v>
      </c>
      <c r="L10122" s="2">
        <v>0</v>
      </c>
      <c r="M10122">
        <v>98.43000000000001</v>
      </c>
      <c r="N10122" t="s">
        <v>10237</v>
      </c>
    </row>
    <row r="10123" spans="1:14">
      <c r="A10123" t="s">
        <v>35</v>
      </c>
      <c r="B10123" t="s">
        <v>10057</v>
      </c>
      <c r="C10123">
        <f>"LO80606"</f>
        <v>0</v>
      </c>
      <c r="D10123">
        <v>0</v>
      </c>
      <c r="E10123">
        <v>0</v>
      </c>
      <c r="F10123" s="2">
        <v>0</v>
      </c>
      <c r="H10123">
        <v>0</v>
      </c>
      <c r="I10123">
        <v>0.1741125760648204</v>
      </c>
      <c r="J10123">
        <v>0</v>
      </c>
      <c r="K10123">
        <v>0</v>
      </c>
      <c r="L10123" s="2">
        <v>0</v>
      </c>
      <c r="M10123">
        <v>98.44</v>
      </c>
      <c r="N10123" t="s">
        <v>10237</v>
      </c>
    </row>
    <row r="10124" spans="1:14">
      <c r="A10124" t="s">
        <v>35</v>
      </c>
      <c r="B10124" t="s">
        <v>10058</v>
      </c>
      <c r="C10124">
        <f>"LO80607"</f>
        <v>0</v>
      </c>
      <c r="D10124">
        <v>0</v>
      </c>
      <c r="E10124">
        <v>0</v>
      </c>
      <c r="F10124" s="2">
        <v>0</v>
      </c>
      <c r="H10124">
        <v>0</v>
      </c>
      <c r="I10124">
        <v>0.1741125760648204</v>
      </c>
      <c r="J10124">
        <v>0</v>
      </c>
      <c r="K10124">
        <v>0</v>
      </c>
      <c r="L10124" s="2">
        <v>0</v>
      </c>
      <c r="M10124">
        <v>98.45</v>
      </c>
      <c r="N10124" t="s">
        <v>10237</v>
      </c>
    </row>
    <row r="10125" spans="1:14">
      <c r="A10125" t="s">
        <v>35</v>
      </c>
      <c r="B10125" t="s">
        <v>10059</v>
      </c>
      <c r="C10125">
        <f>"HC031"</f>
        <v>0</v>
      </c>
      <c r="D10125">
        <v>0</v>
      </c>
      <c r="E10125">
        <v>0</v>
      </c>
      <c r="F10125" s="2">
        <v>0</v>
      </c>
      <c r="H10125">
        <v>0</v>
      </c>
      <c r="I10125">
        <v>0.1741125760648204</v>
      </c>
      <c r="J10125">
        <v>0</v>
      </c>
      <c r="K10125">
        <v>0</v>
      </c>
      <c r="L10125" s="2">
        <v>0</v>
      </c>
      <c r="M10125">
        <v>98.45</v>
      </c>
      <c r="N10125" t="s">
        <v>10237</v>
      </c>
    </row>
    <row r="10126" spans="1:14">
      <c r="A10126" t="s">
        <v>35</v>
      </c>
      <c r="B10126" t="s">
        <v>10060</v>
      </c>
      <c r="C10126">
        <f>"HC030"</f>
        <v>0</v>
      </c>
      <c r="D10126">
        <v>0</v>
      </c>
      <c r="E10126">
        <v>0</v>
      </c>
      <c r="F10126" s="2">
        <v>0</v>
      </c>
      <c r="H10126">
        <v>0</v>
      </c>
      <c r="I10126">
        <v>0.1741125760648204</v>
      </c>
      <c r="J10126">
        <v>0</v>
      </c>
      <c r="K10126">
        <v>0</v>
      </c>
      <c r="L10126" s="2">
        <v>0</v>
      </c>
      <c r="M10126">
        <v>98.45999999999999</v>
      </c>
      <c r="N10126" t="s">
        <v>10237</v>
      </c>
    </row>
    <row r="10127" spans="1:14">
      <c r="A10127" t="s">
        <v>196</v>
      </c>
      <c r="B10127" t="s">
        <v>10061</v>
      </c>
      <c r="C10127">
        <f>"2294"</f>
        <v>0</v>
      </c>
      <c r="D10127">
        <v>0</v>
      </c>
      <c r="E10127">
        <v>0</v>
      </c>
      <c r="F10127" s="2">
        <v>0</v>
      </c>
      <c r="H10127">
        <v>0</v>
      </c>
      <c r="I10127">
        <v>0.1741125760648204</v>
      </c>
      <c r="J10127">
        <v>0</v>
      </c>
      <c r="K10127">
        <v>0</v>
      </c>
      <c r="L10127" s="2">
        <v>0</v>
      </c>
      <c r="M10127">
        <v>98.47</v>
      </c>
      <c r="N10127" t="s">
        <v>10237</v>
      </c>
    </row>
    <row r="10128" spans="1:14">
      <c r="A10128" t="s">
        <v>196</v>
      </c>
      <c r="B10128" t="s">
        <v>10062</v>
      </c>
      <c r="C10128">
        <f>"2295"</f>
        <v>0</v>
      </c>
      <c r="D10128">
        <v>0</v>
      </c>
      <c r="E10128">
        <v>0</v>
      </c>
      <c r="F10128" s="2">
        <v>0</v>
      </c>
      <c r="H10128">
        <v>0</v>
      </c>
      <c r="I10128">
        <v>0.1741125760648204</v>
      </c>
      <c r="J10128">
        <v>0</v>
      </c>
      <c r="K10128">
        <v>0</v>
      </c>
      <c r="L10128" s="2">
        <v>0</v>
      </c>
      <c r="M10128">
        <v>98.48</v>
      </c>
      <c r="N10128" t="s">
        <v>10237</v>
      </c>
    </row>
    <row r="10129" spans="1:14">
      <c r="A10129" t="s">
        <v>35</v>
      </c>
      <c r="B10129" t="s">
        <v>10063</v>
      </c>
      <c r="C10129">
        <f>"10013"</f>
        <v>0</v>
      </c>
      <c r="D10129">
        <v>0</v>
      </c>
      <c r="E10129">
        <v>0</v>
      </c>
      <c r="F10129" s="2">
        <v>0</v>
      </c>
      <c r="H10129">
        <v>0</v>
      </c>
      <c r="I10129">
        <v>0.1741125760648204</v>
      </c>
      <c r="J10129">
        <v>0</v>
      </c>
      <c r="K10129">
        <v>0</v>
      </c>
      <c r="L10129" s="2">
        <v>0</v>
      </c>
      <c r="M10129">
        <v>98.48999999999999</v>
      </c>
      <c r="N10129" t="s">
        <v>10237</v>
      </c>
    </row>
    <row r="10130" spans="1:14">
      <c r="A10130" t="s">
        <v>35</v>
      </c>
      <c r="B10130" t="s">
        <v>10064</v>
      </c>
      <c r="C10130">
        <f>"CTB89"</f>
        <v>0</v>
      </c>
      <c r="D10130">
        <v>0</v>
      </c>
      <c r="E10130">
        <v>0</v>
      </c>
      <c r="F10130" s="2">
        <v>0</v>
      </c>
      <c r="H10130">
        <v>0</v>
      </c>
      <c r="I10130">
        <v>0.1741125760648204</v>
      </c>
      <c r="J10130">
        <v>0</v>
      </c>
      <c r="K10130">
        <v>0</v>
      </c>
      <c r="L10130" s="2">
        <v>0</v>
      </c>
      <c r="M10130">
        <v>98.5</v>
      </c>
      <c r="N10130" t="s">
        <v>10237</v>
      </c>
    </row>
    <row r="10131" spans="1:14">
      <c r="A10131" t="s">
        <v>35</v>
      </c>
      <c r="B10131" t="s">
        <v>10065</v>
      </c>
      <c r="C10131">
        <f>"LO80602"</f>
        <v>0</v>
      </c>
      <c r="D10131">
        <v>0</v>
      </c>
      <c r="E10131">
        <v>0</v>
      </c>
      <c r="F10131" s="2">
        <v>0</v>
      </c>
      <c r="H10131">
        <v>0</v>
      </c>
      <c r="I10131">
        <v>0.1741125760648204</v>
      </c>
      <c r="J10131">
        <v>0</v>
      </c>
      <c r="K10131">
        <v>0</v>
      </c>
      <c r="L10131" s="2">
        <v>0</v>
      </c>
      <c r="M10131">
        <v>98.51000000000001</v>
      </c>
      <c r="N10131" t="s">
        <v>10237</v>
      </c>
    </row>
    <row r="10132" spans="1:14">
      <c r="A10132" t="s">
        <v>35</v>
      </c>
      <c r="B10132" t="s">
        <v>10066</v>
      </c>
      <c r="C10132">
        <f>"LO80807"</f>
        <v>0</v>
      </c>
      <c r="D10132">
        <v>0</v>
      </c>
      <c r="E10132">
        <v>0</v>
      </c>
      <c r="F10132" s="2">
        <v>0</v>
      </c>
      <c r="H10132">
        <v>0</v>
      </c>
      <c r="I10132">
        <v>0.1741125760648204</v>
      </c>
      <c r="J10132">
        <v>0</v>
      </c>
      <c r="K10132">
        <v>0</v>
      </c>
      <c r="L10132" s="2">
        <v>0</v>
      </c>
      <c r="M10132">
        <v>98.52</v>
      </c>
      <c r="N10132" t="s">
        <v>10237</v>
      </c>
    </row>
    <row r="10133" spans="1:14">
      <c r="A10133" t="s">
        <v>35</v>
      </c>
      <c r="B10133" t="s">
        <v>10067</v>
      </c>
      <c r="C10133">
        <f>"H60015MGR"</f>
        <v>0</v>
      </c>
      <c r="D10133">
        <v>0</v>
      </c>
      <c r="E10133">
        <v>0</v>
      </c>
      <c r="F10133" s="2">
        <v>0</v>
      </c>
      <c r="H10133">
        <v>0</v>
      </c>
      <c r="I10133">
        <v>0.1741125760648204</v>
      </c>
      <c r="J10133">
        <v>0</v>
      </c>
      <c r="K10133">
        <v>0</v>
      </c>
      <c r="L10133" s="2">
        <v>0</v>
      </c>
      <c r="M10133">
        <v>98.53</v>
      </c>
      <c r="N10133" t="s">
        <v>10237</v>
      </c>
    </row>
    <row r="10134" spans="1:14">
      <c r="A10134" t="s">
        <v>35</v>
      </c>
      <c r="B10134" t="s">
        <v>10068</v>
      </c>
      <c r="C10134">
        <f>"12343"</f>
        <v>0</v>
      </c>
      <c r="D10134">
        <v>0</v>
      </c>
      <c r="E10134">
        <v>0</v>
      </c>
      <c r="F10134" s="2">
        <v>0</v>
      </c>
      <c r="H10134">
        <v>0</v>
      </c>
      <c r="I10134">
        <v>0.1741125760648204</v>
      </c>
      <c r="J10134">
        <v>0</v>
      </c>
      <c r="K10134">
        <v>0</v>
      </c>
      <c r="L10134" s="2">
        <v>0</v>
      </c>
      <c r="M10134">
        <v>98.54000000000001</v>
      </c>
      <c r="N10134" t="s">
        <v>10237</v>
      </c>
    </row>
    <row r="10135" spans="1:14">
      <c r="A10135" t="s">
        <v>35</v>
      </c>
      <c r="B10135" t="s">
        <v>10069</v>
      </c>
      <c r="C10135">
        <f>"FURXLL"</f>
        <v>0</v>
      </c>
      <c r="D10135">
        <v>0</v>
      </c>
      <c r="E10135">
        <v>17</v>
      </c>
      <c r="F10135" s="2">
        <v>4</v>
      </c>
      <c r="H10135">
        <v>0</v>
      </c>
      <c r="I10135">
        <v>0.1741125760648204</v>
      </c>
      <c r="J10135">
        <v>0</v>
      </c>
      <c r="K10135">
        <v>0</v>
      </c>
      <c r="L10135" s="2">
        <v>0</v>
      </c>
      <c r="M10135">
        <v>98.55</v>
      </c>
      <c r="N10135" t="s">
        <v>10237</v>
      </c>
    </row>
    <row r="10136" spans="1:14">
      <c r="A10136" t="s">
        <v>35</v>
      </c>
      <c r="B10136" t="s">
        <v>10070</v>
      </c>
      <c r="C10136">
        <f>"FURXLC"</f>
        <v>0</v>
      </c>
      <c r="D10136">
        <v>0</v>
      </c>
      <c r="E10136">
        <v>2</v>
      </c>
      <c r="F10136" s="2">
        <v>4</v>
      </c>
      <c r="H10136">
        <v>0</v>
      </c>
      <c r="I10136">
        <v>0.1741125760648204</v>
      </c>
      <c r="J10136">
        <v>0</v>
      </c>
      <c r="K10136">
        <v>0</v>
      </c>
      <c r="L10136" s="2">
        <v>0</v>
      </c>
      <c r="M10136">
        <v>98.56</v>
      </c>
      <c r="N10136" t="s">
        <v>10237</v>
      </c>
    </row>
    <row r="10137" spans="1:14">
      <c r="A10137" t="s">
        <v>35</v>
      </c>
      <c r="B10137" t="s">
        <v>10071</v>
      </c>
      <c r="C10137">
        <f>"FURSL"</f>
        <v>0</v>
      </c>
      <c r="D10137">
        <v>0</v>
      </c>
      <c r="E10137">
        <v>0</v>
      </c>
      <c r="F10137" s="2">
        <v>0</v>
      </c>
      <c r="H10137">
        <v>0</v>
      </c>
      <c r="I10137">
        <v>0.1741125760648204</v>
      </c>
      <c r="J10137">
        <v>0</v>
      </c>
      <c r="K10137">
        <v>0</v>
      </c>
      <c r="L10137" s="2">
        <v>0</v>
      </c>
      <c r="M10137">
        <v>98.56999999999999</v>
      </c>
      <c r="N10137" t="s">
        <v>10237</v>
      </c>
    </row>
    <row r="10138" spans="1:14">
      <c r="A10138" t="s">
        <v>35</v>
      </c>
      <c r="B10138" t="s">
        <v>10072</v>
      </c>
      <c r="C10138">
        <f>"FURSCP"</f>
        <v>0</v>
      </c>
      <c r="D10138">
        <v>0</v>
      </c>
      <c r="E10138">
        <v>0</v>
      </c>
      <c r="F10138" s="2">
        <v>0</v>
      </c>
      <c r="H10138">
        <v>0</v>
      </c>
      <c r="I10138">
        <v>0.1741125760648204</v>
      </c>
      <c r="J10138">
        <v>0</v>
      </c>
      <c r="K10138">
        <v>0</v>
      </c>
      <c r="L10138" s="2">
        <v>0</v>
      </c>
      <c r="M10138">
        <v>98.56999999999999</v>
      </c>
      <c r="N10138" t="s">
        <v>10237</v>
      </c>
    </row>
    <row r="10139" spans="1:14">
      <c r="A10139" t="s">
        <v>35</v>
      </c>
      <c r="B10139" t="s">
        <v>10073</v>
      </c>
      <c r="C10139">
        <f>"FURSC"</f>
        <v>0</v>
      </c>
      <c r="D10139">
        <v>0</v>
      </c>
      <c r="E10139">
        <v>0</v>
      </c>
      <c r="F10139" s="2">
        <v>0</v>
      </c>
      <c r="H10139">
        <v>0</v>
      </c>
      <c r="I10139">
        <v>0.1741125760648204</v>
      </c>
      <c r="J10139">
        <v>0</v>
      </c>
      <c r="K10139">
        <v>0</v>
      </c>
      <c r="L10139" s="2">
        <v>0</v>
      </c>
      <c r="M10139">
        <v>98.58</v>
      </c>
      <c r="N10139" t="s">
        <v>10237</v>
      </c>
    </row>
    <row r="10140" spans="1:14">
      <c r="A10140" t="s">
        <v>35</v>
      </c>
      <c r="B10140" t="s">
        <v>10074</v>
      </c>
      <c r="C10140">
        <f>"FURSCPG"</f>
        <v>0</v>
      </c>
      <c r="D10140">
        <v>0</v>
      </c>
      <c r="E10140">
        <v>5</v>
      </c>
      <c r="F10140" s="2">
        <v>4</v>
      </c>
      <c r="H10140">
        <v>0</v>
      </c>
      <c r="I10140">
        <v>0.1741125760648204</v>
      </c>
      <c r="J10140">
        <v>0</v>
      </c>
      <c r="K10140">
        <v>0</v>
      </c>
      <c r="L10140" s="2">
        <v>0</v>
      </c>
      <c r="M10140">
        <v>98.59</v>
      </c>
      <c r="N10140" t="s">
        <v>10237</v>
      </c>
    </row>
    <row r="10141" spans="1:14">
      <c r="A10141" t="s">
        <v>35</v>
      </c>
      <c r="B10141" t="s">
        <v>10075</v>
      </c>
      <c r="C10141">
        <f>"FURML"</f>
        <v>0</v>
      </c>
      <c r="D10141">
        <v>0</v>
      </c>
      <c r="E10141">
        <v>0</v>
      </c>
      <c r="F10141" s="2">
        <v>0</v>
      </c>
      <c r="H10141">
        <v>0</v>
      </c>
      <c r="I10141">
        <v>0.1741125760648204</v>
      </c>
      <c r="J10141">
        <v>0</v>
      </c>
      <c r="K10141">
        <v>0</v>
      </c>
      <c r="L10141" s="2">
        <v>0</v>
      </c>
      <c r="M10141">
        <v>98.59999999999999</v>
      </c>
      <c r="N10141" t="s">
        <v>10237</v>
      </c>
    </row>
    <row r="10142" spans="1:14">
      <c r="A10142" t="s">
        <v>35</v>
      </c>
      <c r="B10142" t="s">
        <v>10076</v>
      </c>
      <c r="C10142">
        <f>"FURMCP"</f>
        <v>0</v>
      </c>
      <c r="D10142">
        <v>0</v>
      </c>
      <c r="E10142">
        <v>0</v>
      </c>
      <c r="F10142" s="2">
        <v>0</v>
      </c>
      <c r="H10142">
        <v>0</v>
      </c>
      <c r="I10142">
        <v>0.1741125760648204</v>
      </c>
      <c r="J10142">
        <v>0</v>
      </c>
      <c r="K10142">
        <v>0</v>
      </c>
      <c r="L10142" s="2">
        <v>0</v>
      </c>
      <c r="M10142">
        <v>98.61</v>
      </c>
      <c r="N10142" t="s">
        <v>10237</v>
      </c>
    </row>
    <row r="10143" spans="1:14">
      <c r="A10143" t="s">
        <v>35</v>
      </c>
      <c r="B10143" t="s">
        <v>10077</v>
      </c>
      <c r="C10143">
        <f>"FURMC"</f>
        <v>0</v>
      </c>
      <c r="D10143">
        <v>0</v>
      </c>
      <c r="E10143">
        <v>0</v>
      </c>
      <c r="F10143" s="2">
        <v>0</v>
      </c>
      <c r="H10143">
        <v>0</v>
      </c>
      <c r="I10143">
        <v>0.1741125760648204</v>
      </c>
      <c r="J10143">
        <v>0</v>
      </c>
      <c r="K10143">
        <v>0</v>
      </c>
      <c r="L10143" s="2">
        <v>0</v>
      </c>
      <c r="M10143">
        <v>98.62</v>
      </c>
      <c r="N10143" t="s">
        <v>10237</v>
      </c>
    </row>
    <row r="10144" spans="1:14">
      <c r="A10144" t="s">
        <v>35</v>
      </c>
      <c r="B10144" t="s">
        <v>10078</v>
      </c>
      <c r="C10144">
        <f>"FURMLPG"</f>
        <v>0</v>
      </c>
      <c r="D10144">
        <v>0</v>
      </c>
      <c r="E10144">
        <v>3</v>
      </c>
      <c r="F10144" s="2">
        <v>4</v>
      </c>
      <c r="H10144">
        <v>0</v>
      </c>
      <c r="I10144">
        <v>0.1741125760648204</v>
      </c>
      <c r="J10144">
        <v>0</v>
      </c>
      <c r="K10144">
        <v>0</v>
      </c>
      <c r="L10144" s="2">
        <v>0</v>
      </c>
      <c r="M10144">
        <v>98.63</v>
      </c>
      <c r="N10144" t="s">
        <v>10237</v>
      </c>
    </row>
    <row r="10145" spans="1:14">
      <c r="A10145" t="s">
        <v>35</v>
      </c>
      <c r="B10145" t="s">
        <v>10079</v>
      </c>
      <c r="C10145">
        <f>"HH309LROS"</f>
        <v>0</v>
      </c>
      <c r="D10145">
        <v>0</v>
      </c>
      <c r="E10145">
        <v>3</v>
      </c>
      <c r="F10145" s="2">
        <v>6</v>
      </c>
      <c r="H10145">
        <v>0</v>
      </c>
      <c r="I10145">
        <v>0.1741125760648204</v>
      </c>
      <c r="J10145">
        <v>0</v>
      </c>
      <c r="K10145">
        <v>0</v>
      </c>
      <c r="L10145" s="2">
        <v>0</v>
      </c>
      <c r="M10145">
        <v>98.64</v>
      </c>
      <c r="N10145" t="s">
        <v>10237</v>
      </c>
    </row>
    <row r="10146" spans="1:14">
      <c r="A10146" t="s">
        <v>35</v>
      </c>
      <c r="B10146" t="s">
        <v>10080</v>
      </c>
      <c r="C10146">
        <f>"HH309LNA"</f>
        <v>0</v>
      </c>
      <c r="D10146">
        <v>0</v>
      </c>
      <c r="E10146">
        <v>0</v>
      </c>
      <c r="F10146" s="2">
        <v>0</v>
      </c>
      <c r="H10146">
        <v>0</v>
      </c>
      <c r="I10146">
        <v>0.1741125760648204</v>
      </c>
      <c r="J10146">
        <v>0</v>
      </c>
      <c r="K10146">
        <v>0</v>
      </c>
      <c r="L10146" s="2">
        <v>0</v>
      </c>
      <c r="M10146">
        <v>98.65000000000001</v>
      </c>
      <c r="N10146" t="s">
        <v>10237</v>
      </c>
    </row>
    <row r="10147" spans="1:14">
      <c r="A10147" t="s">
        <v>35</v>
      </c>
      <c r="B10147" t="s">
        <v>10081</v>
      </c>
      <c r="C10147">
        <f>"HH309LMO"</f>
        <v>0</v>
      </c>
      <c r="D10147">
        <v>0</v>
      </c>
      <c r="E10147">
        <v>0</v>
      </c>
      <c r="F10147" s="2">
        <v>0</v>
      </c>
      <c r="H10147">
        <v>0</v>
      </c>
      <c r="I10147">
        <v>0.1741125760648204</v>
      </c>
      <c r="J10147">
        <v>0</v>
      </c>
      <c r="K10147">
        <v>0</v>
      </c>
      <c r="L10147" s="2">
        <v>0</v>
      </c>
      <c r="M10147">
        <v>98.66</v>
      </c>
      <c r="N10147" t="s">
        <v>10237</v>
      </c>
    </row>
    <row r="10148" spans="1:14">
      <c r="A10148" t="s">
        <v>35</v>
      </c>
      <c r="B10148" t="s">
        <v>10082</v>
      </c>
      <c r="C10148">
        <f>"H60015MROJ"</f>
        <v>0</v>
      </c>
      <c r="D10148">
        <v>0</v>
      </c>
      <c r="E10148">
        <v>0</v>
      </c>
      <c r="F10148" s="2">
        <v>0</v>
      </c>
      <c r="H10148">
        <v>0</v>
      </c>
      <c r="I10148">
        <v>0.1741125760648204</v>
      </c>
      <c r="J10148">
        <v>0</v>
      </c>
      <c r="K10148">
        <v>0</v>
      </c>
      <c r="L10148" s="2">
        <v>0</v>
      </c>
      <c r="M10148">
        <v>98.67</v>
      </c>
      <c r="N10148" t="s">
        <v>10237</v>
      </c>
    </row>
    <row r="10149" spans="1:14">
      <c r="A10149" t="s">
        <v>35</v>
      </c>
      <c r="B10149" t="s">
        <v>10083</v>
      </c>
      <c r="C10149">
        <f>"CK1028"</f>
        <v>0</v>
      </c>
      <c r="D10149">
        <v>0</v>
      </c>
      <c r="E10149">
        <v>3</v>
      </c>
      <c r="F10149" s="2">
        <v>1</v>
      </c>
      <c r="H10149">
        <v>0</v>
      </c>
      <c r="I10149">
        <v>0.1741125760648204</v>
      </c>
      <c r="J10149">
        <v>0</v>
      </c>
      <c r="K10149">
        <v>0</v>
      </c>
      <c r="L10149" s="2">
        <v>0</v>
      </c>
      <c r="M10149">
        <v>98.68000000000001</v>
      </c>
      <c r="N10149" t="s">
        <v>10237</v>
      </c>
    </row>
    <row r="10150" spans="1:14">
      <c r="A10150" t="s">
        <v>214</v>
      </c>
      <c r="B10150" t="s">
        <v>10084</v>
      </c>
      <c r="C10150">
        <f>"66424"</f>
        <v>0</v>
      </c>
      <c r="D10150">
        <v>0</v>
      </c>
      <c r="E10150">
        <v>0</v>
      </c>
      <c r="F10150" s="2">
        <v>0</v>
      </c>
      <c r="H10150">
        <v>0</v>
      </c>
      <c r="I10150">
        <v>0.1741125760648204</v>
      </c>
      <c r="J10150">
        <v>0</v>
      </c>
      <c r="K10150">
        <v>0</v>
      </c>
      <c r="L10150" s="2">
        <v>0</v>
      </c>
      <c r="M10150">
        <v>98.69</v>
      </c>
      <c r="N10150" t="s">
        <v>10237</v>
      </c>
    </row>
    <row r="10151" spans="1:14">
      <c r="A10151" t="s">
        <v>193</v>
      </c>
      <c r="B10151" t="s">
        <v>10085</v>
      </c>
      <c r="C10151">
        <f>"611020"</f>
        <v>0</v>
      </c>
      <c r="D10151">
        <v>0</v>
      </c>
      <c r="E10151">
        <v>0</v>
      </c>
      <c r="F10151" s="2">
        <v>0</v>
      </c>
      <c r="H10151">
        <v>0</v>
      </c>
      <c r="I10151">
        <v>0.1741125760648204</v>
      </c>
      <c r="J10151">
        <v>0</v>
      </c>
      <c r="K10151">
        <v>0</v>
      </c>
      <c r="L10151" s="2">
        <v>0</v>
      </c>
      <c r="M10151">
        <v>98.69</v>
      </c>
      <c r="N10151" t="s">
        <v>10237</v>
      </c>
    </row>
    <row r="10152" spans="1:14">
      <c r="A10152" t="s">
        <v>193</v>
      </c>
      <c r="B10152" t="s">
        <v>10086</v>
      </c>
      <c r="C10152">
        <f>"611037"</f>
        <v>0</v>
      </c>
      <c r="D10152">
        <v>0</v>
      </c>
      <c r="E10152">
        <v>0</v>
      </c>
      <c r="F10152" s="2">
        <v>0</v>
      </c>
      <c r="H10152">
        <v>0</v>
      </c>
      <c r="I10152">
        <v>0.1741125760648204</v>
      </c>
      <c r="J10152">
        <v>0</v>
      </c>
      <c r="K10152">
        <v>0</v>
      </c>
      <c r="L10152" s="2">
        <v>0</v>
      </c>
      <c r="M10152">
        <v>98.7</v>
      </c>
      <c r="N10152" t="s">
        <v>10237</v>
      </c>
    </row>
    <row r="10153" spans="1:14">
      <c r="A10153" t="s">
        <v>193</v>
      </c>
      <c r="B10153" t="s">
        <v>10087</v>
      </c>
      <c r="C10153">
        <f>"611013"</f>
        <v>0</v>
      </c>
      <c r="D10153">
        <v>0</v>
      </c>
      <c r="E10153">
        <v>0</v>
      </c>
      <c r="F10153" s="2">
        <v>0</v>
      </c>
      <c r="H10153">
        <v>0</v>
      </c>
      <c r="I10153">
        <v>0.1741125760648204</v>
      </c>
      <c r="J10153">
        <v>0</v>
      </c>
      <c r="K10153">
        <v>0</v>
      </c>
      <c r="L10153" s="2">
        <v>0</v>
      </c>
      <c r="M10153">
        <v>98.70999999999999</v>
      </c>
      <c r="N10153" t="s">
        <v>10237</v>
      </c>
    </row>
    <row r="10154" spans="1:14">
      <c r="A10154" t="s">
        <v>193</v>
      </c>
      <c r="B10154" t="s">
        <v>10088</v>
      </c>
      <c r="C10154">
        <f>"611006"</f>
        <v>0</v>
      </c>
      <c r="D10154">
        <v>0</v>
      </c>
      <c r="E10154">
        <v>0</v>
      </c>
      <c r="F10154" s="2">
        <v>0</v>
      </c>
      <c r="H10154">
        <v>0</v>
      </c>
      <c r="I10154">
        <v>0.1741125760648204</v>
      </c>
      <c r="J10154">
        <v>0</v>
      </c>
      <c r="K10154">
        <v>0</v>
      </c>
      <c r="L10154" s="2">
        <v>0</v>
      </c>
      <c r="M10154">
        <v>98.72</v>
      </c>
      <c r="N10154" t="s">
        <v>10237</v>
      </c>
    </row>
    <row r="10155" spans="1:14">
      <c r="A10155" t="s">
        <v>193</v>
      </c>
      <c r="B10155" t="s">
        <v>10089</v>
      </c>
      <c r="C10155">
        <f>"800303"</f>
        <v>0</v>
      </c>
      <c r="D10155">
        <v>0</v>
      </c>
      <c r="E10155">
        <v>0</v>
      </c>
      <c r="F10155" s="2">
        <v>0</v>
      </c>
      <c r="H10155">
        <v>0</v>
      </c>
      <c r="I10155">
        <v>0.1741125760648204</v>
      </c>
      <c r="J10155">
        <v>0</v>
      </c>
      <c r="K10155">
        <v>0</v>
      </c>
      <c r="L10155" s="2">
        <v>0</v>
      </c>
      <c r="M10155">
        <v>98.73</v>
      </c>
      <c r="N10155" t="s">
        <v>10237</v>
      </c>
    </row>
    <row r="10156" spans="1:14">
      <c r="A10156" t="s">
        <v>193</v>
      </c>
      <c r="B10156" t="s">
        <v>10090</v>
      </c>
      <c r="C10156">
        <f>"800297"</f>
        <v>0</v>
      </c>
      <c r="D10156">
        <v>0</v>
      </c>
      <c r="E10156">
        <v>0</v>
      </c>
      <c r="F10156" s="2">
        <v>0</v>
      </c>
      <c r="H10156">
        <v>0</v>
      </c>
      <c r="I10156">
        <v>0.1741125760648204</v>
      </c>
      <c r="J10156">
        <v>0</v>
      </c>
      <c r="K10156">
        <v>0</v>
      </c>
      <c r="L10156" s="2">
        <v>0</v>
      </c>
      <c r="M10156">
        <v>98.73999999999999</v>
      </c>
      <c r="N10156" t="s">
        <v>10237</v>
      </c>
    </row>
    <row r="10157" spans="1:14">
      <c r="A10157" t="s">
        <v>193</v>
      </c>
      <c r="B10157" t="s">
        <v>10091</v>
      </c>
      <c r="C10157">
        <f>"611419"</f>
        <v>0</v>
      </c>
      <c r="D10157">
        <v>0</v>
      </c>
      <c r="E10157">
        <v>0</v>
      </c>
      <c r="F10157" s="2">
        <v>0</v>
      </c>
      <c r="H10157">
        <v>0</v>
      </c>
      <c r="I10157">
        <v>0.1741125760648204</v>
      </c>
      <c r="J10157">
        <v>0</v>
      </c>
      <c r="K10157">
        <v>0</v>
      </c>
      <c r="L10157" s="2">
        <v>0</v>
      </c>
      <c r="M10157">
        <v>98.75</v>
      </c>
      <c r="N10157" t="s">
        <v>10237</v>
      </c>
    </row>
    <row r="10158" spans="1:14">
      <c r="A10158" t="s">
        <v>193</v>
      </c>
      <c r="B10158" t="s">
        <v>10092</v>
      </c>
      <c r="C10158">
        <f>"806459"</f>
        <v>0</v>
      </c>
      <c r="D10158">
        <v>0</v>
      </c>
      <c r="E10158">
        <v>0</v>
      </c>
      <c r="F10158" s="2">
        <v>0</v>
      </c>
      <c r="H10158">
        <v>0</v>
      </c>
      <c r="I10158">
        <v>0.1741125760648204</v>
      </c>
      <c r="J10158">
        <v>0</v>
      </c>
      <c r="K10158">
        <v>0</v>
      </c>
      <c r="L10158" s="2">
        <v>0</v>
      </c>
      <c r="M10158">
        <v>98.76000000000001</v>
      </c>
      <c r="N10158" t="s">
        <v>10237</v>
      </c>
    </row>
    <row r="10159" spans="1:14">
      <c r="A10159" t="s">
        <v>193</v>
      </c>
      <c r="B10159" t="s">
        <v>10093</v>
      </c>
      <c r="C10159">
        <f>"806466"</f>
        <v>0</v>
      </c>
      <c r="D10159">
        <v>0</v>
      </c>
      <c r="E10159">
        <v>0</v>
      </c>
      <c r="F10159" s="2">
        <v>0</v>
      </c>
      <c r="H10159">
        <v>0</v>
      </c>
      <c r="I10159">
        <v>0.1741125760648204</v>
      </c>
      <c r="J10159">
        <v>0</v>
      </c>
      <c r="K10159">
        <v>0</v>
      </c>
      <c r="L10159" s="2">
        <v>0</v>
      </c>
      <c r="M10159">
        <v>98.77</v>
      </c>
      <c r="N10159" t="s">
        <v>10237</v>
      </c>
    </row>
    <row r="10160" spans="1:14">
      <c r="A10160" t="s">
        <v>193</v>
      </c>
      <c r="B10160" t="s">
        <v>10094</v>
      </c>
      <c r="C10160">
        <f>"807265"</f>
        <v>0</v>
      </c>
      <c r="D10160">
        <v>0</v>
      </c>
      <c r="E10160">
        <v>0</v>
      </c>
      <c r="F10160" s="2">
        <v>0</v>
      </c>
      <c r="H10160">
        <v>0</v>
      </c>
      <c r="I10160">
        <v>0.1741125760648204</v>
      </c>
      <c r="J10160">
        <v>0</v>
      </c>
      <c r="K10160">
        <v>0</v>
      </c>
      <c r="L10160" s="2">
        <v>0</v>
      </c>
      <c r="M10160">
        <v>98.78</v>
      </c>
      <c r="N10160" t="s">
        <v>10237</v>
      </c>
    </row>
    <row r="10161" spans="1:14">
      <c r="A10161" t="s">
        <v>193</v>
      </c>
      <c r="B10161" t="s">
        <v>10095</v>
      </c>
      <c r="C10161">
        <f>"806435"</f>
        <v>0</v>
      </c>
      <c r="D10161">
        <v>0</v>
      </c>
      <c r="E10161">
        <v>0</v>
      </c>
      <c r="F10161" s="2">
        <v>0</v>
      </c>
      <c r="H10161">
        <v>0</v>
      </c>
      <c r="I10161">
        <v>0.1741125760648204</v>
      </c>
      <c r="J10161">
        <v>0</v>
      </c>
      <c r="K10161">
        <v>0</v>
      </c>
      <c r="L10161" s="2">
        <v>0</v>
      </c>
      <c r="M10161">
        <v>98.79000000000001</v>
      </c>
      <c r="N10161" t="s">
        <v>10237</v>
      </c>
    </row>
    <row r="10162" spans="1:14">
      <c r="A10162" t="s">
        <v>218</v>
      </c>
      <c r="B10162" t="s">
        <v>10096</v>
      </c>
      <c r="C10162">
        <f>"INSRTT0009"</f>
        <v>0</v>
      </c>
      <c r="D10162">
        <v>0</v>
      </c>
      <c r="E10162">
        <v>0</v>
      </c>
      <c r="F10162" s="2">
        <v>0</v>
      </c>
      <c r="H10162">
        <v>0</v>
      </c>
      <c r="I10162">
        <v>0.1741125760648204</v>
      </c>
      <c r="J10162">
        <v>0</v>
      </c>
      <c r="K10162">
        <v>0</v>
      </c>
      <c r="L10162" s="2">
        <v>0</v>
      </c>
      <c r="M10162">
        <v>98.8</v>
      </c>
      <c r="N10162" t="s">
        <v>10237</v>
      </c>
    </row>
    <row r="10163" spans="1:14">
      <c r="A10163" t="s">
        <v>193</v>
      </c>
      <c r="B10163" t="s">
        <v>10097</v>
      </c>
      <c r="C10163">
        <f>"800136"</f>
        <v>0</v>
      </c>
      <c r="D10163">
        <v>0</v>
      </c>
      <c r="E10163">
        <v>0</v>
      </c>
      <c r="F10163" s="2">
        <v>0</v>
      </c>
      <c r="H10163">
        <v>0</v>
      </c>
      <c r="I10163">
        <v>0.1741125760648204</v>
      </c>
      <c r="J10163">
        <v>0</v>
      </c>
      <c r="K10163">
        <v>0</v>
      </c>
      <c r="L10163" s="2">
        <v>0</v>
      </c>
      <c r="M10163">
        <v>98.81</v>
      </c>
      <c r="N10163" t="s">
        <v>10237</v>
      </c>
    </row>
    <row r="10164" spans="1:14">
      <c r="A10164" t="s">
        <v>30</v>
      </c>
      <c r="B10164" t="s">
        <v>10098</v>
      </c>
      <c r="C10164">
        <f>"100137"</f>
        <v>0</v>
      </c>
      <c r="D10164">
        <v>0</v>
      </c>
      <c r="E10164">
        <v>0</v>
      </c>
      <c r="F10164" s="2">
        <v>0</v>
      </c>
      <c r="H10164">
        <v>0</v>
      </c>
      <c r="I10164">
        <v>0.1741125760648204</v>
      </c>
      <c r="J10164">
        <v>0</v>
      </c>
      <c r="K10164">
        <v>0</v>
      </c>
      <c r="L10164" s="2">
        <v>0</v>
      </c>
      <c r="M10164">
        <v>98.81</v>
      </c>
      <c r="N10164" t="s">
        <v>10237</v>
      </c>
    </row>
    <row r="10165" spans="1:14">
      <c r="A10165" t="s">
        <v>193</v>
      </c>
      <c r="B10165" t="s">
        <v>10099</v>
      </c>
      <c r="C10165">
        <f>"807654"</f>
        <v>0</v>
      </c>
      <c r="D10165">
        <v>0</v>
      </c>
      <c r="E10165">
        <v>0</v>
      </c>
      <c r="F10165" s="2">
        <v>0</v>
      </c>
      <c r="H10165">
        <v>0</v>
      </c>
      <c r="I10165">
        <v>0.1741125760648204</v>
      </c>
      <c r="J10165">
        <v>0</v>
      </c>
      <c r="K10165">
        <v>0</v>
      </c>
      <c r="L10165" s="2">
        <v>0</v>
      </c>
      <c r="M10165">
        <v>98.81999999999999</v>
      </c>
      <c r="N10165" t="s">
        <v>10237</v>
      </c>
    </row>
    <row r="10166" spans="1:14">
      <c r="A10166" t="s">
        <v>193</v>
      </c>
      <c r="B10166" t="s">
        <v>10100</v>
      </c>
      <c r="C10166">
        <f>"802123"</f>
        <v>0</v>
      </c>
      <c r="D10166">
        <v>0</v>
      </c>
      <c r="E10166">
        <v>0</v>
      </c>
      <c r="F10166" s="2">
        <v>0</v>
      </c>
      <c r="H10166">
        <v>0</v>
      </c>
      <c r="I10166">
        <v>0.1741125760648204</v>
      </c>
      <c r="J10166">
        <v>0</v>
      </c>
      <c r="K10166">
        <v>0</v>
      </c>
      <c r="L10166" s="2">
        <v>0</v>
      </c>
      <c r="M10166">
        <v>98.83</v>
      </c>
      <c r="N10166" t="s">
        <v>10237</v>
      </c>
    </row>
    <row r="10167" spans="1:14">
      <c r="A10167" t="s">
        <v>35</v>
      </c>
      <c r="B10167" t="s">
        <v>10101</v>
      </c>
      <c r="C10167">
        <f>"XB09073"</f>
        <v>0</v>
      </c>
      <c r="D10167">
        <v>0</v>
      </c>
      <c r="E10167">
        <v>0</v>
      </c>
      <c r="F10167" s="2">
        <v>0</v>
      </c>
      <c r="H10167">
        <v>0</v>
      </c>
      <c r="I10167">
        <v>0.1741125760648204</v>
      </c>
      <c r="J10167">
        <v>0</v>
      </c>
      <c r="K10167">
        <v>0</v>
      </c>
      <c r="L10167" s="2">
        <v>0</v>
      </c>
      <c r="M10167">
        <v>98.84</v>
      </c>
      <c r="N10167" t="s">
        <v>10237</v>
      </c>
    </row>
    <row r="10168" spans="1:14">
      <c r="A10168" t="s">
        <v>35</v>
      </c>
      <c r="B10168" t="s">
        <v>10102</v>
      </c>
      <c r="C10168">
        <f>"XB1813RXL"</f>
        <v>0</v>
      </c>
      <c r="D10168">
        <v>0</v>
      </c>
      <c r="E10168">
        <v>2</v>
      </c>
      <c r="F10168" s="2">
        <v>7</v>
      </c>
      <c r="H10168">
        <v>0</v>
      </c>
      <c r="I10168">
        <v>0.1741125760648204</v>
      </c>
      <c r="J10168">
        <v>0</v>
      </c>
      <c r="K10168">
        <v>0</v>
      </c>
      <c r="L10168" s="2">
        <v>0</v>
      </c>
      <c r="M10168">
        <v>98.84999999999999</v>
      </c>
      <c r="N10168" t="s">
        <v>10237</v>
      </c>
    </row>
    <row r="10169" spans="1:14">
      <c r="A10169" t="s">
        <v>35</v>
      </c>
      <c r="B10169" t="s">
        <v>10103</v>
      </c>
      <c r="C10169">
        <f>"XB1813RL"</f>
        <v>0</v>
      </c>
      <c r="D10169">
        <v>0</v>
      </c>
      <c r="E10169">
        <v>0</v>
      </c>
      <c r="F10169" s="2">
        <v>0</v>
      </c>
      <c r="H10169">
        <v>0</v>
      </c>
      <c r="I10169">
        <v>0.1741125760648204</v>
      </c>
      <c r="J10169">
        <v>0</v>
      </c>
      <c r="K10169">
        <v>0</v>
      </c>
      <c r="L10169" s="2">
        <v>0</v>
      </c>
      <c r="M10169">
        <v>98.86</v>
      </c>
      <c r="N10169" t="s">
        <v>10237</v>
      </c>
    </row>
    <row r="10170" spans="1:14">
      <c r="A10170" t="s">
        <v>35</v>
      </c>
      <c r="B10170" t="s">
        <v>10104</v>
      </c>
      <c r="C10170">
        <f>"XB1813RM"</f>
        <v>0</v>
      </c>
      <c r="D10170">
        <v>0</v>
      </c>
      <c r="E10170">
        <v>0</v>
      </c>
      <c r="F10170" s="2">
        <v>0</v>
      </c>
      <c r="H10170">
        <v>0</v>
      </c>
      <c r="I10170">
        <v>0.1741125760648204</v>
      </c>
      <c r="J10170">
        <v>0</v>
      </c>
      <c r="K10170">
        <v>0</v>
      </c>
      <c r="L10170" s="2">
        <v>0</v>
      </c>
      <c r="M10170">
        <v>98.87</v>
      </c>
      <c r="N10170" t="s">
        <v>10237</v>
      </c>
    </row>
    <row r="10171" spans="1:14">
      <c r="A10171" t="s">
        <v>35</v>
      </c>
      <c r="B10171" t="s">
        <v>10105</v>
      </c>
      <c r="C10171">
        <f>"XB1813RS"</f>
        <v>0</v>
      </c>
      <c r="D10171">
        <v>0</v>
      </c>
      <c r="E10171">
        <v>4</v>
      </c>
      <c r="F10171" s="2">
        <v>8</v>
      </c>
      <c r="H10171">
        <v>0</v>
      </c>
      <c r="I10171">
        <v>0.1741125760648204</v>
      </c>
      <c r="J10171">
        <v>0</v>
      </c>
      <c r="K10171">
        <v>0</v>
      </c>
      <c r="L10171" s="2">
        <v>0</v>
      </c>
      <c r="M10171">
        <v>98.88</v>
      </c>
      <c r="N10171" t="s">
        <v>10237</v>
      </c>
    </row>
    <row r="10172" spans="1:14">
      <c r="A10172" t="s">
        <v>35</v>
      </c>
      <c r="B10172" t="s">
        <v>10106</v>
      </c>
      <c r="C10172">
        <f>"XB1813RXS"</f>
        <v>0</v>
      </c>
      <c r="D10172">
        <v>0</v>
      </c>
      <c r="E10172">
        <v>5</v>
      </c>
      <c r="F10172" s="2">
        <v>8</v>
      </c>
      <c r="H10172">
        <v>0</v>
      </c>
      <c r="I10172">
        <v>0.1741125760648204</v>
      </c>
      <c r="J10172">
        <v>0</v>
      </c>
      <c r="K10172">
        <v>0</v>
      </c>
      <c r="L10172" s="2">
        <v>0</v>
      </c>
      <c r="M10172">
        <v>98.89</v>
      </c>
      <c r="N10172" t="s">
        <v>10237</v>
      </c>
    </row>
    <row r="10173" spans="1:14">
      <c r="A10173" t="s">
        <v>35</v>
      </c>
      <c r="B10173" t="s">
        <v>10107</v>
      </c>
      <c r="C10173">
        <f>"XB1813NL"</f>
        <v>0</v>
      </c>
      <c r="D10173">
        <v>0</v>
      </c>
      <c r="E10173">
        <v>2</v>
      </c>
      <c r="F10173" s="2">
        <v>8</v>
      </c>
      <c r="H10173">
        <v>0</v>
      </c>
      <c r="I10173">
        <v>0.1741125760648204</v>
      </c>
      <c r="J10173">
        <v>0</v>
      </c>
      <c r="K10173">
        <v>0</v>
      </c>
      <c r="L10173" s="2">
        <v>0</v>
      </c>
      <c r="M10173">
        <v>98.90000000000001</v>
      </c>
      <c r="N10173" t="s">
        <v>10237</v>
      </c>
    </row>
    <row r="10174" spans="1:14">
      <c r="A10174" t="s">
        <v>35</v>
      </c>
      <c r="B10174" t="s">
        <v>10108</v>
      </c>
      <c r="C10174">
        <f>"XB1813NS"</f>
        <v>0</v>
      </c>
      <c r="D10174">
        <v>0</v>
      </c>
      <c r="E10174">
        <v>1</v>
      </c>
      <c r="F10174" s="2">
        <v>8</v>
      </c>
      <c r="H10174">
        <v>0</v>
      </c>
      <c r="I10174">
        <v>0.1741125760648204</v>
      </c>
      <c r="J10174">
        <v>0</v>
      </c>
      <c r="K10174">
        <v>0</v>
      </c>
      <c r="L10174" s="2">
        <v>0</v>
      </c>
      <c r="M10174">
        <v>98.91</v>
      </c>
      <c r="N10174" t="s">
        <v>10237</v>
      </c>
    </row>
    <row r="10175" spans="1:14">
      <c r="A10175" t="s">
        <v>35</v>
      </c>
      <c r="B10175" t="s">
        <v>10109</v>
      </c>
      <c r="C10175">
        <f>"XB1813NXS"</f>
        <v>0</v>
      </c>
      <c r="D10175">
        <v>0</v>
      </c>
      <c r="E10175">
        <v>5</v>
      </c>
      <c r="F10175" s="2">
        <v>8</v>
      </c>
      <c r="H10175">
        <v>0</v>
      </c>
      <c r="I10175">
        <v>0.1741125760648204</v>
      </c>
      <c r="J10175">
        <v>0</v>
      </c>
      <c r="K10175">
        <v>0</v>
      </c>
      <c r="L10175" s="2">
        <v>0</v>
      </c>
      <c r="M10175">
        <v>98.92</v>
      </c>
      <c r="N10175" t="s">
        <v>10237</v>
      </c>
    </row>
    <row r="10176" spans="1:14">
      <c r="A10176" t="s">
        <v>193</v>
      </c>
      <c r="B10176" t="s">
        <v>10110</v>
      </c>
      <c r="C10176">
        <f>"800174"</f>
        <v>0</v>
      </c>
      <c r="D10176">
        <v>0</v>
      </c>
      <c r="E10176">
        <v>0</v>
      </c>
      <c r="F10176" s="2">
        <v>0</v>
      </c>
      <c r="H10176">
        <v>0</v>
      </c>
      <c r="I10176">
        <v>0.1741125760648204</v>
      </c>
      <c r="J10176">
        <v>0</v>
      </c>
      <c r="K10176">
        <v>0</v>
      </c>
      <c r="L10176" s="2">
        <v>0</v>
      </c>
      <c r="M10176">
        <v>98.92</v>
      </c>
      <c r="N10176" t="s">
        <v>10237</v>
      </c>
    </row>
    <row r="10177" spans="1:14">
      <c r="A10177" t="s">
        <v>193</v>
      </c>
      <c r="B10177" t="s">
        <v>10111</v>
      </c>
      <c r="C10177">
        <f>"800181"</f>
        <v>0</v>
      </c>
      <c r="D10177">
        <v>0</v>
      </c>
      <c r="E10177">
        <v>0</v>
      </c>
      <c r="F10177" s="2">
        <v>0</v>
      </c>
      <c r="H10177">
        <v>0</v>
      </c>
      <c r="I10177">
        <v>0.1741125760648204</v>
      </c>
      <c r="J10177">
        <v>0</v>
      </c>
      <c r="K10177">
        <v>0</v>
      </c>
      <c r="L10177" s="2">
        <v>0</v>
      </c>
      <c r="M10177">
        <v>98.93000000000001</v>
      </c>
      <c r="N10177" t="s">
        <v>10237</v>
      </c>
    </row>
    <row r="10178" spans="1:14">
      <c r="A10178" t="s">
        <v>193</v>
      </c>
      <c r="B10178" t="s">
        <v>10112</v>
      </c>
      <c r="C10178">
        <f>"611075"</f>
        <v>0</v>
      </c>
      <c r="D10178">
        <v>0</v>
      </c>
      <c r="E10178">
        <v>0</v>
      </c>
      <c r="F10178" s="2">
        <v>0</v>
      </c>
      <c r="H10178">
        <v>0</v>
      </c>
      <c r="I10178">
        <v>0.1741125760648204</v>
      </c>
      <c r="J10178">
        <v>0</v>
      </c>
      <c r="K10178">
        <v>0</v>
      </c>
      <c r="L10178" s="2">
        <v>0</v>
      </c>
      <c r="M10178">
        <v>98.94</v>
      </c>
      <c r="N10178" t="s">
        <v>10237</v>
      </c>
    </row>
    <row r="10179" spans="1:14">
      <c r="A10179" t="s">
        <v>193</v>
      </c>
      <c r="B10179" t="s">
        <v>10113</v>
      </c>
      <c r="C10179">
        <f>"803687"</f>
        <v>0</v>
      </c>
      <c r="D10179">
        <v>0</v>
      </c>
      <c r="E10179">
        <v>0</v>
      </c>
      <c r="F10179" s="2">
        <v>0</v>
      </c>
      <c r="H10179">
        <v>0</v>
      </c>
      <c r="I10179">
        <v>0.1741125760648204</v>
      </c>
      <c r="J10179">
        <v>0</v>
      </c>
      <c r="K10179">
        <v>0</v>
      </c>
      <c r="L10179" s="2">
        <v>0</v>
      </c>
      <c r="M10179">
        <v>98.95</v>
      </c>
      <c r="N10179" t="s">
        <v>10237</v>
      </c>
    </row>
    <row r="10180" spans="1:14">
      <c r="A10180" t="s">
        <v>193</v>
      </c>
      <c r="B10180" t="s">
        <v>10114</v>
      </c>
      <c r="C10180">
        <f>"800310"</f>
        <v>0</v>
      </c>
      <c r="D10180">
        <v>0</v>
      </c>
      <c r="E10180">
        <v>0</v>
      </c>
      <c r="F10180" s="2">
        <v>0</v>
      </c>
      <c r="H10180">
        <v>0</v>
      </c>
      <c r="I10180">
        <v>0.1741125760648204</v>
      </c>
      <c r="J10180">
        <v>0</v>
      </c>
      <c r="K10180">
        <v>0</v>
      </c>
      <c r="L10180" s="2">
        <v>0</v>
      </c>
      <c r="M10180">
        <v>98.95999999999999</v>
      </c>
      <c r="N10180" t="s">
        <v>10237</v>
      </c>
    </row>
    <row r="10181" spans="1:14">
      <c r="A10181" t="s">
        <v>218</v>
      </c>
      <c r="B10181" t="s">
        <v>10115</v>
      </c>
      <c r="C10181">
        <f>"INSRTT0010"</f>
        <v>0</v>
      </c>
      <c r="D10181">
        <v>0</v>
      </c>
      <c r="E10181">
        <v>0</v>
      </c>
      <c r="F10181" s="2">
        <v>0</v>
      </c>
      <c r="H10181">
        <v>0</v>
      </c>
      <c r="I10181">
        <v>0.1741125760648204</v>
      </c>
      <c r="J10181">
        <v>0</v>
      </c>
      <c r="K10181">
        <v>0</v>
      </c>
      <c r="L10181" s="2">
        <v>0</v>
      </c>
      <c r="M10181">
        <v>98.97</v>
      </c>
      <c r="N10181" t="s">
        <v>10237</v>
      </c>
    </row>
    <row r="10182" spans="1:14">
      <c r="A10182" t="s">
        <v>35</v>
      </c>
      <c r="B10182" t="s">
        <v>10116</v>
      </c>
      <c r="C10182">
        <f>"DT641SR"</f>
        <v>0</v>
      </c>
      <c r="D10182">
        <v>0</v>
      </c>
      <c r="E10182">
        <v>0</v>
      </c>
      <c r="F10182" s="2">
        <v>0</v>
      </c>
      <c r="H10182">
        <v>0</v>
      </c>
      <c r="I10182">
        <v>0.1741125760648204</v>
      </c>
      <c r="J10182">
        <v>0</v>
      </c>
      <c r="K10182">
        <v>0</v>
      </c>
      <c r="L10182" s="2">
        <v>0</v>
      </c>
      <c r="M10182">
        <v>98.98</v>
      </c>
      <c r="N10182" t="s">
        <v>10237</v>
      </c>
    </row>
    <row r="10183" spans="1:14">
      <c r="A10183" t="s">
        <v>35</v>
      </c>
      <c r="B10183" t="s">
        <v>10117</v>
      </c>
      <c r="C10183">
        <f>"DT641SA"</f>
        <v>0</v>
      </c>
      <c r="D10183">
        <v>0</v>
      </c>
      <c r="E10183">
        <v>30</v>
      </c>
      <c r="F10183" s="2">
        <v>3</v>
      </c>
      <c r="H10183">
        <v>0</v>
      </c>
      <c r="I10183">
        <v>0.1741125760648204</v>
      </c>
      <c r="J10183">
        <v>0</v>
      </c>
      <c r="K10183">
        <v>0</v>
      </c>
      <c r="L10183" s="2">
        <v>0</v>
      </c>
      <c r="M10183">
        <v>98.98999999999999</v>
      </c>
      <c r="N10183" t="s">
        <v>10237</v>
      </c>
    </row>
    <row r="10184" spans="1:14">
      <c r="A10184" t="s">
        <v>214</v>
      </c>
      <c r="B10184" t="s">
        <v>10118</v>
      </c>
      <c r="C10184">
        <f>"66426"</f>
        <v>0</v>
      </c>
      <c r="D10184">
        <v>0</v>
      </c>
      <c r="E10184">
        <v>0</v>
      </c>
      <c r="F10184" s="2">
        <v>0</v>
      </c>
      <c r="H10184">
        <v>0</v>
      </c>
      <c r="I10184">
        <v>0.1741125760648204</v>
      </c>
      <c r="J10184">
        <v>0</v>
      </c>
      <c r="K10184">
        <v>0</v>
      </c>
      <c r="L10184" s="2">
        <v>0</v>
      </c>
      <c r="M10184">
        <v>99</v>
      </c>
      <c r="N10184" t="s">
        <v>10237</v>
      </c>
    </row>
    <row r="10185" spans="1:14">
      <c r="A10185" t="s">
        <v>29</v>
      </c>
      <c r="B10185" t="s">
        <v>10119</v>
      </c>
      <c r="C10185">
        <f>"CDP609"</f>
        <v>0</v>
      </c>
      <c r="D10185">
        <v>0</v>
      </c>
      <c r="E10185">
        <v>1</v>
      </c>
      <c r="F10185" s="2">
        <v>4</v>
      </c>
      <c r="H10185">
        <v>0</v>
      </c>
      <c r="I10185">
        <v>0.1741125760648204</v>
      </c>
      <c r="J10185">
        <v>0</v>
      </c>
      <c r="K10185">
        <v>0</v>
      </c>
      <c r="L10185" s="2">
        <v>0</v>
      </c>
      <c r="M10185">
        <v>99.01000000000001</v>
      </c>
      <c r="N10185" t="s">
        <v>10237</v>
      </c>
    </row>
    <row r="10186" spans="1:14">
      <c r="A10186" t="s">
        <v>29</v>
      </c>
      <c r="B10186" t="s">
        <v>10120</v>
      </c>
      <c r="C10186">
        <f>"CDP611"</f>
        <v>0</v>
      </c>
      <c r="D10186">
        <v>0</v>
      </c>
      <c r="E10186">
        <v>3</v>
      </c>
      <c r="F10186" s="2">
        <v>4</v>
      </c>
      <c r="H10186">
        <v>0</v>
      </c>
      <c r="I10186">
        <v>0.1741125760648204</v>
      </c>
      <c r="J10186">
        <v>0</v>
      </c>
      <c r="K10186">
        <v>0</v>
      </c>
      <c r="L10186" s="2">
        <v>0</v>
      </c>
      <c r="M10186">
        <v>99.02</v>
      </c>
      <c r="N10186" t="s">
        <v>10237</v>
      </c>
    </row>
    <row r="10187" spans="1:14">
      <c r="A10187" t="s">
        <v>29</v>
      </c>
      <c r="B10187" t="s">
        <v>10121</v>
      </c>
      <c r="C10187">
        <f>"DOPR1"</f>
        <v>0</v>
      </c>
      <c r="D10187">
        <v>0</v>
      </c>
      <c r="E10187">
        <v>0</v>
      </c>
      <c r="F10187" s="2">
        <v>0</v>
      </c>
      <c r="H10187">
        <v>0</v>
      </c>
      <c r="I10187">
        <v>0.1741125760648204</v>
      </c>
      <c r="J10187">
        <v>0</v>
      </c>
      <c r="K10187">
        <v>0</v>
      </c>
      <c r="L10187" s="2">
        <v>0</v>
      </c>
      <c r="M10187">
        <v>99.03</v>
      </c>
      <c r="N10187" t="s">
        <v>10237</v>
      </c>
    </row>
    <row r="10188" spans="1:14">
      <c r="A10188" t="s">
        <v>29</v>
      </c>
      <c r="B10188" t="s">
        <v>10122</v>
      </c>
      <c r="C10188">
        <f>"DOPN1"</f>
        <v>0</v>
      </c>
      <c r="D10188">
        <v>0</v>
      </c>
      <c r="E10188">
        <v>0</v>
      </c>
      <c r="F10188" s="2">
        <v>0</v>
      </c>
      <c r="H10188">
        <v>0</v>
      </c>
      <c r="I10188">
        <v>0.1741125760648204</v>
      </c>
      <c r="J10188">
        <v>0</v>
      </c>
      <c r="K10188">
        <v>0</v>
      </c>
      <c r="L10188" s="2">
        <v>0</v>
      </c>
      <c r="M10188">
        <v>99.04000000000001</v>
      </c>
      <c r="N10188" t="s">
        <v>10237</v>
      </c>
    </row>
    <row r="10189" spans="1:14">
      <c r="A10189" t="s">
        <v>29</v>
      </c>
      <c r="B10189" t="s">
        <v>10123</v>
      </c>
      <c r="C10189">
        <f>"DOPB1"</f>
        <v>0</v>
      </c>
      <c r="D10189">
        <v>0</v>
      </c>
      <c r="E10189">
        <v>0</v>
      </c>
      <c r="F10189" s="2">
        <v>0</v>
      </c>
      <c r="H10189">
        <v>0</v>
      </c>
      <c r="I10189">
        <v>0.1741125760648204</v>
      </c>
      <c r="J10189">
        <v>0</v>
      </c>
      <c r="K10189">
        <v>0</v>
      </c>
      <c r="L10189" s="2">
        <v>0</v>
      </c>
      <c r="M10189">
        <v>99.04000000000001</v>
      </c>
      <c r="N10189" t="s">
        <v>10237</v>
      </c>
    </row>
    <row r="10190" spans="1:14">
      <c r="A10190" t="s">
        <v>29</v>
      </c>
      <c r="B10190" t="s">
        <v>10124</v>
      </c>
      <c r="C10190">
        <f>"DOPA1"</f>
        <v>0</v>
      </c>
      <c r="D10190">
        <v>0</v>
      </c>
      <c r="E10190">
        <v>0</v>
      </c>
      <c r="F10190" s="2">
        <v>0</v>
      </c>
      <c r="H10190">
        <v>0</v>
      </c>
      <c r="I10190">
        <v>0.1741125760648204</v>
      </c>
      <c r="J10190">
        <v>0</v>
      </c>
      <c r="K10190">
        <v>0</v>
      </c>
      <c r="L10190" s="2">
        <v>0</v>
      </c>
      <c r="M10190">
        <v>99.05</v>
      </c>
      <c r="N10190" t="s">
        <v>10237</v>
      </c>
    </row>
    <row r="10191" spans="1:14">
      <c r="A10191" t="s">
        <v>195</v>
      </c>
      <c r="B10191" t="s">
        <v>10125</v>
      </c>
      <c r="C10191">
        <f>"25702690"</f>
        <v>0</v>
      </c>
      <c r="D10191">
        <v>0</v>
      </c>
      <c r="E10191">
        <v>1</v>
      </c>
      <c r="F10191" s="2">
        <v>11</v>
      </c>
      <c r="H10191">
        <v>0</v>
      </c>
      <c r="I10191">
        <v>0.1741125760648204</v>
      </c>
      <c r="J10191">
        <v>0</v>
      </c>
      <c r="K10191">
        <v>0</v>
      </c>
      <c r="L10191" s="2">
        <v>0</v>
      </c>
      <c r="M10191">
        <v>99.06</v>
      </c>
      <c r="N10191" t="s">
        <v>10237</v>
      </c>
    </row>
    <row r="10192" spans="1:14">
      <c r="A10192" t="s">
        <v>193</v>
      </c>
      <c r="B10192" t="s">
        <v>10126</v>
      </c>
      <c r="C10192">
        <f>"800075"</f>
        <v>0</v>
      </c>
      <c r="D10192">
        <v>0</v>
      </c>
      <c r="E10192">
        <v>0</v>
      </c>
      <c r="F10192" s="2">
        <v>0</v>
      </c>
      <c r="H10192">
        <v>0</v>
      </c>
      <c r="I10192">
        <v>0.1741125760648204</v>
      </c>
      <c r="J10192">
        <v>0</v>
      </c>
      <c r="K10192">
        <v>0</v>
      </c>
      <c r="L10192" s="2">
        <v>0</v>
      </c>
      <c r="M10192">
        <v>99.06999999999999</v>
      </c>
      <c r="N10192" t="s">
        <v>10237</v>
      </c>
    </row>
    <row r="10193" spans="1:14">
      <c r="A10193" t="s">
        <v>193</v>
      </c>
      <c r="B10193" t="s">
        <v>10127</v>
      </c>
      <c r="C10193">
        <f>"800112"</f>
        <v>0</v>
      </c>
      <c r="D10193">
        <v>0</v>
      </c>
      <c r="E10193">
        <v>0</v>
      </c>
      <c r="F10193" s="2">
        <v>0</v>
      </c>
      <c r="H10193">
        <v>0</v>
      </c>
      <c r="I10193">
        <v>0.1741125760648204</v>
      </c>
      <c r="J10193">
        <v>0</v>
      </c>
      <c r="K10193">
        <v>0</v>
      </c>
      <c r="L10193" s="2">
        <v>0</v>
      </c>
      <c r="M10193">
        <v>99.08</v>
      </c>
      <c r="N10193" t="s">
        <v>10237</v>
      </c>
    </row>
    <row r="10194" spans="1:14">
      <c r="A10194" t="s">
        <v>214</v>
      </c>
      <c r="B10194" t="s">
        <v>10128</v>
      </c>
      <c r="C10194">
        <f>"77053"</f>
        <v>0</v>
      </c>
      <c r="D10194">
        <v>0</v>
      </c>
      <c r="E10194">
        <v>0</v>
      </c>
      <c r="F10194" s="2">
        <v>0</v>
      </c>
      <c r="H10194">
        <v>0</v>
      </c>
      <c r="I10194">
        <v>0.1741125760648204</v>
      </c>
      <c r="J10194">
        <v>0</v>
      </c>
      <c r="K10194">
        <v>0</v>
      </c>
      <c r="L10194" s="2">
        <v>0</v>
      </c>
      <c r="M10194">
        <v>99.09</v>
      </c>
      <c r="N10194" t="s">
        <v>10237</v>
      </c>
    </row>
    <row r="10195" spans="1:14">
      <c r="A10195" t="s">
        <v>35</v>
      </c>
      <c r="B10195" t="s">
        <v>10129</v>
      </c>
      <c r="C10195">
        <f>"029695650567"</f>
        <v>0</v>
      </c>
      <c r="D10195">
        <v>0</v>
      </c>
      <c r="E10195">
        <v>0</v>
      </c>
      <c r="F10195" s="2">
        <v>0</v>
      </c>
      <c r="H10195">
        <v>0</v>
      </c>
      <c r="I10195">
        <v>0.1741125760648204</v>
      </c>
      <c r="J10195">
        <v>0</v>
      </c>
      <c r="K10195">
        <v>0</v>
      </c>
      <c r="L10195" s="2">
        <v>0</v>
      </c>
      <c r="M10195">
        <v>99.09999999999999</v>
      </c>
      <c r="N10195" t="s">
        <v>10237</v>
      </c>
    </row>
    <row r="10196" spans="1:14">
      <c r="A10196" t="s">
        <v>25</v>
      </c>
      <c r="B10196" t="s">
        <v>10130</v>
      </c>
      <c r="C10196">
        <f>"AYCS2522"</f>
        <v>0</v>
      </c>
      <c r="D10196">
        <v>0</v>
      </c>
      <c r="E10196">
        <v>0</v>
      </c>
      <c r="F10196" s="2">
        <v>0</v>
      </c>
      <c r="H10196">
        <v>0</v>
      </c>
      <c r="I10196">
        <v>0.1741125760648204</v>
      </c>
      <c r="J10196">
        <v>0</v>
      </c>
      <c r="K10196">
        <v>0</v>
      </c>
      <c r="L10196" s="2">
        <v>0</v>
      </c>
      <c r="M10196">
        <v>99.11</v>
      </c>
      <c r="N10196" t="s">
        <v>10237</v>
      </c>
    </row>
    <row r="10197" spans="1:14">
      <c r="A10197" t="s">
        <v>25</v>
      </c>
      <c r="B10197" t="s">
        <v>10131</v>
      </c>
      <c r="C10197">
        <f>"AYCS2602"</f>
        <v>0</v>
      </c>
      <c r="D10197">
        <v>0</v>
      </c>
      <c r="E10197">
        <v>0</v>
      </c>
      <c r="F10197" s="2">
        <v>0</v>
      </c>
      <c r="H10197">
        <v>0</v>
      </c>
      <c r="I10197">
        <v>0.1741125760648204</v>
      </c>
      <c r="J10197">
        <v>0</v>
      </c>
      <c r="K10197">
        <v>0</v>
      </c>
      <c r="L10197" s="2">
        <v>0</v>
      </c>
      <c r="M10197">
        <v>99.12</v>
      </c>
      <c r="N10197" t="s">
        <v>10237</v>
      </c>
    </row>
    <row r="10198" spans="1:14">
      <c r="A10198" t="s">
        <v>193</v>
      </c>
      <c r="B10198" t="s">
        <v>10132</v>
      </c>
      <c r="C10198">
        <f>"802161"</f>
        <v>0</v>
      </c>
      <c r="D10198">
        <v>0</v>
      </c>
      <c r="E10198">
        <v>0</v>
      </c>
      <c r="F10198" s="2">
        <v>0</v>
      </c>
      <c r="H10198">
        <v>0</v>
      </c>
      <c r="I10198">
        <v>0.1741125760648204</v>
      </c>
      <c r="J10198">
        <v>0</v>
      </c>
      <c r="K10198">
        <v>0</v>
      </c>
      <c r="L10198" s="2">
        <v>0</v>
      </c>
      <c r="M10198">
        <v>99.13</v>
      </c>
      <c r="N10198" t="s">
        <v>10237</v>
      </c>
    </row>
    <row r="10199" spans="1:14">
      <c r="A10199" t="s">
        <v>193</v>
      </c>
      <c r="B10199" t="s">
        <v>10133</v>
      </c>
      <c r="C10199">
        <f>"802222"</f>
        <v>0</v>
      </c>
      <c r="D10199">
        <v>0</v>
      </c>
      <c r="E10199">
        <v>0</v>
      </c>
      <c r="F10199" s="2">
        <v>0</v>
      </c>
      <c r="H10199">
        <v>0</v>
      </c>
      <c r="I10199">
        <v>0.1741125760648204</v>
      </c>
      <c r="J10199">
        <v>0</v>
      </c>
      <c r="K10199">
        <v>0</v>
      </c>
      <c r="L10199" s="2">
        <v>0</v>
      </c>
      <c r="M10199">
        <v>99.14</v>
      </c>
      <c r="N10199" t="s">
        <v>10237</v>
      </c>
    </row>
    <row r="10200" spans="1:14">
      <c r="A10200" t="s">
        <v>193</v>
      </c>
      <c r="B10200" t="s">
        <v>10134</v>
      </c>
      <c r="C10200">
        <f>"805353"</f>
        <v>0</v>
      </c>
      <c r="D10200">
        <v>0</v>
      </c>
      <c r="E10200">
        <v>0</v>
      </c>
      <c r="F10200" s="2">
        <v>0</v>
      </c>
      <c r="H10200">
        <v>0</v>
      </c>
      <c r="I10200">
        <v>0.1741125760648204</v>
      </c>
      <c r="J10200">
        <v>0</v>
      </c>
      <c r="K10200">
        <v>0</v>
      </c>
      <c r="L10200" s="2">
        <v>0</v>
      </c>
      <c r="M10200">
        <v>99.15000000000001</v>
      </c>
      <c r="N10200" t="s">
        <v>10237</v>
      </c>
    </row>
    <row r="10201" spans="1:14">
      <c r="A10201" t="s">
        <v>193</v>
      </c>
      <c r="B10201" t="s">
        <v>10135</v>
      </c>
      <c r="C10201">
        <f>"802109"</f>
        <v>0</v>
      </c>
      <c r="D10201">
        <v>0</v>
      </c>
      <c r="E10201">
        <v>0</v>
      </c>
      <c r="F10201" s="2">
        <v>0</v>
      </c>
      <c r="H10201">
        <v>0</v>
      </c>
      <c r="I10201">
        <v>0.1741125760648204</v>
      </c>
      <c r="J10201">
        <v>0</v>
      </c>
      <c r="K10201">
        <v>0</v>
      </c>
      <c r="L10201" s="2">
        <v>0</v>
      </c>
      <c r="M10201">
        <v>99.16</v>
      </c>
      <c r="N10201" t="s">
        <v>10237</v>
      </c>
    </row>
    <row r="10202" spans="1:14">
      <c r="A10202" t="s">
        <v>193</v>
      </c>
      <c r="B10202" t="s">
        <v>10136</v>
      </c>
      <c r="C10202">
        <f>"803229"</f>
        <v>0</v>
      </c>
      <c r="D10202">
        <v>0</v>
      </c>
      <c r="E10202">
        <v>0</v>
      </c>
      <c r="F10202" s="2">
        <v>0</v>
      </c>
      <c r="H10202">
        <v>0</v>
      </c>
      <c r="I10202">
        <v>0.1741125760648204</v>
      </c>
      <c r="J10202">
        <v>0</v>
      </c>
      <c r="K10202">
        <v>0</v>
      </c>
      <c r="L10202" s="2">
        <v>0</v>
      </c>
      <c r="M10202">
        <v>99.16</v>
      </c>
      <c r="N10202" t="s">
        <v>10237</v>
      </c>
    </row>
    <row r="10203" spans="1:14">
      <c r="A10203" t="s">
        <v>193</v>
      </c>
      <c r="B10203" t="s">
        <v>10137</v>
      </c>
      <c r="C10203">
        <f>"800266"</f>
        <v>0</v>
      </c>
      <c r="D10203">
        <v>0</v>
      </c>
      <c r="E10203">
        <v>0</v>
      </c>
      <c r="F10203" s="2">
        <v>0</v>
      </c>
      <c r="H10203">
        <v>0</v>
      </c>
      <c r="I10203">
        <v>0.1741125760648204</v>
      </c>
      <c r="J10203">
        <v>0</v>
      </c>
      <c r="K10203">
        <v>0</v>
      </c>
      <c r="L10203" s="2">
        <v>0</v>
      </c>
      <c r="M10203">
        <v>99.17</v>
      </c>
      <c r="N10203" t="s">
        <v>10237</v>
      </c>
    </row>
    <row r="10204" spans="1:14">
      <c r="A10204" t="s">
        <v>193</v>
      </c>
      <c r="B10204" t="s">
        <v>10138</v>
      </c>
      <c r="C10204">
        <f>"802901"</f>
        <v>0</v>
      </c>
      <c r="D10204">
        <v>0</v>
      </c>
      <c r="E10204">
        <v>0</v>
      </c>
      <c r="F10204" s="2">
        <v>0</v>
      </c>
      <c r="H10204">
        <v>0</v>
      </c>
      <c r="I10204">
        <v>0.1741125760648204</v>
      </c>
      <c r="J10204">
        <v>0</v>
      </c>
      <c r="K10204">
        <v>0</v>
      </c>
      <c r="L10204" s="2">
        <v>0</v>
      </c>
      <c r="M10204">
        <v>99.18000000000001</v>
      </c>
      <c r="N10204" t="s">
        <v>10237</v>
      </c>
    </row>
    <row r="10205" spans="1:14">
      <c r="A10205" t="s">
        <v>193</v>
      </c>
      <c r="B10205" t="s">
        <v>10139</v>
      </c>
      <c r="C10205">
        <f>"800235"</f>
        <v>0</v>
      </c>
      <c r="D10205">
        <v>0</v>
      </c>
      <c r="E10205">
        <v>0</v>
      </c>
      <c r="F10205" s="2">
        <v>0</v>
      </c>
      <c r="H10205">
        <v>0</v>
      </c>
      <c r="I10205">
        <v>0.1741125760648204</v>
      </c>
      <c r="J10205">
        <v>0</v>
      </c>
      <c r="K10205">
        <v>0</v>
      </c>
      <c r="L10205" s="2">
        <v>0</v>
      </c>
      <c r="M10205">
        <v>99.19</v>
      </c>
      <c r="N10205" t="s">
        <v>10237</v>
      </c>
    </row>
    <row r="10206" spans="1:14">
      <c r="A10206" t="s">
        <v>193</v>
      </c>
      <c r="B10206" t="s">
        <v>10140</v>
      </c>
      <c r="C10206">
        <f>"800204"</f>
        <v>0</v>
      </c>
      <c r="D10206">
        <v>0</v>
      </c>
      <c r="E10206">
        <v>0</v>
      </c>
      <c r="F10206" s="2">
        <v>0</v>
      </c>
      <c r="H10206">
        <v>0</v>
      </c>
      <c r="I10206">
        <v>0.1741125760648204</v>
      </c>
      <c r="J10206">
        <v>0</v>
      </c>
      <c r="K10206">
        <v>0</v>
      </c>
      <c r="L10206" s="2">
        <v>0</v>
      </c>
      <c r="M10206">
        <v>99.2</v>
      </c>
      <c r="N10206" t="s">
        <v>10237</v>
      </c>
    </row>
    <row r="10207" spans="1:14">
      <c r="A10207" t="s">
        <v>193</v>
      </c>
      <c r="B10207" t="s">
        <v>10141</v>
      </c>
      <c r="C10207">
        <f>"802970"</f>
        <v>0</v>
      </c>
      <c r="D10207">
        <v>0</v>
      </c>
      <c r="E10207">
        <v>0</v>
      </c>
      <c r="F10207" s="2">
        <v>0</v>
      </c>
      <c r="H10207">
        <v>0</v>
      </c>
      <c r="I10207">
        <v>0.1741125760648204</v>
      </c>
      <c r="J10207">
        <v>0</v>
      </c>
      <c r="K10207">
        <v>0</v>
      </c>
      <c r="L10207" s="2">
        <v>0</v>
      </c>
      <c r="M10207">
        <v>99.20999999999999</v>
      </c>
      <c r="N10207" t="s">
        <v>10237</v>
      </c>
    </row>
    <row r="10208" spans="1:14">
      <c r="A10208" t="s">
        <v>193</v>
      </c>
      <c r="B10208" t="s">
        <v>10142</v>
      </c>
      <c r="C10208">
        <f>"802963"</f>
        <v>0</v>
      </c>
      <c r="D10208">
        <v>0</v>
      </c>
      <c r="E10208">
        <v>0</v>
      </c>
      <c r="F10208" s="2">
        <v>0</v>
      </c>
      <c r="H10208">
        <v>0</v>
      </c>
      <c r="I10208">
        <v>0.1741125760648204</v>
      </c>
      <c r="J10208">
        <v>0</v>
      </c>
      <c r="K10208">
        <v>0</v>
      </c>
      <c r="L10208" s="2">
        <v>0</v>
      </c>
      <c r="M10208">
        <v>99.22</v>
      </c>
      <c r="N10208" t="s">
        <v>10237</v>
      </c>
    </row>
    <row r="10209" spans="1:14">
      <c r="A10209" t="s">
        <v>193</v>
      </c>
      <c r="B10209" t="s">
        <v>10143</v>
      </c>
      <c r="C10209">
        <f>"802932"</f>
        <v>0</v>
      </c>
      <c r="D10209">
        <v>0</v>
      </c>
      <c r="E10209">
        <v>0</v>
      </c>
      <c r="F10209" s="2">
        <v>0</v>
      </c>
      <c r="H10209">
        <v>0</v>
      </c>
      <c r="I10209">
        <v>0.1741125760648204</v>
      </c>
      <c r="J10209">
        <v>0</v>
      </c>
      <c r="K10209">
        <v>0</v>
      </c>
      <c r="L10209" s="2">
        <v>0</v>
      </c>
      <c r="M10209">
        <v>99.23</v>
      </c>
      <c r="N10209" t="s">
        <v>10237</v>
      </c>
    </row>
    <row r="10210" spans="1:14">
      <c r="A10210" t="s">
        <v>218</v>
      </c>
      <c r="B10210" t="s">
        <v>10144</v>
      </c>
      <c r="C10210">
        <f>"INSNPR0030"</f>
        <v>0</v>
      </c>
      <c r="D10210">
        <v>0</v>
      </c>
      <c r="E10210">
        <v>0</v>
      </c>
      <c r="F10210" s="2">
        <v>0</v>
      </c>
      <c r="H10210">
        <v>0</v>
      </c>
      <c r="I10210">
        <v>0.1741125760648204</v>
      </c>
      <c r="J10210">
        <v>0</v>
      </c>
      <c r="K10210">
        <v>0</v>
      </c>
      <c r="L10210" s="2">
        <v>0</v>
      </c>
      <c r="M10210">
        <v>99.23999999999999</v>
      </c>
      <c r="N10210" t="s">
        <v>10237</v>
      </c>
    </row>
    <row r="10211" spans="1:14">
      <c r="A10211" t="s">
        <v>214</v>
      </c>
      <c r="B10211" t="s">
        <v>10145</v>
      </c>
      <c r="C10211">
        <f>"77054"</f>
        <v>0</v>
      </c>
      <c r="D10211">
        <v>0</v>
      </c>
      <c r="E10211">
        <v>0</v>
      </c>
      <c r="F10211" s="2">
        <v>0</v>
      </c>
      <c r="H10211">
        <v>0</v>
      </c>
      <c r="I10211">
        <v>0.1741125760648204</v>
      </c>
      <c r="J10211">
        <v>0</v>
      </c>
      <c r="K10211">
        <v>0</v>
      </c>
      <c r="L10211" s="2">
        <v>0</v>
      </c>
      <c r="M10211">
        <v>99.25</v>
      </c>
      <c r="N10211" t="s">
        <v>10237</v>
      </c>
    </row>
    <row r="10212" spans="1:14">
      <c r="A10212" t="s">
        <v>29</v>
      </c>
      <c r="B10212" t="s">
        <v>10146</v>
      </c>
      <c r="C10212">
        <f>"PMGA25"</f>
        <v>0</v>
      </c>
      <c r="D10212">
        <v>0</v>
      </c>
      <c r="E10212">
        <v>0</v>
      </c>
      <c r="F10212" s="2">
        <v>0</v>
      </c>
      <c r="H10212">
        <v>0</v>
      </c>
      <c r="I10212">
        <v>0.1741125760648204</v>
      </c>
      <c r="J10212">
        <v>0</v>
      </c>
      <c r="K10212">
        <v>0</v>
      </c>
      <c r="L10212" s="2">
        <v>0</v>
      </c>
      <c r="M10212">
        <v>99.26000000000001</v>
      </c>
      <c r="N10212" t="s">
        <v>10237</v>
      </c>
    </row>
    <row r="10213" spans="1:14">
      <c r="A10213" t="s">
        <v>29</v>
      </c>
      <c r="B10213" t="s">
        <v>10147</v>
      </c>
      <c r="C10213">
        <f>"PMGA100"</f>
        <v>0</v>
      </c>
      <c r="D10213">
        <v>0</v>
      </c>
      <c r="E10213">
        <v>0</v>
      </c>
      <c r="F10213" s="2">
        <v>0</v>
      </c>
      <c r="H10213">
        <v>0</v>
      </c>
      <c r="I10213">
        <v>0.1741125760648204</v>
      </c>
      <c r="J10213">
        <v>0</v>
      </c>
      <c r="K10213">
        <v>0</v>
      </c>
      <c r="L10213" s="2">
        <v>0</v>
      </c>
      <c r="M10213">
        <v>99.27</v>
      </c>
      <c r="N10213" t="s">
        <v>10237</v>
      </c>
    </row>
    <row r="10214" spans="1:14">
      <c r="A10214" t="s">
        <v>197</v>
      </c>
      <c r="B10214" t="s">
        <v>10148</v>
      </c>
      <c r="C10214">
        <f>"ANS28"</f>
        <v>0</v>
      </c>
      <c r="D10214">
        <v>0</v>
      </c>
      <c r="E10214">
        <v>0</v>
      </c>
      <c r="F10214" s="2">
        <v>0</v>
      </c>
      <c r="H10214">
        <v>0</v>
      </c>
      <c r="I10214">
        <v>0.1741125760648204</v>
      </c>
      <c r="J10214">
        <v>0</v>
      </c>
      <c r="K10214">
        <v>0</v>
      </c>
      <c r="L10214" s="2">
        <v>0</v>
      </c>
      <c r="M10214">
        <v>99.28</v>
      </c>
      <c r="N10214" t="s">
        <v>10237</v>
      </c>
    </row>
    <row r="10215" spans="1:14">
      <c r="A10215" t="s">
        <v>197</v>
      </c>
      <c r="B10215" t="s">
        <v>10149</v>
      </c>
      <c r="C10215">
        <f>"5000263"</f>
        <v>0</v>
      </c>
      <c r="D10215">
        <v>0</v>
      </c>
      <c r="E10215">
        <v>0</v>
      </c>
      <c r="F10215" s="2">
        <v>0</v>
      </c>
      <c r="H10215">
        <v>0</v>
      </c>
      <c r="I10215">
        <v>0.1741125760648204</v>
      </c>
      <c r="J10215">
        <v>0</v>
      </c>
      <c r="K10215">
        <v>0</v>
      </c>
      <c r="L10215" s="2">
        <v>0</v>
      </c>
      <c r="M10215">
        <v>99.28</v>
      </c>
      <c r="N10215" t="s">
        <v>10237</v>
      </c>
    </row>
    <row r="10216" spans="1:14">
      <c r="A10216" t="s">
        <v>197</v>
      </c>
      <c r="B10216" t="s">
        <v>10150</v>
      </c>
      <c r="C10216">
        <f>"5000265"</f>
        <v>0</v>
      </c>
      <c r="D10216">
        <v>0</v>
      </c>
      <c r="E10216">
        <v>0</v>
      </c>
      <c r="F10216" s="2">
        <v>0</v>
      </c>
      <c r="H10216">
        <v>0</v>
      </c>
      <c r="I10216">
        <v>0.1741125760648204</v>
      </c>
      <c r="J10216">
        <v>0</v>
      </c>
      <c r="K10216">
        <v>0</v>
      </c>
      <c r="L10216" s="2">
        <v>0</v>
      </c>
      <c r="M10216">
        <v>99.29000000000001</v>
      </c>
      <c r="N10216" t="s">
        <v>10237</v>
      </c>
    </row>
    <row r="10217" spans="1:14">
      <c r="A10217" t="s">
        <v>32</v>
      </c>
      <c r="B10217" t="s">
        <v>10151</v>
      </c>
      <c r="C10217">
        <f>"13201009"</f>
        <v>0</v>
      </c>
      <c r="D10217">
        <v>0</v>
      </c>
      <c r="E10217">
        <v>0</v>
      </c>
      <c r="F10217" s="2">
        <v>0</v>
      </c>
      <c r="H10217">
        <v>0</v>
      </c>
      <c r="I10217">
        <v>0.1741125760648204</v>
      </c>
      <c r="J10217">
        <v>0</v>
      </c>
      <c r="K10217">
        <v>0</v>
      </c>
      <c r="L10217" s="2">
        <v>0</v>
      </c>
      <c r="M10217">
        <v>99.3</v>
      </c>
      <c r="N10217" t="s">
        <v>10237</v>
      </c>
    </row>
    <row r="10218" spans="1:14">
      <c r="A10218" t="s">
        <v>25</v>
      </c>
      <c r="B10218" t="s">
        <v>10152</v>
      </c>
      <c r="C10218">
        <f>"RJ152"</f>
        <v>0</v>
      </c>
      <c r="D10218">
        <v>0</v>
      </c>
      <c r="E10218">
        <v>0</v>
      </c>
      <c r="F10218" s="2">
        <v>0</v>
      </c>
      <c r="H10218">
        <v>0</v>
      </c>
      <c r="I10218">
        <v>0.1741125760648204</v>
      </c>
      <c r="J10218">
        <v>0</v>
      </c>
      <c r="K10218">
        <v>0</v>
      </c>
      <c r="L10218" s="2">
        <v>0</v>
      </c>
      <c r="M10218">
        <v>99.31</v>
      </c>
      <c r="N10218" t="s">
        <v>10237</v>
      </c>
    </row>
    <row r="10219" spans="1:14">
      <c r="A10219" t="s">
        <v>205</v>
      </c>
      <c r="B10219" t="s">
        <v>10153</v>
      </c>
      <c r="C10219">
        <f>"GIFT50000"</f>
        <v>0</v>
      </c>
      <c r="D10219">
        <v>0</v>
      </c>
      <c r="E10219">
        <v>97</v>
      </c>
      <c r="F10219" s="2">
        <v>0</v>
      </c>
      <c r="H10219">
        <v>0</v>
      </c>
      <c r="I10219">
        <v>0.1741125760648204</v>
      </c>
      <c r="J10219">
        <v>0</v>
      </c>
      <c r="K10219">
        <v>0</v>
      </c>
      <c r="L10219" s="2">
        <v>0</v>
      </c>
      <c r="M10219">
        <v>99.31999999999999</v>
      </c>
      <c r="N10219" t="s">
        <v>10237</v>
      </c>
    </row>
    <row r="10220" spans="1:14">
      <c r="A10220" t="s">
        <v>205</v>
      </c>
      <c r="B10220" t="s">
        <v>10154</v>
      </c>
      <c r="C10220">
        <f>"GIFT30000"</f>
        <v>0</v>
      </c>
      <c r="D10220">
        <v>0</v>
      </c>
      <c r="E10220">
        <v>98</v>
      </c>
      <c r="F10220" s="2">
        <v>0</v>
      </c>
      <c r="H10220">
        <v>0</v>
      </c>
      <c r="I10220">
        <v>0.1741125760648204</v>
      </c>
      <c r="J10220">
        <v>0</v>
      </c>
      <c r="K10220">
        <v>0</v>
      </c>
      <c r="L10220" s="2">
        <v>0</v>
      </c>
      <c r="M10220">
        <v>99.33</v>
      </c>
      <c r="N10220" t="s">
        <v>10237</v>
      </c>
    </row>
    <row r="10221" spans="1:14">
      <c r="A10221" t="s">
        <v>223</v>
      </c>
      <c r="B10221" t="s">
        <v>10155</v>
      </c>
      <c r="C10221">
        <f>"5411150"</f>
        <v>0</v>
      </c>
      <c r="D10221">
        <v>0</v>
      </c>
      <c r="E10221">
        <v>0</v>
      </c>
      <c r="F10221" s="2">
        <v>0</v>
      </c>
      <c r="H10221">
        <v>0</v>
      </c>
      <c r="I10221">
        <v>0.1741125760648204</v>
      </c>
      <c r="J10221">
        <v>0</v>
      </c>
      <c r="K10221">
        <v>0</v>
      </c>
      <c r="L10221" s="2">
        <v>0</v>
      </c>
      <c r="M10221">
        <v>99.34</v>
      </c>
      <c r="N10221" t="s">
        <v>10237</v>
      </c>
    </row>
    <row r="10222" spans="1:14">
      <c r="A10222" t="s">
        <v>223</v>
      </c>
      <c r="B10222" t="s">
        <v>10156</v>
      </c>
      <c r="C10222">
        <f>"5412150"</f>
        <v>0</v>
      </c>
      <c r="D10222">
        <v>0</v>
      </c>
      <c r="E10222">
        <v>0</v>
      </c>
      <c r="F10222" s="2">
        <v>0</v>
      </c>
      <c r="H10222">
        <v>0</v>
      </c>
      <c r="I10222">
        <v>0.1741125760648204</v>
      </c>
      <c r="J10222">
        <v>0</v>
      </c>
      <c r="K10222">
        <v>0</v>
      </c>
      <c r="L10222" s="2">
        <v>0</v>
      </c>
      <c r="M10222">
        <v>99.34999999999999</v>
      </c>
      <c r="N10222" t="s">
        <v>10237</v>
      </c>
    </row>
    <row r="10223" spans="1:14">
      <c r="A10223" t="s">
        <v>223</v>
      </c>
      <c r="B10223" t="s">
        <v>10157</v>
      </c>
      <c r="C10223">
        <f>"5002129"</f>
        <v>0</v>
      </c>
      <c r="D10223">
        <v>0</v>
      </c>
      <c r="E10223">
        <v>0</v>
      </c>
      <c r="F10223" s="2">
        <v>0</v>
      </c>
      <c r="H10223">
        <v>0</v>
      </c>
      <c r="I10223">
        <v>0.1741125760648204</v>
      </c>
      <c r="J10223">
        <v>0</v>
      </c>
      <c r="K10223">
        <v>0</v>
      </c>
      <c r="L10223" s="2">
        <v>0</v>
      </c>
      <c r="M10223">
        <v>99.36</v>
      </c>
      <c r="N10223" t="s">
        <v>10237</v>
      </c>
    </row>
    <row r="10224" spans="1:14">
      <c r="A10224" t="s">
        <v>223</v>
      </c>
      <c r="B10224" t="s">
        <v>10158</v>
      </c>
      <c r="C10224">
        <f>"5510120"</f>
        <v>0</v>
      </c>
      <c r="D10224">
        <v>0</v>
      </c>
      <c r="E10224">
        <v>0</v>
      </c>
      <c r="F10224" s="2">
        <v>0</v>
      </c>
      <c r="H10224">
        <v>0</v>
      </c>
      <c r="I10224">
        <v>0.1741125760648204</v>
      </c>
      <c r="J10224">
        <v>0</v>
      </c>
      <c r="K10224">
        <v>0</v>
      </c>
      <c r="L10224" s="2">
        <v>0</v>
      </c>
      <c r="M10224">
        <v>99.37</v>
      </c>
      <c r="N10224" t="s">
        <v>10237</v>
      </c>
    </row>
    <row r="10225" spans="1:14">
      <c r="A10225" t="s">
        <v>223</v>
      </c>
      <c r="B10225" t="s">
        <v>10159</v>
      </c>
      <c r="C10225">
        <f>"5210120"</f>
        <v>0</v>
      </c>
      <c r="D10225">
        <v>0</v>
      </c>
      <c r="E10225">
        <v>0</v>
      </c>
      <c r="F10225" s="2">
        <v>0</v>
      </c>
      <c r="H10225">
        <v>0</v>
      </c>
      <c r="I10225">
        <v>0.1741125760648204</v>
      </c>
      <c r="J10225">
        <v>0</v>
      </c>
      <c r="K10225">
        <v>0</v>
      </c>
      <c r="L10225" s="2">
        <v>0</v>
      </c>
      <c r="M10225">
        <v>99.38</v>
      </c>
      <c r="N10225" t="s">
        <v>10237</v>
      </c>
    </row>
    <row r="10226" spans="1:14">
      <c r="A10226" t="s">
        <v>35</v>
      </c>
      <c r="B10226" t="s">
        <v>10160</v>
      </c>
      <c r="C10226">
        <f>"LY001MC"</f>
        <v>0</v>
      </c>
      <c r="D10226">
        <v>0</v>
      </c>
      <c r="E10226">
        <v>0</v>
      </c>
      <c r="F10226" s="2">
        <v>0</v>
      </c>
      <c r="H10226">
        <v>0</v>
      </c>
      <c r="I10226">
        <v>0.1741125760648204</v>
      </c>
      <c r="J10226">
        <v>0</v>
      </c>
      <c r="K10226">
        <v>0</v>
      </c>
      <c r="L10226" s="2">
        <v>0</v>
      </c>
      <c r="M10226">
        <v>99.39</v>
      </c>
      <c r="N10226" t="s">
        <v>10237</v>
      </c>
    </row>
    <row r="10227" spans="1:14">
      <c r="A10227" t="s">
        <v>193</v>
      </c>
      <c r="B10227" t="s">
        <v>10161</v>
      </c>
      <c r="C10227">
        <f>"G150150"</f>
        <v>0</v>
      </c>
      <c r="D10227">
        <v>0</v>
      </c>
      <c r="E10227">
        <v>2</v>
      </c>
      <c r="F10227" s="2">
        <v>0</v>
      </c>
      <c r="H10227">
        <v>0</v>
      </c>
      <c r="I10227">
        <v>0.1741125760648204</v>
      </c>
      <c r="J10227">
        <v>0</v>
      </c>
      <c r="K10227">
        <v>0</v>
      </c>
      <c r="L10227" s="2">
        <v>0</v>
      </c>
      <c r="M10227">
        <v>99.40000000000001</v>
      </c>
      <c r="N10227" t="s">
        <v>10237</v>
      </c>
    </row>
    <row r="10228" spans="1:14">
      <c r="A10228" t="s">
        <v>29</v>
      </c>
      <c r="B10228" t="s">
        <v>10162</v>
      </c>
      <c r="C10228">
        <f>"60476"</f>
        <v>0</v>
      </c>
      <c r="D10228">
        <v>0</v>
      </c>
      <c r="E10228">
        <v>0</v>
      </c>
      <c r="F10228" s="2">
        <v>0</v>
      </c>
      <c r="H10228">
        <v>0</v>
      </c>
      <c r="I10228">
        <v>0.1741125760648204</v>
      </c>
      <c r="J10228">
        <v>0</v>
      </c>
      <c r="K10228">
        <v>0</v>
      </c>
      <c r="L10228" s="2">
        <v>0</v>
      </c>
      <c r="M10228">
        <v>99.40000000000001</v>
      </c>
      <c r="N10228" t="s">
        <v>10237</v>
      </c>
    </row>
    <row r="10229" spans="1:14">
      <c r="A10229" t="s">
        <v>214</v>
      </c>
      <c r="B10229" t="s">
        <v>10163</v>
      </c>
      <c r="C10229">
        <f>"60473"</f>
        <v>0</v>
      </c>
      <c r="D10229">
        <v>0</v>
      </c>
      <c r="E10229">
        <v>2</v>
      </c>
      <c r="F10229" s="2">
        <v>2</v>
      </c>
      <c r="H10229">
        <v>0</v>
      </c>
      <c r="I10229">
        <v>0.1741125760648204</v>
      </c>
      <c r="J10229">
        <v>0</v>
      </c>
      <c r="K10229">
        <v>0</v>
      </c>
      <c r="L10229" s="2">
        <v>0</v>
      </c>
      <c r="M10229">
        <v>99.41</v>
      </c>
      <c r="N10229" t="s">
        <v>10237</v>
      </c>
    </row>
    <row r="10230" spans="1:14">
      <c r="A10230" t="s">
        <v>193</v>
      </c>
      <c r="B10230" t="s">
        <v>10164</v>
      </c>
      <c r="C10230">
        <f>"G5609"</f>
        <v>0</v>
      </c>
      <c r="D10230">
        <v>0</v>
      </c>
      <c r="E10230">
        <v>0</v>
      </c>
      <c r="F10230" s="2">
        <v>0</v>
      </c>
      <c r="H10230">
        <v>0</v>
      </c>
      <c r="I10230">
        <v>0.1741125760648204</v>
      </c>
      <c r="J10230">
        <v>0</v>
      </c>
      <c r="K10230">
        <v>0</v>
      </c>
      <c r="L10230" s="2">
        <v>0</v>
      </c>
      <c r="M10230">
        <v>99.42</v>
      </c>
      <c r="N10230" t="s">
        <v>10237</v>
      </c>
    </row>
    <row r="10231" spans="1:14">
      <c r="A10231" t="s">
        <v>193</v>
      </c>
      <c r="B10231" t="s">
        <v>10165</v>
      </c>
      <c r="C10231">
        <f>"G6163"</f>
        <v>0</v>
      </c>
      <c r="D10231">
        <v>0</v>
      </c>
      <c r="E10231">
        <v>0</v>
      </c>
      <c r="F10231" s="2">
        <v>0</v>
      </c>
      <c r="H10231">
        <v>0</v>
      </c>
      <c r="I10231">
        <v>0.1741125760648204</v>
      </c>
      <c r="J10231">
        <v>0</v>
      </c>
      <c r="K10231">
        <v>0</v>
      </c>
      <c r="L10231" s="2">
        <v>0</v>
      </c>
      <c r="M10231">
        <v>99.43000000000001</v>
      </c>
      <c r="N10231" t="s">
        <v>10237</v>
      </c>
    </row>
    <row r="10232" spans="1:14">
      <c r="A10232" t="s">
        <v>193</v>
      </c>
      <c r="B10232" t="s">
        <v>10166</v>
      </c>
      <c r="C10232">
        <f>"G5623"</f>
        <v>0</v>
      </c>
      <c r="D10232">
        <v>0</v>
      </c>
      <c r="E10232">
        <v>0</v>
      </c>
      <c r="F10232" s="2">
        <v>0</v>
      </c>
      <c r="H10232">
        <v>0</v>
      </c>
      <c r="I10232">
        <v>0.1741125760648204</v>
      </c>
      <c r="J10232">
        <v>0</v>
      </c>
      <c r="K10232">
        <v>0</v>
      </c>
      <c r="L10232" s="2">
        <v>0</v>
      </c>
      <c r="M10232">
        <v>99.44</v>
      </c>
      <c r="N10232" t="s">
        <v>10237</v>
      </c>
    </row>
    <row r="10233" spans="1:14">
      <c r="A10233" t="s">
        <v>193</v>
      </c>
      <c r="B10233" t="s">
        <v>10167</v>
      </c>
      <c r="C10233">
        <f>"G5647"</f>
        <v>0</v>
      </c>
      <c r="D10233">
        <v>0</v>
      </c>
      <c r="E10233">
        <v>0</v>
      </c>
      <c r="F10233" s="2">
        <v>0</v>
      </c>
      <c r="H10233">
        <v>0</v>
      </c>
      <c r="I10233">
        <v>0.1741125760648204</v>
      </c>
      <c r="J10233">
        <v>0</v>
      </c>
      <c r="K10233">
        <v>0</v>
      </c>
      <c r="L10233" s="2">
        <v>0</v>
      </c>
      <c r="M10233">
        <v>99.45</v>
      </c>
      <c r="N10233" t="s">
        <v>10237</v>
      </c>
    </row>
    <row r="10234" spans="1:14">
      <c r="A10234" t="s">
        <v>193</v>
      </c>
      <c r="B10234" t="s">
        <v>10168</v>
      </c>
      <c r="C10234">
        <f>"297301"</f>
        <v>0</v>
      </c>
      <c r="D10234">
        <v>0</v>
      </c>
      <c r="E10234">
        <v>0</v>
      </c>
      <c r="F10234" s="2">
        <v>0</v>
      </c>
      <c r="H10234">
        <v>0</v>
      </c>
      <c r="I10234">
        <v>0.1741125760648204</v>
      </c>
      <c r="J10234">
        <v>0</v>
      </c>
      <c r="K10234">
        <v>0</v>
      </c>
      <c r="L10234" s="2">
        <v>0</v>
      </c>
      <c r="M10234">
        <v>99.45999999999999</v>
      </c>
      <c r="N10234" t="s">
        <v>10237</v>
      </c>
    </row>
    <row r="10235" spans="1:14">
      <c r="A10235" t="s">
        <v>193</v>
      </c>
      <c r="B10235" t="s">
        <v>10169</v>
      </c>
      <c r="C10235">
        <f>"297189"</f>
        <v>0</v>
      </c>
      <c r="D10235">
        <v>0</v>
      </c>
      <c r="E10235">
        <v>0</v>
      </c>
      <c r="F10235" s="2">
        <v>0</v>
      </c>
      <c r="H10235">
        <v>0</v>
      </c>
      <c r="I10235">
        <v>0.1741125760648204</v>
      </c>
      <c r="J10235">
        <v>0</v>
      </c>
      <c r="K10235">
        <v>0</v>
      </c>
      <c r="L10235" s="2">
        <v>0</v>
      </c>
      <c r="M10235">
        <v>99.47</v>
      </c>
      <c r="N10235" t="s">
        <v>10237</v>
      </c>
    </row>
    <row r="10236" spans="1:14">
      <c r="A10236" t="s">
        <v>193</v>
      </c>
      <c r="B10236" t="s">
        <v>10170</v>
      </c>
      <c r="C10236">
        <f>"297172"</f>
        <v>0</v>
      </c>
      <c r="D10236">
        <v>0</v>
      </c>
      <c r="E10236">
        <v>0</v>
      </c>
      <c r="F10236" s="2">
        <v>0</v>
      </c>
      <c r="H10236">
        <v>0</v>
      </c>
      <c r="I10236">
        <v>0.1741125760648204</v>
      </c>
      <c r="J10236">
        <v>0</v>
      </c>
      <c r="K10236">
        <v>0</v>
      </c>
      <c r="L10236" s="2">
        <v>0</v>
      </c>
      <c r="M10236">
        <v>99.48</v>
      </c>
      <c r="N10236" t="s">
        <v>10237</v>
      </c>
    </row>
    <row r="10237" spans="1:14">
      <c r="A10237" t="s">
        <v>193</v>
      </c>
      <c r="B10237" t="s">
        <v>10171</v>
      </c>
      <c r="C10237">
        <f>"G7066"</f>
        <v>0</v>
      </c>
      <c r="D10237">
        <v>0</v>
      </c>
      <c r="E10237">
        <v>0</v>
      </c>
      <c r="F10237" s="2">
        <v>0</v>
      </c>
      <c r="H10237">
        <v>0</v>
      </c>
      <c r="I10237">
        <v>0.1741125760648204</v>
      </c>
      <c r="J10237">
        <v>0</v>
      </c>
      <c r="K10237">
        <v>0</v>
      </c>
      <c r="L10237" s="2">
        <v>0</v>
      </c>
      <c r="M10237">
        <v>99.48999999999999</v>
      </c>
      <c r="N10237" t="s">
        <v>10237</v>
      </c>
    </row>
    <row r="10238" spans="1:14">
      <c r="A10238" t="s">
        <v>193</v>
      </c>
      <c r="B10238" t="s">
        <v>10172</v>
      </c>
      <c r="C10238">
        <f>"G5593"</f>
        <v>0</v>
      </c>
      <c r="D10238">
        <v>0</v>
      </c>
      <c r="E10238">
        <v>0</v>
      </c>
      <c r="F10238" s="2">
        <v>0</v>
      </c>
      <c r="H10238">
        <v>0</v>
      </c>
      <c r="I10238">
        <v>0.1741125760648204</v>
      </c>
      <c r="J10238">
        <v>0</v>
      </c>
      <c r="K10238">
        <v>0</v>
      </c>
      <c r="L10238" s="2">
        <v>0</v>
      </c>
      <c r="M10238">
        <v>99.5</v>
      </c>
      <c r="N10238" t="s">
        <v>10237</v>
      </c>
    </row>
    <row r="10239" spans="1:14">
      <c r="A10239" t="s">
        <v>193</v>
      </c>
      <c r="B10239" t="s">
        <v>10173</v>
      </c>
      <c r="C10239">
        <f>"300803"</f>
        <v>0</v>
      </c>
      <c r="D10239">
        <v>0</v>
      </c>
      <c r="E10239">
        <v>0</v>
      </c>
      <c r="F10239" s="2">
        <v>0</v>
      </c>
      <c r="H10239">
        <v>0</v>
      </c>
      <c r="I10239">
        <v>0.1741125760648204</v>
      </c>
      <c r="J10239">
        <v>0</v>
      </c>
      <c r="K10239">
        <v>0</v>
      </c>
      <c r="L10239" s="2">
        <v>0</v>
      </c>
      <c r="M10239">
        <v>99.51000000000001</v>
      </c>
      <c r="N10239" t="s">
        <v>10237</v>
      </c>
    </row>
    <row r="10240" spans="1:14">
      <c r="A10240" t="s">
        <v>30</v>
      </c>
      <c r="B10240" t="s">
        <v>10174</v>
      </c>
      <c r="C10240">
        <f>"100521"</f>
        <v>0</v>
      </c>
      <c r="D10240">
        <v>0</v>
      </c>
      <c r="E10240">
        <v>0</v>
      </c>
      <c r="F10240" s="2">
        <v>0</v>
      </c>
      <c r="H10240">
        <v>0</v>
      </c>
      <c r="I10240">
        <v>0.1741125760648204</v>
      </c>
      <c r="J10240">
        <v>0</v>
      </c>
      <c r="K10240">
        <v>0</v>
      </c>
      <c r="L10240" s="2">
        <v>0</v>
      </c>
      <c r="M10240">
        <v>99.51000000000001</v>
      </c>
      <c r="N10240" t="s">
        <v>10237</v>
      </c>
    </row>
    <row r="10241" spans="1:14">
      <c r="A10241" t="s">
        <v>30</v>
      </c>
      <c r="B10241" t="s">
        <v>10175</v>
      </c>
      <c r="C10241">
        <f>"101220"</f>
        <v>0</v>
      </c>
      <c r="D10241">
        <v>0</v>
      </c>
      <c r="E10241">
        <v>0</v>
      </c>
      <c r="F10241" s="2">
        <v>0</v>
      </c>
      <c r="H10241">
        <v>0</v>
      </c>
      <c r="I10241">
        <v>0.1741125760648204</v>
      </c>
      <c r="J10241">
        <v>0</v>
      </c>
      <c r="K10241">
        <v>0</v>
      </c>
      <c r="L10241" s="2">
        <v>0</v>
      </c>
      <c r="M10241">
        <v>99.52</v>
      </c>
      <c r="N10241" t="s">
        <v>10237</v>
      </c>
    </row>
    <row r="10242" spans="1:14">
      <c r="A10242" t="s">
        <v>193</v>
      </c>
      <c r="B10242" t="s">
        <v>10176</v>
      </c>
      <c r="C10242">
        <f>"300902"</f>
        <v>0</v>
      </c>
      <c r="D10242">
        <v>0</v>
      </c>
      <c r="E10242">
        <v>0</v>
      </c>
      <c r="F10242" s="2">
        <v>0</v>
      </c>
      <c r="H10242">
        <v>0</v>
      </c>
      <c r="I10242">
        <v>0.1741125760648204</v>
      </c>
      <c r="J10242">
        <v>0</v>
      </c>
      <c r="K10242">
        <v>0</v>
      </c>
      <c r="L10242" s="2">
        <v>0</v>
      </c>
      <c r="M10242">
        <v>99.53</v>
      </c>
      <c r="N10242" t="s">
        <v>10237</v>
      </c>
    </row>
    <row r="10243" spans="1:14">
      <c r="A10243" t="s">
        <v>35</v>
      </c>
      <c r="B10243" t="s">
        <v>10177</v>
      </c>
      <c r="C10243">
        <f>"LY001MA"</f>
        <v>0</v>
      </c>
      <c r="D10243">
        <v>0</v>
      </c>
      <c r="E10243">
        <v>9</v>
      </c>
      <c r="F10243" s="2">
        <v>3</v>
      </c>
      <c r="H10243">
        <v>0</v>
      </c>
      <c r="I10243">
        <v>0.1741125760648204</v>
      </c>
      <c r="J10243">
        <v>0</v>
      </c>
      <c r="K10243">
        <v>0</v>
      </c>
      <c r="L10243" s="2">
        <v>0</v>
      </c>
      <c r="M10243">
        <v>99.54000000000001</v>
      </c>
      <c r="N10243" t="s">
        <v>10237</v>
      </c>
    </row>
    <row r="10244" spans="1:14">
      <c r="A10244" t="s">
        <v>35</v>
      </c>
      <c r="B10244" t="s">
        <v>10178</v>
      </c>
      <c r="C10244">
        <f>"W007L"</f>
        <v>0</v>
      </c>
      <c r="D10244">
        <v>0</v>
      </c>
      <c r="E10244">
        <v>0</v>
      </c>
      <c r="F10244" s="2">
        <v>0</v>
      </c>
      <c r="H10244">
        <v>0</v>
      </c>
      <c r="I10244">
        <v>0.1741125760648204</v>
      </c>
      <c r="J10244">
        <v>0</v>
      </c>
      <c r="K10244">
        <v>0</v>
      </c>
      <c r="L10244" s="2">
        <v>0</v>
      </c>
      <c r="M10244">
        <v>99.55</v>
      </c>
      <c r="N10244" t="s">
        <v>10237</v>
      </c>
    </row>
    <row r="10245" spans="1:14">
      <c r="A10245" t="s">
        <v>218</v>
      </c>
      <c r="B10245" t="s">
        <v>10179</v>
      </c>
      <c r="C10245">
        <f>"1004120"</f>
        <v>0</v>
      </c>
      <c r="D10245">
        <v>0</v>
      </c>
      <c r="E10245">
        <v>0</v>
      </c>
      <c r="F10245" s="2">
        <v>0</v>
      </c>
      <c r="H10245">
        <v>0</v>
      </c>
      <c r="I10245">
        <v>0.1741125760648204</v>
      </c>
      <c r="J10245">
        <v>0</v>
      </c>
      <c r="K10245">
        <v>0</v>
      </c>
      <c r="L10245" s="2">
        <v>0</v>
      </c>
      <c r="M10245">
        <v>99.56</v>
      </c>
      <c r="N10245" t="s">
        <v>10237</v>
      </c>
    </row>
    <row r="10246" spans="1:14">
      <c r="A10246" t="s">
        <v>197</v>
      </c>
      <c r="B10246" t="s">
        <v>10180</v>
      </c>
      <c r="C10246">
        <f>"5000371"</f>
        <v>0</v>
      </c>
      <c r="D10246">
        <v>0</v>
      </c>
      <c r="E10246">
        <v>0</v>
      </c>
      <c r="F10246" s="2">
        <v>0</v>
      </c>
      <c r="H10246">
        <v>0</v>
      </c>
      <c r="I10246">
        <v>0.1741125760648204</v>
      </c>
      <c r="J10246">
        <v>0</v>
      </c>
      <c r="K10246">
        <v>0</v>
      </c>
      <c r="L10246" s="2">
        <v>0</v>
      </c>
      <c r="M10246">
        <v>99.56999999999999</v>
      </c>
      <c r="N10246" t="s">
        <v>10237</v>
      </c>
    </row>
    <row r="10247" spans="1:14">
      <c r="A10247" t="s">
        <v>197</v>
      </c>
      <c r="B10247" t="s">
        <v>10181</v>
      </c>
      <c r="C10247">
        <f>"5006440"</f>
        <v>0</v>
      </c>
      <c r="D10247">
        <v>0</v>
      </c>
      <c r="E10247">
        <v>0</v>
      </c>
      <c r="F10247" s="2">
        <v>0</v>
      </c>
      <c r="H10247">
        <v>0</v>
      </c>
      <c r="I10247">
        <v>0.1741125760648204</v>
      </c>
      <c r="J10247">
        <v>0</v>
      </c>
      <c r="K10247">
        <v>0</v>
      </c>
      <c r="L10247" s="2">
        <v>0</v>
      </c>
      <c r="M10247">
        <v>99.58</v>
      </c>
      <c r="N10247" t="s">
        <v>10237</v>
      </c>
    </row>
    <row r="10248" spans="1:14">
      <c r="A10248" t="s">
        <v>197</v>
      </c>
      <c r="B10248" t="s">
        <v>10182</v>
      </c>
      <c r="C10248">
        <f>"ANS39"</f>
        <v>0</v>
      </c>
      <c r="D10248">
        <v>0</v>
      </c>
      <c r="E10248">
        <v>0</v>
      </c>
      <c r="F10248" s="2">
        <v>0</v>
      </c>
      <c r="H10248">
        <v>0</v>
      </c>
      <c r="I10248">
        <v>0.1741125760648204</v>
      </c>
      <c r="J10248">
        <v>0</v>
      </c>
      <c r="K10248">
        <v>0</v>
      </c>
      <c r="L10248" s="2">
        <v>0</v>
      </c>
      <c r="M10248">
        <v>99.59</v>
      </c>
      <c r="N10248" t="s">
        <v>10237</v>
      </c>
    </row>
    <row r="10249" spans="1:14">
      <c r="A10249" t="s">
        <v>197</v>
      </c>
      <c r="B10249" t="s">
        <v>10183</v>
      </c>
      <c r="C10249">
        <f>"ANS40"</f>
        <v>0</v>
      </c>
      <c r="D10249">
        <v>0</v>
      </c>
      <c r="E10249">
        <v>0</v>
      </c>
      <c r="F10249" s="2">
        <v>0</v>
      </c>
      <c r="H10249">
        <v>0</v>
      </c>
      <c r="I10249">
        <v>0.1741125760648204</v>
      </c>
      <c r="J10249">
        <v>0</v>
      </c>
      <c r="K10249">
        <v>0</v>
      </c>
      <c r="L10249" s="2">
        <v>0</v>
      </c>
      <c r="M10249">
        <v>99.59999999999999</v>
      </c>
      <c r="N10249" t="s">
        <v>10237</v>
      </c>
    </row>
    <row r="10250" spans="1:14">
      <c r="A10250" t="s">
        <v>197</v>
      </c>
      <c r="B10250" t="s">
        <v>10184</v>
      </c>
      <c r="C10250">
        <f>"ANS41"</f>
        <v>0</v>
      </c>
      <c r="D10250">
        <v>0</v>
      </c>
      <c r="E10250">
        <v>0</v>
      </c>
      <c r="F10250" s="2">
        <v>0</v>
      </c>
      <c r="H10250">
        <v>0</v>
      </c>
      <c r="I10250">
        <v>0.1741125760648204</v>
      </c>
      <c r="J10250">
        <v>0</v>
      </c>
      <c r="K10250">
        <v>0</v>
      </c>
      <c r="L10250" s="2">
        <v>0</v>
      </c>
      <c r="M10250">
        <v>99.61</v>
      </c>
      <c r="N10250" t="s">
        <v>10237</v>
      </c>
    </row>
    <row r="10251" spans="1:14">
      <c r="A10251" t="s">
        <v>197</v>
      </c>
      <c r="B10251" t="s">
        <v>10185</v>
      </c>
      <c r="C10251">
        <f>"ANS42"</f>
        <v>0</v>
      </c>
      <c r="D10251">
        <v>0</v>
      </c>
      <c r="E10251">
        <v>0</v>
      </c>
      <c r="F10251" s="2">
        <v>0</v>
      </c>
      <c r="H10251">
        <v>0</v>
      </c>
      <c r="I10251">
        <v>0.1741125760648204</v>
      </c>
      <c r="J10251">
        <v>0</v>
      </c>
      <c r="K10251">
        <v>0</v>
      </c>
      <c r="L10251" s="2">
        <v>0</v>
      </c>
      <c r="M10251">
        <v>99.62</v>
      </c>
      <c r="N10251" t="s">
        <v>10237</v>
      </c>
    </row>
    <row r="10252" spans="1:14">
      <c r="A10252" t="s">
        <v>197</v>
      </c>
      <c r="B10252" t="s">
        <v>10186</v>
      </c>
      <c r="C10252">
        <f>"5006439"</f>
        <v>0</v>
      </c>
      <c r="D10252">
        <v>0</v>
      </c>
      <c r="E10252">
        <v>0</v>
      </c>
      <c r="F10252" s="2">
        <v>0</v>
      </c>
      <c r="H10252">
        <v>0</v>
      </c>
      <c r="I10252">
        <v>0.1741125760648204</v>
      </c>
      <c r="J10252">
        <v>0</v>
      </c>
      <c r="K10252">
        <v>0</v>
      </c>
      <c r="L10252" s="2">
        <v>0</v>
      </c>
      <c r="M10252">
        <v>99.63</v>
      </c>
      <c r="N10252" t="s">
        <v>10237</v>
      </c>
    </row>
    <row r="10253" spans="1:14">
      <c r="A10253" t="s">
        <v>35</v>
      </c>
      <c r="B10253" t="s">
        <v>10187</v>
      </c>
      <c r="C10253">
        <f>"XB1861CRS"</f>
        <v>0</v>
      </c>
      <c r="D10253">
        <v>0</v>
      </c>
      <c r="E10253">
        <v>9</v>
      </c>
      <c r="F10253" s="2">
        <v>8</v>
      </c>
      <c r="H10253">
        <v>0</v>
      </c>
      <c r="I10253">
        <v>0.1741125760648204</v>
      </c>
      <c r="J10253">
        <v>0</v>
      </c>
      <c r="K10253">
        <v>0</v>
      </c>
      <c r="L10253" s="2">
        <v>0</v>
      </c>
      <c r="M10253">
        <v>99.63</v>
      </c>
      <c r="N10253" t="s">
        <v>10237</v>
      </c>
    </row>
    <row r="10254" spans="1:14">
      <c r="A10254" t="s">
        <v>35</v>
      </c>
      <c r="B10254" t="s">
        <v>10188</v>
      </c>
      <c r="C10254">
        <f>"XB09074"</f>
        <v>0</v>
      </c>
      <c r="D10254">
        <v>0</v>
      </c>
      <c r="E10254">
        <v>0</v>
      </c>
      <c r="F10254" s="2">
        <v>0</v>
      </c>
      <c r="H10254">
        <v>0</v>
      </c>
      <c r="I10254">
        <v>0.1741125760648204</v>
      </c>
      <c r="J10254">
        <v>0</v>
      </c>
      <c r="K10254">
        <v>0</v>
      </c>
      <c r="L10254" s="2">
        <v>0</v>
      </c>
      <c r="M10254">
        <v>99.64</v>
      </c>
      <c r="N10254" t="s">
        <v>10237</v>
      </c>
    </row>
    <row r="10255" spans="1:14">
      <c r="A10255" t="s">
        <v>35</v>
      </c>
      <c r="B10255" t="s">
        <v>10189</v>
      </c>
      <c r="C10255">
        <f>"XB09071"</f>
        <v>0</v>
      </c>
      <c r="D10255">
        <v>0</v>
      </c>
      <c r="E10255">
        <v>2</v>
      </c>
      <c r="F10255" s="2">
        <v>5</v>
      </c>
      <c r="H10255">
        <v>0</v>
      </c>
      <c r="I10255">
        <v>0.1741125760648204</v>
      </c>
      <c r="J10255">
        <v>0</v>
      </c>
      <c r="K10255">
        <v>0</v>
      </c>
      <c r="L10255" s="2">
        <v>0</v>
      </c>
      <c r="M10255">
        <v>99.65000000000001</v>
      </c>
      <c r="N10255" t="s">
        <v>10237</v>
      </c>
    </row>
    <row r="10256" spans="1:14">
      <c r="A10256" t="s">
        <v>35</v>
      </c>
      <c r="B10256" t="s">
        <v>10190</v>
      </c>
      <c r="C10256">
        <f>"XB09072"</f>
        <v>0</v>
      </c>
      <c r="D10256">
        <v>0</v>
      </c>
      <c r="E10256">
        <v>0</v>
      </c>
      <c r="F10256" s="2">
        <v>0</v>
      </c>
      <c r="H10256">
        <v>0</v>
      </c>
      <c r="I10256">
        <v>0.1741125760648204</v>
      </c>
      <c r="J10256">
        <v>0</v>
      </c>
      <c r="K10256">
        <v>0</v>
      </c>
      <c r="L10256" s="2">
        <v>0</v>
      </c>
      <c r="M10256">
        <v>99.66</v>
      </c>
      <c r="N10256" t="s">
        <v>10237</v>
      </c>
    </row>
    <row r="10257" spans="1:14">
      <c r="A10257" t="s">
        <v>29</v>
      </c>
      <c r="B10257" t="s">
        <v>10191</v>
      </c>
      <c r="C10257">
        <f>"PMGA50"</f>
        <v>0</v>
      </c>
      <c r="D10257">
        <v>0</v>
      </c>
      <c r="E10257">
        <v>0</v>
      </c>
      <c r="F10257" s="2">
        <v>0</v>
      </c>
      <c r="H10257">
        <v>0</v>
      </c>
      <c r="I10257">
        <v>0.1741125760648204</v>
      </c>
      <c r="J10257">
        <v>0</v>
      </c>
      <c r="K10257">
        <v>0</v>
      </c>
      <c r="L10257" s="2">
        <v>0</v>
      </c>
      <c r="M10257">
        <v>99.67</v>
      </c>
      <c r="N10257" t="s">
        <v>10237</v>
      </c>
    </row>
    <row r="10258" spans="1:14">
      <c r="A10258" t="s">
        <v>197</v>
      </c>
      <c r="B10258" t="s">
        <v>10192</v>
      </c>
      <c r="C10258">
        <f>"ANS37"</f>
        <v>0</v>
      </c>
      <c r="D10258">
        <v>0</v>
      </c>
      <c r="E10258">
        <v>0</v>
      </c>
      <c r="F10258" s="2">
        <v>0</v>
      </c>
      <c r="H10258">
        <v>0</v>
      </c>
      <c r="I10258">
        <v>0.1741125760648204</v>
      </c>
      <c r="J10258">
        <v>0</v>
      </c>
      <c r="K10258">
        <v>0</v>
      </c>
      <c r="L10258" s="2">
        <v>0</v>
      </c>
      <c r="M10258">
        <v>99.68000000000001</v>
      </c>
      <c r="N10258" t="s">
        <v>10237</v>
      </c>
    </row>
    <row r="10259" spans="1:14">
      <c r="A10259" t="s">
        <v>197</v>
      </c>
      <c r="B10259" t="s">
        <v>10193</v>
      </c>
      <c r="C10259">
        <f>"5000266"</f>
        <v>0</v>
      </c>
      <c r="D10259">
        <v>0</v>
      </c>
      <c r="E10259">
        <v>0</v>
      </c>
      <c r="F10259" s="2">
        <v>0</v>
      </c>
      <c r="H10259">
        <v>0</v>
      </c>
      <c r="I10259">
        <v>0.1741125760648204</v>
      </c>
      <c r="J10259">
        <v>0</v>
      </c>
      <c r="K10259">
        <v>0</v>
      </c>
      <c r="L10259" s="2">
        <v>0</v>
      </c>
      <c r="M10259">
        <v>99.69</v>
      </c>
      <c r="N10259" t="s">
        <v>10237</v>
      </c>
    </row>
    <row r="10260" spans="1:14">
      <c r="A10260" t="s">
        <v>197</v>
      </c>
      <c r="B10260" t="s">
        <v>10194</v>
      </c>
      <c r="C10260">
        <f>"5008805"</f>
        <v>0</v>
      </c>
      <c r="D10260">
        <v>0</v>
      </c>
      <c r="E10260">
        <v>15</v>
      </c>
      <c r="F10260" s="2">
        <v>2</v>
      </c>
      <c r="H10260">
        <v>0</v>
      </c>
      <c r="I10260">
        <v>0.1741125760648204</v>
      </c>
      <c r="J10260">
        <v>0</v>
      </c>
      <c r="K10260">
        <v>0</v>
      </c>
      <c r="L10260" s="2">
        <v>0</v>
      </c>
      <c r="M10260">
        <v>99.7</v>
      </c>
      <c r="N10260" t="s">
        <v>10237</v>
      </c>
    </row>
    <row r="10261" spans="1:14">
      <c r="A10261" t="s">
        <v>197</v>
      </c>
      <c r="B10261" t="s">
        <v>10195</v>
      </c>
      <c r="C10261">
        <f>"5008806"</f>
        <v>0</v>
      </c>
      <c r="D10261">
        <v>0</v>
      </c>
      <c r="E10261">
        <v>0</v>
      </c>
      <c r="F10261" s="2">
        <v>0</v>
      </c>
      <c r="H10261">
        <v>0</v>
      </c>
      <c r="I10261">
        <v>0.1741125760648204</v>
      </c>
      <c r="J10261">
        <v>0</v>
      </c>
      <c r="K10261">
        <v>0</v>
      </c>
      <c r="L10261" s="2">
        <v>0</v>
      </c>
      <c r="M10261">
        <v>99.70999999999999</v>
      </c>
      <c r="N10261" t="s">
        <v>10237</v>
      </c>
    </row>
    <row r="10262" spans="1:14">
      <c r="A10262" t="s">
        <v>29</v>
      </c>
      <c r="B10262" t="s">
        <v>10196</v>
      </c>
      <c r="C10262">
        <f>"77074"</f>
        <v>0</v>
      </c>
      <c r="D10262">
        <v>0</v>
      </c>
      <c r="E10262">
        <v>3</v>
      </c>
      <c r="F10262" s="2">
        <v>2</v>
      </c>
      <c r="H10262">
        <v>0</v>
      </c>
      <c r="I10262">
        <v>0.1741125760648204</v>
      </c>
      <c r="J10262">
        <v>0</v>
      </c>
      <c r="K10262">
        <v>0</v>
      </c>
      <c r="L10262" s="2">
        <v>0</v>
      </c>
      <c r="M10262">
        <v>99.72</v>
      </c>
      <c r="N10262" t="s">
        <v>10237</v>
      </c>
    </row>
    <row r="10263" spans="1:14">
      <c r="A10263" t="s">
        <v>29</v>
      </c>
      <c r="B10263" t="s">
        <v>10197</v>
      </c>
      <c r="C10263">
        <f>"77076"</f>
        <v>0</v>
      </c>
      <c r="D10263">
        <v>0</v>
      </c>
      <c r="E10263">
        <v>0</v>
      </c>
      <c r="F10263" s="2">
        <v>0</v>
      </c>
      <c r="H10263">
        <v>0</v>
      </c>
      <c r="I10263">
        <v>0.1741125760648204</v>
      </c>
      <c r="J10263">
        <v>0</v>
      </c>
      <c r="K10263">
        <v>0</v>
      </c>
      <c r="L10263" s="2">
        <v>0</v>
      </c>
      <c r="M10263">
        <v>99.73</v>
      </c>
      <c r="N10263" t="s">
        <v>10237</v>
      </c>
    </row>
    <row r="10264" spans="1:14">
      <c r="A10264" t="s">
        <v>29</v>
      </c>
      <c r="B10264" t="s">
        <v>10198</v>
      </c>
      <c r="C10264">
        <f>"77073"</f>
        <v>0</v>
      </c>
      <c r="D10264">
        <v>0</v>
      </c>
      <c r="E10264">
        <v>10</v>
      </c>
      <c r="F10264" s="2">
        <v>1</v>
      </c>
      <c r="H10264">
        <v>0</v>
      </c>
      <c r="I10264">
        <v>0.1741125760648204</v>
      </c>
      <c r="J10264">
        <v>0</v>
      </c>
      <c r="K10264">
        <v>0</v>
      </c>
      <c r="L10264" s="2">
        <v>0</v>
      </c>
      <c r="M10264">
        <v>99.73999999999999</v>
      </c>
      <c r="N10264" t="s">
        <v>10237</v>
      </c>
    </row>
    <row r="10265" spans="1:14">
      <c r="A10265" t="s">
        <v>35</v>
      </c>
      <c r="B10265" t="s">
        <v>10199</v>
      </c>
      <c r="C10265">
        <f>"LY001MT"</f>
        <v>0</v>
      </c>
      <c r="D10265">
        <v>0</v>
      </c>
      <c r="E10265">
        <v>12</v>
      </c>
      <c r="F10265" s="2">
        <v>3</v>
      </c>
      <c r="H10265">
        <v>0</v>
      </c>
      <c r="I10265">
        <v>0.1741125760648204</v>
      </c>
      <c r="J10265">
        <v>0</v>
      </c>
      <c r="K10265">
        <v>0</v>
      </c>
      <c r="L10265" s="2">
        <v>0</v>
      </c>
      <c r="M10265">
        <v>99.75</v>
      </c>
      <c r="N10265" t="s">
        <v>10237</v>
      </c>
    </row>
    <row r="10266" spans="1:14">
      <c r="A10266" t="s">
        <v>35</v>
      </c>
      <c r="B10266" t="s">
        <v>10200</v>
      </c>
      <c r="C10266">
        <f>"LY001MTB"</f>
        <v>0</v>
      </c>
      <c r="D10266">
        <v>0</v>
      </c>
      <c r="E10266">
        <v>8</v>
      </c>
      <c r="F10266" s="2">
        <v>3</v>
      </c>
      <c r="H10266">
        <v>0</v>
      </c>
      <c r="I10266">
        <v>0.1741125760648204</v>
      </c>
      <c r="J10266">
        <v>0</v>
      </c>
      <c r="K10266">
        <v>0</v>
      </c>
      <c r="L10266" s="2">
        <v>0</v>
      </c>
      <c r="M10266">
        <v>99.75</v>
      </c>
      <c r="N10266" t="s">
        <v>10237</v>
      </c>
    </row>
    <row r="10267" spans="1:14">
      <c r="A10267" t="s">
        <v>35</v>
      </c>
      <c r="B10267" t="s">
        <v>10201</v>
      </c>
      <c r="C10267">
        <f>"LY001MG"</f>
        <v>0</v>
      </c>
      <c r="D10267">
        <v>0</v>
      </c>
      <c r="E10267">
        <v>25</v>
      </c>
      <c r="F10267" s="2">
        <v>3</v>
      </c>
      <c r="H10267">
        <v>0</v>
      </c>
      <c r="I10267">
        <v>0.1741125760648204</v>
      </c>
      <c r="J10267">
        <v>0</v>
      </c>
      <c r="K10267">
        <v>0</v>
      </c>
      <c r="L10267" s="2">
        <v>0</v>
      </c>
      <c r="M10267">
        <v>99.76000000000001</v>
      </c>
      <c r="N10267" t="s">
        <v>10237</v>
      </c>
    </row>
    <row r="10268" spans="1:14">
      <c r="A10268" t="s">
        <v>29</v>
      </c>
      <c r="B10268" t="s">
        <v>10202</v>
      </c>
      <c r="C10268">
        <f>"70371"</f>
        <v>0</v>
      </c>
      <c r="D10268">
        <v>0</v>
      </c>
      <c r="E10268">
        <v>4</v>
      </c>
      <c r="F10268" s="2">
        <v>1</v>
      </c>
      <c r="H10268">
        <v>0</v>
      </c>
      <c r="I10268">
        <v>0.1741125760648204</v>
      </c>
      <c r="J10268">
        <v>0</v>
      </c>
      <c r="K10268">
        <v>0</v>
      </c>
      <c r="L10268" s="2">
        <v>0</v>
      </c>
      <c r="M10268">
        <v>99.77</v>
      </c>
      <c r="N10268" t="s">
        <v>10237</v>
      </c>
    </row>
    <row r="10269" spans="1:14">
      <c r="A10269" t="s">
        <v>214</v>
      </c>
      <c r="B10269" t="s">
        <v>10203</v>
      </c>
      <c r="C10269">
        <f>"77173"</f>
        <v>0</v>
      </c>
      <c r="D10269">
        <v>0</v>
      </c>
      <c r="E10269">
        <v>3</v>
      </c>
      <c r="F10269" s="2">
        <v>2</v>
      </c>
      <c r="H10269">
        <v>0</v>
      </c>
      <c r="I10269">
        <v>0.1741125760648204</v>
      </c>
      <c r="J10269">
        <v>0</v>
      </c>
      <c r="K10269">
        <v>0</v>
      </c>
      <c r="L10269" s="2">
        <v>0</v>
      </c>
      <c r="M10269">
        <v>99.78</v>
      </c>
      <c r="N10269" t="s">
        <v>10237</v>
      </c>
    </row>
    <row r="10270" spans="1:14">
      <c r="A10270" t="s">
        <v>29</v>
      </c>
      <c r="B10270" t="s">
        <v>10204</v>
      </c>
      <c r="C10270">
        <f>"77176"</f>
        <v>0</v>
      </c>
      <c r="D10270">
        <v>0</v>
      </c>
      <c r="E10270">
        <v>0</v>
      </c>
      <c r="F10270" s="2">
        <v>0</v>
      </c>
      <c r="H10270">
        <v>0</v>
      </c>
      <c r="I10270">
        <v>0.1741125760648204</v>
      </c>
      <c r="J10270">
        <v>0</v>
      </c>
      <c r="K10270">
        <v>0</v>
      </c>
      <c r="L10270" s="2">
        <v>0</v>
      </c>
      <c r="M10270">
        <v>99.79000000000001</v>
      </c>
      <c r="N10270" t="s">
        <v>10237</v>
      </c>
    </row>
    <row r="10271" spans="1:14">
      <c r="A10271" t="s">
        <v>223</v>
      </c>
      <c r="B10271" t="s">
        <v>10205</v>
      </c>
      <c r="C10271">
        <f>"5213120"</f>
        <v>0</v>
      </c>
      <c r="D10271">
        <v>0</v>
      </c>
      <c r="E10271">
        <v>0</v>
      </c>
      <c r="F10271" s="2">
        <v>0</v>
      </c>
      <c r="H10271">
        <v>0</v>
      </c>
      <c r="I10271">
        <v>0.1741125760648204</v>
      </c>
      <c r="J10271">
        <v>0</v>
      </c>
      <c r="K10271">
        <v>0</v>
      </c>
      <c r="L10271" s="2">
        <v>0</v>
      </c>
      <c r="M10271">
        <v>99.8</v>
      </c>
      <c r="N10271" t="s">
        <v>10237</v>
      </c>
    </row>
    <row r="10272" spans="1:14">
      <c r="A10272" t="s">
        <v>223</v>
      </c>
      <c r="B10272" t="s">
        <v>10206</v>
      </c>
      <c r="C10272">
        <f>"10503011"</f>
        <v>0</v>
      </c>
      <c r="D10272">
        <v>0</v>
      </c>
      <c r="E10272">
        <v>0</v>
      </c>
      <c r="F10272" s="2">
        <v>0</v>
      </c>
      <c r="H10272">
        <v>0</v>
      </c>
      <c r="I10272">
        <v>0.1741125760648204</v>
      </c>
      <c r="J10272">
        <v>0</v>
      </c>
      <c r="K10272">
        <v>0</v>
      </c>
      <c r="L10272" s="2">
        <v>0</v>
      </c>
      <c r="M10272">
        <v>99.81</v>
      </c>
      <c r="N10272" t="s">
        <v>10237</v>
      </c>
    </row>
    <row r="10273" spans="1:14">
      <c r="A10273" t="s">
        <v>197</v>
      </c>
      <c r="B10273" t="s">
        <v>10207</v>
      </c>
      <c r="C10273">
        <f>"ANS33"</f>
        <v>0</v>
      </c>
      <c r="D10273">
        <v>0</v>
      </c>
      <c r="E10273">
        <v>0</v>
      </c>
      <c r="F10273" s="2">
        <v>0</v>
      </c>
      <c r="H10273">
        <v>0</v>
      </c>
      <c r="I10273">
        <v>0.1741125760648204</v>
      </c>
      <c r="J10273">
        <v>0</v>
      </c>
      <c r="K10273">
        <v>0</v>
      </c>
      <c r="L10273" s="2">
        <v>0</v>
      </c>
      <c r="M10273">
        <v>99.81999999999999</v>
      </c>
      <c r="N10273" t="s">
        <v>10237</v>
      </c>
    </row>
    <row r="10274" spans="1:14">
      <c r="A10274" t="s">
        <v>35</v>
      </c>
      <c r="B10274" t="s">
        <v>10208</v>
      </c>
      <c r="C10274">
        <f>"S0107005"</f>
        <v>0</v>
      </c>
      <c r="D10274">
        <v>1</v>
      </c>
      <c r="E10274">
        <v>25</v>
      </c>
      <c r="F10274" s="2">
        <v>9</v>
      </c>
      <c r="G10274">
        <v>100</v>
      </c>
      <c r="H10274">
        <v>1</v>
      </c>
      <c r="I10274">
        <v>0.1740551579251503</v>
      </c>
      <c r="J10274">
        <v>0</v>
      </c>
      <c r="K10274">
        <v>0</v>
      </c>
      <c r="L10274" s="2">
        <v>0</v>
      </c>
      <c r="M10274">
        <v>99.83</v>
      </c>
      <c r="N10274" t="s">
        <v>10237</v>
      </c>
    </row>
    <row r="10275" spans="1:14">
      <c r="A10275" t="s">
        <v>25</v>
      </c>
      <c r="B10275" t="s">
        <v>10209</v>
      </c>
      <c r="C10275">
        <f>"4201VE"</f>
        <v>0</v>
      </c>
      <c r="D10275">
        <v>0</v>
      </c>
      <c r="E10275">
        <v>1</v>
      </c>
      <c r="F10275" s="2">
        <v>5</v>
      </c>
      <c r="H10275">
        <v>0</v>
      </c>
      <c r="I10275">
        <v>0.1739272819471734</v>
      </c>
      <c r="J10275">
        <v>0</v>
      </c>
      <c r="K10275">
        <v>0</v>
      </c>
      <c r="L10275" s="2">
        <v>0</v>
      </c>
      <c r="M10275">
        <v>99.84</v>
      </c>
      <c r="N10275" t="s">
        <v>10237</v>
      </c>
    </row>
    <row r="10276" spans="1:14">
      <c r="A10276" t="s">
        <v>25</v>
      </c>
      <c r="B10276" t="s">
        <v>10210</v>
      </c>
      <c r="C10276">
        <f>"4201CEL"</f>
        <v>0</v>
      </c>
      <c r="D10276">
        <v>0</v>
      </c>
      <c r="E10276">
        <v>1</v>
      </c>
      <c r="F10276" s="2">
        <v>5</v>
      </c>
      <c r="H10276">
        <v>0</v>
      </c>
      <c r="I10276">
        <v>0.1739272819471734</v>
      </c>
      <c r="J10276">
        <v>0</v>
      </c>
      <c r="K10276">
        <v>0</v>
      </c>
      <c r="L10276" s="2">
        <v>0</v>
      </c>
      <c r="M10276">
        <v>99.84999999999999</v>
      </c>
      <c r="N10276" t="s">
        <v>10237</v>
      </c>
    </row>
    <row r="10277" spans="1:14">
      <c r="A10277" t="s">
        <v>29</v>
      </c>
      <c r="B10277" t="s">
        <v>10211</v>
      </c>
      <c r="C10277">
        <f>"C380BL"</f>
        <v>0</v>
      </c>
      <c r="D10277">
        <v>1</v>
      </c>
      <c r="E10277">
        <v>1</v>
      </c>
      <c r="F10277" s="2">
        <v>35</v>
      </c>
      <c r="G10277">
        <v>4</v>
      </c>
      <c r="H10277">
        <v>1</v>
      </c>
      <c r="I10277">
        <v>0.1735841133004041</v>
      </c>
      <c r="J10277">
        <v>0</v>
      </c>
      <c r="K10277">
        <v>0</v>
      </c>
      <c r="L10277" s="2">
        <v>0</v>
      </c>
      <c r="M10277">
        <v>99.86</v>
      </c>
      <c r="N10277" t="s">
        <v>10237</v>
      </c>
    </row>
    <row r="10278" spans="1:14">
      <c r="A10278" t="s">
        <v>30</v>
      </c>
      <c r="B10278" t="s">
        <v>10212</v>
      </c>
      <c r="C10278">
        <f>"101320"</f>
        <v>0</v>
      </c>
      <c r="D10278">
        <v>6</v>
      </c>
      <c r="E10278">
        <v>4</v>
      </c>
      <c r="F10278" s="2">
        <v>4</v>
      </c>
      <c r="G10278">
        <v>2.67</v>
      </c>
      <c r="H10278">
        <v>3</v>
      </c>
      <c r="I10278">
        <v>0.173428716314021</v>
      </c>
      <c r="J10278">
        <v>2</v>
      </c>
      <c r="K10278">
        <v>0</v>
      </c>
      <c r="L10278" s="2">
        <v>0</v>
      </c>
      <c r="M10278">
        <v>99.87</v>
      </c>
      <c r="N10278" t="s">
        <v>10237</v>
      </c>
    </row>
    <row r="10279" spans="1:14">
      <c r="A10279" t="s">
        <v>30</v>
      </c>
      <c r="B10279" t="s">
        <v>10213</v>
      </c>
      <c r="C10279">
        <f>"100530"</f>
        <v>0</v>
      </c>
      <c r="D10279">
        <v>2</v>
      </c>
      <c r="E10279">
        <v>2</v>
      </c>
      <c r="F10279" s="2">
        <v>44</v>
      </c>
      <c r="G10279">
        <v>4</v>
      </c>
      <c r="H10279">
        <v>1</v>
      </c>
      <c r="I10279">
        <v>0.1724266444507954</v>
      </c>
      <c r="J10279">
        <v>0</v>
      </c>
      <c r="K10279">
        <v>0</v>
      </c>
      <c r="L10279" s="2">
        <v>0</v>
      </c>
      <c r="M10279">
        <v>99.87</v>
      </c>
      <c r="N10279" t="s">
        <v>10237</v>
      </c>
    </row>
    <row r="10280" spans="1:14">
      <c r="A10280" t="s">
        <v>35</v>
      </c>
      <c r="B10280" t="s">
        <v>10214</v>
      </c>
      <c r="C10280">
        <f>"XDB450E"</f>
        <v>0</v>
      </c>
      <c r="D10280">
        <v>2</v>
      </c>
      <c r="E10280">
        <v>3</v>
      </c>
      <c r="F10280" s="2">
        <v>74</v>
      </c>
      <c r="G10280">
        <v>6</v>
      </c>
      <c r="H10280">
        <v>2</v>
      </c>
      <c r="I10280">
        <v>0.171806867574528</v>
      </c>
      <c r="J10280">
        <v>0</v>
      </c>
      <c r="K10280">
        <v>0</v>
      </c>
      <c r="L10280" s="2">
        <v>0</v>
      </c>
      <c r="M10280">
        <v>99.88</v>
      </c>
      <c r="N10280" t="s">
        <v>10237</v>
      </c>
    </row>
    <row r="10281" spans="1:14">
      <c r="A10281" t="s">
        <v>30</v>
      </c>
      <c r="B10281" t="s">
        <v>10215</v>
      </c>
      <c r="C10281">
        <f>"100523"</f>
        <v>0</v>
      </c>
      <c r="D10281">
        <v>9</v>
      </c>
      <c r="E10281">
        <v>11</v>
      </c>
      <c r="F10281" s="2">
        <v>13</v>
      </c>
      <c r="G10281">
        <v>4.89</v>
      </c>
      <c r="H10281">
        <v>3</v>
      </c>
      <c r="I10281">
        <v>0.1695370906982579</v>
      </c>
      <c r="J10281">
        <v>2</v>
      </c>
      <c r="K10281">
        <v>0</v>
      </c>
      <c r="L10281" s="2">
        <v>0</v>
      </c>
      <c r="M10281">
        <v>99.89</v>
      </c>
      <c r="N10281" t="s">
        <v>10237</v>
      </c>
    </row>
    <row r="10282" spans="1:14">
      <c r="A10282" t="s">
        <v>35</v>
      </c>
      <c r="B10282" t="s">
        <v>10216</v>
      </c>
      <c r="C10282">
        <f>"D046XS"</f>
        <v>0</v>
      </c>
      <c r="D10282">
        <v>5</v>
      </c>
      <c r="E10282">
        <v>3</v>
      </c>
      <c r="F10282" s="2">
        <v>1</v>
      </c>
      <c r="G10282">
        <v>2.4</v>
      </c>
      <c r="H10282">
        <v>2</v>
      </c>
      <c r="I10282">
        <v>0.1649050999709368</v>
      </c>
      <c r="J10282">
        <v>1</v>
      </c>
      <c r="K10282">
        <v>0</v>
      </c>
      <c r="L10282" s="2">
        <v>0</v>
      </c>
      <c r="M10282">
        <v>99.90000000000001</v>
      </c>
      <c r="N10282" t="s">
        <v>10237</v>
      </c>
    </row>
    <row r="10283" spans="1:14">
      <c r="A10283" t="s">
        <v>35</v>
      </c>
      <c r="B10283" t="s">
        <v>10217</v>
      </c>
      <c r="C10283">
        <f>"HP1113XS"</f>
        <v>0</v>
      </c>
      <c r="D10283">
        <v>4</v>
      </c>
      <c r="E10283">
        <v>0</v>
      </c>
      <c r="F10283" s="2">
        <v>0</v>
      </c>
      <c r="G10283">
        <v>0</v>
      </c>
      <c r="H10283">
        <v>3</v>
      </c>
      <c r="I10283">
        <v>0.1566857432127663</v>
      </c>
      <c r="J10283">
        <v>1</v>
      </c>
      <c r="K10283">
        <v>1</v>
      </c>
      <c r="L10283" s="2">
        <v>0</v>
      </c>
      <c r="M10283">
        <v>99.91</v>
      </c>
      <c r="N10283" t="s">
        <v>10237</v>
      </c>
    </row>
    <row r="10284" spans="1:14">
      <c r="A10284" t="s">
        <v>38</v>
      </c>
      <c r="B10284" t="s">
        <v>85</v>
      </c>
      <c r="C10284">
        <f>"1003693"</f>
        <v>0</v>
      </c>
      <c r="D10284">
        <v>37</v>
      </c>
      <c r="E10284">
        <v>0</v>
      </c>
      <c r="F10284" s="2">
        <v>0</v>
      </c>
      <c r="G10284">
        <v>0</v>
      </c>
      <c r="H10284">
        <v>3</v>
      </c>
      <c r="I10284">
        <v>0.1507946971391513</v>
      </c>
      <c r="J10284">
        <v>9</v>
      </c>
      <c r="K10284">
        <v>9</v>
      </c>
      <c r="L10284" s="2">
        <v>0</v>
      </c>
      <c r="M10284">
        <v>99.92</v>
      </c>
      <c r="N10284" t="s">
        <v>10237</v>
      </c>
    </row>
    <row r="10285" spans="1:14">
      <c r="A10285" t="s">
        <v>35</v>
      </c>
      <c r="B10285" t="s">
        <v>10218</v>
      </c>
      <c r="C10285">
        <f>"FEP60VO"</f>
        <v>0</v>
      </c>
      <c r="D10285">
        <v>2</v>
      </c>
      <c r="E10285">
        <v>4</v>
      </c>
      <c r="F10285" s="2">
        <v>8</v>
      </c>
      <c r="G10285">
        <v>8</v>
      </c>
      <c r="H10285">
        <v>2</v>
      </c>
      <c r="I10285">
        <v>0.1478535207185563</v>
      </c>
      <c r="J10285">
        <v>0</v>
      </c>
      <c r="K10285">
        <v>0</v>
      </c>
      <c r="L10285" s="2">
        <v>0</v>
      </c>
      <c r="M10285">
        <v>99.93000000000001</v>
      </c>
      <c r="N10285" t="s">
        <v>10237</v>
      </c>
    </row>
    <row r="10286" spans="1:14">
      <c r="A10286" t="s">
        <v>38</v>
      </c>
      <c r="B10286" t="s">
        <v>10219</v>
      </c>
      <c r="C10286">
        <f>"1003697"</f>
        <v>0</v>
      </c>
      <c r="D10286">
        <v>32</v>
      </c>
      <c r="E10286">
        <v>0</v>
      </c>
      <c r="F10286" s="2">
        <v>0</v>
      </c>
      <c r="G10286">
        <v>0</v>
      </c>
      <c r="H10286">
        <v>3</v>
      </c>
      <c r="I10286">
        <v>0.147223268567727</v>
      </c>
      <c r="J10286">
        <v>8</v>
      </c>
      <c r="K10286">
        <v>8</v>
      </c>
      <c r="L10286" s="2">
        <v>0</v>
      </c>
      <c r="M10286">
        <v>99.93000000000001</v>
      </c>
      <c r="N10286" t="s">
        <v>10237</v>
      </c>
    </row>
    <row r="10287" spans="1:14">
      <c r="A10287" t="s">
        <v>35</v>
      </c>
      <c r="B10287" t="s">
        <v>10220</v>
      </c>
      <c r="C10287">
        <f>"CTB85AM"</f>
        <v>0</v>
      </c>
      <c r="D10287">
        <v>2</v>
      </c>
      <c r="E10287">
        <v>0</v>
      </c>
      <c r="F10287" s="2">
        <v>0</v>
      </c>
      <c r="G10287">
        <v>0</v>
      </c>
      <c r="H10287">
        <v>2</v>
      </c>
      <c r="I10287">
        <v>0.141768327970816</v>
      </c>
      <c r="J10287">
        <v>0</v>
      </c>
      <c r="K10287">
        <v>0</v>
      </c>
      <c r="L10287" s="2">
        <v>0</v>
      </c>
      <c r="M10287">
        <v>99.94</v>
      </c>
      <c r="N10287" t="s">
        <v>10237</v>
      </c>
    </row>
    <row r="10288" spans="1:14">
      <c r="A10288" t="s">
        <v>35</v>
      </c>
      <c r="B10288" t="s">
        <v>10221</v>
      </c>
      <c r="C10288">
        <f>"DR124A"</f>
        <v>0</v>
      </c>
      <c r="D10288">
        <v>2</v>
      </c>
      <c r="E10288">
        <v>13</v>
      </c>
      <c r="F10288" s="2">
        <v>3</v>
      </c>
      <c r="G10288">
        <v>26</v>
      </c>
      <c r="H10288">
        <v>1</v>
      </c>
      <c r="I10288">
        <v>0.1276202549984854</v>
      </c>
      <c r="J10288">
        <v>0</v>
      </c>
      <c r="K10288">
        <v>0</v>
      </c>
      <c r="L10288" s="2">
        <v>0</v>
      </c>
      <c r="M10288">
        <v>99.95</v>
      </c>
      <c r="N10288" t="s">
        <v>10237</v>
      </c>
    </row>
    <row r="10289" spans="1:14">
      <c r="A10289" t="s">
        <v>24</v>
      </c>
      <c r="B10289" t="s">
        <v>10222</v>
      </c>
      <c r="C10289">
        <f>"IP60"</f>
        <v>0</v>
      </c>
      <c r="D10289">
        <v>10</v>
      </c>
      <c r="E10289">
        <v>0</v>
      </c>
      <c r="F10289" s="2">
        <v>0</v>
      </c>
      <c r="G10289">
        <v>0</v>
      </c>
      <c r="H10289">
        <v>3</v>
      </c>
      <c r="I10289">
        <v>0.1260069544558969</v>
      </c>
      <c r="J10289">
        <v>2</v>
      </c>
      <c r="K10289">
        <v>2</v>
      </c>
      <c r="L10289" s="2">
        <v>0</v>
      </c>
      <c r="M10289">
        <v>99.95</v>
      </c>
      <c r="N10289" t="s">
        <v>10237</v>
      </c>
    </row>
    <row r="10290" spans="1:14">
      <c r="A10290" t="s">
        <v>35</v>
      </c>
      <c r="B10290" t="s">
        <v>10223</v>
      </c>
      <c r="C10290">
        <f>"ER038"</f>
        <v>0</v>
      </c>
      <c r="D10290">
        <v>1</v>
      </c>
      <c r="E10290">
        <v>1</v>
      </c>
      <c r="F10290" s="2">
        <v>2</v>
      </c>
      <c r="G10290">
        <v>4</v>
      </c>
      <c r="H10290">
        <v>1</v>
      </c>
      <c r="I10290">
        <v>0.1100449145174748</v>
      </c>
      <c r="J10290">
        <v>0</v>
      </c>
      <c r="K10290">
        <v>0</v>
      </c>
      <c r="L10290" s="2">
        <v>0</v>
      </c>
      <c r="M10290">
        <v>99.95999999999999</v>
      </c>
      <c r="N10290" t="s">
        <v>10237</v>
      </c>
    </row>
    <row r="10291" spans="1:14">
      <c r="A10291" t="s">
        <v>27</v>
      </c>
      <c r="B10291" t="s">
        <v>10224</v>
      </c>
      <c r="C10291">
        <f>"USA712"</f>
        <v>0</v>
      </c>
      <c r="D10291">
        <v>11</v>
      </c>
      <c r="E10291">
        <v>16</v>
      </c>
      <c r="F10291" s="2">
        <v>1</v>
      </c>
      <c r="G10291">
        <v>5.82</v>
      </c>
      <c r="H10291">
        <v>4</v>
      </c>
      <c r="I10291">
        <v>0.1093784410315242</v>
      </c>
      <c r="J10291">
        <v>3</v>
      </c>
      <c r="K10291">
        <v>0</v>
      </c>
      <c r="L10291" s="2">
        <v>0</v>
      </c>
      <c r="M10291">
        <v>99.97</v>
      </c>
      <c r="N10291" t="s">
        <v>10237</v>
      </c>
    </row>
    <row r="10292" spans="1:14">
      <c r="A10292" t="s">
        <v>35</v>
      </c>
      <c r="B10292" t="s">
        <v>10225</v>
      </c>
      <c r="C10292">
        <f>"W007S"</f>
        <v>0</v>
      </c>
      <c r="D10292">
        <v>2</v>
      </c>
      <c r="E10292">
        <v>1</v>
      </c>
      <c r="F10292" s="2">
        <v>2</v>
      </c>
      <c r="G10292">
        <v>2</v>
      </c>
      <c r="H10292">
        <v>2</v>
      </c>
      <c r="I10292">
        <v>0.1052571718341966</v>
      </c>
      <c r="J10292">
        <v>0</v>
      </c>
      <c r="K10292">
        <v>0</v>
      </c>
      <c r="L10292" s="2">
        <v>0</v>
      </c>
      <c r="M10292">
        <v>99.97</v>
      </c>
      <c r="N10292" t="s">
        <v>10237</v>
      </c>
    </row>
    <row r="10293" spans="1:14">
      <c r="A10293" t="s">
        <v>24</v>
      </c>
      <c r="B10293" t="s">
        <v>10226</v>
      </c>
      <c r="C10293">
        <f>"1113231"</f>
        <v>0</v>
      </c>
      <c r="D10293">
        <v>2</v>
      </c>
      <c r="E10293">
        <v>1</v>
      </c>
      <c r="F10293" s="2">
        <v>4</v>
      </c>
      <c r="G10293">
        <v>2</v>
      </c>
      <c r="H10293">
        <v>1</v>
      </c>
      <c r="I10293">
        <v>0.09940017386259713</v>
      </c>
      <c r="J10293">
        <v>0</v>
      </c>
      <c r="K10293">
        <v>0</v>
      </c>
      <c r="L10293" s="2">
        <v>0</v>
      </c>
      <c r="M10293">
        <v>99.98</v>
      </c>
      <c r="N10293" t="s">
        <v>10237</v>
      </c>
    </row>
    <row r="10294" spans="1:14">
      <c r="A10294" t="s">
        <v>30</v>
      </c>
      <c r="B10294" t="s">
        <v>10227</v>
      </c>
      <c r="C10294">
        <f>"100906"</f>
        <v>0</v>
      </c>
      <c r="D10294">
        <v>18</v>
      </c>
      <c r="E10294">
        <v>5</v>
      </c>
      <c r="F10294" s="2">
        <v>13</v>
      </c>
      <c r="G10294">
        <v>1.11</v>
      </c>
      <c r="H10294">
        <v>3</v>
      </c>
      <c r="I10294">
        <v>0.0904179947840659</v>
      </c>
      <c r="J10294">
        <v>4</v>
      </c>
      <c r="K10294">
        <v>0</v>
      </c>
      <c r="L10294" s="2">
        <v>0</v>
      </c>
      <c r="M10294">
        <v>99.98</v>
      </c>
      <c r="N10294" t="s">
        <v>10237</v>
      </c>
    </row>
    <row r="10295" spans="1:14">
      <c r="A10295" t="s">
        <v>29</v>
      </c>
      <c r="B10295" t="s">
        <v>10228</v>
      </c>
      <c r="C10295">
        <f>"77174"</f>
        <v>0</v>
      </c>
      <c r="D10295">
        <v>2</v>
      </c>
      <c r="E10295">
        <v>1</v>
      </c>
      <c r="F10295" s="2">
        <v>4</v>
      </c>
      <c r="G10295">
        <v>2</v>
      </c>
      <c r="H10295">
        <v>2</v>
      </c>
      <c r="I10295">
        <v>0.08857360185448901</v>
      </c>
      <c r="J10295">
        <v>0</v>
      </c>
      <c r="K10295">
        <v>0</v>
      </c>
      <c r="L10295" s="2">
        <v>0</v>
      </c>
      <c r="M10295">
        <v>99.98999999999999</v>
      </c>
      <c r="N10295" t="s">
        <v>10237</v>
      </c>
    </row>
    <row r="10296" spans="1:14">
      <c r="A10296" t="s">
        <v>35</v>
      </c>
      <c r="B10296" t="s">
        <v>10229</v>
      </c>
      <c r="C10296">
        <f>"XX234"</f>
        <v>0</v>
      </c>
      <c r="D10296">
        <v>3</v>
      </c>
      <c r="E10296">
        <v>1</v>
      </c>
      <c r="F10296" s="2">
        <v>3</v>
      </c>
      <c r="G10296">
        <v>1.33</v>
      </c>
      <c r="H10296">
        <v>2</v>
      </c>
      <c r="I10296">
        <v>0.08520573746735607</v>
      </c>
      <c r="J10296">
        <v>1</v>
      </c>
      <c r="K10296">
        <v>0</v>
      </c>
      <c r="L10296" s="2">
        <v>0</v>
      </c>
      <c r="M10296">
        <v>99.98999999999999</v>
      </c>
      <c r="N10296" t="s">
        <v>10237</v>
      </c>
    </row>
    <row r="10297" spans="1:14">
      <c r="A10297" t="s">
        <v>29</v>
      </c>
      <c r="B10297" t="s">
        <v>10230</v>
      </c>
      <c r="C10297">
        <f>"D710"</f>
        <v>0</v>
      </c>
      <c r="D10297">
        <v>2</v>
      </c>
      <c r="E10297">
        <v>14</v>
      </c>
      <c r="F10297" s="2">
        <v>2</v>
      </c>
      <c r="G10297">
        <v>28</v>
      </c>
      <c r="H10297">
        <v>2</v>
      </c>
      <c r="I10297">
        <v>0.0839589973920167</v>
      </c>
      <c r="J10297">
        <v>0</v>
      </c>
      <c r="K10297">
        <v>0</v>
      </c>
      <c r="L10297" s="2">
        <v>0</v>
      </c>
      <c r="M10297">
        <v>99.98999999999999</v>
      </c>
      <c r="N10297" t="s">
        <v>10237</v>
      </c>
    </row>
    <row r="10298" spans="1:14">
      <c r="A10298" t="s">
        <v>202</v>
      </c>
      <c r="B10298" t="s">
        <v>10231</v>
      </c>
      <c r="C10298">
        <f>"21001013"</f>
        <v>0</v>
      </c>
      <c r="D10298">
        <v>17</v>
      </c>
      <c r="E10298">
        <v>8</v>
      </c>
      <c r="F10298" s="2">
        <v>3</v>
      </c>
      <c r="G10298">
        <v>1.88</v>
      </c>
      <c r="H10298">
        <v>2</v>
      </c>
      <c r="I10298">
        <v>0.05101202549982094</v>
      </c>
      <c r="J10298">
        <v>4</v>
      </c>
      <c r="K10298">
        <v>0</v>
      </c>
      <c r="L10298" s="2">
        <v>0</v>
      </c>
      <c r="M10298">
        <v>100</v>
      </c>
      <c r="N10298" t="s">
        <v>10237</v>
      </c>
    </row>
    <row r="10299" spans="1:14">
      <c r="A10299" t="s">
        <v>35</v>
      </c>
      <c r="B10299" t="s">
        <v>10232</v>
      </c>
      <c r="C10299">
        <f>"3038"</f>
        <v>0</v>
      </c>
      <c r="D10299">
        <v>3</v>
      </c>
      <c r="E10299">
        <v>3</v>
      </c>
      <c r="F10299" s="2">
        <v>1</v>
      </c>
      <c r="G10299">
        <v>4</v>
      </c>
      <c r="H10299">
        <v>2</v>
      </c>
      <c r="I10299">
        <v>0.03320269487103357</v>
      </c>
      <c r="J10299">
        <v>1</v>
      </c>
      <c r="K10299">
        <v>0</v>
      </c>
      <c r="L10299" s="2">
        <v>0</v>
      </c>
      <c r="M10299">
        <v>100</v>
      </c>
      <c r="N10299" t="s">
        <v>10237</v>
      </c>
    </row>
    <row r="10300" spans="1:14">
      <c r="A10300" t="s">
        <v>33</v>
      </c>
      <c r="B10300" t="s">
        <v>10233</v>
      </c>
      <c r="C10300">
        <f>"TOPK93216"</f>
        <v>0</v>
      </c>
      <c r="D10300">
        <v>15</v>
      </c>
      <c r="E10300">
        <v>4</v>
      </c>
      <c r="F10300" s="2">
        <v>0</v>
      </c>
      <c r="G10300">
        <v>1.07</v>
      </c>
      <c r="H10300">
        <v>3</v>
      </c>
      <c r="I10300">
        <v>0.01071428571427296</v>
      </c>
      <c r="J10300">
        <v>4</v>
      </c>
      <c r="K10300">
        <v>0</v>
      </c>
      <c r="L10300" s="2">
        <v>0</v>
      </c>
      <c r="M10300">
        <v>100</v>
      </c>
      <c r="N10300" t="s">
        <v>10237</v>
      </c>
    </row>
    <row r="10301" spans="1:14">
      <c r="A10301" t="s">
        <v>29</v>
      </c>
      <c r="B10301" t="s">
        <v>10234</v>
      </c>
      <c r="C10301">
        <f>"A017S"</f>
        <v>0</v>
      </c>
      <c r="D10301">
        <v>1</v>
      </c>
      <c r="E10301">
        <v>2</v>
      </c>
      <c r="F10301" s="2">
        <v>5</v>
      </c>
      <c r="G10301">
        <v>8</v>
      </c>
      <c r="H10301">
        <v>1</v>
      </c>
      <c r="I10301">
        <v>0.006038829324829831</v>
      </c>
      <c r="J10301">
        <v>0</v>
      </c>
      <c r="K10301">
        <v>0</v>
      </c>
      <c r="L10301" s="2">
        <v>0</v>
      </c>
      <c r="M10301">
        <v>100</v>
      </c>
      <c r="N10301" t="s">
        <v>10237</v>
      </c>
    </row>
  </sheetData>
  <autoFilter ref="A2:N10301"/>
  <hyperlinks>
    <hyperlink ref="A1" location="'ÍNDICE'!A1" display="⬅ Volver al índice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9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201</v>
      </c>
      <c r="B3" t="s">
        <v>368</v>
      </c>
      <c r="C3">
        <f>"120101"</f>
        <v>0</v>
      </c>
      <c r="D3">
        <v>43</v>
      </c>
      <c r="E3">
        <v>33</v>
      </c>
      <c r="F3">
        <v>27</v>
      </c>
      <c r="G3">
        <v>15</v>
      </c>
      <c r="H3">
        <v>118</v>
      </c>
      <c r="I3">
        <v>30</v>
      </c>
      <c r="J3">
        <v>44</v>
      </c>
      <c r="K3">
        <v>479.732</v>
      </c>
      <c r="L3" s="2">
        <v>11</v>
      </c>
      <c r="M3">
        <v>0</v>
      </c>
      <c r="N3" s="2">
        <v>0</v>
      </c>
      <c r="O3">
        <v>7.200000000000003</v>
      </c>
      <c r="P3" t="s">
        <v>10810</v>
      </c>
      <c r="Q3">
        <v>50.616</v>
      </c>
      <c r="R3" t="s">
        <v>10811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S13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202</v>
      </c>
      <c r="B3" t="s">
        <v>1601</v>
      </c>
      <c r="C3">
        <f>"11001112"</f>
        <v>0</v>
      </c>
      <c r="D3">
        <v>0</v>
      </c>
      <c r="E3">
        <v>0</v>
      </c>
      <c r="F3">
        <v>0</v>
      </c>
      <c r="G3">
        <v>7</v>
      </c>
      <c r="H3">
        <v>7</v>
      </c>
      <c r="I3">
        <v>0</v>
      </c>
      <c r="J3">
        <v>1</v>
      </c>
      <c r="K3">
        <v>2.493</v>
      </c>
      <c r="L3" s="2">
        <v>2</v>
      </c>
      <c r="M3">
        <v>2</v>
      </c>
      <c r="N3" s="2">
        <v>4</v>
      </c>
      <c r="O3">
        <v>15.8</v>
      </c>
      <c r="P3" t="s">
        <v>10480</v>
      </c>
      <c r="Q3">
        <v>6.02</v>
      </c>
      <c r="R3" t="s">
        <v>10821</v>
      </c>
      <c r="S3">
        <v>1</v>
      </c>
    </row>
    <row r="4" spans="1:19">
      <c r="A4" t="s">
        <v>202</v>
      </c>
      <c r="B4" t="s">
        <v>394</v>
      </c>
      <c r="C4">
        <f>"21001018"</f>
        <v>0</v>
      </c>
      <c r="D4">
        <v>13</v>
      </c>
      <c r="E4">
        <v>15</v>
      </c>
      <c r="F4">
        <v>18</v>
      </c>
      <c r="G4">
        <v>0</v>
      </c>
      <c r="H4">
        <v>46</v>
      </c>
      <c r="I4">
        <v>14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14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202</v>
      </c>
      <c r="B5" t="s">
        <v>1880</v>
      </c>
      <c r="C5">
        <f>"21002074"</f>
        <v>0</v>
      </c>
      <c r="D5">
        <v>0</v>
      </c>
      <c r="E5">
        <v>2</v>
      </c>
      <c r="F5">
        <v>0</v>
      </c>
      <c r="G5">
        <v>2</v>
      </c>
      <c r="H5">
        <v>4</v>
      </c>
      <c r="I5">
        <v>1</v>
      </c>
      <c r="J5">
        <v>1</v>
      </c>
      <c r="K5">
        <v>12.364</v>
      </c>
      <c r="L5" s="2">
        <v>12</v>
      </c>
      <c r="M5">
        <v>1</v>
      </c>
      <c r="N5" s="2">
        <v>12</v>
      </c>
      <c r="O5">
        <v>6.8</v>
      </c>
      <c r="P5" t="s">
        <v>10813</v>
      </c>
      <c r="Q5">
        <v>8.718</v>
      </c>
      <c r="R5" t="s">
        <v>10733</v>
      </c>
      <c r="S5">
        <v>1</v>
      </c>
    </row>
    <row r="6" spans="1:19">
      <c r="A6" t="s">
        <v>202</v>
      </c>
      <c r="B6" t="s">
        <v>484</v>
      </c>
      <c r="C6">
        <f>"21001082"</f>
        <v>0</v>
      </c>
      <c r="D6">
        <v>7</v>
      </c>
      <c r="E6">
        <v>6</v>
      </c>
      <c r="F6">
        <v>6</v>
      </c>
      <c r="G6">
        <v>0</v>
      </c>
      <c r="H6">
        <v>19</v>
      </c>
      <c r="I6">
        <v>6</v>
      </c>
      <c r="J6">
        <v>0</v>
      </c>
      <c r="K6">
        <v>0</v>
      </c>
      <c r="L6" s="2">
        <v>0</v>
      </c>
      <c r="M6">
        <v>6</v>
      </c>
      <c r="N6" s="2">
        <v>0</v>
      </c>
      <c r="O6">
        <v>6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202</v>
      </c>
      <c r="B7" t="s">
        <v>462</v>
      </c>
      <c r="C7">
        <f>"21001019"</f>
        <v>0</v>
      </c>
      <c r="D7">
        <v>0</v>
      </c>
      <c r="E7">
        <v>10</v>
      </c>
      <c r="F7">
        <v>12</v>
      </c>
      <c r="G7">
        <v>0</v>
      </c>
      <c r="H7">
        <v>22</v>
      </c>
      <c r="I7">
        <v>5</v>
      </c>
      <c r="J7">
        <v>0</v>
      </c>
      <c r="K7">
        <v>0</v>
      </c>
      <c r="L7" s="2">
        <v>0</v>
      </c>
      <c r="M7">
        <v>5</v>
      </c>
      <c r="N7" s="2">
        <v>0</v>
      </c>
      <c r="O7">
        <v>5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202</v>
      </c>
      <c r="B8" t="s">
        <v>1827</v>
      </c>
      <c r="C8">
        <f>"11001059"</f>
        <v>0</v>
      </c>
      <c r="D8">
        <v>0</v>
      </c>
      <c r="E8">
        <v>3</v>
      </c>
      <c r="F8">
        <v>1</v>
      </c>
      <c r="G8">
        <v>2</v>
      </c>
      <c r="H8">
        <v>6</v>
      </c>
      <c r="I8">
        <v>1.5</v>
      </c>
      <c r="J8">
        <v>3</v>
      </c>
      <c r="K8">
        <v>50.248</v>
      </c>
      <c r="L8" s="2">
        <v>17</v>
      </c>
      <c r="M8">
        <v>0</v>
      </c>
      <c r="N8" s="2">
        <v>0</v>
      </c>
      <c r="O8">
        <v>4.9</v>
      </c>
      <c r="P8" t="s">
        <v>10440</v>
      </c>
      <c r="Q8">
        <v>8.500999999999999</v>
      </c>
      <c r="R8" t="s">
        <v>10822</v>
      </c>
      <c r="S8">
        <v>1</v>
      </c>
    </row>
    <row r="9" spans="1:19">
      <c r="A9" t="s">
        <v>202</v>
      </c>
      <c r="B9" t="s">
        <v>1850</v>
      </c>
      <c r="C9">
        <f>"11001016"</f>
        <v>0</v>
      </c>
      <c r="D9">
        <v>2</v>
      </c>
      <c r="E9">
        <v>1</v>
      </c>
      <c r="F9">
        <v>0</v>
      </c>
      <c r="G9">
        <v>1</v>
      </c>
      <c r="H9">
        <v>4</v>
      </c>
      <c r="I9">
        <v>1</v>
      </c>
      <c r="J9">
        <v>1</v>
      </c>
      <c r="K9">
        <v>53.244</v>
      </c>
      <c r="L9" s="2">
        <v>53</v>
      </c>
      <c r="M9">
        <v>0</v>
      </c>
      <c r="N9" s="2">
        <v>0</v>
      </c>
      <c r="O9">
        <v>4.8</v>
      </c>
      <c r="P9" t="s">
        <v>10814</v>
      </c>
      <c r="Q9">
        <v>13.899</v>
      </c>
      <c r="R9" t="s">
        <v>10823</v>
      </c>
      <c r="S9">
        <v>1</v>
      </c>
    </row>
    <row r="10" spans="1:19">
      <c r="A10" t="s">
        <v>202</v>
      </c>
      <c r="B10" t="s">
        <v>542</v>
      </c>
      <c r="C10">
        <f>"21001062"</f>
        <v>0</v>
      </c>
      <c r="D10">
        <v>2</v>
      </c>
      <c r="E10">
        <v>5</v>
      </c>
      <c r="F10">
        <v>6</v>
      </c>
      <c r="G10">
        <v>0</v>
      </c>
      <c r="H10">
        <v>13</v>
      </c>
      <c r="I10">
        <v>3.5</v>
      </c>
      <c r="J10">
        <v>0</v>
      </c>
      <c r="K10">
        <v>0</v>
      </c>
      <c r="L10" s="2">
        <v>0</v>
      </c>
      <c r="M10">
        <v>4</v>
      </c>
      <c r="N10" s="2">
        <v>0</v>
      </c>
      <c r="O10">
        <v>3.5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202</v>
      </c>
      <c r="B11" t="s">
        <v>578</v>
      </c>
      <c r="C11">
        <f>"11002056"</f>
        <v>0</v>
      </c>
      <c r="D11">
        <v>1</v>
      </c>
      <c r="E11">
        <v>4</v>
      </c>
      <c r="F11">
        <v>6</v>
      </c>
      <c r="G11">
        <v>0</v>
      </c>
      <c r="H11">
        <v>11</v>
      </c>
      <c r="I11">
        <v>2.5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2.5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202</v>
      </c>
      <c r="B12" t="s">
        <v>593</v>
      </c>
      <c r="C12">
        <f>"21001055"</f>
        <v>0</v>
      </c>
      <c r="D12">
        <v>1</v>
      </c>
      <c r="E12">
        <v>5</v>
      </c>
      <c r="F12">
        <v>4</v>
      </c>
      <c r="G12">
        <v>0</v>
      </c>
      <c r="H12">
        <v>10</v>
      </c>
      <c r="I12">
        <v>2.5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2.5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202</v>
      </c>
      <c r="B13" t="s">
        <v>630</v>
      </c>
      <c r="C13">
        <f>"21001083"</f>
        <v>0</v>
      </c>
      <c r="D13">
        <v>3</v>
      </c>
      <c r="E13">
        <v>2</v>
      </c>
      <c r="F13">
        <v>3</v>
      </c>
      <c r="G13">
        <v>0</v>
      </c>
      <c r="H13">
        <v>8</v>
      </c>
      <c r="I13">
        <v>2.5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2.5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202</v>
      </c>
      <c r="B14" t="s">
        <v>629</v>
      </c>
      <c r="C14">
        <f>"11001094"</f>
        <v>0</v>
      </c>
      <c r="D14">
        <v>3</v>
      </c>
      <c r="E14">
        <v>2</v>
      </c>
      <c r="F14">
        <v>3</v>
      </c>
      <c r="G14">
        <v>0</v>
      </c>
      <c r="H14">
        <v>8</v>
      </c>
      <c r="I14">
        <v>2.5</v>
      </c>
      <c r="J14">
        <v>0</v>
      </c>
      <c r="K14">
        <v>0</v>
      </c>
      <c r="L14" s="2">
        <v>0</v>
      </c>
      <c r="M14">
        <v>2</v>
      </c>
      <c r="N14" s="2">
        <v>0</v>
      </c>
      <c r="O14">
        <v>2.5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202</v>
      </c>
      <c r="B15" t="s">
        <v>774</v>
      </c>
      <c r="C15">
        <f>"13201018"</f>
        <v>0</v>
      </c>
      <c r="D15">
        <v>0</v>
      </c>
      <c r="E15">
        <v>0</v>
      </c>
      <c r="F15">
        <v>3</v>
      </c>
      <c r="G15">
        <v>1</v>
      </c>
      <c r="H15">
        <v>4</v>
      </c>
      <c r="I15">
        <v>0.5</v>
      </c>
      <c r="J15">
        <v>0</v>
      </c>
      <c r="K15">
        <v>0</v>
      </c>
      <c r="L15" s="2">
        <v>0</v>
      </c>
      <c r="M15">
        <v>1</v>
      </c>
      <c r="N15" s="2">
        <v>0</v>
      </c>
      <c r="O15">
        <v>2.5</v>
      </c>
      <c r="P15" t="s">
        <v>10329</v>
      </c>
      <c r="Q15">
        <v>1.28</v>
      </c>
      <c r="R15" t="s">
        <v>10824</v>
      </c>
      <c r="S15">
        <v>0</v>
      </c>
    </row>
    <row r="16" spans="1:19">
      <c r="A16" t="s">
        <v>202</v>
      </c>
      <c r="B16" t="s">
        <v>1909</v>
      </c>
      <c r="C16">
        <f>"11001023"</f>
        <v>0</v>
      </c>
      <c r="D16">
        <v>0</v>
      </c>
      <c r="E16">
        <v>0</v>
      </c>
      <c r="F16">
        <v>3</v>
      </c>
      <c r="G16">
        <v>2</v>
      </c>
      <c r="H16">
        <v>5</v>
      </c>
      <c r="I16">
        <v>1</v>
      </c>
      <c r="J16">
        <v>3</v>
      </c>
      <c r="K16">
        <v>7.772</v>
      </c>
      <c r="L16" s="2">
        <v>3</v>
      </c>
      <c r="M16">
        <v>0</v>
      </c>
      <c r="N16" s="2">
        <v>0</v>
      </c>
      <c r="O16">
        <v>1.4</v>
      </c>
      <c r="P16" t="s">
        <v>10815</v>
      </c>
      <c r="Q16">
        <v>1.71</v>
      </c>
      <c r="R16" t="s">
        <v>10825</v>
      </c>
      <c r="S16">
        <v>0</v>
      </c>
    </row>
    <row r="17" spans="1:19">
      <c r="A17" t="s">
        <v>202</v>
      </c>
      <c r="B17" t="s">
        <v>711</v>
      </c>
      <c r="C17">
        <f>"11001096"</f>
        <v>0</v>
      </c>
      <c r="D17">
        <v>0</v>
      </c>
      <c r="E17">
        <v>4</v>
      </c>
      <c r="F17">
        <v>2</v>
      </c>
      <c r="G17">
        <v>0</v>
      </c>
      <c r="H17">
        <v>6</v>
      </c>
      <c r="I17">
        <v>1</v>
      </c>
      <c r="J17">
        <v>0</v>
      </c>
      <c r="K17">
        <v>0</v>
      </c>
      <c r="L17" s="2">
        <v>0</v>
      </c>
      <c r="M17">
        <v>1</v>
      </c>
      <c r="N17" s="2">
        <v>0</v>
      </c>
      <c r="O17">
        <v>1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202</v>
      </c>
      <c r="B18" t="s">
        <v>835</v>
      </c>
      <c r="C18">
        <f>"21001027"</f>
        <v>0</v>
      </c>
      <c r="D18">
        <v>1</v>
      </c>
      <c r="E18">
        <v>1</v>
      </c>
      <c r="F18">
        <v>2</v>
      </c>
      <c r="G18">
        <v>0</v>
      </c>
      <c r="H18">
        <v>4</v>
      </c>
      <c r="I18">
        <v>1</v>
      </c>
      <c r="J18">
        <v>0</v>
      </c>
      <c r="K18">
        <v>0</v>
      </c>
      <c r="L18" s="2">
        <v>0</v>
      </c>
      <c r="M18">
        <v>1</v>
      </c>
      <c r="N18" s="2">
        <v>0</v>
      </c>
      <c r="O18">
        <v>1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202</v>
      </c>
      <c r="B19" t="s">
        <v>2050</v>
      </c>
      <c r="C19">
        <f>"11001015"</f>
        <v>0</v>
      </c>
      <c r="D19">
        <v>1</v>
      </c>
      <c r="E19">
        <v>0</v>
      </c>
      <c r="F19">
        <v>0</v>
      </c>
      <c r="G19">
        <v>1</v>
      </c>
      <c r="H19">
        <v>2</v>
      </c>
      <c r="I19">
        <v>0.5</v>
      </c>
      <c r="J19">
        <v>4</v>
      </c>
      <c r="K19">
        <v>49.453</v>
      </c>
      <c r="L19" s="2">
        <v>12</v>
      </c>
      <c r="M19">
        <v>0</v>
      </c>
      <c r="N19" s="2">
        <v>0</v>
      </c>
      <c r="O19">
        <v>0.7000000000000002</v>
      </c>
      <c r="P19" t="s">
        <v>10689</v>
      </c>
      <c r="Q19">
        <v>4.36</v>
      </c>
      <c r="R19" t="s">
        <v>10733</v>
      </c>
      <c r="S19">
        <v>1</v>
      </c>
    </row>
    <row r="20" spans="1:19">
      <c r="A20" t="s">
        <v>202</v>
      </c>
      <c r="B20" t="s">
        <v>974</v>
      </c>
      <c r="C20">
        <f>"21001050"</f>
        <v>0</v>
      </c>
      <c r="D20">
        <v>1</v>
      </c>
      <c r="E20">
        <v>0</v>
      </c>
      <c r="F20">
        <v>1</v>
      </c>
      <c r="G20">
        <v>0</v>
      </c>
      <c r="H20">
        <v>2</v>
      </c>
      <c r="I20">
        <v>0.5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0.5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202</v>
      </c>
      <c r="B21" t="s">
        <v>669</v>
      </c>
      <c r="C21">
        <f>"11002130"</f>
        <v>0</v>
      </c>
      <c r="D21">
        <v>1</v>
      </c>
      <c r="E21">
        <v>0</v>
      </c>
      <c r="F21">
        <v>6</v>
      </c>
      <c r="G21">
        <v>0</v>
      </c>
      <c r="H21">
        <v>7</v>
      </c>
      <c r="I21">
        <v>0.5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0.5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202</v>
      </c>
      <c r="B22" t="s">
        <v>954</v>
      </c>
      <c r="C22">
        <f>"11180003"</f>
        <v>0</v>
      </c>
      <c r="D22">
        <v>1</v>
      </c>
      <c r="E22">
        <v>0</v>
      </c>
      <c r="F22">
        <v>2</v>
      </c>
      <c r="G22">
        <v>0</v>
      </c>
      <c r="H22">
        <v>3</v>
      </c>
      <c r="I22">
        <v>0.5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0.5</v>
      </c>
      <c r="P22" t="s">
        <v>10816</v>
      </c>
      <c r="Q22">
        <v>-1.625</v>
      </c>
      <c r="R22" t="s">
        <v>10405</v>
      </c>
      <c r="S22">
        <v>0</v>
      </c>
    </row>
    <row r="23" spans="1:19">
      <c r="A23" t="s">
        <v>202</v>
      </c>
      <c r="B23" t="s">
        <v>941</v>
      </c>
      <c r="C23">
        <f>"21001052"</f>
        <v>0</v>
      </c>
      <c r="D23">
        <v>0</v>
      </c>
      <c r="E23">
        <v>1</v>
      </c>
      <c r="F23">
        <v>2</v>
      </c>
      <c r="G23">
        <v>0</v>
      </c>
      <c r="H23">
        <v>3</v>
      </c>
      <c r="I23">
        <v>0.5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0.5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202</v>
      </c>
      <c r="B24" t="s">
        <v>826</v>
      </c>
      <c r="C24">
        <f>"21002002"</f>
        <v>0</v>
      </c>
      <c r="D24">
        <v>0</v>
      </c>
      <c r="E24">
        <v>1</v>
      </c>
      <c r="F24">
        <v>3</v>
      </c>
      <c r="G24">
        <v>0</v>
      </c>
      <c r="H24">
        <v>4</v>
      </c>
      <c r="I24">
        <v>0.5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0.5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202</v>
      </c>
      <c r="B25" t="s">
        <v>1598</v>
      </c>
      <c r="C25">
        <f>"11001047"</f>
        <v>0</v>
      </c>
      <c r="D25">
        <v>0</v>
      </c>
      <c r="E25">
        <v>5</v>
      </c>
      <c r="F25">
        <v>8</v>
      </c>
      <c r="G25">
        <v>0</v>
      </c>
      <c r="H25">
        <v>13</v>
      </c>
      <c r="I25">
        <v>2.5</v>
      </c>
      <c r="J25">
        <v>2</v>
      </c>
      <c r="K25">
        <v>5.333</v>
      </c>
      <c r="L25" s="2">
        <v>3</v>
      </c>
      <c r="M25">
        <v>0</v>
      </c>
      <c r="N25" s="2">
        <v>0</v>
      </c>
      <c r="O25">
        <v>0.1000000000000001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202</v>
      </c>
      <c r="B26" t="s">
        <v>8186</v>
      </c>
      <c r="C26">
        <f>"21004003"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202</v>
      </c>
      <c r="B27" t="s">
        <v>9862</v>
      </c>
      <c r="C27">
        <f>"21002082"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202</v>
      </c>
      <c r="B28" t="s">
        <v>1335</v>
      </c>
      <c r="C28">
        <f>"21102006"</f>
        <v>0</v>
      </c>
      <c r="D28">
        <v>0</v>
      </c>
      <c r="E28">
        <v>0</v>
      </c>
      <c r="F28">
        <v>1</v>
      </c>
      <c r="G28">
        <v>0</v>
      </c>
      <c r="H28">
        <v>1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202</v>
      </c>
      <c r="B29" t="s">
        <v>9511</v>
      </c>
      <c r="C29">
        <f>"21102020"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202</v>
      </c>
      <c r="B30" t="s">
        <v>9510</v>
      </c>
      <c r="C30">
        <f>"21102004"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202</v>
      </c>
      <c r="B31" t="s">
        <v>9724</v>
      </c>
      <c r="C31">
        <f>"12101084"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202</v>
      </c>
      <c r="B32" t="s">
        <v>9512</v>
      </c>
      <c r="C32">
        <f>"21102026"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202</v>
      </c>
      <c r="B33" t="s">
        <v>9523</v>
      </c>
      <c r="C33">
        <f>"21102010"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202</v>
      </c>
      <c r="B34" t="s">
        <v>9522</v>
      </c>
      <c r="C34">
        <f>"21102012"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202</v>
      </c>
      <c r="B35" t="s">
        <v>9520</v>
      </c>
      <c r="C35">
        <f>"21102002"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202</v>
      </c>
      <c r="B36" t="s">
        <v>9519</v>
      </c>
      <c r="C36">
        <f>"21102005"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202</v>
      </c>
      <c r="B37" t="s">
        <v>894</v>
      </c>
      <c r="C37">
        <f>"21102016"</f>
        <v>0</v>
      </c>
      <c r="D37">
        <v>0</v>
      </c>
      <c r="E37">
        <v>0</v>
      </c>
      <c r="F37">
        <v>3</v>
      </c>
      <c r="G37">
        <v>0</v>
      </c>
      <c r="H37">
        <v>3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202</v>
      </c>
      <c r="B38" t="s">
        <v>9537</v>
      </c>
      <c r="C38">
        <f>"21102017"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202</v>
      </c>
      <c r="B39" t="s">
        <v>9918</v>
      </c>
      <c r="C39">
        <f>"21002036"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202</v>
      </c>
      <c r="B40" t="s">
        <v>9914</v>
      </c>
      <c r="C40">
        <f>"21002096"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202</v>
      </c>
      <c r="B41" t="s">
        <v>1470</v>
      </c>
      <c r="C41">
        <f>"21002113"</f>
        <v>0</v>
      </c>
      <c r="D41">
        <v>0</v>
      </c>
      <c r="E41">
        <v>1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202</v>
      </c>
      <c r="B42" t="s">
        <v>9900</v>
      </c>
      <c r="C42">
        <f>"21002080"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202</v>
      </c>
      <c r="B43" t="s">
        <v>9957</v>
      </c>
      <c r="C43">
        <f>"21001014"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202</v>
      </c>
      <c r="B44" t="s">
        <v>1518</v>
      </c>
      <c r="C44">
        <f>"11001017"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10817</v>
      </c>
      <c r="Q44">
        <v>-6.231</v>
      </c>
      <c r="R44" t="s">
        <v>10266</v>
      </c>
      <c r="S44">
        <v>0</v>
      </c>
    </row>
    <row r="45" spans="1:19">
      <c r="A45" t="s">
        <v>202</v>
      </c>
      <c r="B45" t="s">
        <v>9725</v>
      </c>
      <c r="C45">
        <f>"12101085"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202</v>
      </c>
      <c r="B46" t="s">
        <v>9723</v>
      </c>
      <c r="C46">
        <f>"12101083"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202</v>
      </c>
      <c r="B47" t="s">
        <v>1501</v>
      </c>
      <c r="C47">
        <f>"21001022"</f>
        <v>0</v>
      </c>
      <c r="D47">
        <v>0</v>
      </c>
      <c r="E47">
        <v>1</v>
      </c>
      <c r="F47">
        <v>0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202</v>
      </c>
      <c r="B48" t="s">
        <v>9753</v>
      </c>
      <c r="C48">
        <f>"21001029"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202</v>
      </c>
      <c r="B49" t="s">
        <v>5936</v>
      </c>
      <c r="C49">
        <f>"11002039"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202</v>
      </c>
      <c r="B50" t="s">
        <v>4251</v>
      </c>
      <c r="C50">
        <f>"21201049"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202</v>
      </c>
      <c r="B51" t="s">
        <v>1429</v>
      </c>
      <c r="C51">
        <f>"11201041"</f>
        <v>0</v>
      </c>
      <c r="D51">
        <v>0</v>
      </c>
      <c r="E51">
        <v>0</v>
      </c>
      <c r="F51">
        <v>1</v>
      </c>
      <c r="G51">
        <v>0</v>
      </c>
      <c r="H51">
        <v>1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202</v>
      </c>
      <c r="B52" t="s">
        <v>1430</v>
      </c>
      <c r="C52">
        <f>"11201048"</f>
        <v>0</v>
      </c>
      <c r="D52">
        <v>0</v>
      </c>
      <c r="E52">
        <v>0</v>
      </c>
      <c r="F52">
        <v>1</v>
      </c>
      <c r="G52">
        <v>0</v>
      </c>
      <c r="H52">
        <v>1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202</v>
      </c>
      <c r="B53" t="s">
        <v>9863</v>
      </c>
      <c r="C53">
        <f>"21002050"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202</v>
      </c>
      <c r="B54" t="s">
        <v>1500</v>
      </c>
      <c r="C54">
        <f>"11002091"</f>
        <v>0</v>
      </c>
      <c r="D54">
        <v>0</v>
      </c>
      <c r="E54">
        <v>1</v>
      </c>
      <c r="F54">
        <v>0</v>
      </c>
      <c r="G54">
        <v>0</v>
      </c>
      <c r="H54">
        <v>1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202</v>
      </c>
      <c r="B55" t="s">
        <v>9959</v>
      </c>
      <c r="C55">
        <f>"11002084"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202</v>
      </c>
      <c r="B56" t="s">
        <v>982</v>
      </c>
      <c r="C56">
        <f>"11002089"</f>
        <v>0</v>
      </c>
      <c r="D56">
        <v>0</v>
      </c>
      <c r="E56">
        <v>0</v>
      </c>
      <c r="F56">
        <v>2</v>
      </c>
      <c r="G56">
        <v>0</v>
      </c>
      <c r="H56">
        <v>2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202</v>
      </c>
      <c r="B57" t="s">
        <v>1498</v>
      </c>
      <c r="C57">
        <f>"11002031"</f>
        <v>0</v>
      </c>
      <c r="D57">
        <v>0</v>
      </c>
      <c r="E57">
        <v>0</v>
      </c>
      <c r="F57">
        <v>1</v>
      </c>
      <c r="G57">
        <v>0</v>
      </c>
      <c r="H57">
        <v>1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202</v>
      </c>
      <c r="B58" t="s">
        <v>1499</v>
      </c>
      <c r="C58">
        <f>"21001060"</f>
        <v>0</v>
      </c>
      <c r="D58">
        <v>0</v>
      </c>
      <c r="E58">
        <v>1</v>
      </c>
      <c r="F58">
        <v>0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202</v>
      </c>
      <c r="B59" t="s">
        <v>9410</v>
      </c>
      <c r="C59">
        <f>"21004008"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202</v>
      </c>
      <c r="B60" t="s">
        <v>9409</v>
      </c>
      <c r="C60">
        <f>"21002005"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202</v>
      </c>
      <c r="B61" t="s">
        <v>9509</v>
      </c>
      <c r="C61">
        <f>"21102008"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202</v>
      </c>
      <c r="B62" t="s">
        <v>9631</v>
      </c>
      <c r="C62">
        <f>"21001066"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202</v>
      </c>
      <c r="B63" t="s">
        <v>1346</v>
      </c>
      <c r="C63">
        <f>"21102045"</f>
        <v>0</v>
      </c>
      <c r="D63">
        <v>0</v>
      </c>
      <c r="E63">
        <v>1</v>
      </c>
      <c r="F63">
        <v>0</v>
      </c>
      <c r="G63">
        <v>0</v>
      </c>
      <c r="H63">
        <v>1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202</v>
      </c>
      <c r="B64" t="s">
        <v>9517</v>
      </c>
      <c r="C64">
        <f>"21102031"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202</v>
      </c>
      <c r="B65" t="s">
        <v>9516</v>
      </c>
      <c r="C65">
        <f>"11102046"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202</v>
      </c>
      <c r="B66" t="s">
        <v>9515</v>
      </c>
      <c r="C66">
        <f>"21102029"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202</v>
      </c>
      <c r="B67" t="s">
        <v>9514</v>
      </c>
      <c r="C67">
        <f>"21102035"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202</v>
      </c>
      <c r="B68" t="s">
        <v>1407</v>
      </c>
      <c r="C68">
        <f>"21102025"</f>
        <v>0</v>
      </c>
      <c r="D68">
        <v>0</v>
      </c>
      <c r="E68">
        <v>1</v>
      </c>
      <c r="F68">
        <v>0</v>
      </c>
      <c r="G68">
        <v>0</v>
      </c>
      <c r="H68">
        <v>1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202</v>
      </c>
      <c r="B69" t="s">
        <v>9518</v>
      </c>
      <c r="C69">
        <f>"21102027"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202</v>
      </c>
      <c r="B70" t="s">
        <v>1513</v>
      </c>
      <c r="C70">
        <f>"21102030"</f>
        <v>0</v>
      </c>
      <c r="D70">
        <v>0</v>
      </c>
      <c r="E70">
        <v>0</v>
      </c>
      <c r="F70">
        <v>3</v>
      </c>
      <c r="G70">
        <v>0</v>
      </c>
      <c r="H70">
        <v>3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10818</v>
      </c>
      <c r="Q70">
        <v>-10.288</v>
      </c>
      <c r="R70" t="s">
        <v>10826</v>
      </c>
      <c r="S70">
        <v>0</v>
      </c>
    </row>
    <row r="71" spans="1:19">
      <c r="A71" t="s">
        <v>202</v>
      </c>
      <c r="B71" t="s">
        <v>1263</v>
      </c>
      <c r="C71">
        <f>"13201017"</f>
        <v>0</v>
      </c>
      <c r="D71">
        <v>0</v>
      </c>
      <c r="E71">
        <v>0</v>
      </c>
      <c r="F71">
        <v>1</v>
      </c>
      <c r="G71">
        <v>0</v>
      </c>
      <c r="H71">
        <v>1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202</v>
      </c>
      <c r="B72" t="s">
        <v>640</v>
      </c>
      <c r="C72">
        <f>"21001110"</f>
        <v>0</v>
      </c>
      <c r="D72">
        <v>0</v>
      </c>
      <c r="E72">
        <v>8</v>
      </c>
      <c r="F72">
        <v>0</v>
      </c>
      <c r="G72">
        <v>0</v>
      </c>
      <c r="H72">
        <v>8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10819</v>
      </c>
      <c r="Q72">
        <v>-1.271</v>
      </c>
      <c r="R72" t="s">
        <v>10827</v>
      </c>
      <c r="S72">
        <v>0</v>
      </c>
    </row>
    <row r="73" spans="1:19">
      <c r="A73" t="s">
        <v>202</v>
      </c>
      <c r="B73" t="s">
        <v>1428</v>
      </c>
      <c r="C73">
        <f>"11201047"</f>
        <v>0</v>
      </c>
      <c r="D73">
        <v>0</v>
      </c>
      <c r="E73">
        <v>0</v>
      </c>
      <c r="F73">
        <v>1</v>
      </c>
      <c r="G73">
        <v>0</v>
      </c>
      <c r="H73">
        <v>1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202</v>
      </c>
      <c r="B74" t="s">
        <v>5721</v>
      </c>
      <c r="C74">
        <f>"13201001"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13.672</v>
      </c>
      <c r="L74" s="2">
        <v>14</v>
      </c>
      <c r="M74">
        <v>0</v>
      </c>
      <c r="N74" s="2">
        <v>0</v>
      </c>
      <c r="O74">
        <v>-1.2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202</v>
      </c>
      <c r="B75" t="s">
        <v>9851</v>
      </c>
      <c r="C75">
        <f>"11201049"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10.508</v>
      </c>
      <c r="L75" s="2">
        <v>11</v>
      </c>
      <c r="M75">
        <v>0</v>
      </c>
      <c r="N75" s="2">
        <v>0</v>
      </c>
      <c r="O75">
        <v>-1.2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202</v>
      </c>
      <c r="B76" t="s">
        <v>9864</v>
      </c>
      <c r="C76">
        <f>"11201068"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9.333</v>
      </c>
      <c r="L76" s="2">
        <v>9</v>
      </c>
      <c r="M76">
        <v>0</v>
      </c>
      <c r="N76" s="2">
        <v>0</v>
      </c>
      <c r="O76">
        <v>-1.2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202</v>
      </c>
      <c r="B77" t="s">
        <v>9941</v>
      </c>
      <c r="C77">
        <f>"76928706598917"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</v>
      </c>
      <c r="K77">
        <v>14.611</v>
      </c>
      <c r="L77" s="2">
        <v>15</v>
      </c>
      <c r="M77">
        <v>0</v>
      </c>
      <c r="N77" s="2">
        <v>0</v>
      </c>
      <c r="O77">
        <v>-1.2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202</v>
      </c>
      <c r="B78" t="s">
        <v>9849</v>
      </c>
      <c r="C78">
        <f>"11201026"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</v>
      </c>
      <c r="K78">
        <v>7.507</v>
      </c>
      <c r="L78" s="2">
        <v>8</v>
      </c>
      <c r="M78">
        <v>0</v>
      </c>
      <c r="N78" s="2">
        <v>0</v>
      </c>
      <c r="O78">
        <v>-1.2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202</v>
      </c>
      <c r="B79" t="s">
        <v>9939</v>
      </c>
      <c r="C79">
        <f>"11201076"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</v>
      </c>
      <c r="K79">
        <v>15.304</v>
      </c>
      <c r="L79" s="2">
        <v>15</v>
      </c>
      <c r="M79">
        <v>0</v>
      </c>
      <c r="N79" s="2">
        <v>0</v>
      </c>
      <c r="O79">
        <v>-1.2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202</v>
      </c>
      <c r="B80" t="s">
        <v>9940</v>
      </c>
      <c r="C80">
        <f>"11201067"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</v>
      </c>
      <c r="K80">
        <v>8.968999999999999</v>
      </c>
      <c r="L80" s="2">
        <v>9</v>
      </c>
      <c r="M80">
        <v>0</v>
      </c>
      <c r="N80" s="2">
        <v>0</v>
      </c>
      <c r="O80">
        <v>-1.2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202</v>
      </c>
      <c r="B81" t="s">
        <v>9952</v>
      </c>
      <c r="C81">
        <f>"21002003"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</v>
      </c>
      <c r="K81">
        <v>12.68</v>
      </c>
      <c r="L81" s="2">
        <v>13</v>
      </c>
      <c r="M81">
        <v>0</v>
      </c>
      <c r="N81" s="2">
        <v>0</v>
      </c>
      <c r="O81">
        <v>-1.2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202</v>
      </c>
      <c r="B82" t="s">
        <v>2679</v>
      </c>
      <c r="C82">
        <f>"21001073"</f>
        <v>0</v>
      </c>
      <c r="D82">
        <v>1</v>
      </c>
      <c r="E82">
        <v>0</v>
      </c>
      <c r="F82">
        <v>0</v>
      </c>
      <c r="G82">
        <v>0</v>
      </c>
      <c r="H82">
        <v>1</v>
      </c>
      <c r="I82">
        <v>0</v>
      </c>
      <c r="J82">
        <v>1</v>
      </c>
      <c r="K82">
        <v>16.75</v>
      </c>
      <c r="L82" s="2">
        <v>17</v>
      </c>
      <c r="M82">
        <v>0</v>
      </c>
      <c r="N82" s="2">
        <v>0</v>
      </c>
      <c r="O82">
        <v>-1.2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202</v>
      </c>
      <c r="B83" t="s">
        <v>9948</v>
      </c>
      <c r="C83">
        <f>"21002042"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</v>
      </c>
      <c r="K83">
        <v>28.927</v>
      </c>
      <c r="L83" s="2">
        <v>29</v>
      </c>
      <c r="M83">
        <v>0</v>
      </c>
      <c r="N83" s="2">
        <v>0</v>
      </c>
      <c r="O83">
        <v>-1.2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202</v>
      </c>
      <c r="B84" t="s">
        <v>9954</v>
      </c>
      <c r="C84">
        <f>"21002043"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</v>
      </c>
      <c r="K84">
        <v>12.354</v>
      </c>
      <c r="L84" s="2">
        <v>12</v>
      </c>
      <c r="M84">
        <v>0</v>
      </c>
      <c r="N84" s="2">
        <v>0</v>
      </c>
      <c r="O84">
        <v>-1.2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202</v>
      </c>
      <c r="B85" t="s">
        <v>9953</v>
      </c>
      <c r="C85">
        <f>"21002046"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</v>
      </c>
      <c r="K85">
        <v>13.244</v>
      </c>
      <c r="L85" s="2">
        <v>13</v>
      </c>
      <c r="M85">
        <v>0</v>
      </c>
      <c r="N85" s="2">
        <v>0</v>
      </c>
      <c r="O85">
        <v>-1.2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202</v>
      </c>
      <c r="B86" t="s">
        <v>2705</v>
      </c>
      <c r="C86">
        <f>"21001038"</f>
        <v>0</v>
      </c>
      <c r="D86">
        <v>0</v>
      </c>
      <c r="E86">
        <v>0</v>
      </c>
      <c r="F86">
        <v>1</v>
      </c>
      <c r="G86">
        <v>0</v>
      </c>
      <c r="H86">
        <v>1</v>
      </c>
      <c r="I86">
        <v>0</v>
      </c>
      <c r="J86">
        <v>1</v>
      </c>
      <c r="K86">
        <v>12.363</v>
      </c>
      <c r="L86" s="2">
        <v>12</v>
      </c>
      <c r="M86">
        <v>0</v>
      </c>
      <c r="N86" s="2">
        <v>0</v>
      </c>
      <c r="O86">
        <v>-1.2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202</v>
      </c>
      <c r="B87" t="s">
        <v>9845</v>
      </c>
      <c r="C87">
        <f>"11201069"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</v>
      </c>
      <c r="K87">
        <v>9.568</v>
      </c>
      <c r="L87" s="2">
        <v>10</v>
      </c>
      <c r="M87">
        <v>0</v>
      </c>
      <c r="N87" s="2">
        <v>0</v>
      </c>
      <c r="O87">
        <v>-1.2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202</v>
      </c>
      <c r="B88" t="s">
        <v>2951</v>
      </c>
      <c r="C88">
        <f>"13202020"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</v>
      </c>
      <c r="K88">
        <v>6.062</v>
      </c>
      <c r="L88" s="2">
        <v>6</v>
      </c>
      <c r="M88">
        <v>0</v>
      </c>
      <c r="N88" s="2">
        <v>0</v>
      </c>
      <c r="O88">
        <v>-1.2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202</v>
      </c>
      <c r="B89" t="s">
        <v>9950</v>
      </c>
      <c r="C89">
        <f>"21001041"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</v>
      </c>
      <c r="K89">
        <v>3.19</v>
      </c>
      <c r="L89" s="2">
        <v>3</v>
      </c>
      <c r="M89">
        <v>0</v>
      </c>
      <c r="N89" s="2">
        <v>0</v>
      </c>
      <c r="O89">
        <v>-1.2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202</v>
      </c>
      <c r="B90" t="s">
        <v>9951</v>
      </c>
      <c r="C90">
        <f>"21001044"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</v>
      </c>
      <c r="K90">
        <v>2.666</v>
      </c>
      <c r="L90" s="2">
        <v>3</v>
      </c>
      <c r="M90">
        <v>0</v>
      </c>
      <c r="N90" s="2">
        <v>0</v>
      </c>
      <c r="O90">
        <v>-1.2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202</v>
      </c>
      <c r="B91" t="s">
        <v>9764</v>
      </c>
      <c r="C91">
        <f>"11002052"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</v>
      </c>
      <c r="K91">
        <v>12.68</v>
      </c>
      <c r="L91" s="2">
        <v>13</v>
      </c>
      <c r="M91">
        <v>0</v>
      </c>
      <c r="N91" s="2">
        <v>0</v>
      </c>
      <c r="O91">
        <v>-1.2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202</v>
      </c>
      <c r="B92" t="s">
        <v>9929</v>
      </c>
      <c r="C92">
        <f>"21102018"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</v>
      </c>
      <c r="K92">
        <v>14.832</v>
      </c>
      <c r="L92" s="2">
        <v>15</v>
      </c>
      <c r="M92">
        <v>0</v>
      </c>
      <c r="N92" s="2">
        <v>0</v>
      </c>
      <c r="O92">
        <v>-1.2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202</v>
      </c>
      <c r="B93" t="s">
        <v>2677</v>
      </c>
      <c r="C93">
        <f>"11002068"</f>
        <v>0</v>
      </c>
      <c r="D93">
        <v>0</v>
      </c>
      <c r="E93">
        <v>0</v>
      </c>
      <c r="F93">
        <v>1</v>
      </c>
      <c r="G93">
        <v>0</v>
      </c>
      <c r="H93">
        <v>1</v>
      </c>
      <c r="I93">
        <v>0</v>
      </c>
      <c r="J93">
        <v>1</v>
      </c>
      <c r="K93">
        <v>19.674</v>
      </c>
      <c r="L93" s="2">
        <v>20</v>
      </c>
      <c r="M93">
        <v>0</v>
      </c>
      <c r="N93" s="2">
        <v>0</v>
      </c>
      <c r="O93">
        <v>-1.2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202</v>
      </c>
      <c r="B94" t="s">
        <v>9850</v>
      </c>
      <c r="C94">
        <f>"11201058"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</v>
      </c>
      <c r="K94">
        <v>11.62</v>
      </c>
      <c r="L94" s="2">
        <v>12</v>
      </c>
      <c r="M94">
        <v>0</v>
      </c>
      <c r="N94" s="2">
        <v>0</v>
      </c>
      <c r="O94">
        <v>-1.2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202</v>
      </c>
      <c r="B95" t="s">
        <v>959</v>
      </c>
      <c r="C95">
        <f>"21001108"</f>
        <v>0</v>
      </c>
      <c r="D95">
        <v>0</v>
      </c>
      <c r="E95">
        <v>0</v>
      </c>
      <c r="F95">
        <v>18</v>
      </c>
      <c r="G95">
        <v>0</v>
      </c>
      <c r="H95">
        <v>18</v>
      </c>
      <c r="I95">
        <v>0</v>
      </c>
      <c r="J95">
        <v>1</v>
      </c>
      <c r="K95">
        <v>2.922</v>
      </c>
      <c r="L95" s="2">
        <v>3</v>
      </c>
      <c r="M95">
        <v>0</v>
      </c>
      <c r="N95" s="2">
        <v>0</v>
      </c>
      <c r="O95">
        <v>-1.2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202</v>
      </c>
      <c r="B96" t="s">
        <v>9899</v>
      </c>
      <c r="C96">
        <f>"11001115"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71.666</v>
      </c>
      <c r="L96" s="2">
        <v>36</v>
      </c>
      <c r="M96">
        <v>0</v>
      </c>
      <c r="N96" s="2">
        <v>0</v>
      </c>
      <c r="O96">
        <v>-2.4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202</v>
      </c>
      <c r="B97" t="s">
        <v>9513</v>
      </c>
      <c r="C97">
        <f>"11102047"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66.59399999999999</v>
      </c>
      <c r="L97" s="2">
        <v>33</v>
      </c>
      <c r="M97">
        <v>0</v>
      </c>
      <c r="N97" s="2">
        <v>0</v>
      </c>
      <c r="O97">
        <v>-2.4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202</v>
      </c>
      <c r="B98" t="s">
        <v>9754</v>
      </c>
      <c r="C98">
        <f>"11002142"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24.436</v>
      </c>
      <c r="L98" s="2">
        <v>12</v>
      </c>
      <c r="M98">
        <v>0</v>
      </c>
      <c r="N98" s="2">
        <v>0</v>
      </c>
      <c r="O98">
        <v>-2.4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202</v>
      </c>
      <c r="B99" t="s">
        <v>9915</v>
      </c>
      <c r="C99">
        <f>"11001098"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2</v>
      </c>
      <c r="K99">
        <v>49.573</v>
      </c>
      <c r="L99" s="2">
        <v>25</v>
      </c>
      <c r="M99">
        <v>0</v>
      </c>
      <c r="N99" s="2">
        <v>0</v>
      </c>
      <c r="O99">
        <v>-2.4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202</v>
      </c>
      <c r="B100" t="s">
        <v>9911</v>
      </c>
      <c r="C100">
        <f>"11001117"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2</v>
      </c>
      <c r="K100">
        <v>26.359</v>
      </c>
      <c r="L100" s="2">
        <v>13</v>
      </c>
      <c r="M100">
        <v>0</v>
      </c>
      <c r="N100" s="2">
        <v>0</v>
      </c>
      <c r="O100">
        <v>-2.4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202</v>
      </c>
      <c r="B101" t="s">
        <v>9752</v>
      </c>
      <c r="C101">
        <f>"11001118"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2</v>
      </c>
      <c r="K101">
        <v>24.727</v>
      </c>
      <c r="L101" s="2">
        <v>12</v>
      </c>
      <c r="M101">
        <v>0</v>
      </c>
      <c r="N101" s="2">
        <v>0</v>
      </c>
      <c r="O101">
        <v>-2.4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202</v>
      </c>
      <c r="B102" t="s">
        <v>9956</v>
      </c>
      <c r="C102">
        <f>"21001025"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2</v>
      </c>
      <c r="K102">
        <v>24.727</v>
      </c>
      <c r="L102" s="2">
        <v>12</v>
      </c>
      <c r="M102">
        <v>0</v>
      </c>
      <c r="N102" s="2">
        <v>0</v>
      </c>
      <c r="O102">
        <v>-2.4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202</v>
      </c>
      <c r="B103" t="s">
        <v>9949</v>
      </c>
      <c r="C103">
        <f>"11002041"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2</v>
      </c>
      <c r="K103">
        <v>66.536</v>
      </c>
      <c r="L103" s="2">
        <v>33</v>
      </c>
      <c r="M103">
        <v>0</v>
      </c>
      <c r="N103" s="2">
        <v>0</v>
      </c>
      <c r="O103">
        <v>-2.4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202</v>
      </c>
      <c r="B104" t="s">
        <v>9944</v>
      </c>
      <c r="C104">
        <f>"11002143"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2</v>
      </c>
      <c r="K104">
        <v>24.436</v>
      </c>
      <c r="L104" s="2">
        <v>12</v>
      </c>
      <c r="M104">
        <v>0</v>
      </c>
      <c r="N104" s="2">
        <v>0</v>
      </c>
      <c r="O104">
        <v>-2.4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202</v>
      </c>
      <c r="B105" t="s">
        <v>2720</v>
      </c>
      <c r="C105">
        <f>"21002049"</f>
        <v>0</v>
      </c>
      <c r="D105">
        <v>0</v>
      </c>
      <c r="E105">
        <v>1</v>
      </c>
      <c r="F105">
        <v>0</v>
      </c>
      <c r="G105">
        <v>0</v>
      </c>
      <c r="H105">
        <v>1</v>
      </c>
      <c r="I105">
        <v>0</v>
      </c>
      <c r="J105">
        <v>2</v>
      </c>
      <c r="K105">
        <v>23.615</v>
      </c>
      <c r="L105" s="2">
        <v>12</v>
      </c>
      <c r="M105">
        <v>0</v>
      </c>
      <c r="N105" s="2">
        <v>0</v>
      </c>
      <c r="O105">
        <v>-2.4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202</v>
      </c>
      <c r="B106" t="s">
        <v>2711</v>
      </c>
      <c r="C106">
        <f>"11001041"</f>
        <v>0</v>
      </c>
      <c r="D106">
        <v>1</v>
      </c>
      <c r="E106">
        <v>0</v>
      </c>
      <c r="F106">
        <v>0</v>
      </c>
      <c r="G106">
        <v>0</v>
      </c>
      <c r="H106">
        <v>1</v>
      </c>
      <c r="I106">
        <v>0</v>
      </c>
      <c r="J106">
        <v>2</v>
      </c>
      <c r="K106">
        <v>59.08</v>
      </c>
      <c r="L106" s="2">
        <v>30</v>
      </c>
      <c r="M106">
        <v>0</v>
      </c>
      <c r="N106" s="2">
        <v>0</v>
      </c>
      <c r="O106">
        <v>-2.4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202</v>
      </c>
      <c r="B107" t="s">
        <v>9779</v>
      </c>
      <c r="C107">
        <f>"11001116"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2</v>
      </c>
      <c r="K107">
        <v>26.359</v>
      </c>
      <c r="L107" s="2">
        <v>13</v>
      </c>
      <c r="M107">
        <v>0</v>
      </c>
      <c r="N107" s="2">
        <v>0</v>
      </c>
      <c r="O107">
        <v>-2.4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202</v>
      </c>
      <c r="B108" t="s">
        <v>9960</v>
      </c>
      <c r="C108">
        <f>"11001067"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2</v>
      </c>
      <c r="K108">
        <v>35.021</v>
      </c>
      <c r="L108" s="2">
        <v>18</v>
      </c>
      <c r="M108">
        <v>0</v>
      </c>
      <c r="N108" s="2">
        <v>0</v>
      </c>
      <c r="O108">
        <v>-2.4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202</v>
      </c>
      <c r="B109" t="s">
        <v>2608</v>
      </c>
      <c r="C109">
        <f>"21002057"</f>
        <v>0</v>
      </c>
      <c r="D109">
        <v>1</v>
      </c>
      <c r="E109">
        <v>0</v>
      </c>
      <c r="F109">
        <v>0</v>
      </c>
      <c r="G109">
        <v>0</v>
      </c>
      <c r="H109">
        <v>1</v>
      </c>
      <c r="I109">
        <v>0</v>
      </c>
      <c r="J109">
        <v>2</v>
      </c>
      <c r="K109">
        <v>28.336</v>
      </c>
      <c r="L109" s="2">
        <v>14</v>
      </c>
      <c r="M109">
        <v>0</v>
      </c>
      <c r="N109" s="2">
        <v>0</v>
      </c>
      <c r="O109">
        <v>-2.4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202</v>
      </c>
      <c r="B110" t="s">
        <v>2301</v>
      </c>
      <c r="C110">
        <f>"21002001"</f>
        <v>0</v>
      </c>
      <c r="D110">
        <v>1</v>
      </c>
      <c r="E110">
        <v>1</v>
      </c>
      <c r="F110">
        <v>0</v>
      </c>
      <c r="G110">
        <v>0</v>
      </c>
      <c r="H110">
        <v>2</v>
      </c>
      <c r="I110">
        <v>0.5</v>
      </c>
      <c r="J110">
        <v>3</v>
      </c>
      <c r="K110">
        <v>36.141</v>
      </c>
      <c r="L110" s="2">
        <v>12</v>
      </c>
      <c r="M110">
        <v>0</v>
      </c>
      <c r="N110" s="2">
        <v>0</v>
      </c>
      <c r="O110">
        <v>-3.1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202</v>
      </c>
      <c r="B111" t="s">
        <v>2676</v>
      </c>
      <c r="C111">
        <f>"11001002"</f>
        <v>0</v>
      </c>
      <c r="D111">
        <v>0</v>
      </c>
      <c r="E111">
        <v>0</v>
      </c>
      <c r="F111">
        <v>1</v>
      </c>
      <c r="G111">
        <v>0</v>
      </c>
      <c r="H111">
        <v>1</v>
      </c>
      <c r="I111">
        <v>0</v>
      </c>
      <c r="J111">
        <v>3</v>
      </c>
      <c r="K111">
        <v>37.09</v>
      </c>
      <c r="L111" s="2">
        <v>12</v>
      </c>
      <c r="M111">
        <v>0</v>
      </c>
      <c r="N111" s="2">
        <v>0</v>
      </c>
      <c r="O111">
        <v>-3.6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202</v>
      </c>
      <c r="B112" t="s">
        <v>9946</v>
      </c>
      <c r="C112">
        <f>"21002060"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3</v>
      </c>
      <c r="K112">
        <v>38.175</v>
      </c>
      <c r="L112" s="2">
        <v>13</v>
      </c>
      <c r="M112">
        <v>0</v>
      </c>
      <c r="N112" s="2">
        <v>0</v>
      </c>
      <c r="O112">
        <v>-3.6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202</v>
      </c>
      <c r="B113" t="s">
        <v>2003</v>
      </c>
      <c r="C113">
        <f>"11004033"</f>
        <v>0</v>
      </c>
      <c r="D113">
        <v>0</v>
      </c>
      <c r="E113">
        <v>0</v>
      </c>
      <c r="F113">
        <v>4</v>
      </c>
      <c r="G113">
        <v>0</v>
      </c>
      <c r="H113">
        <v>4</v>
      </c>
      <c r="I113">
        <v>0</v>
      </c>
      <c r="J113">
        <v>4</v>
      </c>
      <c r="K113">
        <v>10.363</v>
      </c>
      <c r="L113" s="2">
        <v>3</v>
      </c>
      <c r="M113">
        <v>0</v>
      </c>
      <c r="N113" s="2">
        <v>0</v>
      </c>
      <c r="O113">
        <v>-4.8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202</v>
      </c>
      <c r="B114" t="s">
        <v>2725</v>
      </c>
      <c r="C114">
        <f>"11002106"</f>
        <v>0</v>
      </c>
      <c r="D114">
        <v>0</v>
      </c>
      <c r="E114">
        <v>0</v>
      </c>
      <c r="F114">
        <v>1</v>
      </c>
      <c r="G114">
        <v>0</v>
      </c>
      <c r="H114">
        <v>1</v>
      </c>
      <c r="I114">
        <v>0</v>
      </c>
      <c r="J114">
        <v>4</v>
      </c>
      <c r="K114">
        <v>143.332</v>
      </c>
      <c r="L114" s="2">
        <v>36</v>
      </c>
      <c r="M114">
        <v>0</v>
      </c>
      <c r="N114" s="2">
        <v>0</v>
      </c>
      <c r="O114">
        <v>-4.8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202</v>
      </c>
      <c r="B115" t="s">
        <v>2302</v>
      </c>
      <c r="C115">
        <f>"21001090"</f>
        <v>0</v>
      </c>
      <c r="D115">
        <v>0</v>
      </c>
      <c r="E115">
        <v>2</v>
      </c>
      <c r="F115">
        <v>0</v>
      </c>
      <c r="G115">
        <v>0</v>
      </c>
      <c r="H115">
        <v>2</v>
      </c>
      <c r="I115">
        <v>0</v>
      </c>
      <c r="J115">
        <v>4</v>
      </c>
      <c r="K115">
        <v>66.999</v>
      </c>
      <c r="L115" s="2">
        <v>17</v>
      </c>
      <c r="M115">
        <v>0</v>
      </c>
      <c r="N115" s="2">
        <v>0</v>
      </c>
      <c r="O115">
        <v>-4.8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202</v>
      </c>
      <c r="B116" t="s">
        <v>10231</v>
      </c>
      <c r="C116">
        <f>"21001013"</f>
        <v>0</v>
      </c>
      <c r="D116">
        <v>0</v>
      </c>
      <c r="E116">
        <v>9</v>
      </c>
      <c r="F116">
        <v>8</v>
      </c>
      <c r="G116">
        <v>0</v>
      </c>
      <c r="H116">
        <v>17</v>
      </c>
      <c r="I116">
        <v>4</v>
      </c>
      <c r="J116">
        <v>8</v>
      </c>
      <c r="K116">
        <v>20.725</v>
      </c>
      <c r="L116" s="2">
        <v>3</v>
      </c>
      <c r="M116">
        <v>0</v>
      </c>
      <c r="N116" s="2">
        <v>0</v>
      </c>
      <c r="O116">
        <v>-5.6</v>
      </c>
      <c r="P116" t="s">
        <v>10503</v>
      </c>
      <c r="Q116">
        <v>-762</v>
      </c>
      <c r="R116" t="s">
        <v>10828</v>
      </c>
      <c r="S116">
        <v>0</v>
      </c>
    </row>
    <row r="117" spans="1:19">
      <c r="A117" t="s">
        <v>202</v>
      </c>
      <c r="B117" t="s">
        <v>2065</v>
      </c>
      <c r="C117">
        <f>"11001113"</f>
        <v>0</v>
      </c>
      <c r="D117">
        <v>0</v>
      </c>
      <c r="E117">
        <v>0</v>
      </c>
      <c r="F117">
        <v>3</v>
      </c>
      <c r="G117">
        <v>0</v>
      </c>
      <c r="H117">
        <v>3</v>
      </c>
      <c r="I117">
        <v>0</v>
      </c>
      <c r="J117">
        <v>5</v>
      </c>
      <c r="K117">
        <v>14.193</v>
      </c>
      <c r="L117" s="2">
        <v>3</v>
      </c>
      <c r="M117">
        <v>0</v>
      </c>
      <c r="N117" s="2">
        <v>0</v>
      </c>
      <c r="O117">
        <v>-6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202</v>
      </c>
      <c r="B118" t="s">
        <v>9912</v>
      </c>
      <c r="C118">
        <f>"11001030"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6</v>
      </c>
      <c r="K118">
        <v>17.031</v>
      </c>
      <c r="L118" s="2">
        <v>3</v>
      </c>
      <c r="M118">
        <v>0</v>
      </c>
      <c r="N118" s="2">
        <v>0</v>
      </c>
      <c r="O118">
        <v>-7.199999999999999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202</v>
      </c>
      <c r="B119" t="s">
        <v>9958</v>
      </c>
      <c r="C119">
        <f>"11001119"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6</v>
      </c>
      <c r="K119">
        <v>17.031</v>
      </c>
      <c r="L119" s="2">
        <v>3</v>
      </c>
      <c r="M119">
        <v>0</v>
      </c>
      <c r="N119" s="2">
        <v>0</v>
      </c>
      <c r="O119">
        <v>-7.199999999999999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202</v>
      </c>
      <c r="B120" t="s">
        <v>2732</v>
      </c>
      <c r="C120">
        <f>"11002131"</f>
        <v>0</v>
      </c>
      <c r="D120">
        <v>0</v>
      </c>
      <c r="E120">
        <v>0</v>
      </c>
      <c r="F120">
        <v>1</v>
      </c>
      <c r="G120">
        <v>0</v>
      </c>
      <c r="H120">
        <v>1</v>
      </c>
      <c r="I120">
        <v>0</v>
      </c>
      <c r="J120">
        <v>6</v>
      </c>
      <c r="K120">
        <v>77.19</v>
      </c>
      <c r="L120" s="2">
        <v>13</v>
      </c>
      <c r="M120">
        <v>0</v>
      </c>
      <c r="N120" s="2">
        <v>0</v>
      </c>
      <c r="O120">
        <v>-7.199999999999999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202</v>
      </c>
      <c r="B121" t="s">
        <v>2689</v>
      </c>
      <c r="C121">
        <f>"21001061"</f>
        <v>0</v>
      </c>
      <c r="D121">
        <v>0</v>
      </c>
      <c r="E121">
        <v>0</v>
      </c>
      <c r="F121">
        <v>1</v>
      </c>
      <c r="G121">
        <v>0</v>
      </c>
      <c r="H121">
        <v>1</v>
      </c>
      <c r="I121">
        <v>0</v>
      </c>
      <c r="J121">
        <v>6</v>
      </c>
      <c r="K121">
        <v>12.466</v>
      </c>
      <c r="L121" s="2">
        <v>2</v>
      </c>
      <c r="M121">
        <v>0</v>
      </c>
      <c r="N121" s="2">
        <v>0</v>
      </c>
      <c r="O121">
        <v>-7.199999999999999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202</v>
      </c>
      <c r="B122" t="s">
        <v>9943</v>
      </c>
      <c r="C122">
        <f>"11002121"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8</v>
      </c>
      <c r="K122">
        <v>13.543</v>
      </c>
      <c r="L122" s="2">
        <v>2</v>
      </c>
      <c r="M122">
        <v>0</v>
      </c>
      <c r="N122" s="2">
        <v>0</v>
      </c>
      <c r="O122">
        <v>-9.6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202</v>
      </c>
      <c r="B123" t="s">
        <v>9773</v>
      </c>
      <c r="C123">
        <f>"11002032"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8</v>
      </c>
      <c r="K123">
        <v>18.673</v>
      </c>
      <c r="L123" s="2">
        <v>2</v>
      </c>
      <c r="M123">
        <v>0</v>
      </c>
      <c r="N123" s="2">
        <v>0</v>
      </c>
      <c r="O123">
        <v>-9.6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202</v>
      </c>
      <c r="B124" t="s">
        <v>9917</v>
      </c>
      <c r="C124">
        <f>"11002153"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8</v>
      </c>
      <c r="K124">
        <v>18.673</v>
      </c>
      <c r="L124" s="2">
        <v>2</v>
      </c>
      <c r="M124">
        <v>0</v>
      </c>
      <c r="N124" s="2">
        <v>0</v>
      </c>
      <c r="O124">
        <v>-9.6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202</v>
      </c>
      <c r="B125" t="s">
        <v>9774</v>
      </c>
      <c r="C125">
        <f>"11002154"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8</v>
      </c>
      <c r="K125">
        <v>18.673</v>
      </c>
      <c r="L125" s="2">
        <v>2</v>
      </c>
      <c r="M125">
        <v>0</v>
      </c>
      <c r="N125" s="2">
        <v>0</v>
      </c>
      <c r="O125">
        <v>-9.6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202</v>
      </c>
      <c r="B126" t="s">
        <v>9916</v>
      </c>
      <c r="C126">
        <f>"11002004"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8</v>
      </c>
      <c r="K126">
        <v>18.673</v>
      </c>
      <c r="L126" s="2">
        <v>2</v>
      </c>
      <c r="M126">
        <v>0</v>
      </c>
      <c r="N126" s="2">
        <v>0</v>
      </c>
      <c r="O126">
        <v>-9.6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202</v>
      </c>
      <c r="B127" t="s">
        <v>9945</v>
      </c>
      <c r="C127">
        <f>"11002141"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8</v>
      </c>
      <c r="K127">
        <v>13.543</v>
      </c>
      <c r="L127" s="2">
        <v>2</v>
      </c>
      <c r="M127">
        <v>0</v>
      </c>
      <c r="N127" s="2">
        <v>0</v>
      </c>
      <c r="O127">
        <v>-9.6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202</v>
      </c>
      <c r="B128" t="s">
        <v>9861</v>
      </c>
      <c r="C128">
        <f>"11002048"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8</v>
      </c>
      <c r="K128">
        <v>13.543</v>
      </c>
      <c r="L128" s="2">
        <v>2</v>
      </c>
      <c r="M128">
        <v>0</v>
      </c>
      <c r="N128" s="2">
        <v>0</v>
      </c>
      <c r="O128">
        <v>-9.6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202</v>
      </c>
      <c r="B129" t="s">
        <v>9947</v>
      </c>
      <c r="C129">
        <f>"11002053"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8</v>
      </c>
      <c r="K129">
        <v>13.543</v>
      </c>
      <c r="L129" s="2">
        <v>2</v>
      </c>
      <c r="M129">
        <v>0</v>
      </c>
      <c r="N129" s="2">
        <v>0</v>
      </c>
      <c r="O129">
        <v>-9.6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202</v>
      </c>
      <c r="B130" t="s">
        <v>9942</v>
      </c>
      <c r="C130">
        <f>"11002071"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9</v>
      </c>
      <c r="K130">
        <v>15.236</v>
      </c>
      <c r="L130" s="2">
        <v>2</v>
      </c>
      <c r="M130">
        <v>0</v>
      </c>
      <c r="N130" s="2">
        <v>0</v>
      </c>
      <c r="O130">
        <v>-10.8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202</v>
      </c>
      <c r="B131" t="s">
        <v>9955</v>
      </c>
      <c r="C131">
        <f>"11002037"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9</v>
      </c>
      <c r="K131">
        <v>21.007</v>
      </c>
      <c r="L131" s="2">
        <v>2</v>
      </c>
      <c r="M131">
        <v>0</v>
      </c>
      <c r="N131" s="2">
        <v>0</v>
      </c>
      <c r="O131">
        <v>-10.8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202</v>
      </c>
      <c r="B132" t="s">
        <v>2300</v>
      </c>
      <c r="C132">
        <f>"11001058"</f>
        <v>0</v>
      </c>
      <c r="D132">
        <v>0</v>
      </c>
      <c r="E132">
        <v>2</v>
      </c>
      <c r="F132">
        <v>0</v>
      </c>
      <c r="G132">
        <v>0</v>
      </c>
      <c r="H132">
        <v>2</v>
      </c>
      <c r="I132">
        <v>0</v>
      </c>
      <c r="J132">
        <v>12</v>
      </c>
      <c r="K132">
        <v>24.932</v>
      </c>
      <c r="L132" s="2">
        <v>2</v>
      </c>
      <c r="M132">
        <v>0</v>
      </c>
      <c r="N132" s="2">
        <v>0</v>
      </c>
      <c r="O132">
        <v>-14.4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202</v>
      </c>
      <c r="B133" t="s">
        <v>1624</v>
      </c>
      <c r="C133">
        <f>"21001054"</f>
        <v>0</v>
      </c>
      <c r="D133">
        <v>0</v>
      </c>
      <c r="E133">
        <v>26</v>
      </c>
      <c r="F133">
        <v>6</v>
      </c>
      <c r="G133">
        <v>0</v>
      </c>
      <c r="H133">
        <v>32</v>
      </c>
      <c r="I133">
        <v>3</v>
      </c>
      <c r="J133">
        <v>22</v>
      </c>
      <c r="K133">
        <v>47.036</v>
      </c>
      <c r="L133" s="2">
        <v>2</v>
      </c>
      <c r="M133">
        <v>0</v>
      </c>
      <c r="N133" s="2">
        <v>0</v>
      </c>
      <c r="O133">
        <v>-23.4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202</v>
      </c>
      <c r="B134" t="s">
        <v>1582</v>
      </c>
      <c r="C134">
        <f>"21001001"</f>
        <v>0</v>
      </c>
      <c r="D134">
        <v>0</v>
      </c>
      <c r="E134">
        <v>26</v>
      </c>
      <c r="F134">
        <v>16</v>
      </c>
      <c r="G134">
        <v>5</v>
      </c>
      <c r="H134">
        <v>47</v>
      </c>
      <c r="I134">
        <v>10.5</v>
      </c>
      <c r="J134">
        <v>41</v>
      </c>
      <c r="K134">
        <v>100.655</v>
      </c>
      <c r="L134" s="2">
        <v>2</v>
      </c>
      <c r="M134">
        <v>0</v>
      </c>
      <c r="N134" s="2">
        <v>0</v>
      </c>
      <c r="O134">
        <v>-28.7</v>
      </c>
      <c r="P134" t="s">
        <v>10820</v>
      </c>
      <c r="Q134">
        <v>3.229</v>
      </c>
      <c r="R134" t="s">
        <v>10829</v>
      </c>
      <c r="S134">
        <v>0</v>
      </c>
    </row>
  </sheetData>
  <autoFilter ref="A2:S134"/>
  <hyperlinks>
    <hyperlink ref="A1" location="'ÍNDICE'!A1" display="⬅ Volver al índice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S5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41</v>
      </c>
      <c r="B3" t="s">
        <v>91</v>
      </c>
      <c r="C3">
        <f>"INSUANTI01"</f>
        <v>0</v>
      </c>
      <c r="D3">
        <v>56</v>
      </c>
      <c r="E3">
        <v>15</v>
      </c>
      <c r="F3">
        <v>34</v>
      </c>
      <c r="G3">
        <v>24</v>
      </c>
      <c r="H3">
        <v>129</v>
      </c>
      <c r="I3">
        <v>29</v>
      </c>
      <c r="J3">
        <v>42</v>
      </c>
      <c r="K3">
        <v>129.465</v>
      </c>
      <c r="L3" s="2">
        <v>3</v>
      </c>
      <c r="M3">
        <v>0</v>
      </c>
      <c r="N3" s="2">
        <v>0</v>
      </c>
      <c r="O3">
        <v>26.6</v>
      </c>
      <c r="P3" t="s">
        <v>137</v>
      </c>
      <c r="Q3">
        <v>19.933</v>
      </c>
      <c r="R3" t="s">
        <v>182</v>
      </c>
      <c r="S3">
        <v>0</v>
      </c>
    </row>
    <row r="4" spans="1:19">
      <c r="A4" t="s">
        <v>41</v>
      </c>
      <c r="B4" t="s">
        <v>1599</v>
      </c>
      <c r="C4">
        <f>"LEGLYS01"</f>
        <v>0</v>
      </c>
      <c r="D4">
        <v>0</v>
      </c>
      <c r="E4">
        <v>6</v>
      </c>
      <c r="F4">
        <v>0</v>
      </c>
      <c r="G4">
        <v>9</v>
      </c>
      <c r="H4">
        <v>15</v>
      </c>
      <c r="I4">
        <v>3</v>
      </c>
      <c r="J4">
        <v>3</v>
      </c>
      <c r="K4">
        <v>20.712</v>
      </c>
      <c r="L4" s="2">
        <v>7</v>
      </c>
      <c r="M4">
        <v>4</v>
      </c>
      <c r="N4" s="2">
        <v>28</v>
      </c>
      <c r="O4">
        <v>20.4</v>
      </c>
      <c r="P4" t="s">
        <v>10831</v>
      </c>
      <c r="Q4">
        <v>43.669</v>
      </c>
      <c r="R4" t="s">
        <v>10844</v>
      </c>
      <c r="S4">
        <v>1</v>
      </c>
    </row>
    <row r="5" spans="1:19">
      <c r="A5" t="s">
        <v>41</v>
      </c>
      <c r="B5" t="s">
        <v>490</v>
      </c>
      <c r="C5">
        <f>"PAHLRGL"</f>
        <v>0</v>
      </c>
      <c r="D5">
        <v>2</v>
      </c>
      <c r="E5">
        <v>0</v>
      </c>
      <c r="F5">
        <v>3</v>
      </c>
      <c r="G5">
        <v>6</v>
      </c>
      <c r="H5">
        <v>11</v>
      </c>
      <c r="I5">
        <v>2.5</v>
      </c>
      <c r="J5">
        <v>0</v>
      </c>
      <c r="K5">
        <v>0</v>
      </c>
      <c r="L5" s="2">
        <v>0</v>
      </c>
      <c r="M5">
        <v>6</v>
      </c>
      <c r="N5" s="2">
        <v>0</v>
      </c>
      <c r="O5">
        <v>17.5</v>
      </c>
      <c r="P5" t="s">
        <v>10482</v>
      </c>
      <c r="Q5">
        <v>28.349</v>
      </c>
      <c r="R5" t="s">
        <v>10845</v>
      </c>
      <c r="S5">
        <v>1</v>
      </c>
    </row>
    <row r="6" spans="1:19">
      <c r="A6" t="s">
        <v>41</v>
      </c>
      <c r="B6" t="s">
        <v>447</v>
      </c>
      <c r="C6">
        <f>"PAHLRRP"</f>
        <v>0</v>
      </c>
      <c r="D6">
        <v>0</v>
      </c>
      <c r="E6">
        <v>2</v>
      </c>
      <c r="F6">
        <v>11</v>
      </c>
      <c r="G6">
        <v>6</v>
      </c>
      <c r="H6">
        <v>19</v>
      </c>
      <c r="I6">
        <v>4</v>
      </c>
      <c r="J6">
        <v>0</v>
      </c>
      <c r="K6">
        <v>0</v>
      </c>
      <c r="L6" s="2">
        <v>0</v>
      </c>
      <c r="M6">
        <v>7</v>
      </c>
      <c r="N6" s="2">
        <v>0</v>
      </c>
      <c r="O6">
        <v>16</v>
      </c>
      <c r="P6" t="s">
        <v>10832</v>
      </c>
      <c r="Q6">
        <v>23.196</v>
      </c>
      <c r="R6" t="s">
        <v>10846</v>
      </c>
      <c r="S6">
        <v>0</v>
      </c>
    </row>
    <row r="7" spans="1:19">
      <c r="A7" t="s">
        <v>41</v>
      </c>
      <c r="B7" t="s">
        <v>1668</v>
      </c>
      <c r="C7">
        <f>"PAHR30"</f>
        <v>0</v>
      </c>
      <c r="D7">
        <v>0</v>
      </c>
      <c r="E7">
        <v>0</v>
      </c>
      <c r="F7">
        <v>10</v>
      </c>
      <c r="G7">
        <v>10</v>
      </c>
      <c r="H7">
        <v>20</v>
      </c>
      <c r="I7">
        <v>5</v>
      </c>
      <c r="J7">
        <v>10</v>
      </c>
      <c r="K7">
        <v>73.84999999999999</v>
      </c>
      <c r="L7" s="2">
        <v>7</v>
      </c>
      <c r="M7">
        <v>0</v>
      </c>
      <c r="N7" s="2">
        <v>0</v>
      </c>
      <c r="O7">
        <v>13</v>
      </c>
      <c r="P7" t="s">
        <v>10833</v>
      </c>
      <c r="Q7">
        <v>10.175</v>
      </c>
      <c r="R7" t="s">
        <v>10847</v>
      </c>
      <c r="S7">
        <v>0</v>
      </c>
    </row>
    <row r="8" spans="1:19">
      <c r="A8" t="s">
        <v>41</v>
      </c>
      <c r="B8" t="s">
        <v>569</v>
      </c>
      <c r="C8">
        <f>"GELORAZN12"</f>
        <v>0</v>
      </c>
      <c r="D8">
        <v>0</v>
      </c>
      <c r="E8">
        <v>0</v>
      </c>
      <c r="F8">
        <v>0</v>
      </c>
      <c r="G8">
        <v>5</v>
      </c>
      <c r="H8">
        <v>5</v>
      </c>
      <c r="I8">
        <v>0</v>
      </c>
      <c r="J8">
        <v>0</v>
      </c>
      <c r="K8">
        <v>0</v>
      </c>
      <c r="L8" s="2">
        <v>0</v>
      </c>
      <c r="M8">
        <v>2</v>
      </c>
      <c r="N8" s="2">
        <v>0</v>
      </c>
      <c r="O8">
        <v>13</v>
      </c>
      <c r="P8" t="s">
        <v>10438</v>
      </c>
      <c r="Q8">
        <v>24.765</v>
      </c>
      <c r="R8" t="s">
        <v>10848</v>
      </c>
      <c r="S8">
        <v>1</v>
      </c>
    </row>
    <row r="9" spans="1:19">
      <c r="A9" t="s">
        <v>41</v>
      </c>
      <c r="B9" t="s">
        <v>865</v>
      </c>
      <c r="C9">
        <f>"502048"</f>
        <v>0</v>
      </c>
      <c r="D9">
        <v>0</v>
      </c>
      <c r="E9">
        <v>0</v>
      </c>
      <c r="F9">
        <v>0</v>
      </c>
      <c r="G9">
        <v>3</v>
      </c>
      <c r="H9">
        <v>3</v>
      </c>
      <c r="I9">
        <v>0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9</v>
      </c>
      <c r="P9" t="s">
        <v>10834</v>
      </c>
      <c r="Q9">
        <v>1.987</v>
      </c>
      <c r="R9" t="s">
        <v>10849</v>
      </c>
      <c r="S9">
        <v>1</v>
      </c>
    </row>
    <row r="10" spans="1:19">
      <c r="A10" t="s">
        <v>41</v>
      </c>
      <c r="B10" t="s">
        <v>2036</v>
      </c>
      <c r="C10">
        <f>"502051"</f>
        <v>0</v>
      </c>
      <c r="D10">
        <v>0</v>
      </c>
      <c r="E10">
        <v>0</v>
      </c>
      <c r="F10">
        <v>0</v>
      </c>
      <c r="G10">
        <v>3</v>
      </c>
      <c r="H10">
        <v>3</v>
      </c>
      <c r="I10">
        <v>0</v>
      </c>
      <c r="J10">
        <v>1</v>
      </c>
      <c r="K10">
        <v>1.232</v>
      </c>
      <c r="L10" s="2">
        <v>1</v>
      </c>
      <c r="M10">
        <v>0</v>
      </c>
      <c r="N10" s="2">
        <v>0</v>
      </c>
      <c r="O10">
        <v>7.8</v>
      </c>
      <c r="P10" t="s">
        <v>10835</v>
      </c>
      <c r="Q10">
        <v>3.086</v>
      </c>
      <c r="R10" t="s">
        <v>10850</v>
      </c>
      <c r="S10">
        <v>1</v>
      </c>
    </row>
    <row r="11" spans="1:19">
      <c r="A11" t="s">
        <v>41</v>
      </c>
      <c r="B11" t="s">
        <v>1729</v>
      </c>
      <c r="C11">
        <f>"PAIRCGO"</f>
        <v>0</v>
      </c>
      <c r="D11">
        <v>0</v>
      </c>
      <c r="E11">
        <v>0</v>
      </c>
      <c r="F11">
        <v>0</v>
      </c>
      <c r="G11">
        <v>4</v>
      </c>
      <c r="H11">
        <v>4</v>
      </c>
      <c r="I11">
        <v>0</v>
      </c>
      <c r="J11">
        <v>4</v>
      </c>
      <c r="K11">
        <v>38.273</v>
      </c>
      <c r="L11" s="2">
        <v>10</v>
      </c>
      <c r="M11">
        <v>0</v>
      </c>
      <c r="N11" s="2">
        <v>0</v>
      </c>
      <c r="O11">
        <v>6.2</v>
      </c>
      <c r="P11" t="s">
        <v>10836</v>
      </c>
      <c r="Q11">
        <v>45.726</v>
      </c>
      <c r="R11" t="s">
        <v>10851</v>
      </c>
      <c r="S11">
        <v>1</v>
      </c>
    </row>
    <row r="12" spans="1:19">
      <c r="A12" t="s">
        <v>41</v>
      </c>
      <c r="B12" t="s">
        <v>551</v>
      </c>
      <c r="C12">
        <f>"PAVG53"</f>
        <v>0</v>
      </c>
      <c r="D12">
        <v>0</v>
      </c>
      <c r="E12">
        <v>2</v>
      </c>
      <c r="F12">
        <v>4</v>
      </c>
      <c r="G12">
        <v>2</v>
      </c>
      <c r="H12">
        <v>8</v>
      </c>
      <c r="I12">
        <v>2</v>
      </c>
      <c r="J12">
        <v>0</v>
      </c>
      <c r="K12">
        <v>0</v>
      </c>
      <c r="L12" s="2">
        <v>0</v>
      </c>
      <c r="M12">
        <v>3</v>
      </c>
      <c r="N12" s="2">
        <v>0</v>
      </c>
      <c r="O12">
        <v>6</v>
      </c>
      <c r="P12" t="s">
        <v>10837</v>
      </c>
      <c r="Q12">
        <v>17.179</v>
      </c>
      <c r="R12" t="s">
        <v>10852</v>
      </c>
      <c r="S12">
        <v>0</v>
      </c>
    </row>
    <row r="13" spans="1:19">
      <c r="A13" t="s">
        <v>41</v>
      </c>
      <c r="B13" t="s">
        <v>2154</v>
      </c>
      <c r="C13">
        <f>"502049"</f>
        <v>0</v>
      </c>
      <c r="D13">
        <v>0</v>
      </c>
      <c r="E13">
        <v>0</v>
      </c>
      <c r="F13">
        <v>0</v>
      </c>
      <c r="G13">
        <v>2</v>
      </c>
      <c r="H13">
        <v>2</v>
      </c>
      <c r="I13">
        <v>0</v>
      </c>
      <c r="J13">
        <v>1</v>
      </c>
      <c r="K13">
        <v>2.317</v>
      </c>
      <c r="L13" s="2">
        <v>2</v>
      </c>
      <c r="M13">
        <v>0</v>
      </c>
      <c r="N13" s="2">
        <v>0</v>
      </c>
      <c r="O13">
        <v>5.8</v>
      </c>
      <c r="P13" t="s">
        <v>10838</v>
      </c>
      <c r="Q13">
        <v>1.482</v>
      </c>
      <c r="R13" t="s">
        <v>10853</v>
      </c>
      <c r="S13">
        <v>1</v>
      </c>
    </row>
    <row r="14" spans="1:19">
      <c r="A14" t="s">
        <v>41</v>
      </c>
      <c r="B14" t="s">
        <v>1543</v>
      </c>
      <c r="C14">
        <f>"LEGVETGAS0"</f>
        <v>0</v>
      </c>
      <c r="D14">
        <v>2</v>
      </c>
      <c r="E14">
        <v>6</v>
      </c>
      <c r="F14">
        <v>9</v>
      </c>
      <c r="G14">
        <v>2</v>
      </c>
      <c r="H14">
        <v>19</v>
      </c>
      <c r="I14">
        <v>4</v>
      </c>
      <c r="J14">
        <v>2</v>
      </c>
      <c r="K14">
        <v>14.329</v>
      </c>
      <c r="L14" s="2">
        <v>7</v>
      </c>
      <c r="M14">
        <v>3</v>
      </c>
      <c r="N14" s="2">
        <v>21</v>
      </c>
      <c r="O14">
        <v>5.6</v>
      </c>
      <c r="P14" t="s">
        <v>10700</v>
      </c>
      <c r="Q14">
        <v>9.183</v>
      </c>
      <c r="R14" t="s">
        <v>10854</v>
      </c>
      <c r="S14">
        <v>0</v>
      </c>
    </row>
    <row r="15" spans="1:19">
      <c r="A15" t="s">
        <v>41</v>
      </c>
      <c r="B15" t="s">
        <v>612</v>
      </c>
      <c r="C15">
        <f>"LEGHYALO03"</f>
        <v>0</v>
      </c>
      <c r="D15">
        <v>0</v>
      </c>
      <c r="E15">
        <v>0</v>
      </c>
      <c r="F15">
        <v>2</v>
      </c>
      <c r="G15">
        <v>2</v>
      </c>
      <c r="H15">
        <v>4</v>
      </c>
      <c r="I15">
        <v>1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5</v>
      </c>
      <c r="P15" t="s">
        <v>10839</v>
      </c>
      <c r="Q15">
        <v>19.44</v>
      </c>
      <c r="R15" t="s">
        <v>10266</v>
      </c>
      <c r="S15">
        <v>0</v>
      </c>
    </row>
    <row r="16" spans="1:19">
      <c r="A16" t="s">
        <v>41</v>
      </c>
      <c r="B16" t="s">
        <v>1130</v>
      </c>
      <c r="C16">
        <f>"CHEMPARA0"</f>
        <v>0</v>
      </c>
      <c r="D16">
        <v>0</v>
      </c>
      <c r="E16">
        <v>0</v>
      </c>
      <c r="F16">
        <v>0</v>
      </c>
      <c r="G16">
        <v>1</v>
      </c>
      <c r="H16">
        <v>1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5</v>
      </c>
      <c r="P16" t="s">
        <v>10840</v>
      </c>
      <c r="Q16">
        <v>3.267</v>
      </c>
      <c r="R16" t="s">
        <v>10379</v>
      </c>
      <c r="S16">
        <v>1</v>
      </c>
    </row>
    <row r="17" spans="1:19">
      <c r="A17" t="s">
        <v>41</v>
      </c>
      <c r="B17" t="s">
        <v>948</v>
      </c>
      <c r="C17">
        <f>"PAIRCP01"</f>
        <v>0</v>
      </c>
      <c r="D17">
        <v>0</v>
      </c>
      <c r="E17">
        <v>0</v>
      </c>
      <c r="F17">
        <v>0</v>
      </c>
      <c r="G17">
        <v>1</v>
      </c>
      <c r="H17">
        <v>1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5</v>
      </c>
      <c r="P17" t="s">
        <v>10841</v>
      </c>
      <c r="Q17">
        <v>8.018000000000001</v>
      </c>
      <c r="R17" t="s">
        <v>10855</v>
      </c>
      <c r="S17">
        <v>1</v>
      </c>
    </row>
    <row r="18" spans="1:19">
      <c r="A18" t="s">
        <v>41</v>
      </c>
      <c r="B18" t="s">
        <v>2152</v>
      </c>
      <c r="C18">
        <f>"502050"</f>
        <v>0</v>
      </c>
      <c r="D18">
        <v>0</v>
      </c>
      <c r="E18">
        <v>0</v>
      </c>
      <c r="F18">
        <v>0</v>
      </c>
      <c r="G18">
        <v>2</v>
      </c>
      <c r="H18">
        <v>2</v>
      </c>
      <c r="I18">
        <v>0</v>
      </c>
      <c r="J18">
        <v>2</v>
      </c>
      <c r="K18">
        <v>3.251</v>
      </c>
      <c r="L18" s="2">
        <v>2</v>
      </c>
      <c r="M18">
        <v>0</v>
      </c>
      <c r="N18" s="2">
        <v>0</v>
      </c>
      <c r="O18">
        <v>4.6</v>
      </c>
      <c r="P18" t="s">
        <v>10842</v>
      </c>
      <c r="Q18">
        <v>1.775</v>
      </c>
      <c r="R18" t="s">
        <v>10856</v>
      </c>
      <c r="S18">
        <v>1</v>
      </c>
    </row>
    <row r="19" spans="1:19">
      <c r="A19" t="s">
        <v>41</v>
      </c>
      <c r="B19" t="s">
        <v>2039</v>
      </c>
      <c r="C19">
        <f>"501935"</f>
        <v>0</v>
      </c>
      <c r="D19">
        <v>0</v>
      </c>
      <c r="E19">
        <v>0</v>
      </c>
      <c r="F19">
        <v>0</v>
      </c>
      <c r="G19">
        <v>2</v>
      </c>
      <c r="H19">
        <v>2</v>
      </c>
      <c r="I19">
        <v>0</v>
      </c>
      <c r="J19">
        <v>2</v>
      </c>
      <c r="K19">
        <v>19.984</v>
      </c>
      <c r="L19" s="2">
        <v>10</v>
      </c>
      <c r="M19">
        <v>0</v>
      </c>
      <c r="N19" s="2">
        <v>0</v>
      </c>
      <c r="O19">
        <v>4.6</v>
      </c>
      <c r="P19" t="s">
        <v>10843</v>
      </c>
      <c r="Q19">
        <v>6.722</v>
      </c>
      <c r="R19" t="s">
        <v>10857</v>
      </c>
      <c r="S19">
        <v>1</v>
      </c>
    </row>
    <row r="20" spans="1:19">
      <c r="A20" t="s">
        <v>41</v>
      </c>
      <c r="B20" t="s">
        <v>2149</v>
      </c>
      <c r="C20">
        <f>"501822"</f>
        <v>0</v>
      </c>
      <c r="D20">
        <v>0</v>
      </c>
      <c r="E20">
        <v>0</v>
      </c>
      <c r="F20">
        <v>0</v>
      </c>
      <c r="G20">
        <v>1</v>
      </c>
      <c r="H20">
        <v>1</v>
      </c>
      <c r="I20">
        <v>0</v>
      </c>
      <c r="J20">
        <v>1</v>
      </c>
      <c r="K20">
        <v>8.35</v>
      </c>
      <c r="L20" s="2">
        <v>8</v>
      </c>
      <c r="M20">
        <v>0</v>
      </c>
      <c r="N20" s="2">
        <v>0</v>
      </c>
      <c r="O20">
        <v>3.8</v>
      </c>
      <c r="P20" t="s">
        <v>10741</v>
      </c>
      <c r="Q20">
        <v>5.927</v>
      </c>
      <c r="R20" t="s">
        <v>10858</v>
      </c>
      <c r="S20">
        <v>1</v>
      </c>
    </row>
    <row r="21" spans="1:19">
      <c r="A21" t="s">
        <v>41</v>
      </c>
      <c r="B21" t="s">
        <v>2042</v>
      </c>
      <c r="C21">
        <f>"KF8028CF"</f>
        <v>0</v>
      </c>
      <c r="D21">
        <v>0</v>
      </c>
      <c r="E21">
        <v>0</v>
      </c>
      <c r="F21">
        <v>0</v>
      </c>
      <c r="G21">
        <v>1</v>
      </c>
      <c r="H21">
        <v>1</v>
      </c>
      <c r="I21">
        <v>0</v>
      </c>
      <c r="J21">
        <v>1</v>
      </c>
      <c r="K21">
        <v>30.59</v>
      </c>
      <c r="L21" s="2">
        <v>31</v>
      </c>
      <c r="M21">
        <v>0</v>
      </c>
      <c r="N21" s="2">
        <v>0</v>
      </c>
      <c r="O21">
        <v>3.8</v>
      </c>
      <c r="P21" t="s">
        <v>10790</v>
      </c>
      <c r="Q21">
        <v>9.738</v>
      </c>
      <c r="R21" t="s">
        <v>10859</v>
      </c>
      <c r="S21">
        <v>1</v>
      </c>
    </row>
    <row r="22" spans="1:19">
      <c r="A22" t="s">
        <v>41</v>
      </c>
      <c r="B22" t="s">
        <v>1522</v>
      </c>
      <c r="C22">
        <f>"CA5488001CH"</f>
        <v>0</v>
      </c>
      <c r="D22">
        <v>3</v>
      </c>
      <c r="E22">
        <v>11</v>
      </c>
      <c r="F22">
        <v>9</v>
      </c>
      <c r="G22">
        <v>0</v>
      </c>
      <c r="H22">
        <v>23</v>
      </c>
      <c r="I22">
        <v>6</v>
      </c>
      <c r="J22">
        <v>2</v>
      </c>
      <c r="K22">
        <v>14.08</v>
      </c>
      <c r="L22" s="2">
        <v>7</v>
      </c>
      <c r="M22">
        <v>4</v>
      </c>
      <c r="N22" s="2">
        <v>28</v>
      </c>
      <c r="O22">
        <v>3.6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41</v>
      </c>
      <c r="B23" t="s">
        <v>696</v>
      </c>
      <c r="C23">
        <f>"CENTNUTRI1"</f>
        <v>0</v>
      </c>
      <c r="D23">
        <v>2</v>
      </c>
      <c r="E23">
        <v>3</v>
      </c>
      <c r="F23">
        <v>1</v>
      </c>
      <c r="G23">
        <v>0</v>
      </c>
      <c r="H23">
        <v>6</v>
      </c>
      <c r="I23">
        <v>1.5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1.5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41</v>
      </c>
      <c r="B24" t="s">
        <v>2345</v>
      </c>
      <c r="C24">
        <f>"502052"</f>
        <v>0</v>
      </c>
      <c r="D24">
        <v>0</v>
      </c>
      <c r="E24">
        <v>0</v>
      </c>
      <c r="F24">
        <v>0</v>
      </c>
      <c r="G24">
        <v>1</v>
      </c>
      <c r="H24">
        <v>1</v>
      </c>
      <c r="I24">
        <v>0</v>
      </c>
      <c r="J24">
        <v>3</v>
      </c>
      <c r="K24">
        <v>3.696</v>
      </c>
      <c r="L24" s="2">
        <v>1</v>
      </c>
      <c r="M24">
        <v>0</v>
      </c>
      <c r="N24" s="2">
        <v>0</v>
      </c>
      <c r="O24">
        <v>1.4</v>
      </c>
      <c r="P24" t="s">
        <v>10568</v>
      </c>
      <c r="Q24">
        <v>1.029</v>
      </c>
      <c r="R24" t="s">
        <v>10860</v>
      </c>
      <c r="S24">
        <v>1</v>
      </c>
    </row>
    <row r="25" spans="1:19">
      <c r="A25" t="s">
        <v>41</v>
      </c>
      <c r="B25" t="s">
        <v>618</v>
      </c>
      <c r="C25">
        <f>"CENTROSEB"</f>
        <v>0</v>
      </c>
      <c r="D25">
        <v>2</v>
      </c>
      <c r="E25">
        <v>6</v>
      </c>
      <c r="F25">
        <v>0</v>
      </c>
      <c r="G25">
        <v>0</v>
      </c>
      <c r="H25">
        <v>8</v>
      </c>
      <c r="I25">
        <v>1</v>
      </c>
      <c r="J25">
        <v>0</v>
      </c>
      <c r="K25">
        <v>0</v>
      </c>
      <c r="L25" s="2">
        <v>0</v>
      </c>
      <c r="M25">
        <v>1</v>
      </c>
      <c r="N25" s="2">
        <v>0</v>
      </c>
      <c r="O25">
        <v>1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41</v>
      </c>
      <c r="B26" t="s">
        <v>633</v>
      </c>
      <c r="C26">
        <f>"CENTNUTRI2"</f>
        <v>0</v>
      </c>
      <c r="D26">
        <v>2</v>
      </c>
      <c r="E26">
        <v>6</v>
      </c>
      <c r="F26">
        <v>0</v>
      </c>
      <c r="G26">
        <v>0</v>
      </c>
      <c r="H26">
        <v>8</v>
      </c>
      <c r="I26">
        <v>1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1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41</v>
      </c>
      <c r="B27" t="s">
        <v>623</v>
      </c>
      <c r="C27">
        <f>"CENTROALLE2"</f>
        <v>0</v>
      </c>
      <c r="D27">
        <v>1</v>
      </c>
      <c r="E27">
        <v>7</v>
      </c>
      <c r="F27">
        <v>0</v>
      </c>
      <c r="G27">
        <v>0</v>
      </c>
      <c r="H27">
        <v>8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41</v>
      </c>
      <c r="B28" t="s">
        <v>787</v>
      </c>
      <c r="C28">
        <f>"LEGVITOF01"</f>
        <v>0</v>
      </c>
      <c r="D28">
        <v>0</v>
      </c>
      <c r="E28">
        <v>0</v>
      </c>
      <c r="F28">
        <v>4</v>
      </c>
      <c r="G28">
        <v>0</v>
      </c>
      <c r="H28">
        <v>4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41</v>
      </c>
      <c r="B29" t="s">
        <v>3425</v>
      </c>
      <c r="C29">
        <f>"PAPMDP0"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41</v>
      </c>
      <c r="B30" t="s">
        <v>5441</v>
      </c>
      <c r="C30">
        <f>"VERMIC01"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41</v>
      </c>
      <c r="B31" t="s">
        <v>8569</v>
      </c>
      <c r="C31">
        <f>"AZN00223"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41</v>
      </c>
      <c r="B32" t="s">
        <v>3519</v>
      </c>
      <c r="C32">
        <f>"VEINTMOM91"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41</v>
      </c>
      <c r="B33" t="s">
        <v>9502</v>
      </c>
      <c r="C33">
        <f>"CENTEAS01"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41</v>
      </c>
      <c r="B34" t="s">
        <v>976</v>
      </c>
      <c r="C34">
        <f>"CENTROVHID"</f>
        <v>0</v>
      </c>
      <c r="D34">
        <v>2</v>
      </c>
      <c r="E34">
        <v>0</v>
      </c>
      <c r="F34">
        <v>0</v>
      </c>
      <c r="G34">
        <v>0</v>
      </c>
      <c r="H34">
        <v>2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41</v>
      </c>
      <c r="B35" t="s">
        <v>2289</v>
      </c>
      <c r="C35">
        <f>"PACMTB0"</f>
        <v>0</v>
      </c>
      <c r="D35">
        <v>1</v>
      </c>
      <c r="E35">
        <v>0</v>
      </c>
      <c r="F35">
        <v>1</v>
      </c>
      <c r="G35">
        <v>0</v>
      </c>
      <c r="H35">
        <v>2</v>
      </c>
      <c r="I35">
        <v>0.5</v>
      </c>
      <c r="J35">
        <v>1</v>
      </c>
      <c r="K35">
        <v>53.39</v>
      </c>
      <c r="L35" s="2">
        <v>53</v>
      </c>
      <c r="M35">
        <v>0</v>
      </c>
      <c r="N35" s="2">
        <v>0</v>
      </c>
      <c r="O35">
        <v>-0.7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41</v>
      </c>
      <c r="B36" t="s">
        <v>3426</v>
      </c>
      <c r="C36">
        <f>"PAPMDG0"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</v>
      </c>
      <c r="K36">
        <v>21.29</v>
      </c>
      <c r="L36" s="2">
        <v>21</v>
      </c>
      <c r="M36">
        <v>0</v>
      </c>
      <c r="N36" s="2">
        <v>0</v>
      </c>
      <c r="O36">
        <v>-1.2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41</v>
      </c>
      <c r="B37" t="s">
        <v>1697</v>
      </c>
      <c r="C37">
        <f>"CENTROALLE"</f>
        <v>0</v>
      </c>
      <c r="D37">
        <v>5</v>
      </c>
      <c r="E37">
        <v>0</v>
      </c>
      <c r="F37">
        <v>0</v>
      </c>
      <c r="G37">
        <v>0</v>
      </c>
      <c r="H37">
        <v>5</v>
      </c>
      <c r="I37">
        <v>0</v>
      </c>
      <c r="J37">
        <v>1</v>
      </c>
      <c r="K37">
        <v>13.1</v>
      </c>
      <c r="L37" s="2">
        <v>13</v>
      </c>
      <c r="M37">
        <v>0</v>
      </c>
      <c r="N37" s="2">
        <v>0</v>
      </c>
      <c r="O37">
        <v>-1.2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41</v>
      </c>
      <c r="B38" t="s">
        <v>9772</v>
      </c>
      <c r="C38">
        <f>"PAHRP30"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</v>
      </c>
      <c r="K38">
        <v>17.15</v>
      </c>
      <c r="L38" s="2">
        <v>17</v>
      </c>
      <c r="M38">
        <v>0</v>
      </c>
      <c r="N38" s="2">
        <v>0</v>
      </c>
      <c r="O38">
        <v>-1.2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41</v>
      </c>
      <c r="B39" t="s">
        <v>2112</v>
      </c>
      <c r="C39">
        <f>"LEGDERMA01"</f>
        <v>0</v>
      </c>
      <c r="D39">
        <v>2</v>
      </c>
      <c r="E39">
        <v>1</v>
      </c>
      <c r="F39">
        <v>0</v>
      </c>
      <c r="G39">
        <v>0</v>
      </c>
      <c r="H39">
        <v>3</v>
      </c>
      <c r="I39">
        <v>0.5</v>
      </c>
      <c r="J39">
        <v>2</v>
      </c>
      <c r="K39">
        <v>22.926</v>
      </c>
      <c r="L39" s="2">
        <v>11</v>
      </c>
      <c r="M39">
        <v>0</v>
      </c>
      <c r="N39" s="2">
        <v>0</v>
      </c>
      <c r="O39">
        <v>-1.9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41</v>
      </c>
      <c r="B40" t="s">
        <v>7848</v>
      </c>
      <c r="C40">
        <f>"LEGCOGN01"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44.338</v>
      </c>
      <c r="L40" s="2">
        <v>22</v>
      </c>
      <c r="M40">
        <v>0</v>
      </c>
      <c r="N40" s="2">
        <v>0</v>
      </c>
      <c r="O40">
        <v>-2.4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41</v>
      </c>
      <c r="B41" t="s">
        <v>8905</v>
      </c>
      <c r="C41">
        <f>"180337ID"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0</v>
      </c>
      <c r="L41" s="2">
        <v>0</v>
      </c>
      <c r="M41">
        <v>0</v>
      </c>
      <c r="N41" s="2">
        <v>0</v>
      </c>
      <c r="O41">
        <v>-2.4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41</v>
      </c>
      <c r="B42" t="s">
        <v>3564</v>
      </c>
      <c r="C42">
        <f>"PANCTL0"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25.78</v>
      </c>
      <c r="L42" s="2">
        <v>13</v>
      </c>
      <c r="M42">
        <v>0</v>
      </c>
      <c r="N42" s="2">
        <v>0</v>
      </c>
      <c r="O42">
        <v>-2.4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41</v>
      </c>
      <c r="B43" t="s">
        <v>4446</v>
      </c>
      <c r="C43">
        <f>"AZM00266"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56.833</v>
      </c>
      <c r="L43" s="2">
        <v>19</v>
      </c>
      <c r="M43">
        <v>0</v>
      </c>
      <c r="N43" s="2">
        <v>0</v>
      </c>
      <c r="O43">
        <v>-3.6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41</v>
      </c>
      <c r="B44" t="s">
        <v>8870</v>
      </c>
      <c r="C44">
        <f>"PALGNN0"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34.758</v>
      </c>
      <c r="L44" s="2">
        <v>12</v>
      </c>
      <c r="M44">
        <v>0</v>
      </c>
      <c r="N44" s="2">
        <v>0</v>
      </c>
      <c r="O44">
        <v>-3.6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41</v>
      </c>
      <c r="B45" t="s">
        <v>1841</v>
      </c>
      <c r="C45">
        <f>"CENTRAQUA"</f>
        <v>0</v>
      </c>
      <c r="D45">
        <v>5</v>
      </c>
      <c r="E45">
        <v>2</v>
      </c>
      <c r="F45">
        <v>1</v>
      </c>
      <c r="G45">
        <v>0</v>
      </c>
      <c r="H45">
        <v>8</v>
      </c>
      <c r="I45">
        <v>1.5</v>
      </c>
      <c r="J45">
        <v>5</v>
      </c>
      <c r="K45">
        <v>47.5</v>
      </c>
      <c r="L45" s="2">
        <v>10</v>
      </c>
      <c r="M45">
        <v>0</v>
      </c>
      <c r="N45" s="2">
        <v>0</v>
      </c>
      <c r="O45">
        <v>-4.5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41</v>
      </c>
      <c r="B46" t="s">
        <v>6078</v>
      </c>
      <c r="C46">
        <f>"230500"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</v>
      </c>
      <c r="K46">
        <v>4</v>
      </c>
      <c r="L46" s="2">
        <v>1</v>
      </c>
      <c r="M46">
        <v>0</v>
      </c>
      <c r="N46" s="2">
        <v>0</v>
      </c>
      <c r="O46">
        <v>-4.8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41</v>
      </c>
      <c r="B47" t="s">
        <v>2219</v>
      </c>
      <c r="C47">
        <f>"LEGDAFO"</f>
        <v>0</v>
      </c>
      <c r="D47">
        <v>0</v>
      </c>
      <c r="E47">
        <v>0</v>
      </c>
      <c r="F47">
        <v>2</v>
      </c>
      <c r="G47">
        <v>0</v>
      </c>
      <c r="H47">
        <v>2</v>
      </c>
      <c r="I47">
        <v>0</v>
      </c>
      <c r="J47">
        <v>4</v>
      </c>
      <c r="K47">
        <v>50.8</v>
      </c>
      <c r="L47" s="2">
        <v>13</v>
      </c>
      <c r="M47">
        <v>0</v>
      </c>
      <c r="N47" s="2">
        <v>0</v>
      </c>
      <c r="O47">
        <v>-4.8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41</v>
      </c>
      <c r="B48" t="s">
        <v>9000</v>
      </c>
      <c r="C48">
        <f>"2304000"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</v>
      </c>
      <c r="K48">
        <v>4</v>
      </c>
      <c r="L48" s="2">
        <v>1</v>
      </c>
      <c r="M48">
        <v>0</v>
      </c>
      <c r="N48" s="2">
        <v>0</v>
      </c>
      <c r="O48">
        <v>-4.8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41</v>
      </c>
      <c r="B49" t="s">
        <v>1796</v>
      </c>
      <c r="C49">
        <f>"PAHRG10"</f>
        <v>0</v>
      </c>
      <c r="D49">
        <v>1</v>
      </c>
      <c r="E49">
        <v>0</v>
      </c>
      <c r="F49">
        <v>9</v>
      </c>
      <c r="G49">
        <v>0</v>
      </c>
      <c r="H49">
        <v>10</v>
      </c>
      <c r="I49">
        <v>0.5</v>
      </c>
      <c r="J49">
        <v>5</v>
      </c>
      <c r="K49">
        <v>147.695</v>
      </c>
      <c r="L49" s="2">
        <v>30</v>
      </c>
      <c r="M49">
        <v>0</v>
      </c>
      <c r="N49" s="2">
        <v>0</v>
      </c>
      <c r="O49">
        <v>-5.5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41</v>
      </c>
      <c r="B50" t="s">
        <v>8833</v>
      </c>
      <c r="C50">
        <f>"VE501992"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6</v>
      </c>
      <c r="K50">
        <v>103.95</v>
      </c>
      <c r="L50" s="2">
        <v>17</v>
      </c>
      <c r="M50">
        <v>0</v>
      </c>
      <c r="N50" s="2">
        <v>0</v>
      </c>
      <c r="O50">
        <v>-7.199999999999999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41</v>
      </c>
      <c r="B51" t="s">
        <v>8834</v>
      </c>
      <c r="C51">
        <f>"501992"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</v>
      </c>
      <c r="K51">
        <v>41.72</v>
      </c>
      <c r="L51" s="2">
        <v>7</v>
      </c>
      <c r="M51">
        <v>0</v>
      </c>
      <c r="N51" s="2">
        <v>0</v>
      </c>
      <c r="O51">
        <v>-7.199999999999999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41</v>
      </c>
      <c r="B52" t="s">
        <v>8835</v>
      </c>
      <c r="C52">
        <f>"501919"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</v>
      </c>
      <c r="K52">
        <v>31.75</v>
      </c>
      <c r="L52" s="2">
        <v>5</v>
      </c>
      <c r="M52">
        <v>0</v>
      </c>
      <c r="N52" s="2">
        <v>0</v>
      </c>
      <c r="O52">
        <v>-7.199999999999999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41</v>
      </c>
      <c r="B53" t="s">
        <v>1737</v>
      </c>
      <c r="C53">
        <f>"CA54877001"</f>
        <v>0</v>
      </c>
      <c r="D53">
        <v>3</v>
      </c>
      <c r="E53">
        <v>7</v>
      </c>
      <c r="F53">
        <v>4</v>
      </c>
      <c r="G53">
        <v>0</v>
      </c>
      <c r="H53">
        <v>14</v>
      </c>
      <c r="I53">
        <v>3.5</v>
      </c>
      <c r="J53">
        <v>25</v>
      </c>
      <c r="K53">
        <v>135</v>
      </c>
      <c r="L53" s="2">
        <v>5</v>
      </c>
      <c r="M53">
        <v>0</v>
      </c>
      <c r="N53" s="2">
        <v>0</v>
      </c>
      <c r="O53">
        <v>-26.5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41</v>
      </c>
      <c r="B54" t="s">
        <v>1776</v>
      </c>
      <c r="C54">
        <f>"501933"</f>
        <v>0</v>
      </c>
      <c r="D54">
        <v>1</v>
      </c>
      <c r="E54">
        <v>3</v>
      </c>
      <c r="F54">
        <v>7</v>
      </c>
      <c r="G54">
        <v>0</v>
      </c>
      <c r="H54">
        <v>11</v>
      </c>
      <c r="I54">
        <v>2</v>
      </c>
      <c r="J54">
        <v>33</v>
      </c>
      <c r="K54">
        <v>32.736</v>
      </c>
      <c r="L54" s="2">
        <v>1</v>
      </c>
      <c r="M54">
        <v>0</v>
      </c>
      <c r="N54" s="2">
        <v>0</v>
      </c>
      <c r="O54">
        <v>-37.6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41</v>
      </c>
      <c r="B55" t="s">
        <v>1795</v>
      </c>
      <c r="C55">
        <f>"501932"</f>
        <v>0</v>
      </c>
      <c r="D55">
        <v>1</v>
      </c>
      <c r="E55">
        <v>2</v>
      </c>
      <c r="F55">
        <v>7</v>
      </c>
      <c r="G55">
        <v>0</v>
      </c>
      <c r="H55">
        <v>10</v>
      </c>
      <c r="I55">
        <v>1.5</v>
      </c>
      <c r="J55">
        <v>35</v>
      </c>
      <c r="K55">
        <v>34.72</v>
      </c>
      <c r="L55" s="2">
        <v>1</v>
      </c>
      <c r="M55">
        <v>0</v>
      </c>
      <c r="N55" s="2">
        <v>0</v>
      </c>
      <c r="O55">
        <v>-40.5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41</v>
      </c>
      <c r="B56" t="s">
        <v>1794</v>
      </c>
      <c r="C56">
        <f>"501934"</f>
        <v>0</v>
      </c>
      <c r="D56">
        <v>1</v>
      </c>
      <c r="E56">
        <v>4</v>
      </c>
      <c r="F56">
        <v>5</v>
      </c>
      <c r="G56">
        <v>0</v>
      </c>
      <c r="H56">
        <v>10</v>
      </c>
      <c r="I56">
        <v>2.5</v>
      </c>
      <c r="J56">
        <v>36</v>
      </c>
      <c r="K56">
        <v>35.712</v>
      </c>
      <c r="L56" s="2">
        <v>1</v>
      </c>
      <c r="M56">
        <v>0</v>
      </c>
      <c r="N56" s="2">
        <v>0</v>
      </c>
      <c r="O56">
        <v>-40.7</v>
      </c>
      <c r="P56" t="s">
        <v>100</v>
      </c>
      <c r="Q56">
        <v>0</v>
      </c>
      <c r="R56" t="s">
        <v>145</v>
      </c>
      <c r="S56">
        <v>0</v>
      </c>
    </row>
  </sheetData>
  <autoFilter ref="A2:S56"/>
  <hyperlinks>
    <hyperlink ref="A1" location="'ÍNDICE'!A1" display="⬅ Volver al índice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S6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34</v>
      </c>
      <c r="B3" t="s">
        <v>61</v>
      </c>
      <c r="C3">
        <f>"14000098"</f>
        <v>0</v>
      </c>
      <c r="D3">
        <v>42</v>
      </c>
      <c r="E3">
        <v>34</v>
      </c>
      <c r="F3">
        <v>19</v>
      </c>
      <c r="G3">
        <v>14</v>
      </c>
      <c r="H3">
        <v>109</v>
      </c>
      <c r="I3">
        <v>26.5</v>
      </c>
      <c r="J3">
        <v>1</v>
      </c>
      <c r="K3">
        <v>43.09</v>
      </c>
      <c r="L3" s="2">
        <v>43</v>
      </c>
      <c r="M3">
        <v>32</v>
      </c>
      <c r="N3" s="2">
        <v>1376</v>
      </c>
      <c r="O3">
        <v>53.3</v>
      </c>
      <c r="P3" t="s">
        <v>110</v>
      </c>
      <c r="Q3">
        <v>101.442</v>
      </c>
      <c r="R3" t="s">
        <v>155</v>
      </c>
      <c r="S3">
        <v>0</v>
      </c>
    </row>
    <row r="4" spans="1:19">
      <c r="A4" t="s">
        <v>34</v>
      </c>
      <c r="B4" t="s">
        <v>70</v>
      </c>
      <c r="C4">
        <f>"14000007"</f>
        <v>0</v>
      </c>
      <c r="D4">
        <v>33</v>
      </c>
      <c r="E4">
        <v>11</v>
      </c>
      <c r="F4">
        <v>14</v>
      </c>
      <c r="G4">
        <v>15</v>
      </c>
      <c r="H4">
        <v>73</v>
      </c>
      <c r="I4">
        <v>14.5</v>
      </c>
      <c r="J4">
        <v>8</v>
      </c>
      <c r="K4">
        <v>344.721</v>
      </c>
      <c r="L4" s="2">
        <v>43</v>
      </c>
      <c r="M4">
        <v>14</v>
      </c>
      <c r="N4" s="2">
        <v>602</v>
      </c>
      <c r="O4">
        <v>37.9</v>
      </c>
      <c r="P4" t="s">
        <v>117</v>
      </c>
      <c r="Q4">
        <v>108.688</v>
      </c>
      <c r="R4" t="s">
        <v>162</v>
      </c>
      <c r="S4">
        <v>1</v>
      </c>
    </row>
    <row r="5" spans="1:19">
      <c r="A5" t="s">
        <v>34</v>
      </c>
      <c r="B5" t="s">
        <v>89</v>
      </c>
      <c r="C5">
        <f>"14000004"</f>
        <v>0</v>
      </c>
      <c r="D5">
        <v>22</v>
      </c>
      <c r="E5">
        <v>27</v>
      </c>
      <c r="F5">
        <v>7</v>
      </c>
      <c r="G5">
        <v>8</v>
      </c>
      <c r="H5">
        <v>64</v>
      </c>
      <c r="I5">
        <v>15</v>
      </c>
      <c r="J5">
        <v>6</v>
      </c>
      <c r="K5">
        <v>257.988</v>
      </c>
      <c r="L5" s="2">
        <v>43</v>
      </c>
      <c r="M5">
        <v>13</v>
      </c>
      <c r="N5" s="2">
        <v>559</v>
      </c>
      <c r="O5">
        <v>26.8</v>
      </c>
      <c r="P5" t="s">
        <v>135</v>
      </c>
      <c r="Q5">
        <v>58.704</v>
      </c>
      <c r="R5" t="s">
        <v>180</v>
      </c>
      <c r="S5">
        <v>1</v>
      </c>
    </row>
    <row r="6" spans="1:19">
      <c r="A6" t="s">
        <v>34</v>
      </c>
      <c r="B6" t="s">
        <v>421</v>
      </c>
      <c r="C6">
        <f>"14000006"</f>
        <v>0</v>
      </c>
      <c r="D6">
        <v>6</v>
      </c>
      <c r="E6">
        <v>9</v>
      </c>
      <c r="F6">
        <v>10</v>
      </c>
      <c r="G6">
        <v>7</v>
      </c>
      <c r="H6">
        <v>32</v>
      </c>
      <c r="I6">
        <v>8</v>
      </c>
      <c r="J6">
        <v>0</v>
      </c>
      <c r="K6">
        <v>0</v>
      </c>
      <c r="L6" s="2">
        <v>0</v>
      </c>
      <c r="M6">
        <v>12</v>
      </c>
      <c r="N6" s="2">
        <v>0</v>
      </c>
      <c r="O6">
        <v>22</v>
      </c>
      <c r="P6" t="s">
        <v>10862</v>
      </c>
      <c r="Q6">
        <v>7.654</v>
      </c>
      <c r="R6" t="s">
        <v>10882</v>
      </c>
      <c r="S6">
        <v>0</v>
      </c>
    </row>
    <row r="7" spans="1:19">
      <c r="A7" t="s">
        <v>34</v>
      </c>
      <c r="B7" t="s">
        <v>404</v>
      </c>
      <c r="C7">
        <f>"14000150"</f>
        <v>0</v>
      </c>
      <c r="D7">
        <v>0</v>
      </c>
      <c r="E7">
        <v>11</v>
      </c>
      <c r="F7">
        <v>16</v>
      </c>
      <c r="G7">
        <v>6</v>
      </c>
      <c r="H7">
        <v>33</v>
      </c>
      <c r="I7">
        <v>8.5</v>
      </c>
      <c r="J7">
        <v>0</v>
      </c>
      <c r="K7">
        <v>0</v>
      </c>
      <c r="L7" s="2">
        <v>0</v>
      </c>
      <c r="M7">
        <v>12</v>
      </c>
      <c r="N7" s="2">
        <v>0</v>
      </c>
      <c r="O7">
        <v>20.5</v>
      </c>
      <c r="P7" t="s">
        <v>10863</v>
      </c>
      <c r="Q7">
        <v>33.09</v>
      </c>
      <c r="R7" t="s">
        <v>10883</v>
      </c>
      <c r="S7">
        <v>0</v>
      </c>
    </row>
    <row r="8" spans="1:19">
      <c r="A8" t="s">
        <v>34</v>
      </c>
      <c r="B8" t="s">
        <v>427</v>
      </c>
      <c r="C8">
        <f>"14000149"</f>
        <v>0</v>
      </c>
      <c r="D8">
        <v>3</v>
      </c>
      <c r="E8">
        <v>12</v>
      </c>
      <c r="F8">
        <v>6</v>
      </c>
      <c r="G8">
        <v>6</v>
      </c>
      <c r="H8">
        <v>27</v>
      </c>
      <c r="I8">
        <v>6</v>
      </c>
      <c r="J8">
        <v>0</v>
      </c>
      <c r="K8">
        <v>0</v>
      </c>
      <c r="L8" s="2">
        <v>0</v>
      </c>
      <c r="M8">
        <v>9</v>
      </c>
      <c r="N8" s="2">
        <v>0</v>
      </c>
      <c r="O8">
        <v>18</v>
      </c>
      <c r="P8" t="s">
        <v>10864</v>
      </c>
      <c r="Q8">
        <v>23.729</v>
      </c>
      <c r="R8" t="s">
        <v>10884</v>
      </c>
      <c r="S8">
        <v>0</v>
      </c>
    </row>
    <row r="9" spans="1:19">
      <c r="A9" t="s">
        <v>34</v>
      </c>
      <c r="B9" t="s">
        <v>358</v>
      </c>
      <c r="C9">
        <f>"14000088"</f>
        <v>0</v>
      </c>
      <c r="D9">
        <v>49</v>
      </c>
      <c r="E9">
        <v>17</v>
      </c>
      <c r="F9">
        <v>14</v>
      </c>
      <c r="G9">
        <v>5</v>
      </c>
      <c r="H9">
        <v>85</v>
      </c>
      <c r="I9">
        <v>15.5</v>
      </c>
      <c r="J9">
        <v>9</v>
      </c>
      <c r="K9">
        <v>330.491</v>
      </c>
      <c r="L9" s="2">
        <v>37</v>
      </c>
      <c r="M9">
        <v>9</v>
      </c>
      <c r="N9" s="2">
        <v>333</v>
      </c>
      <c r="O9">
        <v>14.7</v>
      </c>
      <c r="P9" t="s">
        <v>10865</v>
      </c>
      <c r="Q9">
        <v>43.242</v>
      </c>
      <c r="R9" t="s">
        <v>10885</v>
      </c>
      <c r="S9">
        <v>0</v>
      </c>
    </row>
    <row r="10" spans="1:19">
      <c r="A10" t="s">
        <v>34</v>
      </c>
      <c r="B10" t="s">
        <v>1573</v>
      </c>
      <c r="C10">
        <f>"14000155"</f>
        <v>0</v>
      </c>
      <c r="D10">
        <v>10</v>
      </c>
      <c r="E10">
        <v>1</v>
      </c>
      <c r="F10">
        <v>9</v>
      </c>
      <c r="G10">
        <v>6</v>
      </c>
      <c r="H10">
        <v>26</v>
      </c>
      <c r="I10">
        <v>7.5</v>
      </c>
      <c r="J10">
        <v>5</v>
      </c>
      <c r="K10">
        <v>188.753</v>
      </c>
      <c r="L10" s="2">
        <v>38</v>
      </c>
      <c r="M10">
        <v>6</v>
      </c>
      <c r="N10" s="2">
        <v>228</v>
      </c>
      <c r="O10">
        <v>13.5</v>
      </c>
      <c r="P10" t="s">
        <v>10864</v>
      </c>
      <c r="Q10">
        <v>34.246</v>
      </c>
      <c r="R10" t="s">
        <v>10886</v>
      </c>
      <c r="S10">
        <v>0</v>
      </c>
    </row>
    <row r="11" spans="1:19">
      <c r="A11" t="s">
        <v>34</v>
      </c>
      <c r="B11" t="s">
        <v>531</v>
      </c>
      <c r="C11">
        <f>"14000022"</f>
        <v>0</v>
      </c>
      <c r="D11">
        <v>2</v>
      </c>
      <c r="E11">
        <v>0</v>
      </c>
      <c r="F11">
        <v>6</v>
      </c>
      <c r="G11">
        <v>5</v>
      </c>
      <c r="H11">
        <v>13</v>
      </c>
      <c r="I11">
        <v>3.5</v>
      </c>
      <c r="J11">
        <v>0</v>
      </c>
      <c r="K11">
        <v>0</v>
      </c>
      <c r="L11" s="2">
        <v>0</v>
      </c>
      <c r="M11">
        <v>6</v>
      </c>
      <c r="N11" s="2">
        <v>0</v>
      </c>
      <c r="O11">
        <v>13.5</v>
      </c>
      <c r="P11" t="s">
        <v>10866</v>
      </c>
      <c r="Q11">
        <v>3.488</v>
      </c>
      <c r="R11" t="s">
        <v>10887</v>
      </c>
      <c r="S11">
        <v>0</v>
      </c>
    </row>
    <row r="12" spans="1:19">
      <c r="A12" t="s">
        <v>34</v>
      </c>
      <c r="B12" t="s">
        <v>638</v>
      </c>
      <c r="C12">
        <f>"14000032"</f>
        <v>0</v>
      </c>
      <c r="D12">
        <v>16</v>
      </c>
      <c r="E12">
        <v>20</v>
      </c>
      <c r="F12">
        <v>9</v>
      </c>
      <c r="G12">
        <v>5</v>
      </c>
      <c r="H12">
        <v>50</v>
      </c>
      <c r="I12">
        <v>12.5</v>
      </c>
      <c r="J12">
        <v>9</v>
      </c>
      <c r="K12">
        <v>219.716</v>
      </c>
      <c r="L12" s="2">
        <v>24</v>
      </c>
      <c r="M12">
        <v>6</v>
      </c>
      <c r="N12" s="2">
        <v>144</v>
      </c>
      <c r="O12">
        <v>11.7</v>
      </c>
      <c r="P12" t="s">
        <v>10867</v>
      </c>
      <c r="Q12">
        <v>33.127</v>
      </c>
      <c r="R12" t="s">
        <v>10888</v>
      </c>
      <c r="S12">
        <v>0</v>
      </c>
    </row>
    <row r="13" spans="1:19">
      <c r="A13" t="s">
        <v>34</v>
      </c>
      <c r="B13" t="s">
        <v>524</v>
      </c>
      <c r="C13">
        <f>"14000091"</f>
        <v>0</v>
      </c>
      <c r="D13">
        <v>1</v>
      </c>
      <c r="E13">
        <v>16</v>
      </c>
      <c r="F13">
        <v>2</v>
      </c>
      <c r="G13">
        <v>3</v>
      </c>
      <c r="H13">
        <v>22</v>
      </c>
      <c r="I13">
        <v>2.5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11.5</v>
      </c>
      <c r="P13" t="s">
        <v>10868</v>
      </c>
      <c r="Q13">
        <v>-31.7</v>
      </c>
      <c r="R13" t="s">
        <v>10889</v>
      </c>
      <c r="S13">
        <v>1</v>
      </c>
    </row>
    <row r="14" spans="1:19">
      <c r="A14" t="s">
        <v>34</v>
      </c>
      <c r="B14" t="s">
        <v>1534</v>
      </c>
      <c r="C14">
        <f>"14000003"</f>
        <v>0</v>
      </c>
      <c r="D14">
        <v>15</v>
      </c>
      <c r="E14">
        <v>15</v>
      </c>
      <c r="F14">
        <v>7</v>
      </c>
      <c r="G14">
        <v>4</v>
      </c>
      <c r="H14">
        <v>41</v>
      </c>
      <c r="I14">
        <v>11</v>
      </c>
      <c r="J14">
        <v>7</v>
      </c>
      <c r="K14">
        <v>79.10899999999999</v>
      </c>
      <c r="L14" s="2">
        <v>11</v>
      </c>
      <c r="M14">
        <v>6</v>
      </c>
      <c r="N14" s="2">
        <v>66</v>
      </c>
      <c r="O14">
        <v>10.6</v>
      </c>
      <c r="P14" t="s">
        <v>10869</v>
      </c>
      <c r="Q14">
        <v>8.542999999999999</v>
      </c>
      <c r="R14" t="s">
        <v>10890</v>
      </c>
      <c r="S14">
        <v>0</v>
      </c>
    </row>
    <row r="15" spans="1:19">
      <c r="A15" t="s">
        <v>34</v>
      </c>
      <c r="B15" t="s">
        <v>1558</v>
      </c>
      <c r="C15">
        <f>"14000116"</f>
        <v>0</v>
      </c>
      <c r="D15">
        <v>4</v>
      </c>
      <c r="E15">
        <v>4</v>
      </c>
      <c r="F15">
        <v>4</v>
      </c>
      <c r="G15">
        <v>4</v>
      </c>
      <c r="H15">
        <v>16</v>
      </c>
      <c r="I15">
        <v>4</v>
      </c>
      <c r="J15">
        <v>2</v>
      </c>
      <c r="K15">
        <v>23.943</v>
      </c>
      <c r="L15" s="2">
        <v>12</v>
      </c>
      <c r="M15">
        <v>4</v>
      </c>
      <c r="N15" s="2">
        <v>48</v>
      </c>
      <c r="O15">
        <v>9.6</v>
      </c>
      <c r="P15" t="s">
        <v>10870</v>
      </c>
      <c r="Q15">
        <v>12.583</v>
      </c>
      <c r="R15" t="s">
        <v>10891</v>
      </c>
      <c r="S15">
        <v>0</v>
      </c>
    </row>
    <row r="16" spans="1:19">
      <c r="A16" t="s">
        <v>34</v>
      </c>
      <c r="B16" t="s">
        <v>1572</v>
      </c>
      <c r="C16">
        <f>"14000097"</f>
        <v>0</v>
      </c>
      <c r="D16">
        <v>13</v>
      </c>
      <c r="E16">
        <v>13</v>
      </c>
      <c r="F16">
        <v>8</v>
      </c>
      <c r="G16">
        <v>4</v>
      </c>
      <c r="H16">
        <v>38</v>
      </c>
      <c r="I16">
        <v>10.5</v>
      </c>
      <c r="J16">
        <v>8</v>
      </c>
      <c r="K16">
        <v>92.029</v>
      </c>
      <c r="L16" s="2">
        <v>12</v>
      </c>
      <c r="M16">
        <v>4</v>
      </c>
      <c r="N16" s="2">
        <v>48</v>
      </c>
      <c r="O16">
        <v>8.9</v>
      </c>
      <c r="P16" t="s">
        <v>10869</v>
      </c>
      <c r="Q16">
        <v>7.734</v>
      </c>
      <c r="R16" t="s">
        <v>155</v>
      </c>
      <c r="S16">
        <v>0</v>
      </c>
    </row>
    <row r="17" spans="1:19">
      <c r="A17" t="s">
        <v>34</v>
      </c>
      <c r="B17" t="s">
        <v>1590</v>
      </c>
      <c r="C17">
        <f>"14000139"</f>
        <v>0</v>
      </c>
      <c r="D17">
        <v>10</v>
      </c>
      <c r="E17">
        <v>4</v>
      </c>
      <c r="F17">
        <v>1</v>
      </c>
      <c r="G17">
        <v>3</v>
      </c>
      <c r="H17">
        <v>18</v>
      </c>
      <c r="I17">
        <v>3.5</v>
      </c>
      <c r="J17">
        <v>3</v>
      </c>
      <c r="K17">
        <v>86.056</v>
      </c>
      <c r="L17" s="2">
        <v>29</v>
      </c>
      <c r="M17">
        <v>2</v>
      </c>
      <c r="N17" s="2">
        <v>58</v>
      </c>
      <c r="O17">
        <v>8.9</v>
      </c>
      <c r="P17" t="s">
        <v>10871</v>
      </c>
      <c r="Q17">
        <v>14.532</v>
      </c>
      <c r="R17" t="s">
        <v>10892</v>
      </c>
      <c r="S17">
        <v>1</v>
      </c>
    </row>
    <row r="18" spans="1:19">
      <c r="A18" t="s">
        <v>34</v>
      </c>
      <c r="B18" t="s">
        <v>1535</v>
      </c>
      <c r="C18">
        <f>"14000154"</f>
        <v>0</v>
      </c>
      <c r="D18">
        <v>17</v>
      </c>
      <c r="E18">
        <v>2</v>
      </c>
      <c r="F18">
        <v>18</v>
      </c>
      <c r="G18">
        <v>3</v>
      </c>
      <c r="H18">
        <v>40</v>
      </c>
      <c r="I18">
        <v>10</v>
      </c>
      <c r="J18">
        <v>7</v>
      </c>
      <c r="K18">
        <v>253.166</v>
      </c>
      <c r="L18" s="2">
        <v>36</v>
      </c>
      <c r="M18">
        <v>4</v>
      </c>
      <c r="N18" s="2">
        <v>144</v>
      </c>
      <c r="O18">
        <v>7.6</v>
      </c>
      <c r="P18" t="s">
        <v>10872</v>
      </c>
      <c r="Q18">
        <v>17.3</v>
      </c>
      <c r="R18" t="s">
        <v>10893</v>
      </c>
      <c r="S18">
        <v>0</v>
      </c>
    </row>
    <row r="19" spans="1:19">
      <c r="A19" t="s">
        <v>34</v>
      </c>
      <c r="B19" t="s">
        <v>1566</v>
      </c>
      <c r="C19">
        <f>"14000148"</f>
        <v>0</v>
      </c>
      <c r="D19">
        <v>6</v>
      </c>
      <c r="E19">
        <v>14</v>
      </c>
      <c r="F19">
        <v>10</v>
      </c>
      <c r="G19">
        <v>2</v>
      </c>
      <c r="H19">
        <v>32</v>
      </c>
      <c r="I19">
        <v>8</v>
      </c>
      <c r="J19">
        <v>6</v>
      </c>
      <c r="K19">
        <v>215.95</v>
      </c>
      <c r="L19" s="2">
        <v>36</v>
      </c>
      <c r="M19">
        <v>3</v>
      </c>
      <c r="N19" s="2">
        <v>108</v>
      </c>
      <c r="O19">
        <v>4.800000000000001</v>
      </c>
      <c r="P19" t="s">
        <v>10873</v>
      </c>
      <c r="Q19">
        <v>11.883</v>
      </c>
      <c r="R19" t="s">
        <v>10894</v>
      </c>
      <c r="S19">
        <v>0</v>
      </c>
    </row>
    <row r="20" spans="1:19">
      <c r="A20" t="s">
        <v>34</v>
      </c>
      <c r="B20" t="s">
        <v>777</v>
      </c>
      <c r="C20">
        <f>"14000211"</f>
        <v>0</v>
      </c>
      <c r="D20">
        <v>7</v>
      </c>
      <c r="E20">
        <v>8</v>
      </c>
      <c r="F20">
        <v>4</v>
      </c>
      <c r="G20">
        <v>0</v>
      </c>
      <c r="H20">
        <v>19</v>
      </c>
      <c r="I20">
        <v>5.5</v>
      </c>
      <c r="J20">
        <v>1</v>
      </c>
      <c r="K20">
        <v>0</v>
      </c>
      <c r="L20" s="2">
        <v>0</v>
      </c>
      <c r="M20">
        <v>4</v>
      </c>
      <c r="N20" s="2">
        <v>0</v>
      </c>
      <c r="O20">
        <v>4.3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34</v>
      </c>
      <c r="B21" t="s">
        <v>1526</v>
      </c>
      <c r="C21">
        <f>"14000119"</f>
        <v>0</v>
      </c>
      <c r="D21">
        <v>19</v>
      </c>
      <c r="E21">
        <v>13</v>
      </c>
      <c r="F21">
        <v>3</v>
      </c>
      <c r="G21">
        <v>1</v>
      </c>
      <c r="H21">
        <v>36</v>
      </c>
      <c r="I21">
        <v>8</v>
      </c>
      <c r="J21">
        <v>5</v>
      </c>
      <c r="K21">
        <v>5</v>
      </c>
      <c r="L21" s="2">
        <v>1</v>
      </c>
      <c r="M21">
        <v>4</v>
      </c>
      <c r="N21" s="2">
        <v>4</v>
      </c>
      <c r="O21">
        <v>4</v>
      </c>
      <c r="P21" t="s">
        <v>10327</v>
      </c>
      <c r="Q21">
        <v>3.352</v>
      </c>
      <c r="R21" t="s">
        <v>10895</v>
      </c>
      <c r="S21">
        <v>0</v>
      </c>
    </row>
    <row r="22" spans="1:19">
      <c r="A22" t="s">
        <v>34</v>
      </c>
      <c r="B22" t="s">
        <v>2142</v>
      </c>
      <c r="C22">
        <f>"15000482"</f>
        <v>0</v>
      </c>
      <c r="D22">
        <v>0</v>
      </c>
      <c r="E22">
        <v>0</v>
      </c>
      <c r="F22">
        <v>0</v>
      </c>
      <c r="G22">
        <v>1</v>
      </c>
      <c r="H22">
        <v>1</v>
      </c>
      <c r="I22">
        <v>0</v>
      </c>
      <c r="J22">
        <v>1</v>
      </c>
      <c r="K22">
        <v>8.205</v>
      </c>
      <c r="L22" s="2">
        <v>8</v>
      </c>
      <c r="M22">
        <v>0</v>
      </c>
      <c r="N22" s="2">
        <v>0</v>
      </c>
      <c r="O22">
        <v>3.8</v>
      </c>
      <c r="P22" t="s">
        <v>10346</v>
      </c>
      <c r="Q22">
        <v>7.753</v>
      </c>
      <c r="R22" t="s">
        <v>10896</v>
      </c>
      <c r="S22">
        <v>1</v>
      </c>
    </row>
    <row r="23" spans="1:19">
      <c r="A23" t="s">
        <v>34</v>
      </c>
      <c r="B23" t="s">
        <v>1802</v>
      </c>
      <c r="C23">
        <f>"14000153"</f>
        <v>0</v>
      </c>
      <c r="D23">
        <v>1</v>
      </c>
      <c r="E23">
        <v>3</v>
      </c>
      <c r="F23">
        <v>2</v>
      </c>
      <c r="G23">
        <v>2</v>
      </c>
      <c r="H23">
        <v>8</v>
      </c>
      <c r="I23">
        <v>2</v>
      </c>
      <c r="J23">
        <v>2</v>
      </c>
      <c r="K23">
        <v>80.48999999999999</v>
      </c>
      <c r="L23" s="2">
        <v>40</v>
      </c>
      <c r="M23">
        <v>1</v>
      </c>
      <c r="N23" s="2">
        <v>40</v>
      </c>
      <c r="O23">
        <v>3.6</v>
      </c>
      <c r="P23" t="s">
        <v>10286</v>
      </c>
      <c r="Q23">
        <v>6.888</v>
      </c>
      <c r="R23" t="s">
        <v>10897</v>
      </c>
      <c r="S23">
        <v>0</v>
      </c>
    </row>
    <row r="24" spans="1:19">
      <c r="A24" t="s">
        <v>34</v>
      </c>
      <c r="B24" t="s">
        <v>682</v>
      </c>
      <c r="C24">
        <f>"14000142"</f>
        <v>0</v>
      </c>
      <c r="D24">
        <v>26</v>
      </c>
      <c r="E24">
        <v>23</v>
      </c>
      <c r="F24">
        <v>7</v>
      </c>
      <c r="G24">
        <v>0</v>
      </c>
      <c r="H24">
        <v>56</v>
      </c>
      <c r="I24">
        <v>15</v>
      </c>
      <c r="J24">
        <v>10</v>
      </c>
      <c r="K24">
        <v>381.967</v>
      </c>
      <c r="L24" s="2">
        <v>38</v>
      </c>
      <c r="M24">
        <v>5</v>
      </c>
      <c r="N24" s="2">
        <v>190</v>
      </c>
      <c r="O24">
        <v>3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34</v>
      </c>
      <c r="B25" t="s">
        <v>613</v>
      </c>
      <c r="C25">
        <f>"15000484"</f>
        <v>0</v>
      </c>
      <c r="D25">
        <v>0</v>
      </c>
      <c r="E25">
        <v>0</v>
      </c>
      <c r="F25">
        <v>2</v>
      </c>
      <c r="G25">
        <v>1</v>
      </c>
      <c r="H25">
        <v>3</v>
      </c>
      <c r="I25">
        <v>0.5</v>
      </c>
      <c r="J25">
        <v>0</v>
      </c>
      <c r="K25">
        <v>0</v>
      </c>
      <c r="L25" s="2">
        <v>0</v>
      </c>
      <c r="M25">
        <v>1</v>
      </c>
      <c r="N25" s="2">
        <v>0</v>
      </c>
      <c r="O25">
        <v>2.5</v>
      </c>
      <c r="P25" t="s">
        <v>10874</v>
      </c>
      <c r="Q25">
        <v>22.313</v>
      </c>
      <c r="R25" t="s">
        <v>10898</v>
      </c>
      <c r="S25">
        <v>0</v>
      </c>
    </row>
    <row r="26" spans="1:19">
      <c r="A26" t="s">
        <v>34</v>
      </c>
      <c r="B26" t="s">
        <v>1555</v>
      </c>
      <c r="C26">
        <f>"14000027"</f>
        <v>0</v>
      </c>
      <c r="D26">
        <v>23</v>
      </c>
      <c r="E26">
        <v>12</v>
      </c>
      <c r="F26">
        <v>13</v>
      </c>
      <c r="G26">
        <v>2</v>
      </c>
      <c r="H26">
        <v>50</v>
      </c>
      <c r="I26">
        <v>12.5</v>
      </c>
      <c r="J26">
        <v>12</v>
      </c>
      <c r="K26">
        <v>315.152</v>
      </c>
      <c r="L26" s="2">
        <v>26</v>
      </c>
      <c r="M26">
        <v>2</v>
      </c>
      <c r="N26" s="2">
        <v>52</v>
      </c>
      <c r="O26">
        <v>2.100000000000001</v>
      </c>
      <c r="P26" t="s">
        <v>10875</v>
      </c>
      <c r="Q26">
        <v>11.324</v>
      </c>
      <c r="R26" t="s">
        <v>10899</v>
      </c>
      <c r="S26">
        <v>0</v>
      </c>
    </row>
    <row r="27" spans="1:19">
      <c r="A27" t="s">
        <v>34</v>
      </c>
      <c r="B27" t="s">
        <v>485</v>
      </c>
      <c r="C27">
        <f>"14000169"</f>
        <v>0</v>
      </c>
      <c r="D27">
        <v>15</v>
      </c>
      <c r="E27">
        <v>4</v>
      </c>
      <c r="F27">
        <v>0</v>
      </c>
      <c r="G27">
        <v>0</v>
      </c>
      <c r="H27">
        <v>19</v>
      </c>
      <c r="I27">
        <v>2</v>
      </c>
      <c r="J27">
        <v>0</v>
      </c>
      <c r="K27">
        <v>0</v>
      </c>
      <c r="L27" s="2">
        <v>0</v>
      </c>
      <c r="M27">
        <v>2</v>
      </c>
      <c r="N27" s="2">
        <v>0</v>
      </c>
      <c r="O27">
        <v>2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34</v>
      </c>
      <c r="B28" t="s">
        <v>1785</v>
      </c>
      <c r="C28">
        <f>"14000212"</f>
        <v>0</v>
      </c>
      <c r="D28">
        <v>3</v>
      </c>
      <c r="E28">
        <v>2</v>
      </c>
      <c r="F28">
        <v>3</v>
      </c>
      <c r="G28">
        <v>2</v>
      </c>
      <c r="H28">
        <v>10</v>
      </c>
      <c r="I28">
        <v>2.5</v>
      </c>
      <c r="J28">
        <v>4</v>
      </c>
      <c r="K28">
        <v>0</v>
      </c>
      <c r="L28" s="2">
        <v>0</v>
      </c>
      <c r="M28">
        <v>0</v>
      </c>
      <c r="N28" s="2">
        <v>0</v>
      </c>
      <c r="O28">
        <v>1.7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34</v>
      </c>
      <c r="B29" t="s">
        <v>2040</v>
      </c>
      <c r="C29">
        <f>"14000166"</f>
        <v>0</v>
      </c>
      <c r="D29">
        <v>0</v>
      </c>
      <c r="E29">
        <v>0</v>
      </c>
      <c r="F29">
        <v>2</v>
      </c>
      <c r="G29">
        <v>1</v>
      </c>
      <c r="H29">
        <v>3</v>
      </c>
      <c r="I29">
        <v>0.5</v>
      </c>
      <c r="J29">
        <v>1</v>
      </c>
      <c r="K29">
        <v>7.901</v>
      </c>
      <c r="L29" s="2">
        <v>8</v>
      </c>
      <c r="M29">
        <v>0</v>
      </c>
      <c r="N29" s="2">
        <v>0</v>
      </c>
      <c r="O29">
        <v>1.3</v>
      </c>
      <c r="P29" t="s">
        <v>10698</v>
      </c>
      <c r="Q29">
        <v>2.175</v>
      </c>
      <c r="R29" t="s">
        <v>10576</v>
      </c>
      <c r="S29">
        <v>0</v>
      </c>
    </row>
    <row r="30" spans="1:19">
      <c r="A30" t="s">
        <v>34</v>
      </c>
      <c r="B30" t="s">
        <v>1666</v>
      </c>
      <c r="C30">
        <f>"14000167"</f>
        <v>0</v>
      </c>
      <c r="D30">
        <v>1</v>
      </c>
      <c r="E30">
        <v>9</v>
      </c>
      <c r="F30">
        <v>4</v>
      </c>
      <c r="G30">
        <v>4</v>
      </c>
      <c r="H30">
        <v>18</v>
      </c>
      <c r="I30">
        <v>4</v>
      </c>
      <c r="J30">
        <v>9</v>
      </c>
      <c r="K30">
        <v>203.486</v>
      </c>
      <c r="L30" s="2">
        <v>23</v>
      </c>
      <c r="M30">
        <v>0</v>
      </c>
      <c r="N30" s="2">
        <v>0</v>
      </c>
      <c r="O30">
        <v>1.200000000000001</v>
      </c>
      <c r="P30" t="s">
        <v>10876</v>
      </c>
      <c r="Q30">
        <v>18.956</v>
      </c>
      <c r="R30" t="s">
        <v>10900</v>
      </c>
      <c r="S30">
        <v>0</v>
      </c>
    </row>
    <row r="31" spans="1:19">
      <c r="A31" t="s">
        <v>34</v>
      </c>
      <c r="B31" t="s">
        <v>1619</v>
      </c>
      <c r="C31">
        <f>"14000033"</f>
        <v>0</v>
      </c>
      <c r="D31">
        <v>9</v>
      </c>
      <c r="E31">
        <v>8</v>
      </c>
      <c r="F31">
        <v>14</v>
      </c>
      <c r="G31">
        <v>1</v>
      </c>
      <c r="H31">
        <v>32</v>
      </c>
      <c r="I31">
        <v>8.5</v>
      </c>
      <c r="J31">
        <v>8</v>
      </c>
      <c r="K31">
        <v>199.259</v>
      </c>
      <c r="L31" s="2">
        <v>25</v>
      </c>
      <c r="M31">
        <v>1</v>
      </c>
      <c r="N31" s="2">
        <v>25</v>
      </c>
      <c r="O31">
        <v>0.9000000000000004</v>
      </c>
      <c r="P31" t="s">
        <v>10877</v>
      </c>
      <c r="Q31">
        <v>5.725</v>
      </c>
      <c r="R31" t="s">
        <v>10901</v>
      </c>
      <c r="S31">
        <v>0</v>
      </c>
    </row>
    <row r="32" spans="1:19">
      <c r="A32" t="s">
        <v>34</v>
      </c>
      <c r="B32" t="s">
        <v>847</v>
      </c>
      <c r="C32">
        <f>"14000165"</f>
        <v>0</v>
      </c>
      <c r="D32">
        <v>3</v>
      </c>
      <c r="E32">
        <v>0</v>
      </c>
      <c r="F32">
        <v>1</v>
      </c>
      <c r="G32">
        <v>0</v>
      </c>
      <c r="H32">
        <v>4</v>
      </c>
      <c r="I32">
        <v>0.5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0.5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34</v>
      </c>
      <c r="B33" t="s">
        <v>1667</v>
      </c>
      <c r="C33">
        <f>"14000031"</f>
        <v>0</v>
      </c>
      <c r="D33">
        <v>10</v>
      </c>
      <c r="E33">
        <v>4</v>
      </c>
      <c r="F33">
        <v>3</v>
      </c>
      <c r="G33">
        <v>2</v>
      </c>
      <c r="H33">
        <v>19</v>
      </c>
      <c r="I33">
        <v>3.5</v>
      </c>
      <c r="J33">
        <v>6</v>
      </c>
      <c r="K33">
        <v>177.624</v>
      </c>
      <c r="L33" s="2">
        <v>30</v>
      </c>
      <c r="M33">
        <v>0</v>
      </c>
      <c r="N33" s="2">
        <v>0</v>
      </c>
      <c r="O33">
        <v>0.3000000000000007</v>
      </c>
      <c r="P33" t="s">
        <v>10878</v>
      </c>
      <c r="Q33">
        <v>14.724</v>
      </c>
      <c r="R33" t="s">
        <v>10902</v>
      </c>
      <c r="S33">
        <v>0</v>
      </c>
    </row>
    <row r="34" spans="1:19">
      <c r="A34" t="s">
        <v>34</v>
      </c>
      <c r="B34" t="s">
        <v>7842</v>
      </c>
      <c r="C34">
        <f>"14000158"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34</v>
      </c>
      <c r="B35" t="s">
        <v>9568</v>
      </c>
      <c r="C35">
        <f>"cajajoseragift"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34</v>
      </c>
      <c r="B36" t="s">
        <v>8304</v>
      </c>
      <c r="C36">
        <f>"14000025"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34</v>
      </c>
      <c r="B37" t="s">
        <v>8302</v>
      </c>
      <c r="C37">
        <f>"14000137"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34</v>
      </c>
      <c r="B38" t="s">
        <v>8303</v>
      </c>
      <c r="C38">
        <f>"14000208"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34</v>
      </c>
      <c r="B39" t="s">
        <v>3567</v>
      </c>
      <c r="C39">
        <f>"14000162"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34</v>
      </c>
      <c r="B40" t="s">
        <v>8394</v>
      </c>
      <c r="C40">
        <f>"14000016"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34</v>
      </c>
      <c r="B41" t="s">
        <v>8381</v>
      </c>
      <c r="C41">
        <f>"14000163"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34</v>
      </c>
      <c r="B42" t="s">
        <v>8395</v>
      </c>
      <c r="C42">
        <f>"140000666"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34</v>
      </c>
      <c r="B43" t="s">
        <v>8455</v>
      </c>
      <c r="C43">
        <f>"14000157"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34</v>
      </c>
      <c r="B44" t="s">
        <v>7180</v>
      </c>
      <c r="C44">
        <f>"14000206"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34</v>
      </c>
      <c r="B45" t="s">
        <v>8388</v>
      </c>
      <c r="C45">
        <f>"14000141"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34</v>
      </c>
      <c r="B46" t="s">
        <v>7806</v>
      </c>
      <c r="C46">
        <f>"14000161"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34</v>
      </c>
      <c r="B47" t="s">
        <v>1339</v>
      </c>
      <c r="C47">
        <f>"14000205"</f>
        <v>0</v>
      </c>
      <c r="D47">
        <v>0</v>
      </c>
      <c r="E47">
        <v>0</v>
      </c>
      <c r="F47">
        <v>1</v>
      </c>
      <c r="G47">
        <v>0</v>
      </c>
      <c r="H47">
        <v>1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34</v>
      </c>
      <c r="B48" t="s">
        <v>7808</v>
      </c>
      <c r="C48">
        <f>"14000159"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34</v>
      </c>
      <c r="B49" t="s">
        <v>7807</v>
      </c>
      <c r="C49">
        <f>"14000160"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34</v>
      </c>
      <c r="B50" t="s">
        <v>1613</v>
      </c>
      <c r="C50">
        <f>"14000152"</f>
        <v>0</v>
      </c>
      <c r="D50">
        <v>17</v>
      </c>
      <c r="E50">
        <v>8</v>
      </c>
      <c r="F50">
        <v>8</v>
      </c>
      <c r="G50">
        <v>1</v>
      </c>
      <c r="H50">
        <v>34</v>
      </c>
      <c r="I50">
        <v>8</v>
      </c>
      <c r="J50">
        <v>9</v>
      </c>
      <c r="K50">
        <v>397.257</v>
      </c>
      <c r="L50" s="2">
        <v>44</v>
      </c>
      <c r="M50">
        <v>0</v>
      </c>
      <c r="N50" s="2">
        <v>0</v>
      </c>
      <c r="O50">
        <v>-0.7999999999999989</v>
      </c>
      <c r="P50" t="s">
        <v>10879</v>
      </c>
      <c r="Q50">
        <v>6.196</v>
      </c>
      <c r="R50" t="s">
        <v>10903</v>
      </c>
      <c r="S50">
        <v>0</v>
      </c>
    </row>
    <row r="51" spans="1:19">
      <c r="A51" t="s">
        <v>34</v>
      </c>
      <c r="B51" t="s">
        <v>1659</v>
      </c>
      <c r="C51">
        <f>"14000079"</f>
        <v>0</v>
      </c>
      <c r="D51">
        <v>11</v>
      </c>
      <c r="E51">
        <v>10</v>
      </c>
      <c r="F51">
        <v>0</v>
      </c>
      <c r="G51">
        <v>0</v>
      </c>
      <c r="H51">
        <v>21</v>
      </c>
      <c r="I51">
        <v>5</v>
      </c>
      <c r="J51">
        <v>5</v>
      </c>
      <c r="K51">
        <v>186.115</v>
      </c>
      <c r="L51" s="2">
        <v>37</v>
      </c>
      <c r="M51">
        <v>0</v>
      </c>
      <c r="N51" s="2">
        <v>0</v>
      </c>
      <c r="O51">
        <v>-1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34</v>
      </c>
      <c r="B52" t="s">
        <v>1719</v>
      </c>
      <c r="C52">
        <f>"14000143"</f>
        <v>0</v>
      </c>
      <c r="D52">
        <v>4</v>
      </c>
      <c r="E52">
        <v>3</v>
      </c>
      <c r="F52">
        <v>4</v>
      </c>
      <c r="G52">
        <v>4</v>
      </c>
      <c r="H52">
        <v>15</v>
      </c>
      <c r="I52">
        <v>4</v>
      </c>
      <c r="J52">
        <v>11</v>
      </c>
      <c r="K52">
        <v>122.296</v>
      </c>
      <c r="L52" s="2">
        <v>11</v>
      </c>
      <c r="M52">
        <v>0</v>
      </c>
      <c r="N52" s="2">
        <v>0</v>
      </c>
      <c r="O52">
        <v>-1.199999999999999</v>
      </c>
      <c r="P52" t="s">
        <v>10880</v>
      </c>
      <c r="Q52">
        <v>5.613</v>
      </c>
      <c r="R52" t="s">
        <v>10904</v>
      </c>
      <c r="S52">
        <v>0</v>
      </c>
    </row>
    <row r="53" spans="1:19">
      <c r="A53" t="s">
        <v>34</v>
      </c>
      <c r="B53" t="s">
        <v>2564</v>
      </c>
      <c r="C53">
        <f>"14000209"</f>
        <v>0</v>
      </c>
      <c r="D53">
        <v>0</v>
      </c>
      <c r="E53">
        <v>1</v>
      </c>
      <c r="F53">
        <v>0</v>
      </c>
      <c r="G53">
        <v>0</v>
      </c>
      <c r="H53">
        <v>1</v>
      </c>
      <c r="I53">
        <v>0</v>
      </c>
      <c r="J53">
        <v>1</v>
      </c>
      <c r="K53">
        <v>0</v>
      </c>
      <c r="L53" s="2">
        <v>0</v>
      </c>
      <c r="M53">
        <v>0</v>
      </c>
      <c r="N53" s="2">
        <v>0</v>
      </c>
      <c r="O53">
        <v>-1.2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34</v>
      </c>
      <c r="B54" t="s">
        <v>2153</v>
      </c>
      <c r="C54">
        <f>"15000432"</f>
        <v>0</v>
      </c>
      <c r="D54">
        <v>0</v>
      </c>
      <c r="E54">
        <v>0</v>
      </c>
      <c r="F54">
        <v>0</v>
      </c>
      <c r="G54">
        <v>1</v>
      </c>
      <c r="H54">
        <v>1</v>
      </c>
      <c r="I54">
        <v>0</v>
      </c>
      <c r="J54">
        <v>6</v>
      </c>
      <c r="K54">
        <v>67.452</v>
      </c>
      <c r="L54" s="2">
        <v>11</v>
      </c>
      <c r="M54">
        <v>0</v>
      </c>
      <c r="N54" s="2">
        <v>0</v>
      </c>
      <c r="O54">
        <v>-2.199999999999999</v>
      </c>
      <c r="P54" t="s">
        <v>10741</v>
      </c>
      <c r="Q54">
        <v>5.791</v>
      </c>
      <c r="R54" t="s">
        <v>10905</v>
      </c>
      <c r="S54">
        <v>1</v>
      </c>
    </row>
    <row r="55" spans="1:19">
      <c r="A55" t="s">
        <v>34</v>
      </c>
      <c r="B55" t="s">
        <v>1608</v>
      </c>
      <c r="C55">
        <f>"14000112"</f>
        <v>0</v>
      </c>
      <c r="D55">
        <v>22</v>
      </c>
      <c r="E55">
        <v>8</v>
      </c>
      <c r="F55">
        <v>2</v>
      </c>
      <c r="G55">
        <v>1</v>
      </c>
      <c r="H55">
        <v>33</v>
      </c>
      <c r="I55">
        <v>5</v>
      </c>
      <c r="J55">
        <v>8</v>
      </c>
      <c r="K55">
        <v>331.592</v>
      </c>
      <c r="L55" s="2">
        <v>41</v>
      </c>
      <c r="M55">
        <v>0</v>
      </c>
      <c r="N55" s="2">
        <v>0</v>
      </c>
      <c r="O55">
        <v>-2.6</v>
      </c>
      <c r="P55" t="s">
        <v>10879</v>
      </c>
      <c r="Q55">
        <v>8.887</v>
      </c>
      <c r="R55" t="s">
        <v>10723</v>
      </c>
      <c r="S55">
        <v>0</v>
      </c>
    </row>
    <row r="56" spans="1:19">
      <c r="A56" t="s">
        <v>34</v>
      </c>
      <c r="B56" t="s">
        <v>1675</v>
      </c>
      <c r="C56">
        <f>"14000131"</f>
        <v>0</v>
      </c>
      <c r="D56">
        <v>10</v>
      </c>
      <c r="E56">
        <v>9</v>
      </c>
      <c r="F56">
        <v>2</v>
      </c>
      <c r="G56">
        <v>0</v>
      </c>
      <c r="H56">
        <v>21</v>
      </c>
      <c r="I56">
        <v>5.5</v>
      </c>
      <c r="J56">
        <v>7</v>
      </c>
      <c r="K56">
        <v>209.683</v>
      </c>
      <c r="L56" s="2">
        <v>30</v>
      </c>
      <c r="M56">
        <v>0</v>
      </c>
      <c r="N56" s="2">
        <v>0</v>
      </c>
      <c r="O56">
        <v>-2.9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34</v>
      </c>
      <c r="B57" t="s">
        <v>1712</v>
      </c>
      <c r="C57">
        <f>"14000156"</f>
        <v>0</v>
      </c>
      <c r="D57">
        <v>5</v>
      </c>
      <c r="E57">
        <v>6</v>
      </c>
      <c r="F57">
        <v>6</v>
      </c>
      <c r="G57">
        <v>0</v>
      </c>
      <c r="H57">
        <v>17</v>
      </c>
      <c r="I57">
        <v>5.5</v>
      </c>
      <c r="J57">
        <v>7</v>
      </c>
      <c r="K57">
        <v>249.329</v>
      </c>
      <c r="L57" s="2">
        <v>36</v>
      </c>
      <c r="M57">
        <v>0</v>
      </c>
      <c r="N57" s="2">
        <v>0</v>
      </c>
      <c r="O57">
        <v>-2.9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34</v>
      </c>
      <c r="B58" t="s">
        <v>2137</v>
      </c>
      <c r="C58">
        <f>"14000172"</f>
        <v>0</v>
      </c>
      <c r="D58">
        <v>2</v>
      </c>
      <c r="E58">
        <v>0</v>
      </c>
      <c r="F58">
        <v>1</v>
      </c>
      <c r="G58">
        <v>0</v>
      </c>
      <c r="H58">
        <v>3</v>
      </c>
      <c r="I58">
        <v>0.5</v>
      </c>
      <c r="J58">
        <v>3</v>
      </c>
      <c r="K58">
        <v>105.297</v>
      </c>
      <c r="L58" s="2">
        <v>35</v>
      </c>
      <c r="M58">
        <v>0</v>
      </c>
      <c r="N58" s="2">
        <v>0</v>
      </c>
      <c r="O58">
        <v>-3.1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34</v>
      </c>
      <c r="B59" t="s">
        <v>2179</v>
      </c>
      <c r="C59">
        <f>"14000168"</f>
        <v>0</v>
      </c>
      <c r="D59">
        <v>1</v>
      </c>
      <c r="E59">
        <v>1</v>
      </c>
      <c r="F59">
        <v>0</v>
      </c>
      <c r="G59">
        <v>0</v>
      </c>
      <c r="H59">
        <v>2</v>
      </c>
      <c r="I59">
        <v>0.5</v>
      </c>
      <c r="J59">
        <v>4</v>
      </c>
      <c r="K59">
        <v>29.848</v>
      </c>
      <c r="L59" s="2">
        <v>7</v>
      </c>
      <c r="M59">
        <v>0</v>
      </c>
      <c r="N59" s="2">
        <v>0</v>
      </c>
      <c r="O59">
        <v>-4.3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34</v>
      </c>
      <c r="B60" t="s">
        <v>1752</v>
      </c>
      <c r="C60">
        <f>"14000151"</f>
        <v>0</v>
      </c>
      <c r="D60">
        <v>10</v>
      </c>
      <c r="E60">
        <v>0</v>
      </c>
      <c r="F60">
        <v>3</v>
      </c>
      <c r="G60">
        <v>0</v>
      </c>
      <c r="H60">
        <v>13</v>
      </c>
      <c r="I60">
        <v>1.5</v>
      </c>
      <c r="J60">
        <v>6</v>
      </c>
      <c r="K60">
        <v>252.641</v>
      </c>
      <c r="L60" s="2">
        <v>42</v>
      </c>
      <c r="M60">
        <v>0</v>
      </c>
      <c r="N60" s="2">
        <v>0</v>
      </c>
      <c r="O60">
        <v>-5.699999999999999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34</v>
      </c>
      <c r="B61" t="s">
        <v>1830</v>
      </c>
      <c r="C61">
        <f>"14000111"</f>
        <v>0</v>
      </c>
      <c r="D61">
        <v>2</v>
      </c>
      <c r="E61">
        <v>3</v>
      </c>
      <c r="F61">
        <v>3</v>
      </c>
      <c r="G61">
        <v>0</v>
      </c>
      <c r="H61">
        <v>8</v>
      </c>
      <c r="I61">
        <v>2.5</v>
      </c>
      <c r="J61">
        <v>7</v>
      </c>
      <c r="K61">
        <v>76.255</v>
      </c>
      <c r="L61" s="2">
        <v>11</v>
      </c>
      <c r="M61">
        <v>0</v>
      </c>
      <c r="N61" s="2">
        <v>0</v>
      </c>
      <c r="O61">
        <v>-5.9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34</v>
      </c>
      <c r="B62" t="s">
        <v>1616</v>
      </c>
      <c r="C62">
        <f>"14000078"</f>
        <v>0</v>
      </c>
      <c r="D62">
        <v>22</v>
      </c>
      <c r="E62">
        <v>8</v>
      </c>
      <c r="F62">
        <v>4</v>
      </c>
      <c r="G62">
        <v>0</v>
      </c>
      <c r="H62">
        <v>34</v>
      </c>
      <c r="I62">
        <v>6</v>
      </c>
      <c r="J62">
        <v>10</v>
      </c>
      <c r="K62">
        <v>389.3</v>
      </c>
      <c r="L62" s="2">
        <v>39</v>
      </c>
      <c r="M62">
        <v>0</v>
      </c>
      <c r="N62" s="2">
        <v>0</v>
      </c>
      <c r="O62">
        <v>-6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34</v>
      </c>
      <c r="B63" t="s">
        <v>1756</v>
      </c>
      <c r="C63">
        <f>"14000164"</f>
        <v>0</v>
      </c>
      <c r="D63">
        <v>0</v>
      </c>
      <c r="E63">
        <v>6</v>
      </c>
      <c r="F63">
        <v>5</v>
      </c>
      <c r="G63">
        <v>1</v>
      </c>
      <c r="H63">
        <v>12</v>
      </c>
      <c r="I63">
        <v>3</v>
      </c>
      <c r="J63">
        <v>11</v>
      </c>
      <c r="K63">
        <v>233.483</v>
      </c>
      <c r="L63" s="2">
        <v>21</v>
      </c>
      <c r="M63">
        <v>0</v>
      </c>
      <c r="N63" s="2">
        <v>0</v>
      </c>
      <c r="O63">
        <v>-8.199999999999999</v>
      </c>
      <c r="P63" t="s">
        <v>10881</v>
      </c>
      <c r="Q63">
        <v>1.411</v>
      </c>
      <c r="R63" t="s">
        <v>10906</v>
      </c>
      <c r="S63">
        <v>0</v>
      </c>
    </row>
    <row r="64" spans="1:19">
      <c r="A64" t="s">
        <v>34</v>
      </c>
      <c r="B64" t="s">
        <v>1941</v>
      </c>
      <c r="C64">
        <f>"11003499"</f>
        <v>0</v>
      </c>
      <c r="D64">
        <v>0</v>
      </c>
      <c r="E64">
        <v>1</v>
      </c>
      <c r="F64">
        <v>3</v>
      </c>
      <c r="G64">
        <v>1</v>
      </c>
      <c r="H64">
        <v>5</v>
      </c>
      <c r="I64">
        <v>1</v>
      </c>
      <c r="J64">
        <v>10</v>
      </c>
      <c r="K64">
        <v>10</v>
      </c>
      <c r="L64" s="2">
        <v>1</v>
      </c>
      <c r="M64">
        <v>0</v>
      </c>
      <c r="N64" s="2">
        <v>0</v>
      </c>
      <c r="O64">
        <v>-9</v>
      </c>
      <c r="P64" t="s">
        <v>100</v>
      </c>
      <c r="Q64">
        <v>-1</v>
      </c>
      <c r="R64" t="s">
        <v>145</v>
      </c>
      <c r="S64">
        <v>0</v>
      </c>
    </row>
    <row r="65" spans="1:19">
      <c r="A65" t="s">
        <v>34</v>
      </c>
      <c r="B65" t="s">
        <v>1817</v>
      </c>
      <c r="C65">
        <f>"14000082"</f>
        <v>0</v>
      </c>
      <c r="D65">
        <v>5</v>
      </c>
      <c r="E65">
        <v>4</v>
      </c>
      <c r="F65">
        <v>0</v>
      </c>
      <c r="G65">
        <v>0</v>
      </c>
      <c r="H65">
        <v>9</v>
      </c>
      <c r="I65">
        <v>2</v>
      </c>
      <c r="J65">
        <v>30</v>
      </c>
      <c r="K65">
        <v>124.59</v>
      </c>
      <c r="L65" s="2">
        <v>4</v>
      </c>
      <c r="M65">
        <v>0</v>
      </c>
      <c r="N65" s="2">
        <v>0</v>
      </c>
      <c r="O65">
        <v>-34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34</v>
      </c>
      <c r="B66" t="s">
        <v>1649</v>
      </c>
      <c r="C66">
        <f>"14000084"</f>
        <v>0</v>
      </c>
      <c r="D66">
        <v>6</v>
      </c>
      <c r="E66">
        <v>7</v>
      </c>
      <c r="F66">
        <v>13</v>
      </c>
      <c r="G66">
        <v>0</v>
      </c>
      <c r="H66">
        <v>26</v>
      </c>
      <c r="I66">
        <v>6.5</v>
      </c>
      <c r="J66">
        <v>51</v>
      </c>
      <c r="K66">
        <v>261.664</v>
      </c>
      <c r="L66" s="2">
        <v>5</v>
      </c>
      <c r="M66">
        <v>0</v>
      </c>
      <c r="N66" s="2">
        <v>0</v>
      </c>
      <c r="O66">
        <v>-54.7</v>
      </c>
      <c r="P66" t="s">
        <v>100</v>
      </c>
      <c r="Q66">
        <v>0</v>
      </c>
      <c r="R66" t="s">
        <v>145</v>
      </c>
      <c r="S66">
        <v>0</v>
      </c>
    </row>
  </sheetData>
  <autoFilter ref="A2:S66"/>
  <hyperlinks>
    <hyperlink ref="A1" location="'ÍNDICE'!A1" display="⬅ Volver al índice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S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220</v>
      </c>
      <c r="B3" t="s">
        <v>1152</v>
      </c>
      <c r="C3">
        <f>"966466"</f>
        <v>0</v>
      </c>
      <c r="D3">
        <v>0</v>
      </c>
      <c r="E3">
        <v>1</v>
      </c>
      <c r="F3">
        <v>0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220</v>
      </c>
      <c r="B4" t="s">
        <v>9176</v>
      </c>
      <c r="C4">
        <f>"966465"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220</v>
      </c>
      <c r="B5" t="s">
        <v>9191</v>
      </c>
      <c r="C5">
        <f>"966467"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220</v>
      </c>
      <c r="B6" t="s">
        <v>9174</v>
      </c>
      <c r="C6">
        <f>"966468"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220</v>
      </c>
      <c r="B7" t="s">
        <v>9173</v>
      </c>
      <c r="C7">
        <f>"966464"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220</v>
      </c>
      <c r="B8" t="s">
        <v>9140</v>
      </c>
      <c r="C8">
        <f>"966469"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220</v>
      </c>
      <c r="B9" t="s">
        <v>9139</v>
      </c>
      <c r="C9">
        <f>"966468PACKX3"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</sheetData>
  <autoFilter ref="A2:S9"/>
  <hyperlinks>
    <hyperlink ref="A1" location="'ÍNDICE'!A1" display="⬅ Volver al índice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S18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193</v>
      </c>
      <c r="B3" t="s">
        <v>430</v>
      </c>
      <c r="C3">
        <f>"300735"</f>
        <v>0</v>
      </c>
      <c r="D3">
        <v>26</v>
      </c>
      <c r="E3">
        <v>0</v>
      </c>
      <c r="F3">
        <v>1</v>
      </c>
      <c r="G3">
        <v>4</v>
      </c>
      <c r="H3">
        <v>31</v>
      </c>
      <c r="I3">
        <v>2.5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13.5</v>
      </c>
      <c r="P3" t="s">
        <v>10909</v>
      </c>
      <c r="Q3">
        <v>1.489</v>
      </c>
      <c r="R3" t="s">
        <v>10917</v>
      </c>
      <c r="S3">
        <v>1</v>
      </c>
    </row>
    <row r="4" spans="1:19">
      <c r="A4" t="s">
        <v>193</v>
      </c>
      <c r="B4" t="s">
        <v>383</v>
      </c>
      <c r="C4">
        <f>"2GA320MAS2"</f>
        <v>0</v>
      </c>
      <c r="D4">
        <v>30</v>
      </c>
      <c r="E4">
        <v>19</v>
      </c>
      <c r="F4">
        <v>3</v>
      </c>
      <c r="G4">
        <v>0</v>
      </c>
      <c r="H4">
        <v>52</v>
      </c>
      <c r="I4">
        <v>11</v>
      </c>
      <c r="J4">
        <v>0</v>
      </c>
      <c r="K4">
        <v>0</v>
      </c>
      <c r="L4" s="2">
        <v>0</v>
      </c>
      <c r="M4">
        <v>11</v>
      </c>
      <c r="N4" s="2">
        <v>0</v>
      </c>
      <c r="O4">
        <v>11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193</v>
      </c>
      <c r="B5" t="s">
        <v>408</v>
      </c>
      <c r="C5">
        <f>"2GA32312MAS2"</f>
        <v>0</v>
      </c>
      <c r="D5">
        <v>20</v>
      </c>
      <c r="E5">
        <v>20</v>
      </c>
      <c r="F5">
        <v>0</v>
      </c>
      <c r="G5">
        <v>0</v>
      </c>
      <c r="H5">
        <v>40</v>
      </c>
      <c r="I5">
        <v>10</v>
      </c>
      <c r="J5">
        <v>0</v>
      </c>
      <c r="K5">
        <v>0</v>
      </c>
      <c r="L5" s="2">
        <v>0</v>
      </c>
      <c r="M5">
        <v>10</v>
      </c>
      <c r="N5" s="2">
        <v>0</v>
      </c>
      <c r="O5">
        <v>10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193</v>
      </c>
      <c r="B6" t="s">
        <v>550</v>
      </c>
      <c r="C6">
        <f>"300742"</f>
        <v>0</v>
      </c>
      <c r="D6">
        <v>0</v>
      </c>
      <c r="E6">
        <v>0</v>
      </c>
      <c r="F6">
        <v>21</v>
      </c>
      <c r="G6">
        <v>3</v>
      </c>
      <c r="H6">
        <v>24</v>
      </c>
      <c r="I6">
        <v>1.5</v>
      </c>
      <c r="J6">
        <v>0</v>
      </c>
      <c r="K6">
        <v>0</v>
      </c>
      <c r="L6" s="2">
        <v>0</v>
      </c>
      <c r="M6">
        <v>3</v>
      </c>
      <c r="N6" s="2">
        <v>0</v>
      </c>
      <c r="O6">
        <v>7.5</v>
      </c>
      <c r="P6" t="s">
        <v>10910</v>
      </c>
      <c r="Q6">
        <v>-47</v>
      </c>
      <c r="R6" t="s">
        <v>10918</v>
      </c>
      <c r="S6">
        <v>0</v>
      </c>
    </row>
    <row r="7" spans="1:19">
      <c r="A7" t="s">
        <v>193</v>
      </c>
      <c r="B7" t="s">
        <v>677</v>
      </c>
      <c r="C7">
        <f>"297288"</f>
        <v>0</v>
      </c>
      <c r="D7">
        <v>0</v>
      </c>
      <c r="E7">
        <v>0</v>
      </c>
      <c r="F7">
        <v>1</v>
      </c>
      <c r="G7">
        <v>2</v>
      </c>
      <c r="H7">
        <v>3</v>
      </c>
      <c r="I7">
        <v>0.5</v>
      </c>
      <c r="J7">
        <v>0</v>
      </c>
      <c r="K7">
        <v>0</v>
      </c>
      <c r="L7" s="2">
        <v>0</v>
      </c>
      <c r="M7">
        <v>2</v>
      </c>
      <c r="N7" s="2">
        <v>0</v>
      </c>
      <c r="O7">
        <v>7.5</v>
      </c>
      <c r="P7" t="s">
        <v>10911</v>
      </c>
      <c r="Q7">
        <v>15.148</v>
      </c>
      <c r="R7" t="s">
        <v>10919</v>
      </c>
      <c r="S7">
        <v>1</v>
      </c>
    </row>
    <row r="8" spans="1:19">
      <c r="A8" t="s">
        <v>193</v>
      </c>
      <c r="B8" t="s">
        <v>456</v>
      </c>
      <c r="C8">
        <f>"801822"</f>
        <v>0</v>
      </c>
      <c r="D8">
        <v>11</v>
      </c>
      <c r="E8">
        <v>12</v>
      </c>
      <c r="F8">
        <v>0</v>
      </c>
      <c r="G8">
        <v>0</v>
      </c>
      <c r="H8">
        <v>23</v>
      </c>
      <c r="I8">
        <v>5.5</v>
      </c>
      <c r="J8">
        <v>0</v>
      </c>
      <c r="K8">
        <v>0</v>
      </c>
      <c r="L8" s="2">
        <v>0</v>
      </c>
      <c r="M8">
        <v>6</v>
      </c>
      <c r="N8" s="2">
        <v>0</v>
      </c>
      <c r="O8">
        <v>5.5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193</v>
      </c>
      <c r="B9" t="s">
        <v>469</v>
      </c>
      <c r="C9">
        <f>"671823"</f>
        <v>0</v>
      </c>
      <c r="D9">
        <v>11</v>
      </c>
      <c r="E9">
        <v>4</v>
      </c>
      <c r="F9">
        <v>6</v>
      </c>
      <c r="G9">
        <v>0</v>
      </c>
      <c r="H9">
        <v>21</v>
      </c>
      <c r="I9">
        <v>5</v>
      </c>
      <c r="J9">
        <v>0</v>
      </c>
      <c r="K9">
        <v>0</v>
      </c>
      <c r="L9" s="2">
        <v>0</v>
      </c>
      <c r="M9">
        <v>5</v>
      </c>
      <c r="N9" s="2">
        <v>0</v>
      </c>
      <c r="O9">
        <v>5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193</v>
      </c>
      <c r="B10" t="s">
        <v>1588</v>
      </c>
      <c r="C10">
        <f>"826006"</f>
        <v>0</v>
      </c>
      <c r="D10">
        <v>2</v>
      </c>
      <c r="E10">
        <v>1</v>
      </c>
      <c r="F10">
        <v>0</v>
      </c>
      <c r="G10">
        <v>1</v>
      </c>
      <c r="H10">
        <v>4</v>
      </c>
      <c r="I10">
        <v>1</v>
      </c>
      <c r="J10">
        <v>1</v>
      </c>
      <c r="K10">
        <v>2.765</v>
      </c>
      <c r="L10" s="2">
        <v>3</v>
      </c>
      <c r="M10">
        <v>0</v>
      </c>
      <c r="N10" s="2">
        <v>0</v>
      </c>
      <c r="O10">
        <v>4.8</v>
      </c>
      <c r="P10" t="s">
        <v>10249</v>
      </c>
      <c r="Q10">
        <v>168</v>
      </c>
      <c r="R10" t="s">
        <v>10920</v>
      </c>
      <c r="S10">
        <v>1</v>
      </c>
    </row>
    <row r="11" spans="1:19">
      <c r="A11" t="s">
        <v>193</v>
      </c>
      <c r="B11" t="s">
        <v>516</v>
      </c>
      <c r="C11">
        <f>"826112"</f>
        <v>0</v>
      </c>
      <c r="D11">
        <v>6</v>
      </c>
      <c r="E11">
        <v>3</v>
      </c>
      <c r="F11">
        <v>6</v>
      </c>
      <c r="G11">
        <v>0</v>
      </c>
      <c r="H11">
        <v>15</v>
      </c>
      <c r="I11">
        <v>4.5</v>
      </c>
      <c r="J11">
        <v>0</v>
      </c>
      <c r="K11">
        <v>0</v>
      </c>
      <c r="L11" s="2">
        <v>0</v>
      </c>
      <c r="M11">
        <v>4</v>
      </c>
      <c r="N11" s="2">
        <v>0</v>
      </c>
      <c r="O11">
        <v>4.5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193</v>
      </c>
      <c r="B12" t="s">
        <v>468</v>
      </c>
      <c r="C12">
        <f>"004243"</f>
        <v>0</v>
      </c>
      <c r="D12">
        <v>0</v>
      </c>
      <c r="E12">
        <v>8</v>
      </c>
      <c r="F12">
        <v>13</v>
      </c>
      <c r="G12">
        <v>0</v>
      </c>
      <c r="H12">
        <v>21</v>
      </c>
      <c r="I12">
        <v>4</v>
      </c>
      <c r="J12">
        <v>0</v>
      </c>
      <c r="K12">
        <v>0</v>
      </c>
      <c r="L12" s="2">
        <v>0</v>
      </c>
      <c r="M12">
        <v>4</v>
      </c>
      <c r="N12" s="2">
        <v>0</v>
      </c>
      <c r="O12">
        <v>4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193</v>
      </c>
      <c r="B13" t="s">
        <v>507</v>
      </c>
      <c r="C13">
        <f>"2GA3233"</f>
        <v>0</v>
      </c>
      <c r="D13">
        <v>9</v>
      </c>
      <c r="E13">
        <v>7</v>
      </c>
      <c r="F13">
        <v>0</v>
      </c>
      <c r="G13">
        <v>0</v>
      </c>
      <c r="H13">
        <v>16</v>
      </c>
      <c r="I13">
        <v>3.5</v>
      </c>
      <c r="J13">
        <v>0</v>
      </c>
      <c r="K13">
        <v>0</v>
      </c>
      <c r="L13" s="2">
        <v>0</v>
      </c>
      <c r="M13">
        <v>4</v>
      </c>
      <c r="N13" s="2">
        <v>0</v>
      </c>
      <c r="O13">
        <v>3.5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193</v>
      </c>
      <c r="B14" t="s">
        <v>539</v>
      </c>
      <c r="C14">
        <f>"826013"</f>
        <v>0</v>
      </c>
      <c r="D14">
        <v>7</v>
      </c>
      <c r="E14">
        <v>3</v>
      </c>
      <c r="F14">
        <v>3</v>
      </c>
      <c r="G14">
        <v>0</v>
      </c>
      <c r="H14">
        <v>13</v>
      </c>
      <c r="I14">
        <v>3</v>
      </c>
      <c r="J14">
        <v>0</v>
      </c>
      <c r="K14">
        <v>0</v>
      </c>
      <c r="L14" s="2">
        <v>0</v>
      </c>
      <c r="M14">
        <v>3</v>
      </c>
      <c r="N14" s="2">
        <v>0</v>
      </c>
      <c r="O14">
        <v>3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193</v>
      </c>
      <c r="B15" t="s">
        <v>769</v>
      </c>
      <c r="C15">
        <f>"G5685"</f>
        <v>0</v>
      </c>
      <c r="D15">
        <v>0</v>
      </c>
      <c r="E15">
        <v>1</v>
      </c>
      <c r="F15">
        <v>1</v>
      </c>
      <c r="G15">
        <v>1</v>
      </c>
      <c r="H15">
        <v>3</v>
      </c>
      <c r="I15">
        <v>1</v>
      </c>
      <c r="J15">
        <v>0</v>
      </c>
      <c r="K15">
        <v>0</v>
      </c>
      <c r="L15" s="2">
        <v>0</v>
      </c>
      <c r="M15">
        <v>2</v>
      </c>
      <c r="N15" s="2">
        <v>0</v>
      </c>
      <c r="O15">
        <v>3</v>
      </c>
      <c r="P15" t="s">
        <v>10912</v>
      </c>
      <c r="Q15">
        <v>8.015000000000001</v>
      </c>
      <c r="R15" t="s">
        <v>10266</v>
      </c>
      <c r="S15">
        <v>0</v>
      </c>
    </row>
    <row r="16" spans="1:19">
      <c r="A16" t="s">
        <v>193</v>
      </c>
      <c r="B16" t="s">
        <v>862</v>
      </c>
      <c r="C16">
        <f>"564202"</f>
        <v>0</v>
      </c>
      <c r="D16">
        <v>1</v>
      </c>
      <c r="E16">
        <v>0</v>
      </c>
      <c r="F16">
        <v>1</v>
      </c>
      <c r="G16">
        <v>1</v>
      </c>
      <c r="H16">
        <v>3</v>
      </c>
      <c r="I16">
        <v>1</v>
      </c>
      <c r="J16">
        <v>0</v>
      </c>
      <c r="K16">
        <v>0</v>
      </c>
      <c r="L16" s="2">
        <v>0</v>
      </c>
      <c r="M16">
        <v>2</v>
      </c>
      <c r="N16" s="2">
        <v>0</v>
      </c>
      <c r="O16">
        <v>3</v>
      </c>
      <c r="P16" t="s">
        <v>10913</v>
      </c>
      <c r="Q16">
        <v>2.884</v>
      </c>
      <c r="R16" t="s">
        <v>10921</v>
      </c>
      <c r="S16">
        <v>0</v>
      </c>
    </row>
    <row r="17" spans="1:19">
      <c r="A17" t="s">
        <v>193</v>
      </c>
      <c r="B17" t="s">
        <v>1525</v>
      </c>
      <c r="C17">
        <f>"300513"</f>
        <v>0</v>
      </c>
      <c r="D17">
        <v>12</v>
      </c>
      <c r="E17">
        <v>15</v>
      </c>
      <c r="F17">
        <v>1</v>
      </c>
      <c r="G17">
        <v>0</v>
      </c>
      <c r="H17">
        <v>28</v>
      </c>
      <c r="I17">
        <v>6.5</v>
      </c>
      <c r="J17">
        <v>3</v>
      </c>
      <c r="K17">
        <v>5.309</v>
      </c>
      <c r="L17" s="2">
        <v>2</v>
      </c>
      <c r="M17">
        <v>4</v>
      </c>
      <c r="N17" s="2">
        <v>8</v>
      </c>
      <c r="O17">
        <v>2.9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193</v>
      </c>
      <c r="B18" t="s">
        <v>611</v>
      </c>
      <c r="C18">
        <f>"564400"</f>
        <v>0</v>
      </c>
      <c r="D18">
        <v>3</v>
      </c>
      <c r="E18">
        <v>1</v>
      </c>
      <c r="F18">
        <v>5</v>
      </c>
      <c r="G18">
        <v>0</v>
      </c>
      <c r="H18">
        <v>9</v>
      </c>
      <c r="I18">
        <v>2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2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193</v>
      </c>
      <c r="B19" t="s">
        <v>742</v>
      </c>
      <c r="C19">
        <f>"564257"</f>
        <v>0</v>
      </c>
      <c r="D19">
        <v>2</v>
      </c>
      <c r="E19">
        <v>1</v>
      </c>
      <c r="F19">
        <v>2</v>
      </c>
      <c r="G19">
        <v>0</v>
      </c>
      <c r="H19">
        <v>5</v>
      </c>
      <c r="I19">
        <v>1.5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1.5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193</v>
      </c>
      <c r="B20" t="s">
        <v>828</v>
      </c>
      <c r="C20">
        <f>"826174"</f>
        <v>0</v>
      </c>
      <c r="D20">
        <v>1</v>
      </c>
      <c r="E20">
        <v>2</v>
      </c>
      <c r="F20">
        <v>1</v>
      </c>
      <c r="G20">
        <v>0</v>
      </c>
      <c r="H20">
        <v>4</v>
      </c>
      <c r="I20">
        <v>1</v>
      </c>
      <c r="J20">
        <v>0</v>
      </c>
      <c r="K20">
        <v>0</v>
      </c>
      <c r="L20" s="2">
        <v>0</v>
      </c>
      <c r="M20">
        <v>1</v>
      </c>
      <c r="N20" s="2">
        <v>0</v>
      </c>
      <c r="O20">
        <v>1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193</v>
      </c>
      <c r="B21" t="s">
        <v>850</v>
      </c>
      <c r="C21">
        <f>"564349"</f>
        <v>0</v>
      </c>
      <c r="D21">
        <v>1</v>
      </c>
      <c r="E21">
        <v>2</v>
      </c>
      <c r="F21">
        <v>1</v>
      </c>
      <c r="G21">
        <v>0</v>
      </c>
      <c r="H21">
        <v>4</v>
      </c>
      <c r="I21">
        <v>1</v>
      </c>
      <c r="J21">
        <v>0</v>
      </c>
      <c r="K21">
        <v>0</v>
      </c>
      <c r="L21" s="2">
        <v>0</v>
      </c>
      <c r="M21">
        <v>1</v>
      </c>
      <c r="N21" s="2">
        <v>0</v>
      </c>
      <c r="O21">
        <v>1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193</v>
      </c>
      <c r="B22" t="s">
        <v>784</v>
      </c>
      <c r="C22">
        <f>"564189"</f>
        <v>0</v>
      </c>
      <c r="D22">
        <v>2</v>
      </c>
      <c r="E22">
        <v>1</v>
      </c>
      <c r="F22">
        <v>1</v>
      </c>
      <c r="G22">
        <v>0</v>
      </c>
      <c r="H22">
        <v>4</v>
      </c>
      <c r="I22">
        <v>1</v>
      </c>
      <c r="J22">
        <v>0</v>
      </c>
      <c r="K22">
        <v>0</v>
      </c>
      <c r="L22" s="2">
        <v>0</v>
      </c>
      <c r="M22">
        <v>1</v>
      </c>
      <c r="N22" s="2">
        <v>0</v>
      </c>
      <c r="O22">
        <v>1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193</v>
      </c>
      <c r="B23" t="s">
        <v>1084</v>
      </c>
      <c r="C23">
        <f>"564301"</f>
        <v>0</v>
      </c>
      <c r="D23">
        <v>1</v>
      </c>
      <c r="E23">
        <v>0</v>
      </c>
      <c r="F23">
        <v>1</v>
      </c>
      <c r="G23">
        <v>0</v>
      </c>
      <c r="H23">
        <v>2</v>
      </c>
      <c r="I23">
        <v>0.5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0.5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193</v>
      </c>
      <c r="B24" t="s">
        <v>806</v>
      </c>
      <c r="C24">
        <f>"564295"</f>
        <v>0</v>
      </c>
      <c r="D24">
        <v>3</v>
      </c>
      <c r="E24">
        <v>1</v>
      </c>
      <c r="F24">
        <v>0</v>
      </c>
      <c r="G24">
        <v>0</v>
      </c>
      <c r="H24">
        <v>4</v>
      </c>
      <c r="I24">
        <v>0.5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0.5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193</v>
      </c>
      <c r="B25" t="s">
        <v>1085</v>
      </c>
      <c r="C25">
        <f>"564288"</f>
        <v>0</v>
      </c>
      <c r="D25">
        <v>1</v>
      </c>
      <c r="E25">
        <v>0</v>
      </c>
      <c r="F25">
        <v>1</v>
      </c>
      <c r="G25">
        <v>0</v>
      </c>
      <c r="H25">
        <v>2</v>
      </c>
      <c r="I25">
        <v>0.5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0.5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193</v>
      </c>
      <c r="B26" t="s">
        <v>1087</v>
      </c>
      <c r="C26">
        <f>"564226"</f>
        <v>0</v>
      </c>
      <c r="D26">
        <v>1</v>
      </c>
      <c r="E26">
        <v>1</v>
      </c>
      <c r="F26">
        <v>0</v>
      </c>
      <c r="G26">
        <v>0</v>
      </c>
      <c r="H26">
        <v>2</v>
      </c>
      <c r="I26">
        <v>0.5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0.5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193</v>
      </c>
      <c r="B27" t="s">
        <v>1041</v>
      </c>
      <c r="C27">
        <f>"563625"</f>
        <v>0</v>
      </c>
      <c r="D27">
        <v>1</v>
      </c>
      <c r="E27">
        <v>1</v>
      </c>
      <c r="F27">
        <v>0</v>
      </c>
      <c r="G27">
        <v>0</v>
      </c>
      <c r="H27">
        <v>2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193</v>
      </c>
      <c r="B28" t="s">
        <v>930</v>
      </c>
      <c r="C28">
        <f>"902248"</f>
        <v>0</v>
      </c>
      <c r="D28">
        <v>1</v>
      </c>
      <c r="E28">
        <v>2</v>
      </c>
      <c r="F28">
        <v>0</v>
      </c>
      <c r="G28">
        <v>0</v>
      </c>
      <c r="H28">
        <v>3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193</v>
      </c>
      <c r="B29" t="s">
        <v>624</v>
      </c>
      <c r="C29">
        <f>"365114"</f>
        <v>0</v>
      </c>
      <c r="D29">
        <v>7</v>
      </c>
      <c r="E29">
        <v>1</v>
      </c>
      <c r="F29">
        <v>0</v>
      </c>
      <c r="G29">
        <v>0</v>
      </c>
      <c r="H29">
        <v>8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193</v>
      </c>
      <c r="B30" t="s">
        <v>909</v>
      </c>
      <c r="C30">
        <f>"563663"</f>
        <v>0</v>
      </c>
      <c r="D30">
        <v>2</v>
      </c>
      <c r="E30">
        <v>1</v>
      </c>
      <c r="F30">
        <v>0</v>
      </c>
      <c r="G30">
        <v>0</v>
      </c>
      <c r="H30">
        <v>3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193</v>
      </c>
      <c r="B31" t="s">
        <v>931</v>
      </c>
      <c r="C31">
        <f>"902224"</f>
        <v>0</v>
      </c>
      <c r="D31">
        <v>1</v>
      </c>
      <c r="E31">
        <v>0</v>
      </c>
      <c r="F31">
        <v>2</v>
      </c>
      <c r="G31">
        <v>0</v>
      </c>
      <c r="H31">
        <v>3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193</v>
      </c>
      <c r="B32" t="s">
        <v>10172</v>
      </c>
      <c r="C32">
        <f>"G5593"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193</v>
      </c>
      <c r="B33" t="s">
        <v>10166</v>
      </c>
      <c r="C33">
        <f>"G5623"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193</v>
      </c>
      <c r="B34" t="s">
        <v>10171</v>
      </c>
      <c r="C34">
        <f>"G7066"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193</v>
      </c>
      <c r="B35" t="s">
        <v>1347</v>
      </c>
      <c r="C35">
        <f>"297264"</f>
        <v>0</v>
      </c>
      <c r="D35">
        <v>0</v>
      </c>
      <c r="E35">
        <v>1</v>
      </c>
      <c r="F35">
        <v>0</v>
      </c>
      <c r="G35">
        <v>0</v>
      </c>
      <c r="H35">
        <v>1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193</v>
      </c>
      <c r="B36" t="s">
        <v>928</v>
      </c>
      <c r="C36">
        <f>"297158"</f>
        <v>0</v>
      </c>
      <c r="D36">
        <v>0</v>
      </c>
      <c r="E36">
        <v>3</v>
      </c>
      <c r="F36">
        <v>0</v>
      </c>
      <c r="G36">
        <v>0</v>
      </c>
      <c r="H36">
        <v>3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193</v>
      </c>
      <c r="B37" t="s">
        <v>1426</v>
      </c>
      <c r="C37">
        <f>"297134"</f>
        <v>0</v>
      </c>
      <c r="D37">
        <v>0</v>
      </c>
      <c r="E37">
        <v>1</v>
      </c>
      <c r="F37">
        <v>0</v>
      </c>
      <c r="G37">
        <v>0</v>
      </c>
      <c r="H37">
        <v>1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193</v>
      </c>
      <c r="B38" t="s">
        <v>9605</v>
      </c>
      <c r="C38">
        <f>"564653"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193</v>
      </c>
      <c r="B39" t="s">
        <v>1516</v>
      </c>
      <c r="C39">
        <f>"564264"</f>
        <v>0</v>
      </c>
      <c r="D39">
        <v>0</v>
      </c>
      <c r="E39">
        <v>0</v>
      </c>
      <c r="F39">
        <v>1</v>
      </c>
      <c r="G39">
        <v>0</v>
      </c>
      <c r="H39">
        <v>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10914</v>
      </c>
      <c r="Q39">
        <v>-3.284</v>
      </c>
      <c r="R39" t="s">
        <v>10922</v>
      </c>
      <c r="S39">
        <v>0</v>
      </c>
    </row>
    <row r="40" spans="1:19">
      <c r="A40" t="s">
        <v>193</v>
      </c>
      <c r="B40" t="s">
        <v>733</v>
      </c>
      <c r="C40">
        <f>"564271"</f>
        <v>0</v>
      </c>
      <c r="D40">
        <v>5</v>
      </c>
      <c r="E40">
        <v>0</v>
      </c>
      <c r="F40">
        <v>0</v>
      </c>
      <c r="G40">
        <v>0</v>
      </c>
      <c r="H40">
        <v>5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193</v>
      </c>
      <c r="B41" t="s">
        <v>10164</v>
      </c>
      <c r="C41">
        <f>"G5609"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193</v>
      </c>
      <c r="B42" t="s">
        <v>10168</v>
      </c>
      <c r="C42">
        <f>"297301"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193</v>
      </c>
      <c r="B43" t="s">
        <v>1508</v>
      </c>
      <c r="C43">
        <f>"387880"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193</v>
      </c>
      <c r="B44" t="s">
        <v>1064</v>
      </c>
      <c r="C44">
        <f>"297165"</f>
        <v>0</v>
      </c>
      <c r="D44">
        <v>0</v>
      </c>
      <c r="E44">
        <v>2</v>
      </c>
      <c r="F44">
        <v>0</v>
      </c>
      <c r="G44">
        <v>0</v>
      </c>
      <c r="H44">
        <v>2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193</v>
      </c>
      <c r="B45" t="s">
        <v>851</v>
      </c>
      <c r="C45">
        <f>"564394"</f>
        <v>0</v>
      </c>
      <c r="D45">
        <v>4</v>
      </c>
      <c r="E45">
        <v>0</v>
      </c>
      <c r="F45">
        <v>0</v>
      </c>
      <c r="G45">
        <v>0</v>
      </c>
      <c r="H45">
        <v>4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193</v>
      </c>
      <c r="B46" t="s">
        <v>804</v>
      </c>
      <c r="C46">
        <f>"564318"</f>
        <v>0</v>
      </c>
      <c r="D46">
        <v>4</v>
      </c>
      <c r="E46">
        <v>0</v>
      </c>
      <c r="F46">
        <v>0</v>
      </c>
      <c r="G46">
        <v>0</v>
      </c>
      <c r="H46">
        <v>4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193</v>
      </c>
      <c r="B47" t="s">
        <v>9606</v>
      </c>
      <c r="C47">
        <f>"564363"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193</v>
      </c>
      <c r="B48" t="s">
        <v>904</v>
      </c>
      <c r="C48">
        <f>"564219"</f>
        <v>0</v>
      </c>
      <c r="D48">
        <v>3</v>
      </c>
      <c r="E48">
        <v>0</v>
      </c>
      <c r="F48">
        <v>0</v>
      </c>
      <c r="G48">
        <v>0</v>
      </c>
      <c r="H48">
        <v>3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193</v>
      </c>
      <c r="B49" t="s">
        <v>10173</v>
      </c>
      <c r="C49">
        <f>"300803"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193</v>
      </c>
      <c r="B50" t="s">
        <v>9604</v>
      </c>
      <c r="C50">
        <f>"564165"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193</v>
      </c>
      <c r="B51" t="s">
        <v>1086</v>
      </c>
      <c r="C51">
        <f>"564240"</f>
        <v>0</v>
      </c>
      <c r="D51">
        <v>2</v>
      </c>
      <c r="E51">
        <v>0</v>
      </c>
      <c r="F51">
        <v>0</v>
      </c>
      <c r="G51">
        <v>0</v>
      </c>
      <c r="H51">
        <v>2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193</v>
      </c>
      <c r="B52" t="s">
        <v>1168</v>
      </c>
      <c r="C52">
        <f>"004243LAV"</f>
        <v>0</v>
      </c>
      <c r="D52">
        <v>0</v>
      </c>
      <c r="E52">
        <v>1</v>
      </c>
      <c r="F52">
        <v>0</v>
      </c>
      <c r="G52">
        <v>0</v>
      </c>
      <c r="H52">
        <v>1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193</v>
      </c>
      <c r="B53" t="s">
        <v>9503</v>
      </c>
      <c r="C53">
        <f>"1PA430"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193</v>
      </c>
      <c r="B54" t="s">
        <v>563</v>
      </c>
      <c r="C54">
        <f>"565193A"</f>
        <v>0</v>
      </c>
      <c r="D54">
        <v>0</v>
      </c>
      <c r="E54">
        <v>12</v>
      </c>
      <c r="F54">
        <v>0</v>
      </c>
      <c r="G54">
        <v>0</v>
      </c>
      <c r="H54">
        <v>12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193</v>
      </c>
      <c r="B55" t="s">
        <v>662</v>
      </c>
      <c r="C55">
        <f>"004243TAL"</f>
        <v>0</v>
      </c>
      <c r="D55">
        <v>7</v>
      </c>
      <c r="E55">
        <v>0</v>
      </c>
      <c r="F55">
        <v>0</v>
      </c>
      <c r="G55">
        <v>0</v>
      </c>
      <c r="H55">
        <v>7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193</v>
      </c>
      <c r="B56" t="s">
        <v>1338</v>
      </c>
      <c r="C56">
        <f>"564332"</f>
        <v>0</v>
      </c>
      <c r="D56">
        <v>1</v>
      </c>
      <c r="E56">
        <v>0</v>
      </c>
      <c r="F56">
        <v>0</v>
      </c>
      <c r="G56">
        <v>0</v>
      </c>
      <c r="H56">
        <v>1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193</v>
      </c>
      <c r="B57" t="s">
        <v>4288</v>
      </c>
      <c r="C57">
        <f>"2GA3277"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193</v>
      </c>
      <c r="B58" t="s">
        <v>4448</v>
      </c>
      <c r="C58">
        <f>"2GA3312"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193</v>
      </c>
      <c r="B59" t="s">
        <v>1046</v>
      </c>
      <c r="C59">
        <f>"564844A"</f>
        <v>0</v>
      </c>
      <c r="D59">
        <v>0</v>
      </c>
      <c r="E59">
        <v>2</v>
      </c>
      <c r="F59">
        <v>0</v>
      </c>
      <c r="G59">
        <v>0</v>
      </c>
      <c r="H59">
        <v>2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193</v>
      </c>
      <c r="B60" t="s">
        <v>4307</v>
      </c>
      <c r="C60">
        <f>"564844"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193</v>
      </c>
      <c r="B61" t="s">
        <v>4290</v>
      </c>
      <c r="C61">
        <f>"563601"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193</v>
      </c>
      <c r="B62" t="s">
        <v>1281</v>
      </c>
      <c r="C62">
        <f>"564424"</f>
        <v>0</v>
      </c>
      <c r="D62">
        <v>0</v>
      </c>
      <c r="E62">
        <v>1</v>
      </c>
      <c r="F62">
        <v>0</v>
      </c>
      <c r="G62">
        <v>0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193</v>
      </c>
      <c r="B63" t="s">
        <v>1047</v>
      </c>
      <c r="C63">
        <f>"2GA324"</f>
        <v>0</v>
      </c>
      <c r="D63">
        <v>0</v>
      </c>
      <c r="E63">
        <v>2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193</v>
      </c>
      <c r="B64" t="s">
        <v>10165</v>
      </c>
      <c r="C64">
        <f>"G6163"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193</v>
      </c>
      <c r="B65" t="s">
        <v>1025</v>
      </c>
      <c r="C65">
        <f>"297295"</f>
        <v>0</v>
      </c>
      <c r="D65">
        <v>0</v>
      </c>
      <c r="E65">
        <v>2</v>
      </c>
      <c r="F65">
        <v>0</v>
      </c>
      <c r="G65">
        <v>0</v>
      </c>
      <c r="H65">
        <v>2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193</v>
      </c>
      <c r="B66" t="s">
        <v>10170</v>
      </c>
      <c r="C66">
        <f>"297172"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193</v>
      </c>
      <c r="B67" t="s">
        <v>10169</v>
      </c>
      <c r="C67">
        <f>"297189"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193</v>
      </c>
      <c r="B68" t="s">
        <v>1482</v>
      </c>
      <c r="C68">
        <f>"310062"</f>
        <v>0</v>
      </c>
      <c r="D68">
        <v>1</v>
      </c>
      <c r="E68">
        <v>0</v>
      </c>
      <c r="F68">
        <v>0</v>
      </c>
      <c r="G68">
        <v>0</v>
      </c>
      <c r="H68">
        <v>1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193</v>
      </c>
      <c r="B69" t="s">
        <v>10167</v>
      </c>
      <c r="C69">
        <f>"G5647"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193</v>
      </c>
      <c r="B70" t="s">
        <v>10088</v>
      </c>
      <c r="C70">
        <f>"611006"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193</v>
      </c>
      <c r="B71" t="s">
        <v>10020</v>
      </c>
      <c r="C71">
        <f>"300520"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193</v>
      </c>
      <c r="B72" t="s">
        <v>10094</v>
      </c>
      <c r="C72">
        <f>"807265"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193</v>
      </c>
      <c r="B73" t="s">
        <v>10139</v>
      </c>
      <c r="C73">
        <f>"800235"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193</v>
      </c>
      <c r="B74" t="s">
        <v>10138</v>
      </c>
      <c r="C74">
        <f>"802901"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193</v>
      </c>
      <c r="B75" t="s">
        <v>10137</v>
      </c>
      <c r="C75">
        <f>"800266"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193</v>
      </c>
      <c r="B76" t="s">
        <v>10110</v>
      </c>
      <c r="C76">
        <f>"800174"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193</v>
      </c>
      <c r="B77" t="s">
        <v>10143</v>
      </c>
      <c r="C77">
        <f>"802932"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193</v>
      </c>
      <c r="B78" t="s">
        <v>10142</v>
      </c>
      <c r="C78">
        <f>"802963"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193</v>
      </c>
      <c r="B79" t="s">
        <v>10141</v>
      </c>
      <c r="C79">
        <f>"802970"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193</v>
      </c>
      <c r="B80" t="s">
        <v>10140</v>
      </c>
      <c r="C80">
        <f>"800204"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193</v>
      </c>
      <c r="B81" t="s">
        <v>10135</v>
      </c>
      <c r="C81">
        <f>"802109"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193</v>
      </c>
      <c r="B82" t="s">
        <v>10087</v>
      </c>
      <c r="C82">
        <f>"611013"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193</v>
      </c>
      <c r="B83" t="s">
        <v>10095</v>
      </c>
      <c r="C83">
        <f>"806435"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193</v>
      </c>
      <c r="B84" t="s">
        <v>10176</v>
      </c>
      <c r="C84">
        <f>"300902"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193</v>
      </c>
      <c r="B85" t="s">
        <v>10093</v>
      </c>
      <c r="C85">
        <f>"806466"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193</v>
      </c>
      <c r="B86" t="s">
        <v>10090</v>
      </c>
      <c r="C86">
        <f>"800297"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193</v>
      </c>
      <c r="B87" t="s">
        <v>10091</v>
      </c>
      <c r="C87">
        <f>"611419"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193</v>
      </c>
      <c r="B88" t="s">
        <v>10092</v>
      </c>
      <c r="C88">
        <f>"806459"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193</v>
      </c>
      <c r="B89" t="s">
        <v>845</v>
      </c>
      <c r="C89">
        <f>"826037"</f>
        <v>0</v>
      </c>
      <c r="D89">
        <v>4</v>
      </c>
      <c r="E89">
        <v>0</v>
      </c>
      <c r="F89">
        <v>0</v>
      </c>
      <c r="G89">
        <v>0</v>
      </c>
      <c r="H89">
        <v>4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193</v>
      </c>
      <c r="B90" t="s">
        <v>8555</v>
      </c>
      <c r="C90">
        <f>"826143"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193</v>
      </c>
      <c r="B91" t="s">
        <v>1437</v>
      </c>
      <c r="C91">
        <f>"826136"</f>
        <v>0</v>
      </c>
      <c r="D91">
        <v>1</v>
      </c>
      <c r="E91">
        <v>0</v>
      </c>
      <c r="F91">
        <v>0</v>
      </c>
      <c r="G91">
        <v>0</v>
      </c>
      <c r="H91">
        <v>1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193</v>
      </c>
      <c r="B92" t="s">
        <v>10132</v>
      </c>
      <c r="C92">
        <f>"802161"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193</v>
      </c>
      <c r="B93" t="s">
        <v>10136</v>
      </c>
      <c r="C93">
        <f>"803229"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193</v>
      </c>
      <c r="B94" t="s">
        <v>10133</v>
      </c>
      <c r="C94">
        <f>"802222"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193</v>
      </c>
      <c r="B95" t="s">
        <v>10114</v>
      </c>
      <c r="C95">
        <f>"800310"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193</v>
      </c>
      <c r="B96" t="s">
        <v>10100</v>
      </c>
      <c r="C96">
        <f>"802123"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193</v>
      </c>
      <c r="B97" t="s">
        <v>1003</v>
      </c>
      <c r="C97">
        <f>"826198"</f>
        <v>0</v>
      </c>
      <c r="D97">
        <v>0</v>
      </c>
      <c r="E97">
        <v>2</v>
      </c>
      <c r="F97">
        <v>0</v>
      </c>
      <c r="G97">
        <v>0</v>
      </c>
      <c r="H97">
        <v>2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193</v>
      </c>
      <c r="B98" t="s">
        <v>8541</v>
      </c>
      <c r="C98">
        <f>"826167"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193</v>
      </c>
      <c r="B99" t="s">
        <v>755</v>
      </c>
      <c r="C99">
        <f>"826075"</f>
        <v>0</v>
      </c>
      <c r="D99">
        <v>5</v>
      </c>
      <c r="E99">
        <v>0</v>
      </c>
      <c r="F99">
        <v>0</v>
      </c>
      <c r="G99">
        <v>0</v>
      </c>
      <c r="H99">
        <v>5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193</v>
      </c>
      <c r="B100" t="s">
        <v>1459</v>
      </c>
      <c r="C100">
        <f>"826181"</f>
        <v>0</v>
      </c>
      <c r="D100">
        <v>0</v>
      </c>
      <c r="E100">
        <v>1</v>
      </c>
      <c r="F100">
        <v>0</v>
      </c>
      <c r="G100">
        <v>0</v>
      </c>
      <c r="H100">
        <v>1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193</v>
      </c>
      <c r="B101" t="s">
        <v>10097</v>
      </c>
      <c r="C101">
        <f>"800136"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193</v>
      </c>
      <c r="B102" t="s">
        <v>10127</v>
      </c>
      <c r="C102">
        <f>"800112"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193</v>
      </c>
      <c r="B103" t="s">
        <v>10126</v>
      </c>
      <c r="C103">
        <f>"800075"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193</v>
      </c>
      <c r="B104" t="s">
        <v>10099</v>
      </c>
      <c r="C104">
        <f>"807654"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193</v>
      </c>
      <c r="B105" t="s">
        <v>838</v>
      </c>
      <c r="C105">
        <f>"826150"</f>
        <v>0</v>
      </c>
      <c r="D105">
        <v>4</v>
      </c>
      <c r="E105">
        <v>0</v>
      </c>
      <c r="F105">
        <v>0</v>
      </c>
      <c r="G105">
        <v>0</v>
      </c>
      <c r="H105">
        <v>4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193</v>
      </c>
      <c r="B106" t="s">
        <v>8554</v>
      </c>
      <c r="C106">
        <f>"826099"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193</v>
      </c>
      <c r="B107" t="s">
        <v>8572</v>
      </c>
      <c r="C107">
        <f>"826044"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193</v>
      </c>
      <c r="B108" t="s">
        <v>8573</v>
      </c>
      <c r="C108">
        <f>"826068"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193</v>
      </c>
      <c r="B109" t="s">
        <v>751</v>
      </c>
      <c r="C109">
        <f>"902231"</f>
        <v>0</v>
      </c>
      <c r="D109">
        <v>5</v>
      </c>
      <c r="E109">
        <v>0</v>
      </c>
      <c r="F109">
        <v>0</v>
      </c>
      <c r="G109">
        <v>0</v>
      </c>
      <c r="H109">
        <v>5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193</v>
      </c>
      <c r="B110" t="s">
        <v>709</v>
      </c>
      <c r="C110">
        <f>"902255"</f>
        <v>0</v>
      </c>
      <c r="D110">
        <v>6</v>
      </c>
      <c r="E110">
        <v>0</v>
      </c>
      <c r="F110">
        <v>0</v>
      </c>
      <c r="G110">
        <v>0</v>
      </c>
      <c r="H110">
        <v>6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193</v>
      </c>
      <c r="B111" t="s">
        <v>8529</v>
      </c>
      <c r="C111">
        <f>"826051"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193</v>
      </c>
      <c r="B112" t="s">
        <v>3815</v>
      </c>
      <c r="C112">
        <f>"671649"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193</v>
      </c>
      <c r="B113" t="s">
        <v>3865</v>
      </c>
      <c r="C113">
        <f>"2GA320"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193</v>
      </c>
      <c r="B114" t="s">
        <v>10134</v>
      </c>
      <c r="C114">
        <f>"805353"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193</v>
      </c>
      <c r="B115" t="s">
        <v>10086</v>
      </c>
      <c r="C115">
        <f>"611037"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193</v>
      </c>
      <c r="B116" t="s">
        <v>10089</v>
      </c>
      <c r="C116">
        <f>"800303"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193</v>
      </c>
      <c r="B117" t="s">
        <v>10085</v>
      </c>
      <c r="C117">
        <f>"611020"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193</v>
      </c>
      <c r="B118" t="s">
        <v>10111</v>
      </c>
      <c r="C118">
        <f>"800181"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193</v>
      </c>
      <c r="B119" t="s">
        <v>10112</v>
      </c>
      <c r="C119">
        <f>"611075"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193</v>
      </c>
      <c r="B120" t="s">
        <v>10113</v>
      </c>
      <c r="C120">
        <f>"803687"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193</v>
      </c>
      <c r="B121" t="s">
        <v>6074</v>
      </c>
      <c r="C121">
        <f>"HU451027"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193</v>
      </c>
      <c r="B122" t="s">
        <v>6075</v>
      </c>
      <c r="C122">
        <f>"HU451041"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193</v>
      </c>
      <c r="B123" t="s">
        <v>5066</v>
      </c>
      <c r="C123">
        <f>"1PA731051"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193</v>
      </c>
      <c r="B124" t="s">
        <v>6043</v>
      </c>
      <c r="C124">
        <f>"1PA101"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193</v>
      </c>
      <c r="B125" t="s">
        <v>1322</v>
      </c>
      <c r="C125">
        <f>"563861"</f>
        <v>0</v>
      </c>
      <c r="D125">
        <v>1</v>
      </c>
      <c r="E125">
        <v>0</v>
      </c>
      <c r="F125">
        <v>0</v>
      </c>
      <c r="G125">
        <v>0</v>
      </c>
      <c r="H125">
        <v>1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193</v>
      </c>
      <c r="B126" t="s">
        <v>4451</v>
      </c>
      <c r="C126">
        <f>"563588"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193</v>
      </c>
      <c r="B127" t="s">
        <v>4450</v>
      </c>
      <c r="C127">
        <f>"563632"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193</v>
      </c>
      <c r="B128" t="s">
        <v>4289</v>
      </c>
      <c r="C128">
        <f>"2GA326"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193</v>
      </c>
      <c r="B129" t="s">
        <v>6076</v>
      </c>
      <c r="C129">
        <f>"HU451010"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193</v>
      </c>
      <c r="B130" t="s">
        <v>3839</v>
      </c>
      <c r="C130">
        <f>"564578"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193</v>
      </c>
      <c r="B131" t="s">
        <v>3838</v>
      </c>
      <c r="C131">
        <f>"2GA3233MAS2"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193</v>
      </c>
      <c r="B132" t="s">
        <v>1184</v>
      </c>
      <c r="C132">
        <f>"674688"</f>
        <v>0</v>
      </c>
      <c r="D132">
        <v>0</v>
      </c>
      <c r="E132">
        <v>1</v>
      </c>
      <c r="F132">
        <v>0</v>
      </c>
      <c r="G132">
        <v>0</v>
      </c>
      <c r="H132">
        <v>1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193</v>
      </c>
      <c r="B133" t="s">
        <v>3549</v>
      </c>
      <c r="C133">
        <f>"804981"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193</v>
      </c>
      <c r="B134" t="s">
        <v>3548</v>
      </c>
      <c r="C134">
        <f>"804929"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193</v>
      </c>
      <c r="B135" t="s">
        <v>3863</v>
      </c>
      <c r="C135">
        <f>"2GA32312"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193</v>
      </c>
      <c r="B136" t="s">
        <v>3864</v>
      </c>
      <c r="C136">
        <f>"564943A"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193</v>
      </c>
      <c r="B137" t="s">
        <v>4283</v>
      </c>
      <c r="C137">
        <f>"564899"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193</v>
      </c>
      <c r="B138" t="s">
        <v>4284</v>
      </c>
      <c r="C138">
        <f>"2GA329"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193</v>
      </c>
      <c r="B139" t="s">
        <v>4248</v>
      </c>
      <c r="C139">
        <f>"2GA3323"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193</v>
      </c>
      <c r="B140" t="s">
        <v>4250</v>
      </c>
      <c r="C140">
        <f>"563656A"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193</v>
      </c>
      <c r="B141" t="s">
        <v>1280</v>
      </c>
      <c r="C141">
        <f>"564882"</f>
        <v>0</v>
      </c>
      <c r="D141">
        <v>0</v>
      </c>
      <c r="E141">
        <v>1</v>
      </c>
      <c r="F141">
        <v>0</v>
      </c>
      <c r="G141">
        <v>0</v>
      </c>
      <c r="H141">
        <v>1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193</v>
      </c>
      <c r="B142" t="s">
        <v>4299</v>
      </c>
      <c r="C142">
        <f>"2GA338"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193</v>
      </c>
      <c r="B143" t="s">
        <v>4300</v>
      </c>
      <c r="C143">
        <f>"563649"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193</v>
      </c>
      <c r="B144" t="s">
        <v>4298</v>
      </c>
      <c r="C144">
        <f>"563823"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193</v>
      </c>
      <c r="B145" t="s">
        <v>4282</v>
      </c>
      <c r="C145">
        <f>"564912"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193</v>
      </c>
      <c r="B146" t="s">
        <v>4301</v>
      </c>
      <c r="C146">
        <f>"2GA3255"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193</v>
      </c>
      <c r="B147" t="s">
        <v>4302</v>
      </c>
      <c r="C147">
        <f>"564837"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193</v>
      </c>
      <c r="B148" t="s">
        <v>4304</v>
      </c>
      <c r="C148">
        <f>"1558207072190"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193</v>
      </c>
      <c r="B149" t="s">
        <v>1279</v>
      </c>
      <c r="C149">
        <f>"2GA335"</f>
        <v>0</v>
      </c>
      <c r="D149">
        <v>0</v>
      </c>
      <c r="E149">
        <v>1</v>
      </c>
      <c r="F149">
        <v>0</v>
      </c>
      <c r="G149">
        <v>0</v>
      </c>
      <c r="H149">
        <v>1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193</v>
      </c>
      <c r="B150" t="s">
        <v>4305</v>
      </c>
      <c r="C150">
        <f>"2GA3341"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193</v>
      </c>
      <c r="B151" t="s">
        <v>3700</v>
      </c>
      <c r="C151">
        <f>"804943"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193</v>
      </c>
      <c r="B152" t="s">
        <v>1149</v>
      </c>
      <c r="C152">
        <f>"770949"</f>
        <v>0</v>
      </c>
      <c r="D152">
        <v>1</v>
      </c>
      <c r="E152">
        <v>0</v>
      </c>
      <c r="F152">
        <v>0</v>
      </c>
      <c r="G152">
        <v>0</v>
      </c>
      <c r="H152">
        <v>1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193</v>
      </c>
      <c r="B153" t="s">
        <v>6044</v>
      </c>
      <c r="C153">
        <f>"1PA106"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193</v>
      </c>
      <c r="B154" t="s">
        <v>5734</v>
      </c>
      <c r="C154">
        <f>"1GA73090"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193</v>
      </c>
      <c r="B155" t="s">
        <v>635</v>
      </c>
      <c r="C155">
        <f>"2GA337"</f>
        <v>0</v>
      </c>
      <c r="D155">
        <v>8</v>
      </c>
      <c r="E155">
        <v>0</v>
      </c>
      <c r="F155">
        <v>0</v>
      </c>
      <c r="G155">
        <v>0</v>
      </c>
      <c r="H155">
        <v>8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193</v>
      </c>
      <c r="B156" t="s">
        <v>4449</v>
      </c>
      <c r="C156">
        <f>"564431"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193</v>
      </c>
      <c r="B157" t="s">
        <v>2134</v>
      </c>
      <c r="C157">
        <f>"564370"</f>
        <v>0</v>
      </c>
      <c r="D157">
        <v>1</v>
      </c>
      <c r="E157">
        <v>0</v>
      </c>
      <c r="F157">
        <v>2</v>
      </c>
      <c r="G157">
        <v>0</v>
      </c>
      <c r="H157">
        <v>3</v>
      </c>
      <c r="I157">
        <v>0.5</v>
      </c>
      <c r="J157">
        <v>1</v>
      </c>
      <c r="K157">
        <v>31.141</v>
      </c>
      <c r="L157" s="2">
        <v>31</v>
      </c>
      <c r="M157">
        <v>0</v>
      </c>
      <c r="N157" s="2">
        <v>0</v>
      </c>
      <c r="O157">
        <v>-0.7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193</v>
      </c>
      <c r="B158" t="s">
        <v>1640</v>
      </c>
      <c r="C158">
        <f>"387927"</f>
        <v>0</v>
      </c>
      <c r="D158">
        <v>0</v>
      </c>
      <c r="E158">
        <v>0</v>
      </c>
      <c r="F158">
        <v>6</v>
      </c>
      <c r="G158">
        <v>0</v>
      </c>
      <c r="H158">
        <v>6</v>
      </c>
      <c r="I158">
        <v>0</v>
      </c>
      <c r="J158">
        <v>1</v>
      </c>
      <c r="K158">
        <v>4.462</v>
      </c>
      <c r="L158" s="2">
        <v>4</v>
      </c>
      <c r="M158">
        <v>0</v>
      </c>
      <c r="N158" s="2">
        <v>0</v>
      </c>
      <c r="O158">
        <v>-1.2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193</v>
      </c>
      <c r="B159" t="s">
        <v>9972</v>
      </c>
      <c r="C159">
        <f>"300810"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1</v>
      </c>
      <c r="K159">
        <v>871</v>
      </c>
      <c r="L159" s="2">
        <v>871</v>
      </c>
      <c r="M159">
        <v>0</v>
      </c>
      <c r="N159" s="2">
        <v>0</v>
      </c>
      <c r="O159">
        <v>-1.2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193</v>
      </c>
      <c r="B160" t="s">
        <v>4249</v>
      </c>
      <c r="C160">
        <f>"2GA3321"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1</v>
      </c>
      <c r="K160">
        <v>10.261</v>
      </c>
      <c r="L160" s="2">
        <v>10</v>
      </c>
      <c r="M160">
        <v>0</v>
      </c>
      <c r="N160" s="2">
        <v>0</v>
      </c>
      <c r="O160">
        <v>-1.2</v>
      </c>
      <c r="P160" t="s">
        <v>100</v>
      </c>
      <c r="Q160">
        <v>0</v>
      </c>
      <c r="R160" t="s">
        <v>145</v>
      </c>
      <c r="S160">
        <v>0</v>
      </c>
    </row>
    <row r="161" spans="1:19">
      <c r="A161" t="s">
        <v>193</v>
      </c>
      <c r="B161" t="s">
        <v>4303</v>
      </c>
      <c r="C161">
        <f>"564820"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1</v>
      </c>
      <c r="K161">
        <v>34.885</v>
      </c>
      <c r="L161" s="2">
        <v>35</v>
      </c>
      <c r="M161">
        <v>0</v>
      </c>
      <c r="N161" s="2">
        <v>0</v>
      </c>
      <c r="O161">
        <v>-1.2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193</v>
      </c>
      <c r="B162" t="s">
        <v>1972</v>
      </c>
      <c r="C162">
        <f>"564950"</f>
        <v>0</v>
      </c>
      <c r="D162">
        <v>2</v>
      </c>
      <c r="E162">
        <v>2</v>
      </c>
      <c r="F162">
        <v>0</v>
      </c>
      <c r="G162">
        <v>0</v>
      </c>
      <c r="H162">
        <v>4</v>
      </c>
      <c r="I162">
        <v>1</v>
      </c>
      <c r="J162">
        <v>2</v>
      </c>
      <c r="K162">
        <v>10.902</v>
      </c>
      <c r="L162" s="2">
        <v>5</v>
      </c>
      <c r="M162">
        <v>0</v>
      </c>
      <c r="N162" s="2">
        <v>0</v>
      </c>
      <c r="O162">
        <v>-1.4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193</v>
      </c>
      <c r="B163" t="s">
        <v>1546</v>
      </c>
      <c r="C163">
        <f>"300926"</f>
        <v>0</v>
      </c>
      <c r="D163">
        <v>2</v>
      </c>
      <c r="E163">
        <v>7</v>
      </c>
      <c r="F163">
        <v>24</v>
      </c>
      <c r="G163">
        <v>0</v>
      </c>
      <c r="H163">
        <v>33</v>
      </c>
      <c r="I163">
        <v>4.5</v>
      </c>
      <c r="J163">
        <v>5</v>
      </c>
      <c r="K163">
        <v>3.028</v>
      </c>
      <c r="L163" s="2">
        <v>1</v>
      </c>
      <c r="M163">
        <v>0</v>
      </c>
      <c r="N163" s="2">
        <v>0</v>
      </c>
      <c r="O163">
        <v>-1.5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193</v>
      </c>
      <c r="B164" t="s">
        <v>1765</v>
      </c>
      <c r="C164">
        <f>"671663"</f>
        <v>0</v>
      </c>
      <c r="D164">
        <v>7</v>
      </c>
      <c r="E164">
        <v>2</v>
      </c>
      <c r="F164">
        <v>3</v>
      </c>
      <c r="G164">
        <v>0</v>
      </c>
      <c r="H164">
        <v>12</v>
      </c>
      <c r="I164">
        <v>2.5</v>
      </c>
      <c r="J164">
        <v>4</v>
      </c>
      <c r="K164">
        <v>8.552</v>
      </c>
      <c r="L164" s="2">
        <v>2</v>
      </c>
      <c r="M164">
        <v>0</v>
      </c>
      <c r="N164" s="2">
        <v>0</v>
      </c>
      <c r="O164">
        <v>-2.3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193</v>
      </c>
      <c r="B165" t="s">
        <v>4247</v>
      </c>
      <c r="C165">
        <f>"564127"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2</v>
      </c>
      <c r="K165">
        <v>21.106</v>
      </c>
      <c r="L165" s="2">
        <v>11</v>
      </c>
      <c r="M165">
        <v>0</v>
      </c>
      <c r="N165" s="2">
        <v>0</v>
      </c>
      <c r="O165">
        <v>-2.4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193</v>
      </c>
      <c r="B166" t="s">
        <v>10161</v>
      </c>
      <c r="C166">
        <f>"G150150"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2</v>
      </c>
      <c r="K166">
        <v>0</v>
      </c>
      <c r="L166" s="2">
        <v>0</v>
      </c>
      <c r="M166">
        <v>0</v>
      </c>
      <c r="N166" s="2">
        <v>0</v>
      </c>
      <c r="O166">
        <v>-2.4</v>
      </c>
      <c r="P166" t="s">
        <v>100</v>
      </c>
      <c r="Q166">
        <v>0</v>
      </c>
      <c r="R166" t="s">
        <v>145</v>
      </c>
      <c r="S166">
        <v>0</v>
      </c>
    </row>
    <row r="167" spans="1:19">
      <c r="A167" t="s">
        <v>193</v>
      </c>
      <c r="B167" t="s">
        <v>7283</v>
      </c>
      <c r="C167">
        <f>"5651933"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2</v>
      </c>
      <c r="K167">
        <v>11.97</v>
      </c>
      <c r="L167" s="2">
        <v>6</v>
      </c>
      <c r="M167">
        <v>0</v>
      </c>
      <c r="N167" s="2">
        <v>0</v>
      </c>
      <c r="O167">
        <v>-2.4</v>
      </c>
      <c r="P167" t="s">
        <v>100</v>
      </c>
      <c r="Q167">
        <v>0</v>
      </c>
      <c r="R167" t="s">
        <v>145</v>
      </c>
      <c r="S167">
        <v>0</v>
      </c>
    </row>
    <row r="168" spans="1:19">
      <c r="A168" t="s">
        <v>193</v>
      </c>
      <c r="B168" t="s">
        <v>6953</v>
      </c>
      <c r="C168">
        <f>"565230"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3</v>
      </c>
      <c r="K168">
        <v>85.797</v>
      </c>
      <c r="L168" s="2">
        <v>29</v>
      </c>
      <c r="M168">
        <v>0</v>
      </c>
      <c r="N168" s="2">
        <v>0</v>
      </c>
      <c r="O168">
        <v>-3.6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193</v>
      </c>
      <c r="B169" t="s">
        <v>2172</v>
      </c>
      <c r="C169">
        <f>"564172"</f>
        <v>0</v>
      </c>
      <c r="D169">
        <v>1</v>
      </c>
      <c r="E169">
        <v>0</v>
      </c>
      <c r="F169">
        <v>1</v>
      </c>
      <c r="G169">
        <v>0</v>
      </c>
      <c r="H169">
        <v>2</v>
      </c>
      <c r="I169">
        <v>0.5</v>
      </c>
      <c r="J169">
        <v>5</v>
      </c>
      <c r="K169">
        <v>120.535</v>
      </c>
      <c r="L169" s="2">
        <v>24</v>
      </c>
      <c r="M169">
        <v>0</v>
      </c>
      <c r="N169" s="2">
        <v>0</v>
      </c>
      <c r="O169">
        <v>-5.5</v>
      </c>
      <c r="P169" t="s">
        <v>100</v>
      </c>
      <c r="Q169">
        <v>0</v>
      </c>
      <c r="R169" t="s">
        <v>145</v>
      </c>
      <c r="S169">
        <v>0</v>
      </c>
    </row>
    <row r="170" spans="1:19">
      <c r="A170" t="s">
        <v>193</v>
      </c>
      <c r="B170" t="s">
        <v>1854</v>
      </c>
      <c r="C170">
        <f>"670154"</f>
        <v>0</v>
      </c>
      <c r="D170">
        <v>0</v>
      </c>
      <c r="E170">
        <v>3</v>
      </c>
      <c r="F170">
        <v>4</v>
      </c>
      <c r="G170">
        <v>0</v>
      </c>
      <c r="H170">
        <v>7</v>
      </c>
      <c r="I170">
        <v>1.5</v>
      </c>
      <c r="J170">
        <v>8</v>
      </c>
      <c r="K170">
        <v>16.8</v>
      </c>
      <c r="L170" s="2">
        <v>2</v>
      </c>
      <c r="M170">
        <v>0</v>
      </c>
      <c r="N170" s="2">
        <v>0</v>
      </c>
      <c r="O170">
        <v>-8.1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193</v>
      </c>
      <c r="B171" t="s">
        <v>4285</v>
      </c>
      <c r="C171">
        <f>"564905"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7</v>
      </c>
      <c r="K171">
        <v>95.001</v>
      </c>
      <c r="L171" s="2">
        <v>14</v>
      </c>
      <c r="M171">
        <v>0</v>
      </c>
      <c r="N171" s="2">
        <v>0</v>
      </c>
      <c r="O171">
        <v>-8.4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193</v>
      </c>
      <c r="B172" t="s">
        <v>1919</v>
      </c>
      <c r="C172">
        <f>"672455"</f>
        <v>0</v>
      </c>
      <c r="D172">
        <v>0</v>
      </c>
      <c r="E172">
        <v>1</v>
      </c>
      <c r="F172">
        <v>4</v>
      </c>
      <c r="G172">
        <v>0</v>
      </c>
      <c r="H172">
        <v>5</v>
      </c>
      <c r="I172">
        <v>0.5</v>
      </c>
      <c r="J172">
        <v>9</v>
      </c>
      <c r="K172">
        <v>29.61</v>
      </c>
      <c r="L172" s="2">
        <v>3</v>
      </c>
      <c r="M172">
        <v>0</v>
      </c>
      <c r="N172" s="2">
        <v>0</v>
      </c>
      <c r="O172">
        <v>-10.3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193</v>
      </c>
      <c r="B173" t="s">
        <v>7126</v>
      </c>
      <c r="C173">
        <f>"803854"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13</v>
      </c>
      <c r="K173">
        <v>10</v>
      </c>
      <c r="L173" s="2">
        <v>1</v>
      </c>
      <c r="M173">
        <v>0</v>
      </c>
      <c r="N173" s="2">
        <v>0</v>
      </c>
      <c r="O173">
        <v>-15.6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193</v>
      </c>
      <c r="B174" t="s">
        <v>246</v>
      </c>
      <c r="C174">
        <f>"826020"</f>
        <v>0</v>
      </c>
      <c r="D174">
        <v>4</v>
      </c>
      <c r="E174">
        <v>3</v>
      </c>
      <c r="F174">
        <v>6</v>
      </c>
      <c r="G174">
        <v>2</v>
      </c>
      <c r="H174">
        <v>15</v>
      </c>
      <c r="I174">
        <v>3.5</v>
      </c>
      <c r="J174">
        <v>21</v>
      </c>
      <c r="K174">
        <v>40.38</v>
      </c>
      <c r="L174" s="2">
        <v>2</v>
      </c>
      <c r="M174">
        <v>0</v>
      </c>
      <c r="N174" s="2">
        <v>0</v>
      </c>
      <c r="O174">
        <v>-17.7</v>
      </c>
      <c r="P174" t="s">
        <v>10915</v>
      </c>
      <c r="Q174">
        <v>937</v>
      </c>
      <c r="R174" t="s">
        <v>10402</v>
      </c>
      <c r="S174">
        <v>0</v>
      </c>
    </row>
    <row r="175" spans="1:19">
      <c r="A175" t="s">
        <v>193</v>
      </c>
      <c r="B175" t="s">
        <v>3814</v>
      </c>
      <c r="C175">
        <f>"675296"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17</v>
      </c>
      <c r="K175">
        <v>49.096</v>
      </c>
      <c r="L175" s="2">
        <v>3</v>
      </c>
      <c r="M175">
        <v>0</v>
      </c>
      <c r="N175" s="2">
        <v>0</v>
      </c>
      <c r="O175">
        <v>-20.4</v>
      </c>
      <c r="P175" t="s">
        <v>100</v>
      </c>
      <c r="Q175">
        <v>0</v>
      </c>
      <c r="R175" t="s">
        <v>145</v>
      </c>
      <c r="S175">
        <v>0</v>
      </c>
    </row>
    <row r="176" spans="1:19">
      <c r="A176" t="s">
        <v>193</v>
      </c>
      <c r="B176" t="s">
        <v>1852</v>
      </c>
      <c r="C176">
        <f>"675142"</f>
        <v>0</v>
      </c>
      <c r="D176">
        <v>0</v>
      </c>
      <c r="E176">
        <v>4</v>
      </c>
      <c r="F176">
        <v>2</v>
      </c>
      <c r="G176">
        <v>1</v>
      </c>
      <c r="H176">
        <v>7</v>
      </c>
      <c r="I176">
        <v>1.5</v>
      </c>
      <c r="J176">
        <v>23</v>
      </c>
      <c r="K176">
        <v>39.123</v>
      </c>
      <c r="L176" s="2">
        <v>2</v>
      </c>
      <c r="M176">
        <v>0</v>
      </c>
      <c r="N176" s="2">
        <v>0</v>
      </c>
      <c r="O176">
        <v>-24.1</v>
      </c>
      <c r="P176" t="s">
        <v>10916</v>
      </c>
      <c r="Q176">
        <v>1.148</v>
      </c>
      <c r="R176" t="s">
        <v>10923</v>
      </c>
      <c r="S176">
        <v>0</v>
      </c>
    </row>
    <row r="177" spans="1:19">
      <c r="A177" t="s">
        <v>193</v>
      </c>
      <c r="B177" t="s">
        <v>8553</v>
      </c>
      <c r="C177">
        <f>"555676"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22</v>
      </c>
      <c r="K177">
        <v>33.638</v>
      </c>
      <c r="L177" s="2">
        <v>2</v>
      </c>
      <c r="M177">
        <v>0</v>
      </c>
      <c r="N177" s="2">
        <v>0</v>
      </c>
      <c r="O177">
        <v>-26.4</v>
      </c>
      <c r="P177" t="s">
        <v>100</v>
      </c>
      <c r="Q177">
        <v>0</v>
      </c>
      <c r="R177" t="s">
        <v>145</v>
      </c>
      <c r="S177">
        <v>0</v>
      </c>
    </row>
    <row r="178" spans="1:19">
      <c r="A178" t="s">
        <v>193</v>
      </c>
      <c r="B178" t="s">
        <v>1814</v>
      </c>
      <c r="C178">
        <f>"300889"</f>
        <v>0</v>
      </c>
      <c r="D178">
        <v>2</v>
      </c>
      <c r="E178">
        <v>6</v>
      </c>
      <c r="F178">
        <v>1</v>
      </c>
      <c r="G178">
        <v>0</v>
      </c>
      <c r="H178">
        <v>9</v>
      </c>
      <c r="I178">
        <v>1.5</v>
      </c>
      <c r="J178">
        <v>25</v>
      </c>
      <c r="K178">
        <v>15.174</v>
      </c>
      <c r="L178" s="2">
        <v>1</v>
      </c>
      <c r="M178">
        <v>0</v>
      </c>
      <c r="N178" s="2">
        <v>0</v>
      </c>
      <c r="O178">
        <v>-28.5</v>
      </c>
      <c r="P178" t="s">
        <v>100</v>
      </c>
      <c r="Q178">
        <v>0</v>
      </c>
      <c r="R178" t="s">
        <v>145</v>
      </c>
      <c r="S178">
        <v>0</v>
      </c>
    </row>
    <row r="179" spans="1:19">
      <c r="A179" t="s">
        <v>193</v>
      </c>
      <c r="B179" t="s">
        <v>2242</v>
      </c>
      <c r="C179">
        <f>"2GA321"</f>
        <v>0</v>
      </c>
      <c r="D179">
        <v>1</v>
      </c>
      <c r="E179">
        <v>0</v>
      </c>
      <c r="F179">
        <v>1</v>
      </c>
      <c r="G179">
        <v>0</v>
      </c>
      <c r="H179">
        <v>2</v>
      </c>
      <c r="I179">
        <v>0.5</v>
      </c>
      <c r="J179">
        <v>25</v>
      </c>
      <c r="K179">
        <v>594.675</v>
      </c>
      <c r="L179" s="2">
        <v>24</v>
      </c>
      <c r="M179">
        <v>0</v>
      </c>
      <c r="N179" s="2">
        <v>0</v>
      </c>
      <c r="O179">
        <v>-29.5</v>
      </c>
      <c r="P179" t="s">
        <v>100</v>
      </c>
      <c r="Q179">
        <v>0</v>
      </c>
      <c r="R179" t="s">
        <v>145</v>
      </c>
      <c r="S179">
        <v>0</v>
      </c>
    </row>
    <row r="180" spans="1:19">
      <c r="A180" t="s">
        <v>193</v>
      </c>
      <c r="B180" t="s">
        <v>413</v>
      </c>
      <c r="C180">
        <f>"826082"</f>
        <v>0</v>
      </c>
      <c r="D180">
        <v>7</v>
      </c>
      <c r="E180">
        <v>4</v>
      </c>
      <c r="F180">
        <v>10</v>
      </c>
      <c r="G180">
        <v>1</v>
      </c>
      <c r="H180">
        <v>22</v>
      </c>
      <c r="I180">
        <v>5.5</v>
      </c>
      <c r="J180">
        <v>32</v>
      </c>
      <c r="K180">
        <v>39.84</v>
      </c>
      <c r="L180" s="2">
        <v>1</v>
      </c>
      <c r="M180">
        <v>0</v>
      </c>
      <c r="N180" s="2">
        <v>0</v>
      </c>
      <c r="O180">
        <v>-30.9</v>
      </c>
      <c r="P180" t="s">
        <v>10317</v>
      </c>
      <c r="Q180">
        <v>343</v>
      </c>
      <c r="R180" t="s">
        <v>10924</v>
      </c>
      <c r="S180">
        <v>0</v>
      </c>
    </row>
    <row r="181" spans="1:19">
      <c r="A181" t="s">
        <v>193</v>
      </c>
      <c r="B181" t="s">
        <v>420</v>
      </c>
      <c r="C181">
        <f>"826105"</f>
        <v>0</v>
      </c>
      <c r="D181">
        <v>6</v>
      </c>
      <c r="E181">
        <v>3</v>
      </c>
      <c r="F181">
        <v>9</v>
      </c>
      <c r="G181">
        <v>1</v>
      </c>
      <c r="H181">
        <v>19</v>
      </c>
      <c r="I181">
        <v>4.5</v>
      </c>
      <c r="J181">
        <v>34</v>
      </c>
      <c r="K181">
        <v>42.33</v>
      </c>
      <c r="L181" s="2">
        <v>1</v>
      </c>
      <c r="M181">
        <v>0</v>
      </c>
      <c r="N181" s="2">
        <v>0</v>
      </c>
      <c r="O181">
        <v>-34.3</v>
      </c>
      <c r="P181" t="s">
        <v>10317</v>
      </c>
      <c r="Q181">
        <v>343</v>
      </c>
      <c r="R181" t="s">
        <v>10924</v>
      </c>
      <c r="S181">
        <v>0</v>
      </c>
    </row>
    <row r="182" spans="1:19">
      <c r="A182" t="s">
        <v>193</v>
      </c>
      <c r="B182" t="s">
        <v>1724</v>
      </c>
      <c r="C182">
        <f>"826129"</f>
        <v>0</v>
      </c>
      <c r="D182">
        <v>6</v>
      </c>
      <c r="E182">
        <v>1</v>
      </c>
      <c r="F182">
        <v>9</v>
      </c>
      <c r="G182">
        <v>0</v>
      </c>
      <c r="H182">
        <v>16</v>
      </c>
      <c r="I182">
        <v>3.5</v>
      </c>
      <c r="J182">
        <v>35</v>
      </c>
      <c r="K182">
        <v>43.575</v>
      </c>
      <c r="L182" s="2">
        <v>1</v>
      </c>
      <c r="M182">
        <v>0</v>
      </c>
      <c r="N182" s="2">
        <v>0</v>
      </c>
      <c r="O182">
        <v>-38.5</v>
      </c>
      <c r="P182" t="s">
        <v>100</v>
      </c>
      <c r="Q182">
        <v>0</v>
      </c>
      <c r="R182" t="s">
        <v>145</v>
      </c>
      <c r="S182">
        <v>0</v>
      </c>
    </row>
    <row r="183" spans="1:19">
      <c r="A183" t="s">
        <v>193</v>
      </c>
      <c r="B183" t="s">
        <v>2029</v>
      </c>
      <c r="C183">
        <f>"365282"</f>
        <v>0</v>
      </c>
      <c r="D183">
        <v>3</v>
      </c>
      <c r="E183">
        <v>1</v>
      </c>
      <c r="F183">
        <v>0</v>
      </c>
      <c r="G183">
        <v>0</v>
      </c>
      <c r="H183">
        <v>4</v>
      </c>
      <c r="I183">
        <v>0.5</v>
      </c>
      <c r="J183">
        <v>55</v>
      </c>
      <c r="K183">
        <v>84.095</v>
      </c>
      <c r="L183" s="2">
        <v>2</v>
      </c>
      <c r="M183">
        <v>0</v>
      </c>
      <c r="N183" s="2">
        <v>0</v>
      </c>
      <c r="O183">
        <v>-65.5</v>
      </c>
      <c r="P183" t="s">
        <v>100</v>
      </c>
      <c r="Q183">
        <v>0</v>
      </c>
      <c r="R183" t="s">
        <v>145</v>
      </c>
      <c r="S183">
        <v>0</v>
      </c>
    </row>
    <row r="184" spans="1:19">
      <c r="A184" t="s">
        <v>193</v>
      </c>
      <c r="B184" t="s">
        <v>1661</v>
      </c>
      <c r="C184">
        <f>"671656"</f>
        <v>0</v>
      </c>
      <c r="D184">
        <v>13</v>
      </c>
      <c r="E184">
        <v>5</v>
      </c>
      <c r="F184">
        <v>6</v>
      </c>
      <c r="G184">
        <v>0</v>
      </c>
      <c r="H184">
        <v>24</v>
      </c>
      <c r="I184">
        <v>5.5</v>
      </c>
      <c r="J184">
        <v>78</v>
      </c>
      <c r="K184">
        <v>67.236</v>
      </c>
      <c r="L184" s="2">
        <v>1</v>
      </c>
      <c r="M184">
        <v>0</v>
      </c>
      <c r="N184" s="2">
        <v>0</v>
      </c>
      <c r="O184">
        <v>-88.09999999999999</v>
      </c>
      <c r="P184" t="s">
        <v>100</v>
      </c>
      <c r="Q184">
        <v>0</v>
      </c>
      <c r="R184" t="s">
        <v>145</v>
      </c>
      <c r="S184">
        <v>0</v>
      </c>
    </row>
  </sheetData>
  <autoFilter ref="A2:S184"/>
  <hyperlinks>
    <hyperlink ref="A1" location="'ÍNDICE'!A1" display="⬅ Volver al índice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S6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203</v>
      </c>
      <c r="B3" t="s">
        <v>867</v>
      </c>
      <c r="C3">
        <f>"756226"</f>
        <v>0</v>
      </c>
      <c r="D3">
        <v>0</v>
      </c>
      <c r="E3">
        <v>0</v>
      </c>
      <c r="F3">
        <v>0</v>
      </c>
      <c r="G3">
        <v>3</v>
      </c>
      <c r="H3">
        <v>3</v>
      </c>
      <c r="I3">
        <v>0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9</v>
      </c>
      <c r="P3" t="s">
        <v>10926</v>
      </c>
      <c r="Q3">
        <v>1.942</v>
      </c>
      <c r="R3" t="s">
        <v>10928</v>
      </c>
      <c r="S3">
        <v>1</v>
      </c>
    </row>
    <row r="4" spans="1:19">
      <c r="A4" t="s">
        <v>203</v>
      </c>
      <c r="B4" t="s">
        <v>866</v>
      </c>
      <c r="C4">
        <f>"756256"</f>
        <v>0</v>
      </c>
      <c r="D4">
        <v>0</v>
      </c>
      <c r="E4">
        <v>0</v>
      </c>
      <c r="F4">
        <v>0</v>
      </c>
      <c r="G4">
        <v>3</v>
      </c>
      <c r="H4">
        <v>3</v>
      </c>
      <c r="I4">
        <v>0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9</v>
      </c>
      <c r="P4" t="s">
        <v>10926</v>
      </c>
      <c r="Q4">
        <v>1.942</v>
      </c>
      <c r="R4" t="s">
        <v>10928</v>
      </c>
      <c r="S4">
        <v>1</v>
      </c>
    </row>
    <row r="5" spans="1:19">
      <c r="A5" t="s">
        <v>203</v>
      </c>
      <c r="B5" t="s">
        <v>395</v>
      </c>
      <c r="C5">
        <f>"756166"</f>
        <v>0</v>
      </c>
      <c r="D5">
        <v>5</v>
      </c>
      <c r="E5">
        <v>0</v>
      </c>
      <c r="F5">
        <v>0</v>
      </c>
      <c r="G5">
        <v>1</v>
      </c>
      <c r="H5">
        <v>6</v>
      </c>
      <c r="I5">
        <v>0.5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5.5</v>
      </c>
      <c r="P5" t="s">
        <v>10927</v>
      </c>
      <c r="Q5">
        <v>159</v>
      </c>
      <c r="R5" t="s">
        <v>10929</v>
      </c>
      <c r="S5">
        <v>1</v>
      </c>
    </row>
    <row r="6" spans="1:19">
      <c r="A6" t="s">
        <v>203</v>
      </c>
      <c r="B6" t="s">
        <v>1544</v>
      </c>
      <c r="C6">
        <f>"756415"</f>
        <v>0</v>
      </c>
      <c r="D6">
        <v>4</v>
      </c>
      <c r="E6">
        <v>5</v>
      </c>
      <c r="F6">
        <v>4</v>
      </c>
      <c r="G6">
        <v>0</v>
      </c>
      <c r="H6">
        <v>13</v>
      </c>
      <c r="I6">
        <v>4</v>
      </c>
      <c r="J6">
        <v>1</v>
      </c>
      <c r="K6">
        <v>1.882</v>
      </c>
      <c r="L6" s="2">
        <v>2</v>
      </c>
      <c r="M6">
        <v>3</v>
      </c>
      <c r="N6" s="2">
        <v>6</v>
      </c>
      <c r="O6">
        <v>2.8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203</v>
      </c>
      <c r="B7" t="s">
        <v>718</v>
      </c>
      <c r="C7">
        <f>"756146"</f>
        <v>0</v>
      </c>
      <c r="D7">
        <v>2</v>
      </c>
      <c r="E7">
        <v>4</v>
      </c>
      <c r="F7">
        <v>0</v>
      </c>
      <c r="G7">
        <v>0</v>
      </c>
      <c r="H7">
        <v>6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203</v>
      </c>
      <c r="B8" t="s">
        <v>1112</v>
      </c>
      <c r="C8">
        <f>"757925"</f>
        <v>0</v>
      </c>
      <c r="D8">
        <v>0</v>
      </c>
      <c r="E8">
        <v>1</v>
      </c>
      <c r="F8">
        <v>1</v>
      </c>
      <c r="G8">
        <v>0</v>
      </c>
      <c r="H8">
        <v>2</v>
      </c>
      <c r="I8">
        <v>0.5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0.5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203</v>
      </c>
      <c r="B9" t="s">
        <v>1103</v>
      </c>
      <c r="C9">
        <f>"754015"</f>
        <v>0</v>
      </c>
      <c r="D9">
        <v>1</v>
      </c>
      <c r="E9">
        <v>1</v>
      </c>
      <c r="F9">
        <v>0</v>
      </c>
      <c r="G9">
        <v>0</v>
      </c>
      <c r="H9">
        <v>2</v>
      </c>
      <c r="I9">
        <v>0.5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0.5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203</v>
      </c>
      <c r="B10" t="s">
        <v>6237</v>
      </c>
      <c r="C10">
        <f>"554705"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203</v>
      </c>
      <c r="B11" t="s">
        <v>6064</v>
      </c>
      <c r="C11">
        <f>"553325"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203</v>
      </c>
      <c r="B12" t="s">
        <v>6239</v>
      </c>
      <c r="C12">
        <f>"554625"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203</v>
      </c>
      <c r="B13" t="s">
        <v>6238</v>
      </c>
      <c r="C13">
        <f>"556225"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203</v>
      </c>
      <c r="B14" t="s">
        <v>8806</v>
      </c>
      <c r="C14">
        <f>"758815"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203</v>
      </c>
      <c r="B15" t="s">
        <v>6385</v>
      </c>
      <c r="C15">
        <f>"513135"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203</v>
      </c>
      <c r="B16" t="s">
        <v>6384</v>
      </c>
      <c r="C16">
        <f>"513145"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203</v>
      </c>
      <c r="B17" t="s">
        <v>6398</v>
      </c>
      <c r="C17">
        <f>"513255"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203</v>
      </c>
      <c r="B18" t="s">
        <v>6382</v>
      </c>
      <c r="C18">
        <f>"512145"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203</v>
      </c>
      <c r="B19" t="s">
        <v>6381</v>
      </c>
      <c r="C19">
        <f>"553005"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203</v>
      </c>
      <c r="B20" t="s">
        <v>6268</v>
      </c>
      <c r="C20">
        <f>"553015"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203</v>
      </c>
      <c r="B21" t="s">
        <v>1051</v>
      </c>
      <c r="C21">
        <f>"758325"</f>
        <v>0</v>
      </c>
      <c r="D21">
        <v>0</v>
      </c>
      <c r="E21">
        <v>2</v>
      </c>
      <c r="F21">
        <v>0</v>
      </c>
      <c r="G21">
        <v>0</v>
      </c>
      <c r="H21">
        <v>2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203</v>
      </c>
      <c r="B22" t="s">
        <v>1224</v>
      </c>
      <c r="C22">
        <f>"753815"</f>
        <v>0</v>
      </c>
      <c r="D22">
        <v>1</v>
      </c>
      <c r="E22">
        <v>0</v>
      </c>
      <c r="F22">
        <v>0</v>
      </c>
      <c r="G22">
        <v>0</v>
      </c>
      <c r="H22">
        <v>1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203</v>
      </c>
      <c r="B23" t="s">
        <v>6236</v>
      </c>
      <c r="C23">
        <f>"554725"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203</v>
      </c>
      <c r="B24" t="s">
        <v>6235</v>
      </c>
      <c r="C24">
        <f>"554905"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203</v>
      </c>
      <c r="B25" t="s">
        <v>6234</v>
      </c>
      <c r="C25">
        <f>"554925"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203</v>
      </c>
      <c r="B26" t="s">
        <v>6233</v>
      </c>
      <c r="C26">
        <f>"554915"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203</v>
      </c>
      <c r="B27" t="s">
        <v>6232</v>
      </c>
      <c r="C27">
        <f>"553715"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203</v>
      </c>
      <c r="B28" t="s">
        <v>6231</v>
      </c>
      <c r="C28">
        <f>"554525"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203</v>
      </c>
      <c r="B29" t="s">
        <v>6386</v>
      </c>
      <c r="C29">
        <f>"513125"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203</v>
      </c>
      <c r="B30" t="s">
        <v>8972</v>
      </c>
      <c r="C30">
        <f>"756445"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203</v>
      </c>
      <c r="B31" t="s">
        <v>8973</v>
      </c>
      <c r="C31">
        <f>"756455"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203</v>
      </c>
      <c r="B32" t="s">
        <v>716</v>
      </c>
      <c r="C32">
        <f>"756126"</f>
        <v>0</v>
      </c>
      <c r="D32">
        <v>6</v>
      </c>
      <c r="E32">
        <v>0</v>
      </c>
      <c r="F32">
        <v>0</v>
      </c>
      <c r="G32">
        <v>0</v>
      </c>
      <c r="H32">
        <v>6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203</v>
      </c>
      <c r="B33" t="s">
        <v>986</v>
      </c>
      <c r="C33">
        <f>"756266"</f>
        <v>0</v>
      </c>
      <c r="D33">
        <v>2</v>
      </c>
      <c r="E33">
        <v>0</v>
      </c>
      <c r="F33">
        <v>0</v>
      </c>
      <c r="G33">
        <v>0</v>
      </c>
      <c r="H33">
        <v>2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203</v>
      </c>
      <c r="B34" t="s">
        <v>888</v>
      </c>
      <c r="C34">
        <f>"756216"</f>
        <v>0</v>
      </c>
      <c r="D34">
        <v>3</v>
      </c>
      <c r="E34">
        <v>0</v>
      </c>
      <c r="F34">
        <v>0</v>
      </c>
      <c r="G34">
        <v>0</v>
      </c>
      <c r="H34">
        <v>3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203</v>
      </c>
      <c r="B35" t="s">
        <v>8820</v>
      </c>
      <c r="C35">
        <f>"758725"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203</v>
      </c>
      <c r="B36" t="s">
        <v>8974</v>
      </c>
      <c r="C36">
        <f>"758515"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203</v>
      </c>
      <c r="B37" t="s">
        <v>8805</v>
      </c>
      <c r="C37">
        <f>"758315"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203</v>
      </c>
      <c r="B38" t="s">
        <v>8963</v>
      </c>
      <c r="C38">
        <f>"758025"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203</v>
      </c>
      <c r="B39" t="s">
        <v>8964</v>
      </c>
      <c r="C39">
        <f>"758015"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203</v>
      </c>
      <c r="B40" t="s">
        <v>6444</v>
      </c>
      <c r="C40">
        <f>"756615"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203</v>
      </c>
      <c r="B41" t="s">
        <v>8965</v>
      </c>
      <c r="C41">
        <f>"756625"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203</v>
      </c>
      <c r="B42" t="s">
        <v>1156</v>
      </c>
      <c r="C42">
        <f>"753015"</f>
        <v>0</v>
      </c>
      <c r="D42">
        <v>0</v>
      </c>
      <c r="E42">
        <v>1</v>
      </c>
      <c r="F42">
        <v>0</v>
      </c>
      <c r="G42">
        <v>0</v>
      </c>
      <c r="H42">
        <v>1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203</v>
      </c>
      <c r="B43" t="s">
        <v>8804</v>
      </c>
      <c r="C43">
        <f>"758915"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203</v>
      </c>
      <c r="B44" t="s">
        <v>8803</v>
      </c>
      <c r="C44">
        <f>"758925"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203</v>
      </c>
      <c r="B45" t="s">
        <v>8967</v>
      </c>
      <c r="C45">
        <f>"756605"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203</v>
      </c>
      <c r="B46" t="s">
        <v>597</v>
      </c>
      <c r="C46">
        <f>"756156"</f>
        <v>0</v>
      </c>
      <c r="D46">
        <v>10</v>
      </c>
      <c r="E46">
        <v>0</v>
      </c>
      <c r="F46">
        <v>0</v>
      </c>
      <c r="G46">
        <v>0</v>
      </c>
      <c r="H46">
        <v>10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203</v>
      </c>
      <c r="B47" t="s">
        <v>889</v>
      </c>
      <c r="C47">
        <f>"756236"</f>
        <v>0</v>
      </c>
      <c r="D47">
        <v>3</v>
      </c>
      <c r="E47">
        <v>0</v>
      </c>
      <c r="F47">
        <v>0</v>
      </c>
      <c r="G47">
        <v>0</v>
      </c>
      <c r="H47">
        <v>3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203</v>
      </c>
      <c r="B48" t="s">
        <v>848</v>
      </c>
      <c r="C48">
        <f>"756246"</f>
        <v>0</v>
      </c>
      <c r="D48">
        <v>4</v>
      </c>
      <c r="E48">
        <v>0</v>
      </c>
      <c r="F48">
        <v>0</v>
      </c>
      <c r="G48">
        <v>0</v>
      </c>
      <c r="H48">
        <v>4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203</v>
      </c>
      <c r="B49" t="s">
        <v>9001</v>
      </c>
      <c r="C49">
        <f>"756206"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203</v>
      </c>
      <c r="B50" t="s">
        <v>707</v>
      </c>
      <c r="C50">
        <f>"756136"</f>
        <v>0</v>
      </c>
      <c r="D50">
        <v>6</v>
      </c>
      <c r="E50">
        <v>0</v>
      </c>
      <c r="F50">
        <v>0</v>
      </c>
      <c r="G50">
        <v>0</v>
      </c>
      <c r="H50">
        <v>6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203</v>
      </c>
      <c r="B51" t="s">
        <v>1642</v>
      </c>
      <c r="C51">
        <f>"756116"</f>
        <v>0</v>
      </c>
      <c r="D51">
        <v>5</v>
      </c>
      <c r="E51">
        <v>1</v>
      </c>
      <c r="F51">
        <v>0</v>
      </c>
      <c r="G51">
        <v>0</v>
      </c>
      <c r="H51">
        <v>6</v>
      </c>
      <c r="I51">
        <v>0.5</v>
      </c>
      <c r="J51">
        <v>1</v>
      </c>
      <c r="K51">
        <v>1.765</v>
      </c>
      <c r="L51" s="2">
        <v>2</v>
      </c>
      <c r="M51">
        <v>0</v>
      </c>
      <c r="N51" s="2">
        <v>0</v>
      </c>
      <c r="O51">
        <v>-0.7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203</v>
      </c>
      <c r="B52" t="s">
        <v>6387</v>
      </c>
      <c r="C52">
        <f>"512125"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</v>
      </c>
      <c r="K52">
        <v>3.059</v>
      </c>
      <c r="L52" s="2">
        <v>3</v>
      </c>
      <c r="M52">
        <v>0</v>
      </c>
      <c r="N52" s="2">
        <v>0</v>
      </c>
      <c r="O52">
        <v>-1.2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203</v>
      </c>
      <c r="B53" t="s">
        <v>9651</v>
      </c>
      <c r="C53">
        <f>"YT108868"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</v>
      </c>
      <c r="K53">
        <v>0</v>
      </c>
      <c r="L53" s="2">
        <v>0</v>
      </c>
      <c r="M53">
        <v>0</v>
      </c>
      <c r="N53" s="2">
        <v>0</v>
      </c>
      <c r="O53">
        <v>-1.2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203</v>
      </c>
      <c r="B54" t="s">
        <v>8968</v>
      </c>
      <c r="C54">
        <f>"758715"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</v>
      </c>
      <c r="K54">
        <v>17.353</v>
      </c>
      <c r="L54" s="2">
        <v>17</v>
      </c>
      <c r="M54">
        <v>0</v>
      </c>
      <c r="N54" s="2">
        <v>0</v>
      </c>
      <c r="O54">
        <v>-1.2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203</v>
      </c>
      <c r="B55" t="s">
        <v>2638</v>
      </c>
      <c r="C55">
        <f>"758825"</f>
        <v>0</v>
      </c>
      <c r="D55">
        <v>0</v>
      </c>
      <c r="E55">
        <v>0</v>
      </c>
      <c r="F55">
        <v>1</v>
      </c>
      <c r="G55">
        <v>0</v>
      </c>
      <c r="H55">
        <v>1</v>
      </c>
      <c r="I55">
        <v>0</v>
      </c>
      <c r="J55">
        <v>1</v>
      </c>
      <c r="K55">
        <v>42.941</v>
      </c>
      <c r="L55" s="2">
        <v>43</v>
      </c>
      <c r="M55">
        <v>0</v>
      </c>
      <c r="N55" s="2">
        <v>0</v>
      </c>
      <c r="O55">
        <v>-1.2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203</v>
      </c>
      <c r="B56" t="s">
        <v>2601</v>
      </c>
      <c r="C56">
        <f>"753315"</f>
        <v>0</v>
      </c>
      <c r="D56">
        <v>0</v>
      </c>
      <c r="E56">
        <v>1</v>
      </c>
      <c r="F56">
        <v>0</v>
      </c>
      <c r="G56">
        <v>0</v>
      </c>
      <c r="H56">
        <v>1</v>
      </c>
      <c r="I56">
        <v>0</v>
      </c>
      <c r="J56">
        <v>1</v>
      </c>
      <c r="K56">
        <v>14.558</v>
      </c>
      <c r="L56" s="2">
        <v>15</v>
      </c>
      <c r="M56">
        <v>0</v>
      </c>
      <c r="N56" s="2">
        <v>0</v>
      </c>
      <c r="O56">
        <v>-1.2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203</v>
      </c>
      <c r="B57" t="s">
        <v>2719</v>
      </c>
      <c r="C57">
        <f>"753915"</f>
        <v>0</v>
      </c>
      <c r="D57">
        <v>1</v>
      </c>
      <c r="E57">
        <v>0</v>
      </c>
      <c r="F57">
        <v>0</v>
      </c>
      <c r="G57">
        <v>0</v>
      </c>
      <c r="H57">
        <v>1</v>
      </c>
      <c r="I57">
        <v>0</v>
      </c>
      <c r="J57">
        <v>1</v>
      </c>
      <c r="K57">
        <v>16.176</v>
      </c>
      <c r="L57" s="2">
        <v>16</v>
      </c>
      <c r="M57">
        <v>0</v>
      </c>
      <c r="N57" s="2">
        <v>0</v>
      </c>
      <c r="O57">
        <v>-1.2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203</v>
      </c>
      <c r="B58" t="s">
        <v>1552</v>
      </c>
      <c r="C58">
        <f>"756435"</f>
        <v>0</v>
      </c>
      <c r="D58">
        <v>12</v>
      </c>
      <c r="E58">
        <v>0</v>
      </c>
      <c r="F58">
        <v>0</v>
      </c>
      <c r="G58">
        <v>0</v>
      </c>
      <c r="H58">
        <v>12</v>
      </c>
      <c r="I58">
        <v>0</v>
      </c>
      <c r="J58">
        <v>1</v>
      </c>
      <c r="K58">
        <v>1.882</v>
      </c>
      <c r="L58" s="2">
        <v>2</v>
      </c>
      <c r="M58">
        <v>0</v>
      </c>
      <c r="N58" s="2">
        <v>0</v>
      </c>
      <c r="O58">
        <v>-1.2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203</v>
      </c>
      <c r="B59" t="s">
        <v>1968</v>
      </c>
      <c r="C59">
        <f>"756106"</f>
        <v>0</v>
      </c>
      <c r="D59">
        <v>4</v>
      </c>
      <c r="E59">
        <v>0</v>
      </c>
      <c r="F59">
        <v>0</v>
      </c>
      <c r="G59">
        <v>0</v>
      </c>
      <c r="H59">
        <v>4</v>
      </c>
      <c r="I59">
        <v>0</v>
      </c>
      <c r="J59">
        <v>1</v>
      </c>
      <c r="K59">
        <v>1.765</v>
      </c>
      <c r="L59" s="2">
        <v>2</v>
      </c>
      <c r="M59">
        <v>0</v>
      </c>
      <c r="N59" s="2">
        <v>0</v>
      </c>
      <c r="O59">
        <v>-1.2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203</v>
      </c>
      <c r="B60" t="s">
        <v>3420</v>
      </c>
      <c r="C60">
        <f>"PIPILAV"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</v>
      </c>
      <c r="K60">
        <v>0</v>
      </c>
      <c r="L60" s="2">
        <v>0</v>
      </c>
      <c r="M60">
        <v>0</v>
      </c>
      <c r="N60" s="2">
        <v>0</v>
      </c>
      <c r="O60">
        <v>-1.2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203</v>
      </c>
      <c r="B61" t="s">
        <v>8821</v>
      </c>
      <c r="C61">
        <f>"758525"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98.824</v>
      </c>
      <c r="L61" s="2">
        <v>49</v>
      </c>
      <c r="M61">
        <v>0</v>
      </c>
      <c r="N61" s="2">
        <v>0</v>
      </c>
      <c r="O61">
        <v>-2.4</v>
      </c>
      <c r="P61" t="s">
        <v>100</v>
      </c>
      <c r="Q61">
        <v>0</v>
      </c>
      <c r="R61" t="s">
        <v>145</v>
      </c>
      <c r="S61">
        <v>0</v>
      </c>
    </row>
  </sheetData>
  <autoFilter ref="A2:S61"/>
  <hyperlinks>
    <hyperlink ref="A1" location="'ÍNDICE'!A1" display="⬅ Volver al índice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S3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1.7109375" customWidth="1"/>
    <col min="3" max="3" width="2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207</v>
      </c>
      <c r="B3" t="s">
        <v>548</v>
      </c>
      <c r="C3">
        <f>"KF6012"</f>
        <v>0</v>
      </c>
      <c r="D3">
        <v>5</v>
      </c>
      <c r="E3">
        <v>1</v>
      </c>
      <c r="F3">
        <v>0</v>
      </c>
      <c r="G3">
        <v>2</v>
      </c>
      <c r="H3">
        <v>8</v>
      </c>
      <c r="I3">
        <v>1.5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8.5</v>
      </c>
      <c r="P3" t="s">
        <v>10931</v>
      </c>
      <c r="Q3">
        <v>17.998</v>
      </c>
      <c r="R3" t="s">
        <v>10933</v>
      </c>
      <c r="S3">
        <v>1</v>
      </c>
    </row>
    <row r="4" spans="1:19">
      <c r="A4" t="s">
        <v>207</v>
      </c>
      <c r="B4" t="s">
        <v>678</v>
      </c>
      <c r="C4">
        <f>"C300501"</f>
        <v>0</v>
      </c>
      <c r="D4">
        <v>1</v>
      </c>
      <c r="E4">
        <v>0</v>
      </c>
      <c r="F4">
        <v>2</v>
      </c>
      <c r="G4">
        <v>1</v>
      </c>
      <c r="H4">
        <v>4</v>
      </c>
      <c r="I4">
        <v>1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3</v>
      </c>
      <c r="P4" t="s">
        <v>10932</v>
      </c>
      <c r="Q4">
        <v>11.008</v>
      </c>
      <c r="R4" t="s">
        <v>10934</v>
      </c>
      <c r="S4">
        <v>0</v>
      </c>
    </row>
    <row r="5" spans="1:19">
      <c r="A5" t="s">
        <v>207</v>
      </c>
      <c r="B5" t="s">
        <v>714</v>
      </c>
      <c r="C5">
        <f>"JT002M"</f>
        <v>0</v>
      </c>
      <c r="D5">
        <v>4</v>
      </c>
      <c r="E5">
        <v>2</v>
      </c>
      <c r="F5">
        <v>0</v>
      </c>
      <c r="G5">
        <v>0</v>
      </c>
      <c r="H5">
        <v>6</v>
      </c>
      <c r="I5">
        <v>1</v>
      </c>
      <c r="J5">
        <v>0</v>
      </c>
      <c r="K5">
        <v>0</v>
      </c>
      <c r="L5" s="2">
        <v>0</v>
      </c>
      <c r="M5">
        <v>1</v>
      </c>
      <c r="N5" s="2">
        <v>0</v>
      </c>
      <c r="O5">
        <v>1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207</v>
      </c>
      <c r="B6" t="s">
        <v>7132</v>
      </c>
      <c r="C6">
        <f>"CENANO"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207</v>
      </c>
      <c r="B7" t="s">
        <v>7133</v>
      </c>
      <c r="C7">
        <f>"ENANO"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207</v>
      </c>
      <c r="B8" t="s">
        <v>7558</v>
      </c>
      <c r="C8">
        <f>"CATAVE"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207</v>
      </c>
      <c r="B9" t="s">
        <v>7793</v>
      </c>
      <c r="C9">
        <f>"CanarioAve"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207</v>
      </c>
      <c r="B10" t="s">
        <v>9815</v>
      </c>
      <c r="C10">
        <f>"HAMSTERC"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207</v>
      </c>
      <c r="B11" t="s">
        <v>9816</v>
      </c>
      <c r="C11">
        <f>"HAMSTERCH"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207</v>
      </c>
      <c r="B12" t="s">
        <v>8545</v>
      </c>
      <c r="C12">
        <f>"900085000113979"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207</v>
      </c>
      <c r="B13" t="s">
        <v>9800</v>
      </c>
      <c r="C13">
        <f>"HAMSTERR"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207</v>
      </c>
      <c r="B14" t="s">
        <v>9508</v>
      </c>
      <c r="C14">
        <f>"ERIZO"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207</v>
      </c>
      <c r="B15" t="s">
        <v>9529</v>
      </c>
      <c r="C15">
        <f>"ENANOOREJASCAIDAS"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207</v>
      </c>
      <c r="B16" t="s">
        <v>7135</v>
      </c>
      <c r="C16">
        <f>"C300502"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207</v>
      </c>
      <c r="B17" t="s">
        <v>6950</v>
      </c>
      <c r="C17">
        <f>"CUY"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207</v>
      </c>
      <c r="B18" t="s">
        <v>8543</v>
      </c>
      <c r="C18">
        <f>"900085000113838"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207</v>
      </c>
      <c r="B19" t="s">
        <v>8544</v>
      </c>
      <c r="C19">
        <f>"HPANDA"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207</v>
      </c>
      <c r="B20" t="s">
        <v>8728</v>
      </c>
      <c r="C20">
        <f>"AGFI"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207</v>
      </c>
      <c r="B21" t="s">
        <v>8574</v>
      </c>
      <c r="C21">
        <f>"INSEP"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207</v>
      </c>
      <c r="B22" t="s">
        <v>8727</v>
      </c>
      <c r="C22">
        <f>"AGPE"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207</v>
      </c>
      <c r="B23" t="s">
        <v>5908</v>
      </c>
      <c r="C23">
        <f>"2520021S"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</v>
      </c>
      <c r="K23">
        <v>1.431</v>
      </c>
      <c r="L23" s="2">
        <v>1</v>
      </c>
      <c r="M23">
        <v>0</v>
      </c>
      <c r="N23" s="2">
        <v>0</v>
      </c>
      <c r="O23">
        <v>-1.2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207</v>
      </c>
      <c r="B24" t="s">
        <v>5909</v>
      </c>
      <c r="C24">
        <f>"2520021M"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4.833</v>
      </c>
      <c r="L24" s="2">
        <v>2</v>
      </c>
      <c r="M24">
        <v>0</v>
      </c>
      <c r="N24" s="2">
        <v>0</v>
      </c>
      <c r="O24">
        <v>-3.6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207</v>
      </c>
      <c r="B25" t="s">
        <v>5536</v>
      </c>
      <c r="C25">
        <f>"KF8021A"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44.31</v>
      </c>
      <c r="L25" s="2">
        <v>15</v>
      </c>
      <c r="M25">
        <v>0</v>
      </c>
      <c r="N25" s="2">
        <v>0</v>
      </c>
      <c r="O25">
        <v>-3.6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207</v>
      </c>
      <c r="B26" t="s">
        <v>5659</v>
      </c>
      <c r="C26">
        <f>"1752261895267"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4.563</v>
      </c>
      <c r="L26" s="2">
        <v>2</v>
      </c>
      <c r="M26">
        <v>0</v>
      </c>
      <c r="N26" s="2">
        <v>0</v>
      </c>
      <c r="O26">
        <v>-3.6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207</v>
      </c>
      <c r="B27" t="s">
        <v>7693</v>
      </c>
      <c r="C27">
        <f>"DD01288M"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</v>
      </c>
      <c r="K27">
        <v>53.775</v>
      </c>
      <c r="L27" s="2">
        <v>11</v>
      </c>
      <c r="M27">
        <v>0</v>
      </c>
      <c r="N27" s="2">
        <v>0</v>
      </c>
      <c r="O27">
        <v>-6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207</v>
      </c>
      <c r="B28" t="s">
        <v>7020</v>
      </c>
      <c r="C28">
        <f>"B41206"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</v>
      </c>
      <c r="K28">
        <v>15.525</v>
      </c>
      <c r="L28" s="2">
        <v>3</v>
      </c>
      <c r="M28">
        <v>0</v>
      </c>
      <c r="N28" s="2">
        <v>0</v>
      </c>
      <c r="O28">
        <v>-6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207</v>
      </c>
      <c r="B29" t="s">
        <v>7692</v>
      </c>
      <c r="C29">
        <f>"1760206090276"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6</v>
      </c>
      <c r="K29">
        <v>48.33</v>
      </c>
      <c r="L29" s="2">
        <v>8</v>
      </c>
      <c r="M29">
        <v>0</v>
      </c>
      <c r="N29" s="2">
        <v>0</v>
      </c>
      <c r="O29">
        <v>-7.199999999999999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207</v>
      </c>
      <c r="B30" t="s">
        <v>7083</v>
      </c>
      <c r="C30">
        <f>"AL65220L"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9</v>
      </c>
      <c r="K30">
        <v>24.219</v>
      </c>
      <c r="L30" s="2">
        <v>3</v>
      </c>
      <c r="M30">
        <v>0</v>
      </c>
      <c r="N30" s="2">
        <v>0</v>
      </c>
      <c r="O30">
        <v>-10.8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207</v>
      </c>
      <c r="B31" t="s">
        <v>7082</v>
      </c>
      <c r="C31">
        <f>"AL65220M"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9</v>
      </c>
      <c r="K31">
        <v>22.275</v>
      </c>
      <c r="L31" s="2">
        <v>2</v>
      </c>
      <c r="M31">
        <v>0</v>
      </c>
      <c r="N31" s="2">
        <v>0</v>
      </c>
      <c r="O31">
        <v>-10.8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207</v>
      </c>
      <c r="B32" t="s">
        <v>5909</v>
      </c>
      <c r="C32">
        <f>"2520021L"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10</v>
      </c>
      <c r="K32">
        <v>22.05</v>
      </c>
      <c r="L32" s="2">
        <v>2</v>
      </c>
      <c r="M32">
        <v>0</v>
      </c>
      <c r="N32" s="2">
        <v>0</v>
      </c>
      <c r="O32">
        <v>-12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207</v>
      </c>
      <c r="B33" t="s">
        <v>5559</v>
      </c>
      <c r="C33">
        <f>"CAT001BE"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11</v>
      </c>
      <c r="K33">
        <v>199.43</v>
      </c>
      <c r="L33" s="2">
        <v>18</v>
      </c>
      <c r="M33">
        <v>0</v>
      </c>
      <c r="N33" s="2">
        <v>0</v>
      </c>
      <c r="O33">
        <v>-13.2</v>
      </c>
      <c r="P33" t="s">
        <v>100</v>
      </c>
      <c r="Q33">
        <v>0</v>
      </c>
      <c r="R33" t="s">
        <v>145</v>
      </c>
      <c r="S33">
        <v>0</v>
      </c>
    </row>
  </sheetData>
  <autoFilter ref="A2:S33"/>
  <hyperlinks>
    <hyperlink ref="A1" location="'ÍNDICE'!A1" display="⬅ Volver al índice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S1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226</v>
      </c>
      <c r="B3" t="s">
        <v>3699</v>
      </c>
      <c r="C3">
        <f>"ABJP15KG"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226</v>
      </c>
      <c r="B4" t="s">
        <v>3698</v>
      </c>
      <c r="C4">
        <f>"APP15KG"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226</v>
      </c>
      <c r="B5" t="s">
        <v>3697</v>
      </c>
      <c r="C5">
        <f>"ARPP15KG"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226</v>
      </c>
      <c r="B6" t="s">
        <v>3696</v>
      </c>
      <c r="C6">
        <f>"ASP15KG"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226</v>
      </c>
      <c r="B7" t="s">
        <v>3695</v>
      </c>
      <c r="C7">
        <f>"ASOCP15KG"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226</v>
      </c>
      <c r="B8" t="s">
        <v>3543</v>
      </c>
      <c r="C8">
        <f>"CPP10KG"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226</v>
      </c>
      <c r="B9" t="s">
        <v>3542</v>
      </c>
      <c r="C9">
        <f>"GAP75KG"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226</v>
      </c>
      <c r="B10" t="s">
        <v>3541</v>
      </c>
      <c r="C10">
        <f>"GIP75KG"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226</v>
      </c>
      <c r="B11" t="s">
        <v>3540</v>
      </c>
      <c r="C11">
        <f>"MKGLGP"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226</v>
      </c>
      <c r="B12" t="s">
        <v>3539</v>
      </c>
      <c r="C12">
        <f>"ARPP10KG"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</sheetData>
  <autoFilter ref="A2:S12"/>
  <hyperlinks>
    <hyperlink ref="A1" location="'ÍNDICE'!A1" display="⬅ Volver al índice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S1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9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26</v>
      </c>
      <c r="B3" t="s">
        <v>44</v>
      </c>
      <c r="C3">
        <f>"NG10KG"</f>
        <v>0</v>
      </c>
      <c r="D3">
        <v>194</v>
      </c>
      <c r="E3">
        <v>58</v>
      </c>
      <c r="F3">
        <v>115</v>
      </c>
      <c r="G3">
        <v>80</v>
      </c>
      <c r="H3">
        <v>447</v>
      </c>
      <c r="I3">
        <v>97.5</v>
      </c>
      <c r="J3">
        <v>24</v>
      </c>
      <c r="K3">
        <v>376.896</v>
      </c>
      <c r="L3" s="2">
        <v>16</v>
      </c>
      <c r="M3">
        <v>114</v>
      </c>
      <c r="N3" s="2">
        <v>1824</v>
      </c>
      <c r="O3">
        <v>228.7</v>
      </c>
      <c r="P3" t="s">
        <v>94</v>
      </c>
      <c r="Q3">
        <v>423.68</v>
      </c>
      <c r="R3" t="s">
        <v>140</v>
      </c>
      <c r="S3">
        <v>0</v>
      </c>
    </row>
    <row r="4" spans="1:19">
      <c r="A4" t="s">
        <v>26</v>
      </c>
      <c r="B4" t="s">
        <v>49</v>
      </c>
      <c r="C4">
        <f>"NA20KG"</f>
        <v>0</v>
      </c>
      <c r="D4">
        <v>296</v>
      </c>
      <c r="E4">
        <v>59</v>
      </c>
      <c r="F4">
        <v>167</v>
      </c>
      <c r="G4">
        <v>54</v>
      </c>
      <c r="H4">
        <v>576</v>
      </c>
      <c r="I4">
        <v>113</v>
      </c>
      <c r="J4">
        <v>105</v>
      </c>
      <c r="K4">
        <v>0</v>
      </c>
      <c r="L4" s="2">
        <v>0</v>
      </c>
      <c r="M4">
        <v>35</v>
      </c>
      <c r="N4" s="2">
        <v>0</v>
      </c>
      <c r="O4">
        <v>95</v>
      </c>
      <c r="P4" t="s">
        <v>99</v>
      </c>
      <c r="Q4">
        <v>360.125</v>
      </c>
      <c r="R4" t="s">
        <v>144</v>
      </c>
      <c r="S4">
        <v>0</v>
      </c>
    </row>
    <row r="5" spans="1:19">
      <c r="A5" t="s">
        <v>26</v>
      </c>
      <c r="B5" t="s">
        <v>52</v>
      </c>
      <c r="C5">
        <f>"NSRMG15"</f>
        <v>0</v>
      </c>
      <c r="D5">
        <v>41</v>
      </c>
      <c r="E5">
        <v>0</v>
      </c>
      <c r="F5">
        <v>18</v>
      </c>
      <c r="G5">
        <v>30</v>
      </c>
      <c r="H5">
        <v>89</v>
      </c>
      <c r="I5">
        <v>24</v>
      </c>
      <c r="J5">
        <v>0</v>
      </c>
      <c r="K5">
        <v>0</v>
      </c>
      <c r="L5" s="2">
        <v>0</v>
      </c>
      <c r="M5">
        <v>39</v>
      </c>
      <c r="N5" s="2">
        <v>0</v>
      </c>
      <c r="O5">
        <v>87</v>
      </c>
      <c r="P5" t="s">
        <v>102</v>
      </c>
      <c r="Q5">
        <v>122.017</v>
      </c>
      <c r="R5" t="s">
        <v>147</v>
      </c>
      <c r="S5">
        <v>1</v>
      </c>
    </row>
    <row r="6" spans="1:19">
      <c r="A6" t="s">
        <v>26</v>
      </c>
      <c r="B6" t="s">
        <v>55</v>
      </c>
      <c r="C6">
        <f>"NARP10KG"</f>
        <v>0</v>
      </c>
      <c r="D6">
        <v>61</v>
      </c>
      <c r="E6">
        <v>12</v>
      </c>
      <c r="F6">
        <v>42</v>
      </c>
      <c r="G6">
        <v>29</v>
      </c>
      <c r="H6">
        <v>144</v>
      </c>
      <c r="I6">
        <v>35.5</v>
      </c>
      <c r="J6">
        <v>21</v>
      </c>
      <c r="K6">
        <v>254.499</v>
      </c>
      <c r="L6" s="2">
        <v>12</v>
      </c>
      <c r="M6">
        <v>29</v>
      </c>
      <c r="N6" s="2">
        <v>348</v>
      </c>
      <c r="O6">
        <v>68.3</v>
      </c>
      <c r="P6" t="s">
        <v>105</v>
      </c>
      <c r="Q6">
        <v>86.959</v>
      </c>
      <c r="R6" t="s">
        <v>150</v>
      </c>
      <c r="S6">
        <v>0</v>
      </c>
    </row>
    <row r="7" spans="1:19">
      <c r="A7" t="s">
        <v>26</v>
      </c>
      <c r="B7" t="s">
        <v>66</v>
      </c>
      <c r="C7">
        <f>"NC10KG"</f>
        <v>0</v>
      </c>
      <c r="D7">
        <v>71</v>
      </c>
      <c r="E7">
        <v>67</v>
      </c>
      <c r="F7">
        <v>89</v>
      </c>
      <c r="G7">
        <v>17</v>
      </c>
      <c r="H7">
        <v>244</v>
      </c>
      <c r="I7">
        <v>69</v>
      </c>
      <c r="J7">
        <v>49</v>
      </c>
      <c r="K7">
        <v>665.665</v>
      </c>
      <c r="L7" s="2">
        <v>14</v>
      </c>
      <c r="M7">
        <v>28</v>
      </c>
      <c r="N7" s="2">
        <v>392</v>
      </c>
      <c r="O7">
        <v>44.2</v>
      </c>
      <c r="P7" t="s">
        <v>114</v>
      </c>
      <c r="Q7">
        <v>47.062</v>
      </c>
      <c r="R7" t="s">
        <v>159</v>
      </c>
      <c r="S7">
        <v>0</v>
      </c>
    </row>
    <row r="8" spans="1:19">
      <c r="A8" t="s">
        <v>26</v>
      </c>
      <c r="B8" t="s">
        <v>82</v>
      </c>
      <c r="C8">
        <f>"NSRP9KG"</f>
        <v>0</v>
      </c>
      <c r="D8">
        <v>36</v>
      </c>
      <c r="E8">
        <v>1</v>
      </c>
      <c r="F8">
        <v>35</v>
      </c>
      <c r="G8">
        <v>5</v>
      </c>
      <c r="H8">
        <v>77</v>
      </c>
      <c r="I8">
        <v>20</v>
      </c>
      <c r="J8">
        <v>0</v>
      </c>
      <c r="K8">
        <v>0</v>
      </c>
      <c r="L8" s="2">
        <v>0</v>
      </c>
      <c r="M8">
        <v>22</v>
      </c>
      <c r="N8" s="2">
        <v>0</v>
      </c>
      <c r="O8">
        <v>30</v>
      </c>
      <c r="P8" t="s">
        <v>128</v>
      </c>
      <c r="Q8">
        <v>10.913</v>
      </c>
      <c r="R8" t="s">
        <v>173</v>
      </c>
      <c r="S8">
        <v>0</v>
      </c>
    </row>
    <row r="9" spans="1:19">
      <c r="A9" t="s">
        <v>26</v>
      </c>
      <c r="B9" t="s">
        <v>375</v>
      </c>
      <c r="C9">
        <f>"49273"</f>
        <v>0</v>
      </c>
      <c r="D9">
        <v>22</v>
      </c>
      <c r="E9">
        <v>27</v>
      </c>
      <c r="F9">
        <v>58</v>
      </c>
      <c r="G9">
        <v>14</v>
      </c>
      <c r="H9">
        <v>121</v>
      </c>
      <c r="I9">
        <v>24.5</v>
      </c>
      <c r="J9">
        <v>37</v>
      </c>
      <c r="K9">
        <v>236.689</v>
      </c>
      <c r="L9" s="2">
        <v>6</v>
      </c>
      <c r="M9">
        <v>0</v>
      </c>
      <c r="N9" s="2">
        <v>0</v>
      </c>
      <c r="O9">
        <v>8.100000000000001</v>
      </c>
      <c r="P9" t="s">
        <v>10937</v>
      </c>
      <c r="Q9">
        <v>24.678</v>
      </c>
      <c r="R9" t="s">
        <v>10924</v>
      </c>
      <c r="S9">
        <v>0</v>
      </c>
    </row>
    <row r="10" spans="1:19">
      <c r="A10" t="s">
        <v>26</v>
      </c>
      <c r="B10" t="s">
        <v>436</v>
      </c>
      <c r="C10">
        <f>"NG3KG"</f>
        <v>0</v>
      </c>
      <c r="D10">
        <v>16</v>
      </c>
      <c r="E10">
        <v>0</v>
      </c>
      <c r="F10">
        <v>12</v>
      </c>
      <c r="G10">
        <v>0</v>
      </c>
      <c r="H10">
        <v>28</v>
      </c>
      <c r="I10">
        <v>6</v>
      </c>
      <c r="J10">
        <v>0</v>
      </c>
      <c r="K10">
        <v>0</v>
      </c>
      <c r="L10" s="2">
        <v>0</v>
      </c>
      <c r="M10">
        <v>6</v>
      </c>
      <c r="N10" s="2">
        <v>0</v>
      </c>
      <c r="O10">
        <v>6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26</v>
      </c>
      <c r="B11" t="s">
        <v>4314</v>
      </c>
      <c r="C11">
        <f>"NGPLL"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26</v>
      </c>
      <c r="B12" t="s">
        <v>4313</v>
      </c>
      <c r="C12">
        <f>"NPGM"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26</v>
      </c>
      <c r="B13" t="s">
        <v>1980</v>
      </c>
      <c r="C13">
        <f>"NC3KG"</f>
        <v>0</v>
      </c>
      <c r="D13">
        <v>1</v>
      </c>
      <c r="E13">
        <v>0</v>
      </c>
      <c r="F13">
        <v>3</v>
      </c>
      <c r="G13">
        <v>0</v>
      </c>
      <c r="H13">
        <v>4</v>
      </c>
      <c r="I13">
        <v>0.5</v>
      </c>
      <c r="J13">
        <v>4</v>
      </c>
      <c r="K13">
        <v>30.554</v>
      </c>
      <c r="L13" s="2">
        <v>8</v>
      </c>
      <c r="M13">
        <v>0</v>
      </c>
      <c r="N13" s="2">
        <v>0</v>
      </c>
      <c r="O13">
        <v>-4.3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26</v>
      </c>
      <c r="B14" t="s">
        <v>1815</v>
      </c>
      <c r="C14">
        <f>"NARP3KG"</f>
        <v>0</v>
      </c>
      <c r="D14">
        <v>1</v>
      </c>
      <c r="E14">
        <v>6</v>
      </c>
      <c r="F14">
        <v>2</v>
      </c>
      <c r="G14">
        <v>0</v>
      </c>
      <c r="H14">
        <v>9</v>
      </c>
      <c r="I14">
        <v>1.5</v>
      </c>
      <c r="J14">
        <v>5</v>
      </c>
      <c r="K14">
        <v>28.87</v>
      </c>
      <c r="L14" s="2">
        <v>6</v>
      </c>
      <c r="M14">
        <v>0</v>
      </c>
      <c r="N14" s="2">
        <v>0</v>
      </c>
      <c r="O14">
        <v>-4.5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26</v>
      </c>
      <c r="B15" t="s">
        <v>2466</v>
      </c>
      <c r="C15">
        <f>"NA3KG"</f>
        <v>0</v>
      </c>
      <c r="D15">
        <v>0</v>
      </c>
      <c r="E15">
        <v>0</v>
      </c>
      <c r="F15">
        <v>1</v>
      </c>
      <c r="G15">
        <v>0</v>
      </c>
      <c r="H15">
        <v>1</v>
      </c>
      <c r="I15">
        <v>0</v>
      </c>
      <c r="J15">
        <v>10</v>
      </c>
      <c r="K15">
        <v>57.74</v>
      </c>
      <c r="L15" s="2">
        <v>6</v>
      </c>
      <c r="M15">
        <v>0</v>
      </c>
      <c r="N15" s="2">
        <v>0</v>
      </c>
      <c r="O15">
        <v>-12</v>
      </c>
      <c r="P15" t="s">
        <v>100</v>
      </c>
      <c r="Q15">
        <v>0</v>
      </c>
      <c r="R15" t="s">
        <v>145</v>
      </c>
      <c r="S15">
        <v>0</v>
      </c>
    </row>
  </sheetData>
  <autoFilter ref="A2:S15"/>
  <hyperlinks>
    <hyperlink ref="A1" location="'ÍNDICE'!A1" display="⬅ Volver al índice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5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9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215</v>
      </c>
      <c r="B3" t="s">
        <v>873</v>
      </c>
      <c r="C3">
        <f>"227302"</f>
        <v>0</v>
      </c>
      <c r="D3">
        <v>0</v>
      </c>
      <c r="E3">
        <v>1</v>
      </c>
      <c r="F3">
        <v>0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5.5</v>
      </c>
      <c r="P3" t="s">
        <v>10239</v>
      </c>
      <c r="Q3">
        <v>4.662</v>
      </c>
      <c r="R3" t="s">
        <v>10240</v>
      </c>
      <c r="S3">
        <v>1</v>
      </c>
    </row>
    <row r="4" spans="1:19">
      <c r="A4" t="s">
        <v>215</v>
      </c>
      <c r="B4" t="s">
        <v>1096</v>
      </c>
      <c r="C4">
        <f>"K01801"</f>
        <v>0</v>
      </c>
      <c r="D4">
        <v>1</v>
      </c>
      <c r="E4">
        <v>1</v>
      </c>
      <c r="F4">
        <v>0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215</v>
      </c>
      <c r="B5" t="s">
        <v>5413</v>
      </c>
      <c r="C5">
        <f>"K01802"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215</v>
      </c>
      <c r="B6" t="s">
        <v>5411</v>
      </c>
      <c r="C6">
        <f>"227102"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215</v>
      </c>
      <c r="B7" t="s">
        <v>5412</v>
      </c>
      <c r="C7">
        <f>"K01803"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215</v>
      </c>
      <c r="B8" t="s">
        <v>5362</v>
      </c>
      <c r="C8">
        <f>"BDAC2273"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215</v>
      </c>
      <c r="B9" t="s">
        <v>5340</v>
      </c>
      <c r="C9">
        <f>"K01800"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215</v>
      </c>
      <c r="B10" t="s">
        <v>4650</v>
      </c>
      <c r="C10">
        <f>"BDAC3262"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215</v>
      </c>
      <c r="B11" t="s">
        <v>5363</v>
      </c>
      <c r="C11">
        <f>"K09700"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215</v>
      </c>
      <c r="B12" t="s">
        <v>4645</v>
      </c>
      <c r="C12">
        <f>"327302"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215</v>
      </c>
      <c r="B13" t="s">
        <v>4648</v>
      </c>
      <c r="C13">
        <f>"BDAC3264"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215</v>
      </c>
      <c r="B14" t="s">
        <v>4647</v>
      </c>
      <c r="C14">
        <f>"BDAC3263"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215</v>
      </c>
      <c r="B15" t="s">
        <v>4646</v>
      </c>
      <c r="C15">
        <f>"K04500"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215</v>
      </c>
      <c r="B16" t="s">
        <v>4643</v>
      </c>
      <c r="C16">
        <f>"BCAC3110"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215</v>
      </c>
      <c r="B17" t="s">
        <v>4644</v>
      </c>
      <c r="C17">
        <f>"327306"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215</v>
      </c>
      <c r="B18" t="s">
        <v>4656</v>
      </c>
      <c r="C18">
        <f>"BCAC3111"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215</v>
      </c>
      <c r="B19" t="s">
        <v>4641</v>
      </c>
      <c r="C19">
        <f>"BDAC3160"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215</v>
      </c>
      <c r="B20" t="s">
        <v>4277</v>
      </c>
      <c r="C20">
        <f>"BDOR440"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215</v>
      </c>
      <c r="B21" t="s">
        <v>4640</v>
      </c>
      <c r="C21">
        <f>"316002"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215</v>
      </c>
      <c r="B22" t="s">
        <v>5377</v>
      </c>
      <c r="C22">
        <f>"BDAC3254"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215</v>
      </c>
      <c r="B23" t="s">
        <v>5392</v>
      </c>
      <c r="C23">
        <f>"325402"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215</v>
      </c>
      <c r="B24" t="s">
        <v>5375</v>
      </c>
      <c r="C24">
        <f>"BDAT3020"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215</v>
      </c>
      <c r="B25" t="s">
        <v>5345</v>
      </c>
      <c r="C25">
        <f>"BDAC3271"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215</v>
      </c>
      <c r="B26" t="s">
        <v>4667</v>
      </c>
      <c r="C26">
        <f>"327102"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215</v>
      </c>
      <c r="B27" t="s">
        <v>4666</v>
      </c>
      <c r="C27">
        <f>"327106"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215</v>
      </c>
      <c r="B28" t="s">
        <v>4665</v>
      </c>
      <c r="C28">
        <f>"331K01800"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215</v>
      </c>
      <c r="B29" t="s">
        <v>1452</v>
      </c>
      <c r="C29">
        <f>"BCAC3100"</f>
        <v>0</v>
      </c>
      <c r="D29">
        <v>1</v>
      </c>
      <c r="E29">
        <v>0</v>
      </c>
      <c r="F29">
        <v>0</v>
      </c>
      <c r="G29">
        <v>0</v>
      </c>
      <c r="H29">
        <v>1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215</v>
      </c>
      <c r="B30" t="s">
        <v>1451</v>
      </c>
      <c r="C30">
        <f>"BCAC3101"</f>
        <v>0</v>
      </c>
      <c r="D30">
        <v>0</v>
      </c>
      <c r="E30">
        <v>1</v>
      </c>
      <c r="F30">
        <v>0</v>
      </c>
      <c r="G30">
        <v>0</v>
      </c>
      <c r="H30">
        <v>1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215</v>
      </c>
      <c r="B31" t="s">
        <v>4664</v>
      </c>
      <c r="C31">
        <f>"BDAC3180"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215</v>
      </c>
      <c r="B32" t="s">
        <v>9569</v>
      </c>
      <c r="C32">
        <f>"633K02000"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215</v>
      </c>
      <c r="B33" t="s">
        <v>4454</v>
      </c>
      <c r="C33">
        <f>"445512"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215</v>
      </c>
      <c r="B34" t="s">
        <v>4437</v>
      </c>
      <c r="C34">
        <f>"445502"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215</v>
      </c>
      <c r="B35" t="s">
        <v>4435</v>
      </c>
      <c r="C35">
        <f>"BCAC4456"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215</v>
      </c>
      <c r="B36" t="s">
        <v>4467</v>
      </c>
      <c r="C36">
        <f>"BCAC4430"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215</v>
      </c>
      <c r="B37" t="s">
        <v>4434</v>
      </c>
      <c r="C37">
        <f>"K01800K"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215</v>
      </c>
      <c r="B38" t="s">
        <v>4281</v>
      </c>
      <c r="C38">
        <f>"441002"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215</v>
      </c>
      <c r="B39" t="s">
        <v>1278</v>
      </c>
      <c r="C39">
        <f>"BCAC4405"</f>
        <v>0</v>
      </c>
      <c r="D39">
        <v>0</v>
      </c>
      <c r="E39">
        <v>0</v>
      </c>
      <c r="F39">
        <v>1</v>
      </c>
      <c r="G39">
        <v>0</v>
      </c>
      <c r="H39">
        <v>1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215</v>
      </c>
      <c r="B40" t="s">
        <v>4280</v>
      </c>
      <c r="C40">
        <f>"BCAC4406"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215</v>
      </c>
      <c r="B41" t="s">
        <v>4279</v>
      </c>
      <c r="C41">
        <f>"k10700"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215</v>
      </c>
      <c r="B42" t="s">
        <v>4278</v>
      </c>
      <c r="C42">
        <f>"BDOR4410"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215</v>
      </c>
      <c r="B43" t="s">
        <v>1311</v>
      </c>
      <c r="C43">
        <f>"33k10700"</f>
        <v>0</v>
      </c>
      <c r="D43">
        <v>1</v>
      </c>
      <c r="E43">
        <v>0</v>
      </c>
      <c r="F43">
        <v>0</v>
      </c>
      <c r="G43">
        <v>0</v>
      </c>
      <c r="H43">
        <v>1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215</v>
      </c>
      <c r="B44" t="s">
        <v>4477</v>
      </c>
      <c r="C44">
        <f>"831K01800"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215</v>
      </c>
      <c r="B45" t="s">
        <v>4378</v>
      </c>
      <c r="C45">
        <f>"BDOR4420"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215</v>
      </c>
      <c r="B46" t="s">
        <v>4453</v>
      </c>
      <c r="C46">
        <f>"442002"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215</v>
      </c>
      <c r="B47" t="s">
        <v>4452</v>
      </c>
      <c r="C47">
        <f>"442006"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215</v>
      </c>
      <c r="B48" t="s">
        <v>4476</v>
      </c>
      <c r="C48">
        <f>"831K04500"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215</v>
      </c>
      <c r="B49" t="s">
        <v>4478</v>
      </c>
      <c r="C49">
        <f>"BCAC4431"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215</v>
      </c>
      <c r="B50" t="s">
        <v>4649</v>
      </c>
      <c r="C50">
        <f>"BDAC3261"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</v>
      </c>
      <c r="K50">
        <v>13.307</v>
      </c>
      <c r="L50" s="2">
        <v>13</v>
      </c>
      <c r="M50">
        <v>0</v>
      </c>
      <c r="N50" s="2">
        <v>0</v>
      </c>
      <c r="O50">
        <v>-1.2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215</v>
      </c>
      <c r="B51" t="s">
        <v>4436</v>
      </c>
      <c r="C51">
        <f>"BCAC4455"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</v>
      </c>
      <c r="K51">
        <v>20.376</v>
      </c>
      <c r="L51" s="2">
        <v>20</v>
      </c>
      <c r="M51">
        <v>0</v>
      </c>
      <c r="N51" s="2">
        <v>0</v>
      </c>
      <c r="O51">
        <v>-1.2</v>
      </c>
      <c r="P51" t="s">
        <v>100</v>
      </c>
      <c r="Q51">
        <v>0</v>
      </c>
      <c r="R51" t="s">
        <v>145</v>
      </c>
      <c r="S51">
        <v>0</v>
      </c>
    </row>
  </sheetData>
  <autoFilter ref="A2:S51"/>
  <hyperlinks>
    <hyperlink ref="A1" location="'ÍNDICE'!A1" display="⬅ Volver al índice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228</v>
      </c>
      <c r="B3" t="s">
        <v>6885</v>
      </c>
      <c r="C3">
        <f>"DNS15"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228</v>
      </c>
      <c r="B4" t="s">
        <v>6884</v>
      </c>
      <c r="C4">
        <f>"DNS2"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228</v>
      </c>
      <c r="B5" t="s">
        <v>6883</v>
      </c>
      <c r="C5">
        <f>"DNS7"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228</v>
      </c>
      <c r="B6" t="s">
        <v>6882</v>
      </c>
      <c r="C6">
        <f>"DNP15"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228</v>
      </c>
      <c r="B7" t="s">
        <v>6926</v>
      </c>
      <c r="C7">
        <f>"DNP2"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228</v>
      </c>
      <c r="B8" t="s">
        <v>6941</v>
      </c>
      <c r="C8">
        <f>"NGPS7"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228</v>
      </c>
      <c r="B9" t="s">
        <v>6940</v>
      </c>
      <c r="C9">
        <f>"DPR23"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228</v>
      </c>
      <c r="B10" t="s">
        <v>4365</v>
      </c>
      <c r="C10">
        <f>"NGPS3"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228</v>
      </c>
      <c r="B11" t="s">
        <v>4364</v>
      </c>
      <c r="C11">
        <f>"NGS3"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228</v>
      </c>
      <c r="B12" t="s">
        <v>4363</v>
      </c>
      <c r="C12">
        <f>"NGSC7"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228</v>
      </c>
      <c r="B13" t="s">
        <v>4362</v>
      </c>
      <c r="C13">
        <f>"NGDS15"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228</v>
      </c>
      <c r="B14" t="s">
        <v>4361</v>
      </c>
      <c r="C14">
        <f>"NGT14"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228</v>
      </c>
      <c r="B15" t="s">
        <v>4345</v>
      </c>
      <c r="C15">
        <f>"NGT2"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228</v>
      </c>
      <c r="B16" t="s">
        <v>4246</v>
      </c>
      <c r="C16">
        <f>"NGW14"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228</v>
      </c>
      <c r="B17" t="s">
        <v>4291</v>
      </c>
      <c r="C17">
        <f>"NGW2"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</sheetData>
  <autoFilter ref="A2:S17"/>
  <hyperlinks>
    <hyperlink ref="A1" location="'ÍNDICE'!A1" display="⬅ Volver al índice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227</v>
      </c>
      <c r="B3" t="s">
        <v>8535</v>
      </c>
      <c r="C3">
        <f>"100638"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227</v>
      </c>
      <c r="B4" t="s">
        <v>8549</v>
      </c>
      <c r="C4">
        <f>"100753"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227</v>
      </c>
      <c r="B5" t="s">
        <v>8533</v>
      </c>
      <c r="C5">
        <f>"100645"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227</v>
      </c>
      <c r="B6" t="s">
        <v>3688</v>
      </c>
      <c r="C6">
        <f>"100748"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227</v>
      </c>
      <c r="B7" t="s">
        <v>3687</v>
      </c>
      <c r="C7">
        <f>"100752"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227</v>
      </c>
      <c r="B8" t="s">
        <v>3686</v>
      </c>
      <c r="C8">
        <f>"100764"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227</v>
      </c>
      <c r="B9" t="s">
        <v>5584</v>
      </c>
      <c r="C9">
        <f>"100636"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227</v>
      </c>
      <c r="B10" t="s">
        <v>5583</v>
      </c>
      <c r="C10">
        <f>"100643"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227</v>
      </c>
      <c r="B11" t="s">
        <v>5582</v>
      </c>
      <c r="C11">
        <f>"100644"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227</v>
      </c>
      <c r="B12" t="s">
        <v>5976</v>
      </c>
      <c r="C12">
        <f>"100646"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227</v>
      </c>
      <c r="B13" t="s">
        <v>5975</v>
      </c>
      <c r="C13">
        <f>"100642"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S31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0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195</v>
      </c>
      <c r="B3" t="s">
        <v>281</v>
      </c>
      <c r="C3">
        <f>"25702147"</f>
        <v>0</v>
      </c>
      <c r="D3">
        <v>1</v>
      </c>
      <c r="E3">
        <v>0</v>
      </c>
      <c r="F3">
        <v>0</v>
      </c>
      <c r="G3">
        <v>1</v>
      </c>
      <c r="H3">
        <v>2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5.5</v>
      </c>
      <c r="P3" t="s">
        <v>10941</v>
      </c>
      <c r="Q3">
        <v>509</v>
      </c>
      <c r="R3" t="s">
        <v>10942</v>
      </c>
      <c r="S3">
        <v>1</v>
      </c>
    </row>
    <row r="4" spans="1:19">
      <c r="A4" t="s">
        <v>195</v>
      </c>
      <c r="B4" t="s">
        <v>4428</v>
      </c>
      <c r="C4">
        <f>"27869012"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195</v>
      </c>
      <c r="B5" t="s">
        <v>4429</v>
      </c>
      <c r="C5">
        <f>"27877055"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195</v>
      </c>
      <c r="B6" t="s">
        <v>4430</v>
      </c>
      <c r="C6">
        <f>"27974010"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195</v>
      </c>
      <c r="B7" t="s">
        <v>4431</v>
      </c>
      <c r="C7">
        <f>"27974005"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195</v>
      </c>
      <c r="B8" t="s">
        <v>4432</v>
      </c>
      <c r="C8">
        <f>"27240011"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195</v>
      </c>
      <c r="B9" t="s">
        <v>4367</v>
      </c>
      <c r="C9">
        <f>"27110002"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195</v>
      </c>
      <c r="B10" t="s">
        <v>4367</v>
      </c>
      <c r="C10">
        <f>"27150007"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195</v>
      </c>
      <c r="B11" t="s">
        <v>4367</v>
      </c>
      <c r="C11">
        <f>"27150006"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195</v>
      </c>
      <c r="B12" t="s">
        <v>4444</v>
      </c>
      <c r="C12">
        <f>"27024011"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195</v>
      </c>
      <c r="B13" t="s">
        <v>4367</v>
      </c>
      <c r="C13">
        <f>"27150010"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195</v>
      </c>
      <c r="B14" t="s">
        <v>4367</v>
      </c>
      <c r="C14">
        <f>"27150002"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195</v>
      </c>
      <c r="B15" t="s">
        <v>4367</v>
      </c>
      <c r="C15">
        <f>"27150003"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195</v>
      </c>
      <c r="B16" t="s">
        <v>4367</v>
      </c>
      <c r="C16">
        <f>"27120003"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195</v>
      </c>
      <c r="B17" t="s">
        <v>4367</v>
      </c>
      <c r="C17">
        <f>"27130003"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195</v>
      </c>
      <c r="B18" t="s">
        <v>4367</v>
      </c>
      <c r="C18">
        <f>"27130002"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195</v>
      </c>
      <c r="B19" t="s">
        <v>4442</v>
      </c>
      <c r="C19">
        <f>"27024012"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195</v>
      </c>
      <c r="B20" t="s">
        <v>4443</v>
      </c>
      <c r="C20">
        <f>"27024013"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195</v>
      </c>
      <c r="B21" t="s">
        <v>4367</v>
      </c>
      <c r="C21">
        <f>"27150011"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195</v>
      </c>
      <c r="B22" t="s">
        <v>3504</v>
      </c>
      <c r="C22">
        <f>"25390071"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195</v>
      </c>
      <c r="B23" t="s">
        <v>3487</v>
      </c>
      <c r="C23">
        <f>"25002882"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195</v>
      </c>
      <c r="B24" t="s">
        <v>4367</v>
      </c>
      <c r="C24">
        <f>"27120002"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195</v>
      </c>
      <c r="B25" t="s">
        <v>4468</v>
      </c>
      <c r="C25">
        <f>"27220011"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195</v>
      </c>
      <c r="B26" t="s">
        <v>4469</v>
      </c>
      <c r="C26">
        <f>"27220003"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195</v>
      </c>
      <c r="B27" t="s">
        <v>4470</v>
      </c>
      <c r="C27">
        <f>"27220006"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195</v>
      </c>
      <c r="B28" t="s">
        <v>4471</v>
      </c>
      <c r="C28">
        <f>"27961725"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195</v>
      </c>
      <c r="B29" t="s">
        <v>4472</v>
      </c>
      <c r="C29">
        <f>"27964025"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195</v>
      </c>
      <c r="B30" t="s">
        <v>4427</v>
      </c>
      <c r="C30">
        <f>"27872055"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195</v>
      </c>
      <c r="B31" t="s">
        <v>3465</v>
      </c>
      <c r="C31">
        <f>"25002962"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195</v>
      </c>
      <c r="B32" t="s">
        <v>3481</v>
      </c>
      <c r="C32">
        <f>"25002952"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195</v>
      </c>
      <c r="B33" t="s">
        <v>3467</v>
      </c>
      <c r="C33">
        <f>"25002953"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195</v>
      </c>
      <c r="B34" t="s">
        <v>3468</v>
      </c>
      <c r="C34">
        <f>"25002954"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195</v>
      </c>
      <c r="B35" t="s">
        <v>3469</v>
      </c>
      <c r="C35">
        <f>"25002951"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195</v>
      </c>
      <c r="B36" t="s">
        <v>3470</v>
      </c>
      <c r="C36">
        <f>"25395693"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195</v>
      </c>
      <c r="B37" t="s">
        <v>3497</v>
      </c>
      <c r="C37">
        <f>"25395691"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195</v>
      </c>
      <c r="B38" t="s">
        <v>4455</v>
      </c>
      <c r="C38">
        <f>"27230003"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195</v>
      </c>
      <c r="B39" t="s">
        <v>4456</v>
      </c>
      <c r="C39">
        <f>"27230006"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195</v>
      </c>
      <c r="B40" t="s">
        <v>3464</v>
      </c>
      <c r="C40">
        <f>"25002829"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195</v>
      </c>
      <c r="B41" t="s">
        <v>3658</v>
      </c>
      <c r="C41">
        <f>"25570215"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195</v>
      </c>
      <c r="B42" t="s">
        <v>4433</v>
      </c>
      <c r="C42">
        <f>"27240014"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195</v>
      </c>
      <c r="B43" t="s">
        <v>4462</v>
      </c>
      <c r="C43">
        <f>"27240019"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195</v>
      </c>
      <c r="B44" t="s">
        <v>4463</v>
      </c>
      <c r="C44">
        <f>"27240020"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195</v>
      </c>
      <c r="B45" t="s">
        <v>4464</v>
      </c>
      <c r="C45">
        <f>"27240003"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195</v>
      </c>
      <c r="B46" t="s">
        <v>4466</v>
      </c>
      <c r="C46">
        <f>"27240009"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195</v>
      </c>
      <c r="B47" t="s">
        <v>4479</v>
      </c>
      <c r="C47">
        <f>"27240017"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195</v>
      </c>
      <c r="B48" t="s">
        <v>4439</v>
      </c>
      <c r="C48">
        <f>"27240001"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195</v>
      </c>
      <c r="B49" t="s">
        <v>4266</v>
      </c>
      <c r="C49">
        <f>"27869412"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195</v>
      </c>
      <c r="B50" t="s">
        <v>4441</v>
      </c>
      <c r="C50">
        <f>"27024014"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195</v>
      </c>
      <c r="B51" t="s">
        <v>3644</v>
      </c>
      <c r="C51">
        <f>"25702800"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195</v>
      </c>
      <c r="B52" t="s">
        <v>3661</v>
      </c>
      <c r="C52">
        <f>"25702801"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195</v>
      </c>
      <c r="B53" t="s">
        <v>3732</v>
      </c>
      <c r="C53">
        <f>"25702828"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195</v>
      </c>
      <c r="B54" t="s">
        <v>3733</v>
      </c>
      <c r="C54">
        <f>"25570216"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195</v>
      </c>
      <c r="B55" t="s">
        <v>3734</v>
      </c>
      <c r="C55">
        <f>"25570217"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195</v>
      </c>
      <c r="B56" t="s">
        <v>3735</v>
      </c>
      <c r="C56">
        <f>"25570218"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195</v>
      </c>
      <c r="B57" t="s">
        <v>3736</v>
      </c>
      <c r="C57">
        <f>"25570225"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195</v>
      </c>
      <c r="B58" t="s">
        <v>4294</v>
      </c>
      <c r="C58">
        <f>"27877355"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195</v>
      </c>
      <c r="B59" t="s">
        <v>4440</v>
      </c>
      <c r="C59">
        <f>"27024010"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195</v>
      </c>
      <c r="B60" t="s">
        <v>3503</v>
      </c>
      <c r="C60">
        <f>"25390074"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195</v>
      </c>
      <c r="B61" t="s">
        <v>4292</v>
      </c>
      <c r="C61">
        <f>"27877455"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195</v>
      </c>
      <c r="B62" t="s">
        <v>4293</v>
      </c>
      <c r="C62">
        <f>"27869321"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195</v>
      </c>
      <c r="B63" t="s">
        <v>4473</v>
      </c>
      <c r="C63">
        <f>"27220009"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195</v>
      </c>
      <c r="B64" t="s">
        <v>4389</v>
      </c>
      <c r="C64">
        <f>"27220001"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195</v>
      </c>
      <c r="B65" t="s">
        <v>4390</v>
      </c>
      <c r="C65">
        <f>"27990305"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195</v>
      </c>
      <c r="B66" t="s">
        <v>4391</v>
      </c>
      <c r="C66">
        <f>"27990105"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195</v>
      </c>
      <c r="B67" t="s">
        <v>4392</v>
      </c>
      <c r="C67">
        <f>"27210006"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195</v>
      </c>
      <c r="B68" t="s">
        <v>3657</v>
      </c>
      <c r="C68">
        <f>"25570214"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195</v>
      </c>
      <c r="B69" t="s">
        <v>4438</v>
      </c>
      <c r="C69">
        <f>"27871055"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195</v>
      </c>
      <c r="B70" t="s">
        <v>4424</v>
      </c>
      <c r="C70">
        <f>"27868012"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195</v>
      </c>
      <c r="B71" t="s">
        <v>4425</v>
      </c>
      <c r="C71">
        <f>"27870555"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195</v>
      </c>
      <c r="B72" t="s">
        <v>4426</v>
      </c>
      <c r="C72">
        <f>"27867012"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195</v>
      </c>
      <c r="B73" t="s">
        <v>3683</v>
      </c>
      <c r="C73">
        <f>"25570234"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195</v>
      </c>
      <c r="B74" t="s">
        <v>3684</v>
      </c>
      <c r="C74">
        <f>"25570235"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195</v>
      </c>
      <c r="B75" t="s">
        <v>3685</v>
      </c>
      <c r="C75">
        <f>"25570236"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195</v>
      </c>
      <c r="B76" t="s">
        <v>3655</v>
      </c>
      <c r="C76">
        <f>"25570212"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195</v>
      </c>
      <c r="B77" t="s">
        <v>3656</v>
      </c>
      <c r="C77">
        <f>"25570213"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195</v>
      </c>
      <c r="B78" t="s">
        <v>4393</v>
      </c>
      <c r="C78">
        <f>"27861012"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195</v>
      </c>
      <c r="B79" t="s">
        <v>5743</v>
      </c>
      <c r="C79">
        <f>"25702357"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195</v>
      </c>
      <c r="B80" t="s">
        <v>5744</v>
      </c>
      <c r="C80">
        <f>"25702397"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195</v>
      </c>
      <c r="B81" t="s">
        <v>9647</v>
      </c>
      <c r="C81">
        <f>"25702071"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195</v>
      </c>
      <c r="B82" t="s">
        <v>5114</v>
      </c>
      <c r="C82">
        <f>"25390132"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195</v>
      </c>
      <c r="B83" t="s">
        <v>5099</v>
      </c>
      <c r="C83">
        <f>"25390133"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195</v>
      </c>
      <c r="B84" t="s">
        <v>5100</v>
      </c>
      <c r="C84">
        <f>"25570845"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195</v>
      </c>
      <c r="B85" t="s">
        <v>5081</v>
      </c>
      <c r="C85">
        <f>"25390150"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195</v>
      </c>
      <c r="B86" t="s">
        <v>1268</v>
      </c>
      <c r="C86">
        <f>"25390148"</f>
        <v>0</v>
      </c>
      <c r="D86">
        <v>1</v>
      </c>
      <c r="E86">
        <v>0</v>
      </c>
      <c r="F86">
        <v>0</v>
      </c>
      <c r="G86">
        <v>0</v>
      </c>
      <c r="H86">
        <v>1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195</v>
      </c>
      <c r="B87" t="s">
        <v>3502</v>
      </c>
      <c r="C87">
        <f>"25390073"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195</v>
      </c>
      <c r="B88" t="s">
        <v>1376</v>
      </c>
      <c r="C88">
        <f>"25395866"</f>
        <v>0</v>
      </c>
      <c r="D88">
        <v>0</v>
      </c>
      <c r="E88">
        <v>0</v>
      </c>
      <c r="F88">
        <v>1</v>
      </c>
      <c r="G88">
        <v>0</v>
      </c>
      <c r="H88">
        <v>1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195</v>
      </c>
      <c r="B89" t="s">
        <v>5341</v>
      </c>
      <c r="C89">
        <f>"25395651"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195</v>
      </c>
      <c r="B90" t="s">
        <v>5752</v>
      </c>
      <c r="C90">
        <f>"25395689"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195</v>
      </c>
      <c r="B91" t="s">
        <v>5753</v>
      </c>
      <c r="C91">
        <f>"25395687"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195</v>
      </c>
      <c r="B92" t="s">
        <v>5761</v>
      </c>
      <c r="C92">
        <f>"25027189"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195</v>
      </c>
      <c r="B93" t="s">
        <v>3494</v>
      </c>
      <c r="C93">
        <f>"25390104"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195</v>
      </c>
      <c r="B94" t="s">
        <v>3495</v>
      </c>
      <c r="C94">
        <f>"25390105"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195</v>
      </c>
      <c r="B95" t="s">
        <v>3496</v>
      </c>
      <c r="C95">
        <f>"25390049"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195</v>
      </c>
      <c r="B96" t="s">
        <v>6409</v>
      </c>
      <c r="C96">
        <f>"25023068"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195</v>
      </c>
      <c r="B97" t="s">
        <v>1267</v>
      </c>
      <c r="C97">
        <f>"25395869"</f>
        <v>0</v>
      </c>
      <c r="D97">
        <v>1</v>
      </c>
      <c r="E97">
        <v>0</v>
      </c>
      <c r="F97">
        <v>0</v>
      </c>
      <c r="G97">
        <v>0</v>
      </c>
      <c r="H97">
        <v>1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195</v>
      </c>
      <c r="B98" t="s">
        <v>4725</v>
      </c>
      <c r="C98">
        <f>"25570056"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195</v>
      </c>
      <c r="B99" t="s">
        <v>4726</v>
      </c>
      <c r="C99">
        <f>"25570058"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195</v>
      </c>
      <c r="B100" t="s">
        <v>4727</v>
      </c>
      <c r="C100">
        <f>"2557059"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195</v>
      </c>
      <c r="B101" t="s">
        <v>4728</v>
      </c>
      <c r="C101">
        <f>"25570055"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195</v>
      </c>
      <c r="B102" t="s">
        <v>9741</v>
      </c>
      <c r="C102">
        <f>"25390113"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195</v>
      </c>
      <c r="B103" t="s">
        <v>9743</v>
      </c>
      <c r="C103">
        <f>"25390111"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195</v>
      </c>
      <c r="B104" t="s">
        <v>9744</v>
      </c>
      <c r="C104">
        <f>"25390129"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195</v>
      </c>
      <c r="B105" t="s">
        <v>9745</v>
      </c>
      <c r="C105">
        <f>"25390123"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195</v>
      </c>
      <c r="B106" t="s">
        <v>5758</v>
      </c>
      <c r="C106">
        <f>"25702359"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195</v>
      </c>
      <c r="B107" t="s">
        <v>9747</v>
      </c>
      <c r="C107">
        <f>"25390125"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195</v>
      </c>
      <c r="B108" t="s">
        <v>9794</v>
      </c>
      <c r="C108">
        <f>"25390122"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195</v>
      </c>
      <c r="B109" t="s">
        <v>9609</v>
      </c>
      <c r="C109">
        <f>"25022139"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195</v>
      </c>
      <c r="B110" t="s">
        <v>9530</v>
      </c>
      <c r="C110">
        <f>"25702591"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195</v>
      </c>
      <c r="B111" t="s">
        <v>1374</v>
      </c>
      <c r="C111">
        <f>"25390149"</f>
        <v>0</v>
      </c>
      <c r="D111">
        <v>1</v>
      </c>
      <c r="E111">
        <v>0</v>
      </c>
      <c r="F111">
        <v>0</v>
      </c>
      <c r="G111">
        <v>0</v>
      </c>
      <c r="H111">
        <v>1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195</v>
      </c>
      <c r="B112" t="s">
        <v>6102</v>
      </c>
      <c r="C112">
        <f>"25570436"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195</v>
      </c>
      <c r="B113" t="s">
        <v>5295</v>
      </c>
      <c r="C113">
        <f>"25390069"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195</v>
      </c>
      <c r="B114" t="s">
        <v>6250</v>
      </c>
      <c r="C114">
        <f>"25570821"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195</v>
      </c>
      <c r="B115" t="s">
        <v>5741</v>
      </c>
      <c r="C115">
        <f>"25702358"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195</v>
      </c>
      <c r="B116" t="s">
        <v>9746</v>
      </c>
      <c r="C116">
        <f>"25390124"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195</v>
      </c>
      <c r="B117" t="s">
        <v>5898</v>
      </c>
      <c r="C117">
        <f>"25702345"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195</v>
      </c>
      <c r="B118" t="s">
        <v>5900</v>
      </c>
      <c r="C118">
        <f>"25702382"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195</v>
      </c>
      <c r="B119" t="s">
        <v>5901</v>
      </c>
      <c r="C119">
        <f>"25702383"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195</v>
      </c>
      <c r="B120" t="s">
        <v>5750</v>
      </c>
      <c r="C120">
        <f>"25702380"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195</v>
      </c>
      <c r="B121" t="s">
        <v>5751</v>
      </c>
      <c r="C121">
        <f>"25395688"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195</v>
      </c>
      <c r="B122" t="s">
        <v>4457</v>
      </c>
      <c r="C122">
        <f>"27230005"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195</v>
      </c>
      <c r="B123" t="s">
        <v>4458</v>
      </c>
      <c r="C123">
        <f>"27230001"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195</v>
      </c>
      <c r="B124" t="s">
        <v>4459</v>
      </c>
      <c r="C124">
        <f>"27210003"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195</v>
      </c>
      <c r="B125" t="s">
        <v>6330</v>
      </c>
      <c r="C125">
        <f>"25002476"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195</v>
      </c>
      <c r="B126" t="s">
        <v>4461</v>
      </c>
      <c r="C126">
        <f>"27220014"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195</v>
      </c>
      <c r="B127" t="s">
        <v>4367</v>
      </c>
      <c r="C127">
        <f>"27140002"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195</v>
      </c>
      <c r="B128" t="s">
        <v>3421</v>
      </c>
      <c r="C128">
        <f>"25395998"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195</v>
      </c>
      <c r="B129" t="s">
        <v>3422</v>
      </c>
      <c r="C129">
        <f>"25395999"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195</v>
      </c>
      <c r="B130" t="s">
        <v>3466</v>
      </c>
      <c r="C130">
        <f>"25390008"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195</v>
      </c>
      <c r="B131" t="s">
        <v>3482</v>
      </c>
      <c r="C131">
        <f>"25395997"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195</v>
      </c>
      <c r="B132" t="s">
        <v>3500</v>
      </c>
      <c r="C132">
        <f>"25390083"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195</v>
      </c>
      <c r="B133" t="s">
        <v>3501</v>
      </c>
      <c r="C133">
        <f>"25390072"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195</v>
      </c>
      <c r="B134" t="s">
        <v>4262</v>
      </c>
      <c r="C134">
        <f>"1710012"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195</v>
      </c>
      <c r="B135" t="s">
        <v>4460</v>
      </c>
      <c r="C135">
        <f>"27210001"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195</v>
      </c>
      <c r="B136" t="s">
        <v>6331</v>
      </c>
      <c r="C136">
        <f>"25395964"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195</v>
      </c>
      <c r="B137" t="s">
        <v>6332</v>
      </c>
      <c r="C137">
        <f>"25395970"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195</v>
      </c>
      <c r="B138" t="s">
        <v>6418</v>
      </c>
      <c r="C138">
        <f>"25395958"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195</v>
      </c>
      <c r="B139" t="s">
        <v>6419</v>
      </c>
      <c r="C139">
        <f>"25395969"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195</v>
      </c>
      <c r="B140" t="s">
        <v>6284</v>
      </c>
      <c r="C140">
        <f>"25702366"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195</v>
      </c>
      <c r="B141" t="s">
        <v>6285</v>
      </c>
      <c r="C141">
        <f>"25702367"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195</v>
      </c>
      <c r="B142" t="s">
        <v>5624</v>
      </c>
      <c r="C142">
        <f>"25570765"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195</v>
      </c>
      <c r="B143" t="s">
        <v>5625</v>
      </c>
      <c r="C143">
        <f>"25570766"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195</v>
      </c>
      <c r="B144" t="s">
        <v>4494</v>
      </c>
      <c r="C144">
        <f>"25702348"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195</v>
      </c>
      <c r="B145" t="s">
        <v>3459</v>
      </c>
      <c r="C145">
        <f>"25002884"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195</v>
      </c>
      <c r="B146" t="s">
        <v>3460</v>
      </c>
      <c r="C146">
        <f>"25023228"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195</v>
      </c>
      <c r="B147" t="s">
        <v>3461</v>
      </c>
      <c r="C147">
        <f>"25002830"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195</v>
      </c>
      <c r="B148" t="s">
        <v>3462</v>
      </c>
      <c r="C148">
        <f>"25002831"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195</v>
      </c>
      <c r="B149" t="s">
        <v>3463</v>
      </c>
      <c r="C149">
        <f>"25002832"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195</v>
      </c>
      <c r="B150" t="s">
        <v>5745</v>
      </c>
      <c r="C150">
        <f>"25702371"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195</v>
      </c>
      <c r="B151" t="s">
        <v>5746</v>
      </c>
      <c r="C151">
        <f>"25702394"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195</v>
      </c>
      <c r="B152" t="s">
        <v>5747</v>
      </c>
      <c r="C152">
        <f>"25702346"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195</v>
      </c>
      <c r="B153" t="s">
        <v>5748</v>
      </c>
      <c r="C153">
        <f>"25702347"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195</v>
      </c>
      <c r="B154" t="s">
        <v>3488</v>
      </c>
      <c r="C154">
        <f>"25002883"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195</v>
      </c>
      <c r="B155" t="s">
        <v>8903</v>
      </c>
      <c r="C155">
        <f>"25002310"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195</v>
      </c>
      <c r="B156" t="s">
        <v>8904</v>
      </c>
      <c r="C156">
        <f>"25002965"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195</v>
      </c>
      <c r="B157" t="s">
        <v>8985</v>
      </c>
      <c r="C157">
        <f>"25702513"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195</v>
      </c>
      <c r="B158" t="s">
        <v>9166</v>
      </c>
      <c r="C158">
        <f>"24003170"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195</v>
      </c>
      <c r="B159" t="s">
        <v>9167</v>
      </c>
      <c r="C159">
        <f>"24003095"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195</v>
      </c>
      <c r="B160" t="s">
        <v>9168</v>
      </c>
      <c r="C160">
        <f>"24002319"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100</v>
      </c>
      <c r="Q160">
        <v>0</v>
      </c>
      <c r="R160" t="s">
        <v>145</v>
      </c>
      <c r="S160">
        <v>0</v>
      </c>
    </row>
    <row r="161" spans="1:19">
      <c r="A161" t="s">
        <v>195</v>
      </c>
      <c r="B161" t="s">
        <v>9169</v>
      </c>
      <c r="C161">
        <f>"24002296"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195</v>
      </c>
      <c r="B162" t="s">
        <v>9895</v>
      </c>
      <c r="C162">
        <f>"25570831"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195</v>
      </c>
      <c r="B163" t="s">
        <v>4295</v>
      </c>
      <c r="C163">
        <f>"27869512"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195</v>
      </c>
      <c r="B164" t="s">
        <v>9897</v>
      </c>
      <c r="C164">
        <f>"25002163"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195</v>
      </c>
      <c r="B165" t="s">
        <v>9882</v>
      </c>
      <c r="C165">
        <f>"25002164"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195</v>
      </c>
      <c r="B166" t="s">
        <v>9842</v>
      </c>
      <c r="C166">
        <f>"25002165"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100</v>
      </c>
      <c r="Q166">
        <v>0</v>
      </c>
      <c r="R166" t="s">
        <v>145</v>
      </c>
      <c r="S166">
        <v>0</v>
      </c>
    </row>
    <row r="167" spans="1:19">
      <c r="A167" t="s">
        <v>195</v>
      </c>
      <c r="B167" t="s">
        <v>9843</v>
      </c>
      <c r="C167">
        <f>"25570833"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100</v>
      </c>
      <c r="Q167">
        <v>0</v>
      </c>
      <c r="R167" t="s">
        <v>145</v>
      </c>
      <c r="S167">
        <v>0</v>
      </c>
    </row>
    <row r="168" spans="1:19">
      <c r="A168" t="s">
        <v>195</v>
      </c>
      <c r="B168" t="s">
        <v>9844</v>
      </c>
      <c r="C168">
        <f>"25395697"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195</v>
      </c>
      <c r="B169" t="s">
        <v>8845</v>
      </c>
      <c r="C169">
        <f>"24000843"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100</v>
      </c>
      <c r="Q169">
        <v>0</v>
      </c>
      <c r="R169" t="s">
        <v>145</v>
      </c>
      <c r="S169">
        <v>0</v>
      </c>
    </row>
    <row r="170" spans="1:19">
      <c r="A170" t="s">
        <v>195</v>
      </c>
      <c r="B170" t="s">
        <v>8846</v>
      </c>
      <c r="C170">
        <f>"24003253"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195</v>
      </c>
      <c r="B171" t="s">
        <v>8847</v>
      </c>
      <c r="C171">
        <f>"24003215"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195</v>
      </c>
      <c r="B172" t="s">
        <v>8848</v>
      </c>
      <c r="C172">
        <f>"24003260"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195</v>
      </c>
      <c r="B173" t="s">
        <v>9896</v>
      </c>
      <c r="C173">
        <f>"25570834"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195</v>
      </c>
      <c r="B174" t="s">
        <v>8844</v>
      </c>
      <c r="C174">
        <f>"24000836"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100</v>
      </c>
      <c r="Q174">
        <v>0</v>
      </c>
      <c r="R174" t="s">
        <v>145</v>
      </c>
      <c r="S174">
        <v>0</v>
      </c>
    </row>
    <row r="175" spans="1:19">
      <c r="A175" t="s">
        <v>195</v>
      </c>
      <c r="B175" t="s">
        <v>3941</v>
      </c>
      <c r="C175">
        <f>"25702062"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100</v>
      </c>
      <c r="Q175">
        <v>0</v>
      </c>
      <c r="R175" t="s">
        <v>145</v>
      </c>
      <c r="S175">
        <v>0</v>
      </c>
    </row>
    <row r="176" spans="1:19">
      <c r="A176" t="s">
        <v>195</v>
      </c>
      <c r="B176" t="s">
        <v>3942</v>
      </c>
      <c r="C176">
        <f>"25702060"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100</v>
      </c>
      <c r="Q176">
        <v>0</v>
      </c>
      <c r="R176" t="s">
        <v>145</v>
      </c>
      <c r="S176">
        <v>0</v>
      </c>
    </row>
    <row r="177" spans="1:19">
      <c r="A177" t="s">
        <v>195</v>
      </c>
      <c r="B177" t="s">
        <v>3943</v>
      </c>
      <c r="C177">
        <f>"25702092"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100</v>
      </c>
      <c r="Q177">
        <v>0</v>
      </c>
      <c r="R177" t="s">
        <v>145</v>
      </c>
      <c r="S177">
        <v>0</v>
      </c>
    </row>
    <row r="178" spans="1:19">
      <c r="A178" t="s">
        <v>195</v>
      </c>
      <c r="B178" t="s">
        <v>3944</v>
      </c>
      <c r="C178">
        <f>"25702051"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100</v>
      </c>
      <c r="Q178">
        <v>0</v>
      </c>
      <c r="R178" t="s">
        <v>145</v>
      </c>
      <c r="S178">
        <v>0</v>
      </c>
    </row>
    <row r="179" spans="1:19">
      <c r="A179" t="s">
        <v>195</v>
      </c>
      <c r="B179" t="s">
        <v>3945</v>
      </c>
      <c r="C179">
        <f>"25702052"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100</v>
      </c>
      <c r="Q179">
        <v>0</v>
      </c>
      <c r="R179" t="s">
        <v>145</v>
      </c>
      <c r="S179">
        <v>0</v>
      </c>
    </row>
    <row r="180" spans="1:19">
      <c r="A180" t="s">
        <v>195</v>
      </c>
      <c r="B180" t="s">
        <v>3946</v>
      </c>
      <c r="C180">
        <f>"25702050"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100</v>
      </c>
      <c r="Q180">
        <v>0</v>
      </c>
      <c r="R180" t="s">
        <v>145</v>
      </c>
      <c r="S180">
        <v>0</v>
      </c>
    </row>
    <row r="181" spans="1:19">
      <c r="A181" t="s">
        <v>195</v>
      </c>
      <c r="B181" t="s">
        <v>5749</v>
      </c>
      <c r="C181">
        <f>"25570756"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100</v>
      </c>
      <c r="Q181">
        <v>0</v>
      </c>
      <c r="R181" t="s">
        <v>145</v>
      </c>
      <c r="S181">
        <v>0</v>
      </c>
    </row>
    <row r="182" spans="1:19">
      <c r="A182" t="s">
        <v>195</v>
      </c>
      <c r="B182" t="s">
        <v>8939</v>
      </c>
      <c r="C182">
        <f>"25002309"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100</v>
      </c>
      <c r="Q182">
        <v>0</v>
      </c>
      <c r="R182" t="s">
        <v>145</v>
      </c>
      <c r="S182">
        <v>0</v>
      </c>
    </row>
    <row r="183" spans="1:19">
      <c r="A183" t="s">
        <v>195</v>
      </c>
      <c r="B183" t="s">
        <v>8915</v>
      </c>
      <c r="C183">
        <f>"25570758"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100</v>
      </c>
      <c r="Q183">
        <v>0</v>
      </c>
      <c r="R183" t="s">
        <v>145</v>
      </c>
      <c r="S183">
        <v>0</v>
      </c>
    </row>
    <row r="184" spans="1:19">
      <c r="A184" t="s">
        <v>195</v>
      </c>
      <c r="B184" t="s">
        <v>9185</v>
      </c>
      <c r="C184">
        <f>"24000898"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100</v>
      </c>
      <c r="Q184">
        <v>0</v>
      </c>
      <c r="R184" t="s">
        <v>145</v>
      </c>
      <c r="S184">
        <v>0</v>
      </c>
    </row>
    <row r="185" spans="1:19">
      <c r="A185" t="s">
        <v>195</v>
      </c>
      <c r="B185" t="s">
        <v>9186</v>
      </c>
      <c r="C185">
        <f>"24000904"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100</v>
      </c>
      <c r="Q185">
        <v>0</v>
      </c>
      <c r="R185" t="s">
        <v>145</v>
      </c>
      <c r="S185">
        <v>0</v>
      </c>
    </row>
    <row r="186" spans="1:19">
      <c r="A186" t="s">
        <v>195</v>
      </c>
      <c r="B186" t="s">
        <v>9187</v>
      </c>
      <c r="C186">
        <f>"24000874"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100</v>
      </c>
      <c r="Q186">
        <v>0</v>
      </c>
      <c r="R186" t="s">
        <v>145</v>
      </c>
      <c r="S186">
        <v>0</v>
      </c>
    </row>
    <row r="187" spans="1:19">
      <c r="A187" t="s">
        <v>195</v>
      </c>
      <c r="B187" t="s">
        <v>9161</v>
      </c>
      <c r="C187">
        <f>"24000881"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100</v>
      </c>
      <c r="Q187">
        <v>0</v>
      </c>
      <c r="R187" t="s">
        <v>145</v>
      </c>
      <c r="S187">
        <v>0</v>
      </c>
    </row>
    <row r="188" spans="1:19">
      <c r="A188" t="s">
        <v>195</v>
      </c>
      <c r="B188" t="s">
        <v>8523</v>
      </c>
      <c r="C188">
        <f>"25002100"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100</v>
      </c>
      <c r="Q188">
        <v>0</v>
      </c>
      <c r="R188" t="s">
        <v>145</v>
      </c>
      <c r="S188">
        <v>0</v>
      </c>
    </row>
    <row r="189" spans="1:19">
      <c r="A189" t="s">
        <v>195</v>
      </c>
      <c r="B189" t="s">
        <v>8524</v>
      </c>
      <c r="C189">
        <f>"25002101"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100</v>
      </c>
      <c r="Q189">
        <v>0</v>
      </c>
      <c r="R189" t="s">
        <v>145</v>
      </c>
      <c r="S189">
        <v>0</v>
      </c>
    </row>
    <row r="190" spans="1:19">
      <c r="A190" t="s">
        <v>195</v>
      </c>
      <c r="B190" t="s">
        <v>8525</v>
      </c>
      <c r="C190">
        <f>"25022566"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100</v>
      </c>
      <c r="Q190">
        <v>0</v>
      </c>
      <c r="R190" t="s">
        <v>145</v>
      </c>
      <c r="S190">
        <v>0</v>
      </c>
    </row>
    <row r="191" spans="1:19">
      <c r="A191" t="s">
        <v>195</v>
      </c>
      <c r="B191" t="s">
        <v>3830</v>
      </c>
      <c r="C191">
        <f>"25395671"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100</v>
      </c>
      <c r="Q191">
        <v>0</v>
      </c>
      <c r="R191" t="s">
        <v>145</v>
      </c>
      <c r="S191">
        <v>0</v>
      </c>
    </row>
    <row r="192" spans="1:19">
      <c r="A192" t="s">
        <v>195</v>
      </c>
      <c r="B192" t="s">
        <v>8914</v>
      </c>
      <c r="C192">
        <f>"25570757"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100</v>
      </c>
      <c r="Q192">
        <v>0</v>
      </c>
      <c r="R192" t="s">
        <v>145</v>
      </c>
      <c r="S192">
        <v>0</v>
      </c>
    </row>
    <row r="193" spans="1:19">
      <c r="A193" t="s">
        <v>195</v>
      </c>
      <c r="B193" t="s">
        <v>9894</v>
      </c>
      <c r="C193">
        <f>"25002037"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100</v>
      </c>
      <c r="Q193">
        <v>0</v>
      </c>
      <c r="R193" t="s">
        <v>145</v>
      </c>
      <c r="S193">
        <v>0</v>
      </c>
    </row>
    <row r="194" spans="1:19">
      <c r="A194" t="s">
        <v>195</v>
      </c>
      <c r="B194" t="s">
        <v>5626</v>
      </c>
      <c r="C194">
        <f>"25570767"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100</v>
      </c>
      <c r="Q194">
        <v>0</v>
      </c>
      <c r="R194" t="s">
        <v>145</v>
      </c>
      <c r="S194">
        <v>0</v>
      </c>
    </row>
    <row r="195" spans="1:19">
      <c r="A195" t="s">
        <v>195</v>
      </c>
      <c r="B195" t="s">
        <v>3637</v>
      </c>
      <c r="C195">
        <f>"1710015"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100</v>
      </c>
      <c r="Q195">
        <v>0</v>
      </c>
      <c r="R195" t="s">
        <v>145</v>
      </c>
      <c r="S195">
        <v>0</v>
      </c>
    </row>
    <row r="196" spans="1:19">
      <c r="A196" t="s">
        <v>195</v>
      </c>
      <c r="B196" t="s">
        <v>3636</v>
      </c>
      <c r="C196">
        <f>"1710006"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100</v>
      </c>
      <c r="Q196">
        <v>0</v>
      </c>
      <c r="R196" t="s">
        <v>145</v>
      </c>
      <c r="S196">
        <v>0</v>
      </c>
    </row>
    <row r="197" spans="1:19">
      <c r="A197" t="s">
        <v>195</v>
      </c>
      <c r="B197" t="s">
        <v>9283</v>
      </c>
      <c r="C197">
        <f>"25395804"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100</v>
      </c>
      <c r="Q197">
        <v>0</v>
      </c>
      <c r="R197" t="s">
        <v>145</v>
      </c>
      <c r="S197">
        <v>0</v>
      </c>
    </row>
    <row r="198" spans="1:19">
      <c r="A198" t="s">
        <v>195</v>
      </c>
      <c r="B198" t="s">
        <v>5096</v>
      </c>
      <c r="C198">
        <f>"25570606"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100</v>
      </c>
      <c r="Q198">
        <v>0</v>
      </c>
      <c r="R198" t="s">
        <v>145</v>
      </c>
      <c r="S198">
        <v>0</v>
      </c>
    </row>
    <row r="199" spans="1:19">
      <c r="A199" t="s">
        <v>195</v>
      </c>
      <c r="B199" t="s">
        <v>8586</v>
      </c>
      <c r="C199">
        <f>"25702351"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100</v>
      </c>
      <c r="Q199">
        <v>0</v>
      </c>
      <c r="R199" t="s">
        <v>145</v>
      </c>
      <c r="S199">
        <v>0</v>
      </c>
    </row>
    <row r="200" spans="1:19">
      <c r="A200" t="s">
        <v>195</v>
      </c>
      <c r="B200" t="s">
        <v>5097</v>
      </c>
      <c r="C200">
        <f>"25570605"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100</v>
      </c>
      <c r="Q200">
        <v>0</v>
      </c>
      <c r="R200" t="s">
        <v>145</v>
      </c>
      <c r="S200">
        <v>0</v>
      </c>
    </row>
    <row r="201" spans="1:19">
      <c r="A201" t="s">
        <v>195</v>
      </c>
      <c r="B201" t="s">
        <v>9180</v>
      </c>
      <c r="C201">
        <f>"24003222"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100</v>
      </c>
      <c r="Q201">
        <v>0</v>
      </c>
      <c r="R201" t="s">
        <v>145</v>
      </c>
      <c r="S201">
        <v>0</v>
      </c>
    </row>
    <row r="202" spans="1:19">
      <c r="A202" t="s">
        <v>195</v>
      </c>
      <c r="B202" t="s">
        <v>3701</v>
      </c>
      <c r="C202">
        <f>"25395947"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100</v>
      </c>
      <c r="Q202">
        <v>0</v>
      </c>
      <c r="R202" t="s">
        <v>145</v>
      </c>
      <c r="S202">
        <v>0</v>
      </c>
    </row>
    <row r="203" spans="1:19">
      <c r="A203" t="s">
        <v>195</v>
      </c>
      <c r="B203" t="s">
        <v>9648</v>
      </c>
      <c r="C203">
        <f>"25702047"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100</v>
      </c>
      <c r="Q203">
        <v>0</v>
      </c>
      <c r="R203" t="s">
        <v>145</v>
      </c>
      <c r="S203">
        <v>0</v>
      </c>
    </row>
    <row r="204" spans="1:19">
      <c r="A204" t="s">
        <v>195</v>
      </c>
      <c r="B204" t="s">
        <v>4729</v>
      </c>
      <c r="C204">
        <f>"25570054"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100</v>
      </c>
      <c r="Q204">
        <v>0</v>
      </c>
      <c r="R204" t="s">
        <v>145</v>
      </c>
      <c r="S204">
        <v>0</v>
      </c>
    </row>
    <row r="205" spans="1:19">
      <c r="A205" t="s">
        <v>195</v>
      </c>
      <c r="B205" t="s">
        <v>4761</v>
      </c>
      <c r="C205">
        <f>"25570057"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100</v>
      </c>
      <c r="Q205">
        <v>0</v>
      </c>
      <c r="R205" t="s">
        <v>145</v>
      </c>
      <c r="S205">
        <v>0</v>
      </c>
    </row>
    <row r="206" spans="1:19">
      <c r="A206" t="s">
        <v>195</v>
      </c>
      <c r="B206" t="s">
        <v>6066</v>
      </c>
      <c r="C206">
        <f>"25570450"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100</v>
      </c>
      <c r="Q206">
        <v>0</v>
      </c>
      <c r="R206" t="s">
        <v>145</v>
      </c>
      <c r="S206">
        <v>0</v>
      </c>
    </row>
    <row r="207" spans="1:19">
      <c r="A207" t="s">
        <v>195</v>
      </c>
      <c r="B207" t="s">
        <v>6100</v>
      </c>
      <c r="C207">
        <f>"25570464"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100</v>
      </c>
      <c r="Q207">
        <v>0</v>
      </c>
      <c r="R207" t="s">
        <v>145</v>
      </c>
      <c r="S207">
        <v>0</v>
      </c>
    </row>
    <row r="208" spans="1:19">
      <c r="A208" t="s">
        <v>195</v>
      </c>
      <c r="B208" t="s">
        <v>6101</v>
      </c>
      <c r="C208">
        <f>"25570465"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100</v>
      </c>
      <c r="Q208">
        <v>0</v>
      </c>
      <c r="R208" t="s">
        <v>145</v>
      </c>
      <c r="S208">
        <v>0</v>
      </c>
    </row>
    <row r="209" spans="1:19">
      <c r="A209" t="s">
        <v>195</v>
      </c>
      <c r="B209" t="s">
        <v>5285</v>
      </c>
      <c r="C209">
        <f>"25570900"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100</v>
      </c>
      <c r="Q209">
        <v>0</v>
      </c>
      <c r="R209" t="s">
        <v>145</v>
      </c>
      <c r="S209">
        <v>0</v>
      </c>
    </row>
    <row r="210" spans="1:19">
      <c r="A210" t="s">
        <v>195</v>
      </c>
      <c r="B210" t="s">
        <v>7281</v>
      </c>
      <c r="C210">
        <f>"395652"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100</v>
      </c>
      <c r="Q210">
        <v>0</v>
      </c>
      <c r="R210" t="s">
        <v>145</v>
      </c>
      <c r="S210">
        <v>0</v>
      </c>
    </row>
    <row r="211" spans="1:19">
      <c r="A211" t="s">
        <v>195</v>
      </c>
      <c r="B211" t="s">
        <v>3195</v>
      </c>
      <c r="C211">
        <f>"25395653"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100</v>
      </c>
      <c r="Q211">
        <v>0</v>
      </c>
      <c r="R211" t="s">
        <v>145</v>
      </c>
      <c r="S211">
        <v>0</v>
      </c>
    </row>
    <row r="212" spans="1:19">
      <c r="A212" t="s">
        <v>195</v>
      </c>
      <c r="B212" t="s">
        <v>9181</v>
      </c>
      <c r="C212">
        <f>"24003284"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100</v>
      </c>
      <c r="Q212">
        <v>0</v>
      </c>
      <c r="R212" t="s">
        <v>145</v>
      </c>
      <c r="S212">
        <v>0</v>
      </c>
    </row>
    <row r="213" spans="1:19">
      <c r="A213" t="s">
        <v>195</v>
      </c>
      <c r="B213" t="s">
        <v>9182</v>
      </c>
      <c r="C213">
        <f>"24003246"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100</v>
      </c>
      <c r="Q213">
        <v>0</v>
      </c>
      <c r="R213" t="s">
        <v>145</v>
      </c>
      <c r="S213">
        <v>0</v>
      </c>
    </row>
    <row r="214" spans="1:19">
      <c r="A214" t="s">
        <v>195</v>
      </c>
      <c r="B214" t="s">
        <v>9183</v>
      </c>
      <c r="C214">
        <f>"24003277"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100</v>
      </c>
      <c r="Q214">
        <v>0</v>
      </c>
      <c r="R214" t="s">
        <v>145</v>
      </c>
      <c r="S214">
        <v>0</v>
      </c>
    </row>
    <row r="215" spans="1:19">
      <c r="A215" t="s">
        <v>195</v>
      </c>
      <c r="B215" t="s">
        <v>9184</v>
      </c>
      <c r="C215">
        <f>"24003239"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100</v>
      </c>
      <c r="Q215">
        <v>0</v>
      </c>
      <c r="R215" t="s">
        <v>145</v>
      </c>
      <c r="S215">
        <v>0</v>
      </c>
    </row>
    <row r="216" spans="1:19">
      <c r="A216" t="s">
        <v>195</v>
      </c>
      <c r="B216" t="s">
        <v>6070</v>
      </c>
      <c r="C216">
        <f>"25570437"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100</v>
      </c>
      <c r="Q216">
        <v>0</v>
      </c>
      <c r="R216" t="s">
        <v>145</v>
      </c>
      <c r="S216">
        <v>0</v>
      </c>
    </row>
    <row r="217" spans="1:19">
      <c r="A217" t="s">
        <v>195</v>
      </c>
      <c r="B217" t="s">
        <v>6071</v>
      </c>
      <c r="C217">
        <f>"25570497"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100</v>
      </c>
      <c r="Q217">
        <v>0</v>
      </c>
      <c r="R217" t="s">
        <v>145</v>
      </c>
      <c r="S217">
        <v>0</v>
      </c>
    </row>
    <row r="218" spans="1:19">
      <c r="A218" t="s">
        <v>195</v>
      </c>
      <c r="B218" t="s">
        <v>6072</v>
      </c>
      <c r="C218">
        <f>"25570480"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100</v>
      </c>
      <c r="Q218">
        <v>0</v>
      </c>
      <c r="R218" t="s">
        <v>145</v>
      </c>
      <c r="S218">
        <v>0</v>
      </c>
    </row>
    <row r="219" spans="1:19">
      <c r="A219" t="s">
        <v>195</v>
      </c>
      <c r="B219" t="s">
        <v>6073</v>
      </c>
      <c r="C219">
        <f>"25570481"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100</v>
      </c>
      <c r="Q219">
        <v>0</v>
      </c>
      <c r="R219" t="s">
        <v>145</v>
      </c>
      <c r="S219">
        <v>0</v>
      </c>
    </row>
    <row r="220" spans="1:19">
      <c r="A220" t="s">
        <v>195</v>
      </c>
      <c r="B220" t="s">
        <v>9893</v>
      </c>
      <c r="C220">
        <f>"25002036"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100</v>
      </c>
      <c r="Q220">
        <v>0</v>
      </c>
      <c r="R220" t="s">
        <v>145</v>
      </c>
      <c r="S220">
        <v>0</v>
      </c>
    </row>
    <row r="221" spans="1:19">
      <c r="A221" t="s">
        <v>195</v>
      </c>
      <c r="B221" t="s">
        <v>5984</v>
      </c>
      <c r="C221">
        <f>"25002416"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100</v>
      </c>
      <c r="Q221">
        <v>0</v>
      </c>
      <c r="R221" t="s">
        <v>145</v>
      </c>
      <c r="S221">
        <v>0</v>
      </c>
    </row>
    <row r="222" spans="1:19">
      <c r="A222" t="s">
        <v>195</v>
      </c>
      <c r="B222" t="s">
        <v>5959</v>
      </c>
      <c r="C222">
        <f>"25002418"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100</v>
      </c>
      <c r="Q222">
        <v>0</v>
      </c>
      <c r="R222" t="s">
        <v>145</v>
      </c>
      <c r="S222">
        <v>0</v>
      </c>
    </row>
    <row r="223" spans="1:19">
      <c r="A223" t="s">
        <v>195</v>
      </c>
      <c r="B223" t="s">
        <v>6048</v>
      </c>
      <c r="C223">
        <f>"25999352"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100</v>
      </c>
      <c r="Q223">
        <v>0</v>
      </c>
      <c r="R223" t="s">
        <v>145</v>
      </c>
      <c r="S223">
        <v>0</v>
      </c>
    </row>
    <row r="224" spans="1:19">
      <c r="A224" t="s">
        <v>195</v>
      </c>
      <c r="B224" t="s">
        <v>6340</v>
      </c>
      <c r="C224">
        <f>"JONIC11"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100</v>
      </c>
      <c r="Q224">
        <v>0</v>
      </c>
      <c r="R224" t="s">
        <v>145</v>
      </c>
      <c r="S224">
        <v>0</v>
      </c>
    </row>
    <row r="225" spans="1:19">
      <c r="A225" t="s">
        <v>195</v>
      </c>
      <c r="B225" t="s">
        <v>1355</v>
      </c>
      <c r="C225">
        <f>"25395731"</f>
        <v>0</v>
      </c>
      <c r="D225">
        <v>0</v>
      </c>
      <c r="E225">
        <v>1</v>
      </c>
      <c r="F225">
        <v>0</v>
      </c>
      <c r="G225">
        <v>0</v>
      </c>
      <c r="H225">
        <v>1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100</v>
      </c>
      <c r="Q225">
        <v>0</v>
      </c>
      <c r="R225" t="s">
        <v>145</v>
      </c>
      <c r="S225">
        <v>0</v>
      </c>
    </row>
    <row r="226" spans="1:19">
      <c r="A226" t="s">
        <v>195</v>
      </c>
      <c r="B226" t="s">
        <v>8526</v>
      </c>
      <c r="C226">
        <f>"25022573"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100</v>
      </c>
      <c r="Q226">
        <v>0</v>
      </c>
      <c r="R226" t="s">
        <v>145</v>
      </c>
      <c r="S226">
        <v>0</v>
      </c>
    </row>
    <row r="227" spans="1:19">
      <c r="A227" t="s">
        <v>195</v>
      </c>
      <c r="B227" t="s">
        <v>8527</v>
      </c>
      <c r="C227">
        <f>"IKAI01"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100</v>
      </c>
      <c r="Q227">
        <v>0</v>
      </c>
      <c r="R227" t="s">
        <v>145</v>
      </c>
      <c r="S227">
        <v>0</v>
      </c>
    </row>
    <row r="228" spans="1:19">
      <c r="A228" t="s">
        <v>195</v>
      </c>
      <c r="B228" t="s">
        <v>9860</v>
      </c>
      <c r="C228">
        <f>"25390006"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100</v>
      </c>
      <c r="Q228">
        <v>0</v>
      </c>
      <c r="R228" t="s">
        <v>145</v>
      </c>
      <c r="S228">
        <v>0</v>
      </c>
    </row>
    <row r="229" spans="1:19">
      <c r="A229" t="s">
        <v>195</v>
      </c>
      <c r="B229" t="s">
        <v>9892</v>
      </c>
      <c r="C229">
        <f>"25390007"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100</v>
      </c>
      <c r="Q229">
        <v>0</v>
      </c>
      <c r="R229" t="s">
        <v>145</v>
      </c>
      <c r="S229">
        <v>0</v>
      </c>
    </row>
    <row r="230" spans="1:19">
      <c r="A230" t="s">
        <v>195</v>
      </c>
      <c r="B230" t="s">
        <v>5955</v>
      </c>
      <c r="C230">
        <f>"25002419"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100</v>
      </c>
      <c r="Q230">
        <v>0</v>
      </c>
      <c r="R230" t="s">
        <v>145</v>
      </c>
      <c r="S230">
        <v>0</v>
      </c>
    </row>
    <row r="231" spans="1:19">
      <c r="A231" t="s">
        <v>195</v>
      </c>
      <c r="B231" t="s">
        <v>3640</v>
      </c>
      <c r="C231">
        <f>"25702829"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100</v>
      </c>
      <c r="Q231">
        <v>0</v>
      </c>
      <c r="R231" t="s">
        <v>145</v>
      </c>
      <c r="S231">
        <v>0</v>
      </c>
    </row>
    <row r="232" spans="1:19">
      <c r="A232" t="s">
        <v>195</v>
      </c>
      <c r="B232" t="s">
        <v>3641</v>
      </c>
      <c r="C232">
        <f>"25702826"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100</v>
      </c>
      <c r="Q232">
        <v>0</v>
      </c>
      <c r="R232" t="s">
        <v>145</v>
      </c>
      <c r="S232">
        <v>0</v>
      </c>
    </row>
    <row r="233" spans="1:19">
      <c r="A233" t="s">
        <v>195</v>
      </c>
      <c r="B233" t="s">
        <v>3642</v>
      </c>
      <c r="C233">
        <f>"25702798"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100</v>
      </c>
      <c r="Q233">
        <v>0</v>
      </c>
      <c r="R233" t="s">
        <v>145</v>
      </c>
      <c r="S233">
        <v>0</v>
      </c>
    </row>
    <row r="234" spans="1:19">
      <c r="A234" t="s">
        <v>195</v>
      </c>
      <c r="B234" t="s">
        <v>3643</v>
      </c>
      <c r="C234">
        <f>"25702799"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100</v>
      </c>
      <c r="Q234">
        <v>0</v>
      </c>
      <c r="R234" t="s">
        <v>145</v>
      </c>
      <c r="S234">
        <v>0</v>
      </c>
    </row>
    <row r="235" spans="1:19">
      <c r="A235" t="s">
        <v>195</v>
      </c>
      <c r="B235" t="s">
        <v>3717</v>
      </c>
      <c r="C235">
        <f>"27962125"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100</v>
      </c>
      <c r="Q235">
        <v>0</v>
      </c>
      <c r="R235" t="s">
        <v>145</v>
      </c>
      <c r="S235">
        <v>0</v>
      </c>
    </row>
    <row r="236" spans="1:19">
      <c r="A236" t="s">
        <v>195</v>
      </c>
      <c r="B236" t="s">
        <v>3718</v>
      </c>
      <c r="C236">
        <f>"27962305"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100</v>
      </c>
      <c r="Q236">
        <v>0</v>
      </c>
      <c r="R236" t="s">
        <v>145</v>
      </c>
      <c r="S236">
        <v>0</v>
      </c>
    </row>
    <row r="237" spans="1:19">
      <c r="A237" t="s">
        <v>195</v>
      </c>
      <c r="B237" t="s">
        <v>3719</v>
      </c>
      <c r="C237">
        <f>"27962025"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100</v>
      </c>
      <c r="Q237">
        <v>0</v>
      </c>
      <c r="R237" t="s">
        <v>145</v>
      </c>
      <c r="S237">
        <v>0</v>
      </c>
    </row>
    <row r="238" spans="1:19">
      <c r="A238" t="s">
        <v>195</v>
      </c>
      <c r="B238" t="s">
        <v>3720</v>
      </c>
      <c r="C238">
        <f>"23437225"</f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100</v>
      </c>
      <c r="Q238">
        <v>0</v>
      </c>
      <c r="R238" t="s">
        <v>145</v>
      </c>
      <c r="S238">
        <v>0</v>
      </c>
    </row>
    <row r="239" spans="1:19">
      <c r="A239" t="s">
        <v>195</v>
      </c>
      <c r="B239" t="s">
        <v>8843</v>
      </c>
      <c r="C239">
        <f>"24000867"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100</v>
      </c>
      <c r="Q239">
        <v>0</v>
      </c>
      <c r="R239" t="s">
        <v>145</v>
      </c>
      <c r="S239">
        <v>0</v>
      </c>
    </row>
    <row r="240" spans="1:19">
      <c r="A240" t="s">
        <v>195</v>
      </c>
      <c r="B240" t="s">
        <v>3722</v>
      </c>
      <c r="C240">
        <f>"23437231"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100</v>
      </c>
      <c r="Q240">
        <v>0</v>
      </c>
      <c r="R240" t="s">
        <v>145</v>
      </c>
      <c r="S240">
        <v>0</v>
      </c>
    </row>
    <row r="241" spans="1:19">
      <c r="A241" t="s">
        <v>195</v>
      </c>
      <c r="B241" t="s">
        <v>3742</v>
      </c>
      <c r="C241">
        <f>"23437232"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100</v>
      </c>
      <c r="Q241">
        <v>0</v>
      </c>
      <c r="R241" t="s">
        <v>145</v>
      </c>
      <c r="S241">
        <v>0</v>
      </c>
    </row>
    <row r="242" spans="1:19">
      <c r="A242" t="s">
        <v>195</v>
      </c>
      <c r="B242" t="s">
        <v>3737</v>
      </c>
      <c r="C242">
        <f>"25570226"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100</v>
      </c>
      <c r="Q242">
        <v>0</v>
      </c>
      <c r="R242" t="s">
        <v>145</v>
      </c>
      <c r="S242">
        <v>0</v>
      </c>
    </row>
    <row r="243" spans="1:19">
      <c r="A243" t="s">
        <v>195</v>
      </c>
      <c r="B243" t="s">
        <v>3754</v>
      </c>
      <c r="C243">
        <f>"25570227"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100</v>
      </c>
      <c r="Q243">
        <v>0</v>
      </c>
      <c r="R243" t="s">
        <v>145</v>
      </c>
      <c r="S243">
        <v>0</v>
      </c>
    </row>
    <row r="244" spans="1:19">
      <c r="A244" t="s">
        <v>195</v>
      </c>
      <c r="B244" t="s">
        <v>3739</v>
      </c>
      <c r="C244">
        <f>"25570228"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100</v>
      </c>
      <c r="Q244">
        <v>0</v>
      </c>
      <c r="R244" t="s">
        <v>145</v>
      </c>
      <c r="S244">
        <v>0</v>
      </c>
    </row>
    <row r="245" spans="1:19">
      <c r="A245" t="s">
        <v>195</v>
      </c>
      <c r="B245" t="s">
        <v>3740</v>
      </c>
      <c r="C245">
        <f>"25570205"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100</v>
      </c>
      <c r="Q245">
        <v>0</v>
      </c>
      <c r="R245" t="s">
        <v>145</v>
      </c>
      <c r="S245">
        <v>0</v>
      </c>
    </row>
    <row r="246" spans="1:19">
      <c r="A246" t="s">
        <v>195</v>
      </c>
      <c r="B246" t="s">
        <v>3741</v>
      </c>
      <c r="C246">
        <f>"25570206"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100</v>
      </c>
      <c r="Q246">
        <v>0</v>
      </c>
      <c r="R246" t="s">
        <v>145</v>
      </c>
      <c r="S246">
        <v>0</v>
      </c>
    </row>
    <row r="247" spans="1:19">
      <c r="A247" t="s">
        <v>195</v>
      </c>
      <c r="B247" t="s">
        <v>3649</v>
      </c>
      <c r="C247">
        <f>"25570207"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100</v>
      </c>
      <c r="Q247">
        <v>0</v>
      </c>
      <c r="R247" t="s">
        <v>145</v>
      </c>
      <c r="S247">
        <v>0</v>
      </c>
    </row>
    <row r="248" spans="1:19">
      <c r="A248" t="s">
        <v>195</v>
      </c>
      <c r="B248" t="s">
        <v>3650</v>
      </c>
      <c r="C248">
        <f>"25570204"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100</v>
      </c>
      <c r="Q248">
        <v>0</v>
      </c>
      <c r="R248" t="s">
        <v>145</v>
      </c>
      <c r="S248">
        <v>0</v>
      </c>
    </row>
    <row r="249" spans="1:19">
      <c r="A249" t="s">
        <v>195</v>
      </c>
      <c r="B249" t="s">
        <v>3721</v>
      </c>
      <c r="C249">
        <f>"23437226"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100</v>
      </c>
      <c r="Q249">
        <v>0</v>
      </c>
      <c r="R249" t="s">
        <v>145</v>
      </c>
      <c r="S249">
        <v>0</v>
      </c>
    </row>
    <row r="250" spans="1:19">
      <c r="A250" t="s">
        <v>195</v>
      </c>
      <c r="B250" t="s">
        <v>4296</v>
      </c>
      <c r="C250">
        <f>"27877555"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100</v>
      </c>
      <c r="Q250">
        <v>0</v>
      </c>
      <c r="R250" t="s">
        <v>145</v>
      </c>
      <c r="S250">
        <v>0</v>
      </c>
    </row>
    <row r="251" spans="1:19">
      <c r="A251" t="s">
        <v>195</v>
      </c>
      <c r="B251" t="s">
        <v>4297</v>
      </c>
      <c r="C251">
        <f>"27869212"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100</v>
      </c>
      <c r="Q251">
        <v>0</v>
      </c>
      <c r="R251" t="s">
        <v>145</v>
      </c>
      <c r="S251">
        <v>0</v>
      </c>
    </row>
    <row r="252" spans="1:19">
      <c r="A252" t="s">
        <v>195</v>
      </c>
      <c r="B252" t="s">
        <v>4272</v>
      </c>
      <c r="C252">
        <f>"27877255"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100</v>
      </c>
      <c r="Q252">
        <v>0</v>
      </c>
      <c r="R252" t="s">
        <v>145</v>
      </c>
      <c r="S252">
        <v>0</v>
      </c>
    </row>
    <row r="253" spans="1:19">
      <c r="A253" t="s">
        <v>195</v>
      </c>
      <c r="B253" t="s">
        <v>3648</v>
      </c>
      <c r="C253">
        <f>"25570222"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100</v>
      </c>
      <c r="Q253">
        <v>0</v>
      </c>
      <c r="R253" t="s">
        <v>145</v>
      </c>
      <c r="S253">
        <v>0</v>
      </c>
    </row>
    <row r="254" spans="1:19">
      <c r="A254" t="s">
        <v>195</v>
      </c>
      <c r="B254" t="s">
        <v>3680</v>
      </c>
      <c r="C254">
        <f>"25570223"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100</v>
      </c>
      <c r="Q254">
        <v>0</v>
      </c>
      <c r="R254" t="s">
        <v>145</v>
      </c>
      <c r="S254">
        <v>0</v>
      </c>
    </row>
    <row r="255" spans="1:19">
      <c r="A255" t="s">
        <v>195</v>
      </c>
      <c r="B255" t="s">
        <v>3681</v>
      </c>
      <c r="C255">
        <f>"25570224"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100</v>
      </c>
      <c r="Q255">
        <v>0</v>
      </c>
      <c r="R255" t="s">
        <v>145</v>
      </c>
      <c r="S255">
        <v>0</v>
      </c>
    </row>
    <row r="256" spans="1:19">
      <c r="A256" t="s">
        <v>195</v>
      </c>
      <c r="B256" t="s">
        <v>3682</v>
      </c>
      <c r="C256">
        <f>"25570233"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100</v>
      </c>
      <c r="Q256">
        <v>0</v>
      </c>
      <c r="R256" t="s">
        <v>145</v>
      </c>
      <c r="S256">
        <v>0</v>
      </c>
    </row>
    <row r="257" spans="1:19">
      <c r="A257" t="s">
        <v>195</v>
      </c>
      <c r="B257" t="s">
        <v>3653</v>
      </c>
      <c r="C257">
        <f>"25702793"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100</v>
      </c>
      <c r="Q257">
        <v>0</v>
      </c>
      <c r="R257" t="s">
        <v>145</v>
      </c>
      <c r="S257">
        <v>0</v>
      </c>
    </row>
    <row r="258" spans="1:19">
      <c r="A258" t="s">
        <v>195</v>
      </c>
      <c r="B258" t="s">
        <v>3726</v>
      </c>
      <c r="C258">
        <f>"25702827"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100</v>
      </c>
      <c r="Q258">
        <v>0</v>
      </c>
      <c r="R258" t="s">
        <v>145</v>
      </c>
      <c r="S258">
        <v>0</v>
      </c>
    </row>
    <row r="259" spans="1:19">
      <c r="A259" t="s">
        <v>195</v>
      </c>
      <c r="B259" t="s">
        <v>3747</v>
      </c>
      <c r="C259">
        <f>"25570220"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100</v>
      </c>
      <c r="Q259">
        <v>0</v>
      </c>
      <c r="R259" t="s">
        <v>145</v>
      </c>
      <c r="S259">
        <v>0</v>
      </c>
    </row>
    <row r="260" spans="1:19">
      <c r="A260" t="s">
        <v>195</v>
      </c>
      <c r="B260" t="s">
        <v>3748</v>
      </c>
      <c r="C260">
        <f>"25570221"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100</v>
      </c>
      <c r="Q260">
        <v>0</v>
      </c>
      <c r="R260" t="s">
        <v>145</v>
      </c>
      <c r="S260">
        <v>0</v>
      </c>
    </row>
    <row r="261" spans="1:19">
      <c r="A261" t="s">
        <v>195</v>
      </c>
      <c r="B261" t="s">
        <v>3749</v>
      </c>
      <c r="C261">
        <f>"25570219"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100</v>
      </c>
      <c r="Q261">
        <v>0</v>
      </c>
      <c r="R261" t="s">
        <v>145</v>
      </c>
      <c r="S261">
        <v>0</v>
      </c>
    </row>
    <row r="262" spans="1:19">
      <c r="A262" t="s">
        <v>195</v>
      </c>
      <c r="B262" t="s">
        <v>3750</v>
      </c>
      <c r="C262">
        <f>"25570230"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100</v>
      </c>
      <c r="Q262">
        <v>0</v>
      </c>
      <c r="R262" t="s">
        <v>145</v>
      </c>
      <c r="S262">
        <v>0</v>
      </c>
    </row>
    <row r="263" spans="1:19">
      <c r="A263" t="s">
        <v>195</v>
      </c>
      <c r="B263" t="s">
        <v>3751</v>
      </c>
      <c r="C263">
        <f>"25570231"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100</v>
      </c>
      <c r="Q263">
        <v>0</v>
      </c>
      <c r="R263" t="s">
        <v>145</v>
      </c>
      <c r="S263">
        <v>0</v>
      </c>
    </row>
    <row r="264" spans="1:19">
      <c r="A264" t="s">
        <v>195</v>
      </c>
      <c r="B264" t="s">
        <v>3659</v>
      </c>
      <c r="C264">
        <f>"25570239"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100</v>
      </c>
      <c r="Q264">
        <v>0</v>
      </c>
      <c r="R264" t="s">
        <v>145</v>
      </c>
      <c r="S264">
        <v>0</v>
      </c>
    </row>
    <row r="265" spans="1:19">
      <c r="A265" t="s">
        <v>195</v>
      </c>
      <c r="B265" t="s">
        <v>3707</v>
      </c>
      <c r="C265">
        <f>"25702833"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100</v>
      </c>
      <c r="Q265">
        <v>0</v>
      </c>
      <c r="R265" t="s">
        <v>145</v>
      </c>
      <c r="S265">
        <v>0</v>
      </c>
    </row>
    <row r="266" spans="1:19">
      <c r="A266" t="s">
        <v>195</v>
      </c>
      <c r="B266" t="s">
        <v>3724</v>
      </c>
      <c r="C266">
        <f>"25702812"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100</v>
      </c>
      <c r="Q266">
        <v>0</v>
      </c>
      <c r="R266" t="s">
        <v>145</v>
      </c>
      <c r="S266">
        <v>0</v>
      </c>
    </row>
    <row r="267" spans="1:19">
      <c r="A267" t="s">
        <v>195</v>
      </c>
      <c r="B267" t="s">
        <v>3725</v>
      </c>
      <c r="C267">
        <f>"25702811"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100</v>
      </c>
      <c r="Q267">
        <v>0</v>
      </c>
      <c r="R267" t="s">
        <v>145</v>
      </c>
      <c r="S267">
        <v>0</v>
      </c>
    </row>
    <row r="268" spans="1:19">
      <c r="A268" t="s">
        <v>195</v>
      </c>
      <c r="B268" t="s">
        <v>3654</v>
      </c>
      <c r="C268">
        <f>"25702831"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100</v>
      </c>
      <c r="Q268">
        <v>0</v>
      </c>
      <c r="R268" t="s">
        <v>145</v>
      </c>
      <c r="S268">
        <v>0</v>
      </c>
    </row>
    <row r="269" spans="1:19">
      <c r="A269" t="s">
        <v>195</v>
      </c>
      <c r="B269" t="s">
        <v>8920</v>
      </c>
      <c r="C269">
        <f>"25023891"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100</v>
      </c>
      <c r="Q269">
        <v>0</v>
      </c>
      <c r="R269" t="s">
        <v>145</v>
      </c>
      <c r="S269">
        <v>0</v>
      </c>
    </row>
    <row r="270" spans="1:19">
      <c r="A270" t="s">
        <v>195</v>
      </c>
      <c r="B270" t="s">
        <v>8921</v>
      </c>
      <c r="C270">
        <f>"25023860"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100</v>
      </c>
      <c r="Q270">
        <v>0</v>
      </c>
      <c r="R270" t="s">
        <v>145</v>
      </c>
      <c r="S270">
        <v>0</v>
      </c>
    </row>
    <row r="271" spans="1:19">
      <c r="A271" t="s">
        <v>195</v>
      </c>
      <c r="B271" t="s">
        <v>8922</v>
      </c>
      <c r="C271">
        <f>"25702094"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100</v>
      </c>
      <c r="Q271">
        <v>0</v>
      </c>
      <c r="R271" t="s">
        <v>145</v>
      </c>
      <c r="S271">
        <v>0</v>
      </c>
    </row>
    <row r="272" spans="1:19">
      <c r="A272" t="s">
        <v>195</v>
      </c>
      <c r="B272" t="s">
        <v>3829</v>
      </c>
      <c r="C272">
        <f>"25395672"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100</v>
      </c>
      <c r="Q272">
        <v>0</v>
      </c>
      <c r="R272" t="s">
        <v>145</v>
      </c>
      <c r="S272">
        <v>0</v>
      </c>
    </row>
    <row r="273" spans="1:19">
      <c r="A273" t="s">
        <v>195</v>
      </c>
      <c r="B273" t="s">
        <v>3743</v>
      </c>
      <c r="C273">
        <f>"23437228"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100</v>
      </c>
      <c r="Q273">
        <v>0</v>
      </c>
      <c r="R273" t="s">
        <v>145</v>
      </c>
      <c r="S273">
        <v>0</v>
      </c>
    </row>
    <row r="274" spans="1:19">
      <c r="A274" t="s">
        <v>195</v>
      </c>
      <c r="B274" t="s">
        <v>3744</v>
      </c>
      <c r="C274">
        <f>"23437229"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100</v>
      </c>
      <c r="Q274">
        <v>0</v>
      </c>
      <c r="R274" t="s">
        <v>145</v>
      </c>
      <c r="S274">
        <v>0</v>
      </c>
    </row>
    <row r="275" spans="1:19">
      <c r="A275" t="s">
        <v>195</v>
      </c>
      <c r="B275" t="s">
        <v>3902</v>
      </c>
      <c r="C275">
        <f>"25702657"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100</v>
      </c>
      <c r="Q275">
        <v>0</v>
      </c>
      <c r="R275" t="s">
        <v>145</v>
      </c>
      <c r="S275">
        <v>0</v>
      </c>
    </row>
    <row r="276" spans="1:19">
      <c r="A276" t="s">
        <v>195</v>
      </c>
      <c r="B276" t="s">
        <v>3905</v>
      </c>
      <c r="C276">
        <f>"25395727"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100</v>
      </c>
      <c r="Q276">
        <v>0</v>
      </c>
      <c r="R276" t="s">
        <v>145</v>
      </c>
      <c r="S276">
        <v>0</v>
      </c>
    </row>
    <row r="277" spans="1:19">
      <c r="A277" t="s">
        <v>195</v>
      </c>
      <c r="B277" t="s">
        <v>3651</v>
      </c>
      <c r="C277">
        <f>"25570237"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100</v>
      </c>
      <c r="Q277">
        <v>0</v>
      </c>
      <c r="R277" t="s">
        <v>145</v>
      </c>
      <c r="S277">
        <v>0</v>
      </c>
    </row>
    <row r="278" spans="1:19">
      <c r="A278" t="s">
        <v>195</v>
      </c>
      <c r="B278" t="s">
        <v>3969</v>
      </c>
      <c r="C278">
        <f>"25395726"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100</v>
      </c>
      <c r="Q278">
        <v>0</v>
      </c>
      <c r="R278" t="s">
        <v>145</v>
      </c>
      <c r="S278">
        <v>0</v>
      </c>
    </row>
    <row r="279" spans="1:19">
      <c r="A279" t="s">
        <v>195</v>
      </c>
      <c r="B279" t="s">
        <v>3970</v>
      </c>
      <c r="C279">
        <f>"25395700"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100</v>
      </c>
      <c r="Q279">
        <v>0</v>
      </c>
      <c r="R279" t="s">
        <v>145</v>
      </c>
      <c r="S279">
        <v>0</v>
      </c>
    </row>
    <row r="280" spans="1:19">
      <c r="A280" t="s">
        <v>195</v>
      </c>
      <c r="B280" t="s">
        <v>3971</v>
      </c>
      <c r="C280">
        <f>"25395701"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100</v>
      </c>
      <c r="Q280">
        <v>0</v>
      </c>
      <c r="R280" t="s">
        <v>145</v>
      </c>
      <c r="S280">
        <v>0</v>
      </c>
    </row>
    <row r="281" spans="1:19">
      <c r="A281" t="s">
        <v>195</v>
      </c>
      <c r="B281" t="s">
        <v>3972</v>
      </c>
      <c r="C281">
        <f>"25395702"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100</v>
      </c>
      <c r="Q281">
        <v>0</v>
      </c>
      <c r="R281" t="s">
        <v>145</v>
      </c>
      <c r="S281">
        <v>0</v>
      </c>
    </row>
    <row r="282" spans="1:19">
      <c r="A282" t="s">
        <v>195</v>
      </c>
      <c r="B282" t="s">
        <v>9170</v>
      </c>
      <c r="C282">
        <f>"24002289"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100</v>
      </c>
      <c r="Q282">
        <v>0</v>
      </c>
      <c r="R282" t="s">
        <v>145</v>
      </c>
      <c r="S282">
        <v>0</v>
      </c>
    </row>
    <row r="283" spans="1:19">
      <c r="A283" t="s">
        <v>195</v>
      </c>
      <c r="B283" t="s">
        <v>9171</v>
      </c>
      <c r="C283">
        <f>"24002272"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100</v>
      </c>
      <c r="Q283">
        <v>0</v>
      </c>
      <c r="R283" t="s">
        <v>145</v>
      </c>
      <c r="S283">
        <v>0</v>
      </c>
    </row>
    <row r="284" spans="1:19">
      <c r="A284" t="s">
        <v>195</v>
      </c>
      <c r="B284" t="s">
        <v>9172</v>
      </c>
      <c r="C284">
        <f>"24002203"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100</v>
      </c>
      <c r="Q284">
        <v>0</v>
      </c>
      <c r="R284" t="s">
        <v>145</v>
      </c>
      <c r="S284">
        <v>0</v>
      </c>
    </row>
    <row r="285" spans="1:19">
      <c r="A285" t="s">
        <v>195</v>
      </c>
      <c r="B285" t="s">
        <v>8841</v>
      </c>
      <c r="C285">
        <f>"24002232"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100</v>
      </c>
      <c r="Q285">
        <v>0</v>
      </c>
      <c r="R285" t="s">
        <v>145</v>
      </c>
      <c r="S285">
        <v>0</v>
      </c>
    </row>
    <row r="286" spans="1:19">
      <c r="A286" t="s">
        <v>195</v>
      </c>
      <c r="B286" t="s">
        <v>8842</v>
      </c>
      <c r="C286">
        <f>"24000850"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100</v>
      </c>
      <c r="Q286">
        <v>0</v>
      </c>
      <c r="R286" t="s">
        <v>145</v>
      </c>
      <c r="S286">
        <v>0</v>
      </c>
    </row>
    <row r="287" spans="1:19">
      <c r="A287" t="s">
        <v>195</v>
      </c>
      <c r="B287" t="s">
        <v>3952</v>
      </c>
      <c r="C287">
        <f>"25395728"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100</v>
      </c>
      <c r="Q287">
        <v>0</v>
      </c>
      <c r="R287" t="s">
        <v>145</v>
      </c>
      <c r="S287">
        <v>0</v>
      </c>
    </row>
    <row r="288" spans="1:19">
      <c r="A288" t="s">
        <v>195</v>
      </c>
      <c r="B288" t="s">
        <v>3652</v>
      </c>
      <c r="C288">
        <f>"25702792"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100</v>
      </c>
      <c r="Q288">
        <v>0</v>
      </c>
      <c r="R288" t="s">
        <v>145</v>
      </c>
      <c r="S288">
        <v>0</v>
      </c>
    </row>
    <row r="289" spans="1:19">
      <c r="A289" t="s">
        <v>195</v>
      </c>
      <c r="B289" t="s">
        <v>3882</v>
      </c>
      <c r="C289">
        <f>"25395699"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100</v>
      </c>
      <c r="Q289">
        <v>0</v>
      </c>
      <c r="R289" t="s">
        <v>145</v>
      </c>
      <c r="S289">
        <v>0</v>
      </c>
    </row>
    <row r="290" spans="1:19">
      <c r="A290" t="s">
        <v>195</v>
      </c>
      <c r="B290" t="s">
        <v>3883</v>
      </c>
      <c r="C290">
        <f>"25395805"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100</v>
      </c>
      <c r="Q290">
        <v>0</v>
      </c>
      <c r="R290" t="s">
        <v>145</v>
      </c>
      <c r="S290">
        <v>0</v>
      </c>
    </row>
    <row r="291" spans="1:19">
      <c r="A291" t="s">
        <v>195</v>
      </c>
      <c r="B291" t="s">
        <v>3884</v>
      </c>
      <c r="C291">
        <f>"25395776"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100</v>
      </c>
      <c r="Q291">
        <v>0</v>
      </c>
      <c r="R291" t="s">
        <v>145</v>
      </c>
      <c r="S291">
        <v>0</v>
      </c>
    </row>
    <row r="292" spans="1:19">
      <c r="A292" t="s">
        <v>195</v>
      </c>
      <c r="B292" t="s">
        <v>3885</v>
      </c>
      <c r="C292">
        <f>"25395777"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100</v>
      </c>
      <c r="Q292">
        <v>0</v>
      </c>
      <c r="R292" t="s">
        <v>145</v>
      </c>
      <c r="S292">
        <v>0</v>
      </c>
    </row>
    <row r="293" spans="1:19">
      <c r="A293" t="s">
        <v>195</v>
      </c>
      <c r="B293" t="s">
        <v>3886</v>
      </c>
      <c r="C293">
        <f>"25395778"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100</v>
      </c>
      <c r="Q293">
        <v>0</v>
      </c>
      <c r="R293" t="s">
        <v>145</v>
      </c>
      <c r="S293">
        <v>0</v>
      </c>
    </row>
    <row r="294" spans="1:19">
      <c r="A294" t="s">
        <v>195</v>
      </c>
      <c r="B294" t="s">
        <v>3887</v>
      </c>
      <c r="C294">
        <f>"25395775"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100</v>
      </c>
      <c r="Q294">
        <v>0</v>
      </c>
      <c r="R294" t="s">
        <v>145</v>
      </c>
      <c r="S294">
        <v>0</v>
      </c>
    </row>
    <row r="295" spans="1:19">
      <c r="A295" t="s">
        <v>195</v>
      </c>
      <c r="B295" t="s">
        <v>3940</v>
      </c>
      <c r="C295">
        <f>"25702061"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100</v>
      </c>
      <c r="Q295">
        <v>0</v>
      </c>
      <c r="R295" t="s">
        <v>145</v>
      </c>
      <c r="S295">
        <v>0</v>
      </c>
    </row>
    <row r="296" spans="1:19">
      <c r="A296" t="s">
        <v>195</v>
      </c>
      <c r="B296" t="s">
        <v>3752</v>
      </c>
      <c r="C296">
        <f>"25570232"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100</v>
      </c>
      <c r="Q296">
        <v>0</v>
      </c>
      <c r="R296" t="s">
        <v>145</v>
      </c>
      <c r="S296">
        <v>0</v>
      </c>
    </row>
    <row r="297" spans="1:19">
      <c r="A297" t="s">
        <v>195</v>
      </c>
      <c r="B297" t="s">
        <v>8919</v>
      </c>
      <c r="C297">
        <f>"25023884"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100</v>
      </c>
      <c r="Q297">
        <v>0</v>
      </c>
      <c r="R297" t="s">
        <v>145</v>
      </c>
      <c r="S297">
        <v>0</v>
      </c>
    </row>
    <row r="298" spans="1:19">
      <c r="A298" t="s">
        <v>195</v>
      </c>
      <c r="B298" t="s">
        <v>3738</v>
      </c>
      <c r="C298">
        <f>"25570209"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100</v>
      </c>
      <c r="Q298">
        <v>0</v>
      </c>
      <c r="R298" t="s">
        <v>145</v>
      </c>
      <c r="S298">
        <v>0</v>
      </c>
    </row>
    <row r="299" spans="1:19">
      <c r="A299" t="s">
        <v>195</v>
      </c>
      <c r="B299" t="s">
        <v>3693</v>
      </c>
      <c r="C299">
        <f>"25570210"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100</v>
      </c>
      <c r="Q299">
        <v>0</v>
      </c>
      <c r="R299" t="s">
        <v>145</v>
      </c>
      <c r="S299">
        <v>0</v>
      </c>
    </row>
    <row r="300" spans="1:19">
      <c r="A300" t="s">
        <v>195</v>
      </c>
      <c r="B300" t="s">
        <v>3694</v>
      </c>
      <c r="C300">
        <f>"25570211"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100</v>
      </c>
      <c r="Q300">
        <v>0</v>
      </c>
      <c r="R300" t="s">
        <v>145</v>
      </c>
      <c r="S300">
        <v>0</v>
      </c>
    </row>
    <row r="301" spans="1:19">
      <c r="A301" t="s">
        <v>195</v>
      </c>
      <c r="B301" t="s">
        <v>3727</v>
      </c>
      <c r="C301">
        <f>"25570208"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100</v>
      </c>
      <c r="Q301">
        <v>0</v>
      </c>
      <c r="R301" t="s">
        <v>145</v>
      </c>
      <c r="S301">
        <v>0</v>
      </c>
    </row>
    <row r="302" spans="1:19">
      <c r="A302" t="s">
        <v>195</v>
      </c>
      <c r="B302" t="s">
        <v>3728</v>
      </c>
      <c r="C302">
        <f>"25570238"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100</v>
      </c>
      <c r="Q302">
        <v>0</v>
      </c>
      <c r="R302" t="s">
        <v>145</v>
      </c>
      <c r="S302">
        <v>0</v>
      </c>
    </row>
    <row r="303" spans="1:19">
      <c r="A303" t="s">
        <v>195</v>
      </c>
      <c r="B303" t="s">
        <v>3730</v>
      </c>
      <c r="C303">
        <f>"25395715"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100</v>
      </c>
      <c r="Q303">
        <v>0</v>
      </c>
      <c r="R303" t="s">
        <v>145</v>
      </c>
      <c r="S303">
        <v>0</v>
      </c>
    </row>
    <row r="304" spans="1:19">
      <c r="A304" t="s">
        <v>195</v>
      </c>
      <c r="B304" t="s">
        <v>3731</v>
      </c>
      <c r="C304">
        <f>"25395808"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100</v>
      </c>
      <c r="Q304">
        <v>0</v>
      </c>
      <c r="R304" t="s">
        <v>145</v>
      </c>
      <c r="S304">
        <v>0</v>
      </c>
    </row>
    <row r="305" spans="1:19">
      <c r="A305" t="s">
        <v>195</v>
      </c>
      <c r="B305" t="s">
        <v>8916</v>
      </c>
      <c r="C305">
        <f>"25570818"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100</v>
      </c>
      <c r="Q305">
        <v>0</v>
      </c>
      <c r="R305" t="s">
        <v>145</v>
      </c>
      <c r="S305">
        <v>0</v>
      </c>
    </row>
    <row r="306" spans="1:19">
      <c r="A306" t="s">
        <v>195</v>
      </c>
      <c r="B306" t="s">
        <v>8918</v>
      </c>
      <c r="C306">
        <f>"25023877"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100</v>
      </c>
      <c r="Q306">
        <v>0</v>
      </c>
      <c r="R306" t="s">
        <v>145</v>
      </c>
      <c r="S306">
        <v>0</v>
      </c>
    </row>
    <row r="307" spans="1:19">
      <c r="A307" t="s">
        <v>195</v>
      </c>
      <c r="B307" t="s">
        <v>3753</v>
      </c>
      <c r="C307">
        <f>"25570229"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100</v>
      </c>
      <c r="Q307">
        <v>0</v>
      </c>
      <c r="R307" t="s">
        <v>145</v>
      </c>
      <c r="S307">
        <v>0</v>
      </c>
    </row>
    <row r="308" spans="1:19">
      <c r="A308" t="s">
        <v>195</v>
      </c>
      <c r="B308" t="s">
        <v>7792</v>
      </c>
      <c r="C308">
        <f>"25395871"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1</v>
      </c>
      <c r="K308">
        <v>6.448</v>
      </c>
      <c r="L308" s="2">
        <v>6</v>
      </c>
      <c r="M308">
        <v>0</v>
      </c>
      <c r="N308" s="2">
        <v>0</v>
      </c>
      <c r="O308">
        <v>-1.2</v>
      </c>
      <c r="P308" t="s">
        <v>100</v>
      </c>
      <c r="Q308">
        <v>0</v>
      </c>
      <c r="R308" t="s">
        <v>145</v>
      </c>
      <c r="S308">
        <v>0</v>
      </c>
    </row>
    <row r="309" spans="1:19">
      <c r="A309" t="s">
        <v>195</v>
      </c>
      <c r="B309" t="s">
        <v>9608</v>
      </c>
      <c r="C309">
        <f>"25702283"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10.159</v>
      </c>
      <c r="L309" s="2">
        <v>10</v>
      </c>
      <c r="M309">
        <v>0</v>
      </c>
      <c r="N309" s="2">
        <v>0</v>
      </c>
      <c r="O309">
        <v>-1.2</v>
      </c>
      <c r="P309" t="s">
        <v>100</v>
      </c>
      <c r="Q309">
        <v>0</v>
      </c>
      <c r="R309" t="s">
        <v>145</v>
      </c>
      <c r="S309">
        <v>0</v>
      </c>
    </row>
    <row r="310" spans="1:19">
      <c r="A310" t="s">
        <v>195</v>
      </c>
      <c r="B310" t="s">
        <v>9607</v>
      </c>
      <c r="C310">
        <f>"25702282"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1</v>
      </c>
      <c r="K310">
        <v>8.768000000000001</v>
      </c>
      <c r="L310" s="2">
        <v>9</v>
      </c>
      <c r="M310">
        <v>0</v>
      </c>
      <c r="N310" s="2">
        <v>0</v>
      </c>
      <c r="O310">
        <v>-1.2</v>
      </c>
      <c r="P310" t="s">
        <v>100</v>
      </c>
      <c r="Q310">
        <v>0</v>
      </c>
      <c r="R310" t="s">
        <v>145</v>
      </c>
      <c r="S310">
        <v>0</v>
      </c>
    </row>
    <row r="311" spans="1:19">
      <c r="A311" t="s">
        <v>195</v>
      </c>
      <c r="B311" t="s">
        <v>10125</v>
      </c>
      <c r="C311">
        <f>"25702690"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1</v>
      </c>
      <c r="K311">
        <v>10.865</v>
      </c>
      <c r="L311" s="2">
        <v>11</v>
      </c>
      <c r="M311">
        <v>0</v>
      </c>
      <c r="N311" s="2">
        <v>0</v>
      </c>
      <c r="O311">
        <v>-1.2</v>
      </c>
      <c r="P311" t="s">
        <v>100</v>
      </c>
      <c r="Q311">
        <v>0</v>
      </c>
      <c r="R311" t="s">
        <v>145</v>
      </c>
      <c r="S311">
        <v>0</v>
      </c>
    </row>
    <row r="312" spans="1:19">
      <c r="A312" t="s">
        <v>195</v>
      </c>
      <c r="B312" t="s">
        <v>5296</v>
      </c>
      <c r="C312">
        <f>"25390070"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1</v>
      </c>
      <c r="K312">
        <v>12.246</v>
      </c>
      <c r="L312" s="2">
        <v>12</v>
      </c>
      <c r="M312">
        <v>0</v>
      </c>
      <c r="N312" s="2">
        <v>0</v>
      </c>
      <c r="O312">
        <v>-1.2</v>
      </c>
      <c r="P312" t="s">
        <v>100</v>
      </c>
      <c r="Q312">
        <v>0</v>
      </c>
      <c r="R312" t="s">
        <v>145</v>
      </c>
      <c r="S312">
        <v>0</v>
      </c>
    </row>
    <row r="313" spans="1:19">
      <c r="A313" t="s">
        <v>195</v>
      </c>
      <c r="B313" t="s">
        <v>4465</v>
      </c>
      <c r="C313">
        <f>"27240006"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1</v>
      </c>
      <c r="K313">
        <v>16.926</v>
      </c>
      <c r="L313" s="2">
        <v>17</v>
      </c>
      <c r="M313">
        <v>0</v>
      </c>
      <c r="N313" s="2">
        <v>0</v>
      </c>
      <c r="O313">
        <v>-1.2</v>
      </c>
      <c r="P313" t="s">
        <v>100</v>
      </c>
      <c r="Q313">
        <v>0</v>
      </c>
      <c r="R313" t="s">
        <v>145</v>
      </c>
      <c r="S313">
        <v>0</v>
      </c>
    </row>
    <row r="314" spans="1:19">
      <c r="A314" t="s">
        <v>195</v>
      </c>
      <c r="B314" t="s">
        <v>9740</v>
      </c>
      <c r="C314">
        <f>"25390112"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1</v>
      </c>
      <c r="K314">
        <v>4.593</v>
      </c>
      <c r="L314" s="2">
        <v>5</v>
      </c>
      <c r="M314">
        <v>0</v>
      </c>
      <c r="N314" s="2">
        <v>0</v>
      </c>
      <c r="O314">
        <v>-1.2</v>
      </c>
      <c r="P314" t="s">
        <v>100</v>
      </c>
      <c r="Q314">
        <v>0</v>
      </c>
      <c r="R314" t="s">
        <v>145</v>
      </c>
      <c r="S314">
        <v>0</v>
      </c>
    </row>
    <row r="315" spans="1:19">
      <c r="A315" t="s">
        <v>195</v>
      </c>
      <c r="B315" t="s">
        <v>9738</v>
      </c>
      <c r="C315">
        <f>"25390117"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1</v>
      </c>
      <c r="K315">
        <v>7.839</v>
      </c>
      <c r="L315" s="2">
        <v>8</v>
      </c>
      <c r="M315">
        <v>0</v>
      </c>
      <c r="N315" s="2">
        <v>0</v>
      </c>
      <c r="O315">
        <v>-1.2</v>
      </c>
      <c r="P315" t="s">
        <v>100</v>
      </c>
      <c r="Q315">
        <v>0</v>
      </c>
      <c r="R315" t="s">
        <v>145</v>
      </c>
      <c r="S315">
        <v>0</v>
      </c>
    </row>
    <row r="316" spans="1:19">
      <c r="A316" t="s">
        <v>195</v>
      </c>
      <c r="B316" t="s">
        <v>9385</v>
      </c>
      <c r="C316">
        <f>"25395724"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1</v>
      </c>
      <c r="K316">
        <v>6.448</v>
      </c>
      <c r="L316" s="2">
        <v>6</v>
      </c>
      <c r="M316">
        <v>0</v>
      </c>
      <c r="N316" s="2">
        <v>0</v>
      </c>
      <c r="O316">
        <v>-1.2</v>
      </c>
      <c r="P316" t="s">
        <v>100</v>
      </c>
      <c r="Q316">
        <v>0</v>
      </c>
      <c r="R316" t="s">
        <v>145</v>
      </c>
      <c r="S316">
        <v>0</v>
      </c>
    </row>
    <row r="317" spans="1:19">
      <c r="A317" t="s">
        <v>195</v>
      </c>
      <c r="B317" t="s">
        <v>5517</v>
      </c>
      <c r="C317">
        <f>"25390262"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1</v>
      </c>
      <c r="K317">
        <v>6.448</v>
      </c>
      <c r="L317" s="2">
        <v>6</v>
      </c>
      <c r="M317">
        <v>0</v>
      </c>
      <c r="N317" s="2">
        <v>0</v>
      </c>
      <c r="O317">
        <v>-1.2</v>
      </c>
      <c r="P317" t="s">
        <v>100</v>
      </c>
      <c r="Q317">
        <v>0</v>
      </c>
      <c r="R317" t="s">
        <v>145</v>
      </c>
      <c r="S317">
        <v>0</v>
      </c>
    </row>
    <row r="318" spans="1:19">
      <c r="A318" t="s">
        <v>195</v>
      </c>
      <c r="B318" t="s">
        <v>9739</v>
      </c>
      <c r="C318">
        <f>"25390118"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2</v>
      </c>
      <c r="K318">
        <v>11.04</v>
      </c>
      <c r="L318" s="2">
        <v>6</v>
      </c>
      <c r="M318">
        <v>0</v>
      </c>
      <c r="N318" s="2">
        <v>0</v>
      </c>
      <c r="O318">
        <v>-2.4</v>
      </c>
      <c r="P318" t="s">
        <v>100</v>
      </c>
      <c r="Q318">
        <v>0</v>
      </c>
      <c r="R318" t="s">
        <v>145</v>
      </c>
      <c r="S318">
        <v>0</v>
      </c>
    </row>
    <row r="319" spans="1:19">
      <c r="A319" t="s">
        <v>195</v>
      </c>
      <c r="B319" t="s">
        <v>9742</v>
      </c>
      <c r="C319">
        <f>"25390114"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6</v>
      </c>
      <c r="K319">
        <v>35.904</v>
      </c>
      <c r="L319" s="2">
        <v>6</v>
      </c>
      <c r="M319">
        <v>0</v>
      </c>
      <c r="N319" s="2">
        <v>0</v>
      </c>
      <c r="O319">
        <v>-7.199999999999999</v>
      </c>
      <c r="P319" t="s">
        <v>100</v>
      </c>
      <c r="Q319">
        <v>0</v>
      </c>
      <c r="R319" t="s">
        <v>145</v>
      </c>
      <c r="S319">
        <v>0</v>
      </c>
    </row>
  </sheetData>
  <autoFilter ref="A2:S319"/>
  <hyperlinks>
    <hyperlink ref="A1" location="'ÍNDICE'!A1" display="⬅ Volver al índice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S17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219</v>
      </c>
      <c r="B3" t="s">
        <v>1238</v>
      </c>
      <c r="C3">
        <f>"PRWGCC"</f>
        <v>0</v>
      </c>
      <c r="D3">
        <v>0</v>
      </c>
      <c r="E3">
        <v>1</v>
      </c>
      <c r="F3">
        <v>0</v>
      </c>
      <c r="G3">
        <v>0</v>
      </c>
      <c r="H3">
        <v>1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219</v>
      </c>
      <c r="B4" t="s">
        <v>3039</v>
      </c>
      <c r="C4">
        <f>"PRWPCC"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219</v>
      </c>
      <c r="B5" t="s">
        <v>1314</v>
      </c>
      <c r="C5">
        <f>"PRWPL"</f>
        <v>0</v>
      </c>
      <c r="D5">
        <v>1</v>
      </c>
      <c r="E5">
        <v>0</v>
      </c>
      <c r="F5">
        <v>0</v>
      </c>
      <c r="G5">
        <v>0</v>
      </c>
      <c r="H5">
        <v>1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219</v>
      </c>
      <c r="B6" t="s">
        <v>3040</v>
      </c>
      <c r="C6">
        <f>"PRWPA"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219</v>
      </c>
      <c r="B7" t="s">
        <v>1313</v>
      </c>
      <c r="C7">
        <f>"PRWGP"</f>
        <v>0</v>
      </c>
      <c r="D7">
        <v>0</v>
      </c>
      <c r="E7">
        <v>1</v>
      </c>
      <c r="F7">
        <v>0</v>
      </c>
      <c r="G7">
        <v>0</v>
      </c>
      <c r="H7">
        <v>1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219</v>
      </c>
      <c r="B8" t="s">
        <v>1074</v>
      </c>
      <c r="C8">
        <f>"PRWPP"</f>
        <v>0</v>
      </c>
      <c r="D8">
        <v>2</v>
      </c>
      <c r="E8">
        <v>0</v>
      </c>
      <c r="F8">
        <v>0</v>
      </c>
      <c r="G8">
        <v>0</v>
      </c>
      <c r="H8">
        <v>2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219</v>
      </c>
      <c r="B9" t="s">
        <v>3042</v>
      </c>
      <c r="C9">
        <f>"PRWGS"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219</v>
      </c>
      <c r="B10" t="s">
        <v>3044</v>
      </c>
      <c r="C10">
        <f>"PRWPS"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219</v>
      </c>
      <c r="B11" t="s">
        <v>2928</v>
      </c>
      <c r="C11">
        <f>"PRWPV"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219</v>
      </c>
      <c r="B12" t="s">
        <v>5616</v>
      </c>
      <c r="C12">
        <f>"PRWSPL"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219</v>
      </c>
      <c r="B13" t="s">
        <v>6301</v>
      </c>
      <c r="C13">
        <f>"PRWSPC"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219</v>
      </c>
      <c r="B14" t="s">
        <v>6300</v>
      </c>
      <c r="C14">
        <f>"PRWSPP"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219</v>
      </c>
      <c r="B15" t="s">
        <v>6299</v>
      </c>
      <c r="C15">
        <f>"PRWSPV"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219</v>
      </c>
      <c r="B16" t="s">
        <v>6343</v>
      </c>
      <c r="C16">
        <f>"PRWPPP"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219</v>
      </c>
      <c r="B17" t="s">
        <v>6342</v>
      </c>
      <c r="C17">
        <f>"PRWPPA"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</sheetData>
  <autoFilter ref="A2:S17"/>
  <hyperlinks>
    <hyperlink ref="A1" location="'ÍNDICE'!A1" display="⬅ Volver al índice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S17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7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216</v>
      </c>
      <c r="B3" t="s">
        <v>9909</v>
      </c>
      <c r="C3">
        <f>"1576886464549"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216</v>
      </c>
      <c r="B4" t="s">
        <v>7595</v>
      </c>
      <c r="C4">
        <f>"600780783"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216</v>
      </c>
      <c r="B5" t="s">
        <v>7594</v>
      </c>
      <c r="C5">
        <f>"600780784"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216</v>
      </c>
      <c r="B6" t="s">
        <v>7593</v>
      </c>
      <c r="C6">
        <f>"CAXL"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216</v>
      </c>
      <c r="B7" t="s">
        <v>7388</v>
      </c>
      <c r="C7">
        <f>"3336669"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216</v>
      </c>
      <c r="B8" t="s">
        <v>7091</v>
      </c>
      <c r="C8">
        <f>"1583594312833"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216</v>
      </c>
      <c r="B9" t="s">
        <v>9798</v>
      </c>
      <c r="C9">
        <f>"GRM"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216</v>
      </c>
      <c r="B10" t="s">
        <v>8855</v>
      </c>
      <c r="C10">
        <f>"LERI"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216</v>
      </c>
      <c r="B11" t="s">
        <v>8802</v>
      </c>
      <c r="C11">
        <f>"1576888703022"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216</v>
      </c>
      <c r="B12" t="s">
        <v>3974</v>
      </c>
      <c r="C12">
        <f>"MELANOPREA"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216</v>
      </c>
      <c r="B13" t="s">
        <v>3904</v>
      </c>
      <c r="C13">
        <f>"77602"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216</v>
      </c>
      <c r="B14" t="s">
        <v>2852</v>
      </c>
      <c r="C14">
        <f>"1576888638946"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216</v>
      </c>
      <c r="B15" t="s">
        <v>2849</v>
      </c>
      <c r="C15">
        <f>"1569517351336"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216</v>
      </c>
      <c r="B16" t="s">
        <v>2859</v>
      </c>
      <c r="C16">
        <f>"P012"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216</v>
      </c>
      <c r="B17" t="s">
        <v>2847</v>
      </c>
      <c r="C17">
        <f>"BHEMB"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216</v>
      </c>
      <c r="B18" t="s">
        <v>2846</v>
      </c>
      <c r="C18">
        <f>"1576892820373"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216</v>
      </c>
      <c r="B19" t="s">
        <v>2846</v>
      </c>
      <c r="C19">
        <f>"BMACH"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216</v>
      </c>
      <c r="B20" t="s">
        <v>2800</v>
      </c>
      <c r="C20">
        <f>"BMACHCT"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216</v>
      </c>
      <c r="B21" t="s">
        <v>2799</v>
      </c>
      <c r="C21">
        <f>"BMACHHM"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216</v>
      </c>
      <c r="B22" t="s">
        <v>2798</v>
      </c>
      <c r="C22">
        <f>"BOTIA1"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216</v>
      </c>
      <c r="B23" t="s">
        <v>2797</v>
      </c>
      <c r="C23">
        <f>"BPAY"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216</v>
      </c>
      <c r="B24" t="s">
        <v>2845</v>
      </c>
      <c r="C24">
        <f>"ryukin"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216</v>
      </c>
      <c r="B25" t="s">
        <v>2844</v>
      </c>
      <c r="C25">
        <f>"CARASS"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216</v>
      </c>
      <c r="B26" t="s">
        <v>2842</v>
      </c>
      <c r="C26">
        <f>"600780788"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216</v>
      </c>
      <c r="B27" t="s">
        <v>2840</v>
      </c>
      <c r="C27">
        <f>"600800902"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216</v>
      </c>
      <c r="B28" t="s">
        <v>2827</v>
      </c>
      <c r="C28">
        <f>"CARABUR"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216</v>
      </c>
      <c r="B29" t="s">
        <v>2792</v>
      </c>
      <c r="C29">
        <f>"CCALIC"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216</v>
      </c>
      <c r="B30" t="s">
        <v>2791</v>
      </c>
      <c r="C30">
        <f>"4545451"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216</v>
      </c>
      <c r="B31" t="s">
        <v>2789</v>
      </c>
      <c r="C31">
        <f>"600780787"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216</v>
      </c>
      <c r="B32" t="s">
        <v>2788</v>
      </c>
      <c r="C32">
        <f>"1576891679637"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216</v>
      </c>
      <c r="B33" t="s">
        <v>2787</v>
      </c>
      <c r="C33">
        <f>"600500800"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216</v>
      </c>
      <c r="B34" t="s">
        <v>2786</v>
      </c>
      <c r="C34">
        <f>"CFANTAS"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216</v>
      </c>
      <c r="B35" t="s">
        <v>2785</v>
      </c>
      <c r="C35">
        <f>"141516"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216</v>
      </c>
      <c r="B36" t="s">
        <v>3343</v>
      </c>
      <c r="C36">
        <f>"600500501"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216</v>
      </c>
      <c r="B37" t="s">
        <v>3342</v>
      </c>
      <c r="C37">
        <f>"CARASSIUSXL"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216</v>
      </c>
      <c r="B38" t="s">
        <v>3341</v>
      </c>
      <c r="C38">
        <f>"8754251"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216</v>
      </c>
      <c r="B39" t="s">
        <v>3340</v>
      </c>
      <c r="C39">
        <f>"CARORA"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216</v>
      </c>
      <c r="B40" t="s">
        <v>2780</v>
      </c>
      <c r="C40">
        <f>"600500500"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216</v>
      </c>
      <c r="B41" t="s">
        <v>2777</v>
      </c>
      <c r="C41">
        <f>"COT"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216</v>
      </c>
      <c r="B42" t="s">
        <v>2775</v>
      </c>
      <c r="C42">
        <f>"1576887581135"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216</v>
      </c>
      <c r="B43" t="s">
        <v>2774</v>
      </c>
      <c r="C43">
        <f>"CPERLADO"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216</v>
      </c>
      <c r="B44" t="s">
        <v>2773</v>
      </c>
      <c r="C44">
        <f>"CPOM"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216</v>
      </c>
      <c r="B45" t="s">
        <v>2813</v>
      </c>
      <c r="C45">
        <f>"RANCHU"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216</v>
      </c>
      <c r="B46" t="s">
        <v>2811</v>
      </c>
      <c r="C46">
        <f>"5458577"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216</v>
      </c>
      <c r="B47" t="s">
        <v>2809</v>
      </c>
      <c r="C47">
        <f>"1576891603095"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216</v>
      </c>
      <c r="B48" t="s">
        <v>2808</v>
      </c>
      <c r="C48">
        <f>"CARSHUB"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216</v>
      </c>
      <c r="B49" t="s">
        <v>2816</v>
      </c>
      <c r="C49">
        <f>"CARASTEL"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216</v>
      </c>
      <c r="B50" t="s">
        <v>2804</v>
      </c>
      <c r="C50">
        <f>"CTNEG"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216</v>
      </c>
      <c r="B51" t="s">
        <v>2801</v>
      </c>
      <c r="C51">
        <f>"252525C"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216</v>
      </c>
      <c r="B52" t="s">
        <v>3386</v>
      </c>
      <c r="C52">
        <f>"CTELN"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216</v>
      </c>
      <c r="B53" t="s">
        <v>3385</v>
      </c>
      <c r="C53">
        <f>"600500602"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216</v>
      </c>
      <c r="B54" t="s">
        <v>3384</v>
      </c>
      <c r="C54">
        <f>"1583594244939"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216</v>
      </c>
      <c r="B55" t="s">
        <v>3351</v>
      </c>
      <c r="C55">
        <f>"1579811550187"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216</v>
      </c>
      <c r="B56" t="s">
        <v>3350</v>
      </c>
      <c r="C56">
        <f>"COLF"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216</v>
      </c>
      <c r="B57" t="s">
        <v>3363</v>
      </c>
      <c r="C57">
        <f>"CLAL"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216</v>
      </c>
      <c r="B58" t="s">
        <v>895</v>
      </c>
      <c r="C58">
        <f>"CONCHO"</f>
        <v>0</v>
      </c>
      <c r="D58">
        <v>3</v>
      </c>
      <c r="E58">
        <v>0</v>
      </c>
      <c r="F58">
        <v>0</v>
      </c>
      <c r="G58">
        <v>0</v>
      </c>
      <c r="H58">
        <v>3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216</v>
      </c>
      <c r="B59" t="s">
        <v>3348</v>
      </c>
      <c r="C59">
        <f>"600780780"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216</v>
      </c>
      <c r="B60" t="s">
        <v>3347</v>
      </c>
      <c r="C60">
        <f>"600780781"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216</v>
      </c>
      <c r="B61" t="s">
        <v>3346</v>
      </c>
      <c r="C61">
        <f>"1576889160525"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216</v>
      </c>
      <c r="B62" t="s">
        <v>3345</v>
      </c>
      <c r="C62">
        <f>"PCA"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216</v>
      </c>
      <c r="B63" t="s">
        <v>3344</v>
      </c>
      <c r="C63">
        <f>"CORAL"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216</v>
      </c>
      <c r="B64" t="s">
        <v>3372</v>
      </c>
      <c r="C64">
        <f>"6003232"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216</v>
      </c>
      <c r="B65" t="s">
        <v>3371</v>
      </c>
      <c r="C65">
        <f>"1569516649187"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216</v>
      </c>
      <c r="B66" t="s">
        <v>3370</v>
      </c>
      <c r="C66">
        <f>"1569516799210"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216</v>
      </c>
      <c r="B67" t="s">
        <v>3369</v>
      </c>
      <c r="C67">
        <f>"6003231"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216</v>
      </c>
      <c r="B68" t="s">
        <v>3339</v>
      </c>
      <c r="C68">
        <f>"1598827758375"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216</v>
      </c>
      <c r="B69" t="s">
        <v>3338</v>
      </c>
      <c r="C69">
        <f>"15201520"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216</v>
      </c>
      <c r="B70" t="s">
        <v>3337</v>
      </c>
      <c r="C70">
        <f>"CORY2"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216</v>
      </c>
      <c r="B71" t="s">
        <v>3336</v>
      </c>
      <c r="C71">
        <f>"858754"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216</v>
      </c>
      <c r="B72" t="s">
        <v>3335</v>
      </c>
      <c r="C72">
        <f>"1569516547951"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216</v>
      </c>
      <c r="B73" t="s">
        <v>3378</v>
      </c>
      <c r="C73">
        <f>"1547894"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216</v>
      </c>
      <c r="B74" t="s">
        <v>3392</v>
      </c>
      <c r="C74">
        <f>"13201320"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216</v>
      </c>
      <c r="B75" t="s">
        <v>3391</v>
      </c>
      <c r="C75">
        <f>"CORIP"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216</v>
      </c>
      <c r="B76" t="s">
        <v>3390</v>
      </c>
      <c r="C76">
        <f>"PCP"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216</v>
      </c>
      <c r="B77" t="s">
        <v>3389</v>
      </c>
      <c r="C77">
        <f>"600600702"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216</v>
      </c>
      <c r="B78" t="s">
        <v>3388</v>
      </c>
      <c r="C78">
        <f>"600600701"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216</v>
      </c>
      <c r="B79" t="s">
        <v>3387</v>
      </c>
      <c r="C79">
        <f>"600600700"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216</v>
      </c>
      <c r="B80" t="s">
        <v>3297</v>
      </c>
      <c r="C80">
        <f>"731365"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216</v>
      </c>
      <c r="B81" t="s">
        <v>3296</v>
      </c>
      <c r="C81">
        <f>"326598"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216</v>
      </c>
      <c r="B82" t="s">
        <v>3295</v>
      </c>
      <c r="C82">
        <f>"10156161"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216</v>
      </c>
      <c r="B83" t="s">
        <v>3294</v>
      </c>
      <c r="C83">
        <f>"ESCMA"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216</v>
      </c>
      <c r="B84" t="s">
        <v>3382</v>
      </c>
      <c r="C84">
        <f>"895623"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216</v>
      </c>
      <c r="B85" t="s">
        <v>3381</v>
      </c>
      <c r="C85">
        <f>"ESCS"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216</v>
      </c>
      <c r="B86" t="s">
        <v>3380</v>
      </c>
      <c r="C86">
        <f>"1659556878134"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216</v>
      </c>
      <c r="B87" t="s">
        <v>1262</v>
      </c>
      <c r="C87">
        <f>"1651969760052"</f>
        <v>0</v>
      </c>
      <c r="D87">
        <v>1</v>
      </c>
      <c r="E87">
        <v>0</v>
      </c>
      <c r="F87">
        <v>0</v>
      </c>
      <c r="G87">
        <v>0</v>
      </c>
      <c r="H87">
        <v>1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216</v>
      </c>
      <c r="B88" t="s">
        <v>3379</v>
      </c>
      <c r="C88">
        <f>"ESPB"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216</v>
      </c>
      <c r="B89" t="s">
        <v>3393</v>
      </c>
      <c r="C89">
        <f>"ESPKO3"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216</v>
      </c>
      <c r="B90" t="s">
        <v>3377</v>
      </c>
      <c r="C90">
        <f>"ESPKOI"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216</v>
      </c>
      <c r="B91" t="s">
        <v>3376</v>
      </c>
      <c r="C91">
        <f>"1576892131015"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216</v>
      </c>
      <c r="B92" t="s">
        <v>1261</v>
      </c>
      <c r="C92">
        <f>"1576888547899"</f>
        <v>0</v>
      </c>
      <c r="D92">
        <v>1</v>
      </c>
      <c r="E92">
        <v>0</v>
      </c>
      <c r="F92">
        <v>0</v>
      </c>
      <c r="G92">
        <v>0</v>
      </c>
      <c r="H92">
        <v>1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216</v>
      </c>
      <c r="B93" t="s">
        <v>3375</v>
      </c>
      <c r="C93">
        <f>"1576888844948"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216</v>
      </c>
      <c r="B94" t="s">
        <v>3374</v>
      </c>
      <c r="C94">
        <f>"ESPADARL1"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216</v>
      </c>
      <c r="B95" t="s">
        <v>3373</v>
      </c>
      <c r="C95">
        <f>"ESPSAN"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216</v>
      </c>
      <c r="B96" t="s">
        <v>3281</v>
      </c>
      <c r="C96">
        <f>"1601743716133"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216</v>
      </c>
      <c r="B97" t="s">
        <v>3280</v>
      </c>
      <c r="C97">
        <f>"1651969115387"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216</v>
      </c>
      <c r="B98" t="s">
        <v>3059</v>
      </c>
      <c r="C98">
        <f>"600780782"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216</v>
      </c>
      <c r="B99" t="s">
        <v>3278</v>
      </c>
      <c r="C99">
        <f>"98896556"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216</v>
      </c>
      <c r="B100" t="s">
        <v>3368</v>
      </c>
      <c r="C100">
        <f>"PEZGA"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216</v>
      </c>
      <c r="B101" t="s">
        <v>3367</v>
      </c>
      <c r="C101">
        <f>"6003233"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216</v>
      </c>
      <c r="B102" t="s">
        <v>3366</v>
      </c>
      <c r="C102">
        <f>"GPM"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216</v>
      </c>
      <c r="B103" t="s">
        <v>3365</v>
      </c>
      <c r="C103">
        <f>"GPD"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216</v>
      </c>
      <c r="B104" t="s">
        <v>3364</v>
      </c>
      <c r="C104">
        <f>"PGHB"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216</v>
      </c>
      <c r="B105" t="s">
        <v>3349</v>
      </c>
      <c r="C105">
        <f>"1577484171201"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216</v>
      </c>
      <c r="B106" t="s">
        <v>3303</v>
      </c>
      <c r="C106">
        <f>"KOY"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216</v>
      </c>
      <c r="B107" t="s">
        <v>3302</v>
      </c>
      <c r="C107">
        <f>"KOI6"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216</v>
      </c>
      <c r="B108" t="s">
        <v>3301</v>
      </c>
      <c r="C108">
        <f>"2525KOI"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216</v>
      </c>
      <c r="B109" t="s">
        <v>3300</v>
      </c>
      <c r="C109">
        <f>"KOIRB"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216</v>
      </c>
      <c r="B110" t="s">
        <v>3299</v>
      </c>
      <c r="C110">
        <f>"SKOI"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216</v>
      </c>
      <c r="B111" t="s">
        <v>3298</v>
      </c>
      <c r="C111">
        <f>"2525KOIVELI"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216</v>
      </c>
      <c r="B112" t="s">
        <v>3327</v>
      </c>
      <c r="C112">
        <f>"KULLI"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216</v>
      </c>
      <c r="B113" t="s">
        <v>3326</v>
      </c>
      <c r="C113">
        <f>"LABALB"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216</v>
      </c>
      <c r="B114" t="s">
        <v>1257</v>
      </c>
      <c r="C114">
        <f>"1651969818007"</f>
        <v>0</v>
      </c>
      <c r="D114">
        <v>1</v>
      </c>
      <c r="E114">
        <v>0</v>
      </c>
      <c r="F114">
        <v>0</v>
      </c>
      <c r="G114">
        <v>0</v>
      </c>
      <c r="H114">
        <v>1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216</v>
      </c>
      <c r="B115" t="s">
        <v>3325</v>
      </c>
      <c r="C115">
        <f>"1576891880354"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216</v>
      </c>
      <c r="B116" t="s">
        <v>3293</v>
      </c>
      <c r="C116">
        <f>"1651969980245"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216</v>
      </c>
      <c r="B117" t="s">
        <v>3292</v>
      </c>
      <c r="C117">
        <f>"600780786"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216</v>
      </c>
      <c r="B118" t="s">
        <v>3291</v>
      </c>
      <c r="C118">
        <f>"1603553027100"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216</v>
      </c>
      <c r="B119" t="s">
        <v>3290</v>
      </c>
      <c r="C119">
        <f>"DALMATA"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216</v>
      </c>
      <c r="B120" t="s">
        <v>3304</v>
      </c>
      <c r="C120">
        <f>"1601743483767"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216</v>
      </c>
      <c r="B121" t="s">
        <v>3288</v>
      </c>
      <c r="C121">
        <f>"MOLLYG"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216</v>
      </c>
      <c r="B122" t="s">
        <v>3287</v>
      </c>
      <c r="C122">
        <f>"MOLLY111"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216</v>
      </c>
      <c r="B123" t="s">
        <v>3286</v>
      </c>
      <c r="C123">
        <f>"MOL"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216</v>
      </c>
      <c r="B124" t="s">
        <v>3285</v>
      </c>
      <c r="C124">
        <f>"MOLLYNEGRALIRA"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216</v>
      </c>
      <c r="B125" t="s">
        <v>3284</v>
      </c>
      <c r="C125">
        <f>"112233"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216</v>
      </c>
      <c r="B126" t="s">
        <v>3283</v>
      </c>
      <c r="C126">
        <f>"600800601"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216</v>
      </c>
      <c r="B127" t="s">
        <v>3282</v>
      </c>
      <c r="C127">
        <f>"126578"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216</v>
      </c>
      <c r="B128" t="s">
        <v>3312</v>
      </c>
      <c r="C128">
        <f>"600800602"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216</v>
      </c>
      <c r="B129" t="s">
        <v>3311</v>
      </c>
      <c r="C129">
        <f>"SHENOPS"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216</v>
      </c>
      <c r="B130" t="s">
        <v>3310</v>
      </c>
      <c r="C130">
        <f>"1576890153720"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216</v>
      </c>
      <c r="B131" t="s">
        <v>3277</v>
      </c>
      <c r="C131">
        <f>"321456"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216</v>
      </c>
      <c r="B132" t="s">
        <v>3276</v>
      </c>
      <c r="C132">
        <f>"1576892348931"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216</v>
      </c>
      <c r="B133" t="s">
        <v>3319</v>
      </c>
      <c r="C133">
        <f>"MACROPODOXXL"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216</v>
      </c>
      <c r="B134" t="s">
        <v>3329</v>
      </c>
      <c r="C134">
        <f>"778877"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216</v>
      </c>
      <c r="B135" t="s">
        <v>3328</v>
      </c>
      <c r="C135">
        <f>"600780785"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216</v>
      </c>
      <c r="B136" t="s">
        <v>1256</v>
      </c>
      <c r="C136">
        <f>"PLATYC"</f>
        <v>0</v>
      </c>
      <c r="D136">
        <v>1</v>
      </c>
      <c r="E136">
        <v>0</v>
      </c>
      <c r="F136">
        <v>0</v>
      </c>
      <c r="G136">
        <v>0</v>
      </c>
      <c r="H136">
        <v>1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216</v>
      </c>
      <c r="B137" t="s">
        <v>3473</v>
      </c>
      <c r="C137">
        <f>"123456"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216</v>
      </c>
      <c r="B138" t="s">
        <v>3472</v>
      </c>
      <c r="C138">
        <f>"600800901"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216</v>
      </c>
      <c r="B139" t="s">
        <v>3471</v>
      </c>
      <c r="C139">
        <f>"PLATTYMERI"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216</v>
      </c>
      <c r="B140" t="s">
        <v>3324</v>
      </c>
      <c r="C140">
        <f>"platymm"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216</v>
      </c>
      <c r="B141" t="s">
        <v>3323</v>
      </c>
      <c r="C141">
        <f>"PLAN"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216</v>
      </c>
      <c r="B142" t="s">
        <v>3322</v>
      </c>
      <c r="C142">
        <f>"9854329"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216</v>
      </c>
      <c r="B143" t="s">
        <v>3321</v>
      </c>
      <c r="C143">
        <f>"PLATTYR"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216</v>
      </c>
      <c r="B144" t="s">
        <v>3320</v>
      </c>
      <c r="C144">
        <f>"PLATTYW"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216</v>
      </c>
      <c r="B145" t="s">
        <v>3334</v>
      </c>
      <c r="C145">
        <f>"PLECOP"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216</v>
      </c>
      <c r="B146" t="s">
        <v>3318</v>
      </c>
      <c r="C146">
        <f>"15301530"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216</v>
      </c>
      <c r="B147" t="s">
        <v>3317</v>
      </c>
      <c r="C147">
        <f>"1577484711345"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216</v>
      </c>
      <c r="B148" t="s">
        <v>3316</v>
      </c>
      <c r="C148">
        <f>"PPLECOS"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216</v>
      </c>
      <c r="B149" t="s">
        <v>3315</v>
      </c>
      <c r="C149">
        <f>"753263"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216</v>
      </c>
      <c r="B150" t="s">
        <v>3314</v>
      </c>
      <c r="C150">
        <f>"PPLECOG"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216</v>
      </c>
      <c r="B151" t="s">
        <v>3313</v>
      </c>
      <c r="C151">
        <f>"plecoS"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216</v>
      </c>
      <c r="B152" t="s">
        <v>3458</v>
      </c>
      <c r="C152">
        <f>"72647314"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216</v>
      </c>
      <c r="B153" t="s">
        <v>3457</v>
      </c>
      <c r="C153">
        <f>"RASB"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216</v>
      </c>
      <c r="B154" t="s">
        <v>3456</v>
      </c>
      <c r="C154">
        <f>"PRF"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216</v>
      </c>
      <c r="B155" t="s">
        <v>3455</v>
      </c>
      <c r="C155">
        <f>"1576892390160"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216</v>
      </c>
      <c r="B156" t="s">
        <v>3308</v>
      </c>
      <c r="C156">
        <f>"psum"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216</v>
      </c>
      <c r="B157" t="s">
        <v>3307</v>
      </c>
      <c r="C157">
        <f>"1601743109211"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216</v>
      </c>
      <c r="B158" t="s">
        <v>3306</v>
      </c>
      <c r="C158">
        <f>"1583593827868"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216</v>
      </c>
      <c r="B159" t="s">
        <v>3305</v>
      </c>
      <c r="C159">
        <f>"1598827559227"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216</v>
      </c>
      <c r="B160" t="s">
        <v>3408</v>
      </c>
      <c r="C160">
        <f>"PTD"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100</v>
      </c>
      <c r="Q160">
        <v>0</v>
      </c>
      <c r="R160" t="s">
        <v>145</v>
      </c>
      <c r="S160">
        <v>0</v>
      </c>
    </row>
    <row r="161" spans="1:19">
      <c r="A161" t="s">
        <v>216</v>
      </c>
      <c r="B161" t="s">
        <v>3480</v>
      </c>
      <c r="C161">
        <f>"TETRAE"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216</v>
      </c>
      <c r="B162" t="s">
        <v>3479</v>
      </c>
      <c r="C162">
        <f>"PTTNV"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216</v>
      </c>
      <c r="B163" t="s">
        <v>3478</v>
      </c>
      <c r="C163">
        <f>"1656093039612"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216</v>
      </c>
      <c r="B164" t="s">
        <v>3477</v>
      </c>
      <c r="C164">
        <f>"PTTR"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216</v>
      </c>
      <c r="B165" t="s">
        <v>3476</v>
      </c>
      <c r="C165">
        <f>"TCOLOM"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216</v>
      </c>
      <c r="B166" t="s">
        <v>3475</v>
      </c>
      <c r="C166">
        <f>"TELAP"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100</v>
      </c>
      <c r="Q166">
        <v>0</v>
      </c>
      <c r="R166" t="s">
        <v>145</v>
      </c>
      <c r="S166">
        <v>0</v>
      </c>
    </row>
    <row r="167" spans="1:19">
      <c r="A167" t="s">
        <v>216</v>
      </c>
      <c r="B167" t="s">
        <v>3474</v>
      </c>
      <c r="C167">
        <f>"1584278048529"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100</v>
      </c>
      <c r="Q167">
        <v>0</v>
      </c>
      <c r="R167" t="s">
        <v>145</v>
      </c>
      <c r="S167">
        <v>0</v>
      </c>
    </row>
    <row r="168" spans="1:19">
      <c r="A168" t="s">
        <v>216</v>
      </c>
      <c r="B168" t="s">
        <v>1254</v>
      </c>
      <c r="C168">
        <f>"P007"</f>
        <v>0</v>
      </c>
      <c r="D168">
        <v>1</v>
      </c>
      <c r="E168">
        <v>0</v>
      </c>
      <c r="F168">
        <v>0</v>
      </c>
      <c r="G168">
        <v>0</v>
      </c>
      <c r="H168">
        <v>1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216</v>
      </c>
      <c r="B169" t="s">
        <v>3499</v>
      </c>
      <c r="C169">
        <f>"1605803913575"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100</v>
      </c>
      <c r="Q169">
        <v>0</v>
      </c>
      <c r="R169" t="s">
        <v>145</v>
      </c>
      <c r="S169">
        <v>0</v>
      </c>
    </row>
    <row r="170" spans="1:19">
      <c r="A170" t="s">
        <v>216</v>
      </c>
      <c r="B170" t="s">
        <v>3506</v>
      </c>
      <c r="C170">
        <f>"1598827665863"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216</v>
      </c>
      <c r="B171" t="s">
        <v>3437</v>
      </c>
      <c r="C171">
        <f>"PLC"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216</v>
      </c>
      <c r="B172" t="s">
        <v>3431</v>
      </c>
      <c r="C172">
        <f>"PLP"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216</v>
      </c>
      <c r="B173" t="s">
        <v>3428</v>
      </c>
      <c r="C173">
        <f>"PLVE"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216</v>
      </c>
      <c r="B174" t="s">
        <v>3427</v>
      </c>
      <c r="C174">
        <f>"PLVG"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100</v>
      </c>
      <c r="Q174">
        <v>0</v>
      </c>
      <c r="R174" t="s">
        <v>145</v>
      </c>
      <c r="S174">
        <v>0</v>
      </c>
    </row>
    <row r="175" spans="1:19">
      <c r="A175" t="s">
        <v>216</v>
      </c>
      <c r="B175" t="s">
        <v>6115</v>
      </c>
      <c r="C175">
        <f>"TETRAOR"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100</v>
      </c>
      <c r="Q175">
        <v>0</v>
      </c>
      <c r="R175" t="s">
        <v>145</v>
      </c>
      <c r="S175">
        <v>0</v>
      </c>
    </row>
    <row r="176" spans="1:19">
      <c r="A176" t="s">
        <v>216</v>
      </c>
      <c r="B176" t="s">
        <v>4737</v>
      </c>
      <c r="C176">
        <f>"TORT"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100</v>
      </c>
      <c r="Q176">
        <v>0</v>
      </c>
      <c r="R176" t="s">
        <v>145</v>
      </c>
      <c r="S176">
        <v>0</v>
      </c>
    </row>
  </sheetData>
  <autoFilter ref="A2:S176"/>
  <hyperlinks>
    <hyperlink ref="A1" location="'ÍNDICE'!A1" display="⬅ Volver al índice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3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231</v>
      </c>
      <c r="B3" t="s">
        <v>5330</v>
      </c>
      <c r="C3">
        <f>"1006551"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3.7109375" customWidth="1"/>
    <col min="3" max="3" width="17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222</v>
      </c>
      <c r="B3" t="s">
        <v>7043</v>
      </c>
      <c r="C3">
        <f>"POOPMCFRENCH"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222</v>
      </c>
      <c r="B4" t="s">
        <v>7044</v>
      </c>
      <c r="C4">
        <f>"POOPHAWAII"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222</v>
      </c>
      <c r="B5" t="s">
        <v>7045</v>
      </c>
      <c r="C5">
        <f>"POOPGALAXY"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222</v>
      </c>
      <c r="B6" t="s">
        <v>7046</v>
      </c>
      <c r="C6">
        <f>"POOPBALI"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222</v>
      </c>
      <c r="B7" t="s">
        <v>8956</v>
      </c>
      <c r="C7">
        <f>"GGL20"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</v>
      </c>
      <c r="K7">
        <v>21.086</v>
      </c>
      <c r="L7" s="2">
        <v>21</v>
      </c>
      <c r="M7">
        <v>0</v>
      </c>
      <c r="N7" s="2">
        <v>0</v>
      </c>
      <c r="O7">
        <v>-1.2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222</v>
      </c>
      <c r="B8" t="s">
        <v>2646</v>
      </c>
      <c r="C8">
        <f>"GBS20"</f>
        <v>0</v>
      </c>
      <c r="D8">
        <v>1</v>
      </c>
      <c r="E8">
        <v>0</v>
      </c>
      <c r="F8">
        <v>0</v>
      </c>
      <c r="G8">
        <v>0</v>
      </c>
      <c r="H8">
        <v>1</v>
      </c>
      <c r="I8">
        <v>0</v>
      </c>
      <c r="J8">
        <v>1</v>
      </c>
      <c r="K8">
        <v>18.355</v>
      </c>
      <c r="L8" s="2">
        <v>18</v>
      </c>
      <c r="M8">
        <v>0</v>
      </c>
      <c r="N8" s="2">
        <v>0</v>
      </c>
      <c r="O8">
        <v>-1.2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222</v>
      </c>
      <c r="B9" t="s">
        <v>3961</v>
      </c>
      <c r="C9">
        <f>"GBM20"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</v>
      </c>
      <c r="K9">
        <v>19.635</v>
      </c>
      <c r="L9" s="2">
        <v>20</v>
      </c>
      <c r="M9">
        <v>0</v>
      </c>
      <c r="N9" s="2">
        <v>0</v>
      </c>
      <c r="O9">
        <v>-1.2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222</v>
      </c>
      <c r="B10" t="s">
        <v>3962</v>
      </c>
      <c r="C10">
        <f>"GBL20"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21.086</v>
      </c>
      <c r="L10" s="2">
        <v>21</v>
      </c>
      <c r="M10">
        <v>0</v>
      </c>
      <c r="N10" s="2">
        <v>0</v>
      </c>
      <c r="O10">
        <v>-1.2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222</v>
      </c>
      <c r="B11" t="s">
        <v>8955</v>
      </c>
      <c r="C11">
        <f>"GGM20"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</v>
      </c>
      <c r="K11">
        <v>19.635</v>
      </c>
      <c r="L11" s="2">
        <v>20</v>
      </c>
      <c r="M11">
        <v>0</v>
      </c>
      <c r="N11" s="2">
        <v>0</v>
      </c>
      <c r="O11">
        <v>-1.2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222</v>
      </c>
      <c r="B12" t="s">
        <v>8954</v>
      </c>
      <c r="C12">
        <f>"GGS20"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</v>
      </c>
      <c r="K12">
        <v>18.355</v>
      </c>
      <c r="L12" s="2">
        <v>18</v>
      </c>
      <c r="M12">
        <v>0</v>
      </c>
      <c r="N12" s="2">
        <v>0</v>
      </c>
      <c r="O12">
        <v>-1.2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222</v>
      </c>
      <c r="B13" t="s">
        <v>8953</v>
      </c>
      <c r="C13">
        <f>"GHL19"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</v>
      </c>
      <c r="K13">
        <v>21.086</v>
      </c>
      <c r="L13" s="2">
        <v>21</v>
      </c>
      <c r="M13">
        <v>0</v>
      </c>
      <c r="N13" s="2">
        <v>0</v>
      </c>
      <c r="O13">
        <v>-1.2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222</v>
      </c>
      <c r="B14" t="s">
        <v>8951</v>
      </c>
      <c r="C14">
        <f>"GHS19"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</v>
      </c>
      <c r="K14">
        <v>18.355</v>
      </c>
      <c r="L14" s="2">
        <v>18</v>
      </c>
      <c r="M14">
        <v>0</v>
      </c>
      <c r="N14" s="2">
        <v>0</v>
      </c>
      <c r="O14">
        <v>-1.2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222</v>
      </c>
      <c r="B15" t="s">
        <v>7274</v>
      </c>
      <c r="C15">
        <f>"LMFM19"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</v>
      </c>
      <c r="K15">
        <v>13.179</v>
      </c>
      <c r="L15" s="2">
        <v>13</v>
      </c>
      <c r="M15">
        <v>0</v>
      </c>
      <c r="N15" s="2">
        <v>0</v>
      </c>
      <c r="O15">
        <v>-1.2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222</v>
      </c>
      <c r="B16" t="s">
        <v>8948</v>
      </c>
      <c r="C16">
        <f>"GMFS20"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18.355</v>
      </c>
      <c r="L16" s="2">
        <v>18</v>
      </c>
      <c r="M16">
        <v>0</v>
      </c>
      <c r="N16" s="2">
        <v>0</v>
      </c>
      <c r="O16">
        <v>-1.2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222</v>
      </c>
      <c r="B17" t="s">
        <v>8950</v>
      </c>
      <c r="C17">
        <f>"GMFL18"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</v>
      </c>
      <c r="K17">
        <v>21.086</v>
      </c>
      <c r="L17" s="2">
        <v>21</v>
      </c>
      <c r="M17">
        <v>0</v>
      </c>
      <c r="N17" s="2">
        <v>0</v>
      </c>
      <c r="O17">
        <v>-1.2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222</v>
      </c>
      <c r="B18" t="s">
        <v>8952</v>
      </c>
      <c r="C18">
        <f>"GHM19"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39.27</v>
      </c>
      <c r="L18" s="2">
        <v>20</v>
      </c>
      <c r="M18">
        <v>0</v>
      </c>
      <c r="N18" s="2">
        <v>0</v>
      </c>
      <c r="O18">
        <v>-2.4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222</v>
      </c>
      <c r="B19" t="s">
        <v>8949</v>
      </c>
      <c r="C19">
        <f>"GMFM18"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39.27</v>
      </c>
      <c r="L19" s="2">
        <v>20</v>
      </c>
      <c r="M19">
        <v>0</v>
      </c>
      <c r="N19" s="2">
        <v>0</v>
      </c>
      <c r="O19">
        <v>-2.4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222</v>
      </c>
      <c r="B20" t="s">
        <v>7275</v>
      </c>
      <c r="C20">
        <f>"LHM19"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26.358</v>
      </c>
      <c r="L20" s="2">
        <v>13</v>
      </c>
      <c r="M20">
        <v>0</v>
      </c>
      <c r="N20" s="2">
        <v>0</v>
      </c>
      <c r="O20">
        <v>-2.4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222</v>
      </c>
      <c r="B21" t="s">
        <v>7277</v>
      </c>
      <c r="C21">
        <f>"LBM20"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26.358</v>
      </c>
      <c r="L21" s="2">
        <v>13</v>
      </c>
      <c r="M21">
        <v>0</v>
      </c>
      <c r="N21" s="2">
        <v>0</v>
      </c>
      <c r="O21">
        <v>-2.4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222</v>
      </c>
      <c r="B22" t="s">
        <v>7276</v>
      </c>
      <c r="C22">
        <f>"LGM20"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26.358</v>
      </c>
      <c r="L22" s="2">
        <v>13</v>
      </c>
      <c r="M22">
        <v>0</v>
      </c>
      <c r="N22" s="2">
        <v>0</v>
      </c>
      <c r="O22">
        <v>-2.4</v>
      </c>
      <c r="P22" t="s">
        <v>100</v>
      </c>
      <c r="Q22">
        <v>0</v>
      </c>
      <c r="R22" t="s">
        <v>145</v>
      </c>
      <c r="S22">
        <v>0</v>
      </c>
    </row>
  </sheetData>
  <autoFilter ref="A2:S22"/>
  <hyperlinks>
    <hyperlink ref="A1" location="'ÍNDICE'!A1" display="⬅ Volver al índice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S5335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2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35</v>
      </c>
      <c r="B3" t="s">
        <v>69</v>
      </c>
      <c r="C3">
        <f>"HDDZ801UNID"</f>
        <v>0</v>
      </c>
      <c r="D3">
        <v>0</v>
      </c>
      <c r="E3">
        <v>76</v>
      </c>
      <c r="F3">
        <v>222</v>
      </c>
      <c r="G3">
        <v>0</v>
      </c>
      <c r="H3">
        <v>298</v>
      </c>
      <c r="I3">
        <v>38</v>
      </c>
      <c r="J3">
        <v>0</v>
      </c>
      <c r="K3">
        <v>0</v>
      </c>
      <c r="L3" s="2">
        <v>0</v>
      </c>
      <c r="M3">
        <v>38</v>
      </c>
      <c r="N3" s="2">
        <v>0</v>
      </c>
      <c r="O3">
        <v>38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35</v>
      </c>
      <c r="B4" t="s">
        <v>75</v>
      </c>
      <c r="C4">
        <f>"HC014"</f>
        <v>0</v>
      </c>
      <c r="D4">
        <v>11</v>
      </c>
      <c r="E4">
        <v>7</v>
      </c>
      <c r="F4">
        <v>5</v>
      </c>
      <c r="G4">
        <v>11</v>
      </c>
      <c r="H4">
        <v>34</v>
      </c>
      <c r="I4">
        <v>9</v>
      </c>
      <c r="J4">
        <v>0</v>
      </c>
      <c r="K4">
        <v>0</v>
      </c>
      <c r="L4" s="2">
        <v>0</v>
      </c>
      <c r="M4">
        <v>14</v>
      </c>
      <c r="N4" s="2">
        <v>0</v>
      </c>
      <c r="O4">
        <v>34</v>
      </c>
      <c r="P4" t="s">
        <v>122</v>
      </c>
      <c r="Q4">
        <v>4.04</v>
      </c>
      <c r="R4" t="s">
        <v>167</v>
      </c>
      <c r="S4">
        <v>1</v>
      </c>
    </row>
    <row r="5" spans="1:19">
      <c r="A5" t="s">
        <v>35</v>
      </c>
      <c r="B5" t="s">
        <v>83</v>
      </c>
      <c r="C5">
        <f>"KF8057"</f>
        <v>0</v>
      </c>
      <c r="D5">
        <v>0</v>
      </c>
      <c r="E5">
        <v>5</v>
      </c>
      <c r="F5">
        <v>27</v>
      </c>
      <c r="G5">
        <v>20</v>
      </c>
      <c r="H5">
        <v>52</v>
      </c>
      <c r="I5">
        <v>12.5</v>
      </c>
      <c r="J5">
        <v>19</v>
      </c>
      <c r="K5">
        <v>392.35</v>
      </c>
      <c r="L5" s="2">
        <v>21</v>
      </c>
      <c r="M5">
        <v>4</v>
      </c>
      <c r="N5" s="2">
        <v>84</v>
      </c>
      <c r="O5">
        <v>29.7</v>
      </c>
      <c r="P5" t="s">
        <v>129</v>
      </c>
      <c r="Q5">
        <v>124.642</v>
      </c>
      <c r="R5" t="s">
        <v>174</v>
      </c>
      <c r="S5">
        <v>0</v>
      </c>
    </row>
    <row r="6" spans="1:19">
      <c r="A6" t="s">
        <v>35</v>
      </c>
      <c r="B6" t="s">
        <v>90</v>
      </c>
      <c r="C6">
        <f>"CAT001AZ"</f>
        <v>0</v>
      </c>
      <c r="D6">
        <v>4</v>
      </c>
      <c r="E6">
        <v>9</v>
      </c>
      <c r="F6">
        <v>4</v>
      </c>
      <c r="G6">
        <v>11</v>
      </c>
      <c r="H6">
        <v>28</v>
      </c>
      <c r="I6">
        <v>6.5</v>
      </c>
      <c r="J6">
        <v>4</v>
      </c>
      <c r="K6">
        <v>72.52</v>
      </c>
      <c r="L6" s="2">
        <v>18</v>
      </c>
      <c r="M6">
        <v>8</v>
      </c>
      <c r="N6" s="2">
        <v>144</v>
      </c>
      <c r="O6">
        <v>26.7</v>
      </c>
      <c r="P6" t="s">
        <v>136</v>
      </c>
      <c r="Q6">
        <v>59.301</v>
      </c>
      <c r="R6" t="s">
        <v>181</v>
      </c>
      <c r="S6">
        <v>1</v>
      </c>
    </row>
    <row r="7" spans="1:19">
      <c r="A7" t="s">
        <v>35</v>
      </c>
      <c r="B7" t="s">
        <v>265</v>
      </c>
      <c r="C7">
        <f>"HDDZ811UNID"</f>
        <v>0</v>
      </c>
      <c r="D7">
        <v>0</v>
      </c>
      <c r="E7">
        <v>43</v>
      </c>
      <c r="F7">
        <v>100</v>
      </c>
      <c r="G7">
        <v>0</v>
      </c>
      <c r="H7">
        <v>143</v>
      </c>
      <c r="I7">
        <v>21.5</v>
      </c>
      <c r="J7">
        <v>0</v>
      </c>
      <c r="K7">
        <v>0</v>
      </c>
      <c r="L7" s="2">
        <v>0</v>
      </c>
      <c r="M7">
        <v>22</v>
      </c>
      <c r="N7" s="2">
        <v>0</v>
      </c>
      <c r="O7">
        <v>21.5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35</v>
      </c>
      <c r="B8" t="s">
        <v>645</v>
      </c>
      <c r="C8">
        <f>"749F"</f>
        <v>0</v>
      </c>
      <c r="D8">
        <v>0</v>
      </c>
      <c r="E8">
        <v>0</v>
      </c>
      <c r="F8">
        <v>1</v>
      </c>
      <c r="G8">
        <v>6</v>
      </c>
      <c r="H8">
        <v>7</v>
      </c>
      <c r="I8">
        <v>0.5</v>
      </c>
      <c r="J8">
        <v>0</v>
      </c>
      <c r="K8">
        <v>0</v>
      </c>
      <c r="L8" s="2">
        <v>0</v>
      </c>
      <c r="M8">
        <v>4</v>
      </c>
      <c r="N8" s="2">
        <v>0</v>
      </c>
      <c r="O8">
        <v>15.5</v>
      </c>
      <c r="P8" t="s">
        <v>10948</v>
      </c>
      <c r="Q8">
        <v>2.274</v>
      </c>
      <c r="R8" t="s">
        <v>11097</v>
      </c>
      <c r="S8">
        <v>1</v>
      </c>
    </row>
    <row r="9" spans="1:19">
      <c r="A9" t="s">
        <v>35</v>
      </c>
      <c r="B9" t="s">
        <v>1519</v>
      </c>
      <c r="C9">
        <f>"28402"</f>
        <v>0</v>
      </c>
      <c r="D9">
        <v>9</v>
      </c>
      <c r="E9">
        <v>7</v>
      </c>
      <c r="F9">
        <v>3</v>
      </c>
      <c r="G9">
        <v>4</v>
      </c>
      <c r="H9">
        <v>23</v>
      </c>
      <c r="I9">
        <v>5.5</v>
      </c>
      <c r="J9">
        <v>2</v>
      </c>
      <c r="K9">
        <v>8.369999999999999</v>
      </c>
      <c r="L9" s="2">
        <v>4</v>
      </c>
      <c r="M9">
        <v>6</v>
      </c>
      <c r="N9" s="2">
        <v>24</v>
      </c>
      <c r="O9">
        <v>14.1</v>
      </c>
      <c r="P9" t="s">
        <v>10949</v>
      </c>
      <c r="Q9">
        <v>1.872</v>
      </c>
      <c r="R9" t="s">
        <v>11098</v>
      </c>
      <c r="S9">
        <v>1</v>
      </c>
    </row>
    <row r="10" spans="1:19">
      <c r="A10" t="s">
        <v>35</v>
      </c>
      <c r="B10" t="s">
        <v>1595</v>
      </c>
      <c r="C10">
        <f>"TQ71ROS"</f>
        <v>0</v>
      </c>
      <c r="D10">
        <v>5</v>
      </c>
      <c r="E10">
        <v>1</v>
      </c>
      <c r="F10">
        <v>2</v>
      </c>
      <c r="G10">
        <v>5</v>
      </c>
      <c r="H10">
        <v>13</v>
      </c>
      <c r="I10">
        <v>3.5</v>
      </c>
      <c r="J10">
        <v>2</v>
      </c>
      <c r="K10">
        <v>702</v>
      </c>
      <c r="L10" s="2">
        <v>351</v>
      </c>
      <c r="M10">
        <v>4</v>
      </c>
      <c r="N10" s="2">
        <v>1404</v>
      </c>
      <c r="O10">
        <v>14.1</v>
      </c>
      <c r="P10" t="s">
        <v>10950</v>
      </c>
      <c r="Q10">
        <v>1.1</v>
      </c>
      <c r="R10" t="s">
        <v>11099</v>
      </c>
      <c r="S10">
        <v>1</v>
      </c>
    </row>
    <row r="11" spans="1:19">
      <c r="A11" t="s">
        <v>35</v>
      </c>
      <c r="B11" t="s">
        <v>520</v>
      </c>
      <c r="C11">
        <f>"PS7028"</f>
        <v>0</v>
      </c>
      <c r="D11">
        <v>6</v>
      </c>
      <c r="E11">
        <v>1</v>
      </c>
      <c r="F11">
        <v>2</v>
      </c>
      <c r="G11">
        <v>4</v>
      </c>
      <c r="H11">
        <v>13</v>
      </c>
      <c r="I11">
        <v>3</v>
      </c>
      <c r="J11">
        <v>0</v>
      </c>
      <c r="K11">
        <v>0</v>
      </c>
      <c r="L11" s="2">
        <v>0</v>
      </c>
      <c r="M11">
        <v>5</v>
      </c>
      <c r="N11" s="2">
        <v>0</v>
      </c>
      <c r="O11">
        <v>14</v>
      </c>
      <c r="P11" t="s">
        <v>10951</v>
      </c>
      <c r="Q11">
        <v>6.788</v>
      </c>
      <c r="R11" t="s">
        <v>11100</v>
      </c>
      <c r="S11">
        <v>1</v>
      </c>
    </row>
    <row r="12" spans="1:19">
      <c r="A12" t="s">
        <v>35</v>
      </c>
      <c r="B12" t="s">
        <v>1658</v>
      </c>
      <c r="C12">
        <f>"TH50"</f>
        <v>0</v>
      </c>
      <c r="D12">
        <v>4</v>
      </c>
      <c r="E12">
        <v>11</v>
      </c>
      <c r="F12">
        <v>3</v>
      </c>
      <c r="G12">
        <v>6</v>
      </c>
      <c r="H12">
        <v>24</v>
      </c>
      <c r="I12">
        <v>5</v>
      </c>
      <c r="J12">
        <v>6</v>
      </c>
      <c r="K12">
        <v>4.266</v>
      </c>
      <c r="L12" s="2">
        <v>1</v>
      </c>
      <c r="M12">
        <v>2</v>
      </c>
      <c r="N12" s="2">
        <v>2</v>
      </c>
      <c r="O12">
        <v>12.8</v>
      </c>
      <c r="P12" t="s">
        <v>10952</v>
      </c>
      <c r="Q12">
        <v>2.238</v>
      </c>
      <c r="R12" t="s">
        <v>11101</v>
      </c>
      <c r="S12">
        <v>1</v>
      </c>
    </row>
    <row r="13" spans="1:19">
      <c r="A13" t="s">
        <v>35</v>
      </c>
      <c r="B13" t="s">
        <v>476</v>
      </c>
      <c r="C13">
        <f>"CK1026"</f>
        <v>0</v>
      </c>
      <c r="D13">
        <v>9</v>
      </c>
      <c r="E13">
        <v>2</v>
      </c>
      <c r="F13">
        <v>5</v>
      </c>
      <c r="G13">
        <v>4</v>
      </c>
      <c r="H13">
        <v>20</v>
      </c>
      <c r="I13">
        <v>4.5</v>
      </c>
      <c r="J13">
        <v>0</v>
      </c>
      <c r="K13">
        <v>0</v>
      </c>
      <c r="L13" s="2">
        <v>0</v>
      </c>
      <c r="M13">
        <v>6</v>
      </c>
      <c r="N13" s="2">
        <v>0</v>
      </c>
      <c r="O13">
        <v>12.5</v>
      </c>
      <c r="P13" t="s">
        <v>10953</v>
      </c>
      <c r="Q13">
        <v>1.252</v>
      </c>
      <c r="R13" t="s">
        <v>11102</v>
      </c>
      <c r="S13">
        <v>0</v>
      </c>
    </row>
    <row r="14" spans="1:19">
      <c r="A14" t="s">
        <v>35</v>
      </c>
      <c r="B14" t="s">
        <v>250</v>
      </c>
      <c r="C14">
        <f>"JN003"</f>
        <v>0</v>
      </c>
      <c r="D14">
        <v>3</v>
      </c>
      <c r="E14">
        <v>8</v>
      </c>
      <c r="F14">
        <v>7</v>
      </c>
      <c r="G14">
        <v>6</v>
      </c>
      <c r="H14">
        <v>24</v>
      </c>
      <c r="I14">
        <v>6.5</v>
      </c>
      <c r="J14">
        <v>6</v>
      </c>
      <c r="K14">
        <v>4.578</v>
      </c>
      <c r="L14" s="2">
        <v>1</v>
      </c>
      <c r="M14">
        <v>4</v>
      </c>
      <c r="N14" s="2">
        <v>4</v>
      </c>
      <c r="O14">
        <v>11.3</v>
      </c>
      <c r="P14" t="s">
        <v>10954</v>
      </c>
      <c r="Q14">
        <v>856</v>
      </c>
      <c r="R14" t="s">
        <v>11103</v>
      </c>
      <c r="S14">
        <v>0</v>
      </c>
    </row>
    <row r="15" spans="1:19">
      <c r="A15" t="s">
        <v>35</v>
      </c>
      <c r="B15" t="s">
        <v>511</v>
      </c>
      <c r="C15">
        <f>"CK1024"</f>
        <v>0</v>
      </c>
      <c r="D15">
        <v>30</v>
      </c>
      <c r="E15">
        <v>12</v>
      </c>
      <c r="F15">
        <v>19</v>
      </c>
      <c r="G15">
        <v>5</v>
      </c>
      <c r="H15">
        <v>66</v>
      </c>
      <c r="I15">
        <v>15.5</v>
      </c>
      <c r="J15">
        <v>12</v>
      </c>
      <c r="K15">
        <v>10.26</v>
      </c>
      <c r="L15" s="2">
        <v>1</v>
      </c>
      <c r="M15">
        <v>6</v>
      </c>
      <c r="N15" s="2">
        <v>6</v>
      </c>
      <c r="O15">
        <v>11.1</v>
      </c>
      <c r="P15" t="s">
        <v>10955</v>
      </c>
      <c r="Q15">
        <v>1.148</v>
      </c>
      <c r="R15" t="s">
        <v>11104</v>
      </c>
      <c r="S15">
        <v>0</v>
      </c>
    </row>
    <row r="16" spans="1:19">
      <c r="A16" t="s">
        <v>35</v>
      </c>
      <c r="B16" t="s">
        <v>1520</v>
      </c>
      <c r="C16">
        <f>"CK1002"</f>
        <v>0</v>
      </c>
      <c r="D16">
        <v>4</v>
      </c>
      <c r="E16">
        <v>22</v>
      </c>
      <c r="F16">
        <v>31</v>
      </c>
      <c r="G16">
        <v>7</v>
      </c>
      <c r="H16">
        <v>64</v>
      </c>
      <c r="I16">
        <v>14.5</v>
      </c>
      <c r="J16">
        <v>15</v>
      </c>
      <c r="K16">
        <v>12.825</v>
      </c>
      <c r="L16" s="2">
        <v>1</v>
      </c>
      <c r="M16">
        <v>3</v>
      </c>
      <c r="N16" s="2">
        <v>3</v>
      </c>
      <c r="O16">
        <v>10.5</v>
      </c>
      <c r="P16" t="s">
        <v>10956</v>
      </c>
      <c r="Q16">
        <v>1.603</v>
      </c>
      <c r="R16" t="s">
        <v>11105</v>
      </c>
      <c r="S16">
        <v>0</v>
      </c>
    </row>
    <row r="17" spans="1:19">
      <c r="A17" t="s">
        <v>35</v>
      </c>
      <c r="B17" t="s">
        <v>1591</v>
      </c>
      <c r="C17">
        <f>"MSPB04CE"</f>
        <v>0</v>
      </c>
      <c r="D17">
        <v>3</v>
      </c>
      <c r="E17">
        <v>2</v>
      </c>
      <c r="F17">
        <v>0</v>
      </c>
      <c r="G17">
        <v>3</v>
      </c>
      <c r="H17">
        <v>8</v>
      </c>
      <c r="I17">
        <v>2.5</v>
      </c>
      <c r="J17">
        <v>1</v>
      </c>
      <c r="K17">
        <v>3.465</v>
      </c>
      <c r="L17" s="2">
        <v>3</v>
      </c>
      <c r="M17">
        <v>3</v>
      </c>
      <c r="N17" s="2">
        <v>9</v>
      </c>
      <c r="O17">
        <v>10.3</v>
      </c>
      <c r="P17" t="s">
        <v>10957</v>
      </c>
      <c r="Q17">
        <v>4.458</v>
      </c>
      <c r="R17" t="s">
        <v>11106</v>
      </c>
      <c r="S17">
        <v>1</v>
      </c>
    </row>
    <row r="18" spans="1:19">
      <c r="A18" t="s">
        <v>35</v>
      </c>
      <c r="B18" t="s">
        <v>727</v>
      </c>
      <c r="C18">
        <f>"LO80801"</f>
        <v>0</v>
      </c>
      <c r="D18">
        <v>2</v>
      </c>
      <c r="E18">
        <v>0</v>
      </c>
      <c r="F18">
        <v>0</v>
      </c>
      <c r="G18">
        <v>3</v>
      </c>
      <c r="H18">
        <v>5</v>
      </c>
      <c r="I18">
        <v>1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10</v>
      </c>
      <c r="P18" t="s">
        <v>10958</v>
      </c>
      <c r="Q18">
        <v>1.806</v>
      </c>
      <c r="R18" t="s">
        <v>11107</v>
      </c>
      <c r="S18">
        <v>1</v>
      </c>
    </row>
    <row r="19" spans="1:19">
      <c r="A19" t="s">
        <v>35</v>
      </c>
      <c r="B19" t="s">
        <v>1945</v>
      </c>
      <c r="C19">
        <f>"130043"</f>
        <v>0</v>
      </c>
      <c r="D19">
        <v>0</v>
      </c>
      <c r="E19">
        <v>0</v>
      </c>
      <c r="F19">
        <v>0</v>
      </c>
      <c r="G19">
        <v>4</v>
      </c>
      <c r="H19">
        <v>4</v>
      </c>
      <c r="I19">
        <v>0</v>
      </c>
      <c r="J19">
        <v>1</v>
      </c>
      <c r="K19">
        <v>1.521</v>
      </c>
      <c r="L19" s="2">
        <v>2</v>
      </c>
      <c r="M19">
        <v>1</v>
      </c>
      <c r="N19" s="2">
        <v>2</v>
      </c>
      <c r="O19">
        <v>9.800000000000001</v>
      </c>
      <c r="P19" t="s">
        <v>10959</v>
      </c>
      <c r="Q19">
        <v>2.62</v>
      </c>
      <c r="R19" t="s">
        <v>11108</v>
      </c>
      <c r="S19">
        <v>1</v>
      </c>
    </row>
    <row r="20" spans="1:19">
      <c r="A20" t="s">
        <v>35</v>
      </c>
      <c r="B20" t="s">
        <v>964</v>
      </c>
      <c r="C20">
        <f>"PP007B"</f>
        <v>0</v>
      </c>
      <c r="D20">
        <v>2</v>
      </c>
      <c r="E20">
        <v>10</v>
      </c>
      <c r="F20">
        <v>9</v>
      </c>
      <c r="G20">
        <v>3</v>
      </c>
      <c r="H20">
        <v>24</v>
      </c>
      <c r="I20">
        <v>6</v>
      </c>
      <c r="J20">
        <v>2</v>
      </c>
      <c r="K20">
        <v>9.9</v>
      </c>
      <c r="L20" s="2">
        <v>5</v>
      </c>
      <c r="M20">
        <v>6</v>
      </c>
      <c r="N20" s="2">
        <v>30</v>
      </c>
      <c r="O20">
        <v>9.6</v>
      </c>
      <c r="P20" t="s">
        <v>10960</v>
      </c>
      <c r="Q20">
        <v>6.553</v>
      </c>
      <c r="R20" t="s">
        <v>11109</v>
      </c>
      <c r="S20">
        <v>0</v>
      </c>
    </row>
    <row r="21" spans="1:19">
      <c r="A21" t="s">
        <v>35</v>
      </c>
      <c r="B21" t="s">
        <v>532</v>
      </c>
      <c r="C21">
        <f>"MSPB03G"</f>
        <v>0</v>
      </c>
      <c r="D21">
        <v>0</v>
      </c>
      <c r="E21">
        <v>6</v>
      </c>
      <c r="F21">
        <v>4</v>
      </c>
      <c r="G21">
        <v>3</v>
      </c>
      <c r="H21">
        <v>13</v>
      </c>
      <c r="I21">
        <v>3.5</v>
      </c>
      <c r="J21">
        <v>0</v>
      </c>
      <c r="K21">
        <v>0</v>
      </c>
      <c r="L21" s="2">
        <v>0</v>
      </c>
      <c r="M21">
        <v>5</v>
      </c>
      <c r="N21" s="2">
        <v>0</v>
      </c>
      <c r="O21">
        <v>9.5</v>
      </c>
      <c r="P21" t="s">
        <v>10961</v>
      </c>
      <c r="Q21">
        <v>2.562</v>
      </c>
      <c r="R21" t="s">
        <v>11110</v>
      </c>
      <c r="S21">
        <v>0</v>
      </c>
    </row>
    <row r="22" spans="1:19">
      <c r="A22" t="s">
        <v>35</v>
      </c>
      <c r="B22" t="s">
        <v>325</v>
      </c>
      <c r="C22">
        <f>"ER036"</f>
        <v>0</v>
      </c>
      <c r="D22">
        <v>3</v>
      </c>
      <c r="E22">
        <v>0</v>
      </c>
      <c r="F22">
        <v>2</v>
      </c>
      <c r="G22">
        <v>3</v>
      </c>
      <c r="H22">
        <v>8</v>
      </c>
      <c r="I22">
        <v>2.5</v>
      </c>
      <c r="J22">
        <v>2</v>
      </c>
      <c r="K22">
        <v>4.05</v>
      </c>
      <c r="L22" s="2">
        <v>2</v>
      </c>
      <c r="M22">
        <v>2</v>
      </c>
      <c r="N22" s="2">
        <v>4</v>
      </c>
      <c r="O22">
        <v>9.1</v>
      </c>
      <c r="P22" t="s">
        <v>10962</v>
      </c>
      <c r="Q22">
        <v>608</v>
      </c>
      <c r="R22" t="s">
        <v>10362</v>
      </c>
      <c r="S22">
        <v>1</v>
      </c>
    </row>
    <row r="23" spans="1:19">
      <c r="A23" t="s">
        <v>35</v>
      </c>
      <c r="B23" t="s">
        <v>864</v>
      </c>
      <c r="C23">
        <f>"BRI1"</f>
        <v>0</v>
      </c>
      <c r="D23">
        <v>0</v>
      </c>
      <c r="E23">
        <v>0</v>
      </c>
      <c r="F23">
        <v>0</v>
      </c>
      <c r="G23">
        <v>3</v>
      </c>
      <c r="H23">
        <v>3</v>
      </c>
      <c r="I23">
        <v>0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9</v>
      </c>
      <c r="P23" t="s">
        <v>10963</v>
      </c>
      <c r="Q23">
        <v>2.064</v>
      </c>
      <c r="R23" t="s">
        <v>11111</v>
      </c>
      <c r="S23">
        <v>1</v>
      </c>
    </row>
    <row r="24" spans="1:19">
      <c r="A24" t="s">
        <v>35</v>
      </c>
      <c r="B24" t="s">
        <v>411</v>
      </c>
      <c r="C24">
        <f>"JWZ1032S"</f>
        <v>0</v>
      </c>
      <c r="D24">
        <v>1</v>
      </c>
      <c r="E24">
        <v>20</v>
      </c>
      <c r="F24">
        <v>17</v>
      </c>
      <c r="G24">
        <v>0</v>
      </c>
      <c r="H24">
        <v>38</v>
      </c>
      <c r="I24">
        <v>9</v>
      </c>
      <c r="J24">
        <v>0</v>
      </c>
      <c r="K24">
        <v>0</v>
      </c>
      <c r="L24" s="2">
        <v>0</v>
      </c>
      <c r="M24">
        <v>9</v>
      </c>
      <c r="N24" s="2">
        <v>0</v>
      </c>
      <c r="O24">
        <v>9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35</v>
      </c>
      <c r="B25" t="s">
        <v>253</v>
      </c>
      <c r="C25">
        <f>"10820"</f>
        <v>0</v>
      </c>
      <c r="D25">
        <v>0</v>
      </c>
      <c r="E25">
        <v>0</v>
      </c>
      <c r="F25">
        <v>0</v>
      </c>
      <c r="G25">
        <v>3</v>
      </c>
      <c r="H25">
        <v>3</v>
      </c>
      <c r="I25">
        <v>0</v>
      </c>
      <c r="J25">
        <v>0</v>
      </c>
      <c r="K25">
        <v>0</v>
      </c>
      <c r="L25" s="2">
        <v>0</v>
      </c>
      <c r="M25">
        <v>2</v>
      </c>
      <c r="N25" s="2">
        <v>0</v>
      </c>
      <c r="O25">
        <v>9</v>
      </c>
      <c r="P25" t="s">
        <v>10964</v>
      </c>
      <c r="Q25">
        <v>642</v>
      </c>
      <c r="R25" t="s">
        <v>11112</v>
      </c>
      <c r="S25">
        <v>1</v>
      </c>
    </row>
    <row r="26" spans="1:19">
      <c r="A26" t="s">
        <v>35</v>
      </c>
      <c r="B26" t="s">
        <v>488</v>
      </c>
      <c r="C26">
        <f>"CK1004"</f>
        <v>0</v>
      </c>
      <c r="D26">
        <v>25</v>
      </c>
      <c r="E26">
        <v>19</v>
      </c>
      <c r="F26">
        <v>32</v>
      </c>
      <c r="G26">
        <v>12</v>
      </c>
      <c r="H26">
        <v>88</v>
      </c>
      <c r="I26">
        <v>22</v>
      </c>
      <c r="J26">
        <v>31</v>
      </c>
      <c r="K26">
        <v>26.505</v>
      </c>
      <c r="L26" s="2">
        <v>1</v>
      </c>
      <c r="M26">
        <v>0</v>
      </c>
      <c r="N26" s="2">
        <v>0</v>
      </c>
      <c r="O26">
        <v>8.800000000000004</v>
      </c>
      <c r="P26" t="s">
        <v>10965</v>
      </c>
      <c r="Q26">
        <v>2.748</v>
      </c>
      <c r="R26" t="s">
        <v>11105</v>
      </c>
      <c r="S26">
        <v>0</v>
      </c>
    </row>
    <row r="27" spans="1:19">
      <c r="A27" t="s">
        <v>35</v>
      </c>
      <c r="B27" t="s">
        <v>1848</v>
      </c>
      <c r="C27">
        <f>"8333SGA"</f>
        <v>0</v>
      </c>
      <c r="D27">
        <v>0</v>
      </c>
      <c r="E27">
        <v>0</v>
      </c>
      <c r="F27">
        <v>0</v>
      </c>
      <c r="G27">
        <v>4</v>
      </c>
      <c r="H27">
        <v>4</v>
      </c>
      <c r="I27">
        <v>0</v>
      </c>
      <c r="J27">
        <v>2</v>
      </c>
      <c r="K27">
        <v>35.041</v>
      </c>
      <c r="L27" s="2">
        <v>18</v>
      </c>
      <c r="M27">
        <v>0</v>
      </c>
      <c r="N27" s="2">
        <v>0</v>
      </c>
      <c r="O27">
        <v>8.6</v>
      </c>
      <c r="P27" t="s">
        <v>10966</v>
      </c>
      <c r="Q27">
        <v>14.015</v>
      </c>
      <c r="R27" t="s">
        <v>10266</v>
      </c>
      <c r="S27">
        <v>1</v>
      </c>
    </row>
    <row r="28" spans="1:19">
      <c r="A28" t="s">
        <v>35</v>
      </c>
      <c r="B28" t="s">
        <v>257</v>
      </c>
      <c r="C28">
        <f>"KX1091"</f>
        <v>0</v>
      </c>
      <c r="D28">
        <v>5</v>
      </c>
      <c r="E28">
        <v>139</v>
      </c>
      <c r="F28">
        <v>12</v>
      </c>
      <c r="G28">
        <v>0</v>
      </c>
      <c r="H28">
        <v>156</v>
      </c>
      <c r="I28">
        <v>8.5</v>
      </c>
      <c r="J28">
        <v>0</v>
      </c>
      <c r="K28">
        <v>0</v>
      </c>
      <c r="L28" s="2">
        <v>0</v>
      </c>
      <c r="M28">
        <v>8</v>
      </c>
      <c r="N28" s="2">
        <v>0</v>
      </c>
      <c r="O28">
        <v>8.5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35</v>
      </c>
      <c r="B29" t="s">
        <v>1874</v>
      </c>
      <c r="C29">
        <f>"PNSS"</f>
        <v>0</v>
      </c>
      <c r="D29">
        <v>1</v>
      </c>
      <c r="E29">
        <v>2</v>
      </c>
      <c r="F29">
        <v>0</v>
      </c>
      <c r="G29">
        <v>3</v>
      </c>
      <c r="H29">
        <v>6</v>
      </c>
      <c r="I29">
        <v>1.5</v>
      </c>
      <c r="J29">
        <v>2</v>
      </c>
      <c r="K29">
        <v>3.96</v>
      </c>
      <c r="L29" s="2">
        <v>2</v>
      </c>
      <c r="M29">
        <v>1</v>
      </c>
      <c r="N29" s="2">
        <v>2</v>
      </c>
      <c r="O29">
        <v>8.1</v>
      </c>
      <c r="P29" t="s">
        <v>10834</v>
      </c>
      <c r="Q29">
        <v>1.598</v>
      </c>
      <c r="R29" t="s">
        <v>10921</v>
      </c>
      <c r="S29">
        <v>1</v>
      </c>
    </row>
    <row r="30" spans="1:19">
      <c r="A30" t="s">
        <v>35</v>
      </c>
      <c r="B30" t="s">
        <v>251</v>
      </c>
      <c r="C30">
        <f>"VM002"</f>
        <v>0</v>
      </c>
      <c r="D30">
        <v>1</v>
      </c>
      <c r="E30">
        <v>1</v>
      </c>
      <c r="F30">
        <v>1</v>
      </c>
      <c r="G30">
        <v>2</v>
      </c>
      <c r="H30">
        <v>5</v>
      </c>
      <c r="I30">
        <v>1</v>
      </c>
      <c r="J30">
        <v>0</v>
      </c>
      <c r="K30">
        <v>0</v>
      </c>
      <c r="L30" s="2">
        <v>0</v>
      </c>
      <c r="M30">
        <v>2</v>
      </c>
      <c r="N30" s="2">
        <v>0</v>
      </c>
      <c r="O30">
        <v>8</v>
      </c>
      <c r="P30" t="s">
        <v>10967</v>
      </c>
      <c r="Q30">
        <v>650</v>
      </c>
      <c r="R30" t="s">
        <v>11113</v>
      </c>
      <c r="S30">
        <v>1</v>
      </c>
    </row>
    <row r="31" spans="1:19">
      <c r="A31" t="s">
        <v>35</v>
      </c>
      <c r="B31" t="s">
        <v>1629</v>
      </c>
      <c r="C31">
        <f>"TF1041"</f>
        <v>0</v>
      </c>
      <c r="D31">
        <v>0</v>
      </c>
      <c r="E31">
        <v>9</v>
      </c>
      <c r="F31">
        <v>13</v>
      </c>
      <c r="G31">
        <v>8</v>
      </c>
      <c r="H31">
        <v>30</v>
      </c>
      <c r="I31">
        <v>8.5</v>
      </c>
      <c r="J31">
        <v>14</v>
      </c>
      <c r="K31">
        <v>12.936</v>
      </c>
      <c r="L31" s="2">
        <v>1</v>
      </c>
      <c r="M31">
        <v>0</v>
      </c>
      <c r="N31" s="2">
        <v>0</v>
      </c>
      <c r="O31">
        <v>7.699999999999999</v>
      </c>
      <c r="P31" t="s">
        <v>10968</v>
      </c>
      <c r="Q31">
        <v>3.848</v>
      </c>
      <c r="R31" t="s">
        <v>11114</v>
      </c>
      <c r="S31">
        <v>0</v>
      </c>
    </row>
    <row r="32" spans="1:19">
      <c r="A32" t="s">
        <v>35</v>
      </c>
      <c r="B32" t="s">
        <v>1874</v>
      </c>
      <c r="C32">
        <f>"PNM"</f>
        <v>0</v>
      </c>
      <c r="D32">
        <v>0</v>
      </c>
      <c r="E32">
        <v>0</v>
      </c>
      <c r="F32">
        <v>2</v>
      </c>
      <c r="G32">
        <v>3</v>
      </c>
      <c r="H32">
        <v>5</v>
      </c>
      <c r="I32">
        <v>1</v>
      </c>
      <c r="J32">
        <v>2</v>
      </c>
      <c r="K32">
        <v>4.662</v>
      </c>
      <c r="L32" s="2">
        <v>2</v>
      </c>
      <c r="M32">
        <v>0</v>
      </c>
      <c r="N32" s="2">
        <v>0</v>
      </c>
      <c r="O32">
        <v>7.6</v>
      </c>
      <c r="P32" t="s">
        <v>10625</v>
      </c>
      <c r="Q32">
        <v>2.31</v>
      </c>
      <c r="R32" t="s">
        <v>11115</v>
      </c>
      <c r="S32">
        <v>1</v>
      </c>
    </row>
    <row r="33" spans="1:19">
      <c r="A33" t="s">
        <v>35</v>
      </c>
      <c r="B33" t="s">
        <v>675</v>
      </c>
      <c r="C33">
        <f>"TP50"</f>
        <v>0</v>
      </c>
      <c r="D33">
        <v>0</v>
      </c>
      <c r="E33">
        <v>0</v>
      </c>
      <c r="F33">
        <v>3</v>
      </c>
      <c r="G33">
        <v>3</v>
      </c>
      <c r="H33">
        <v>6</v>
      </c>
      <c r="I33">
        <v>1.5</v>
      </c>
      <c r="J33">
        <v>0</v>
      </c>
      <c r="K33">
        <v>0</v>
      </c>
      <c r="L33" s="2">
        <v>0</v>
      </c>
      <c r="M33">
        <v>3</v>
      </c>
      <c r="N33" s="2">
        <v>0</v>
      </c>
      <c r="O33">
        <v>7.5</v>
      </c>
      <c r="P33" t="s">
        <v>10439</v>
      </c>
      <c r="Q33">
        <v>3.705</v>
      </c>
      <c r="R33" t="s">
        <v>11116</v>
      </c>
      <c r="S33">
        <v>0</v>
      </c>
    </row>
    <row r="34" spans="1:19">
      <c r="A34" t="s">
        <v>35</v>
      </c>
      <c r="B34" t="s">
        <v>871</v>
      </c>
      <c r="C34">
        <f>"9001162G"</f>
        <v>0</v>
      </c>
      <c r="D34">
        <v>0</v>
      </c>
      <c r="E34">
        <v>0</v>
      </c>
      <c r="F34">
        <v>1</v>
      </c>
      <c r="G34">
        <v>2</v>
      </c>
      <c r="H34">
        <v>3</v>
      </c>
      <c r="I34">
        <v>0.5</v>
      </c>
      <c r="J34">
        <v>0</v>
      </c>
      <c r="K34">
        <v>0</v>
      </c>
      <c r="L34" s="2">
        <v>0</v>
      </c>
      <c r="M34">
        <v>2</v>
      </c>
      <c r="N34" s="2">
        <v>0</v>
      </c>
      <c r="O34">
        <v>7.5</v>
      </c>
      <c r="P34" t="s">
        <v>10553</v>
      </c>
      <c r="Q34">
        <v>1.058</v>
      </c>
      <c r="R34" t="s">
        <v>11117</v>
      </c>
      <c r="S34">
        <v>1</v>
      </c>
    </row>
    <row r="35" spans="1:19">
      <c r="A35" t="s">
        <v>35</v>
      </c>
      <c r="B35" t="s">
        <v>870</v>
      </c>
      <c r="C35">
        <f>"9001161R"</f>
        <v>0</v>
      </c>
      <c r="D35">
        <v>1</v>
      </c>
      <c r="E35">
        <v>0</v>
      </c>
      <c r="F35">
        <v>0</v>
      </c>
      <c r="G35">
        <v>2</v>
      </c>
      <c r="H35">
        <v>3</v>
      </c>
      <c r="I35">
        <v>0.5</v>
      </c>
      <c r="J35">
        <v>0</v>
      </c>
      <c r="K35">
        <v>0</v>
      </c>
      <c r="L35" s="2">
        <v>0</v>
      </c>
      <c r="M35">
        <v>2</v>
      </c>
      <c r="N35" s="2">
        <v>0</v>
      </c>
      <c r="O35">
        <v>7.5</v>
      </c>
      <c r="P35" t="s">
        <v>10553</v>
      </c>
      <c r="Q35">
        <v>1.059</v>
      </c>
      <c r="R35" t="s">
        <v>11118</v>
      </c>
      <c r="S35">
        <v>1</v>
      </c>
    </row>
    <row r="36" spans="1:19">
      <c r="A36" t="s">
        <v>35</v>
      </c>
      <c r="B36" t="s">
        <v>319</v>
      </c>
      <c r="C36">
        <f>"BA046MR"</f>
        <v>0</v>
      </c>
      <c r="D36">
        <v>1</v>
      </c>
      <c r="E36">
        <v>0</v>
      </c>
      <c r="F36">
        <v>0</v>
      </c>
      <c r="G36">
        <v>2</v>
      </c>
      <c r="H36">
        <v>3</v>
      </c>
      <c r="I36">
        <v>0.5</v>
      </c>
      <c r="J36">
        <v>0</v>
      </c>
      <c r="K36">
        <v>0</v>
      </c>
      <c r="L36" s="2">
        <v>0</v>
      </c>
      <c r="M36">
        <v>2</v>
      </c>
      <c r="N36" s="2">
        <v>0</v>
      </c>
      <c r="O36">
        <v>7.5</v>
      </c>
      <c r="P36" t="s">
        <v>10969</v>
      </c>
      <c r="Q36">
        <v>377</v>
      </c>
      <c r="R36" t="s">
        <v>11119</v>
      </c>
      <c r="S36">
        <v>1</v>
      </c>
    </row>
    <row r="37" spans="1:19">
      <c r="A37" t="s">
        <v>35</v>
      </c>
      <c r="B37" t="s">
        <v>859</v>
      </c>
      <c r="C37">
        <f>"D069L"</f>
        <v>0</v>
      </c>
      <c r="D37">
        <v>1</v>
      </c>
      <c r="E37">
        <v>0</v>
      </c>
      <c r="F37">
        <v>0</v>
      </c>
      <c r="G37">
        <v>2</v>
      </c>
      <c r="H37">
        <v>3</v>
      </c>
      <c r="I37">
        <v>0.5</v>
      </c>
      <c r="J37">
        <v>0</v>
      </c>
      <c r="K37">
        <v>0</v>
      </c>
      <c r="L37" s="2">
        <v>0</v>
      </c>
      <c r="M37">
        <v>2</v>
      </c>
      <c r="N37" s="2">
        <v>0</v>
      </c>
      <c r="O37">
        <v>7.5</v>
      </c>
      <c r="P37" t="s">
        <v>10970</v>
      </c>
      <c r="Q37">
        <v>3.462</v>
      </c>
      <c r="R37" t="s">
        <v>11120</v>
      </c>
      <c r="S37">
        <v>1</v>
      </c>
    </row>
    <row r="38" spans="1:19">
      <c r="A38" t="s">
        <v>35</v>
      </c>
      <c r="B38" t="s">
        <v>963</v>
      </c>
      <c r="C38">
        <f>"CL03M"</f>
        <v>0</v>
      </c>
      <c r="D38">
        <v>0</v>
      </c>
      <c r="E38">
        <v>0</v>
      </c>
      <c r="F38">
        <v>0</v>
      </c>
      <c r="G38">
        <v>2</v>
      </c>
      <c r="H38">
        <v>2</v>
      </c>
      <c r="I38">
        <v>0</v>
      </c>
      <c r="J38">
        <v>0</v>
      </c>
      <c r="K38">
        <v>0</v>
      </c>
      <c r="L38" s="2">
        <v>0</v>
      </c>
      <c r="M38">
        <v>1</v>
      </c>
      <c r="N38" s="2">
        <v>0</v>
      </c>
      <c r="O38">
        <v>7</v>
      </c>
      <c r="P38" t="s">
        <v>10971</v>
      </c>
      <c r="Q38">
        <v>1.323</v>
      </c>
      <c r="R38" t="s">
        <v>11121</v>
      </c>
      <c r="S38">
        <v>1</v>
      </c>
    </row>
    <row r="39" spans="1:19">
      <c r="A39" t="s">
        <v>35</v>
      </c>
      <c r="B39" t="s">
        <v>960</v>
      </c>
      <c r="C39">
        <f>"ER194"</f>
        <v>0</v>
      </c>
      <c r="D39">
        <v>0</v>
      </c>
      <c r="E39">
        <v>0</v>
      </c>
      <c r="F39">
        <v>0</v>
      </c>
      <c r="G39">
        <v>2</v>
      </c>
      <c r="H39">
        <v>2</v>
      </c>
      <c r="I39">
        <v>0</v>
      </c>
      <c r="J39">
        <v>0</v>
      </c>
      <c r="K39">
        <v>0</v>
      </c>
      <c r="L39" s="2">
        <v>0</v>
      </c>
      <c r="M39">
        <v>1</v>
      </c>
      <c r="N39" s="2">
        <v>0</v>
      </c>
      <c r="O39">
        <v>7</v>
      </c>
      <c r="P39" t="s">
        <v>10972</v>
      </c>
      <c r="Q39">
        <v>1.619</v>
      </c>
      <c r="R39" t="s">
        <v>10264</v>
      </c>
      <c r="S39">
        <v>1</v>
      </c>
    </row>
    <row r="40" spans="1:19">
      <c r="A40" t="s">
        <v>35</v>
      </c>
      <c r="B40" t="s">
        <v>329</v>
      </c>
      <c r="C40">
        <f>"11476"</f>
        <v>0</v>
      </c>
      <c r="D40">
        <v>3</v>
      </c>
      <c r="E40">
        <v>4</v>
      </c>
      <c r="F40">
        <v>0</v>
      </c>
      <c r="G40">
        <v>1</v>
      </c>
      <c r="H40">
        <v>8</v>
      </c>
      <c r="I40">
        <v>2</v>
      </c>
      <c r="J40">
        <v>0</v>
      </c>
      <c r="K40">
        <v>0</v>
      </c>
      <c r="L40" s="2">
        <v>0</v>
      </c>
      <c r="M40">
        <v>2</v>
      </c>
      <c r="N40" s="2">
        <v>0</v>
      </c>
      <c r="O40">
        <v>7</v>
      </c>
      <c r="P40" t="s">
        <v>10973</v>
      </c>
      <c r="Q40">
        <v>311</v>
      </c>
      <c r="R40" t="s">
        <v>11122</v>
      </c>
      <c r="S40">
        <v>1</v>
      </c>
    </row>
    <row r="41" spans="1:19">
      <c r="A41" t="s">
        <v>35</v>
      </c>
      <c r="B41" t="s">
        <v>643</v>
      </c>
      <c r="C41">
        <f>"KF8028"</f>
        <v>0</v>
      </c>
      <c r="D41">
        <v>0</v>
      </c>
      <c r="E41">
        <v>0</v>
      </c>
      <c r="F41">
        <v>0</v>
      </c>
      <c r="G41">
        <v>2</v>
      </c>
      <c r="H41">
        <v>2</v>
      </c>
      <c r="I41">
        <v>0</v>
      </c>
      <c r="J41">
        <v>0</v>
      </c>
      <c r="K41">
        <v>0</v>
      </c>
      <c r="L41" s="2">
        <v>0</v>
      </c>
      <c r="M41">
        <v>1</v>
      </c>
      <c r="N41" s="2">
        <v>0</v>
      </c>
      <c r="O41">
        <v>7</v>
      </c>
      <c r="P41" t="s">
        <v>10873</v>
      </c>
      <c r="Q41">
        <v>22.686</v>
      </c>
      <c r="R41" t="s">
        <v>11123</v>
      </c>
      <c r="S41">
        <v>1</v>
      </c>
    </row>
    <row r="42" spans="1:19">
      <c r="A42" t="s">
        <v>35</v>
      </c>
      <c r="B42" t="s">
        <v>1753</v>
      </c>
      <c r="C42">
        <f>"2512"</f>
        <v>0</v>
      </c>
      <c r="D42">
        <v>1</v>
      </c>
      <c r="E42">
        <v>0</v>
      </c>
      <c r="F42">
        <v>6</v>
      </c>
      <c r="G42">
        <v>5</v>
      </c>
      <c r="H42">
        <v>12</v>
      </c>
      <c r="I42">
        <v>3</v>
      </c>
      <c r="J42">
        <v>5</v>
      </c>
      <c r="K42">
        <v>5.625</v>
      </c>
      <c r="L42" s="2">
        <v>1</v>
      </c>
      <c r="M42">
        <v>0</v>
      </c>
      <c r="N42" s="2">
        <v>0</v>
      </c>
      <c r="O42">
        <v>7</v>
      </c>
      <c r="P42" t="s">
        <v>10974</v>
      </c>
      <c r="Q42">
        <v>2.705</v>
      </c>
      <c r="R42" t="s">
        <v>11124</v>
      </c>
      <c r="S42">
        <v>0</v>
      </c>
    </row>
    <row r="43" spans="1:19">
      <c r="A43" t="s">
        <v>35</v>
      </c>
      <c r="B43" t="s">
        <v>965</v>
      </c>
      <c r="C43">
        <f>"WPS236"</f>
        <v>0</v>
      </c>
      <c r="D43">
        <v>0</v>
      </c>
      <c r="E43">
        <v>0</v>
      </c>
      <c r="F43">
        <v>0</v>
      </c>
      <c r="G43">
        <v>2</v>
      </c>
      <c r="H43">
        <v>2</v>
      </c>
      <c r="I43">
        <v>0</v>
      </c>
      <c r="J43">
        <v>0</v>
      </c>
      <c r="K43">
        <v>0</v>
      </c>
      <c r="L43" s="2">
        <v>0</v>
      </c>
      <c r="M43">
        <v>1</v>
      </c>
      <c r="N43" s="2">
        <v>0</v>
      </c>
      <c r="O43">
        <v>7</v>
      </c>
      <c r="P43" t="s">
        <v>10975</v>
      </c>
      <c r="Q43">
        <v>1.134</v>
      </c>
      <c r="R43" t="s">
        <v>11125</v>
      </c>
      <c r="S43">
        <v>1</v>
      </c>
    </row>
    <row r="44" spans="1:19">
      <c r="A44" t="s">
        <v>35</v>
      </c>
      <c r="B44" t="s">
        <v>771</v>
      </c>
      <c r="C44">
        <f>"MC109"</f>
        <v>0</v>
      </c>
      <c r="D44">
        <v>0</v>
      </c>
      <c r="E44">
        <v>0</v>
      </c>
      <c r="F44">
        <v>0</v>
      </c>
      <c r="G44">
        <v>2</v>
      </c>
      <c r="H44">
        <v>2</v>
      </c>
      <c r="I44">
        <v>0</v>
      </c>
      <c r="J44">
        <v>0</v>
      </c>
      <c r="K44">
        <v>0</v>
      </c>
      <c r="L44" s="2">
        <v>0</v>
      </c>
      <c r="M44">
        <v>1</v>
      </c>
      <c r="N44" s="2">
        <v>0</v>
      </c>
      <c r="O44">
        <v>7</v>
      </c>
      <c r="P44" t="s">
        <v>10976</v>
      </c>
      <c r="Q44">
        <v>10.942</v>
      </c>
      <c r="R44" t="s">
        <v>11126</v>
      </c>
      <c r="S44">
        <v>1</v>
      </c>
    </row>
    <row r="45" spans="1:19">
      <c r="A45" t="s">
        <v>35</v>
      </c>
      <c r="B45" t="s">
        <v>568</v>
      </c>
      <c r="C45">
        <f>"28401"</f>
        <v>0</v>
      </c>
      <c r="D45">
        <v>0</v>
      </c>
      <c r="E45">
        <v>4</v>
      </c>
      <c r="F45">
        <v>5</v>
      </c>
      <c r="G45">
        <v>2</v>
      </c>
      <c r="H45">
        <v>11</v>
      </c>
      <c r="I45">
        <v>3</v>
      </c>
      <c r="J45">
        <v>0</v>
      </c>
      <c r="K45">
        <v>0</v>
      </c>
      <c r="L45" s="2">
        <v>0</v>
      </c>
      <c r="M45">
        <v>4</v>
      </c>
      <c r="N45" s="2">
        <v>0</v>
      </c>
      <c r="O45">
        <v>7</v>
      </c>
      <c r="P45" t="s">
        <v>10977</v>
      </c>
      <c r="Q45">
        <v>1.35</v>
      </c>
      <c r="R45" t="s">
        <v>11127</v>
      </c>
      <c r="S45">
        <v>0</v>
      </c>
    </row>
    <row r="46" spans="1:19">
      <c r="A46" t="s">
        <v>35</v>
      </c>
      <c r="B46" t="s">
        <v>583</v>
      </c>
      <c r="C46">
        <f>"28404"</f>
        <v>0</v>
      </c>
      <c r="D46">
        <v>3</v>
      </c>
      <c r="E46">
        <v>3</v>
      </c>
      <c r="F46">
        <v>2</v>
      </c>
      <c r="G46">
        <v>2</v>
      </c>
      <c r="H46">
        <v>10</v>
      </c>
      <c r="I46">
        <v>2.5</v>
      </c>
      <c r="J46">
        <v>0</v>
      </c>
      <c r="K46">
        <v>0</v>
      </c>
      <c r="L46" s="2">
        <v>0</v>
      </c>
      <c r="M46">
        <v>4</v>
      </c>
      <c r="N46" s="2">
        <v>0</v>
      </c>
      <c r="O46">
        <v>6.5</v>
      </c>
      <c r="P46" t="s">
        <v>10978</v>
      </c>
      <c r="Q46">
        <v>2.537</v>
      </c>
      <c r="R46" t="s">
        <v>11128</v>
      </c>
      <c r="S46">
        <v>0</v>
      </c>
    </row>
    <row r="47" spans="1:19">
      <c r="A47" t="s">
        <v>35</v>
      </c>
      <c r="B47" t="s">
        <v>1807</v>
      </c>
      <c r="C47">
        <f>"TPC50"</f>
        <v>0</v>
      </c>
      <c r="D47">
        <v>0</v>
      </c>
      <c r="E47">
        <v>4</v>
      </c>
      <c r="F47">
        <v>1</v>
      </c>
      <c r="G47">
        <v>3</v>
      </c>
      <c r="H47">
        <v>8</v>
      </c>
      <c r="I47">
        <v>2</v>
      </c>
      <c r="J47">
        <v>4</v>
      </c>
      <c r="K47">
        <v>24.48</v>
      </c>
      <c r="L47" s="2">
        <v>6</v>
      </c>
      <c r="M47">
        <v>0</v>
      </c>
      <c r="N47" s="2">
        <v>0</v>
      </c>
      <c r="O47">
        <v>6.2</v>
      </c>
      <c r="P47" t="s">
        <v>10979</v>
      </c>
      <c r="Q47">
        <v>5.469</v>
      </c>
      <c r="R47" t="s">
        <v>11129</v>
      </c>
      <c r="S47">
        <v>1</v>
      </c>
    </row>
    <row r="48" spans="1:19">
      <c r="A48" t="s">
        <v>35</v>
      </c>
      <c r="B48" t="s">
        <v>291</v>
      </c>
      <c r="C48">
        <f>"CTB14"</f>
        <v>0</v>
      </c>
      <c r="D48">
        <v>5</v>
      </c>
      <c r="E48">
        <v>1</v>
      </c>
      <c r="F48">
        <v>0</v>
      </c>
      <c r="G48">
        <v>1</v>
      </c>
      <c r="H48">
        <v>7</v>
      </c>
      <c r="I48">
        <v>1</v>
      </c>
      <c r="J48">
        <v>0</v>
      </c>
      <c r="K48">
        <v>0</v>
      </c>
      <c r="L48" s="2">
        <v>0</v>
      </c>
      <c r="M48">
        <v>2</v>
      </c>
      <c r="N48" s="2">
        <v>0</v>
      </c>
      <c r="O48">
        <v>6</v>
      </c>
      <c r="P48" t="s">
        <v>10317</v>
      </c>
      <c r="Q48">
        <v>463</v>
      </c>
      <c r="R48" t="s">
        <v>11130</v>
      </c>
      <c r="S48">
        <v>1</v>
      </c>
    </row>
    <row r="49" spans="1:19">
      <c r="A49" t="s">
        <v>35</v>
      </c>
      <c r="B49" t="s">
        <v>650</v>
      </c>
      <c r="C49">
        <f>"DS01"</f>
        <v>0</v>
      </c>
      <c r="D49">
        <v>0</v>
      </c>
      <c r="E49">
        <v>3</v>
      </c>
      <c r="F49">
        <v>2</v>
      </c>
      <c r="G49">
        <v>2</v>
      </c>
      <c r="H49">
        <v>7</v>
      </c>
      <c r="I49">
        <v>2</v>
      </c>
      <c r="J49">
        <v>0</v>
      </c>
      <c r="K49">
        <v>0</v>
      </c>
      <c r="L49" s="2">
        <v>0</v>
      </c>
      <c r="M49">
        <v>3</v>
      </c>
      <c r="N49" s="2">
        <v>0</v>
      </c>
      <c r="O49">
        <v>6</v>
      </c>
      <c r="P49" t="s">
        <v>10980</v>
      </c>
      <c r="Q49">
        <v>1.09</v>
      </c>
      <c r="R49" t="s">
        <v>11131</v>
      </c>
      <c r="S49">
        <v>0</v>
      </c>
    </row>
    <row r="50" spans="1:19">
      <c r="A50" t="s">
        <v>35</v>
      </c>
      <c r="B50" t="s">
        <v>243</v>
      </c>
      <c r="C50">
        <f>"BRI151"</f>
        <v>0</v>
      </c>
      <c r="D50">
        <v>0</v>
      </c>
      <c r="E50">
        <v>2</v>
      </c>
      <c r="F50">
        <v>3</v>
      </c>
      <c r="G50">
        <v>2</v>
      </c>
      <c r="H50">
        <v>7</v>
      </c>
      <c r="I50">
        <v>2</v>
      </c>
      <c r="J50">
        <v>0</v>
      </c>
      <c r="K50">
        <v>0</v>
      </c>
      <c r="L50" s="2">
        <v>0</v>
      </c>
      <c r="M50">
        <v>3</v>
      </c>
      <c r="N50" s="2">
        <v>0</v>
      </c>
      <c r="O50">
        <v>6</v>
      </c>
      <c r="P50" t="s">
        <v>10981</v>
      </c>
      <c r="Q50">
        <v>718</v>
      </c>
      <c r="R50" t="s">
        <v>147</v>
      </c>
      <c r="S50">
        <v>0</v>
      </c>
    </row>
    <row r="51" spans="1:19">
      <c r="A51" t="s">
        <v>35</v>
      </c>
      <c r="B51" t="s">
        <v>728</v>
      </c>
      <c r="C51">
        <f>"BRI3"</f>
        <v>0</v>
      </c>
      <c r="D51">
        <v>1</v>
      </c>
      <c r="E51">
        <v>3</v>
      </c>
      <c r="F51">
        <v>0</v>
      </c>
      <c r="G51">
        <v>1</v>
      </c>
      <c r="H51">
        <v>5</v>
      </c>
      <c r="I51">
        <v>1</v>
      </c>
      <c r="J51">
        <v>0</v>
      </c>
      <c r="K51">
        <v>0</v>
      </c>
      <c r="L51" s="2">
        <v>0</v>
      </c>
      <c r="M51">
        <v>2</v>
      </c>
      <c r="N51" s="2">
        <v>0</v>
      </c>
      <c r="O51">
        <v>6</v>
      </c>
      <c r="P51" t="s">
        <v>10982</v>
      </c>
      <c r="Q51">
        <v>1.243</v>
      </c>
      <c r="R51" t="s">
        <v>11132</v>
      </c>
      <c r="S51">
        <v>1</v>
      </c>
    </row>
    <row r="52" spans="1:19">
      <c r="A52" t="s">
        <v>35</v>
      </c>
      <c r="B52" t="s">
        <v>276</v>
      </c>
      <c r="C52">
        <f>"KE3293H"</f>
        <v>0</v>
      </c>
      <c r="D52">
        <v>1</v>
      </c>
      <c r="E52">
        <v>2</v>
      </c>
      <c r="F52">
        <v>5</v>
      </c>
      <c r="G52">
        <v>2</v>
      </c>
      <c r="H52">
        <v>10</v>
      </c>
      <c r="I52">
        <v>2</v>
      </c>
      <c r="J52">
        <v>0</v>
      </c>
      <c r="K52">
        <v>0</v>
      </c>
      <c r="L52" s="2">
        <v>0</v>
      </c>
      <c r="M52">
        <v>3</v>
      </c>
      <c r="N52" s="2">
        <v>0</v>
      </c>
      <c r="O52">
        <v>6</v>
      </c>
      <c r="P52" t="s">
        <v>10983</v>
      </c>
      <c r="Q52">
        <v>491</v>
      </c>
      <c r="R52" t="s">
        <v>10276</v>
      </c>
      <c r="S52">
        <v>0</v>
      </c>
    </row>
    <row r="53" spans="1:19">
      <c r="A53" t="s">
        <v>35</v>
      </c>
      <c r="B53" t="s">
        <v>272</v>
      </c>
      <c r="C53">
        <f>"PR04"</f>
        <v>0</v>
      </c>
      <c r="D53">
        <v>1</v>
      </c>
      <c r="E53">
        <v>1</v>
      </c>
      <c r="F53">
        <v>0</v>
      </c>
      <c r="G53">
        <v>1</v>
      </c>
      <c r="H53">
        <v>3</v>
      </c>
      <c r="I53">
        <v>1</v>
      </c>
      <c r="J53">
        <v>0</v>
      </c>
      <c r="K53">
        <v>0</v>
      </c>
      <c r="L53" s="2">
        <v>0</v>
      </c>
      <c r="M53">
        <v>2</v>
      </c>
      <c r="N53" s="2">
        <v>0</v>
      </c>
      <c r="O53">
        <v>6</v>
      </c>
      <c r="P53" t="s">
        <v>10984</v>
      </c>
      <c r="Q53">
        <v>538</v>
      </c>
      <c r="R53" t="s">
        <v>10264</v>
      </c>
      <c r="S53">
        <v>1</v>
      </c>
    </row>
    <row r="54" spans="1:19">
      <c r="A54" t="s">
        <v>35</v>
      </c>
      <c r="B54" t="s">
        <v>2146</v>
      </c>
      <c r="C54">
        <f>"ZYD02"</f>
        <v>0</v>
      </c>
      <c r="D54">
        <v>0</v>
      </c>
      <c r="E54">
        <v>0</v>
      </c>
      <c r="F54">
        <v>0</v>
      </c>
      <c r="G54">
        <v>2</v>
      </c>
      <c r="H54">
        <v>2</v>
      </c>
      <c r="I54">
        <v>0</v>
      </c>
      <c r="J54">
        <v>1</v>
      </c>
      <c r="K54">
        <v>5.85</v>
      </c>
      <c r="L54" s="2">
        <v>6</v>
      </c>
      <c r="M54">
        <v>0</v>
      </c>
      <c r="N54" s="2">
        <v>0</v>
      </c>
      <c r="O54">
        <v>5.8</v>
      </c>
      <c r="P54" t="s">
        <v>10985</v>
      </c>
      <c r="Q54">
        <v>2.34</v>
      </c>
      <c r="R54" t="s">
        <v>10266</v>
      </c>
      <c r="S54">
        <v>1</v>
      </c>
    </row>
    <row r="55" spans="1:19">
      <c r="A55" t="s">
        <v>35</v>
      </c>
      <c r="B55" t="s">
        <v>599</v>
      </c>
      <c r="C55">
        <f>"WIN14"</f>
        <v>0</v>
      </c>
      <c r="D55">
        <v>3</v>
      </c>
      <c r="E55">
        <v>0</v>
      </c>
      <c r="F55">
        <v>0</v>
      </c>
      <c r="G55">
        <v>3</v>
      </c>
      <c r="H55">
        <v>6</v>
      </c>
      <c r="I55">
        <v>1.5</v>
      </c>
      <c r="J55">
        <v>4</v>
      </c>
      <c r="K55">
        <v>3.96</v>
      </c>
      <c r="L55" s="2">
        <v>1</v>
      </c>
      <c r="M55">
        <v>0</v>
      </c>
      <c r="N55" s="2">
        <v>0</v>
      </c>
      <c r="O55">
        <v>5.7</v>
      </c>
      <c r="P55" t="s">
        <v>10986</v>
      </c>
      <c r="Q55">
        <v>297</v>
      </c>
      <c r="R55" t="s">
        <v>10379</v>
      </c>
      <c r="S55">
        <v>1</v>
      </c>
    </row>
    <row r="56" spans="1:19">
      <c r="A56" t="s">
        <v>35</v>
      </c>
      <c r="B56" t="s">
        <v>338</v>
      </c>
      <c r="C56">
        <f>"ER145"</f>
        <v>0</v>
      </c>
      <c r="D56">
        <v>0</v>
      </c>
      <c r="E56">
        <v>1</v>
      </c>
      <c r="F56">
        <v>1</v>
      </c>
      <c r="G56">
        <v>2</v>
      </c>
      <c r="H56">
        <v>4</v>
      </c>
      <c r="I56">
        <v>1</v>
      </c>
      <c r="J56">
        <v>2</v>
      </c>
      <c r="K56">
        <v>5.76</v>
      </c>
      <c r="L56" s="2">
        <v>3</v>
      </c>
      <c r="M56">
        <v>0</v>
      </c>
      <c r="N56" s="2">
        <v>0</v>
      </c>
      <c r="O56">
        <v>5.6</v>
      </c>
      <c r="P56" t="s">
        <v>10987</v>
      </c>
      <c r="Q56">
        <v>576</v>
      </c>
      <c r="R56" t="s">
        <v>10379</v>
      </c>
      <c r="S56">
        <v>1</v>
      </c>
    </row>
    <row r="57" spans="1:19">
      <c r="A57" t="s">
        <v>35</v>
      </c>
      <c r="B57" t="s">
        <v>1688</v>
      </c>
      <c r="C57">
        <f>"KF8005BB"</f>
        <v>0</v>
      </c>
      <c r="D57">
        <v>7</v>
      </c>
      <c r="E57">
        <v>0</v>
      </c>
      <c r="F57">
        <v>0</v>
      </c>
      <c r="G57">
        <v>2</v>
      </c>
      <c r="H57">
        <v>9</v>
      </c>
      <c r="I57">
        <v>1</v>
      </c>
      <c r="J57">
        <v>2</v>
      </c>
      <c r="K57">
        <v>22.386</v>
      </c>
      <c r="L57" s="2">
        <v>11</v>
      </c>
      <c r="M57">
        <v>0</v>
      </c>
      <c r="N57" s="2">
        <v>0</v>
      </c>
      <c r="O57">
        <v>5.6</v>
      </c>
      <c r="P57" t="s">
        <v>10988</v>
      </c>
      <c r="Q57">
        <v>9.529999999999999</v>
      </c>
      <c r="R57" t="s">
        <v>11133</v>
      </c>
      <c r="S57">
        <v>1</v>
      </c>
    </row>
    <row r="58" spans="1:19">
      <c r="A58" t="s">
        <v>35</v>
      </c>
      <c r="B58" t="s">
        <v>957</v>
      </c>
      <c r="C58">
        <f>"ER191"</f>
        <v>0</v>
      </c>
      <c r="D58">
        <v>1</v>
      </c>
      <c r="E58">
        <v>0</v>
      </c>
      <c r="F58">
        <v>0</v>
      </c>
      <c r="G58">
        <v>1</v>
      </c>
      <c r="H58">
        <v>2</v>
      </c>
      <c r="I58">
        <v>0.5</v>
      </c>
      <c r="J58">
        <v>0</v>
      </c>
      <c r="K58">
        <v>0</v>
      </c>
      <c r="L58" s="2">
        <v>0</v>
      </c>
      <c r="M58">
        <v>1</v>
      </c>
      <c r="N58" s="2">
        <v>0</v>
      </c>
      <c r="O58">
        <v>5.5</v>
      </c>
      <c r="P58" t="s">
        <v>10989</v>
      </c>
      <c r="Q58">
        <v>1.881</v>
      </c>
      <c r="R58" t="s">
        <v>10266</v>
      </c>
      <c r="S58">
        <v>1</v>
      </c>
    </row>
    <row r="59" spans="1:19">
      <c r="A59" t="s">
        <v>35</v>
      </c>
      <c r="B59" t="s">
        <v>868</v>
      </c>
      <c r="C59">
        <f>"ER190"</f>
        <v>0</v>
      </c>
      <c r="D59">
        <v>1</v>
      </c>
      <c r="E59">
        <v>0</v>
      </c>
      <c r="F59">
        <v>0</v>
      </c>
      <c r="G59">
        <v>1</v>
      </c>
      <c r="H59">
        <v>2</v>
      </c>
      <c r="I59">
        <v>0.5</v>
      </c>
      <c r="J59">
        <v>0</v>
      </c>
      <c r="K59">
        <v>0</v>
      </c>
      <c r="L59" s="2">
        <v>0</v>
      </c>
      <c r="M59">
        <v>1</v>
      </c>
      <c r="N59" s="2">
        <v>0</v>
      </c>
      <c r="O59">
        <v>5.5</v>
      </c>
      <c r="P59" t="s">
        <v>10990</v>
      </c>
      <c r="Q59">
        <v>5.749</v>
      </c>
      <c r="R59" t="s">
        <v>11134</v>
      </c>
      <c r="S59">
        <v>1</v>
      </c>
    </row>
    <row r="60" spans="1:19">
      <c r="A60" t="s">
        <v>35</v>
      </c>
      <c r="B60" t="s">
        <v>950</v>
      </c>
      <c r="C60">
        <f>"NGR"</f>
        <v>0</v>
      </c>
      <c r="D60">
        <v>1</v>
      </c>
      <c r="E60">
        <v>0</v>
      </c>
      <c r="F60">
        <v>0</v>
      </c>
      <c r="G60">
        <v>1</v>
      </c>
      <c r="H60">
        <v>2</v>
      </c>
      <c r="I60">
        <v>0.5</v>
      </c>
      <c r="J60">
        <v>0</v>
      </c>
      <c r="K60">
        <v>0</v>
      </c>
      <c r="L60" s="2">
        <v>0</v>
      </c>
      <c r="M60">
        <v>1</v>
      </c>
      <c r="N60" s="2">
        <v>0</v>
      </c>
      <c r="O60">
        <v>5.5</v>
      </c>
      <c r="P60" t="s">
        <v>10991</v>
      </c>
      <c r="Q60">
        <v>2.862</v>
      </c>
      <c r="R60" t="s">
        <v>10266</v>
      </c>
      <c r="S60">
        <v>1</v>
      </c>
    </row>
    <row r="61" spans="1:19">
      <c r="A61" t="s">
        <v>35</v>
      </c>
      <c r="B61" t="s">
        <v>241</v>
      </c>
      <c r="C61">
        <f>"2513"</f>
        <v>0</v>
      </c>
      <c r="D61">
        <v>0</v>
      </c>
      <c r="E61">
        <v>1</v>
      </c>
      <c r="F61">
        <v>0</v>
      </c>
      <c r="G61">
        <v>1</v>
      </c>
      <c r="H61">
        <v>2</v>
      </c>
      <c r="I61">
        <v>0.5</v>
      </c>
      <c r="J61">
        <v>0</v>
      </c>
      <c r="K61">
        <v>0</v>
      </c>
      <c r="L61" s="2">
        <v>0</v>
      </c>
      <c r="M61">
        <v>1</v>
      </c>
      <c r="N61" s="2">
        <v>0</v>
      </c>
      <c r="O61">
        <v>5.5</v>
      </c>
      <c r="P61" t="s">
        <v>10249</v>
      </c>
      <c r="Q61">
        <v>773</v>
      </c>
      <c r="R61" t="s">
        <v>10849</v>
      </c>
      <c r="S61">
        <v>1</v>
      </c>
    </row>
    <row r="62" spans="1:19">
      <c r="A62" t="s">
        <v>35</v>
      </c>
      <c r="B62" t="s">
        <v>549</v>
      </c>
      <c r="C62">
        <f>"MSPB04ROS"</f>
        <v>0</v>
      </c>
      <c r="D62">
        <v>4</v>
      </c>
      <c r="E62">
        <v>4</v>
      </c>
      <c r="F62">
        <v>3</v>
      </c>
      <c r="G62">
        <v>1</v>
      </c>
      <c r="H62">
        <v>12</v>
      </c>
      <c r="I62">
        <v>3.5</v>
      </c>
      <c r="J62">
        <v>0</v>
      </c>
      <c r="K62">
        <v>0</v>
      </c>
      <c r="L62" s="2">
        <v>0</v>
      </c>
      <c r="M62">
        <v>4</v>
      </c>
      <c r="N62" s="2">
        <v>0</v>
      </c>
      <c r="O62">
        <v>5.5</v>
      </c>
      <c r="P62" t="s">
        <v>10992</v>
      </c>
      <c r="Q62">
        <v>1.485</v>
      </c>
      <c r="R62" t="s">
        <v>10933</v>
      </c>
      <c r="S62">
        <v>0</v>
      </c>
    </row>
    <row r="63" spans="1:19">
      <c r="A63" t="s">
        <v>35</v>
      </c>
      <c r="B63" t="s">
        <v>263</v>
      </c>
      <c r="C63">
        <f>"SDR232"</f>
        <v>0</v>
      </c>
      <c r="D63">
        <v>0</v>
      </c>
      <c r="E63">
        <v>1</v>
      </c>
      <c r="F63">
        <v>0</v>
      </c>
      <c r="G63">
        <v>1</v>
      </c>
      <c r="H63">
        <v>2</v>
      </c>
      <c r="I63">
        <v>0.5</v>
      </c>
      <c r="J63">
        <v>0</v>
      </c>
      <c r="K63">
        <v>0</v>
      </c>
      <c r="L63" s="2">
        <v>0</v>
      </c>
      <c r="M63">
        <v>1</v>
      </c>
      <c r="N63" s="2">
        <v>0</v>
      </c>
      <c r="O63">
        <v>5.5</v>
      </c>
      <c r="P63" t="s">
        <v>10993</v>
      </c>
      <c r="Q63">
        <v>585</v>
      </c>
      <c r="R63" t="s">
        <v>10266</v>
      </c>
      <c r="S63">
        <v>1</v>
      </c>
    </row>
    <row r="64" spans="1:19">
      <c r="A64" t="s">
        <v>35</v>
      </c>
      <c r="B64" t="s">
        <v>294</v>
      </c>
      <c r="C64">
        <f>"CTB85ROS"</f>
        <v>0</v>
      </c>
      <c r="D64">
        <v>0</v>
      </c>
      <c r="E64">
        <v>1</v>
      </c>
      <c r="F64">
        <v>0</v>
      </c>
      <c r="G64">
        <v>1</v>
      </c>
      <c r="H64">
        <v>2</v>
      </c>
      <c r="I64">
        <v>0.5</v>
      </c>
      <c r="J64">
        <v>0</v>
      </c>
      <c r="K64">
        <v>0</v>
      </c>
      <c r="L64" s="2">
        <v>0</v>
      </c>
      <c r="M64">
        <v>1</v>
      </c>
      <c r="N64" s="2">
        <v>0</v>
      </c>
      <c r="O64">
        <v>5.5</v>
      </c>
      <c r="P64" t="s">
        <v>10317</v>
      </c>
      <c r="Q64">
        <v>472</v>
      </c>
      <c r="R64" t="s">
        <v>11135</v>
      </c>
      <c r="S64">
        <v>1</v>
      </c>
    </row>
    <row r="65" spans="1:19">
      <c r="A65" t="s">
        <v>35</v>
      </c>
      <c r="B65" t="s">
        <v>295</v>
      </c>
      <c r="C65">
        <f>"9001162A"</f>
        <v>0</v>
      </c>
      <c r="D65">
        <v>0</v>
      </c>
      <c r="E65">
        <v>1</v>
      </c>
      <c r="F65">
        <v>2</v>
      </c>
      <c r="G65">
        <v>2</v>
      </c>
      <c r="H65">
        <v>5</v>
      </c>
      <c r="I65">
        <v>1.5</v>
      </c>
      <c r="J65">
        <v>0</v>
      </c>
      <c r="K65">
        <v>0</v>
      </c>
      <c r="L65" s="2">
        <v>0</v>
      </c>
      <c r="M65">
        <v>2</v>
      </c>
      <c r="N65" s="2">
        <v>0</v>
      </c>
      <c r="O65">
        <v>5.5</v>
      </c>
      <c r="P65" t="s">
        <v>10994</v>
      </c>
      <c r="Q65">
        <v>457</v>
      </c>
      <c r="R65" t="s">
        <v>10264</v>
      </c>
      <c r="S65">
        <v>0</v>
      </c>
    </row>
    <row r="66" spans="1:19">
      <c r="A66" t="s">
        <v>35</v>
      </c>
      <c r="B66" t="s">
        <v>315</v>
      </c>
      <c r="C66">
        <f>"ER026S"</f>
        <v>0</v>
      </c>
      <c r="D66">
        <v>0</v>
      </c>
      <c r="E66">
        <v>1</v>
      </c>
      <c r="F66">
        <v>0</v>
      </c>
      <c r="G66">
        <v>1</v>
      </c>
      <c r="H66">
        <v>2</v>
      </c>
      <c r="I66">
        <v>0.5</v>
      </c>
      <c r="J66">
        <v>0</v>
      </c>
      <c r="K66">
        <v>0</v>
      </c>
      <c r="L66" s="2">
        <v>0</v>
      </c>
      <c r="M66">
        <v>1</v>
      </c>
      <c r="N66" s="2">
        <v>0</v>
      </c>
      <c r="O66">
        <v>5.5</v>
      </c>
      <c r="P66" t="s">
        <v>10257</v>
      </c>
      <c r="Q66">
        <v>396</v>
      </c>
      <c r="R66" t="s">
        <v>10266</v>
      </c>
      <c r="S66">
        <v>1</v>
      </c>
    </row>
    <row r="67" spans="1:19">
      <c r="A67" t="s">
        <v>35</v>
      </c>
      <c r="B67" t="s">
        <v>349</v>
      </c>
      <c r="C67">
        <f>"9001161V"</f>
        <v>0</v>
      </c>
      <c r="D67">
        <v>1</v>
      </c>
      <c r="E67">
        <v>0</v>
      </c>
      <c r="F67">
        <v>0</v>
      </c>
      <c r="G67">
        <v>1</v>
      </c>
      <c r="H67">
        <v>2</v>
      </c>
      <c r="I67">
        <v>0.5</v>
      </c>
      <c r="J67">
        <v>0</v>
      </c>
      <c r="K67">
        <v>0</v>
      </c>
      <c r="L67" s="2">
        <v>0</v>
      </c>
      <c r="M67">
        <v>1</v>
      </c>
      <c r="N67" s="2">
        <v>0</v>
      </c>
      <c r="O67">
        <v>5.5</v>
      </c>
      <c r="P67" t="s">
        <v>10995</v>
      </c>
      <c r="Q67">
        <v>277</v>
      </c>
      <c r="R67" t="s">
        <v>11136</v>
      </c>
      <c r="S67">
        <v>1</v>
      </c>
    </row>
    <row r="68" spans="1:19">
      <c r="A68" t="s">
        <v>35</v>
      </c>
      <c r="B68" t="s">
        <v>1940</v>
      </c>
      <c r="C68">
        <f>"CP1314"</f>
        <v>0</v>
      </c>
      <c r="D68">
        <v>0</v>
      </c>
      <c r="E68">
        <v>1</v>
      </c>
      <c r="F68">
        <v>0</v>
      </c>
      <c r="G68">
        <v>2</v>
      </c>
      <c r="H68">
        <v>3</v>
      </c>
      <c r="I68">
        <v>0.5</v>
      </c>
      <c r="J68">
        <v>2</v>
      </c>
      <c r="K68">
        <v>8.084</v>
      </c>
      <c r="L68" s="2">
        <v>4</v>
      </c>
      <c r="M68">
        <v>0</v>
      </c>
      <c r="N68" s="2">
        <v>0</v>
      </c>
      <c r="O68">
        <v>5.1</v>
      </c>
      <c r="P68" t="s">
        <v>10996</v>
      </c>
      <c r="Q68">
        <v>7.158</v>
      </c>
      <c r="R68" t="s">
        <v>10731</v>
      </c>
      <c r="S68">
        <v>1</v>
      </c>
    </row>
    <row r="69" spans="1:19">
      <c r="A69" t="s">
        <v>35</v>
      </c>
      <c r="B69" t="s">
        <v>504</v>
      </c>
      <c r="C69">
        <f>"JWL1011MBN"</f>
        <v>0</v>
      </c>
      <c r="D69">
        <v>0</v>
      </c>
      <c r="E69">
        <v>0</v>
      </c>
      <c r="F69">
        <v>0</v>
      </c>
      <c r="G69">
        <v>1</v>
      </c>
      <c r="H69">
        <v>1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5</v>
      </c>
      <c r="P69" t="s">
        <v>10997</v>
      </c>
      <c r="Q69">
        <v>61</v>
      </c>
      <c r="R69" t="s">
        <v>10731</v>
      </c>
      <c r="S69">
        <v>1</v>
      </c>
    </row>
    <row r="70" spans="1:19">
      <c r="A70" t="s">
        <v>35</v>
      </c>
      <c r="B70" t="s">
        <v>393</v>
      </c>
      <c r="C70">
        <f>"RTW02"</f>
        <v>0</v>
      </c>
      <c r="D70">
        <v>0</v>
      </c>
      <c r="E70">
        <v>0</v>
      </c>
      <c r="F70">
        <v>0</v>
      </c>
      <c r="G70">
        <v>1</v>
      </c>
      <c r="H70">
        <v>1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5</v>
      </c>
      <c r="P70" t="s">
        <v>10998</v>
      </c>
      <c r="Q70">
        <v>185</v>
      </c>
      <c r="R70" t="s">
        <v>11137</v>
      </c>
      <c r="S70">
        <v>1</v>
      </c>
    </row>
    <row r="71" spans="1:19">
      <c r="A71" t="s">
        <v>35</v>
      </c>
      <c r="B71" t="s">
        <v>1530</v>
      </c>
      <c r="C71">
        <f>"9402B"</f>
        <v>0</v>
      </c>
      <c r="D71">
        <v>0</v>
      </c>
      <c r="E71">
        <v>0</v>
      </c>
      <c r="F71">
        <v>0</v>
      </c>
      <c r="G71">
        <v>1</v>
      </c>
      <c r="H71">
        <v>1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5</v>
      </c>
      <c r="P71" t="s">
        <v>10551</v>
      </c>
      <c r="Q71">
        <v>-17</v>
      </c>
      <c r="R71" t="s">
        <v>11138</v>
      </c>
      <c r="S71">
        <v>1</v>
      </c>
    </row>
    <row r="72" spans="1:19">
      <c r="A72" t="s">
        <v>35</v>
      </c>
      <c r="B72" t="s">
        <v>1136</v>
      </c>
      <c r="C72">
        <f>"HH337XSAZ"</f>
        <v>0</v>
      </c>
      <c r="D72">
        <v>0</v>
      </c>
      <c r="E72">
        <v>0</v>
      </c>
      <c r="F72">
        <v>0</v>
      </c>
      <c r="G72">
        <v>1</v>
      </c>
      <c r="H72">
        <v>1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5</v>
      </c>
      <c r="P72" t="s">
        <v>10999</v>
      </c>
      <c r="Q72">
        <v>1.71</v>
      </c>
      <c r="R72" t="s">
        <v>10266</v>
      </c>
      <c r="S72">
        <v>1</v>
      </c>
    </row>
    <row r="73" spans="1:19">
      <c r="A73" t="s">
        <v>35</v>
      </c>
      <c r="B73" t="s">
        <v>234</v>
      </c>
      <c r="C73">
        <f>"9401t"</f>
        <v>0</v>
      </c>
      <c r="D73">
        <v>0</v>
      </c>
      <c r="E73">
        <v>0</v>
      </c>
      <c r="F73">
        <v>0</v>
      </c>
      <c r="G73">
        <v>1</v>
      </c>
      <c r="H73">
        <v>1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5</v>
      </c>
      <c r="P73" t="s">
        <v>11000</v>
      </c>
      <c r="Q73">
        <v>917</v>
      </c>
      <c r="R73" t="s">
        <v>11139</v>
      </c>
      <c r="S73">
        <v>1</v>
      </c>
    </row>
    <row r="74" spans="1:19">
      <c r="A74" t="s">
        <v>35</v>
      </c>
      <c r="B74" t="s">
        <v>378</v>
      </c>
      <c r="C74">
        <f>"SA015AZ"</f>
        <v>0</v>
      </c>
      <c r="D74">
        <v>0</v>
      </c>
      <c r="E74">
        <v>0</v>
      </c>
      <c r="F74">
        <v>0</v>
      </c>
      <c r="G74">
        <v>1</v>
      </c>
      <c r="H74">
        <v>1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5</v>
      </c>
      <c r="P74" t="s">
        <v>11001</v>
      </c>
      <c r="Q74">
        <v>223</v>
      </c>
      <c r="R74" t="s">
        <v>11140</v>
      </c>
      <c r="S74">
        <v>1</v>
      </c>
    </row>
    <row r="75" spans="1:19">
      <c r="A75" t="s">
        <v>35</v>
      </c>
      <c r="B75" t="s">
        <v>968</v>
      </c>
      <c r="C75">
        <f>"D060L"</f>
        <v>0</v>
      </c>
      <c r="D75">
        <v>0</v>
      </c>
      <c r="E75">
        <v>0</v>
      </c>
      <c r="F75">
        <v>0</v>
      </c>
      <c r="G75">
        <v>1</v>
      </c>
      <c r="H75">
        <v>1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5</v>
      </c>
      <c r="P75" t="s">
        <v>11002</v>
      </c>
      <c r="Q75">
        <v>4.728</v>
      </c>
      <c r="R75" t="s">
        <v>11141</v>
      </c>
      <c r="S75">
        <v>1</v>
      </c>
    </row>
    <row r="76" spans="1:19">
      <c r="A76" t="s">
        <v>35</v>
      </c>
      <c r="B76" t="s">
        <v>1142</v>
      </c>
      <c r="C76">
        <f>"LL313LVM"</f>
        <v>0</v>
      </c>
      <c r="D76">
        <v>0</v>
      </c>
      <c r="E76">
        <v>0</v>
      </c>
      <c r="F76">
        <v>0</v>
      </c>
      <c r="G76">
        <v>1</v>
      </c>
      <c r="H76">
        <v>1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5</v>
      </c>
      <c r="P76" t="s">
        <v>11003</v>
      </c>
      <c r="Q76">
        <v>1.078</v>
      </c>
      <c r="R76" t="s">
        <v>10264</v>
      </c>
      <c r="S76">
        <v>1</v>
      </c>
    </row>
    <row r="77" spans="1:19">
      <c r="A77" t="s">
        <v>35</v>
      </c>
      <c r="B77" t="s">
        <v>283</v>
      </c>
      <c r="C77">
        <f>"890112"</f>
        <v>0</v>
      </c>
      <c r="D77">
        <v>0</v>
      </c>
      <c r="E77">
        <v>0</v>
      </c>
      <c r="F77">
        <v>0</v>
      </c>
      <c r="G77">
        <v>1</v>
      </c>
      <c r="H77">
        <v>1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5</v>
      </c>
      <c r="P77" t="s">
        <v>10319</v>
      </c>
      <c r="Q77">
        <v>505</v>
      </c>
      <c r="R77" t="s">
        <v>11142</v>
      </c>
      <c r="S77">
        <v>1</v>
      </c>
    </row>
    <row r="78" spans="1:19">
      <c r="A78" t="s">
        <v>35</v>
      </c>
      <c r="B78" t="s">
        <v>248</v>
      </c>
      <c r="C78">
        <f>"HDD016B"</f>
        <v>0</v>
      </c>
      <c r="D78">
        <v>0</v>
      </c>
      <c r="E78">
        <v>0</v>
      </c>
      <c r="F78">
        <v>0</v>
      </c>
      <c r="G78">
        <v>1</v>
      </c>
      <c r="H78">
        <v>1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5</v>
      </c>
      <c r="P78" t="s">
        <v>10284</v>
      </c>
      <c r="Q78">
        <v>679</v>
      </c>
      <c r="R78" t="s">
        <v>11143</v>
      </c>
      <c r="S78">
        <v>1</v>
      </c>
    </row>
    <row r="79" spans="1:19">
      <c r="A79" t="s">
        <v>35</v>
      </c>
      <c r="B79" t="s">
        <v>386</v>
      </c>
      <c r="C79">
        <f>"KHSG0160"</f>
        <v>0</v>
      </c>
      <c r="D79">
        <v>0</v>
      </c>
      <c r="E79">
        <v>0</v>
      </c>
      <c r="F79">
        <v>0</v>
      </c>
      <c r="G79">
        <v>1</v>
      </c>
      <c r="H79">
        <v>1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5</v>
      </c>
      <c r="P79" t="s">
        <v>11004</v>
      </c>
      <c r="Q79">
        <v>203</v>
      </c>
      <c r="R79" t="s">
        <v>11144</v>
      </c>
      <c r="S79">
        <v>1</v>
      </c>
    </row>
    <row r="80" spans="1:19">
      <c r="A80" t="s">
        <v>35</v>
      </c>
      <c r="B80" t="s">
        <v>951</v>
      </c>
      <c r="C80">
        <f>"DTC804ROJ"</f>
        <v>0</v>
      </c>
      <c r="D80">
        <v>0</v>
      </c>
      <c r="E80">
        <v>0</v>
      </c>
      <c r="F80">
        <v>0</v>
      </c>
      <c r="G80">
        <v>1</v>
      </c>
      <c r="H80">
        <v>1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5</v>
      </c>
      <c r="P80" t="s">
        <v>11005</v>
      </c>
      <c r="Q80">
        <v>6.822</v>
      </c>
      <c r="R80" t="s">
        <v>10266</v>
      </c>
      <c r="S80">
        <v>1</v>
      </c>
    </row>
    <row r="81" spans="1:19">
      <c r="A81" t="s">
        <v>35</v>
      </c>
      <c r="B81" t="s">
        <v>680</v>
      </c>
      <c r="C81">
        <f>"MSPB04CA"</f>
        <v>0</v>
      </c>
      <c r="D81">
        <v>0</v>
      </c>
      <c r="E81">
        <v>0</v>
      </c>
      <c r="F81">
        <v>4</v>
      </c>
      <c r="G81">
        <v>2</v>
      </c>
      <c r="H81">
        <v>6</v>
      </c>
      <c r="I81">
        <v>1</v>
      </c>
      <c r="J81">
        <v>0</v>
      </c>
      <c r="K81">
        <v>0</v>
      </c>
      <c r="L81" s="2">
        <v>0</v>
      </c>
      <c r="M81">
        <v>2</v>
      </c>
      <c r="N81" s="2">
        <v>0</v>
      </c>
      <c r="O81">
        <v>5</v>
      </c>
      <c r="P81" t="s">
        <v>11006</v>
      </c>
      <c r="Q81">
        <v>2.139</v>
      </c>
      <c r="R81" t="s">
        <v>11145</v>
      </c>
      <c r="S81">
        <v>0</v>
      </c>
    </row>
    <row r="82" spans="1:19">
      <c r="A82" t="s">
        <v>35</v>
      </c>
      <c r="B82" t="s">
        <v>1669</v>
      </c>
      <c r="C82">
        <f>"TP100"</f>
        <v>0</v>
      </c>
      <c r="D82">
        <v>4</v>
      </c>
      <c r="E82">
        <v>6</v>
      </c>
      <c r="F82">
        <v>7</v>
      </c>
      <c r="G82">
        <v>3</v>
      </c>
      <c r="H82">
        <v>20</v>
      </c>
      <c r="I82">
        <v>5</v>
      </c>
      <c r="J82">
        <v>5</v>
      </c>
      <c r="K82">
        <v>59.6</v>
      </c>
      <c r="L82" s="2">
        <v>12</v>
      </c>
      <c r="M82">
        <v>2</v>
      </c>
      <c r="N82" s="2">
        <v>24</v>
      </c>
      <c r="O82">
        <v>5</v>
      </c>
      <c r="P82" t="s">
        <v>11007</v>
      </c>
      <c r="Q82">
        <v>9.593999999999999</v>
      </c>
      <c r="R82" t="s">
        <v>11146</v>
      </c>
      <c r="S82">
        <v>0</v>
      </c>
    </row>
    <row r="83" spans="1:19">
      <c r="A83" t="s">
        <v>35</v>
      </c>
      <c r="B83" t="s">
        <v>1137</v>
      </c>
      <c r="C83">
        <f>"LS246"</f>
        <v>0</v>
      </c>
      <c r="D83">
        <v>0</v>
      </c>
      <c r="E83">
        <v>0</v>
      </c>
      <c r="F83">
        <v>0</v>
      </c>
      <c r="G83">
        <v>1</v>
      </c>
      <c r="H83">
        <v>1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5</v>
      </c>
      <c r="P83" t="s">
        <v>10332</v>
      </c>
      <c r="Q83">
        <v>1.567</v>
      </c>
      <c r="R83" t="s">
        <v>11147</v>
      </c>
      <c r="S83">
        <v>1</v>
      </c>
    </row>
    <row r="84" spans="1:19">
      <c r="A84" t="s">
        <v>35</v>
      </c>
      <c r="B84" t="s">
        <v>270</v>
      </c>
      <c r="C84">
        <f>"HDD174CE"</f>
        <v>0</v>
      </c>
      <c r="D84">
        <v>3</v>
      </c>
      <c r="E84">
        <v>0</v>
      </c>
      <c r="F84">
        <v>1</v>
      </c>
      <c r="G84">
        <v>2</v>
      </c>
      <c r="H84">
        <v>6</v>
      </c>
      <c r="I84">
        <v>1.5</v>
      </c>
      <c r="J84">
        <v>3</v>
      </c>
      <c r="K84">
        <v>1.381</v>
      </c>
      <c r="L84" s="2">
        <v>0</v>
      </c>
      <c r="M84">
        <v>0</v>
      </c>
      <c r="N84" s="2">
        <v>0</v>
      </c>
      <c r="O84">
        <v>4.9</v>
      </c>
      <c r="P84" t="s">
        <v>10398</v>
      </c>
      <c r="Q84">
        <v>814</v>
      </c>
      <c r="R84" t="s">
        <v>11148</v>
      </c>
      <c r="S84">
        <v>1</v>
      </c>
    </row>
    <row r="85" spans="1:19">
      <c r="A85" t="s">
        <v>35</v>
      </c>
      <c r="B85" t="s">
        <v>247</v>
      </c>
      <c r="C85">
        <f>"BP2060ROJ"</f>
        <v>0</v>
      </c>
      <c r="D85">
        <v>0</v>
      </c>
      <c r="E85">
        <v>3</v>
      </c>
      <c r="F85">
        <v>0</v>
      </c>
      <c r="G85">
        <v>1</v>
      </c>
      <c r="H85">
        <v>4</v>
      </c>
      <c r="I85">
        <v>0.5</v>
      </c>
      <c r="J85">
        <v>1</v>
      </c>
      <c r="K85">
        <v>3.15</v>
      </c>
      <c r="L85" s="2">
        <v>3</v>
      </c>
      <c r="M85">
        <v>0</v>
      </c>
      <c r="N85" s="2">
        <v>0</v>
      </c>
      <c r="O85">
        <v>4.3</v>
      </c>
      <c r="P85" t="s">
        <v>11008</v>
      </c>
      <c r="Q85">
        <v>959</v>
      </c>
      <c r="R85" t="s">
        <v>11149</v>
      </c>
      <c r="S85">
        <v>1</v>
      </c>
    </row>
    <row r="86" spans="1:19">
      <c r="A86" t="s">
        <v>35</v>
      </c>
      <c r="B86" t="s">
        <v>779</v>
      </c>
      <c r="C86">
        <f>"PQ017"</f>
        <v>0</v>
      </c>
      <c r="D86">
        <v>2</v>
      </c>
      <c r="E86">
        <v>0</v>
      </c>
      <c r="F86">
        <v>0</v>
      </c>
      <c r="G86">
        <v>1</v>
      </c>
      <c r="H86">
        <v>3</v>
      </c>
      <c r="I86">
        <v>0.5</v>
      </c>
      <c r="J86">
        <v>1</v>
      </c>
      <c r="K86">
        <v>1.431</v>
      </c>
      <c r="L86" s="2">
        <v>1</v>
      </c>
      <c r="M86">
        <v>0</v>
      </c>
      <c r="N86" s="2">
        <v>0</v>
      </c>
      <c r="O86">
        <v>4.3</v>
      </c>
      <c r="P86" t="s">
        <v>11009</v>
      </c>
      <c r="Q86">
        <v>286</v>
      </c>
      <c r="R86" t="s">
        <v>10264</v>
      </c>
      <c r="S86">
        <v>1</v>
      </c>
    </row>
    <row r="87" spans="1:19">
      <c r="A87" t="s">
        <v>35</v>
      </c>
      <c r="B87" t="s">
        <v>428</v>
      </c>
      <c r="C87">
        <f>"SDR251"</f>
        <v>0</v>
      </c>
      <c r="D87">
        <v>1</v>
      </c>
      <c r="E87">
        <v>0</v>
      </c>
      <c r="F87">
        <v>0</v>
      </c>
      <c r="G87">
        <v>1</v>
      </c>
      <c r="H87">
        <v>2</v>
      </c>
      <c r="I87">
        <v>0.5</v>
      </c>
      <c r="J87">
        <v>1</v>
      </c>
      <c r="K87">
        <v>2.025</v>
      </c>
      <c r="L87" s="2">
        <v>2</v>
      </c>
      <c r="M87">
        <v>0</v>
      </c>
      <c r="N87" s="2">
        <v>0</v>
      </c>
      <c r="O87">
        <v>4.3</v>
      </c>
      <c r="P87" t="s">
        <v>11010</v>
      </c>
      <c r="Q87">
        <v>405</v>
      </c>
      <c r="R87" t="s">
        <v>10266</v>
      </c>
      <c r="S87">
        <v>1</v>
      </c>
    </row>
    <row r="88" spans="1:19">
      <c r="A88" t="s">
        <v>35</v>
      </c>
      <c r="B88" t="s">
        <v>302</v>
      </c>
      <c r="C88">
        <f>"W2005"</f>
        <v>0</v>
      </c>
      <c r="D88">
        <v>1</v>
      </c>
      <c r="E88">
        <v>0</v>
      </c>
      <c r="F88">
        <v>0</v>
      </c>
      <c r="G88">
        <v>1</v>
      </c>
      <c r="H88">
        <v>2</v>
      </c>
      <c r="I88">
        <v>0.5</v>
      </c>
      <c r="J88">
        <v>1</v>
      </c>
      <c r="K88">
        <v>3.591</v>
      </c>
      <c r="L88" s="2">
        <v>4</v>
      </c>
      <c r="M88">
        <v>0</v>
      </c>
      <c r="N88" s="2">
        <v>0</v>
      </c>
      <c r="O88">
        <v>4.3</v>
      </c>
      <c r="P88" t="s">
        <v>11011</v>
      </c>
      <c r="Q88">
        <v>718</v>
      </c>
      <c r="R88" t="s">
        <v>10264</v>
      </c>
      <c r="S88">
        <v>1</v>
      </c>
    </row>
    <row r="89" spans="1:19">
      <c r="A89" t="s">
        <v>35</v>
      </c>
      <c r="B89" t="s">
        <v>2051</v>
      </c>
      <c r="C89">
        <f>"SPG04"</f>
        <v>0</v>
      </c>
      <c r="D89">
        <v>1</v>
      </c>
      <c r="E89">
        <v>0</v>
      </c>
      <c r="F89">
        <v>0</v>
      </c>
      <c r="G89">
        <v>1</v>
      </c>
      <c r="H89">
        <v>2</v>
      </c>
      <c r="I89">
        <v>0.5</v>
      </c>
      <c r="J89">
        <v>1</v>
      </c>
      <c r="K89">
        <v>6.21</v>
      </c>
      <c r="L89" s="2">
        <v>6</v>
      </c>
      <c r="M89">
        <v>0</v>
      </c>
      <c r="N89" s="2">
        <v>0</v>
      </c>
      <c r="O89">
        <v>4.3</v>
      </c>
      <c r="P89" t="s">
        <v>11012</v>
      </c>
      <c r="Q89">
        <v>4.202</v>
      </c>
      <c r="R89" t="s">
        <v>11150</v>
      </c>
      <c r="S89">
        <v>1</v>
      </c>
    </row>
    <row r="90" spans="1:19">
      <c r="A90" t="s">
        <v>35</v>
      </c>
      <c r="B90" t="s">
        <v>1768</v>
      </c>
      <c r="C90">
        <f>"XDB450G"</f>
        <v>0</v>
      </c>
      <c r="D90">
        <v>2</v>
      </c>
      <c r="E90">
        <v>0</v>
      </c>
      <c r="F90">
        <v>0</v>
      </c>
      <c r="G90">
        <v>1</v>
      </c>
      <c r="H90">
        <v>3</v>
      </c>
      <c r="I90">
        <v>0.5</v>
      </c>
      <c r="J90">
        <v>1</v>
      </c>
      <c r="K90">
        <v>112.05</v>
      </c>
      <c r="L90" s="2">
        <v>112</v>
      </c>
      <c r="M90">
        <v>0</v>
      </c>
      <c r="N90" s="2">
        <v>0</v>
      </c>
      <c r="O90">
        <v>4.3</v>
      </c>
      <c r="P90" t="s">
        <v>11013</v>
      </c>
      <c r="Q90">
        <v>35</v>
      </c>
      <c r="R90" t="s">
        <v>11151</v>
      </c>
      <c r="S90">
        <v>1</v>
      </c>
    </row>
    <row r="91" spans="1:19">
      <c r="A91" t="s">
        <v>35</v>
      </c>
      <c r="B91" t="s">
        <v>1594</v>
      </c>
      <c r="C91">
        <f>"IC1108"</f>
        <v>0</v>
      </c>
      <c r="D91">
        <v>10</v>
      </c>
      <c r="E91">
        <v>11</v>
      </c>
      <c r="F91">
        <v>16</v>
      </c>
      <c r="G91">
        <v>4</v>
      </c>
      <c r="H91">
        <v>41</v>
      </c>
      <c r="I91">
        <v>10.5</v>
      </c>
      <c r="J91">
        <v>12</v>
      </c>
      <c r="K91">
        <v>24.36</v>
      </c>
      <c r="L91" s="2">
        <v>2</v>
      </c>
      <c r="M91">
        <v>0</v>
      </c>
      <c r="N91" s="2">
        <v>0</v>
      </c>
      <c r="O91">
        <v>4.100000000000001</v>
      </c>
      <c r="P91" t="s">
        <v>11014</v>
      </c>
      <c r="Q91">
        <v>3.612</v>
      </c>
      <c r="R91" t="s">
        <v>11152</v>
      </c>
      <c r="S91">
        <v>0</v>
      </c>
    </row>
    <row r="92" spans="1:19">
      <c r="A92" t="s">
        <v>35</v>
      </c>
      <c r="B92" t="s">
        <v>1783</v>
      </c>
      <c r="C92">
        <f>"KLMT1"</f>
        <v>0</v>
      </c>
      <c r="D92">
        <v>4</v>
      </c>
      <c r="E92">
        <v>4</v>
      </c>
      <c r="F92">
        <v>0</v>
      </c>
      <c r="G92">
        <v>2</v>
      </c>
      <c r="H92">
        <v>10</v>
      </c>
      <c r="I92">
        <v>3</v>
      </c>
      <c r="J92">
        <v>5</v>
      </c>
      <c r="K92">
        <v>9.693</v>
      </c>
      <c r="L92" s="2">
        <v>2</v>
      </c>
      <c r="M92">
        <v>0</v>
      </c>
      <c r="N92" s="2">
        <v>0</v>
      </c>
      <c r="O92">
        <v>4</v>
      </c>
      <c r="P92" t="s">
        <v>10493</v>
      </c>
      <c r="Q92">
        <v>2.116</v>
      </c>
      <c r="R92" t="s">
        <v>11153</v>
      </c>
      <c r="S92">
        <v>1</v>
      </c>
    </row>
    <row r="93" spans="1:19">
      <c r="A93" t="s">
        <v>35</v>
      </c>
      <c r="B93" t="s">
        <v>320</v>
      </c>
      <c r="C93">
        <f>"BL816S"</f>
        <v>0</v>
      </c>
      <c r="D93">
        <v>1</v>
      </c>
      <c r="E93">
        <v>0</v>
      </c>
      <c r="F93">
        <v>1</v>
      </c>
      <c r="G93">
        <v>3</v>
      </c>
      <c r="H93">
        <v>5</v>
      </c>
      <c r="I93">
        <v>1</v>
      </c>
      <c r="J93">
        <v>5</v>
      </c>
      <c r="K93">
        <v>7.144</v>
      </c>
      <c r="L93" s="2">
        <v>1</v>
      </c>
      <c r="M93">
        <v>0</v>
      </c>
      <c r="N93" s="2">
        <v>0</v>
      </c>
      <c r="O93">
        <v>4</v>
      </c>
      <c r="P93" t="s">
        <v>11015</v>
      </c>
      <c r="Q93">
        <v>638</v>
      </c>
      <c r="R93" t="s">
        <v>11154</v>
      </c>
      <c r="S93">
        <v>1</v>
      </c>
    </row>
    <row r="94" spans="1:19">
      <c r="A94" t="s">
        <v>35</v>
      </c>
      <c r="B94" t="s">
        <v>314</v>
      </c>
      <c r="C94">
        <f>"KX1087"</f>
        <v>0</v>
      </c>
      <c r="D94">
        <v>8</v>
      </c>
      <c r="E94">
        <v>93</v>
      </c>
      <c r="F94">
        <v>0</v>
      </c>
      <c r="G94">
        <v>0</v>
      </c>
      <c r="H94">
        <v>101</v>
      </c>
      <c r="I94">
        <v>4</v>
      </c>
      <c r="J94">
        <v>0</v>
      </c>
      <c r="K94">
        <v>0</v>
      </c>
      <c r="L94" s="2">
        <v>0</v>
      </c>
      <c r="M94">
        <v>4</v>
      </c>
      <c r="N94" s="2">
        <v>0</v>
      </c>
      <c r="O94">
        <v>4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35</v>
      </c>
      <c r="B95" t="s">
        <v>1947</v>
      </c>
      <c r="C95">
        <f>"CP9060"</f>
        <v>0</v>
      </c>
      <c r="D95">
        <v>0</v>
      </c>
      <c r="E95">
        <v>0</v>
      </c>
      <c r="F95">
        <v>0</v>
      </c>
      <c r="G95">
        <v>1</v>
      </c>
      <c r="H95">
        <v>1</v>
      </c>
      <c r="I95">
        <v>0</v>
      </c>
      <c r="J95">
        <v>1</v>
      </c>
      <c r="K95">
        <v>71.09999999999999</v>
      </c>
      <c r="L95" s="2">
        <v>71</v>
      </c>
      <c r="M95">
        <v>0</v>
      </c>
      <c r="N95" s="2">
        <v>0</v>
      </c>
      <c r="O95">
        <v>3.8</v>
      </c>
      <c r="P95" t="s">
        <v>11016</v>
      </c>
      <c r="Q95">
        <v>14.22</v>
      </c>
      <c r="R95" t="s">
        <v>10266</v>
      </c>
      <c r="S95">
        <v>1</v>
      </c>
    </row>
    <row r="96" spans="1:19">
      <c r="A96" t="s">
        <v>35</v>
      </c>
      <c r="B96" t="s">
        <v>776</v>
      </c>
      <c r="C96">
        <f>"JWZ2013OSO"</f>
        <v>0</v>
      </c>
      <c r="D96">
        <v>0</v>
      </c>
      <c r="E96">
        <v>0</v>
      </c>
      <c r="F96">
        <v>0</v>
      </c>
      <c r="G96">
        <v>1</v>
      </c>
      <c r="H96">
        <v>1</v>
      </c>
      <c r="I96">
        <v>0</v>
      </c>
      <c r="J96">
        <v>1</v>
      </c>
      <c r="K96">
        <v>621</v>
      </c>
      <c r="L96" s="2">
        <v>621</v>
      </c>
      <c r="M96">
        <v>0</v>
      </c>
      <c r="N96" s="2">
        <v>0</v>
      </c>
      <c r="O96">
        <v>3.8</v>
      </c>
      <c r="P96" t="s">
        <v>11017</v>
      </c>
      <c r="Q96">
        <v>295</v>
      </c>
      <c r="R96" t="s">
        <v>11155</v>
      </c>
      <c r="S96">
        <v>1</v>
      </c>
    </row>
    <row r="97" spans="1:19">
      <c r="A97" t="s">
        <v>35</v>
      </c>
      <c r="B97" t="s">
        <v>454</v>
      </c>
      <c r="C97">
        <f>"BO3042ZAZ"</f>
        <v>0</v>
      </c>
      <c r="D97">
        <v>0</v>
      </c>
      <c r="E97">
        <v>0</v>
      </c>
      <c r="F97">
        <v>0</v>
      </c>
      <c r="G97">
        <v>1</v>
      </c>
      <c r="H97">
        <v>1</v>
      </c>
      <c r="I97">
        <v>0</v>
      </c>
      <c r="J97">
        <v>1</v>
      </c>
      <c r="K97">
        <v>711</v>
      </c>
      <c r="L97" s="2">
        <v>711</v>
      </c>
      <c r="M97">
        <v>0</v>
      </c>
      <c r="N97" s="2">
        <v>0</v>
      </c>
      <c r="O97">
        <v>3.8</v>
      </c>
      <c r="P97" t="s">
        <v>10284</v>
      </c>
      <c r="Q97">
        <v>373</v>
      </c>
      <c r="R97" t="s">
        <v>11101</v>
      </c>
      <c r="S97">
        <v>1</v>
      </c>
    </row>
    <row r="98" spans="1:19">
      <c r="A98" t="s">
        <v>35</v>
      </c>
      <c r="B98" t="s">
        <v>2341</v>
      </c>
      <c r="C98">
        <f>"1881FBS"</f>
        <v>0</v>
      </c>
      <c r="D98">
        <v>0</v>
      </c>
      <c r="E98">
        <v>0</v>
      </c>
      <c r="F98">
        <v>0</v>
      </c>
      <c r="G98">
        <v>1</v>
      </c>
      <c r="H98">
        <v>1</v>
      </c>
      <c r="I98">
        <v>0</v>
      </c>
      <c r="J98">
        <v>1</v>
      </c>
      <c r="K98">
        <v>6.03</v>
      </c>
      <c r="L98" s="2">
        <v>6</v>
      </c>
      <c r="M98">
        <v>0</v>
      </c>
      <c r="N98" s="2">
        <v>0</v>
      </c>
      <c r="O98">
        <v>3.8</v>
      </c>
      <c r="P98" t="s">
        <v>11018</v>
      </c>
      <c r="Q98">
        <v>1.206</v>
      </c>
      <c r="R98" t="s">
        <v>10266</v>
      </c>
      <c r="S98">
        <v>1</v>
      </c>
    </row>
    <row r="99" spans="1:19">
      <c r="A99" t="s">
        <v>35</v>
      </c>
      <c r="B99" t="s">
        <v>293</v>
      </c>
      <c r="C99">
        <f>"ER010"</f>
        <v>0</v>
      </c>
      <c r="D99">
        <v>0</v>
      </c>
      <c r="E99">
        <v>0</v>
      </c>
      <c r="F99">
        <v>0</v>
      </c>
      <c r="G99">
        <v>1</v>
      </c>
      <c r="H99">
        <v>1</v>
      </c>
      <c r="I99">
        <v>0</v>
      </c>
      <c r="J99">
        <v>1</v>
      </c>
      <c r="K99">
        <v>3.825</v>
      </c>
      <c r="L99" s="2">
        <v>4</v>
      </c>
      <c r="M99">
        <v>0</v>
      </c>
      <c r="N99" s="2">
        <v>0</v>
      </c>
      <c r="O99">
        <v>3.8</v>
      </c>
      <c r="P99" t="s">
        <v>11019</v>
      </c>
      <c r="Q99">
        <v>765</v>
      </c>
      <c r="R99" t="s">
        <v>10266</v>
      </c>
      <c r="S99">
        <v>1</v>
      </c>
    </row>
    <row r="100" spans="1:19">
      <c r="A100" t="s">
        <v>35</v>
      </c>
      <c r="B100" t="s">
        <v>449</v>
      </c>
      <c r="C100">
        <f>"TQ0111VE"</f>
        <v>0</v>
      </c>
      <c r="D100">
        <v>0</v>
      </c>
      <c r="E100">
        <v>0</v>
      </c>
      <c r="F100">
        <v>0</v>
      </c>
      <c r="G100">
        <v>1</v>
      </c>
      <c r="H100">
        <v>1</v>
      </c>
      <c r="I100">
        <v>0</v>
      </c>
      <c r="J100">
        <v>1</v>
      </c>
      <c r="K100">
        <v>1.161</v>
      </c>
      <c r="L100" s="2">
        <v>1</v>
      </c>
      <c r="M100">
        <v>0</v>
      </c>
      <c r="N100" s="2">
        <v>0</v>
      </c>
      <c r="O100">
        <v>3.8</v>
      </c>
      <c r="P100" t="s">
        <v>11020</v>
      </c>
      <c r="Q100">
        <v>376</v>
      </c>
      <c r="R100" t="s">
        <v>11156</v>
      </c>
      <c r="S100">
        <v>1</v>
      </c>
    </row>
    <row r="101" spans="1:19">
      <c r="A101" t="s">
        <v>35</v>
      </c>
      <c r="B101" t="s">
        <v>310</v>
      </c>
      <c r="C101">
        <f>"XQ22MMO"</f>
        <v>0</v>
      </c>
      <c r="D101">
        <v>0</v>
      </c>
      <c r="E101">
        <v>0</v>
      </c>
      <c r="F101">
        <v>0</v>
      </c>
      <c r="G101">
        <v>1</v>
      </c>
      <c r="H101">
        <v>1</v>
      </c>
      <c r="I101">
        <v>0</v>
      </c>
      <c r="J101">
        <v>1</v>
      </c>
      <c r="K101">
        <v>3.465</v>
      </c>
      <c r="L101" s="2">
        <v>3</v>
      </c>
      <c r="M101">
        <v>0</v>
      </c>
      <c r="N101" s="2">
        <v>0</v>
      </c>
      <c r="O101">
        <v>3.8</v>
      </c>
      <c r="P101" t="s">
        <v>11021</v>
      </c>
      <c r="Q101">
        <v>693</v>
      </c>
      <c r="R101" t="s">
        <v>10266</v>
      </c>
      <c r="S101">
        <v>1</v>
      </c>
    </row>
    <row r="102" spans="1:19">
      <c r="A102" t="s">
        <v>35</v>
      </c>
      <c r="B102" t="s">
        <v>2340</v>
      </c>
      <c r="C102">
        <f>"970309"</f>
        <v>0</v>
      </c>
      <c r="D102">
        <v>0</v>
      </c>
      <c r="E102">
        <v>0</v>
      </c>
      <c r="F102">
        <v>0</v>
      </c>
      <c r="G102">
        <v>1</v>
      </c>
      <c r="H102">
        <v>1</v>
      </c>
      <c r="I102">
        <v>0</v>
      </c>
      <c r="J102">
        <v>1</v>
      </c>
      <c r="K102">
        <v>3.411</v>
      </c>
      <c r="L102" s="2">
        <v>3</v>
      </c>
      <c r="M102">
        <v>0</v>
      </c>
      <c r="N102" s="2">
        <v>0</v>
      </c>
      <c r="O102">
        <v>3.8</v>
      </c>
      <c r="P102" t="s">
        <v>11022</v>
      </c>
      <c r="Q102">
        <v>1.286</v>
      </c>
      <c r="R102" t="s">
        <v>11157</v>
      </c>
      <c r="S102">
        <v>1</v>
      </c>
    </row>
    <row r="103" spans="1:19">
      <c r="A103" t="s">
        <v>35</v>
      </c>
      <c r="B103" t="s">
        <v>2333</v>
      </c>
      <c r="C103">
        <f>"DB821ROM"</f>
        <v>0</v>
      </c>
      <c r="D103">
        <v>0</v>
      </c>
      <c r="E103">
        <v>0</v>
      </c>
      <c r="F103">
        <v>0</v>
      </c>
      <c r="G103">
        <v>1</v>
      </c>
      <c r="H103">
        <v>1</v>
      </c>
      <c r="I103">
        <v>0</v>
      </c>
      <c r="J103">
        <v>1</v>
      </c>
      <c r="K103">
        <v>8.595000000000001</v>
      </c>
      <c r="L103" s="2">
        <v>9</v>
      </c>
      <c r="M103">
        <v>0</v>
      </c>
      <c r="N103" s="2">
        <v>0</v>
      </c>
      <c r="O103">
        <v>3.8</v>
      </c>
      <c r="P103" t="s">
        <v>11023</v>
      </c>
      <c r="Q103">
        <v>1.72</v>
      </c>
      <c r="R103" t="s">
        <v>10266</v>
      </c>
      <c r="S103">
        <v>1</v>
      </c>
    </row>
    <row r="104" spans="1:19">
      <c r="A104" t="s">
        <v>35</v>
      </c>
      <c r="B104" t="s">
        <v>2344</v>
      </c>
      <c r="C104">
        <f>"HCJ011LGRIS"</f>
        <v>0</v>
      </c>
      <c r="D104">
        <v>0</v>
      </c>
      <c r="E104">
        <v>0</v>
      </c>
      <c r="F104">
        <v>0</v>
      </c>
      <c r="G104">
        <v>1</v>
      </c>
      <c r="H104">
        <v>1</v>
      </c>
      <c r="I104">
        <v>0</v>
      </c>
      <c r="J104">
        <v>1</v>
      </c>
      <c r="K104">
        <v>0</v>
      </c>
      <c r="L104" s="2">
        <v>0</v>
      </c>
      <c r="M104">
        <v>0</v>
      </c>
      <c r="N104" s="2">
        <v>0</v>
      </c>
      <c r="O104">
        <v>3.8</v>
      </c>
      <c r="P104" t="s">
        <v>10284</v>
      </c>
      <c r="Q104">
        <v>1.084</v>
      </c>
      <c r="R104" t="s">
        <v>11158</v>
      </c>
      <c r="S104">
        <v>1</v>
      </c>
    </row>
    <row r="105" spans="1:19">
      <c r="A105" t="s">
        <v>35</v>
      </c>
      <c r="B105" t="s">
        <v>1140</v>
      </c>
      <c r="C105">
        <f>"HDD042SS"</f>
        <v>0</v>
      </c>
      <c r="D105">
        <v>0</v>
      </c>
      <c r="E105">
        <v>0</v>
      </c>
      <c r="F105">
        <v>0</v>
      </c>
      <c r="G105">
        <v>1</v>
      </c>
      <c r="H105">
        <v>1</v>
      </c>
      <c r="I105">
        <v>0</v>
      </c>
      <c r="J105">
        <v>1</v>
      </c>
      <c r="K105">
        <v>801</v>
      </c>
      <c r="L105" s="2">
        <v>801</v>
      </c>
      <c r="M105">
        <v>0</v>
      </c>
      <c r="N105" s="2">
        <v>0</v>
      </c>
      <c r="O105">
        <v>3.8</v>
      </c>
      <c r="P105" t="s">
        <v>10284</v>
      </c>
      <c r="Q105">
        <v>283</v>
      </c>
      <c r="R105" t="s">
        <v>11159</v>
      </c>
      <c r="S105">
        <v>1</v>
      </c>
    </row>
    <row r="106" spans="1:19">
      <c r="A106" t="s">
        <v>35</v>
      </c>
      <c r="B106" t="s">
        <v>536</v>
      </c>
      <c r="C106">
        <f>"KX1003"</f>
        <v>0</v>
      </c>
      <c r="D106">
        <v>6</v>
      </c>
      <c r="E106">
        <v>6</v>
      </c>
      <c r="F106">
        <v>1</v>
      </c>
      <c r="G106">
        <v>0</v>
      </c>
      <c r="H106">
        <v>13</v>
      </c>
      <c r="I106">
        <v>3.5</v>
      </c>
      <c r="J106">
        <v>0</v>
      </c>
      <c r="K106">
        <v>0</v>
      </c>
      <c r="L106" s="2">
        <v>0</v>
      </c>
      <c r="M106">
        <v>4</v>
      </c>
      <c r="N106" s="2">
        <v>0</v>
      </c>
      <c r="O106">
        <v>3.5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35</v>
      </c>
      <c r="B107" t="s">
        <v>304</v>
      </c>
      <c r="C107">
        <f>"HDD174V"</f>
        <v>0</v>
      </c>
      <c r="D107">
        <v>4</v>
      </c>
      <c r="E107">
        <v>0</v>
      </c>
      <c r="F107">
        <v>2</v>
      </c>
      <c r="G107">
        <v>1</v>
      </c>
      <c r="H107">
        <v>7</v>
      </c>
      <c r="I107">
        <v>1.5</v>
      </c>
      <c r="J107">
        <v>0</v>
      </c>
      <c r="K107">
        <v>0</v>
      </c>
      <c r="L107" s="2">
        <v>0</v>
      </c>
      <c r="M107">
        <v>2</v>
      </c>
      <c r="N107" s="2">
        <v>0</v>
      </c>
      <c r="O107">
        <v>3.5</v>
      </c>
      <c r="P107" t="s">
        <v>11024</v>
      </c>
      <c r="Q107">
        <v>407</v>
      </c>
      <c r="R107" t="s">
        <v>11148</v>
      </c>
      <c r="S107">
        <v>0</v>
      </c>
    </row>
    <row r="108" spans="1:19">
      <c r="A108" t="s">
        <v>35</v>
      </c>
      <c r="B108" t="s">
        <v>496</v>
      </c>
      <c r="C108">
        <f>"WPS275"</f>
        <v>0</v>
      </c>
      <c r="D108">
        <v>11</v>
      </c>
      <c r="E108">
        <v>2</v>
      </c>
      <c r="F108">
        <v>5</v>
      </c>
      <c r="G108">
        <v>0</v>
      </c>
      <c r="H108">
        <v>18</v>
      </c>
      <c r="I108">
        <v>3.5</v>
      </c>
      <c r="J108">
        <v>0</v>
      </c>
      <c r="K108">
        <v>0</v>
      </c>
      <c r="L108" s="2">
        <v>0</v>
      </c>
      <c r="M108">
        <v>4</v>
      </c>
      <c r="N108" s="2">
        <v>0</v>
      </c>
      <c r="O108">
        <v>3.5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35</v>
      </c>
      <c r="B109" t="s">
        <v>290</v>
      </c>
      <c r="C109">
        <f>"606208"</f>
        <v>0</v>
      </c>
      <c r="D109">
        <v>7</v>
      </c>
      <c r="E109">
        <v>1</v>
      </c>
      <c r="F109">
        <v>4</v>
      </c>
      <c r="G109">
        <v>1</v>
      </c>
      <c r="H109">
        <v>13</v>
      </c>
      <c r="I109">
        <v>2.5</v>
      </c>
      <c r="J109">
        <v>1</v>
      </c>
      <c r="K109">
        <v>1.575</v>
      </c>
      <c r="L109" s="2">
        <v>2</v>
      </c>
      <c r="M109">
        <v>2</v>
      </c>
      <c r="N109" s="2">
        <v>4</v>
      </c>
      <c r="O109">
        <v>3.3</v>
      </c>
      <c r="P109" t="s">
        <v>10627</v>
      </c>
      <c r="Q109">
        <v>526</v>
      </c>
      <c r="R109" t="s">
        <v>10919</v>
      </c>
      <c r="S109">
        <v>0</v>
      </c>
    </row>
    <row r="110" spans="1:19">
      <c r="A110" t="s">
        <v>35</v>
      </c>
      <c r="B110" t="s">
        <v>238</v>
      </c>
      <c r="C110">
        <f>"PP009B"</f>
        <v>0</v>
      </c>
      <c r="D110">
        <v>0</v>
      </c>
      <c r="E110">
        <v>7</v>
      </c>
      <c r="F110">
        <v>4</v>
      </c>
      <c r="G110">
        <v>1</v>
      </c>
      <c r="H110">
        <v>12</v>
      </c>
      <c r="I110">
        <v>2.5</v>
      </c>
      <c r="J110">
        <v>1</v>
      </c>
      <c r="K110">
        <v>1.98</v>
      </c>
      <c r="L110" s="2">
        <v>2</v>
      </c>
      <c r="M110">
        <v>2</v>
      </c>
      <c r="N110" s="2">
        <v>4</v>
      </c>
      <c r="O110">
        <v>3.3</v>
      </c>
      <c r="P110" t="s">
        <v>10916</v>
      </c>
      <c r="Q110">
        <v>869</v>
      </c>
      <c r="R110" t="s">
        <v>11160</v>
      </c>
      <c r="S110">
        <v>0</v>
      </c>
    </row>
    <row r="111" spans="1:19">
      <c r="A111" t="s">
        <v>35</v>
      </c>
      <c r="B111" t="s">
        <v>307</v>
      </c>
      <c r="C111">
        <f>"TC2047"</f>
        <v>0</v>
      </c>
      <c r="D111">
        <v>1</v>
      </c>
      <c r="E111">
        <v>0</v>
      </c>
      <c r="F111">
        <v>0</v>
      </c>
      <c r="G111">
        <v>1</v>
      </c>
      <c r="H111">
        <v>2</v>
      </c>
      <c r="I111">
        <v>0.5</v>
      </c>
      <c r="J111">
        <v>2</v>
      </c>
      <c r="K111">
        <v>1.17</v>
      </c>
      <c r="L111" s="2">
        <v>1</v>
      </c>
      <c r="M111">
        <v>0</v>
      </c>
      <c r="N111" s="2">
        <v>0</v>
      </c>
      <c r="O111">
        <v>3.1</v>
      </c>
      <c r="P111" t="s">
        <v>11025</v>
      </c>
      <c r="Q111">
        <v>695</v>
      </c>
      <c r="R111" t="s">
        <v>11161</v>
      </c>
      <c r="S111">
        <v>1</v>
      </c>
    </row>
    <row r="112" spans="1:19">
      <c r="A112" t="s">
        <v>35</v>
      </c>
      <c r="B112" t="s">
        <v>2147</v>
      </c>
      <c r="C112">
        <f>"8386M"</f>
        <v>0</v>
      </c>
      <c r="D112">
        <v>1</v>
      </c>
      <c r="E112">
        <v>0</v>
      </c>
      <c r="F112">
        <v>0</v>
      </c>
      <c r="G112">
        <v>1</v>
      </c>
      <c r="H112">
        <v>2</v>
      </c>
      <c r="I112">
        <v>0.5</v>
      </c>
      <c r="J112">
        <v>2</v>
      </c>
      <c r="K112">
        <v>23.22</v>
      </c>
      <c r="L112" s="2">
        <v>12</v>
      </c>
      <c r="M112">
        <v>0</v>
      </c>
      <c r="N112" s="2">
        <v>0</v>
      </c>
      <c r="O112">
        <v>3.1</v>
      </c>
      <c r="P112" t="s">
        <v>11026</v>
      </c>
      <c r="Q112">
        <v>2.322</v>
      </c>
      <c r="R112" t="s">
        <v>10266</v>
      </c>
      <c r="S112">
        <v>1</v>
      </c>
    </row>
    <row r="113" spans="1:19">
      <c r="A113" t="s">
        <v>35</v>
      </c>
      <c r="B113" t="s">
        <v>354</v>
      </c>
      <c r="C113">
        <f>"PT015SFA"</f>
        <v>0</v>
      </c>
      <c r="D113">
        <v>0</v>
      </c>
      <c r="E113">
        <v>1</v>
      </c>
      <c r="F113">
        <v>1</v>
      </c>
      <c r="G113">
        <v>1</v>
      </c>
      <c r="H113">
        <v>3</v>
      </c>
      <c r="I113">
        <v>1</v>
      </c>
      <c r="J113">
        <v>0</v>
      </c>
      <c r="K113">
        <v>0</v>
      </c>
      <c r="L113" s="2">
        <v>0</v>
      </c>
      <c r="M113">
        <v>2</v>
      </c>
      <c r="N113" s="2">
        <v>0</v>
      </c>
      <c r="O113">
        <v>3</v>
      </c>
      <c r="P113" t="s">
        <v>10322</v>
      </c>
      <c r="Q113">
        <v>261</v>
      </c>
      <c r="R113" t="s">
        <v>10266</v>
      </c>
      <c r="S113">
        <v>0</v>
      </c>
    </row>
    <row r="114" spans="1:19">
      <c r="A114" t="s">
        <v>35</v>
      </c>
      <c r="B114" t="s">
        <v>649</v>
      </c>
      <c r="C114">
        <f>"CAT001B"</f>
        <v>0</v>
      </c>
      <c r="D114">
        <v>1</v>
      </c>
      <c r="E114">
        <v>0</v>
      </c>
      <c r="F114">
        <v>4</v>
      </c>
      <c r="G114">
        <v>1</v>
      </c>
      <c r="H114">
        <v>6</v>
      </c>
      <c r="I114">
        <v>1</v>
      </c>
      <c r="J114">
        <v>0</v>
      </c>
      <c r="K114">
        <v>0</v>
      </c>
      <c r="L114" s="2">
        <v>0</v>
      </c>
      <c r="M114">
        <v>2</v>
      </c>
      <c r="N114" s="2">
        <v>0</v>
      </c>
      <c r="O114">
        <v>3</v>
      </c>
      <c r="P114" t="s">
        <v>11027</v>
      </c>
      <c r="Q114">
        <v>5.391</v>
      </c>
      <c r="R114" t="s">
        <v>181</v>
      </c>
      <c r="S114">
        <v>0</v>
      </c>
    </row>
    <row r="115" spans="1:19">
      <c r="A115" t="s">
        <v>35</v>
      </c>
      <c r="B115" t="s">
        <v>340</v>
      </c>
      <c r="C115">
        <f>"MCW156"</f>
        <v>0</v>
      </c>
      <c r="D115">
        <v>0</v>
      </c>
      <c r="E115">
        <v>1</v>
      </c>
      <c r="F115">
        <v>1</v>
      </c>
      <c r="G115">
        <v>1</v>
      </c>
      <c r="H115">
        <v>3</v>
      </c>
      <c r="I115">
        <v>1</v>
      </c>
      <c r="J115">
        <v>0</v>
      </c>
      <c r="K115">
        <v>0</v>
      </c>
      <c r="L115" s="2">
        <v>0</v>
      </c>
      <c r="M115">
        <v>2</v>
      </c>
      <c r="N115" s="2">
        <v>0</v>
      </c>
      <c r="O115">
        <v>3</v>
      </c>
      <c r="P115" t="s">
        <v>11017</v>
      </c>
      <c r="Q115">
        <v>295</v>
      </c>
      <c r="R115" t="s">
        <v>11155</v>
      </c>
      <c r="S115">
        <v>0</v>
      </c>
    </row>
    <row r="116" spans="1:19">
      <c r="A116" t="s">
        <v>35</v>
      </c>
      <c r="B116" t="s">
        <v>529</v>
      </c>
      <c r="C116">
        <f>"KX1076"</f>
        <v>0</v>
      </c>
      <c r="D116">
        <v>3</v>
      </c>
      <c r="E116">
        <v>3</v>
      </c>
      <c r="F116">
        <v>8</v>
      </c>
      <c r="G116">
        <v>0</v>
      </c>
      <c r="H116">
        <v>14</v>
      </c>
      <c r="I116">
        <v>3</v>
      </c>
      <c r="J116">
        <v>0</v>
      </c>
      <c r="K116">
        <v>0</v>
      </c>
      <c r="L116" s="2">
        <v>0</v>
      </c>
      <c r="M116">
        <v>3</v>
      </c>
      <c r="N116" s="2">
        <v>0</v>
      </c>
      <c r="O116">
        <v>3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35</v>
      </c>
      <c r="B117" t="s">
        <v>237</v>
      </c>
      <c r="C117">
        <f>"CS013"</f>
        <v>0</v>
      </c>
      <c r="D117">
        <v>0</v>
      </c>
      <c r="E117">
        <v>11</v>
      </c>
      <c r="F117">
        <v>3</v>
      </c>
      <c r="G117">
        <v>1</v>
      </c>
      <c r="H117">
        <v>15</v>
      </c>
      <c r="I117">
        <v>2</v>
      </c>
      <c r="J117">
        <v>1</v>
      </c>
      <c r="K117">
        <v>1.701</v>
      </c>
      <c r="L117" s="2">
        <v>2</v>
      </c>
      <c r="M117">
        <v>2</v>
      </c>
      <c r="N117" s="2">
        <v>4</v>
      </c>
      <c r="O117">
        <v>2.8</v>
      </c>
      <c r="P117" t="s">
        <v>11028</v>
      </c>
      <c r="Q117">
        <v>866</v>
      </c>
      <c r="R117" t="s">
        <v>11162</v>
      </c>
      <c r="S117">
        <v>0</v>
      </c>
    </row>
    <row r="118" spans="1:19">
      <c r="A118" t="s">
        <v>35</v>
      </c>
      <c r="B118" t="s">
        <v>438</v>
      </c>
      <c r="C118">
        <f>"CT174"</f>
        <v>0</v>
      </c>
      <c r="D118">
        <v>0</v>
      </c>
      <c r="E118">
        <v>0</v>
      </c>
      <c r="F118">
        <v>0</v>
      </c>
      <c r="G118">
        <v>1</v>
      </c>
      <c r="H118">
        <v>1</v>
      </c>
      <c r="I118">
        <v>0</v>
      </c>
      <c r="J118">
        <v>2</v>
      </c>
      <c r="K118">
        <v>1.53</v>
      </c>
      <c r="L118" s="2">
        <v>1</v>
      </c>
      <c r="M118">
        <v>0</v>
      </c>
      <c r="N118" s="2">
        <v>0</v>
      </c>
      <c r="O118">
        <v>2.6</v>
      </c>
      <c r="P118" t="s">
        <v>11029</v>
      </c>
      <c r="Q118">
        <v>387</v>
      </c>
      <c r="R118" t="s">
        <v>11163</v>
      </c>
      <c r="S118">
        <v>1</v>
      </c>
    </row>
    <row r="119" spans="1:19">
      <c r="A119" t="s">
        <v>35</v>
      </c>
      <c r="B119" t="s">
        <v>1699</v>
      </c>
      <c r="C119">
        <f>"TP30"</f>
        <v>0</v>
      </c>
      <c r="D119">
        <v>6</v>
      </c>
      <c r="E119">
        <v>9</v>
      </c>
      <c r="F119">
        <v>1</v>
      </c>
      <c r="G119">
        <v>2</v>
      </c>
      <c r="H119">
        <v>18</v>
      </c>
      <c r="I119">
        <v>4</v>
      </c>
      <c r="J119">
        <v>7</v>
      </c>
      <c r="K119">
        <v>27.944</v>
      </c>
      <c r="L119" s="2">
        <v>4</v>
      </c>
      <c r="M119">
        <v>0</v>
      </c>
      <c r="N119" s="2">
        <v>0</v>
      </c>
      <c r="O119">
        <v>2.6</v>
      </c>
      <c r="P119" t="s">
        <v>11030</v>
      </c>
      <c r="Q119">
        <v>2.924</v>
      </c>
      <c r="R119" t="s">
        <v>11164</v>
      </c>
      <c r="S119">
        <v>1</v>
      </c>
    </row>
    <row r="120" spans="1:19">
      <c r="A120" t="s">
        <v>35</v>
      </c>
      <c r="B120" t="s">
        <v>651</v>
      </c>
      <c r="C120">
        <f>"10215"</f>
        <v>0</v>
      </c>
      <c r="D120">
        <v>0</v>
      </c>
      <c r="E120">
        <v>0</v>
      </c>
      <c r="F120">
        <v>1</v>
      </c>
      <c r="G120">
        <v>1</v>
      </c>
      <c r="H120">
        <v>2</v>
      </c>
      <c r="I120">
        <v>0.5</v>
      </c>
      <c r="J120">
        <v>0</v>
      </c>
      <c r="K120">
        <v>0</v>
      </c>
      <c r="L120" s="2">
        <v>0</v>
      </c>
      <c r="M120">
        <v>1</v>
      </c>
      <c r="N120" s="2">
        <v>0</v>
      </c>
      <c r="O120">
        <v>2.5</v>
      </c>
      <c r="P120" t="s">
        <v>11031</v>
      </c>
      <c r="Q120">
        <v>20.289</v>
      </c>
      <c r="R120" t="s">
        <v>11165</v>
      </c>
      <c r="S120">
        <v>0</v>
      </c>
    </row>
    <row r="121" spans="1:19">
      <c r="A121" t="s">
        <v>35</v>
      </c>
      <c r="B121" t="s">
        <v>300</v>
      </c>
      <c r="C121">
        <f>"CK1022"</f>
        <v>0</v>
      </c>
      <c r="D121">
        <v>30</v>
      </c>
      <c r="E121">
        <v>10</v>
      </c>
      <c r="F121">
        <v>25</v>
      </c>
      <c r="G121">
        <v>2</v>
      </c>
      <c r="H121">
        <v>67</v>
      </c>
      <c r="I121">
        <v>17.5</v>
      </c>
      <c r="J121">
        <v>16</v>
      </c>
      <c r="K121">
        <v>13.68</v>
      </c>
      <c r="L121" s="2">
        <v>1</v>
      </c>
      <c r="M121">
        <v>2</v>
      </c>
      <c r="N121" s="2">
        <v>2</v>
      </c>
      <c r="O121">
        <v>2.300000000000001</v>
      </c>
      <c r="P121" t="s">
        <v>11032</v>
      </c>
      <c r="Q121">
        <v>458</v>
      </c>
      <c r="R121" t="s">
        <v>11105</v>
      </c>
      <c r="S121">
        <v>0</v>
      </c>
    </row>
    <row r="122" spans="1:19">
      <c r="A122" t="s">
        <v>35</v>
      </c>
      <c r="B122" t="s">
        <v>587</v>
      </c>
      <c r="C122">
        <f>"TP90"</f>
        <v>0</v>
      </c>
      <c r="D122">
        <v>6</v>
      </c>
      <c r="E122">
        <v>3</v>
      </c>
      <c r="F122">
        <v>1</v>
      </c>
      <c r="G122">
        <v>0</v>
      </c>
      <c r="H122">
        <v>10</v>
      </c>
      <c r="I122">
        <v>2</v>
      </c>
      <c r="J122">
        <v>0</v>
      </c>
      <c r="K122">
        <v>0</v>
      </c>
      <c r="L122" s="2">
        <v>0</v>
      </c>
      <c r="M122">
        <v>2</v>
      </c>
      <c r="N122" s="2">
        <v>0</v>
      </c>
      <c r="O122">
        <v>2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35</v>
      </c>
      <c r="B123" t="s">
        <v>654</v>
      </c>
      <c r="C123">
        <f>"WPS195"</f>
        <v>0</v>
      </c>
      <c r="D123">
        <v>3</v>
      </c>
      <c r="E123">
        <v>3</v>
      </c>
      <c r="F123">
        <v>1</v>
      </c>
      <c r="G123">
        <v>0</v>
      </c>
      <c r="H123">
        <v>7</v>
      </c>
      <c r="I123">
        <v>2</v>
      </c>
      <c r="J123">
        <v>0</v>
      </c>
      <c r="K123">
        <v>0</v>
      </c>
      <c r="L123" s="2">
        <v>0</v>
      </c>
      <c r="M123">
        <v>2</v>
      </c>
      <c r="N123" s="2">
        <v>0</v>
      </c>
      <c r="O123">
        <v>2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35</v>
      </c>
      <c r="B124" t="s">
        <v>603</v>
      </c>
      <c r="C124">
        <f>"D053XL"</f>
        <v>0</v>
      </c>
      <c r="D124">
        <v>0</v>
      </c>
      <c r="E124">
        <v>4</v>
      </c>
      <c r="F124">
        <v>5</v>
      </c>
      <c r="G124">
        <v>0</v>
      </c>
      <c r="H124">
        <v>9</v>
      </c>
      <c r="I124">
        <v>2</v>
      </c>
      <c r="J124">
        <v>0</v>
      </c>
      <c r="K124">
        <v>0</v>
      </c>
      <c r="L124" s="2">
        <v>0</v>
      </c>
      <c r="M124">
        <v>2</v>
      </c>
      <c r="N124" s="2">
        <v>0</v>
      </c>
      <c r="O124">
        <v>2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35</v>
      </c>
      <c r="B125" t="s">
        <v>674</v>
      </c>
      <c r="C125">
        <f>"11490"</f>
        <v>0</v>
      </c>
      <c r="D125">
        <v>2</v>
      </c>
      <c r="E125">
        <v>3</v>
      </c>
      <c r="F125">
        <v>2</v>
      </c>
      <c r="G125">
        <v>0</v>
      </c>
      <c r="H125">
        <v>7</v>
      </c>
      <c r="I125">
        <v>2</v>
      </c>
      <c r="J125">
        <v>0</v>
      </c>
      <c r="K125">
        <v>0</v>
      </c>
      <c r="L125" s="2">
        <v>0</v>
      </c>
      <c r="M125">
        <v>2</v>
      </c>
      <c r="N125" s="2">
        <v>0</v>
      </c>
      <c r="O125">
        <v>2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35</v>
      </c>
      <c r="B126" t="s">
        <v>636</v>
      </c>
      <c r="C126">
        <f>"JXL69711"</f>
        <v>0</v>
      </c>
      <c r="D126">
        <v>4</v>
      </c>
      <c r="E126">
        <v>1</v>
      </c>
      <c r="F126">
        <v>3</v>
      </c>
      <c r="G126">
        <v>0</v>
      </c>
      <c r="H126">
        <v>8</v>
      </c>
      <c r="I126">
        <v>2</v>
      </c>
      <c r="J126">
        <v>0</v>
      </c>
      <c r="K126">
        <v>0</v>
      </c>
      <c r="L126" s="2">
        <v>0</v>
      </c>
      <c r="M126">
        <v>2</v>
      </c>
      <c r="N126" s="2">
        <v>0</v>
      </c>
      <c r="O126">
        <v>2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35</v>
      </c>
      <c r="B127" t="s">
        <v>560</v>
      </c>
      <c r="C127">
        <f>"100572"</f>
        <v>0</v>
      </c>
      <c r="D127">
        <v>0</v>
      </c>
      <c r="E127">
        <v>8</v>
      </c>
      <c r="F127">
        <v>4</v>
      </c>
      <c r="G127">
        <v>0</v>
      </c>
      <c r="H127">
        <v>12</v>
      </c>
      <c r="I127">
        <v>2</v>
      </c>
      <c r="J127">
        <v>0</v>
      </c>
      <c r="K127">
        <v>0</v>
      </c>
      <c r="L127" s="2">
        <v>0</v>
      </c>
      <c r="M127">
        <v>2</v>
      </c>
      <c r="N127" s="2">
        <v>0</v>
      </c>
      <c r="O127">
        <v>2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35</v>
      </c>
      <c r="B128" t="s">
        <v>381</v>
      </c>
      <c r="C128">
        <f>"JWZ1025S"</f>
        <v>0</v>
      </c>
      <c r="D128">
        <v>0</v>
      </c>
      <c r="E128">
        <v>36</v>
      </c>
      <c r="F128">
        <v>0</v>
      </c>
      <c r="G128">
        <v>1</v>
      </c>
      <c r="H128">
        <v>37</v>
      </c>
      <c r="I128">
        <v>0.5</v>
      </c>
      <c r="J128">
        <v>3</v>
      </c>
      <c r="K128">
        <v>1.863</v>
      </c>
      <c r="L128" s="2">
        <v>1</v>
      </c>
      <c r="M128">
        <v>0</v>
      </c>
      <c r="N128" s="2">
        <v>0</v>
      </c>
      <c r="O128">
        <v>1.9</v>
      </c>
      <c r="P128" t="s">
        <v>11033</v>
      </c>
      <c r="Q128">
        <v>155</v>
      </c>
      <c r="R128" t="s">
        <v>11166</v>
      </c>
      <c r="S128">
        <v>1</v>
      </c>
    </row>
    <row r="129" spans="1:19">
      <c r="A129" t="s">
        <v>35</v>
      </c>
      <c r="B129" t="s">
        <v>1632</v>
      </c>
      <c r="C129">
        <f>"LS220"</f>
        <v>0</v>
      </c>
      <c r="D129">
        <v>4</v>
      </c>
      <c r="E129">
        <v>0</v>
      </c>
      <c r="F129">
        <v>1</v>
      </c>
      <c r="G129">
        <v>1</v>
      </c>
      <c r="H129">
        <v>6</v>
      </c>
      <c r="I129">
        <v>1</v>
      </c>
      <c r="J129">
        <v>1</v>
      </c>
      <c r="K129">
        <v>7.11</v>
      </c>
      <c r="L129" s="2">
        <v>7</v>
      </c>
      <c r="M129">
        <v>0</v>
      </c>
      <c r="N129" s="2">
        <v>0</v>
      </c>
      <c r="O129">
        <v>1.8</v>
      </c>
      <c r="P129" t="s">
        <v>11034</v>
      </c>
      <c r="Q129">
        <v>3.73</v>
      </c>
      <c r="R129" t="s">
        <v>11101</v>
      </c>
      <c r="S129">
        <v>0</v>
      </c>
    </row>
    <row r="130" spans="1:19">
      <c r="A130" t="s">
        <v>35</v>
      </c>
      <c r="B130" t="s">
        <v>1645</v>
      </c>
      <c r="C130">
        <f>"TQ25V"</f>
        <v>0</v>
      </c>
      <c r="D130">
        <v>1</v>
      </c>
      <c r="E130">
        <v>0</v>
      </c>
      <c r="F130">
        <v>1</v>
      </c>
      <c r="G130">
        <v>1</v>
      </c>
      <c r="H130">
        <v>3</v>
      </c>
      <c r="I130">
        <v>1</v>
      </c>
      <c r="J130">
        <v>1</v>
      </c>
      <c r="K130">
        <v>504</v>
      </c>
      <c r="L130" s="2">
        <v>504</v>
      </c>
      <c r="M130">
        <v>0</v>
      </c>
      <c r="N130" s="2">
        <v>0</v>
      </c>
      <c r="O130">
        <v>1.8</v>
      </c>
      <c r="P130" t="s">
        <v>11035</v>
      </c>
      <c r="Q130">
        <v>101</v>
      </c>
      <c r="R130" t="s">
        <v>10467</v>
      </c>
      <c r="S130">
        <v>0</v>
      </c>
    </row>
    <row r="131" spans="1:19">
      <c r="A131" t="s">
        <v>35</v>
      </c>
      <c r="B131" t="s">
        <v>1638</v>
      </c>
      <c r="C131">
        <f>"KF8040BE"</f>
        <v>0</v>
      </c>
      <c r="D131">
        <v>1</v>
      </c>
      <c r="E131">
        <v>1</v>
      </c>
      <c r="F131">
        <v>3</v>
      </c>
      <c r="G131">
        <v>1</v>
      </c>
      <c r="H131">
        <v>6</v>
      </c>
      <c r="I131">
        <v>1</v>
      </c>
      <c r="J131">
        <v>1</v>
      </c>
      <c r="K131">
        <v>4.41</v>
      </c>
      <c r="L131" s="2">
        <v>4</v>
      </c>
      <c r="M131">
        <v>0</v>
      </c>
      <c r="N131" s="2">
        <v>0</v>
      </c>
      <c r="O131">
        <v>1.8</v>
      </c>
      <c r="P131" t="s">
        <v>10447</v>
      </c>
      <c r="Q131">
        <v>1.464</v>
      </c>
      <c r="R131" t="s">
        <v>11167</v>
      </c>
      <c r="S131">
        <v>0</v>
      </c>
    </row>
    <row r="132" spans="1:19">
      <c r="A132" t="s">
        <v>35</v>
      </c>
      <c r="B132" t="s">
        <v>594</v>
      </c>
      <c r="C132">
        <f>"MSPB05CEL"</f>
        <v>0</v>
      </c>
      <c r="D132">
        <v>0</v>
      </c>
      <c r="E132">
        <v>7</v>
      </c>
      <c r="F132">
        <v>3</v>
      </c>
      <c r="G132">
        <v>0</v>
      </c>
      <c r="H132">
        <v>10</v>
      </c>
      <c r="I132">
        <v>1.5</v>
      </c>
      <c r="J132">
        <v>0</v>
      </c>
      <c r="K132">
        <v>0</v>
      </c>
      <c r="L132" s="2">
        <v>0</v>
      </c>
      <c r="M132">
        <v>2</v>
      </c>
      <c r="N132" s="2">
        <v>0</v>
      </c>
      <c r="O132">
        <v>1.5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35</v>
      </c>
      <c r="B133" t="s">
        <v>687</v>
      </c>
      <c r="C133">
        <f>"CL03S"</f>
        <v>0</v>
      </c>
      <c r="D133">
        <v>3</v>
      </c>
      <c r="E133">
        <v>3</v>
      </c>
      <c r="F133">
        <v>0</v>
      </c>
      <c r="G133">
        <v>0</v>
      </c>
      <c r="H133">
        <v>6</v>
      </c>
      <c r="I133">
        <v>1.5</v>
      </c>
      <c r="J133">
        <v>0</v>
      </c>
      <c r="K133">
        <v>0</v>
      </c>
      <c r="L133" s="2">
        <v>0</v>
      </c>
      <c r="M133">
        <v>2</v>
      </c>
      <c r="N133" s="2">
        <v>0</v>
      </c>
      <c r="O133">
        <v>1.5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35</v>
      </c>
      <c r="B134" t="s">
        <v>743</v>
      </c>
      <c r="C134">
        <f>"PX7206"</f>
        <v>0</v>
      </c>
      <c r="D134">
        <v>2</v>
      </c>
      <c r="E134">
        <v>1</v>
      </c>
      <c r="F134">
        <v>2</v>
      </c>
      <c r="G134">
        <v>0</v>
      </c>
      <c r="H134">
        <v>5</v>
      </c>
      <c r="I134">
        <v>1.5</v>
      </c>
      <c r="J134">
        <v>0</v>
      </c>
      <c r="K134">
        <v>0</v>
      </c>
      <c r="L134" s="2">
        <v>0</v>
      </c>
      <c r="M134">
        <v>2</v>
      </c>
      <c r="N134" s="2">
        <v>0</v>
      </c>
      <c r="O134">
        <v>1.5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35</v>
      </c>
      <c r="B135" t="s">
        <v>684</v>
      </c>
      <c r="C135">
        <f>"TF1013"</f>
        <v>0</v>
      </c>
      <c r="D135">
        <v>3</v>
      </c>
      <c r="E135">
        <v>1</v>
      </c>
      <c r="F135">
        <v>2</v>
      </c>
      <c r="G135">
        <v>0</v>
      </c>
      <c r="H135">
        <v>6</v>
      </c>
      <c r="I135">
        <v>1.5</v>
      </c>
      <c r="J135">
        <v>0</v>
      </c>
      <c r="K135">
        <v>0</v>
      </c>
      <c r="L135" s="2">
        <v>0</v>
      </c>
      <c r="M135">
        <v>2</v>
      </c>
      <c r="N135" s="2">
        <v>0</v>
      </c>
      <c r="O135">
        <v>1.5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35</v>
      </c>
      <c r="B136" t="s">
        <v>772</v>
      </c>
      <c r="C136">
        <f>"KF8804"</f>
        <v>0</v>
      </c>
      <c r="D136">
        <v>2</v>
      </c>
      <c r="E136">
        <v>2</v>
      </c>
      <c r="F136">
        <v>1</v>
      </c>
      <c r="G136">
        <v>0</v>
      </c>
      <c r="H136">
        <v>5</v>
      </c>
      <c r="I136">
        <v>1.5</v>
      </c>
      <c r="J136">
        <v>0</v>
      </c>
      <c r="K136">
        <v>0</v>
      </c>
      <c r="L136" s="2">
        <v>0</v>
      </c>
      <c r="M136">
        <v>2</v>
      </c>
      <c r="N136" s="2">
        <v>0</v>
      </c>
      <c r="O136">
        <v>1.5</v>
      </c>
      <c r="P136" t="s">
        <v>11036</v>
      </c>
      <c r="Q136">
        <v>-1.879</v>
      </c>
      <c r="R136" t="s">
        <v>11168</v>
      </c>
      <c r="S136">
        <v>0</v>
      </c>
    </row>
    <row r="137" spans="1:19">
      <c r="A137" t="s">
        <v>35</v>
      </c>
      <c r="B137" t="s">
        <v>701</v>
      </c>
      <c r="C137">
        <f>"191101S"</f>
        <v>0</v>
      </c>
      <c r="D137">
        <v>3</v>
      </c>
      <c r="E137">
        <v>2</v>
      </c>
      <c r="F137">
        <v>1</v>
      </c>
      <c r="G137">
        <v>0</v>
      </c>
      <c r="H137">
        <v>6</v>
      </c>
      <c r="I137">
        <v>1.5</v>
      </c>
      <c r="J137">
        <v>0</v>
      </c>
      <c r="K137">
        <v>0</v>
      </c>
      <c r="L137" s="2">
        <v>0</v>
      </c>
      <c r="M137">
        <v>2</v>
      </c>
      <c r="N137" s="2">
        <v>0</v>
      </c>
      <c r="O137">
        <v>1.5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35</v>
      </c>
      <c r="B138" t="s">
        <v>608</v>
      </c>
      <c r="C138">
        <f>"DGA4M"</f>
        <v>0</v>
      </c>
      <c r="D138">
        <v>0</v>
      </c>
      <c r="E138">
        <v>3</v>
      </c>
      <c r="F138">
        <v>6</v>
      </c>
      <c r="G138">
        <v>0</v>
      </c>
      <c r="H138">
        <v>9</v>
      </c>
      <c r="I138">
        <v>1.5</v>
      </c>
      <c r="J138">
        <v>0</v>
      </c>
      <c r="K138">
        <v>0</v>
      </c>
      <c r="L138" s="2">
        <v>0</v>
      </c>
      <c r="M138">
        <v>2</v>
      </c>
      <c r="N138" s="2">
        <v>0</v>
      </c>
      <c r="O138">
        <v>1.5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35</v>
      </c>
      <c r="B139" t="s">
        <v>249</v>
      </c>
      <c r="C139">
        <f>"D060M"</f>
        <v>0</v>
      </c>
      <c r="D139">
        <v>0</v>
      </c>
      <c r="E139">
        <v>0</v>
      </c>
      <c r="F139">
        <v>0</v>
      </c>
      <c r="G139">
        <v>1</v>
      </c>
      <c r="H139">
        <v>1</v>
      </c>
      <c r="I139">
        <v>0</v>
      </c>
      <c r="J139">
        <v>3</v>
      </c>
      <c r="K139">
        <v>7.074</v>
      </c>
      <c r="L139" s="2">
        <v>2</v>
      </c>
      <c r="M139">
        <v>0</v>
      </c>
      <c r="N139" s="2">
        <v>0</v>
      </c>
      <c r="O139">
        <v>1.4</v>
      </c>
      <c r="P139" t="s">
        <v>11037</v>
      </c>
      <c r="Q139">
        <v>949</v>
      </c>
      <c r="R139" t="s">
        <v>11169</v>
      </c>
      <c r="S139">
        <v>1</v>
      </c>
    </row>
    <row r="140" spans="1:19">
      <c r="A140" t="s">
        <v>35</v>
      </c>
      <c r="B140" t="s">
        <v>10216</v>
      </c>
      <c r="C140">
        <f>"D046XS"</f>
        <v>0</v>
      </c>
      <c r="D140">
        <v>0</v>
      </c>
      <c r="E140">
        <v>0</v>
      </c>
      <c r="F140">
        <v>3</v>
      </c>
      <c r="G140">
        <v>2</v>
      </c>
      <c r="H140">
        <v>5</v>
      </c>
      <c r="I140">
        <v>1</v>
      </c>
      <c r="J140">
        <v>3</v>
      </c>
      <c r="K140">
        <v>2.061</v>
      </c>
      <c r="L140" s="2">
        <v>1</v>
      </c>
      <c r="M140">
        <v>0</v>
      </c>
      <c r="N140" s="2">
        <v>0</v>
      </c>
      <c r="O140">
        <v>1.4</v>
      </c>
      <c r="P140" t="s">
        <v>11038</v>
      </c>
      <c r="Q140">
        <v>-72</v>
      </c>
      <c r="R140" t="s">
        <v>11170</v>
      </c>
      <c r="S140">
        <v>0</v>
      </c>
    </row>
    <row r="141" spans="1:19">
      <c r="A141" t="s">
        <v>35</v>
      </c>
      <c r="B141" t="s">
        <v>244</v>
      </c>
      <c r="C141">
        <f>"69711"</f>
        <v>0</v>
      </c>
      <c r="D141">
        <v>2</v>
      </c>
      <c r="E141">
        <v>7</v>
      </c>
      <c r="F141">
        <v>8</v>
      </c>
      <c r="G141">
        <v>2</v>
      </c>
      <c r="H141">
        <v>19</v>
      </c>
      <c r="I141">
        <v>4.5</v>
      </c>
      <c r="J141">
        <v>6</v>
      </c>
      <c r="K141">
        <v>5.67</v>
      </c>
      <c r="L141" s="2">
        <v>1</v>
      </c>
      <c r="M141">
        <v>0</v>
      </c>
      <c r="N141" s="2">
        <v>0</v>
      </c>
      <c r="O141">
        <v>1.300000000000001</v>
      </c>
      <c r="P141" t="s">
        <v>11039</v>
      </c>
      <c r="Q141">
        <v>950</v>
      </c>
      <c r="R141" t="s">
        <v>11171</v>
      </c>
      <c r="S141">
        <v>0</v>
      </c>
    </row>
    <row r="142" spans="1:19">
      <c r="A142" t="s">
        <v>35</v>
      </c>
      <c r="B142" t="s">
        <v>2156</v>
      </c>
      <c r="C142">
        <f>"LS209CB"</f>
        <v>0</v>
      </c>
      <c r="D142">
        <v>0</v>
      </c>
      <c r="E142">
        <v>0</v>
      </c>
      <c r="F142">
        <v>1</v>
      </c>
      <c r="G142">
        <v>1</v>
      </c>
      <c r="H142">
        <v>2</v>
      </c>
      <c r="I142">
        <v>0.5</v>
      </c>
      <c r="J142">
        <v>1</v>
      </c>
      <c r="K142">
        <v>6.75</v>
      </c>
      <c r="L142" s="2">
        <v>7</v>
      </c>
      <c r="M142">
        <v>0</v>
      </c>
      <c r="N142" s="2">
        <v>0</v>
      </c>
      <c r="O142">
        <v>1.3</v>
      </c>
      <c r="P142" t="s">
        <v>10326</v>
      </c>
      <c r="Q142">
        <v>1.35</v>
      </c>
      <c r="R142" t="s">
        <v>10266</v>
      </c>
      <c r="S142">
        <v>0</v>
      </c>
    </row>
    <row r="143" spans="1:19">
      <c r="A143" t="s">
        <v>35</v>
      </c>
      <c r="B143" t="s">
        <v>843</v>
      </c>
      <c r="C143">
        <f>"CT427"</f>
        <v>0</v>
      </c>
      <c r="D143">
        <v>2</v>
      </c>
      <c r="E143">
        <v>2</v>
      </c>
      <c r="F143">
        <v>0</v>
      </c>
      <c r="G143">
        <v>0</v>
      </c>
      <c r="H143">
        <v>4</v>
      </c>
      <c r="I143">
        <v>1</v>
      </c>
      <c r="J143">
        <v>0</v>
      </c>
      <c r="K143">
        <v>0</v>
      </c>
      <c r="L143" s="2">
        <v>0</v>
      </c>
      <c r="M143">
        <v>1</v>
      </c>
      <c r="N143" s="2">
        <v>0</v>
      </c>
      <c r="O143">
        <v>1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35</v>
      </c>
      <c r="B144" t="s">
        <v>830</v>
      </c>
      <c r="C144">
        <f>"CL02S"</f>
        <v>0</v>
      </c>
      <c r="D144">
        <v>2</v>
      </c>
      <c r="E144">
        <v>2</v>
      </c>
      <c r="F144">
        <v>0</v>
      </c>
      <c r="G144">
        <v>0</v>
      </c>
      <c r="H144">
        <v>4</v>
      </c>
      <c r="I144">
        <v>1</v>
      </c>
      <c r="J144">
        <v>0</v>
      </c>
      <c r="K144">
        <v>0</v>
      </c>
      <c r="L144" s="2">
        <v>0</v>
      </c>
      <c r="M144">
        <v>1</v>
      </c>
      <c r="N144" s="2">
        <v>0</v>
      </c>
      <c r="O144">
        <v>1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35</v>
      </c>
      <c r="B145" t="s">
        <v>841</v>
      </c>
      <c r="C145">
        <f>"TC2001STAR"</f>
        <v>0</v>
      </c>
      <c r="D145">
        <v>1</v>
      </c>
      <c r="E145">
        <v>1</v>
      </c>
      <c r="F145">
        <v>2</v>
      </c>
      <c r="G145">
        <v>0</v>
      </c>
      <c r="H145">
        <v>4</v>
      </c>
      <c r="I145">
        <v>1</v>
      </c>
      <c r="J145">
        <v>0</v>
      </c>
      <c r="K145">
        <v>0</v>
      </c>
      <c r="L145" s="2">
        <v>0</v>
      </c>
      <c r="M145">
        <v>1</v>
      </c>
      <c r="N145" s="2">
        <v>0</v>
      </c>
      <c r="O145">
        <v>1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35</v>
      </c>
      <c r="B146" t="s">
        <v>840</v>
      </c>
      <c r="C146">
        <f>"CT140ROS"</f>
        <v>0</v>
      </c>
      <c r="D146">
        <v>1</v>
      </c>
      <c r="E146">
        <v>1</v>
      </c>
      <c r="F146">
        <v>2</v>
      </c>
      <c r="G146">
        <v>0</v>
      </c>
      <c r="H146">
        <v>4</v>
      </c>
      <c r="I146">
        <v>1</v>
      </c>
      <c r="J146">
        <v>0</v>
      </c>
      <c r="K146">
        <v>0</v>
      </c>
      <c r="L146" s="2">
        <v>0</v>
      </c>
      <c r="M146">
        <v>1</v>
      </c>
      <c r="N146" s="2">
        <v>0</v>
      </c>
      <c r="O146">
        <v>1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35</v>
      </c>
      <c r="B147" t="s">
        <v>695</v>
      </c>
      <c r="C147">
        <f>"12350"</f>
        <v>0</v>
      </c>
      <c r="D147">
        <v>2</v>
      </c>
      <c r="E147">
        <v>4</v>
      </c>
      <c r="F147">
        <v>0</v>
      </c>
      <c r="G147">
        <v>0</v>
      </c>
      <c r="H147">
        <v>6</v>
      </c>
      <c r="I147">
        <v>1</v>
      </c>
      <c r="J147">
        <v>0</v>
      </c>
      <c r="K147">
        <v>0</v>
      </c>
      <c r="L147" s="2">
        <v>0</v>
      </c>
      <c r="M147">
        <v>1</v>
      </c>
      <c r="N147" s="2">
        <v>0</v>
      </c>
      <c r="O147">
        <v>1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35</v>
      </c>
      <c r="B148" t="s">
        <v>855</v>
      </c>
      <c r="C148">
        <f>"kf8091B"</f>
        <v>0</v>
      </c>
      <c r="D148">
        <v>2</v>
      </c>
      <c r="E148">
        <v>1</v>
      </c>
      <c r="F148">
        <v>1</v>
      </c>
      <c r="G148">
        <v>0</v>
      </c>
      <c r="H148">
        <v>4</v>
      </c>
      <c r="I148">
        <v>1</v>
      </c>
      <c r="J148">
        <v>0</v>
      </c>
      <c r="K148">
        <v>0</v>
      </c>
      <c r="L148" s="2">
        <v>0</v>
      </c>
      <c r="M148">
        <v>1</v>
      </c>
      <c r="N148" s="2">
        <v>0</v>
      </c>
      <c r="O148">
        <v>1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35</v>
      </c>
      <c r="B149" t="s">
        <v>800</v>
      </c>
      <c r="C149">
        <f>"LH2"</f>
        <v>0</v>
      </c>
      <c r="D149">
        <v>2</v>
      </c>
      <c r="E149">
        <v>1</v>
      </c>
      <c r="F149">
        <v>1</v>
      </c>
      <c r="G149">
        <v>0</v>
      </c>
      <c r="H149">
        <v>4</v>
      </c>
      <c r="I149">
        <v>1</v>
      </c>
      <c r="J149">
        <v>0</v>
      </c>
      <c r="K149">
        <v>0</v>
      </c>
      <c r="L149" s="2">
        <v>0</v>
      </c>
      <c r="M149">
        <v>1</v>
      </c>
      <c r="N149" s="2">
        <v>0</v>
      </c>
      <c r="O149">
        <v>1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35</v>
      </c>
      <c r="B150" t="s">
        <v>780</v>
      </c>
      <c r="C150">
        <f>"HDD168ROS"</f>
        <v>0</v>
      </c>
      <c r="D150">
        <v>2</v>
      </c>
      <c r="E150">
        <v>1</v>
      </c>
      <c r="F150">
        <v>1</v>
      </c>
      <c r="G150">
        <v>0</v>
      </c>
      <c r="H150">
        <v>4</v>
      </c>
      <c r="I150">
        <v>1</v>
      </c>
      <c r="J150">
        <v>0</v>
      </c>
      <c r="K150">
        <v>0</v>
      </c>
      <c r="L150" s="2">
        <v>0</v>
      </c>
      <c r="M150">
        <v>1</v>
      </c>
      <c r="N150" s="2">
        <v>0</v>
      </c>
      <c r="O150">
        <v>1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35</v>
      </c>
      <c r="B151" t="s">
        <v>706</v>
      </c>
      <c r="C151">
        <f>"1042EMLI"</f>
        <v>0</v>
      </c>
      <c r="D151">
        <v>4</v>
      </c>
      <c r="E151">
        <v>2</v>
      </c>
      <c r="F151">
        <v>0</v>
      </c>
      <c r="G151">
        <v>0</v>
      </c>
      <c r="H151">
        <v>6</v>
      </c>
      <c r="I151">
        <v>1</v>
      </c>
      <c r="J151">
        <v>0</v>
      </c>
      <c r="K151">
        <v>0</v>
      </c>
      <c r="L151" s="2">
        <v>0</v>
      </c>
      <c r="M151">
        <v>1</v>
      </c>
      <c r="N151" s="2">
        <v>0</v>
      </c>
      <c r="O151">
        <v>1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35</v>
      </c>
      <c r="B152" t="s">
        <v>691</v>
      </c>
      <c r="C152">
        <f>"TP190"</f>
        <v>0</v>
      </c>
      <c r="D152">
        <v>0</v>
      </c>
      <c r="E152">
        <v>2</v>
      </c>
      <c r="F152">
        <v>4</v>
      </c>
      <c r="G152">
        <v>0</v>
      </c>
      <c r="H152">
        <v>6</v>
      </c>
      <c r="I152">
        <v>1</v>
      </c>
      <c r="J152">
        <v>0</v>
      </c>
      <c r="K152">
        <v>0</v>
      </c>
      <c r="L152" s="2">
        <v>0</v>
      </c>
      <c r="M152">
        <v>1</v>
      </c>
      <c r="N152" s="2">
        <v>0</v>
      </c>
      <c r="O152">
        <v>1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35</v>
      </c>
      <c r="B153" t="s">
        <v>596</v>
      </c>
      <c r="C153">
        <f>"TC2063B"</f>
        <v>0</v>
      </c>
      <c r="D153">
        <v>8</v>
      </c>
      <c r="E153">
        <v>2</v>
      </c>
      <c r="F153">
        <v>0</v>
      </c>
      <c r="G153">
        <v>0</v>
      </c>
      <c r="H153">
        <v>10</v>
      </c>
      <c r="I153">
        <v>1</v>
      </c>
      <c r="J153">
        <v>0</v>
      </c>
      <c r="K153">
        <v>0</v>
      </c>
      <c r="L153" s="2">
        <v>0</v>
      </c>
      <c r="M153">
        <v>1</v>
      </c>
      <c r="N153" s="2">
        <v>0</v>
      </c>
      <c r="O153">
        <v>1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35</v>
      </c>
      <c r="B154" t="s">
        <v>717</v>
      </c>
      <c r="C154">
        <f>"PW2415"</f>
        <v>0</v>
      </c>
      <c r="D154">
        <v>4</v>
      </c>
      <c r="E154">
        <v>2</v>
      </c>
      <c r="F154">
        <v>0</v>
      </c>
      <c r="G154">
        <v>0</v>
      </c>
      <c r="H154">
        <v>6</v>
      </c>
      <c r="I154">
        <v>1</v>
      </c>
      <c r="J154">
        <v>0</v>
      </c>
      <c r="K154">
        <v>0</v>
      </c>
      <c r="L154" s="2">
        <v>0</v>
      </c>
      <c r="M154">
        <v>1</v>
      </c>
      <c r="N154" s="2">
        <v>0</v>
      </c>
      <c r="O154">
        <v>1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35</v>
      </c>
      <c r="B155" t="s">
        <v>829</v>
      </c>
      <c r="C155">
        <f>"2377"</f>
        <v>0</v>
      </c>
      <c r="D155">
        <v>2</v>
      </c>
      <c r="E155">
        <v>2</v>
      </c>
      <c r="F155">
        <v>0</v>
      </c>
      <c r="G155">
        <v>0</v>
      </c>
      <c r="H155">
        <v>4</v>
      </c>
      <c r="I155">
        <v>1</v>
      </c>
      <c r="J155">
        <v>0</v>
      </c>
      <c r="K155">
        <v>0</v>
      </c>
      <c r="L155" s="2">
        <v>0</v>
      </c>
      <c r="M155">
        <v>1</v>
      </c>
      <c r="N155" s="2">
        <v>0</v>
      </c>
      <c r="O155">
        <v>1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35</v>
      </c>
      <c r="B156" t="s">
        <v>793</v>
      </c>
      <c r="C156">
        <f>"48TWO"</f>
        <v>0</v>
      </c>
      <c r="D156">
        <v>2</v>
      </c>
      <c r="E156">
        <v>2</v>
      </c>
      <c r="F156">
        <v>0</v>
      </c>
      <c r="G156">
        <v>0</v>
      </c>
      <c r="H156">
        <v>4</v>
      </c>
      <c r="I156">
        <v>1</v>
      </c>
      <c r="J156">
        <v>0</v>
      </c>
      <c r="K156">
        <v>0</v>
      </c>
      <c r="L156" s="2">
        <v>0</v>
      </c>
      <c r="M156">
        <v>1</v>
      </c>
      <c r="N156" s="2">
        <v>0</v>
      </c>
      <c r="O156">
        <v>1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35</v>
      </c>
      <c r="B157" t="s">
        <v>762</v>
      </c>
      <c r="C157">
        <f>"1042EMCE"</f>
        <v>0</v>
      </c>
      <c r="D157">
        <v>3</v>
      </c>
      <c r="E157">
        <v>1</v>
      </c>
      <c r="F157">
        <v>1</v>
      </c>
      <c r="G157">
        <v>0</v>
      </c>
      <c r="H157">
        <v>5</v>
      </c>
      <c r="I157">
        <v>1</v>
      </c>
      <c r="J157">
        <v>0</v>
      </c>
      <c r="K157">
        <v>0</v>
      </c>
      <c r="L157" s="2">
        <v>0</v>
      </c>
      <c r="M157">
        <v>1</v>
      </c>
      <c r="N157" s="2">
        <v>0</v>
      </c>
      <c r="O157">
        <v>1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35</v>
      </c>
      <c r="B158" t="s">
        <v>831</v>
      </c>
      <c r="C158">
        <f>"CL01M"</f>
        <v>0</v>
      </c>
      <c r="D158">
        <v>1</v>
      </c>
      <c r="E158">
        <v>2</v>
      </c>
      <c r="F158">
        <v>1</v>
      </c>
      <c r="G158">
        <v>0</v>
      </c>
      <c r="H158">
        <v>4</v>
      </c>
      <c r="I158">
        <v>1</v>
      </c>
      <c r="J158">
        <v>0</v>
      </c>
      <c r="K158">
        <v>0</v>
      </c>
      <c r="L158" s="2">
        <v>0</v>
      </c>
      <c r="M158">
        <v>1</v>
      </c>
      <c r="N158" s="2">
        <v>0</v>
      </c>
      <c r="O158">
        <v>1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35</v>
      </c>
      <c r="B159" t="s">
        <v>741</v>
      </c>
      <c r="C159">
        <f>"TF1053"</f>
        <v>0</v>
      </c>
      <c r="D159">
        <v>2</v>
      </c>
      <c r="E159">
        <v>3</v>
      </c>
      <c r="F159">
        <v>0</v>
      </c>
      <c r="G159">
        <v>0</v>
      </c>
      <c r="H159">
        <v>5</v>
      </c>
      <c r="I159">
        <v>1</v>
      </c>
      <c r="J159">
        <v>0</v>
      </c>
      <c r="K159">
        <v>0</v>
      </c>
      <c r="L159" s="2">
        <v>0</v>
      </c>
      <c r="M159">
        <v>1</v>
      </c>
      <c r="N159" s="2">
        <v>0</v>
      </c>
      <c r="O159">
        <v>1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35</v>
      </c>
      <c r="B160" t="s">
        <v>846</v>
      </c>
      <c r="C160">
        <f>"H-GRIS"</f>
        <v>0</v>
      </c>
      <c r="D160">
        <v>2</v>
      </c>
      <c r="E160">
        <v>1</v>
      </c>
      <c r="F160">
        <v>1</v>
      </c>
      <c r="G160">
        <v>0</v>
      </c>
      <c r="H160">
        <v>4</v>
      </c>
      <c r="I160">
        <v>1</v>
      </c>
      <c r="J160">
        <v>0</v>
      </c>
      <c r="K160">
        <v>0</v>
      </c>
      <c r="L160" s="2">
        <v>0</v>
      </c>
      <c r="M160">
        <v>1</v>
      </c>
      <c r="N160" s="2">
        <v>0</v>
      </c>
      <c r="O160">
        <v>1</v>
      </c>
      <c r="P160" t="s">
        <v>100</v>
      </c>
      <c r="Q160">
        <v>0</v>
      </c>
      <c r="R160" t="s">
        <v>145</v>
      </c>
      <c r="S160">
        <v>0</v>
      </c>
    </row>
    <row r="161" spans="1:19">
      <c r="A161" t="s">
        <v>35</v>
      </c>
      <c r="B161" t="s">
        <v>619</v>
      </c>
      <c r="C161">
        <f>"TF1021"</f>
        <v>0</v>
      </c>
      <c r="D161">
        <v>1</v>
      </c>
      <c r="E161">
        <v>6</v>
      </c>
      <c r="F161">
        <v>1</v>
      </c>
      <c r="G161">
        <v>0</v>
      </c>
      <c r="H161">
        <v>8</v>
      </c>
      <c r="I161">
        <v>1</v>
      </c>
      <c r="J161">
        <v>0</v>
      </c>
      <c r="K161">
        <v>0</v>
      </c>
      <c r="L161" s="2">
        <v>0</v>
      </c>
      <c r="M161">
        <v>1</v>
      </c>
      <c r="N161" s="2">
        <v>0</v>
      </c>
      <c r="O161">
        <v>1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35</v>
      </c>
      <c r="B162" t="s">
        <v>942</v>
      </c>
      <c r="C162">
        <f>"FEP50B"</f>
        <v>0</v>
      </c>
      <c r="D162">
        <v>1</v>
      </c>
      <c r="E162">
        <v>1</v>
      </c>
      <c r="F162">
        <v>1</v>
      </c>
      <c r="G162">
        <v>0</v>
      </c>
      <c r="H162">
        <v>3</v>
      </c>
      <c r="I162">
        <v>1</v>
      </c>
      <c r="J162">
        <v>0</v>
      </c>
      <c r="K162">
        <v>0</v>
      </c>
      <c r="L162" s="2">
        <v>0</v>
      </c>
      <c r="M162">
        <v>1</v>
      </c>
      <c r="N162" s="2">
        <v>0</v>
      </c>
      <c r="O162">
        <v>1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35</v>
      </c>
      <c r="B163" t="s">
        <v>815</v>
      </c>
      <c r="C163">
        <f>"BIO08"</f>
        <v>0</v>
      </c>
      <c r="D163">
        <v>2</v>
      </c>
      <c r="E163">
        <v>2</v>
      </c>
      <c r="F163">
        <v>0</v>
      </c>
      <c r="G163">
        <v>0</v>
      </c>
      <c r="H163">
        <v>4</v>
      </c>
      <c r="I163">
        <v>1</v>
      </c>
      <c r="J163">
        <v>0</v>
      </c>
      <c r="K163">
        <v>0</v>
      </c>
      <c r="L163" s="2">
        <v>0</v>
      </c>
      <c r="M163">
        <v>1</v>
      </c>
      <c r="N163" s="2">
        <v>0</v>
      </c>
      <c r="O163">
        <v>1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35</v>
      </c>
      <c r="B164" t="s">
        <v>734</v>
      </c>
      <c r="C164">
        <f>"NO100"</f>
        <v>0</v>
      </c>
      <c r="D164">
        <v>2</v>
      </c>
      <c r="E164">
        <v>3</v>
      </c>
      <c r="F164">
        <v>0</v>
      </c>
      <c r="G164">
        <v>0</v>
      </c>
      <c r="H164">
        <v>5</v>
      </c>
      <c r="I164">
        <v>1</v>
      </c>
      <c r="J164">
        <v>0</v>
      </c>
      <c r="K164">
        <v>0</v>
      </c>
      <c r="L164" s="2">
        <v>0</v>
      </c>
      <c r="M164">
        <v>1</v>
      </c>
      <c r="N164" s="2">
        <v>0</v>
      </c>
      <c r="O164">
        <v>1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35</v>
      </c>
      <c r="B165" t="s">
        <v>767</v>
      </c>
      <c r="C165">
        <f>"SDR214"</f>
        <v>0</v>
      </c>
      <c r="D165">
        <v>3</v>
      </c>
      <c r="E165">
        <v>1</v>
      </c>
      <c r="F165">
        <v>1</v>
      </c>
      <c r="G165">
        <v>0</v>
      </c>
      <c r="H165">
        <v>5</v>
      </c>
      <c r="I165">
        <v>1</v>
      </c>
      <c r="J165">
        <v>0</v>
      </c>
      <c r="K165">
        <v>0</v>
      </c>
      <c r="L165" s="2">
        <v>0</v>
      </c>
      <c r="M165">
        <v>1</v>
      </c>
      <c r="N165" s="2">
        <v>0</v>
      </c>
      <c r="O165">
        <v>1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35</v>
      </c>
      <c r="B166" t="s">
        <v>791</v>
      </c>
      <c r="C166">
        <f>"PT001D"</f>
        <v>0</v>
      </c>
      <c r="D166">
        <v>0</v>
      </c>
      <c r="E166">
        <v>2</v>
      </c>
      <c r="F166">
        <v>2</v>
      </c>
      <c r="G166">
        <v>0</v>
      </c>
      <c r="H166">
        <v>4</v>
      </c>
      <c r="I166">
        <v>1</v>
      </c>
      <c r="J166">
        <v>0</v>
      </c>
      <c r="K166">
        <v>0</v>
      </c>
      <c r="L166" s="2">
        <v>0</v>
      </c>
      <c r="M166">
        <v>1</v>
      </c>
      <c r="N166" s="2">
        <v>0</v>
      </c>
      <c r="O166">
        <v>1</v>
      </c>
      <c r="P166" t="s">
        <v>100</v>
      </c>
      <c r="Q166">
        <v>0</v>
      </c>
      <c r="R166" t="s">
        <v>145</v>
      </c>
      <c r="S166">
        <v>0</v>
      </c>
    </row>
    <row r="167" spans="1:19">
      <c r="A167" t="s">
        <v>35</v>
      </c>
      <c r="B167" t="s">
        <v>768</v>
      </c>
      <c r="C167">
        <f>"SDR223"</f>
        <v>0</v>
      </c>
      <c r="D167">
        <v>3</v>
      </c>
      <c r="E167">
        <v>1</v>
      </c>
      <c r="F167">
        <v>1</v>
      </c>
      <c r="G167">
        <v>0</v>
      </c>
      <c r="H167">
        <v>5</v>
      </c>
      <c r="I167">
        <v>1</v>
      </c>
      <c r="J167">
        <v>0</v>
      </c>
      <c r="K167">
        <v>0</v>
      </c>
      <c r="L167" s="2">
        <v>0</v>
      </c>
      <c r="M167">
        <v>1</v>
      </c>
      <c r="N167" s="2">
        <v>0</v>
      </c>
      <c r="O167">
        <v>1</v>
      </c>
      <c r="P167" t="s">
        <v>100</v>
      </c>
      <c r="Q167">
        <v>0</v>
      </c>
      <c r="R167" t="s">
        <v>145</v>
      </c>
      <c r="S167">
        <v>0</v>
      </c>
    </row>
    <row r="168" spans="1:19">
      <c r="A168" t="s">
        <v>35</v>
      </c>
      <c r="B168" t="s">
        <v>657</v>
      </c>
      <c r="C168">
        <f>"DS42"</f>
        <v>0</v>
      </c>
      <c r="D168">
        <v>5</v>
      </c>
      <c r="E168">
        <v>0</v>
      </c>
      <c r="F168">
        <v>2</v>
      </c>
      <c r="G168">
        <v>0</v>
      </c>
      <c r="H168">
        <v>7</v>
      </c>
      <c r="I168">
        <v>1</v>
      </c>
      <c r="J168">
        <v>0</v>
      </c>
      <c r="K168">
        <v>0</v>
      </c>
      <c r="L168" s="2">
        <v>0</v>
      </c>
      <c r="M168">
        <v>1</v>
      </c>
      <c r="N168" s="2">
        <v>0</v>
      </c>
      <c r="O168">
        <v>1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35</v>
      </c>
      <c r="B169" t="s">
        <v>10217</v>
      </c>
      <c r="C169">
        <f>"HP1113XS"</f>
        <v>0</v>
      </c>
      <c r="D169">
        <v>1</v>
      </c>
      <c r="E169">
        <v>1</v>
      </c>
      <c r="F169">
        <v>2</v>
      </c>
      <c r="G169">
        <v>0</v>
      </c>
      <c r="H169">
        <v>4</v>
      </c>
      <c r="I169">
        <v>1</v>
      </c>
      <c r="J169">
        <v>0</v>
      </c>
      <c r="K169">
        <v>0</v>
      </c>
      <c r="L169" s="2">
        <v>0</v>
      </c>
      <c r="M169">
        <v>1</v>
      </c>
      <c r="N169" s="2">
        <v>0</v>
      </c>
      <c r="O169">
        <v>1</v>
      </c>
      <c r="P169" t="s">
        <v>11040</v>
      </c>
      <c r="Q169">
        <v>-396</v>
      </c>
      <c r="R169" t="s">
        <v>10266</v>
      </c>
      <c r="S169">
        <v>0</v>
      </c>
    </row>
    <row r="170" spans="1:19">
      <c r="A170" t="s">
        <v>35</v>
      </c>
      <c r="B170" t="s">
        <v>744</v>
      </c>
      <c r="C170">
        <f>"TF1022"</f>
        <v>0</v>
      </c>
      <c r="D170">
        <v>2</v>
      </c>
      <c r="E170">
        <v>3</v>
      </c>
      <c r="F170">
        <v>0</v>
      </c>
      <c r="G170">
        <v>0</v>
      </c>
      <c r="H170">
        <v>5</v>
      </c>
      <c r="I170">
        <v>1</v>
      </c>
      <c r="J170">
        <v>0</v>
      </c>
      <c r="K170">
        <v>0</v>
      </c>
      <c r="L170" s="2">
        <v>0</v>
      </c>
      <c r="M170">
        <v>1</v>
      </c>
      <c r="N170" s="2">
        <v>0</v>
      </c>
      <c r="O170">
        <v>1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35</v>
      </c>
      <c r="B171" t="s">
        <v>822</v>
      </c>
      <c r="C171">
        <f>"LS140"</f>
        <v>0</v>
      </c>
      <c r="D171">
        <v>2</v>
      </c>
      <c r="E171">
        <v>1</v>
      </c>
      <c r="F171">
        <v>1</v>
      </c>
      <c r="G171">
        <v>0</v>
      </c>
      <c r="H171">
        <v>4</v>
      </c>
      <c r="I171">
        <v>1</v>
      </c>
      <c r="J171">
        <v>0</v>
      </c>
      <c r="K171">
        <v>0</v>
      </c>
      <c r="L171" s="2">
        <v>0</v>
      </c>
      <c r="M171">
        <v>1</v>
      </c>
      <c r="N171" s="2">
        <v>0</v>
      </c>
      <c r="O171">
        <v>1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35</v>
      </c>
      <c r="B172" t="s">
        <v>819</v>
      </c>
      <c r="C172">
        <f>"10080"</f>
        <v>0</v>
      </c>
      <c r="D172">
        <v>2</v>
      </c>
      <c r="E172">
        <v>2</v>
      </c>
      <c r="F172">
        <v>0</v>
      </c>
      <c r="G172">
        <v>0</v>
      </c>
      <c r="H172">
        <v>4</v>
      </c>
      <c r="I172">
        <v>1</v>
      </c>
      <c r="J172">
        <v>0</v>
      </c>
      <c r="K172">
        <v>0</v>
      </c>
      <c r="L172" s="2">
        <v>0</v>
      </c>
      <c r="M172">
        <v>1</v>
      </c>
      <c r="N172" s="2">
        <v>0</v>
      </c>
      <c r="O172">
        <v>1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35</v>
      </c>
      <c r="B173" t="s">
        <v>439</v>
      </c>
      <c r="C173">
        <f>"10097"</f>
        <v>0</v>
      </c>
      <c r="D173">
        <v>2</v>
      </c>
      <c r="E173">
        <v>25</v>
      </c>
      <c r="F173">
        <v>0</v>
      </c>
      <c r="G173">
        <v>0</v>
      </c>
      <c r="H173">
        <v>27</v>
      </c>
      <c r="I173">
        <v>1</v>
      </c>
      <c r="J173">
        <v>0</v>
      </c>
      <c r="K173">
        <v>0</v>
      </c>
      <c r="L173" s="2">
        <v>0</v>
      </c>
      <c r="M173">
        <v>1</v>
      </c>
      <c r="N173" s="2">
        <v>0</v>
      </c>
      <c r="O173">
        <v>1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35</v>
      </c>
      <c r="B174" t="s">
        <v>705</v>
      </c>
      <c r="C174">
        <f>"D069M"</f>
        <v>0</v>
      </c>
      <c r="D174">
        <v>4</v>
      </c>
      <c r="E174">
        <v>1</v>
      </c>
      <c r="F174">
        <v>1</v>
      </c>
      <c r="G174">
        <v>0</v>
      </c>
      <c r="H174">
        <v>6</v>
      </c>
      <c r="I174">
        <v>1</v>
      </c>
      <c r="J174">
        <v>0</v>
      </c>
      <c r="K174">
        <v>0</v>
      </c>
      <c r="L174" s="2">
        <v>0</v>
      </c>
      <c r="M174">
        <v>1</v>
      </c>
      <c r="N174" s="2">
        <v>0</v>
      </c>
      <c r="O174">
        <v>1</v>
      </c>
      <c r="P174" t="s">
        <v>100</v>
      </c>
      <c r="Q174">
        <v>0</v>
      </c>
      <c r="R174" t="s">
        <v>145</v>
      </c>
      <c r="S174">
        <v>0</v>
      </c>
    </row>
    <row r="175" spans="1:19">
      <c r="A175" t="s">
        <v>35</v>
      </c>
      <c r="B175" t="s">
        <v>605</v>
      </c>
      <c r="C175">
        <f>"MSPB05G"</f>
        <v>0</v>
      </c>
      <c r="D175">
        <v>0</v>
      </c>
      <c r="E175">
        <v>7</v>
      </c>
      <c r="F175">
        <v>2</v>
      </c>
      <c r="G175">
        <v>0</v>
      </c>
      <c r="H175">
        <v>9</v>
      </c>
      <c r="I175">
        <v>1</v>
      </c>
      <c r="J175">
        <v>0</v>
      </c>
      <c r="K175">
        <v>0</v>
      </c>
      <c r="L175" s="2">
        <v>0</v>
      </c>
      <c r="M175">
        <v>1</v>
      </c>
      <c r="N175" s="2">
        <v>0</v>
      </c>
      <c r="O175">
        <v>1</v>
      </c>
      <c r="P175" t="s">
        <v>100</v>
      </c>
      <c r="Q175">
        <v>0</v>
      </c>
      <c r="R175" t="s">
        <v>145</v>
      </c>
      <c r="S175">
        <v>0</v>
      </c>
    </row>
    <row r="176" spans="1:19">
      <c r="A176" t="s">
        <v>35</v>
      </c>
      <c r="B176" t="s">
        <v>721</v>
      </c>
      <c r="C176">
        <f>"MSPB05C"</f>
        <v>0</v>
      </c>
      <c r="D176">
        <v>0</v>
      </c>
      <c r="E176">
        <v>4</v>
      </c>
      <c r="F176">
        <v>2</v>
      </c>
      <c r="G176">
        <v>0</v>
      </c>
      <c r="H176">
        <v>6</v>
      </c>
      <c r="I176">
        <v>1</v>
      </c>
      <c r="J176">
        <v>0</v>
      </c>
      <c r="K176">
        <v>0</v>
      </c>
      <c r="L176" s="2">
        <v>0</v>
      </c>
      <c r="M176">
        <v>1</v>
      </c>
      <c r="N176" s="2">
        <v>0</v>
      </c>
      <c r="O176">
        <v>1</v>
      </c>
      <c r="P176" t="s">
        <v>100</v>
      </c>
      <c r="Q176">
        <v>0</v>
      </c>
      <c r="R176" t="s">
        <v>145</v>
      </c>
      <c r="S176">
        <v>0</v>
      </c>
    </row>
    <row r="177" spans="1:19">
      <c r="A177" t="s">
        <v>35</v>
      </c>
      <c r="B177" t="s">
        <v>621</v>
      </c>
      <c r="C177">
        <f>"MSPB03R"</f>
        <v>0</v>
      </c>
      <c r="D177">
        <v>2</v>
      </c>
      <c r="E177">
        <v>6</v>
      </c>
      <c r="F177">
        <v>0</v>
      </c>
      <c r="G177">
        <v>0</v>
      </c>
      <c r="H177">
        <v>8</v>
      </c>
      <c r="I177">
        <v>1</v>
      </c>
      <c r="J177">
        <v>0</v>
      </c>
      <c r="K177">
        <v>0</v>
      </c>
      <c r="L177" s="2">
        <v>0</v>
      </c>
      <c r="M177">
        <v>1</v>
      </c>
      <c r="N177" s="2">
        <v>0</v>
      </c>
      <c r="O177">
        <v>1</v>
      </c>
      <c r="P177" t="s">
        <v>100</v>
      </c>
      <c r="Q177">
        <v>0</v>
      </c>
      <c r="R177" t="s">
        <v>145</v>
      </c>
      <c r="S177">
        <v>0</v>
      </c>
    </row>
    <row r="178" spans="1:19">
      <c r="A178" t="s">
        <v>35</v>
      </c>
      <c r="B178" t="s">
        <v>792</v>
      </c>
      <c r="C178">
        <f>"MSPB03C"</f>
        <v>0</v>
      </c>
      <c r="D178">
        <v>1</v>
      </c>
      <c r="E178">
        <v>2</v>
      </c>
      <c r="F178">
        <v>1</v>
      </c>
      <c r="G178">
        <v>0</v>
      </c>
      <c r="H178">
        <v>4</v>
      </c>
      <c r="I178">
        <v>1</v>
      </c>
      <c r="J178">
        <v>0</v>
      </c>
      <c r="K178">
        <v>0</v>
      </c>
      <c r="L178" s="2">
        <v>0</v>
      </c>
      <c r="M178">
        <v>1</v>
      </c>
      <c r="N178" s="2">
        <v>0</v>
      </c>
      <c r="O178">
        <v>1</v>
      </c>
      <c r="P178" t="s">
        <v>100</v>
      </c>
      <c r="Q178">
        <v>0</v>
      </c>
      <c r="R178" t="s">
        <v>145</v>
      </c>
      <c r="S178">
        <v>0</v>
      </c>
    </row>
    <row r="179" spans="1:19">
      <c r="A179" t="s">
        <v>35</v>
      </c>
      <c r="B179" t="s">
        <v>1592</v>
      </c>
      <c r="C179">
        <f>"J10"</f>
        <v>0</v>
      </c>
      <c r="D179">
        <v>4</v>
      </c>
      <c r="E179">
        <v>3</v>
      </c>
      <c r="F179">
        <v>1</v>
      </c>
      <c r="G179">
        <v>0</v>
      </c>
      <c r="H179">
        <v>8</v>
      </c>
      <c r="I179">
        <v>2</v>
      </c>
      <c r="J179">
        <v>1</v>
      </c>
      <c r="K179">
        <v>990</v>
      </c>
      <c r="L179" s="2">
        <v>990</v>
      </c>
      <c r="M179">
        <v>1</v>
      </c>
      <c r="N179" s="2">
        <v>990</v>
      </c>
      <c r="O179">
        <v>0.8</v>
      </c>
      <c r="P179" t="s">
        <v>100</v>
      </c>
      <c r="Q179">
        <v>0</v>
      </c>
      <c r="R179" t="s">
        <v>145</v>
      </c>
      <c r="S179">
        <v>0</v>
      </c>
    </row>
    <row r="180" spans="1:19">
      <c r="A180" t="s">
        <v>35</v>
      </c>
      <c r="B180" t="s">
        <v>1129</v>
      </c>
      <c r="C180">
        <f>"9001162V"</f>
        <v>0</v>
      </c>
      <c r="D180">
        <v>0</v>
      </c>
      <c r="E180">
        <v>2</v>
      </c>
      <c r="F180">
        <v>0</v>
      </c>
      <c r="G180">
        <v>1</v>
      </c>
      <c r="H180">
        <v>3</v>
      </c>
      <c r="I180">
        <v>0.5</v>
      </c>
      <c r="J180">
        <v>4</v>
      </c>
      <c r="K180">
        <v>4.572</v>
      </c>
      <c r="L180" s="2">
        <v>1</v>
      </c>
      <c r="M180">
        <v>0</v>
      </c>
      <c r="N180" s="2">
        <v>0</v>
      </c>
      <c r="O180">
        <v>0.7000000000000002</v>
      </c>
      <c r="P180" t="s">
        <v>10995</v>
      </c>
      <c r="Q180">
        <v>277</v>
      </c>
      <c r="R180" t="s">
        <v>11136</v>
      </c>
      <c r="S180">
        <v>1</v>
      </c>
    </row>
    <row r="181" spans="1:19">
      <c r="A181" t="s">
        <v>35</v>
      </c>
      <c r="B181" t="s">
        <v>10218</v>
      </c>
      <c r="C181">
        <f>"FEP60VO"</f>
        <v>0</v>
      </c>
      <c r="D181">
        <v>1</v>
      </c>
      <c r="E181">
        <v>0</v>
      </c>
      <c r="F181">
        <v>0</v>
      </c>
      <c r="G181">
        <v>1</v>
      </c>
      <c r="H181">
        <v>2</v>
      </c>
      <c r="I181">
        <v>0.5</v>
      </c>
      <c r="J181">
        <v>4</v>
      </c>
      <c r="K181">
        <v>33.48</v>
      </c>
      <c r="L181" s="2">
        <v>8</v>
      </c>
      <c r="M181">
        <v>0</v>
      </c>
      <c r="N181" s="2">
        <v>0</v>
      </c>
      <c r="O181">
        <v>0.7000000000000002</v>
      </c>
      <c r="P181" t="s">
        <v>10242</v>
      </c>
      <c r="Q181">
        <v>-156</v>
      </c>
      <c r="R181" t="s">
        <v>11172</v>
      </c>
      <c r="S181">
        <v>1</v>
      </c>
    </row>
    <row r="182" spans="1:19">
      <c r="A182" t="s">
        <v>35</v>
      </c>
      <c r="B182" t="s">
        <v>1844</v>
      </c>
      <c r="C182">
        <f>"3103LI"</f>
        <v>0</v>
      </c>
      <c r="D182">
        <v>0</v>
      </c>
      <c r="E182">
        <v>1</v>
      </c>
      <c r="F182">
        <v>3</v>
      </c>
      <c r="G182">
        <v>2</v>
      </c>
      <c r="H182">
        <v>6</v>
      </c>
      <c r="I182">
        <v>1.5</v>
      </c>
      <c r="J182">
        <v>4</v>
      </c>
      <c r="K182">
        <v>32.06</v>
      </c>
      <c r="L182" s="2">
        <v>8</v>
      </c>
      <c r="M182">
        <v>0</v>
      </c>
      <c r="N182" s="2">
        <v>0</v>
      </c>
      <c r="O182">
        <v>0.7000000000000002</v>
      </c>
      <c r="P182" t="s">
        <v>10501</v>
      </c>
      <c r="Q182">
        <v>7.61</v>
      </c>
      <c r="R182" t="s">
        <v>11173</v>
      </c>
      <c r="S182">
        <v>0</v>
      </c>
    </row>
    <row r="183" spans="1:19">
      <c r="A183" t="s">
        <v>35</v>
      </c>
      <c r="B183" t="s">
        <v>1557</v>
      </c>
      <c r="C183">
        <f>"ER006"</f>
        <v>0</v>
      </c>
      <c r="D183">
        <v>2</v>
      </c>
      <c r="E183">
        <v>0</v>
      </c>
      <c r="F183">
        <v>1</v>
      </c>
      <c r="G183">
        <v>1</v>
      </c>
      <c r="H183">
        <v>4</v>
      </c>
      <c r="I183">
        <v>1</v>
      </c>
      <c r="J183">
        <v>2</v>
      </c>
      <c r="K183">
        <v>8.82</v>
      </c>
      <c r="L183" s="2">
        <v>4</v>
      </c>
      <c r="M183">
        <v>0</v>
      </c>
      <c r="N183" s="2">
        <v>0</v>
      </c>
      <c r="O183">
        <v>0.6000000000000001</v>
      </c>
      <c r="P183" t="s">
        <v>10446</v>
      </c>
      <c r="Q183">
        <v>203</v>
      </c>
      <c r="R183" t="s">
        <v>11174</v>
      </c>
      <c r="S183">
        <v>0</v>
      </c>
    </row>
    <row r="184" spans="1:19">
      <c r="A184" t="s">
        <v>35</v>
      </c>
      <c r="B184" t="s">
        <v>1948</v>
      </c>
      <c r="C184">
        <f>"D046S"</f>
        <v>0</v>
      </c>
      <c r="D184">
        <v>1</v>
      </c>
      <c r="E184">
        <v>1</v>
      </c>
      <c r="F184">
        <v>1</v>
      </c>
      <c r="G184">
        <v>1</v>
      </c>
      <c r="H184">
        <v>4</v>
      </c>
      <c r="I184">
        <v>1</v>
      </c>
      <c r="J184">
        <v>2</v>
      </c>
      <c r="K184">
        <v>1.602</v>
      </c>
      <c r="L184" s="2">
        <v>1</v>
      </c>
      <c r="M184">
        <v>0</v>
      </c>
      <c r="N184" s="2">
        <v>0</v>
      </c>
      <c r="O184">
        <v>0.6000000000000001</v>
      </c>
      <c r="P184" t="s">
        <v>10916</v>
      </c>
      <c r="Q184">
        <v>2.048</v>
      </c>
      <c r="R184" t="s">
        <v>11175</v>
      </c>
      <c r="S184">
        <v>0</v>
      </c>
    </row>
    <row r="185" spans="1:19">
      <c r="A185" t="s">
        <v>35</v>
      </c>
      <c r="B185" t="s">
        <v>588</v>
      </c>
      <c r="C185">
        <f>"ke4803"</f>
        <v>0</v>
      </c>
      <c r="D185">
        <v>9</v>
      </c>
      <c r="E185">
        <v>1</v>
      </c>
      <c r="F185">
        <v>0</v>
      </c>
      <c r="G185">
        <v>0</v>
      </c>
      <c r="H185">
        <v>10</v>
      </c>
      <c r="I185">
        <v>0.5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0.5</v>
      </c>
      <c r="P185" t="s">
        <v>100</v>
      </c>
      <c r="Q185">
        <v>0</v>
      </c>
      <c r="R185" t="s">
        <v>145</v>
      </c>
      <c r="S185">
        <v>0</v>
      </c>
    </row>
    <row r="186" spans="1:19">
      <c r="A186" t="s">
        <v>35</v>
      </c>
      <c r="B186" t="s">
        <v>927</v>
      </c>
      <c r="C186">
        <f>"TQ25R"</f>
        <v>0</v>
      </c>
      <c r="D186">
        <v>2</v>
      </c>
      <c r="E186">
        <v>1</v>
      </c>
      <c r="F186">
        <v>0</v>
      </c>
      <c r="G186">
        <v>0</v>
      </c>
      <c r="H186">
        <v>3</v>
      </c>
      <c r="I186">
        <v>0.5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0.5</v>
      </c>
      <c r="P186" t="s">
        <v>100</v>
      </c>
      <c r="Q186">
        <v>0</v>
      </c>
      <c r="R186" t="s">
        <v>145</v>
      </c>
      <c r="S186">
        <v>0</v>
      </c>
    </row>
    <row r="187" spans="1:19">
      <c r="A187" t="s">
        <v>35</v>
      </c>
      <c r="B187" t="s">
        <v>794</v>
      </c>
      <c r="C187">
        <f>"TF1062"</f>
        <v>0</v>
      </c>
      <c r="D187">
        <v>0</v>
      </c>
      <c r="E187">
        <v>1</v>
      </c>
      <c r="F187">
        <v>3</v>
      </c>
      <c r="G187">
        <v>0</v>
      </c>
      <c r="H187">
        <v>4</v>
      </c>
      <c r="I187">
        <v>0.5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0.5</v>
      </c>
      <c r="P187" t="s">
        <v>100</v>
      </c>
      <c r="Q187">
        <v>0</v>
      </c>
      <c r="R187" t="s">
        <v>145</v>
      </c>
      <c r="S187">
        <v>0</v>
      </c>
    </row>
    <row r="188" spans="1:19">
      <c r="A188" t="s">
        <v>35</v>
      </c>
      <c r="B188" t="s">
        <v>858</v>
      </c>
      <c r="C188">
        <f>"1040HIELO"</f>
        <v>0</v>
      </c>
      <c r="D188">
        <v>0</v>
      </c>
      <c r="E188">
        <v>1</v>
      </c>
      <c r="F188">
        <v>3</v>
      </c>
      <c r="G188">
        <v>0</v>
      </c>
      <c r="H188">
        <v>4</v>
      </c>
      <c r="I188">
        <v>0.5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0.5</v>
      </c>
      <c r="P188" t="s">
        <v>100</v>
      </c>
      <c r="Q188">
        <v>0</v>
      </c>
      <c r="R188" t="s">
        <v>145</v>
      </c>
      <c r="S188">
        <v>0</v>
      </c>
    </row>
    <row r="189" spans="1:19">
      <c r="A189" t="s">
        <v>35</v>
      </c>
      <c r="B189" t="s">
        <v>1027</v>
      </c>
      <c r="C189">
        <f>"TQ26R"</f>
        <v>0</v>
      </c>
      <c r="D189">
        <v>1</v>
      </c>
      <c r="E189">
        <v>1</v>
      </c>
      <c r="F189">
        <v>0</v>
      </c>
      <c r="G189">
        <v>0</v>
      </c>
      <c r="H189">
        <v>2</v>
      </c>
      <c r="I189">
        <v>0.5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0.5</v>
      </c>
      <c r="P189" t="s">
        <v>100</v>
      </c>
      <c r="Q189">
        <v>0</v>
      </c>
      <c r="R189" t="s">
        <v>145</v>
      </c>
      <c r="S189">
        <v>0</v>
      </c>
    </row>
    <row r="190" spans="1:19">
      <c r="A190" t="s">
        <v>35</v>
      </c>
      <c r="B190" t="s">
        <v>1067</v>
      </c>
      <c r="C190">
        <f>"FV001"</f>
        <v>0</v>
      </c>
      <c r="D190">
        <v>1</v>
      </c>
      <c r="E190">
        <v>1</v>
      </c>
      <c r="F190">
        <v>0</v>
      </c>
      <c r="G190">
        <v>0</v>
      </c>
      <c r="H190">
        <v>2</v>
      </c>
      <c r="I190">
        <v>0.5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0.5</v>
      </c>
      <c r="P190" t="s">
        <v>100</v>
      </c>
      <c r="Q190">
        <v>0</v>
      </c>
      <c r="R190" t="s">
        <v>145</v>
      </c>
      <c r="S190">
        <v>0</v>
      </c>
    </row>
    <row r="191" spans="1:19">
      <c r="A191" t="s">
        <v>35</v>
      </c>
      <c r="B191" t="s">
        <v>658</v>
      </c>
      <c r="C191">
        <f>"JWZ1052M"</f>
        <v>0</v>
      </c>
      <c r="D191">
        <v>1</v>
      </c>
      <c r="E191">
        <v>0</v>
      </c>
      <c r="F191">
        <v>6</v>
      </c>
      <c r="G191">
        <v>0</v>
      </c>
      <c r="H191">
        <v>7</v>
      </c>
      <c r="I191">
        <v>0.5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0.5</v>
      </c>
      <c r="P191" t="s">
        <v>100</v>
      </c>
      <c r="Q191">
        <v>0</v>
      </c>
      <c r="R191" t="s">
        <v>145</v>
      </c>
      <c r="S191">
        <v>0</v>
      </c>
    </row>
    <row r="192" spans="1:19">
      <c r="A192" t="s">
        <v>35</v>
      </c>
      <c r="B192" t="s">
        <v>896</v>
      </c>
      <c r="C192">
        <f>"RJ825R"</f>
        <v>0</v>
      </c>
      <c r="D192">
        <v>1</v>
      </c>
      <c r="E192">
        <v>2</v>
      </c>
      <c r="F192">
        <v>0</v>
      </c>
      <c r="G192">
        <v>0</v>
      </c>
      <c r="H192">
        <v>3</v>
      </c>
      <c r="I192">
        <v>0.5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0.5</v>
      </c>
      <c r="P192" t="s">
        <v>100</v>
      </c>
      <c r="Q192">
        <v>0</v>
      </c>
      <c r="R192" t="s">
        <v>145</v>
      </c>
      <c r="S192">
        <v>0</v>
      </c>
    </row>
    <row r="193" spans="1:19">
      <c r="A193" t="s">
        <v>35</v>
      </c>
      <c r="B193" t="s">
        <v>1045</v>
      </c>
      <c r="C193">
        <f>"KW6005SA"</f>
        <v>0</v>
      </c>
      <c r="D193">
        <v>1</v>
      </c>
      <c r="E193">
        <v>1</v>
      </c>
      <c r="F193">
        <v>0</v>
      </c>
      <c r="G193">
        <v>0</v>
      </c>
      <c r="H193">
        <v>2</v>
      </c>
      <c r="I193">
        <v>0.5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0.5</v>
      </c>
      <c r="P193" t="s">
        <v>100</v>
      </c>
      <c r="Q193">
        <v>0</v>
      </c>
      <c r="R193" t="s">
        <v>145</v>
      </c>
      <c r="S193">
        <v>0</v>
      </c>
    </row>
    <row r="194" spans="1:19">
      <c r="A194" t="s">
        <v>35</v>
      </c>
      <c r="B194" t="s">
        <v>932</v>
      </c>
      <c r="C194">
        <f>"CP006D"</f>
        <v>0</v>
      </c>
      <c r="D194">
        <v>1</v>
      </c>
      <c r="E194">
        <v>2</v>
      </c>
      <c r="F194">
        <v>0</v>
      </c>
      <c r="G194">
        <v>0</v>
      </c>
      <c r="H194">
        <v>3</v>
      </c>
      <c r="I194">
        <v>0.5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0.5</v>
      </c>
      <c r="P194" t="s">
        <v>100</v>
      </c>
      <c r="Q194">
        <v>0</v>
      </c>
      <c r="R194" t="s">
        <v>145</v>
      </c>
      <c r="S194">
        <v>0</v>
      </c>
    </row>
    <row r="195" spans="1:19">
      <c r="A195" t="s">
        <v>35</v>
      </c>
      <c r="B195" t="s">
        <v>899</v>
      </c>
      <c r="C195">
        <f>"9001162R"</f>
        <v>0</v>
      </c>
      <c r="D195">
        <v>2</v>
      </c>
      <c r="E195">
        <v>1</v>
      </c>
      <c r="F195">
        <v>0</v>
      </c>
      <c r="G195">
        <v>0</v>
      </c>
      <c r="H195">
        <v>3</v>
      </c>
      <c r="I195">
        <v>0.5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0.5</v>
      </c>
      <c r="P195" t="s">
        <v>100</v>
      </c>
      <c r="Q195">
        <v>0</v>
      </c>
      <c r="R195" t="s">
        <v>145</v>
      </c>
      <c r="S195">
        <v>0</v>
      </c>
    </row>
    <row r="196" spans="1:19">
      <c r="A196" t="s">
        <v>35</v>
      </c>
      <c r="B196" t="s">
        <v>1102</v>
      </c>
      <c r="C196">
        <f>"BIO01"</f>
        <v>0</v>
      </c>
      <c r="D196">
        <v>1</v>
      </c>
      <c r="E196">
        <v>1</v>
      </c>
      <c r="F196">
        <v>0</v>
      </c>
      <c r="G196">
        <v>0</v>
      </c>
      <c r="H196">
        <v>2</v>
      </c>
      <c r="I196">
        <v>0.5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0.5</v>
      </c>
      <c r="P196" t="s">
        <v>100</v>
      </c>
      <c r="Q196">
        <v>0</v>
      </c>
      <c r="R196" t="s">
        <v>145</v>
      </c>
      <c r="S196">
        <v>0</v>
      </c>
    </row>
    <row r="197" spans="1:19">
      <c r="A197" t="s">
        <v>35</v>
      </c>
      <c r="B197" t="s">
        <v>901</v>
      </c>
      <c r="C197">
        <f>"9001161G"</f>
        <v>0</v>
      </c>
      <c r="D197">
        <v>2</v>
      </c>
      <c r="E197">
        <v>0</v>
      </c>
      <c r="F197">
        <v>1</v>
      </c>
      <c r="G197">
        <v>0</v>
      </c>
      <c r="H197">
        <v>3</v>
      </c>
      <c r="I197">
        <v>0.5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0.5</v>
      </c>
      <c r="P197" t="s">
        <v>100</v>
      </c>
      <c r="Q197">
        <v>0</v>
      </c>
      <c r="R197" t="s">
        <v>145</v>
      </c>
      <c r="S197">
        <v>0</v>
      </c>
    </row>
    <row r="198" spans="1:19">
      <c r="A198" t="s">
        <v>35</v>
      </c>
      <c r="B198" t="s">
        <v>946</v>
      </c>
      <c r="C198">
        <f>"BIO16"</f>
        <v>0</v>
      </c>
      <c r="D198">
        <v>2</v>
      </c>
      <c r="E198">
        <v>1</v>
      </c>
      <c r="F198">
        <v>0</v>
      </c>
      <c r="G198">
        <v>0</v>
      </c>
      <c r="H198">
        <v>3</v>
      </c>
      <c r="I198">
        <v>0.5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0.5</v>
      </c>
      <c r="P198" t="s">
        <v>100</v>
      </c>
      <c r="Q198">
        <v>0</v>
      </c>
      <c r="R198" t="s">
        <v>145</v>
      </c>
      <c r="S198">
        <v>0</v>
      </c>
    </row>
    <row r="199" spans="1:19">
      <c r="A199" t="s">
        <v>35</v>
      </c>
      <c r="B199" t="s">
        <v>854</v>
      </c>
      <c r="C199">
        <f>"HP111XXS"</f>
        <v>0</v>
      </c>
      <c r="D199">
        <v>1</v>
      </c>
      <c r="E199">
        <v>3</v>
      </c>
      <c r="F199">
        <v>0</v>
      </c>
      <c r="G199">
        <v>0</v>
      </c>
      <c r="H199">
        <v>4</v>
      </c>
      <c r="I199">
        <v>0.5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0.5</v>
      </c>
      <c r="P199" t="s">
        <v>100</v>
      </c>
      <c r="Q199">
        <v>0</v>
      </c>
      <c r="R199" t="s">
        <v>145</v>
      </c>
      <c r="S199">
        <v>0</v>
      </c>
    </row>
    <row r="200" spans="1:19">
      <c r="A200" t="s">
        <v>35</v>
      </c>
      <c r="B200" t="s">
        <v>434</v>
      </c>
      <c r="C200">
        <f>"JWZ1032M"</f>
        <v>0</v>
      </c>
      <c r="D200">
        <v>1</v>
      </c>
      <c r="E200">
        <v>0</v>
      </c>
      <c r="F200">
        <v>28</v>
      </c>
      <c r="G200">
        <v>0</v>
      </c>
      <c r="H200">
        <v>29</v>
      </c>
      <c r="I200">
        <v>0.5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0.5</v>
      </c>
      <c r="P200" t="s">
        <v>100</v>
      </c>
      <c r="Q200">
        <v>0</v>
      </c>
      <c r="R200" t="s">
        <v>145</v>
      </c>
      <c r="S200">
        <v>0</v>
      </c>
    </row>
    <row r="201" spans="1:19">
      <c r="A201" t="s">
        <v>35</v>
      </c>
      <c r="B201" t="s">
        <v>1131</v>
      </c>
      <c r="C201">
        <f>"FEP60RC"</f>
        <v>0</v>
      </c>
      <c r="D201">
        <v>0</v>
      </c>
      <c r="E201">
        <v>1</v>
      </c>
      <c r="F201">
        <v>1</v>
      </c>
      <c r="G201">
        <v>0</v>
      </c>
      <c r="H201">
        <v>2</v>
      </c>
      <c r="I201">
        <v>0.5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0.5</v>
      </c>
      <c r="P201" t="s">
        <v>10617</v>
      </c>
      <c r="Q201">
        <v>-1.285</v>
      </c>
      <c r="R201" t="s">
        <v>11176</v>
      </c>
      <c r="S201">
        <v>0</v>
      </c>
    </row>
    <row r="202" spans="1:19">
      <c r="A202" t="s">
        <v>35</v>
      </c>
      <c r="B202" t="s">
        <v>1028</v>
      </c>
      <c r="C202">
        <f>"TQ24V"</f>
        <v>0</v>
      </c>
      <c r="D202">
        <v>1</v>
      </c>
      <c r="E202">
        <v>0</v>
      </c>
      <c r="F202">
        <v>1</v>
      </c>
      <c r="G202">
        <v>0</v>
      </c>
      <c r="H202">
        <v>2</v>
      </c>
      <c r="I202">
        <v>0.5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0.5</v>
      </c>
      <c r="P202" t="s">
        <v>100</v>
      </c>
      <c r="Q202">
        <v>0</v>
      </c>
      <c r="R202" t="s">
        <v>145</v>
      </c>
      <c r="S202">
        <v>0</v>
      </c>
    </row>
    <row r="203" spans="1:19">
      <c r="A203" t="s">
        <v>35</v>
      </c>
      <c r="B203" t="s">
        <v>754</v>
      </c>
      <c r="C203">
        <f>"LH3"</f>
        <v>0</v>
      </c>
      <c r="D203">
        <v>0</v>
      </c>
      <c r="E203">
        <v>1</v>
      </c>
      <c r="F203">
        <v>4</v>
      </c>
      <c r="G203">
        <v>0</v>
      </c>
      <c r="H203">
        <v>5</v>
      </c>
      <c r="I203">
        <v>0.5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0.5</v>
      </c>
      <c r="P203" t="s">
        <v>100</v>
      </c>
      <c r="Q203">
        <v>0</v>
      </c>
      <c r="R203" t="s">
        <v>145</v>
      </c>
      <c r="S203">
        <v>0</v>
      </c>
    </row>
    <row r="204" spans="1:19">
      <c r="A204" t="s">
        <v>35</v>
      </c>
      <c r="B204" t="s">
        <v>849</v>
      </c>
      <c r="C204">
        <f>"TF1052"</f>
        <v>0</v>
      </c>
      <c r="D204">
        <v>1</v>
      </c>
      <c r="E204">
        <v>0</v>
      </c>
      <c r="F204">
        <v>3</v>
      </c>
      <c r="G204">
        <v>0</v>
      </c>
      <c r="H204">
        <v>4</v>
      </c>
      <c r="I204">
        <v>0.5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0.5</v>
      </c>
      <c r="P204" t="s">
        <v>100</v>
      </c>
      <c r="Q204">
        <v>0</v>
      </c>
      <c r="R204" t="s">
        <v>145</v>
      </c>
      <c r="S204">
        <v>0</v>
      </c>
    </row>
    <row r="205" spans="1:19">
      <c r="A205" t="s">
        <v>35</v>
      </c>
      <c r="B205" t="s">
        <v>905</v>
      </c>
      <c r="C205">
        <f>"TQ00191VE"</f>
        <v>0</v>
      </c>
      <c r="D205">
        <v>0</v>
      </c>
      <c r="E205">
        <v>2</v>
      </c>
      <c r="F205">
        <v>1</v>
      </c>
      <c r="G205">
        <v>0</v>
      </c>
      <c r="H205">
        <v>3</v>
      </c>
      <c r="I205">
        <v>0.5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0.5</v>
      </c>
      <c r="P205" t="s">
        <v>100</v>
      </c>
      <c r="Q205">
        <v>0</v>
      </c>
      <c r="R205" t="s">
        <v>145</v>
      </c>
      <c r="S205">
        <v>0</v>
      </c>
    </row>
    <row r="206" spans="1:19">
      <c r="A206" t="s">
        <v>35</v>
      </c>
      <c r="B206" t="s">
        <v>1075</v>
      </c>
      <c r="C206">
        <f>"TF001"</f>
        <v>0</v>
      </c>
      <c r="D206">
        <v>1</v>
      </c>
      <c r="E206">
        <v>1</v>
      </c>
      <c r="F206">
        <v>0</v>
      </c>
      <c r="G206">
        <v>0</v>
      </c>
      <c r="H206">
        <v>2</v>
      </c>
      <c r="I206">
        <v>0.5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0.5</v>
      </c>
      <c r="P206" t="s">
        <v>100</v>
      </c>
      <c r="Q206">
        <v>0</v>
      </c>
      <c r="R206" t="s">
        <v>145</v>
      </c>
      <c r="S206">
        <v>0</v>
      </c>
    </row>
    <row r="207" spans="1:19">
      <c r="A207" t="s">
        <v>35</v>
      </c>
      <c r="B207" t="s">
        <v>747</v>
      </c>
      <c r="C207">
        <f>"TF1061"</f>
        <v>0</v>
      </c>
      <c r="D207">
        <v>4</v>
      </c>
      <c r="E207">
        <v>1</v>
      </c>
      <c r="F207">
        <v>0</v>
      </c>
      <c r="G207">
        <v>0</v>
      </c>
      <c r="H207">
        <v>5</v>
      </c>
      <c r="I207">
        <v>0.5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0.5</v>
      </c>
      <c r="P207" t="s">
        <v>100</v>
      </c>
      <c r="Q207">
        <v>0</v>
      </c>
      <c r="R207" t="s">
        <v>145</v>
      </c>
      <c r="S207">
        <v>0</v>
      </c>
    </row>
    <row r="208" spans="1:19">
      <c r="A208" t="s">
        <v>35</v>
      </c>
      <c r="B208" t="s">
        <v>1061</v>
      </c>
      <c r="C208">
        <f>"TQ24R"</f>
        <v>0</v>
      </c>
      <c r="D208">
        <v>1</v>
      </c>
      <c r="E208">
        <v>0</v>
      </c>
      <c r="F208">
        <v>1</v>
      </c>
      <c r="G208">
        <v>0</v>
      </c>
      <c r="H208">
        <v>2</v>
      </c>
      <c r="I208">
        <v>0.5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0.5</v>
      </c>
      <c r="P208" t="s">
        <v>100</v>
      </c>
      <c r="Q208">
        <v>0</v>
      </c>
      <c r="R208" t="s">
        <v>145</v>
      </c>
      <c r="S208">
        <v>0</v>
      </c>
    </row>
    <row r="209" spans="1:19">
      <c r="A209" t="s">
        <v>35</v>
      </c>
      <c r="B209" t="s">
        <v>973</v>
      </c>
      <c r="C209">
        <f>"X1341LV"</f>
        <v>0</v>
      </c>
      <c r="D209">
        <v>1</v>
      </c>
      <c r="E209">
        <v>1</v>
      </c>
      <c r="F209">
        <v>0</v>
      </c>
      <c r="G209">
        <v>0</v>
      </c>
      <c r="H209">
        <v>2</v>
      </c>
      <c r="I209">
        <v>0.5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0.5</v>
      </c>
      <c r="P209" t="s">
        <v>100</v>
      </c>
      <c r="Q209">
        <v>0</v>
      </c>
      <c r="R209" t="s">
        <v>145</v>
      </c>
      <c r="S209">
        <v>0</v>
      </c>
    </row>
    <row r="210" spans="1:19">
      <c r="A210" t="s">
        <v>35</v>
      </c>
      <c r="B210" t="s">
        <v>878</v>
      </c>
      <c r="C210">
        <f>"TQ881V"</f>
        <v>0</v>
      </c>
      <c r="D210">
        <v>1</v>
      </c>
      <c r="E210">
        <v>2</v>
      </c>
      <c r="F210">
        <v>0</v>
      </c>
      <c r="G210">
        <v>0</v>
      </c>
      <c r="H210">
        <v>3</v>
      </c>
      <c r="I210">
        <v>0.5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0.5</v>
      </c>
      <c r="P210" t="s">
        <v>100</v>
      </c>
      <c r="Q210">
        <v>0</v>
      </c>
      <c r="R210" t="s">
        <v>145</v>
      </c>
      <c r="S210">
        <v>0</v>
      </c>
    </row>
    <row r="211" spans="1:19">
      <c r="A211" t="s">
        <v>35</v>
      </c>
      <c r="B211" t="s">
        <v>910</v>
      </c>
      <c r="C211">
        <f>"HDD146ROS"</f>
        <v>0</v>
      </c>
      <c r="D211">
        <v>0</v>
      </c>
      <c r="E211">
        <v>1</v>
      </c>
      <c r="F211">
        <v>2</v>
      </c>
      <c r="G211">
        <v>0</v>
      </c>
      <c r="H211">
        <v>3</v>
      </c>
      <c r="I211">
        <v>0.5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0.5</v>
      </c>
      <c r="P211" t="s">
        <v>100</v>
      </c>
      <c r="Q211">
        <v>0</v>
      </c>
      <c r="R211" t="s">
        <v>145</v>
      </c>
      <c r="S211">
        <v>0</v>
      </c>
    </row>
    <row r="212" spans="1:19">
      <c r="A212" t="s">
        <v>35</v>
      </c>
      <c r="B212" t="s">
        <v>10220</v>
      </c>
      <c r="C212">
        <f>"CTB85AM"</f>
        <v>0</v>
      </c>
      <c r="D212">
        <v>0</v>
      </c>
      <c r="E212">
        <v>1</v>
      </c>
      <c r="F212">
        <v>1</v>
      </c>
      <c r="G212">
        <v>0</v>
      </c>
      <c r="H212">
        <v>2</v>
      </c>
      <c r="I212">
        <v>0.5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0.5</v>
      </c>
      <c r="P212" t="s">
        <v>11041</v>
      </c>
      <c r="Q212">
        <v>-472</v>
      </c>
      <c r="R212" t="s">
        <v>11135</v>
      </c>
      <c r="S212">
        <v>0</v>
      </c>
    </row>
    <row r="213" spans="1:19">
      <c r="A213" t="s">
        <v>35</v>
      </c>
      <c r="B213" t="s">
        <v>1586</v>
      </c>
      <c r="C213">
        <f>"TQ25C"</f>
        <v>0</v>
      </c>
      <c r="D213">
        <v>1</v>
      </c>
      <c r="E213">
        <v>0</v>
      </c>
      <c r="F213">
        <v>1</v>
      </c>
      <c r="G213">
        <v>0</v>
      </c>
      <c r="H213">
        <v>2</v>
      </c>
      <c r="I213">
        <v>0.5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0.5</v>
      </c>
      <c r="P213" t="s">
        <v>11042</v>
      </c>
      <c r="Q213">
        <v>-101</v>
      </c>
      <c r="R213" t="s">
        <v>10467</v>
      </c>
      <c r="S213">
        <v>0</v>
      </c>
    </row>
    <row r="214" spans="1:19">
      <c r="A214" t="s">
        <v>35</v>
      </c>
      <c r="B214" t="s">
        <v>1044</v>
      </c>
      <c r="C214">
        <f>"PT190P"</f>
        <v>0</v>
      </c>
      <c r="D214">
        <v>1</v>
      </c>
      <c r="E214">
        <v>1</v>
      </c>
      <c r="F214">
        <v>0</v>
      </c>
      <c r="G214">
        <v>0</v>
      </c>
      <c r="H214">
        <v>2</v>
      </c>
      <c r="I214">
        <v>0.5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0.5</v>
      </c>
      <c r="P214" t="s">
        <v>100</v>
      </c>
      <c r="Q214">
        <v>0</v>
      </c>
      <c r="R214" t="s">
        <v>145</v>
      </c>
      <c r="S214">
        <v>0</v>
      </c>
    </row>
    <row r="215" spans="1:19">
      <c r="A215" t="s">
        <v>35</v>
      </c>
      <c r="B215" t="s">
        <v>877</v>
      </c>
      <c r="C215">
        <f>"TQ881N"</f>
        <v>0</v>
      </c>
      <c r="D215">
        <v>1</v>
      </c>
      <c r="E215">
        <v>2</v>
      </c>
      <c r="F215">
        <v>0</v>
      </c>
      <c r="G215">
        <v>0</v>
      </c>
      <c r="H215">
        <v>3</v>
      </c>
      <c r="I215">
        <v>0.5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0.5</v>
      </c>
      <c r="P215" t="s">
        <v>100</v>
      </c>
      <c r="Q215">
        <v>0</v>
      </c>
      <c r="R215" t="s">
        <v>145</v>
      </c>
      <c r="S215">
        <v>0</v>
      </c>
    </row>
    <row r="216" spans="1:19">
      <c r="A216" t="s">
        <v>35</v>
      </c>
      <c r="B216" t="s">
        <v>832</v>
      </c>
      <c r="C216">
        <f>"LS141"</f>
        <v>0</v>
      </c>
      <c r="D216">
        <v>3</v>
      </c>
      <c r="E216">
        <v>1</v>
      </c>
      <c r="F216">
        <v>0</v>
      </c>
      <c r="G216">
        <v>0</v>
      </c>
      <c r="H216">
        <v>4</v>
      </c>
      <c r="I216">
        <v>0.5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0.5</v>
      </c>
      <c r="P216" t="s">
        <v>100</v>
      </c>
      <c r="Q216">
        <v>0</v>
      </c>
      <c r="R216" t="s">
        <v>145</v>
      </c>
      <c r="S216">
        <v>0</v>
      </c>
    </row>
    <row r="217" spans="1:19">
      <c r="A217" t="s">
        <v>35</v>
      </c>
      <c r="B217" t="s">
        <v>922</v>
      </c>
      <c r="C217">
        <f>"HCJ011MGRIS"</f>
        <v>0</v>
      </c>
      <c r="D217">
        <v>2</v>
      </c>
      <c r="E217">
        <v>0</v>
      </c>
      <c r="F217">
        <v>1</v>
      </c>
      <c r="G217">
        <v>0</v>
      </c>
      <c r="H217">
        <v>3</v>
      </c>
      <c r="I217">
        <v>0.5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0.5</v>
      </c>
      <c r="P217" t="s">
        <v>100</v>
      </c>
      <c r="Q217">
        <v>0</v>
      </c>
      <c r="R217" t="s">
        <v>145</v>
      </c>
      <c r="S217">
        <v>0</v>
      </c>
    </row>
    <row r="218" spans="1:19">
      <c r="A218" t="s">
        <v>35</v>
      </c>
      <c r="B218" t="s">
        <v>1071</v>
      </c>
      <c r="C218">
        <f>"F07"</f>
        <v>0</v>
      </c>
      <c r="D218">
        <v>1</v>
      </c>
      <c r="E218">
        <v>1</v>
      </c>
      <c r="F218">
        <v>0</v>
      </c>
      <c r="G218">
        <v>0</v>
      </c>
      <c r="H218">
        <v>2</v>
      </c>
      <c r="I218">
        <v>0.5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0.5</v>
      </c>
      <c r="P218" t="s">
        <v>100</v>
      </c>
      <c r="Q218">
        <v>0</v>
      </c>
      <c r="R218" t="s">
        <v>145</v>
      </c>
      <c r="S218">
        <v>0</v>
      </c>
    </row>
    <row r="219" spans="1:19">
      <c r="A219" t="s">
        <v>35</v>
      </c>
      <c r="B219" t="s">
        <v>823</v>
      </c>
      <c r="C219">
        <f>"HH196"</f>
        <v>0</v>
      </c>
      <c r="D219">
        <v>0</v>
      </c>
      <c r="E219">
        <v>1</v>
      </c>
      <c r="F219">
        <v>3</v>
      </c>
      <c r="G219">
        <v>0</v>
      </c>
      <c r="H219">
        <v>4</v>
      </c>
      <c r="I219">
        <v>0.5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0.5</v>
      </c>
      <c r="P219" t="s">
        <v>100</v>
      </c>
      <c r="Q219">
        <v>0</v>
      </c>
      <c r="R219" t="s">
        <v>145</v>
      </c>
      <c r="S219">
        <v>0</v>
      </c>
    </row>
    <row r="220" spans="1:19">
      <c r="A220" t="s">
        <v>35</v>
      </c>
      <c r="B220" t="s">
        <v>659</v>
      </c>
      <c r="C220">
        <f>"HC10"</f>
        <v>0</v>
      </c>
      <c r="D220">
        <v>6</v>
      </c>
      <c r="E220">
        <v>1</v>
      </c>
      <c r="F220">
        <v>0</v>
      </c>
      <c r="G220">
        <v>0</v>
      </c>
      <c r="H220">
        <v>7</v>
      </c>
      <c r="I220">
        <v>0.5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0.5</v>
      </c>
      <c r="P220" t="s">
        <v>100</v>
      </c>
      <c r="Q220">
        <v>0</v>
      </c>
      <c r="R220" t="s">
        <v>145</v>
      </c>
      <c r="S220">
        <v>0</v>
      </c>
    </row>
    <row r="221" spans="1:19">
      <c r="A221" t="s">
        <v>35</v>
      </c>
      <c r="B221" t="s">
        <v>708</v>
      </c>
      <c r="C221">
        <f>"MSPB05ROS"</f>
        <v>0</v>
      </c>
      <c r="D221">
        <v>0</v>
      </c>
      <c r="E221">
        <v>5</v>
      </c>
      <c r="F221">
        <v>1</v>
      </c>
      <c r="G221">
        <v>0</v>
      </c>
      <c r="H221">
        <v>6</v>
      </c>
      <c r="I221">
        <v>0.5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0.5</v>
      </c>
      <c r="P221" t="s">
        <v>100</v>
      </c>
      <c r="Q221">
        <v>0</v>
      </c>
      <c r="R221" t="s">
        <v>145</v>
      </c>
      <c r="S221">
        <v>0</v>
      </c>
    </row>
    <row r="222" spans="1:19">
      <c r="A222" t="s">
        <v>35</v>
      </c>
      <c r="B222" t="s">
        <v>919</v>
      </c>
      <c r="C222">
        <f>"HW1"</f>
        <v>0</v>
      </c>
      <c r="D222">
        <v>2</v>
      </c>
      <c r="E222">
        <v>1</v>
      </c>
      <c r="F222">
        <v>0</v>
      </c>
      <c r="G222">
        <v>0</v>
      </c>
      <c r="H222">
        <v>3</v>
      </c>
      <c r="I222">
        <v>0.5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0.5</v>
      </c>
      <c r="P222" t="s">
        <v>100</v>
      </c>
      <c r="Q222">
        <v>0</v>
      </c>
      <c r="R222" t="s">
        <v>145</v>
      </c>
      <c r="S222">
        <v>0</v>
      </c>
    </row>
    <row r="223" spans="1:19">
      <c r="A223" t="s">
        <v>35</v>
      </c>
      <c r="B223" t="s">
        <v>1022</v>
      </c>
      <c r="C223">
        <f>"PCM5090M"</f>
        <v>0</v>
      </c>
      <c r="D223">
        <v>1</v>
      </c>
      <c r="E223">
        <v>1</v>
      </c>
      <c r="F223">
        <v>0</v>
      </c>
      <c r="G223">
        <v>0</v>
      </c>
      <c r="H223">
        <v>2</v>
      </c>
      <c r="I223">
        <v>0.5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0.5</v>
      </c>
      <c r="P223" t="s">
        <v>100</v>
      </c>
      <c r="Q223">
        <v>0</v>
      </c>
      <c r="R223" t="s">
        <v>145</v>
      </c>
      <c r="S223">
        <v>0</v>
      </c>
    </row>
    <row r="224" spans="1:19">
      <c r="A224" t="s">
        <v>35</v>
      </c>
      <c r="B224" t="s">
        <v>712</v>
      </c>
      <c r="C224">
        <f>"PS9020B"</f>
        <v>0</v>
      </c>
      <c r="D224">
        <v>5</v>
      </c>
      <c r="E224">
        <v>0</v>
      </c>
      <c r="F224">
        <v>1</v>
      </c>
      <c r="G224">
        <v>0</v>
      </c>
      <c r="H224">
        <v>6</v>
      </c>
      <c r="I224">
        <v>0.5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0.5</v>
      </c>
      <c r="P224" t="s">
        <v>100</v>
      </c>
      <c r="Q224">
        <v>0</v>
      </c>
      <c r="R224" t="s">
        <v>145</v>
      </c>
      <c r="S224">
        <v>0</v>
      </c>
    </row>
    <row r="225" spans="1:19">
      <c r="A225" t="s">
        <v>35</v>
      </c>
      <c r="B225" t="s">
        <v>764</v>
      </c>
      <c r="C225">
        <f>"XX44"</f>
        <v>0</v>
      </c>
      <c r="D225">
        <v>4</v>
      </c>
      <c r="E225">
        <v>1</v>
      </c>
      <c r="F225">
        <v>0</v>
      </c>
      <c r="G225">
        <v>0</v>
      </c>
      <c r="H225">
        <v>5</v>
      </c>
      <c r="I225">
        <v>0.5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0.5</v>
      </c>
      <c r="P225" t="s">
        <v>100</v>
      </c>
      <c r="Q225">
        <v>0</v>
      </c>
      <c r="R225" t="s">
        <v>145</v>
      </c>
      <c r="S225">
        <v>0</v>
      </c>
    </row>
    <row r="226" spans="1:19">
      <c r="A226" t="s">
        <v>35</v>
      </c>
      <c r="B226" t="s">
        <v>935</v>
      </c>
      <c r="C226">
        <f>"BO3052ARE"</f>
        <v>0</v>
      </c>
      <c r="D226">
        <v>0</v>
      </c>
      <c r="E226">
        <v>1</v>
      </c>
      <c r="F226">
        <v>2</v>
      </c>
      <c r="G226">
        <v>0</v>
      </c>
      <c r="H226">
        <v>3</v>
      </c>
      <c r="I226">
        <v>0.5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0.5</v>
      </c>
      <c r="P226" t="s">
        <v>100</v>
      </c>
      <c r="Q226">
        <v>0</v>
      </c>
      <c r="R226" t="s">
        <v>145</v>
      </c>
      <c r="S226">
        <v>0</v>
      </c>
    </row>
    <row r="227" spans="1:19">
      <c r="A227" t="s">
        <v>35</v>
      </c>
      <c r="B227" t="s">
        <v>898</v>
      </c>
      <c r="C227">
        <f>"HDD168ARC"</f>
        <v>0</v>
      </c>
      <c r="D227">
        <v>0</v>
      </c>
      <c r="E227">
        <v>2</v>
      </c>
      <c r="F227">
        <v>1</v>
      </c>
      <c r="G227">
        <v>0</v>
      </c>
      <c r="H227">
        <v>3</v>
      </c>
      <c r="I227">
        <v>0.5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0.5</v>
      </c>
      <c r="P227" t="s">
        <v>100</v>
      </c>
      <c r="Q227">
        <v>0</v>
      </c>
      <c r="R227" t="s">
        <v>145</v>
      </c>
      <c r="S227">
        <v>0</v>
      </c>
    </row>
    <row r="228" spans="1:19">
      <c r="A228" t="s">
        <v>35</v>
      </c>
      <c r="B228" t="s">
        <v>853</v>
      </c>
      <c r="C228">
        <f>"tc777xsS"</f>
        <v>0</v>
      </c>
      <c r="D228">
        <v>1</v>
      </c>
      <c r="E228">
        <v>3</v>
      </c>
      <c r="F228">
        <v>0</v>
      </c>
      <c r="G228">
        <v>0</v>
      </c>
      <c r="H228">
        <v>4</v>
      </c>
      <c r="I228">
        <v>0.5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0.5</v>
      </c>
      <c r="P228" t="s">
        <v>100</v>
      </c>
      <c r="Q228">
        <v>0</v>
      </c>
      <c r="R228" t="s">
        <v>145</v>
      </c>
      <c r="S228">
        <v>0</v>
      </c>
    </row>
    <row r="229" spans="1:19">
      <c r="A229" t="s">
        <v>35</v>
      </c>
      <c r="B229" t="s">
        <v>790</v>
      </c>
      <c r="C229">
        <f>"1042EMVEC"</f>
        <v>0</v>
      </c>
      <c r="D229">
        <v>3</v>
      </c>
      <c r="E229">
        <v>1</v>
      </c>
      <c r="F229">
        <v>0</v>
      </c>
      <c r="G229">
        <v>0</v>
      </c>
      <c r="H229">
        <v>4</v>
      </c>
      <c r="I229">
        <v>0.5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0.5</v>
      </c>
      <c r="P229" t="s">
        <v>100</v>
      </c>
      <c r="Q229">
        <v>0</v>
      </c>
      <c r="R229" t="s">
        <v>145</v>
      </c>
      <c r="S229">
        <v>0</v>
      </c>
    </row>
    <row r="230" spans="1:19">
      <c r="A230" t="s">
        <v>35</v>
      </c>
      <c r="B230" t="s">
        <v>1110</v>
      </c>
      <c r="C230">
        <f>"D053L"</f>
        <v>0</v>
      </c>
      <c r="D230">
        <v>1</v>
      </c>
      <c r="E230">
        <v>1</v>
      </c>
      <c r="F230">
        <v>0</v>
      </c>
      <c r="G230">
        <v>0</v>
      </c>
      <c r="H230">
        <v>2</v>
      </c>
      <c r="I230">
        <v>0.5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0.5</v>
      </c>
      <c r="P230" t="s">
        <v>100</v>
      </c>
      <c r="Q230">
        <v>0</v>
      </c>
      <c r="R230" t="s">
        <v>145</v>
      </c>
      <c r="S230">
        <v>0</v>
      </c>
    </row>
    <row r="231" spans="1:19">
      <c r="A231" t="s">
        <v>35</v>
      </c>
      <c r="B231" t="s">
        <v>1114</v>
      </c>
      <c r="C231">
        <f>"D053M"</f>
        <v>0</v>
      </c>
      <c r="D231">
        <v>0</v>
      </c>
      <c r="E231">
        <v>1</v>
      </c>
      <c r="F231">
        <v>1</v>
      </c>
      <c r="G231">
        <v>0</v>
      </c>
      <c r="H231">
        <v>2</v>
      </c>
      <c r="I231">
        <v>0.5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0.5</v>
      </c>
      <c r="P231" t="s">
        <v>100</v>
      </c>
      <c r="Q231">
        <v>0</v>
      </c>
      <c r="R231" t="s">
        <v>145</v>
      </c>
      <c r="S231">
        <v>0</v>
      </c>
    </row>
    <row r="232" spans="1:19">
      <c r="A232" t="s">
        <v>35</v>
      </c>
      <c r="B232" t="s">
        <v>756</v>
      </c>
      <c r="C232">
        <f>"MSPB03A"</f>
        <v>0</v>
      </c>
      <c r="D232">
        <v>1</v>
      </c>
      <c r="E232">
        <v>4</v>
      </c>
      <c r="F232">
        <v>0</v>
      </c>
      <c r="G232">
        <v>0</v>
      </c>
      <c r="H232">
        <v>5</v>
      </c>
      <c r="I232">
        <v>0.5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0.5</v>
      </c>
      <c r="P232" t="s">
        <v>100</v>
      </c>
      <c r="Q232">
        <v>0</v>
      </c>
      <c r="R232" t="s">
        <v>145</v>
      </c>
      <c r="S232">
        <v>0</v>
      </c>
    </row>
    <row r="233" spans="1:19">
      <c r="A233" t="s">
        <v>35</v>
      </c>
      <c r="B233" t="s">
        <v>989</v>
      </c>
      <c r="C233">
        <f>"HDD016CE"</f>
        <v>0</v>
      </c>
      <c r="D233">
        <v>0</v>
      </c>
      <c r="E233">
        <v>1</v>
      </c>
      <c r="F233">
        <v>1</v>
      </c>
      <c r="G233">
        <v>0</v>
      </c>
      <c r="H233">
        <v>2</v>
      </c>
      <c r="I233">
        <v>0.5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0.5</v>
      </c>
      <c r="P233" t="s">
        <v>100</v>
      </c>
      <c r="Q233">
        <v>0</v>
      </c>
      <c r="R233" t="s">
        <v>145</v>
      </c>
      <c r="S233">
        <v>0</v>
      </c>
    </row>
    <row r="234" spans="1:19">
      <c r="A234" t="s">
        <v>35</v>
      </c>
      <c r="B234" t="s">
        <v>660</v>
      </c>
      <c r="C234">
        <f>"JWZ1052S"</f>
        <v>0</v>
      </c>
      <c r="D234">
        <v>0</v>
      </c>
      <c r="E234">
        <v>1</v>
      </c>
      <c r="F234">
        <v>6</v>
      </c>
      <c r="G234">
        <v>0</v>
      </c>
      <c r="H234">
        <v>7</v>
      </c>
      <c r="I234">
        <v>0.5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0.5</v>
      </c>
      <c r="P234" t="s">
        <v>100</v>
      </c>
      <c r="Q234">
        <v>0</v>
      </c>
      <c r="R234" t="s">
        <v>145</v>
      </c>
      <c r="S234">
        <v>0</v>
      </c>
    </row>
    <row r="235" spans="1:19">
      <c r="A235" t="s">
        <v>35</v>
      </c>
      <c r="B235" t="s">
        <v>765</v>
      </c>
      <c r="C235">
        <f>"SDR112"</f>
        <v>0</v>
      </c>
      <c r="D235">
        <v>4</v>
      </c>
      <c r="E235">
        <v>0</v>
      </c>
      <c r="F235">
        <v>1</v>
      </c>
      <c r="G235">
        <v>0</v>
      </c>
      <c r="H235">
        <v>5</v>
      </c>
      <c r="I235">
        <v>0.5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0.5</v>
      </c>
      <c r="P235" t="s">
        <v>100</v>
      </c>
      <c r="Q235">
        <v>0</v>
      </c>
      <c r="R235" t="s">
        <v>145</v>
      </c>
      <c r="S235">
        <v>0</v>
      </c>
    </row>
    <row r="236" spans="1:19">
      <c r="A236" t="s">
        <v>35</v>
      </c>
      <c r="B236" t="s">
        <v>1016</v>
      </c>
      <c r="C236">
        <f>"CTB80"</f>
        <v>0</v>
      </c>
      <c r="D236">
        <v>0</v>
      </c>
      <c r="E236">
        <v>1</v>
      </c>
      <c r="F236">
        <v>1</v>
      </c>
      <c r="G236">
        <v>0</v>
      </c>
      <c r="H236">
        <v>2</v>
      </c>
      <c r="I236">
        <v>0.5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0.5</v>
      </c>
      <c r="P236" t="s">
        <v>100</v>
      </c>
      <c r="Q236">
        <v>0</v>
      </c>
      <c r="R236" t="s">
        <v>145</v>
      </c>
      <c r="S236">
        <v>0</v>
      </c>
    </row>
    <row r="237" spans="1:19">
      <c r="A237" t="s">
        <v>35</v>
      </c>
      <c r="B237" t="s">
        <v>1072</v>
      </c>
      <c r="C237">
        <f>"9402t"</f>
        <v>0</v>
      </c>
      <c r="D237">
        <v>1</v>
      </c>
      <c r="E237">
        <v>1</v>
      </c>
      <c r="F237">
        <v>0</v>
      </c>
      <c r="G237">
        <v>0</v>
      </c>
      <c r="H237">
        <v>2</v>
      </c>
      <c r="I237">
        <v>0.5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0.5</v>
      </c>
      <c r="P237" t="s">
        <v>100</v>
      </c>
      <c r="Q237">
        <v>0</v>
      </c>
      <c r="R237" t="s">
        <v>145</v>
      </c>
      <c r="S237">
        <v>0</v>
      </c>
    </row>
    <row r="238" spans="1:19">
      <c r="A238" t="s">
        <v>35</v>
      </c>
      <c r="B238" t="s">
        <v>753</v>
      </c>
      <c r="C238">
        <f>"CP004D"</f>
        <v>0</v>
      </c>
      <c r="D238">
        <v>4</v>
      </c>
      <c r="E238">
        <v>0</v>
      </c>
      <c r="F238">
        <v>1</v>
      </c>
      <c r="G238">
        <v>0</v>
      </c>
      <c r="H238">
        <v>5</v>
      </c>
      <c r="I238">
        <v>0.5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0.5</v>
      </c>
      <c r="P238" t="s">
        <v>100</v>
      </c>
      <c r="Q238">
        <v>0</v>
      </c>
      <c r="R238" t="s">
        <v>145</v>
      </c>
      <c r="S238">
        <v>0</v>
      </c>
    </row>
    <row r="239" spans="1:19">
      <c r="A239" t="s">
        <v>35</v>
      </c>
      <c r="B239" t="s">
        <v>997</v>
      </c>
      <c r="C239">
        <f>"MSP008ROSOC"</f>
        <v>0</v>
      </c>
      <c r="D239">
        <v>1</v>
      </c>
      <c r="E239">
        <v>1</v>
      </c>
      <c r="F239">
        <v>0</v>
      </c>
      <c r="G239">
        <v>0</v>
      </c>
      <c r="H239">
        <v>2</v>
      </c>
      <c r="I239">
        <v>0.5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0.5</v>
      </c>
      <c r="P239" t="s">
        <v>100</v>
      </c>
      <c r="Q239">
        <v>0</v>
      </c>
      <c r="R239" t="s">
        <v>145</v>
      </c>
      <c r="S239">
        <v>0</v>
      </c>
    </row>
    <row r="240" spans="1:19">
      <c r="A240" t="s">
        <v>35</v>
      </c>
      <c r="B240" t="s">
        <v>1060</v>
      </c>
      <c r="C240">
        <f>"TC777XS"</f>
        <v>0</v>
      </c>
      <c r="D240">
        <v>1</v>
      </c>
      <c r="E240">
        <v>0</v>
      </c>
      <c r="F240">
        <v>1</v>
      </c>
      <c r="G240">
        <v>0</v>
      </c>
      <c r="H240">
        <v>2</v>
      </c>
      <c r="I240">
        <v>0.5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0.5</v>
      </c>
      <c r="P240" t="s">
        <v>100</v>
      </c>
      <c r="Q240">
        <v>0</v>
      </c>
      <c r="R240" t="s">
        <v>145</v>
      </c>
      <c r="S240">
        <v>0</v>
      </c>
    </row>
    <row r="241" spans="1:19">
      <c r="A241" t="s">
        <v>35</v>
      </c>
      <c r="B241" t="s">
        <v>1105</v>
      </c>
      <c r="C241">
        <f>"6952ROJ"</f>
        <v>0</v>
      </c>
      <c r="D241">
        <v>1</v>
      </c>
      <c r="E241">
        <v>0</v>
      </c>
      <c r="F241">
        <v>1</v>
      </c>
      <c r="G241">
        <v>0</v>
      </c>
      <c r="H241">
        <v>2</v>
      </c>
      <c r="I241">
        <v>0.5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0.5</v>
      </c>
      <c r="P241" t="s">
        <v>100</v>
      </c>
      <c r="Q241">
        <v>0</v>
      </c>
      <c r="R241" t="s">
        <v>145</v>
      </c>
      <c r="S241">
        <v>0</v>
      </c>
    </row>
    <row r="242" spans="1:19">
      <c r="A242" t="s">
        <v>35</v>
      </c>
      <c r="B242" t="s">
        <v>1015</v>
      </c>
      <c r="C242">
        <f>"TF1043"</f>
        <v>0</v>
      </c>
      <c r="D242">
        <v>1</v>
      </c>
      <c r="E242">
        <v>1</v>
      </c>
      <c r="F242">
        <v>0</v>
      </c>
      <c r="G242">
        <v>0</v>
      </c>
      <c r="H242">
        <v>2</v>
      </c>
      <c r="I242">
        <v>0.5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0.5</v>
      </c>
      <c r="P242" t="s">
        <v>100</v>
      </c>
      <c r="Q242">
        <v>0</v>
      </c>
      <c r="R242" t="s">
        <v>145</v>
      </c>
      <c r="S242">
        <v>0</v>
      </c>
    </row>
    <row r="243" spans="1:19">
      <c r="A243" t="s">
        <v>35</v>
      </c>
      <c r="B243" t="s">
        <v>842</v>
      </c>
      <c r="C243">
        <f>"CT119"</f>
        <v>0</v>
      </c>
      <c r="D243">
        <v>3</v>
      </c>
      <c r="E243">
        <v>0</v>
      </c>
      <c r="F243">
        <v>1</v>
      </c>
      <c r="G243">
        <v>0</v>
      </c>
      <c r="H243">
        <v>4</v>
      </c>
      <c r="I243">
        <v>0.5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0.5</v>
      </c>
      <c r="P243" t="s">
        <v>100</v>
      </c>
      <c r="Q243">
        <v>0</v>
      </c>
      <c r="R243" t="s">
        <v>145</v>
      </c>
      <c r="S243">
        <v>0</v>
      </c>
    </row>
    <row r="244" spans="1:19">
      <c r="A244" t="s">
        <v>35</v>
      </c>
      <c r="B244" t="s">
        <v>739</v>
      </c>
      <c r="C244">
        <f>"LM016"</f>
        <v>0</v>
      </c>
      <c r="D244">
        <v>1</v>
      </c>
      <c r="E244">
        <v>4</v>
      </c>
      <c r="F244">
        <v>0</v>
      </c>
      <c r="G244">
        <v>0</v>
      </c>
      <c r="H244">
        <v>5</v>
      </c>
      <c r="I244">
        <v>0.5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0.5</v>
      </c>
      <c r="P244" t="s">
        <v>100</v>
      </c>
      <c r="Q244">
        <v>0</v>
      </c>
      <c r="R244" t="s">
        <v>145</v>
      </c>
      <c r="S244">
        <v>0</v>
      </c>
    </row>
    <row r="245" spans="1:19">
      <c r="A245" t="s">
        <v>35</v>
      </c>
      <c r="B245" t="s">
        <v>945</v>
      </c>
      <c r="C245">
        <f>"LS152ROS"</f>
        <v>0</v>
      </c>
      <c r="D245">
        <v>1</v>
      </c>
      <c r="E245">
        <v>0</v>
      </c>
      <c r="F245">
        <v>2</v>
      </c>
      <c r="G245">
        <v>0</v>
      </c>
      <c r="H245">
        <v>3</v>
      </c>
      <c r="I245">
        <v>0.5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0.5</v>
      </c>
      <c r="P245" t="s">
        <v>100</v>
      </c>
      <c r="Q245">
        <v>0</v>
      </c>
      <c r="R245" t="s">
        <v>145</v>
      </c>
      <c r="S245">
        <v>0</v>
      </c>
    </row>
    <row r="246" spans="1:19">
      <c r="A246" t="s">
        <v>35</v>
      </c>
      <c r="B246" t="s">
        <v>938</v>
      </c>
      <c r="C246">
        <f>"C404"</f>
        <v>0</v>
      </c>
      <c r="D246">
        <v>1</v>
      </c>
      <c r="E246">
        <v>2</v>
      </c>
      <c r="F246">
        <v>0</v>
      </c>
      <c r="G246">
        <v>0</v>
      </c>
      <c r="H246">
        <v>3</v>
      </c>
      <c r="I246">
        <v>0.5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0.5</v>
      </c>
      <c r="P246" t="s">
        <v>100</v>
      </c>
      <c r="Q246">
        <v>0</v>
      </c>
      <c r="R246" t="s">
        <v>145</v>
      </c>
      <c r="S246">
        <v>0</v>
      </c>
    </row>
    <row r="247" spans="1:19">
      <c r="A247" t="s">
        <v>35</v>
      </c>
      <c r="B247" t="s">
        <v>686</v>
      </c>
      <c r="C247">
        <f>"HDD174M"</f>
        <v>0</v>
      </c>
      <c r="D247">
        <v>5</v>
      </c>
      <c r="E247">
        <v>0</v>
      </c>
      <c r="F247">
        <v>1</v>
      </c>
      <c r="G247">
        <v>0</v>
      </c>
      <c r="H247">
        <v>6</v>
      </c>
      <c r="I247">
        <v>0.5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0.5</v>
      </c>
      <c r="P247" t="s">
        <v>100</v>
      </c>
      <c r="Q247">
        <v>0</v>
      </c>
      <c r="R247" t="s">
        <v>145</v>
      </c>
      <c r="S247">
        <v>0</v>
      </c>
    </row>
    <row r="248" spans="1:19">
      <c r="A248" t="s">
        <v>35</v>
      </c>
      <c r="B248" t="s">
        <v>1037</v>
      </c>
      <c r="C248">
        <f>"PP148C"</f>
        <v>0</v>
      </c>
      <c r="D248">
        <v>0</v>
      </c>
      <c r="E248">
        <v>1</v>
      </c>
      <c r="F248">
        <v>1</v>
      </c>
      <c r="G248">
        <v>0</v>
      </c>
      <c r="H248">
        <v>2</v>
      </c>
      <c r="I248">
        <v>0.5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0.5</v>
      </c>
      <c r="P248" t="s">
        <v>100</v>
      </c>
      <c r="Q248">
        <v>0</v>
      </c>
      <c r="R248" t="s">
        <v>145</v>
      </c>
      <c r="S248">
        <v>0</v>
      </c>
    </row>
    <row r="249" spans="1:19">
      <c r="A249" t="s">
        <v>35</v>
      </c>
      <c r="B249" t="s">
        <v>1109</v>
      </c>
      <c r="C249">
        <f>"TC2063ROS"</f>
        <v>0</v>
      </c>
      <c r="D249">
        <v>0</v>
      </c>
      <c r="E249">
        <v>1</v>
      </c>
      <c r="F249">
        <v>1</v>
      </c>
      <c r="G249">
        <v>0</v>
      </c>
      <c r="H249">
        <v>2</v>
      </c>
      <c r="I249">
        <v>0.5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0.5</v>
      </c>
      <c r="P249" t="s">
        <v>100</v>
      </c>
      <c r="Q249">
        <v>0</v>
      </c>
      <c r="R249" t="s">
        <v>145</v>
      </c>
      <c r="S249">
        <v>0</v>
      </c>
    </row>
    <row r="250" spans="1:19">
      <c r="A250" t="s">
        <v>35</v>
      </c>
      <c r="B250" t="s">
        <v>916</v>
      </c>
      <c r="C250">
        <f>"RJ745ROS"</f>
        <v>0</v>
      </c>
      <c r="D250">
        <v>2</v>
      </c>
      <c r="E250">
        <v>1</v>
      </c>
      <c r="F250">
        <v>0</v>
      </c>
      <c r="G250">
        <v>0</v>
      </c>
      <c r="H250">
        <v>3</v>
      </c>
      <c r="I250">
        <v>0.5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0.5</v>
      </c>
      <c r="P250" t="s">
        <v>100</v>
      </c>
      <c r="Q250">
        <v>0</v>
      </c>
      <c r="R250" t="s">
        <v>145</v>
      </c>
      <c r="S250">
        <v>0</v>
      </c>
    </row>
    <row r="251" spans="1:19">
      <c r="A251" t="s">
        <v>35</v>
      </c>
      <c r="B251" t="s">
        <v>1082</v>
      </c>
      <c r="C251">
        <f>"8305"</f>
        <v>0</v>
      </c>
      <c r="D251">
        <v>1</v>
      </c>
      <c r="E251">
        <v>1</v>
      </c>
      <c r="F251">
        <v>0</v>
      </c>
      <c r="G251">
        <v>0</v>
      </c>
      <c r="H251">
        <v>2</v>
      </c>
      <c r="I251">
        <v>0.5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0.5</v>
      </c>
      <c r="P251" t="s">
        <v>100</v>
      </c>
      <c r="Q251">
        <v>0</v>
      </c>
      <c r="R251" t="s">
        <v>145</v>
      </c>
      <c r="S251">
        <v>0</v>
      </c>
    </row>
    <row r="252" spans="1:19">
      <c r="A252" t="s">
        <v>35</v>
      </c>
      <c r="B252" t="s">
        <v>1030</v>
      </c>
      <c r="C252">
        <f>"CT027"</f>
        <v>0</v>
      </c>
      <c r="D252">
        <v>1</v>
      </c>
      <c r="E252">
        <v>1</v>
      </c>
      <c r="F252">
        <v>0</v>
      </c>
      <c r="G252">
        <v>0</v>
      </c>
      <c r="H252">
        <v>2</v>
      </c>
      <c r="I252">
        <v>0.5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0.5</v>
      </c>
      <c r="P252" t="s">
        <v>100</v>
      </c>
      <c r="Q252">
        <v>0</v>
      </c>
      <c r="R252" t="s">
        <v>145</v>
      </c>
      <c r="S252">
        <v>0</v>
      </c>
    </row>
    <row r="253" spans="1:19">
      <c r="A253" t="s">
        <v>35</v>
      </c>
      <c r="B253" t="s">
        <v>883</v>
      </c>
      <c r="C253">
        <f>"ZCM10G"</f>
        <v>0</v>
      </c>
      <c r="D253">
        <v>0</v>
      </c>
      <c r="E253">
        <v>2</v>
      </c>
      <c r="F253">
        <v>1</v>
      </c>
      <c r="G253">
        <v>0</v>
      </c>
      <c r="H253">
        <v>3</v>
      </c>
      <c r="I253">
        <v>0.5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0.5</v>
      </c>
      <c r="P253" t="s">
        <v>100</v>
      </c>
      <c r="Q253">
        <v>0</v>
      </c>
      <c r="R253" t="s">
        <v>145</v>
      </c>
      <c r="S253">
        <v>0</v>
      </c>
    </row>
    <row r="254" spans="1:19">
      <c r="A254" t="s">
        <v>35</v>
      </c>
      <c r="B254" t="s">
        <v>1062</v>
      </c>
      <c r="C254">
        <f>"168R"</f>
        <v>0</v>
      </c>
      <c r="D254">
        <v>1</v>
      </c>
      <c r="E254">
        <v>1</v>
      </c>
      <c r="F254">
        <v>0</v>
      </c>
      <c r="G254">
        <v>0</v>
      </c>
      <c r="H254">
        <v>2</v>
      </c>
      <c r="I254">
        <v>0.5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0.5</v>
      </c>
      <c r="P254" t="s">
        <v>100</v>
      </c>
      <c r="Q254">
        <v>0</v>
      </c>
      <c r="R254" t="s">
        <v>145</v>
      </c>
      <c r="S254">
        <v>0</v>
      </c>
    </row>
    <row r="255" spans="1:19">
      <c r="A255" t="s">
        <v>35</v>
      </c>
      <c r="B255" t="s">
        <v>987</v>
      </c>
      <c r="C255">
        <f>"KM5065ROS"</f>
        <v>0</v>
      </c>
      <c r="D255">
        <v>0</v>
      </c>
      <c r="E255">
        <v>1</v>
      </c>
      <c r="F255">
        <v>1</v>
      </c>
      <c r="G255">
        <v>0</v>
      </c>
      <c r="H255">
        <v>2</v>
      </c>
      <c r="I255">
        <v>0.5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0.5</v>
      </c>
      <c r="P255" t="s">
        <v>100</v>
      </c>
      <c r="Q255">
        <v>0</v>
      </c>
      <c r="R255" t="s">
        <v>145</v>
      </c>
      <c r="S255">
        <v>0</v>
      </c>
    </row>
    <row r="256" spans="1:19">
      <c r="A256" t="s">
        <v>35</v>
      </c>
      <c r="B256" t="s">
        <v>996</v>
      </c>
      <c r="C256">
        <f>"KM5065CEL"</f>
        <v>0</v>
      </c>
      <c r="D256">
        <v>1</v>
      </c>
      <c r="E256">
        <v>1</v>
      </c>
      <c r="F256">
        <v>0</v>
      </c>
      <c r="G256">
        <v>0</v>
      </c>
      <c r="H256">
        <v>2</v>
      </c>
      <c r="I256">
        <v>0.5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0.5</v>
      </c>
      <c r="P256" t="s">
        <v>100</v>
      </c>
      <c r="Q256">
        <v>0</v>
      </c>
      <c r="R256" t="s">
        <v>145</v>
      </c>
      <c r="S256">
        <v>0</v>
      </c>
    </row>
    <row r="257" spans="1:19">
      <c r="A257" t="s">
        <v>35</v>
      </c>
      <c r="B257" t="s">
        <v>920</v>
      </c>
      <c r="C257">
        <f>"C405"</f>
        <v>0</v>
      </c>
      <c r="D257">
        <v>2</v>
      </c>
      <c r="E257">
        <v>1</v>
      </c>
      <c r="F257">
        <v>0</v>
      </c>
      <c r="G257">
        <v>0</v>
      </c>
      <c r="H257">
        <v>3</v>
      </c>
      <c r="I257">
        <v>0.5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0.5</v>
      </c>
      <c r="P257" t="s">
        <v>100</v>
      </c>
      <c r="Q257">
        <v>0</v>
      </c>
      <c r="R257" t="s">
        <v>145</v>
      </c>
      <c r="S257">
        <v>0</v>
      </c>
    </row>
    <row r="258" spans="1:19">
      <c r="A258" t="s">
        <v>35</v>
      </c>
      <c r="B258" t="s">
        <v>1618</v>
      </c>
      <c r="C258">
        <f>"HDD095"</f>
        <v>0</v>
      </c>
      <c r="D258">
        <v>8</v>
      </c>
      <c r="E258">
        <v>4</v>
      </c>
      <c r="F258">
        <v>4</v>
      </c>
      <c r="G258">
        <v>0</v>
      </c>
      <c r="H258">
        <v>16</v>
      </c>
      <c r="I258">
        <v>4</v>
      </c>
      <c r="J258">
        <v>3</v>
      </c>
      <c r="K258">
        <v>2.835</v>
      </c>
      <c r="L258" s="2">
        <v>1</v>
      </c>
      <c r="M258">
        <v>1</v>
      </c>
      <c r="N258" s="2">
        <v>1</v>
      </c>
      <c r="O258">
        <v>0.4000000000000004</v>
      </c>
      <c r="P258" t="s">
        <v>100</v>
      </c>
      <c r="Q258">
        <v>0</v>
      </c>
      <c r="R258" t="s">
        <v>145</v>
      </c>
      <c r="S258">
        <v>0</v>
      </c>
    </row>
    <row r="259" spans="1:19">
      <c r="A259" t="s">
        <v>35</v>
      </c>
      <c r="B259" t="s">
        <v>1580</v>
      </c>
      <c r="C259">
        <f>"BRI131"</f>
        <v>0</v>
      </c>
      <c r="D259">
        <v>6</v>
      </c>
      <c r="E259">
        <v>3</v>
      </c>
      <c r="F259">
        <v>0</v>
      </c>
      <c r="G259">
        <v>0</v>
      </c>
      <c r="H259">
        <v>9</v>
      </c>
      <c r="I259">
        <v>1.5</v>
      </c>
      <c r="J259">
        <v>1</v>
      </c>
      <c r="K259">
        <v>1.791</v>
      </c>
      <c r="L259" s="2">
        <v>2</v>
      </c>
      <c r="M259">
        <v>0</v>
      </c>
      <c r="N259" s="2">
        <v>0</v>
      </c>
      <c r="O259">
        <v>0.3</v>
      </c>
      <c r="P259" t="s">
        <v>100</v>
      </c>
      <c r="Q259">
        <v>0</v>
      </c>
      <c r="R259" t="s">
        <v>145</v>
      </c>
      <c r="S259">
        <v>0</v>
      </c>
    </row>
    <row r="260" spans="1:19">
      <c r="A260" t="s">
        <v>35</v>
      </c>
      <c r="B260" t="s">
        <v>1874</v>
      </c>
      <c r="C260">
        <f>"PNL"</f>
        <v>0</v>
      </c>
      <c r="D260">
        <v>0</v>
      </c>
      <c r="E260">
        <v>0</v>
      </c>
      <c r="F260">
        <v>0</v>
      </c>
      <c r="G260">
        <v>1</v>
      </c>
      <c r="H260">
        <v>1</v>
      </c>
      <c r="I260">
        <v>0</v>
      </c>
      <c r="J260">
        <v>4</v>
      </c>
      <c r="K260">
        <v>10.044</v>
      </c>
      <c r="L260" s="2">
        <v>3</v>
      </c>
      <c r="M260">
        <v>0</v>
      </c>
      <c r="N260" s="2">
        <v>0</v>
      </c>
      <c r="O260">
        <v>0.2000000000000002</v>
      </c>
      <c r="P260" t="s">
        <v>11022</v>
      </c>
      <c r="Q260">
        <v>2.186</v>
      </c>
      <c r="R260" t="s">
        <v>11177</v>
      </c>
      <c r="S260">
        <v>1</v>
      </c>
    </row>
    <row r="261" spans="1:19">
      <c r="A261" t="s">
        <v>35</v>
      </c>
      <c r="B261" t="s">
        <v>2337</v>
      </c>
      <c r="C261">
        <f>"MSP108N"</f>
        <v>0</v>
      </c>
      <c r="D261">
        <v>0</v>
      </c>
      <c r="E261">
        <v>0</v>
      </c>
      <c r="F261">
        <v>0</v>
      </c>
      <c r="G261">
        <v>1</v>
      </c>
      <c r="H261">
        <v>1</v>
      </c>
      <c r="I261">
        <v>0</v>
      </c>
      <c r="J261">
        <v>4</v>
      </c>
      <c r="K261">
        <v>41.58</v>
      </c>
      <c r="L261" s="2">
        <v>10</v>
      </c>
      <c r="M261">
        <v>0</v>
      </c>
      <c r="N261" s="2">
        <v>0</v>
      </c>
      <c r="O261">
        <v>0.2000000000000002</v>
      </c>
      <c r="P261" t="s">
        <v>10618</v>
      </c>
      <c r="Q261">
        <v>1.466</v>
      </c>
      <c r="R261" t="s">
        <v>10403</v>
      </c>
      <c r="S261">
        <v>1</v>
      </c>
    </row>
    <row r="262" spans="1:19">
      <c r="A262" t="s">
        <v>35</v>
      </c>
      <c r="B262" t="s">
        <v>1703</v>
      </c>
      <c r="C262">
        <f>"KF8069B"</f>
        <v>0</v>
      </c>
      <c r="D262">
        <v>8</v>
      </c>
      <c r="E262">
        <v>1</v>
      </c>
      <c r="F262">
        <v>5</v>
      </c>
      <c r="G262">
        <v>1</v>
      </c>
      <c r="H262">
        <v>15</v>
      </c>
      <c r="I262">
        <v>3</v>
      </c>
      <c r="J262">
        <v>4</v>
      </c>
      <c r="K262">
        <v>82.443</v>
      </c>
      <c r="L262" s="2">
        <v>21</v>
      </c>
      <c r="M262">
        <v>0</v>
      </c>
      <c r="N262" s="2">
        <v>0</v>
      </c>
      <c r="O262">
        <v>0.2000000000000002</v>
      </c>
      <c r="P262" t="s">
        <v>10877</v>
      </c>
      <c r="Q262">
        <v>12.599</v>
      </c>
      <c r="R262" t="s">
        <v>11178</v>
      </c>
      <c r="S262">
        <v>0</v>
      </c>
    </row>
    <row r="263" spans="1:19">
      <c r="A263" t="s">
        <v>35</v>
      </c>
      <c r="B263" t="s">
        <v>1744</v>
      </c>
      <c r="C263">
        <f>"D053S"</f>
        <v>0</v>
      </c>
      <c r="D263">
        <v>6</v>
      </c>
      <c r="E263">
        <v>5</v>
      </c>
      <c r="F263">
        <v>1</v>
      </c>
      <c r="G263">
        <v>1</v>
      </c>
      <c r="H263">
        <v>13</v>
      </c>
      <c r="I263">
        <v>3</v>
      </c>
      <c r="J263">
        <v>4</v>
      </c>
      <c r="K263">
        <v>2.7</v>
      </c>
      <c r="L263" s="2">
        <v>1</v>
      </c>
      <c r="M263">
        <v>0</v>
      </c>
      <c r="N263" s="2">
        <v>0</v>
      </c>
      <c r="O263">
        <v>0.2000000000000002</v>
      </c>
      <c r="P263" t="s">
        <v>11043</v>
      </c>
      <c r="Q263">
        <v>1.501</v>
      </c>
      <c r="R263" t="s">
        <v>11179</v>
      </c>
      <c r="S263">
        <v>0</v>
      </c>
    </row>
    <row r="264" spans="1:19">
      <c r="A264" t="s">
        <v>35</v>
      </c>
      <c r="B264" t="s">
        <v>2336</v>
      </c>
      <c r="C264">
        <f>"FB6733XLR"</f>
        <v>0</v>
      </c>
      <c r="D264">
        <v>0</v>
      </c>
      <c r="E264">
        <v>0</v>
      </c>
      <c r="F264">
        <v>0</v>
      </c>
      <c r="G264">
        <v>1</v>
      </c>
      <c r="H264">
        <v>1</v>
      </c>
      <c r="I264">
        <v>0</v>
      </c>
      <c r="J264">
        <v>4</v>
      </c>
      <c r="K264">
        <v>24.65</v>
      </c>
      <c r="L264" s="2">
        <v>6</v>
      </c>
      <c r="M264">
        <v>0</v>
      </c>
      <c r="N264" s="2">
        <v>0</v>
      </c>
      <c r="O264">
        <v>0.2000000000000002</v>
      </c>
      <c r="P264" t="s">
        <v>11044</v>
      </c>
      <c r="Q264">
        <v>1.595</v>
      </c>
      <c r="R264" t="s">
        <v>11180</v>
      </c>
      <c r="S264">
        <v>1</v>
      </c>
    </row>
    <row r="265" spans="1:19">
      <c r="A265" t="s">
        <v>35</v>
      </c>
      <c r="B265" t="s">
        <v>1804</v>
      </c>
      <c r="C265">
        <f>"KF6004A"</f>
        <v>0</v>
      </c>
      <c r="D265">
        <v>0</v>
      </c>
      <c r="E265">
        <v>0</v>
      </c>
      <c r="F265">
        <v>2</v>
      </c>
      <c r="G265">
        <v>2</v>
      </c>
      <c r="H265">
        <v>4</v>
      </c>
      <c r="I265">
        <v>1</v>
      </c>
      <c r="J265">
        <v>4</v>
      </c>
      <c r="K265">
        <v>162.12</v>
      </c>
      <c r="L265" s="2">
        <v>41</v>
      </c>
      <c r="M265">
        <v>0</v>
      </c>
      <c r="N265" s="2">
        <v>0</v>
      </c>
      <c r="O265">
        <v>0.2000000000000002</v>
      </c>
      <c r="P265" t="s">
        <v>11045</v>
      </c>
      <c r="Q265">
        <v>21.814</v>
      </c>
      <c r="R265" t="s">
        <v>11181</v>
      </c>
      <c r="S265">
        <v>0</v>
      </c>
    </row>
    <row r="266" spans="1:19">
      <c r="A266" t="s">
        <v>35</v>
      </c>
      <c r="B266" t="s">
        <v>6704</v>
      </c>
      <c r="C266">
        <f>"WIN23VE"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100</v>
      </c>
      <c r="Q266">
        <v>0</v>
      </c>
      <c r="R266" t="s">
        <v>145</v>
      </c>
      <c r="S266">
        <v>0</v>
      </c>
    </row>
    <row r="267" spans="1:19">
      <c r="A267" t="s">
        <v>35</v>
      </c>
      <c r="B267" t="s">
        <v>3570</v>
      </c>
      <c r="C267">
        <f>"A40"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100</v>
      </c>
      <c r="Q267">
        <v>0</v>
      </c>
      <c r="R267" t="s">
        <v>145</v>
      </c>
      <c r="S267">
        <v>0</v>
      </c>
    </row>
    <row r="268" spans="1:19">
      <c r="A268" t="s">
        <v>35</v>
      </c>
      <c r="B268" t="s">
        <v>3571</v>
      </c>
      <c r="C268">
        <f>"MK01XLP"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100</v>
      </c>
      <c r="Q268">
        <v>0</v>
      </c>
      <c r="R268" t="s">
        <v>145</v>
      </c>
      <c r="S268">
        <v>0</v>
      </c>
    </row>
    <row r="269" spans="1:19">
      <c r="A269" t="s">
        <v>35</v>
      </c>
      <c r="B269" t="s">
        <v>3572</v>
      </c>
      <c r="C269">
        <f>"MK01SP"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100</v>
      </c>
      <c r="Q269">
        <v>0</v>
      </c>
      <c r="R269" t="s">
        <v>145</v>
      </c>
      <c r="S269">
        <v>0</v>
      </c>
    </row>
    <row r="270" spans="1:19">
      <c r="A270" t="s">
        <v>35</v>
      </c>
      <c r="B270" t="s">
        <v>3573</v>
      </c>
      <c r="C270">
        <f>"MK01MP"</f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100</v>
      </c>
      <c r="Q270">
        <v>0</v>
      </c>
      <c r="R270" t="s">
        <v>145</v>
      </c>
      <c r="S270">
        <v>0</v>
      </c>
    </row>
    <row r="271" spans="1:19">
      <c r="A271" t="s">
        <v>35</v>
      </c>
      <c r="B271" t="s">
        <v>3606</v>
      </c>
      <c r="C271">
        <f>"1823ROS"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100</v>
      </c>
      <c r="Q271">
        <v>0</v>
      </c>
      <c r="R271" t="s">
        <v>145</v>
      </c>
      <c r="S271">
        <v>0</v>
      </c>
    </row>
    <row r="272" spans="1:19">
      <c r="A272" t="s">
        <v>35</v>
      </c>
      <c r="B272" t="s">
        <v>3607</v>
      </c>
      <c r="C272">
        <f>"1823R"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100</v>
      </c>
      <c r="Q272">
        <v>0</v>
      </c>
      <c r="R272" t="s">
        <v>145</v>
      </c>
      <c r="S272">
        <v>0</v>
      </c>
    </row>
    <row r="273" spans="1:19">
      <c r="A273" t="s">
        <v>35</v>
      </c>
      <c r="B273" t="s">
        <v>6804</v>
      </c>
      <c r="C273">
        <f>"KX4130"</f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100</v>
      </c>
      <c r="Q273">
        <v>0</v>
      </c>
      <c r="R273" t="s">
        <v>145</v>
      </c>
      <c r="S273">
        <v>0</v>
      </c>
    </row>
    <row r="274" spans="1:19">
      <c r="A274" t="s">
        <v>35</v>
      </c>
      <c r="B274" t="s">
        <v>6700</v>
      </c>
      <c r="C274">
        <f>"KX4129"</f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100</v>
      </c>
      <c r="Q274">
        <v>0</v>
      </c>
      <c r="R274" t="s">
        <v>145</v>
      </c>
      <c r="S274">
        <v>0</v>
      </c>
    </row>
    <row r="275" spans="1:19">
      <c r="A275" t="s">
        <v>35</v>
      </c>
      <c r="B275" t="s">
        <v>6728</v>
      </c>
      <c r="C275">
        <f>"4000760"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100</v>
      </c>
      <c r="Q275">
        <v>0</v>
      </c>
      <c r="R275" t="s">
        <v>145</v>
      </c>
      <c r="S275">
        <v>0</v>
      </c>
    </row>
    <row r="276" spans="1:19">
      <c r="A276" t="s">
        <v>35</v>
      </c>
      <c r="B276" t="s">
        <v>6729</v>
      </c>
      <c r="C276">
        <f>"200000050"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100</v>
      </c>
      <c r="Q276">
        <v>0</v>
      </c>
      <c r="R276" t="s">
        <v>145</v>
      </c>
      <c r="S276">
        <v>0</v>
      </c>
    </row>
    <row r="277" spans="1:19">
      <c r="A277" t="s">
        <v>35</v>
      </c>
      <c r="B277" t="s">
        <v>6714</v>
      </c>
      <c r="C277">
        <f>"4000821"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100</v>
      </c>
      <c r="Q277">
        <v>0</v>
      </c>
      <c r="R277" t="s">
        <v>145</v>
      </c>
      <c r="S277">
        <v>0</v>
      </c>
    </row>
    <row r="278" spans="1:19">
      <c r="A278" t="s">
        <v>35</v>
      </c>
      <c r="B278" t="s">
        <v>6670</v>
      </c>
      <c r="C278">
        <f>"4000753"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100</v>
      </c>
      <c r="Q278">
        <v>0</v>
      </c>
      <c r="R278" t="s">
        <v>145</v>
      </c>
      <c r="S278">
        <v>0</v>
      </c>
    </row>
    <row r="279" spans="1:19">
      <c r="A279" t="s">
        <v>35</v>
      </c>
      <c r="B279" t="s">
        <v>6702</v>
      </c>
      <c r="C279">
        <f>"win24"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100</v>
      </c>
      <c r="Q279">
        <v>0</v>
      </c>
      <c r="R279" t="s">
        <v>145</v>
      </c>
      <c r="S279">
        <v>0</v>
      </c>
    </row>
    <row r="280" spans="1:19">
      <c r="A280" t="s">
        <v>35</v>
      </c>
      <c r="B280" t="s">
        <v>6703</v>
      </c>
      <c r="C280">
        <f>"win23"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100</v>
      </c>
      <c r="Q280">
        <v>0</v>
      </c>
      <c r="R280" t="s">
        <v>145</v>
      </c>
      <c r="S280">
        <v>0</v>
      </c>
    </row>
    <row r="281" spans="1:19">
      <c r="A281" t="s">
        <v>35</v>
      </c>
      <c r="B281" t="s">
        <v>3608</v>
      </c>
      <c r="C281">
        <f>"1823A"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100</v>
      </c>
      <c r="Q281">
        <v>0</v>
      </c>
      <c r="R281" t="s">
        <v>145</v>
      </c>
      <c r="S281">
        <v>0</v>
      </c>
    </row>
    <row r="282" spans="1:19">
      <c r="A282" t="s">
        <v>35</v>
      </c>
      <c r="B282" t="s">
        <v>6695</v>
      </c>
      <c r="C282">
        <f>"DX031SRJ"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100</v>
      </c>
      <c r="Q282">
        <v>0</v>
      </c>
      <c r="R282" t="s">
        <v>145</v>
      </c>
      <c r="S282">
        <v>0</v>
      </c>
    </row>
    <row r="283" spans="1:19">
      <c r="A283" t="s">
        <v>35</v>
      </c>
      <c r="B283" t="s">
        <v>6694</v>
      </c>
      <c r="C283">
        <f>"DX031SR"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100</v>
      </c>
      <c r="Q283">
        <v>0</v>
      </c>
      <c r="R283" t="s">
        <v>145</v>
      </c>
      <c r="S283">
        <v>0</v>
      </c>
    </row>
    <row r="284" spans="1:19">
      <c r="A284" t="s">
        <v>35</v>
      </c>
      <c r="B284" t="s">
        <v>6693</v>
      </c>
      <c r="C284">
        <f>"142212"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100</v>
      </c>
      <c r="Q284">
        <v>0</v>
      </c>
      <c r="R284" t="s">
        <v>145</v>
      </c>
      <c r="S284">
        <v>0</v>
      </c>
    </row>
    <row r="285" spans="1:19">
      <c r="A285" t="s">
        <v>35</v>
      </c>
      <c r="B285" t="s">
        <v>6692</v>
      </c>
      <c r="C285">
        <f>"142213"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100</v>
      </c>
      <c r="Q285">
        <v>0</v>
      </c>
      <c r="R285" t="s">
        <v>145</v>
      </c>
      <c r="S285">
        <v>0</v>
      </c>
    </row>
    <row r="286" spans="1:19">
      <c r="A286" t="s">
        <v>35</v>
      </c>
      <c r="B286" t="s">
        <v>6691</v>
      </c>
      <c r="C286">
        <f>"142214"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100</v>
      </c>
      <c r="Q286">
        <v>0</v>
      </c>
      <c r="R286" t="s">
        <v>145</v>
      </c>
      <c r="S286">
        <v>0</v>
      </c>
    </row>
    <row r="287" spans="1:19">
      <c r="A287" t="s">
        <v>35</v>
      </c>
      <c r="B287" t="s">
        <v>6780</v>
      </c>
      <c r="C287">
        <f>"JW5041LN"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100</v>
      </c>
      <c r="Q287">
        <v>0</v>
      </c>
      <c r="R287" t="s">
        <v>145</v>
      </c>
      <c r="S287">
        <v>0</v>
      </c>
    </row>
    <row r="288" spans="1:19">
      <c r="A288" t="s">
        <v>35</v>
      </c>
      <c r="B288" t="s">
        <v>6779</v>
      </c>
      <c r="C288">
        <f>"JW5041LRJ"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100</v>
      </c>
      <c r="Q288">
        <v>0</v>
      </c>
      <c r="R288" t="s">
        <v>145</v>
      </c>
      <c r="S288">
        <v>0</v>
      </c>
    </row>
    <row r="289" spans="1:19">
      <c r="A289" t="s">
        <v>35</v>
      </c>
      <c r="B289" t="s">
        <v>3601</v>
      </c>
      <c r="C289">
        <f>"MK01MN"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100</v>
      </c>
      <c r="Q289">
        <v>0</v>
      </c>
      <c r="R289" t="s">
        <v>145</v>
      </c>
      <c r="S289">
        <v>0</v>
      </c>
    </row>
    <row r="290" spans="1:19">
      <c r="A290" t="s">
        <v>35</v>
      </c>
      <c r="B290" t="s">
        <v>6777</v>
      </c>
      <c r="C290">
        <f>"JW5041MA"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100</v>
      </c>
      <c r="Q290">
        <v>0</v>
      </c>
      <c r="R290" t="s">
        <v>145</v>
      </c>
      <c r="S290">
        <v>0</v>
      </c>
    </row>
    <row r="291" spans="1:19">
      <c r="A291" t="s">
        <v>35</v>
      </c>
      <c r="B291" t="s">
        <v>6680</v>
      </c>
      <c r="C291">
        <f>"4000432"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100</v>
      </c>
      <c r="Q291">
        <v>0</v>
      </c>
      <c r="R291" t="s">
        <v>145</v>
      </c>
      <c r="S291">
        <v>0</v>
      </c>
    </row>
    <row r="292" spans="1:19">
      <c r="A292" t="s">
        <v>35</v>
      </c>
      <c r="B292" t="s">
        <v>6679</v>
      </c>
      <c r="C292">
        <f>"8000084"</f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100</v>
      </c>
      <c r="Q292">
        <v>0</v>
      </c>
      <c r="R292" t="s">
        <v>145</v>
      </c>
      <c r="S292">
        <v>0</v>
      </c>
    </row>
    <row r="293" spans="1:19">
      <c r="A293" t="s">
        <v>35</v>
      </c>
      <c r="B293" t="s">
        <v>6678</v>
      </c>
      <c r="C293">
        <f>"4000449"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100</v>
      </c>
      <c r="Q293">
        <v>0</v>
      </c>
      <c r="R293" t="s">
        <v>145</v>
      </c>
      <c r="S293">
        <v>0</v>
      </c>
    </row>
    <row r="294" spans="1:19">
      <c r="A294" t="s">
        <v>35</v>
      </c>
      <c r="B294" t="s">
        <v>6677</v>
      </c>
      <c r="C294">
        <f>"4000456"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100</v>
      </c>
      <c r="Q294">
        <v>0</v>
      </c>
      <c r="R294" t="s">
        <v>145</v>
      </c>
      <c r="S294">
        <v>0</v>
      </c>
    </row>
    <row r="295" spans="1:19">
      <c r="A295" t="s">
        <v>35</v>
      </c>
      <c r="B295" t="s">
        <v>6676</v>
      </c>
      <c r="C295">
        <f>"4000463"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100</v>
      </c>
      <c r="Q295">
        <v>0</v>
      </c>
      <c r="R295" t="s">
        <v>145</v>
      </c>
      <c r="S295">
        <v>0</v>
      </c>
    </row>
    <row r="296" spans="1:19">
      <c r="A296" t="s">
        <v>35</v>
      </c>
      <c r="B296" t="s">
        <v>3515</v>
      </c>
      <c r="C296">
        <f>"MK01SB"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100</v>
      </c>
      <c r="Q296">
        <v>0</v>
      </c>
      <c r="R296" t="s">
        <v>145</v>
      </c>
      <c r="S296">
        <v>0</v>
      </c>
    </row>
    <row r="297" spans="1:19">
      <c r="A297" t="s">
        <v>35</v>
      </c>
      <c r="B297" t="s">
        <v>3514</v>
      </c>
      <c r="C297">
        <f>"MK01XLB"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100</v>
      </c>
      <c r="Q297">
        <v>0</v>
      </c>
      <c r="R297" t="s">
        <v>145</v>
      </c>
      <c r="S297">
        <v>0</v>
      </c>
    </row>
    <row r="298" spans="1:19">
      <c r="A298" t="s">
        <v>35</v>
      </c>
      <c r="B298" t="s">
        <v>6778</v>
      </c>
      <c r="C298">
        <f>"JW5041LR"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100</v>
      </c>
      <c r="Q298">
        <v>0</v>
      </c>
      <c r="R298" t="s">
        <v>145</v>
      </c>
      <c r="S298">
        <v>0</v>
      </c>
    </row>
    <row r="299" spans="1:19">
      <c r="A299" t="s">
        <v>35</v>
      </c>
      <c r="B299" t="s">
        <v>6767</v>
      </c>
      <c r="C299">
        <f>"1761CALIM"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100</v>
      </c>
      <c r="Q299">
        <v>0</v>
      </c>
      <c r="R299" t="s">
        <v>145</v>
      </c>
      <c r="S299">
        <v>0</v>
      </c>
    </row>
    <row r="300" spans="1:19">
      <c r="A300" t="s">
        <v>35</v>
      </c>
      <c r="B300" t="s">
        <v>3525</v>
      </c>
      <c r="C300">
        <f>"9381GA"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100</v>
      </c>
      <c r="Q300">
        <v>0</v>
      </c>
      <c r="R300" t="s">
        <v>145</v>
      </c>
      <c r="S300">
        <v>0</v>
      </c>
    </row>
    <row r="301" spans="1:19">
      <c r="A301" t="s">
        <v>35</v>
      </c>
      <c r="B301" t="s">
        <v>3523</v>
      </c>
      <c r="C301">
        <f>"9381GNA"</f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100</v>
      </c>
      <c r="Q301">
        <v>0</v>
      </c>
      <c r="R301" t="s">
        <v>145</v>
      </c>
      <c r="S301">
        <v>0</v>
      </c>
    </row>
    <row r="302" spans="1:19">
      <c r="A302" t="s">
        <v>35</v>
      </c>
      <c r="B302" t="s">
        <v>3537</v>
      </c>
      <c r="C302">
        <f>"9381GV"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100</v>
      </c>
      <c r="Q302">
        <v>0</v>
      </c>
      <c r="R302" t="s">
        <v>145</v>
      </c>
      <c r="S302">
        <v>0</v>
      </c>
    </row>
    <row r="303" spans="1:19">
      <c r="A303" t="s">
        <v>35</v>
      </c>
      <c r="B303" t="s">
        <v>3521</v>
      </c>
      <c r="C303">
        <f>"A17"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100</v>
      </c>
      <c r="Q303">
        <v>0</v>
      </c>
      <c r="R303" t="s">
        <v>145</v>
      </c>
      <c r="S303">
        <v>0</v>
      </c>
    </row>
    <row r="304" spans="1:19">
      <c r="A304" t="s">
        <v>35</v>
      </c>
      <c r="B304" t="s">
        <v>3729</v>
      </c>
      <c r="C304">
        <f>"25395634"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100</v>
      </c>
      <c r="Q304">
        <v>0</v>
      </c>
      <c r="R304" t="s">
        <v>145</v>
      </c>
      <c r="S304">
        <v>0</v>
      </c>
    </row>
    <row r="305" spans="1:19">
      <c r="A305" t="s">
        <v>35</v>
      </c>
      <c r="B305" t="s">
        <v>3660</v>
      </c>
      <c r="C305">
        <f>"25702813"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100</v>
      </c>
      <c r="Q305">
        <v>0</v>
      </c>
      <c r="R305" t="s">
        <v>145</v>
      </c>
      <c r="S305">
        <v>0</v>
      </c>
    </row>
    <row r="306" spans="1:19">
      <c r="A306" t="s">
        <v>35</v>
      </c>
      <c r="B306" t="s">
        <v>1465</v>
      </c>
      <c r="C306">
        <f>"DX031SN"</f>
        <v>0</v>
      </c>
      <c r="D306">
        <v>0</v>
      </c>
      <c r="E306">
        <v>1</v>
      </c>
      <c r="F306">
        <v>0</v>
      </c>
      <c r="G306">
        <v>0</v>
      </c>
      <c r="H306">
        <v>1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100</v>
      </c>
      <c r="Q306">
        <v>0</v>
      </c>
      <c r="R306" t="s">
        <v>145</v>
      </c>
      <c r="S306">
        <v>0</v>
      </c>
    </row>
    <row r="307" spans="1:19">
      <c r="A307" t="s">
        <v>35</v>
      </c>
      <c r="B307" t="s">
        <v>4339</v>
      </c>
      <c r="C307">
        <f>"018214833666"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100</v>
      </c>
      <c r="Q307">
        <v>0</v>
      </c>
      <c r="R307" t="s">
        <v>145</v>
      </c>
      <c r="S307">
        <v>0</v>
      </c>
    </row>
    <row r="308" spans="1:19">
      <c r="A308" t="s">
        <v>35</v>
      </c>
      <c r="B308" t="s">
        <v>6742</v>
      </c>
      <c r="C308">
        <f>"CPCWBM215M"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100</v>
      </c>
      <c r="Q308">
        <v>0</v>
      </c>
      <c r="R308" t="s">
        <v>145</v>
      </c>
      <c r="S308">
        <v>0</v>
      </c>
    </row>
    <row r="309" spans="1:19">
      <c r="A309" t="s">
        <v>35</v>
      </c>
      <c r="B309" t="s">
        <v>3535</v>
      </c>
      <c r="C309">
        <f>"XC04A"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100</v>
      </c>
      <c r="Q309">
        <v>0</v>
      </c>
      <c r="R309" t="s">
        <v>145</v>
      </c>
      <c r="S309">
        <v>0</v>
      </c>
    </row>
    <row r="310" spans="1:19">
      <c r="A310" t="s">
        <v>35</v>
      </c>
      <c r="B310" t="s">
        <v>3534</v>
      </c>
      <c r="C310">
        <f>"XC04B"</f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100</v>
      </c>
      <c r="Q310">
        <v>0</v>
      </c>
      <c r="R310" t="s">
        <v>145</v>
      </c>
      <c r="S310">
        <v>0</v>
      </c>
    </row>
    <row r="311" spans="1:19">
      <c r="A311" t="s">
        <v>35</v>
      </c>
      <c r="B311" t="s">
        <v>3533</v>
      </c>
      <c r="C311">
        <f>"XC04C"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100</v>
      </c>
      <c r="Q311">
        <v>0</v>
      </c>
      <c r="R311" t="s">
        <v>145</v>
      </c>
      <c r="S311">
        <v>0</v>
      </c>
    </row>
    <row r="312" spans="1:19">
      <c r="A312" t="s">
        <v>35</v>
      </c>
      <c r="B312" t="s">
        <v>3508</v>
      </c>
      <c r="C312">
        <f>"XC04N"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100</v>
      </c>
      <c r="Q312">
        <v>0</v>
      </c>
      <c r="R312" t="s">
        <v>145</v>
      </c>
      <c r="S312">
        <v>0</v>
      </c>
    </row>
    <row r="313" spans="1:19">
      <c r="A313" t="s">
        <v>35</v>
      </c>
      <c r="B313" t="s">
        <v>3552</v>
      </c>
      <c r="C313">
        <f>"XC04R"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100</v>
      </c>
      <c r="Q313">
        <v>0</v>
      </c>
      <c r="R313" t="s">
        <v>145</v>
      </c>
      <c r="S313">
        <v>0</v>
      </c>
    </row>
    <row r="314" spans="1:19">
      <c r="A314" t="s">
        <v>35</v>
      </c>
      <c r="B314" t="s">
        <v>6726</v>
      </c>
      <c r="C314">
        <f>"DX031SA"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100</v>
      </c>
      <c r="Q314">
        <v>0</v>
      </c>
      <c r="R314" t="s">
        <v>145</v>
      </c>
      <c r="S314">
        <v>0</v>
      </c>
    </row>
    <row r="315" spans="1:19">
      <c r="A315" t="s">
        <v>35</v>
      </c>
      <c r="B315" t="s">
        <v>950</v>
      </c>
      <c r="C315">
        <f>"NGA"</f>
        <v>0</v>
      </c>
      <c r="D315">
        <v>1</v>
      </c>
      <c r="E315">
        <v>0</v>
      </c>
      <c r="F315">
        <v>0</v>
      </c>
      <c r="G315">
        <v>0</v>
      </c>
      <c r="H315">
        <v>1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100</v>
      </c>
      <c r="Q315">
        <v>0</v>
      </c>
      <c r="R315" t="s">
        <v>145</v>
      </c>
      <c r="S315">
        <v>0</v>
      </c>
    </row>
    <row r="316" spans="1:19">
      <c r="A316" t="s">
        <v>35</v>
      </c>
      <c r="B316" t="s">
        <v>3618</v>
      </c>
      <c r="C316">
        <f>"763MIXAZUL"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100</v>
      </c>
      <c r="Q316">
        <v>0</v>
      </c>
      <c r="R316" t="s">
        <v>145</v>
      </c>
      <c r="S316">
        <v>0</v>
      </c>
    </row>
    <row r="317" spans="1:19">
      <c r="A317" t="s">
        <v>35</v>
      </c>
      <c r="B317" t="s">
        <v>3615</v>
      </c>
      <c r="C317">
        <f>"1868C"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100</v>
      </c>
      <c r="Q317">
        <v>0</v>
      </c>
      <c r="R317" t="s">
        <v>145</v>
      </c>
      <c r="S317">
        <v>0</v>
      </c>
    </row>
    <row r="318" spans="1:19">
      <c r="A318" t="s">
        <v>35</v>
      </c>
      <c r="B318" t="s">
        <v>3630</v>
      </c>
      <c r="C318">
        <f>"1868G"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100</v>
      </c>
      <c r="Q318">
        <v>0</v>
      </c>
      <c r="R318" t="s">
        <v>145</v>
      </c>
      <c r="S318">
        <v>0</v>
      </c>
    </row>
    <row r="319" spans="1:19">
      <c r="A319" t="s">
        <v>35</v>
      </c>
      <c r="B319" t="s">
        <v>3517</v>
      </c>
      <c r="C319">
        <f>"MK01LB"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100</v>
      </c>
      <c r="Q319">
        <v>0</v>
      </c>
      <c r="R319" t="s">
        <v>145</v>
      </c>
      <c r="S319">
        <v>0</v>
      </c>
    </row>
    <row r="320" spans="1:19">
      <c r="A320" t="s">
        <v>35</v>
      </c>
      <c r="B320" t="s">
        <v>3516</v>
      </c>
      <c r="C320">
        <f>"MK01MB"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100</v>
      </c>
      <c r="Q320">
        <v>0</v>
      </c>
      <c r="R320" t="s">
        <v>145</v>
      </c>
      <c r="S320">
        <v>0</v>
      </c>
    </row>
    <row r="321" spans="1:19">
      <c r="A321" t="s">
        <v>35</v>
      </c>
      <c r="B321" t="s">
        <v>6682</v>
      </c>
      <c r="C321">
        <f>"4000425"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100</v>
      </c>
      <c r="Q321">
        <v>0</v>
      </c>
      <c r="R321" t="s">
        <v>145</v>
      </c>
      <c r="S321">
        <v>0</v>
      </c>
    </row>
    <row r="322" spans="1:19">
      <c r="A322" t="s">
        <v>35</v>
      </c>
      <c r="B322" t="s">
        <v>6710</v>
      </c>
      <c r="C322">
        <f>"8000039"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100</v>
      </c>
      <c r="Q322">
        <v>0</v>
      </c>
      <c r="R322" t="s">
        <v>145</v>
      </c>
      <c r="S322">
        <v>0</v>
      </c>
    </row>
    <row r="323" spans="1:19">
      <c r="A323" t="s">
        <v>35</v>
      </c>
      <c r="B323" t="s">
        <v>3513</v>
      </c>
      <c r="C323">
        <f>"MK01LM"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100</v>
      </c>
      <c r="Q323">
        <v>0</v>
      </c>
      <c r="R323" t="s">
        <v>145</v>
      </c>
      <c r="S323">
        <v>0</v>
      </c>
    </row>
    <row r="324" spans="1:19">
      <c r="A324" t="s">
        <v>35</v>
      </c>
      <c r="B324" t="s">
        <v>6717</v>
      </c>
      <c r="C324">
        <f>"SL208A30"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100</v>
      </c>
      <c r="Q324">
        <v>0</v>
      </c>
      <c r="R324" t="s">
        <v>145</v>
      </c>
      <c r="S324">
        <v>0</v>
      </c>
    </row>
    <row r="325" spans="1:19">
      <c r="A325" t="s">
        <v>35</v>
      </c>
      <c r="B325" t="s">
        <v>6716</v>
      </c>
      <c r="C325">
        <f>"SL208A35"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100</v>
      </c>
      <c r="Q325">
        <v>0</v>
      </c>
      <c r="R325" t="s">
        <v>145</v>
      </c>
      <c r="S325">
        <v>0</v>
      </c>
    </row>
    <row r="326" spans="1:19">
      <c r="A326" t="s">
        <v>35</v>
      </c>
      <c r="B326" t="s">
        <v>6715</v>
      </c>
      <c r="C326">
        <f>"SL208A40"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100</v>
      </c>
      <c r="Q326">
        <v>0</v>
      </c>
      <c r="R326" t="s">
        <v>145</v>
      </c>
      <c r="S326">
        <v>0</v>
      </c>
    </row>
    <row r="327" spans="1:19">
      <c r="A327" t="s">
        <v>35</v>
      </c>
      <c r="B327" t="s">
        <v>6838</v>
      </c>
      <c r="C327">
        <f>"DN12"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100</v>
      </c>
      <c r="Q327">
        <v>0</v>
      </c>
      <c r="R327" t="s">
        <v>145</v>
      </c>
      <c r="S327">
        <v>0</v>
      </c>
    </row>
    <row r="328" spans="1:19">
      <c r="A328" t="s">
        <v>35</v>
      </c>
      <c r="B328" t="s">
        <v>6708</v>
      </c>
      <c r="C328">
        <f>"VSB1"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100</v>
      </c>
      <c r="Q328">
        <v>0</v>
      </c>
      <c r="R328" t="s">
        <v>145</v>
      </c>
      <c r="S328">
        <v>0</v>
      </c>
    </row>
    <row r="329" spans="1:19">
      <c r="A329" t="s">
        <v>35</v>
      </c>
      <c r="B329" t="s">
        <v>6707</v>
      </c>
      <c r="C329">
        <f>"WIN23CE"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100</v>
      </c>
      <c r="Q329">
        <v>0</v>
      </c>
      <c r="R329" t="s">
        <v>145</v>
      </c>
      <c r="S329">
        <v>0</v>
      </c>
    </row>
    <row r="330" spans="1:19">
      <c r="A330" t="s">
        <v>35</v>
      </c>
      <c r="B330" t="s">
        <v>6706</v>
      </c>
      <c r="C330">
        <f>"WIN23ROJ"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100</v>
      </c>
      <c r="Q330">
        <v>0</v>
      </c>
      <c r="R330" t="s">
        <v>145</v>
      </c>
      <c r="S330">
        <v>0</v>
      </c>
    </row>
    <row r="331" spans="1:19">
      <c r="A331" t="s">
        <v>35</v>
      </c>
      <c r="B331" t="s">
        <v>6705</v>
      </c>
      <c r="C331">
        <f>"WIN23ROS"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100</v>
      </c>
      <c r="Q331">
        <v>0</v>
      </c>
      <c r="R331" t="s">
        <v>145</v>
      </c>
      <c r="S331">
        <v>0</v>
      </c>
    </row>
    <row r="332" spans="1:19">
      <c r="A332" t="s">
        <v>35</v>
      </c>
      <c r="B332" t="s">
        <v>3531</v>
      </c>
      <c r="C332">
        <f>"FB896MNAR"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100</v>
      </c>
      <c r="Q332">
        <v>0</v>
      </c>
      <c r="R332" t="s">
        <v>145</v>
      </c>
      <c r="S332">
        <v>0</v>
      </c>
    </row>
    <row r="333" spans="1:19">
      <c r="A333" t="s">
        <v>35</v>
      </c>
      <c r="B333" t="s">
        <v>3512</v>
      </c>
      <c r="C333">
        <f>"MK01MM"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100</v>
      </c>
      <c r="Q333">
        <v>0</v>
      </c>
      <c r="R333" t="s">
        <v>145</v>
      </c>
      <c r="S333">
        <v>0</v>
      </c>
    </row>
    <row r="334" spans="1:19">
      <c r="A334" t="s">
        <v>35</v>
      </c>
      <c r="B334" t="s">
        <v>3604</v>
      </c>
      <c r="C334">
        <f>"MK01SM"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100</v>
      </c>
      <c r="Q334">
        <v>0</v>
      </c>
      <c r="R334" t="s">
        <v>145</v>
      </c>
      <c r="S334">
        <v>0</v>
      </c>
    </row>
    <row r="335" spans="1:19">
      <c r="A335" t="s">
        <v>35</v>
      </c>
      <c r="B335" t="s">
        <v>3603</v>
      </c>
      <c r="C335">
        <f>"MK01XLM"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100</v>
      </c>
      <c r="Q335">
        <v>0</v>
      </c>
      <c r="R335" t="s">
        <v>145</v>
      </c>
      <c r="S335">
        <v>0</v>
      </c>
    </row>
    <row r="336" spans="1:19">
      <c r="A336" t="s">
        <v>35</v>
      </c>
      <c r="B336" t="s">
        <v>3602</v>
      </c>
      <c r="C336">
        <f>"MK01LN"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100</v>
      </c>
      <c r="Q336">
        <v>0</v>
      </c>
      <c r="R336" t="s">
        <v>145</v>
      </c>
      <c r="S336">
        <v>0</v>
      </c>
    </row>
    <row r="337" spans="1:19">
      <c r="A337" t="s">
        <v>35</v>
      </c>
      <c r="B337" t="s">
        <v>3569</v>
      </c>
      <c r="C337">
        <f>"MK01L"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100</v>
      </c>
      <c r="Q337">
        <v>0</v>
      </c>
      <c r="R337" t="s">
        <v>145</v>
      </c>
      <c r="S337">
        <v>0</v>
      </c>
    </row>
    <row r="338" spans="1:19">
      <c r="A338" t="s">
        <v>35</v>
      </c>
      <c r="B338" t="s">
        <v>3600</v>
      </c>
      <c r="C338">
        <f>"MK01SN"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100</v>
      </c>
      <c r="Q338">
        <v>0</v>
      </c>
      <c r="R338" t="s">
        <v>145</v>
      </c>
      <c r="S338">
        <v>0</v>
      </c>
    </row>
    <row r="339" spans="1:19">
      <c r="A339" t="s">
        <v>35</v>
      </c>
      <c r="B339" t="s">
        <v>3583</v>
      </c>
      <c r="C339">
        <f>"MK01XLN"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100</v>
      </c>
      <c r="Q339">
        <v>0</v>
      </c>
      <c r="R339" t="s">
        <v>145</v>
      </c>
      <c r="S339">
        <v>0</v>
      </c>
    </row>
    <row r="340" spans="1:19">
      <c r="A340" t="s">
        <v>35</v>
      </c>
      <c r="B340" t="s">
        <v>3527</v>
      </c>
      <c r="C340">
        <f>"763BOS"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100</v>
      </c>
      <c r="Q340">
        <v>0</v>
      </c>
      <c r="R340" t="s">
        <v>145</v>
      </c>
      <c r="S340">
        <v>0</v>
      </c>
    </row>
    <row r="341" spans="1:19">
      <c r="A341" t="s">
        <v>35</v>
      </c>
      <c r="B341" t="s">
        <v>6853</v>
      </c>
      <c r="C341">
        <f>"8000015"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100</v>
      </c>
      <c r="Q341">
        <v>0</v>
      </c>
      <c r="R341" t="s">
        <v>145</v>
      </c>
      <c r="S341">
        <v>0</v>
      </c>
    </row>
    <row r="342" spans="1:19">
      <c r="A342" t="s">
        <v>35</v>
      </c>
      <c r="B342" t="s">
        <v>6725</v>
      </c>
      <c r="C342">
        <f>"4000784"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100</v>
      </c>
      <c r="Q342">
        <v>0</v>
      </c>
      <c r="R342" t="s">
        <v>145</v>
      </c>
      <c r="S342">
        <v>0</v>
      </c>
    </row>
    <row r="343" spans="1:19">
      <c r="A343" t="s">
        <v>35</v>
      </c>
      <c r="B343" t="s">
        <v>6724</v>
      </c>
      <c r="C343">
        <f>"8000077"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100</v>
      </c>
      <c r="Q343">
        <v>0</v>
      </c>
      <c r="R343" t="s">
        <v>145</v>
      </c>
      <c r="S343">
        <v>0</v>
      </c>
    </row>
    <row r="344" spans="1:19">
      <c r="A344" t="s">
        <v>35</v>
      </c>
      <c r="B344" t="s">
        <v>6723</v>
      </c>
      <c r="C344">
        <f>"4000791"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100</v>
      </c>
      <c r="Q344">
        <v>0</v>
      </c>
      <c r="R344" t="s">
        <v>145</v>
      </c>
      <c r="S344">
        <v>0</v>
      </c>
    </row>
    <row r="345" spans="1:19">
      <c r="A345" t="s">
        <v>35</v>
      </c>
      <c r="B345" t="s">
        <v>6722</v>
      </c>
      <c r="C345">
        <f>"4000807"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100</v>
      </c>
      <c r="Q345">
        <v>0</v>
      </c>
      <c r="R345" t="s">
        <v>145</v>
      </c>
      <c r="S345">
        <v>0</v>
      </c>
    </row>
    <row r="346" spans="1:19">
      <c r="A346" t="s">
        <v>35</v>
      </c>
      <c r="B346" t="s">
        <v>3530</v>
      </c>
      <c r="C346">
        <f>"FB896MV"</f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100</v>
      </c>
      <c r="Q346">
        <v>0</v>
      </c>
      <c r="R346" t="s">
        <v>145</v>
      </c>
      <c r="S346">
        <v>0</v>
      </c>
    </row>
    <row r="347" spans="1:19">
      <c r="A347" t="s">
        <v>35</v>
      </c>
      <c r="B347" t="s">
        <v>3529</v>
      </c>
      <c r="C347">
        <f>"FB896SMOS"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100</v>
      </c>
      <c r="Q347">
        <v>0</v>
      </c>
      <c r="R347" t="s">
        <v>145</v>
      </c>
      <c r="S347">
        <v>0</v>
      </c>
    </row>
    <row r="348" spans="1:19">
      <c r="A348" t="s">
        <v>35</v>
      </c>
      <c r="B348" t="s">
        <v>3528</v>
      </c>
      <c r="C348">
        <f>"FB896SNAR"</f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100</v>
      </c>
      <c r="Q348">
        <v>0</v>
      </c>
      <c r="R348" t="s">
        <v>145</v>
      </c>
      <c r="S348">
        <v>0</v>
      </c>
    </row>
    <row r="349" spans="1:19">
      <c r="A349" t="s">
        <v>35</v>
      </c>
      <c r="B349" t="s">
        <v>3536</v>
      </c>
      <c r="C349">
        <f>"XC04"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100</v>
      </c>
      <c r="Q349">
        <v>0</v>
      </c>
      <c r="R349" t="s">
        <v>145</v>
      </c>
      <c r="S349">
        <v>0</v>
      </c>
    </row>
    <row r="350" spans="1:19">
      <c r="A350" t="s">
        <v>35</v>
      </c>
      <c r="B350" t="s">
        <v>257</v>
      </c>
      <c r="C350">
        <f>"KX1091CEL"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100</v>
      </c>
      <c r="Q350">
        <v>0</v>
      </c>
      <c r="R350" t="s">
        <v>145</v>
      </c>
      <c r="S350">
        <v>0</v>
      </c>
    </row>
    <row r="351" spans="1:19">
      <c r="A351" t="s">
        <v>35</v>
      </c>
      <c r="B351" t="s">
        <v>3760</v>
      </c>
      <c r="C351">
        <f>"PCM60K"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100</v>
      </c>
      <c r="Q351">
        <v>0</v>
      </c>
      <c r="R351" t="s">
        <v>145</v>
      </c>
      <c r="S351">
        <v>0</v>
      </c>
    </row>
    <row r="352" spans="1:19">
      <c r="A352" t="s">
        <v>35</v>
      </c>
      <c r="B352" t="s">
        <v>3759</v>
      </c>
      <c r="C352">
        <f>"PCM60N"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100</v>
      </c>
      <c r="Q352">
        <v>0</v>
      </c>
      <c r="R352" t="s">
        <v>145</v>
      </c>
      <c r="S352">
        <v>0</v>
      </c>
    </row>
    <row r="353" spans="1:19">
      <c r="A353" t="s">
        <v>35</v>
      </c>
      <c r="B353" t="s">
        <v>3758</v>
      </c>
      <c r="C353">
        <f>"PCM60S"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100</v>
      </c>
      <c r="Q353">
        <v>0</v>
      </c>
      <c r="R353" t="s">
        <v>145</v>
      </c>
      <c r="S353">
        <v>0</v>
      </c>
    </row>
    <row r="354" spans="1:19">
      <c r="A354" t="s">
        <v>35</v>
      </c>
      <c r="B354" t="s">
        <v>314</v>
      </c>
      <c r="C354">
        <f>"KX1087ROS"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100</v>
      </c>
      <c r="Q354">
        <v>0</v>
      </c>
      <c r="R354" t="s">
        <v>145</v>
      </c>
      <c r="S354">
        <v>0</v>
      </c>
    </row>
    <row r="355" spans="1:19">
      <c r="A355" t="s">
        <v>35</v>
      </c>
      <c r="B355" t="s">
        <v>6824</v>
      </c>
      <c r="C355">
        <f>"FPY1025"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100</v>
      </c>
      <c r="Q355">
        <v>0</v>
      </c>
      <c r="R355" t="s">
        <v>145</v>
      </c>
      <c r="S355">
        <v>0</v>
      </c>
    </row>
    <row r="356" spans="1:19">
      <c r="A356" t="s">
        <v>35</v>
      </c>
      <c r="B356" t="s">
        <v>6823</v>
      </c>
      <c r="C356">
        <f>"DX021L"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100</v>
      </c>
      <c r="Q356">
        <v>0</v>
      </c>
      <c r="R356" t="s">
        <v>145</v>
      </c>
      <c r="S356">
        <v>0</v>
      </c>
    </row>
    <row r="357" spans="1:19">
      <c r="A357" t="s">
        <v>35</v>
      </c>
      <c r="B357" t="s">
        <v>6822</v>
      </c>
      <c r="C357">
        <f>"DX021M"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100</v>
      </c>
      <c r="Q357">
        <v>0</v>
      </c>
      <c r="R357" t="s">
        <v>145</v>
      </c>
      <c r="S357">
        <v>0</v>
      </c>
    </row>
    <row r="358" spans="1:19">
      <c r="A358" t="s">
        <v>35</v>
      </c>
      <c r="B358" t="s">
        <v>6861</v>
      </c>
      <c r="C358">
        <f>"KX1003ROJ"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100</v>
      </c>
      <c r="Q358">
        <v>0</v>
      </c>
      <c r="R358" t="s">
        <v>145</v>
      </c>
      <c r="S358">
        <v>0</v>
      </c>
    </row>
    <row r="359" spans="1:19">
      <c r="A359" t="s">
        <v>35</v>
      </c>
      <c r="B359" t="s">
        <v>6507</v>
      </c>
      <c r="C359">
        <f>"19485"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100</v>
      </c>
      <c r="Q359">
        <v>0</v>
      </c>
      <c r="R359" t="s">
        <v>145</v>
      </c>
      <c r="S359">
        <v>0</v>
      </c>
    </row>
    <row r="360" spans="1:19">
      <c r="A360" t="s">
        <v>35</v>
      </c>
      <c r="B360" t="s">
        <v>6506</v>
      </c>
      <c r="C360">
        <f>"19486"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100</v>
      </c>
      <c r="Q360">
        <v>0</v>
      </c>
      <c r="R360" t="s">
        <v>145</v>
      </c>
      <c r="S360">
        <v>0</v>
      </c>
    </row>
    <row r="361" spans="1:19">
      <c r="A361" t="s">
        <v>35</v>
      </c>
      <c r="B361" t="s">
        <v>1463</v>
      </c>
      <c r="C361">
        <f>"19487"</f>
        <v>0</v>
      </c>
      <c r="D361">
        <v>0</v>
      </c>
      <c r="E361">
        <v>1</v>
      </c>
      <c r="F361">
        <v>0</v>
      </c>
      <c r="G361">
        <v>0</v>
      </c>
      <c r="H361">
        <v>1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100</v>
      </c>
      <c r="Q361">
        <v>0</v>
      </c>
      <c r="R361" t="s">
        <v>145</v>
      </c>
      <c r="S361">
        <v>0</v>
      </c>
    </row>
    <row r="362" spans="1:19">
      <c r="A362" t="s">
        <v>35</v>
      </c>
      <c r="B362" t="s">
        <v>486</v>
      </c>
      <c r="C362">
        <f>"KX1021"</f>
        <v>0</v>
      </c>
      <c r="D362">
        <v>0</v>
      </c>
      <c r="E362">
        <v>19</v>
      </c>
      <c r="F362">
        <v>0</v>
      </c>
      <c r="G362">
        <v>0</v>
      </c>
      <c r="H362">
        <v>19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100</v>
      </c>
      <c r="Q362">
        <v>0</v>
      </c>
      <c r="R362" t="s">
        <v>145</v>
      </c>
      <c r="S362">
        <v>0</v>
      </c>
    </row>
    <row r="363" spans="1:19">
      <c r="A363" t="s">
        <v>35</v>
      </c>
      <c r="B363" t="s">
        <v>6502</v>
      </c>
      <c r="C363">
        <f>"KX1076AZ"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100</v>
      </c>
      <c r="Q363">
        <v>0</v>
      </c>
      <c r="R363" t="s">
        <v>145</v>
      </c>
      <c r="S363">
        <v>0</v>
      </c>
    </row>
    <row r="364" spans="1:19">
      <c r="A364" t="s">
        <v>35</v>
      </c>
      <c r="B364" t="s">
        <v>6502</v>
      </c>
      <c r="C364">
        <f>"KX1076MOR"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100</v>
      </c>
      <c r="Q364">
        <v>0</v>
      </c>
      <c r="R364" t="s">
        <v>145</v>
      </c>
      <c r="S364">
        <v>0</v>
      </c>
    </row>
    <row r="365" spans="1:19">
      <c r="A365" t="s">
        <v>35</v>
      </c>
      <c r="B365" t="s">
        <v>6504</v>
      </c>
      <c r="C365">
        <f>"S4"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100</v>
      </c>
      <c r="Q365">
        <v>0</v>
      </c>
      <c r="R365" t="s">
        <v>145</v>
      </c>
      <c r="S365">
        <v>0</v>
      </c>
    </row>
    <row r="366" spans="1:19">
      <c r="A366" t="s">
        <v>35</v>
      </c>
      <c r="B366" t="s">
        <v>6503</v>
      </c>
      <c r="C366">
        <f>"S3"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100</v>
      </c>
      <c r="Q366">
        <v>0</v>
      </c>
      <c r="R366" t="s">
        <v>145</v>
      </c>
      <c r="S366">
        <v>0</v>
      </c>
    </row>
    <row r="367" spans="1:19">
      <c r="A367" t="s">
        <v>35</v>
      </c>
      <c r="B367" t="s">
        <v>6494</v>
      </c>
      <c r="C367">
        <f>"DX021S"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100</v>
      </c>
      <c r="Q367">
        <v>0</v>
      </c>
      <c r="R367" t="s">
        <v>145</v>
      </c>
      <c r="S367">
        <v>0</v>
      </c>
    </row>
    <row r="368" spans="1:19">
      <c r="A368" t="s">
        <v>35</v>
      </c>
      <c r="B368" t="s">
        <v>6826</v>
      </c>
      <c r="C368">
        <f>"KX1021ROS"</f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100</v>
      </c>
      <c r="Q368">
        <v>0</v>
      </c>
      <c r="R368" t="s">
        <v>145</v>
      </c>
      <c r="S368">
        <v>0</v>
      </c>
    </row>
    <row r="369" spans="1:19">
      <c r="A369" t="s">
        <v>35</v>
      </c>
      <c r="B369" t="s">
        <v>6860</v>
      </c>
      <c r="C369">
        <f>"KX1101ROS"</f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100</v>
      </c>
      <c r="Q369">
        <v>0</v>
      </c>
      <c r="R369" t="s">
        <v>145</v>
      </c>
      <c r="S369">
        <v>0</v>
      </c>
    </row>
    <row r="370" spans="1:19">
      <c r="A370" t="s">
        <v>35</v>
      </c>
      <c r="B370" t="s">
        <v>6859</v>
      </c>
      <c r="C370">
        <f>"DX025S"</f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100</v>
      </c>
      <c r="Q370">
        <v>0</v>
      </c>
      <c r="R370" t="s">
        <v>145</v>
      </c>
      <c r="S370">
        <v>0</v>
      </c>
    </row>
    <row r="371" spans="1:19">
      <c r="A371" t="s">
        <v>35</v>
      </c>
      <c r="B371" t="s">
        <v>6858</v>
      </c>
      <c r="C371">
        <f>"DX026S"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100</v>
      </c>
      <c r="Q371">
        <v>0</v>
      </c>
      <c r="R371" t="s">
        <v>145</v>
      </c>
      <c r="S371">
        <v>0</v>
      </c>
    </row>
    <row r="372" spans="1:19">
      <c r="A372" t="s">
        <v>35</v>
      </c>
      <c r="B372" t="s">
        <v>6816</v>
      </c>
      <c r="C372">
        <f>"CC103AN"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100</v>
      </c>
      <c r="Q372">
        <v>0</v>
      </c>
      <c r="R372" t="s">
        <v>145</v>
      </c>
      <c r="S372">
        <v>0</v>
      </c>
    </row>
    <row r="373" spans="1:19">
      <c r="A373" t="s">
        <v>35</v>
      </c>
      <c r="B373" t="s">
        <v>6502</v>
      </c>
      <c r="C373">
        <f>"KX1076ROJ"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100</v>
      </c>
      <c r="Q373">
        <v>0</v>
      </c>
      <c r="R373" t="s">
        <v>145</v>
      </c>
      <c r="S373">
        <v>0</v>
      </c>
    </row>
    <row r="374" spans="1:19">
      <c r="A374" t="s">
        <v>35</v>
      </c>
      <c r="B374" t="s">
        <v>6502</v>
      </c>
      <c r="C374">
        <f>"KX1076ROS"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100</v>
      </c>
      <c r="Q374">
        <v>0</v>
      </c>
      <c r="R374" t="s">
        <v>145</v>
      </c>
      <c r="S374">
        <v>0</v>
      </c>
    </row>
    <row r="375" spans="1:19">
      <c r="A375" t="s">
        <v>35</v>
      </c>
      <c r="B375" t="s">
        <v>1464</v>
      </c>
      <c r="C375">
        <f>"KX1090"</f>
        <v>0</v>
      </c>
      <c r="D375">
        <v>0</v>
      </c>
      <c r="E375">
        <v>0</v>
      </c>
      <c r="F375">
        <v>1</v>
      </c>
      <c r="G375">
        <v>0</v>
      </c>
      <c r="H375">
        <v>1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100</v>
      </c>
      <c r="Q375">
        <v>0</v>
      </c>
      <c r="R375" t="s">
        <v>145</v>
      </c>
      <c r="S375">
        <v>0</v>
      </c>
    </row>
    <row r="376" spans="1:19">
      <c r="A376" t="s">
        <v>35</v>
      </c>
      <c r="B376" t="s">
        <v>737</v>
      </c>
      <c r="C376">
        <f>"PT002C"</f>
        <v>0</v>
      </c>
      <c r="D376">
        <v>0</v>
      </c>
      <c r="E376">
        <v>5</v>
      </c>
      <c r="F376">
        <v>0</v>
      </c>
      <c r="G376">
        <v>0</v>
      </c>
      <c r="H376">
        <v>5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100</v>
      </c>
      <c r="Q376">
        <v>0</v>
      </c>
      <c r="R376" t="s">
        <v>145</v>
      </c>
      <c r="S376">
        <v>0</v>
      </c>
    </row>
    <row r="377" spans="1:19">
      <c r="A377" t="s">
        <v>35</v>
      </c>
      <c r="B377" t="s">
        <v>1464</v>
      </c>
      <c r="C377">
        <f>"KX1090MOR"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100</v>
      </c>
      <c r="Q377">
        <v>0</v>
      </c>
      <c r="R377" t="s">
        <v>145</v>
      </c>
      <c r="S377">
        <v>0</v>
      </c>
    </row>
    <row r="378" spans="1:19">
      <c r="A378" t="s">
        <v>35</v>
      </c>
      <c r="B378" t="s">
        <v>1464</v>
      </c>
      <c r="C378">
        <f>"KX1090ROJ"</f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100</v>
      </c>
      <c r="Q378">
        <v>0</v>
      </c>
      <c r="R378" t="s">
        <v>145</v>
      </c>
      <c r="S378">
        <v>0</v>
      </c>
    </row>
    <row r="379" spans="1:19">
      <c r="A379" t="s">
        <v>35</v>
      </c>
      <c r="B379" t="s">
        <v>1464</v>
      </c>
      <c r="C379">
        <f>"KX1090ROS"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100</v>
      </c>
      <c r="Q379">
        <v>0</v>
      </c>
      <c r="R379" t="s">
        <v>145</v>
      </c>
      <c r="S379">
        <v>0</v>
      </c>
    </row>
    <row r="380" spans="1:19">
      <c r="A380" t="s">
        <v>35</v>
      </c>
      <c r="B380" t="s">
        <v>978</v>
      </c>
      <c r="C380">
        <f>"KX1039"</f>
        <v>0</v>
      </c>
      <c r="D380">
        <v>2</v>
      </c>
      <c r="E380">
        <v>0</v>
      </c>
      <c r="F380">
        <v>0</v>
      </c>
      <c r="G380">
        <v>0</v>
      </c>
      <c r="H380">
        <v>2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100</v>
      </c>
      <c r="Q380">
        <v>0</v>
      </c>
      <c r="R380" t="s">
        <v>145</v>
      </c>
      <c r="S380">
        <v>0</v>
      </c>
    </row>
    <row r="381" spans="1:19">
      <c r="A381" t="s">
        <v>35</v>
      </c>
      <c r="B381" t="s">
        <v>314</v>
      </c>
      <c r="C381">
        <f>"KX1087AZ"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100</v>
      </c>
      <c r="Q381">
        <v>0</v>
      </c>
      <c r="R381" t="s">
        <v>145</v>
      </c>
      <c r="S381">
        <v>0</v>
      </c>
    </row>
    <row r="382" spans="1:19">
      <c r="A382" t="s">
        <v>35</v>
      </c>
      <c r="B382" t="s">
        <v>314</v>
      </c>
      <c r="C382">
        <f>"KX1087CEL"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100</v>
      </c>
      <c r="Q382">
        <v>0</v>
      </c>
      <c r="R382" t="s">
        <v>145</v>
      </c>
      <c r="S382">
        <v>0</v>
      </c>
    </row>
    <row r="383" spans="1:19">
      <c r="A383" t="s">
        <v>35</v>
      </c>
      <c r="B383" t="s">
        <v>314</v>
      </c>
      <c r="C383">
        <f>"KX1087ROJ"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100</v>
      </c>
      <c r="Q383">
        <v>0</v>
      </c>
      <c r="R383" t="s">
        <v>145</v>
      </c>
      <c r="S383">
        <v>0</v>
      </c>
    </row>
    <row r="384" spans="1:19">
      <c r="A384" t="s">
        <v>35</v>
      </c>
      <c r="B384" t="s">
        <v>6806</v>
      </c>
      <c r="C384">
        <f>"CA10CK"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100</v>
      </c>
      <c r="Q384">
        <v>0</v>
      </c>
      <c r="R384" t="s">
        <v>145</v>
      </c>
      <c r="S384">
        <v>0</v>
      </c>
    </row>
    <row r="385" spans="1:19">
      <c r="A385" t="s">
        <v>35</v>
      </c>
      <c r="B385" t="s">
        <v>1464</v>
      </c>
      <c r="C385">
        <f>"KX1090AZ"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100</v>
      </c>
      <c r="Q385">
        <v>0</v>
      </c>
      <c r="R385" t="s">
        <v>145</v>
      </c>
      <c r="S385">
        <v>0</v>
      </c>
    </row>
    <row r="386" spans="1:19">
      <c r="A386" t="s">
        <v>35</v>
      </c>
      <c r="B386" t="s">
        <v>8986</v>
      </c>
      <c r="C386">
        <f>"BD810S"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100</v>
      </c>
      <c r="Q386">
        <v>0</v>
      </c>
      <c r="R386" t="s">
        <v>145</v>
      </c>
      <c r="S386">
        <v>0</v>
      </c>
    </row>
    <row r="387" spans="1:19">
      <c r="A387" t="s">
        <v>35</v>
      </c>
      <c r="B387" t="s">
        <v>8906</v>
      </c>
      <c r="C387">
        <f>"LLDPP"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100</v>
      </c>
      <c r="Q387">
        <v>0</v>
      </c>
      <c r="R387" t="s">
        <v>145</v>
      </c>
      <c r="S387">
        <v>0</v>
      </c>
    </row>
    <row r="388" spans="1:19">
      <c r="A388" t="s">
        <v>35</v>
      </c>
      <c r="B388" t="s">
        <v>8938</v>
      </c>
      <c r="C388">
        <f>"PT0866"</f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100</v>
      </c>
      <c r="Q388">
        <v>0</v>
      </c>
      <c r="R388" t="s">
        <v>145</v>
      </c>
      <c r="S388">
        <v>0</v>
      </c>
    </row>
    <row r="389" spans="1:19">
      <c r="A389" t="s">
        <v>35</v>
      </c>
      <c r="B389" t="s">
        <v>8913</v>
      </c>
      <c r="C389">
        <f>"ECLS8"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100</v>
      </c>
      <c r="Q389">
        <v>0</v>
      </c>
      <c r="R389" t="s">
        <v>145</v>
      </c>
      <c r="S389">
        <v>0</v>
      </c>
    </row>
    <row r="390" spans="1:19">
      <c r="A390" t="s">
        <v>35</v>
      </c>
      <c r="B390" t="s">
        <v>3828</v>
      </c>
      <c r="C390">
        <f>"25024782"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100</v>
      </c>
      <c r="Q390">
        <v>0</v>
      </c>
      <c r="R390" t="s">
        <v>145</v>
      </c>
      <c r="S390">
        <v>0</v>
      </c>
    </row>
    <row r="391" spans="1:19">
      <c r="A391" t="s">
        <v>35</v>
      </c>
      <c r="B391" t="s">
        <v>3827</v>
      </c>
      <c r="C391">
        <f>"25024775"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100</v>
      </c>
      <c r="Q391">
        <v>0</v>
      </c>
      <c r="R391" t="s">
        <v>145</v>
      </c>
      <c r="S391">
        <v>0</v>
      </c>
    </row>
    <row r="392" spans="1:19">
      <c r="A392" t="s">
        <v>35</v>
      </c>
      <c r="B392" t="s">
        <v>8917</v>
      </c>
      <c r="C392">
        <f>"25023969"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100</v>
      </c>
      <c r="Q392">
        <v>0</v>
      </c>
      <c r="R392" t="s">
        <v>145</v>
      </c>
      <c r="S392">
        <v>0</v>
      </c>
    </row>
    <row r="393" spans="1:19">
      <c r="A393" t="s">
        <v>35</v>
      </c>
      <c r="B393" t="s">
        <v>6524</v>
      </c>
      <c r="C393">
        <f>"CC309LVNG"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100</v>
      </c>
      <c r="Q393">
        <v>0</v>
      </c>
      <c r="R393" t="s">
        <v>145</v>
      </c>
      <c r="S393">
        <v>0</v>
      </c>
    </row>
    <row r="394" spans="1:19">
      <c r="A394" t="s">
        <v>35</v>
      </c>
      <c r="B394" t="s">
        <v>979</v>
      </c>
      <c r="C394">
        <f>"S5"</f>
        <v>0</v>
      </c>
      <c r="D394">
        <v>0</v>
      </c>
      <c r="E394">
        <v>2</v>
      </c>
      <c r="F394">
        <v>0</v>
      </c>
      <c r="G394">
        <v>0</v>
      </c>
      <c r="H394">
        <v>2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100</v>
      </c>
      <c r="Q394">
        <v>0</v>
      </c>
      <c r="R394" t="s">
        <v>145</v>
      </c>
      <c r="S394">
        <v>0</v>
      </c>
    </row>
    <row r="395" spans="1:19">
      <c r="A395" t="s">
        <v>35</v>
      </c>
      <c r="B395" t="s">
        <v>8865</v>
      </c>
      <c r="C395">
        <f>"NJ18S"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100</v>
      </c>
      <c r="Q395">
        <v>0</v>
      </c>
      <c r="R395" t="s">
        <v>145</v>
      </c>
      <c r="S395">
        <v>0</v>
      </c>
    </row>
    <row r="396" spans="1:19">
      <c r="A396" t="s">
        <v>35</v>
      </c>
      <c r="B396" t="s">
        <v>8793</v>
      </c>
      <c r="C396">
        <f>"IDM"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100</v>
      </c>
      <c r="Q396">
        <v>0</v>
      </c>
      <c r="R396" t="s">
        <v>145</v>
      </c>
      <c r="S396">
        <v>0</v>
      </c>
    </row>
    <row r="397" spans="1:19">
      <c r="A397" t="s">
        <v>35</v>
      </c>
      <c r="B397" t="s">
        <v>8776</v>
      </c>
      <c r="C397">
        <f>"07677"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100</v>
      </c>
      <c r="Q397">
        <v>0</v>
      </c>
      <c r="R397" t="s">
        <v>145</v>
      </c>
      <c r="S397">
        <v>0</v>
      </c>
    </row>
    <row r="398" spans="1:19">
      <c r="A398" t="s">
        <v>35</v>
      </c>
      <c r="B398" t="s">
        <v>8775</v>
      </c>
      <c r="C398">
        <f>"07684"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100</v>
      </c>
      <c r="Q398">
        <v>0</v>
      </c>
      <c r="R398" t="s">
        <v>145</v>
      </c>
      <c r="S398">
        <v>0</v>
      </c>
    </row>
    <row r="399" spans="1:19">
      <c r="A399" t="s">
        <v>35</v>
      </c>
      <c r="B399" t="s">
        <v>1225</v>
      </c>
      <c r="C399">
        <f>"07691"</f>
        <v>0</v>
      </c>
      <c r="D399">
        <v>0</v>
      </c>
      <c r="E399">
        <v>1</v>
      </c>
      <c r="F399">
        <v>0</v>
      </c>
      <c r="G399">
        <v>0</v>
      </c>
      <c r="H399">
        <v>1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100</v>
      </c>
      <c r="Q399">
        <v>0</v>
      </c>
      <c r="R399" t="s">
        <v>145</v>
      </c>
      <c r="S399">
        <v>0</v>
      </c>
    </row>
    <row r="400" spans="1:19">
      <c r="A400" t="s">
        <v>35</v>
      </c>
      <c r="B400" t="s">
        <v>8765</v>
      </c>
      <c r="C400">
        <f>"18GOG03"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100</v>
      </c>
      <c r="Q400">
        <v>0</v>
      </c>
      <c r="R400" t="s">
        <v>145</v>
      </c>
      <c r="S400">
        <v>0</v>
      </c>
    </row>
    <row r="401" spans="1:19">
      <c r="A401" t="s">
        <v>35</v>
      </c>
      <c r="B401" t="s">
        <v>8796</v>
      </c>
      <c r="C401">
        <f>"235"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100</v>
      </c>
      <c r="Q401">
        <v>0</v>
      </c>
      <c r="R401" t="s">
        <v>145</v>
      </c>
      <c r="S401">
        <v>0</v>
      </c>
    </row>
    <row r="402" spans="1:19">
      <c r="A402" t="s">
        <v>35</v>
      </c>
      <c r="B402" t="s">
        <v>8794</v>
      </c>
      <c r="C402">
        <f>"BP2060NEG"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100</v>
      </c>
      <c r="Q402">
        <v>0</v>
      </c>
      <c r="R402" t="s">
        <v>145</v>
      </c>
      <c r="S402">
        <v>0</v>
      </c>
    </row>
    <row r="403" spans="1:19">
      <c r="A403" t="s">
        <v>35</v>
      </c>
      <c r="B403" t="s">
        <v>6523</v>
      </c>
      <c r="C403">
        <f>"DMWTL"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100</v>
      </c>
      <c r="Q403">
        <v>0</v>
      </c>
      <c r="R403" t="s">
        <v>145</v>
      </c>
      <c r="S403">
        <v>0</v>
      </c>
    </row>
    <row r="404" spans="1:19">
      <c r="A404" t="s">
        <v>35</v>
      </c>
      <c r="B404" t="s">
        <v>1497</v>
      </c>
      <c r="C404">
        <f>"ZSQ04"</f>
        <v>0</v>
      </c>
      <c r="D404">
        <v>0</v>
      </c>
      <c r="E404">
        <v>1</v>
      </c>
      <c r="F404">
        <v>0</v>
      </c>
      <c r="G404">
        <v>0</v>
      </c>
      <c r="H404">
        <v>1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100</v>
      </c>
      <c r="Q404">
        <v>0</v>
      </c>
      <c r="R404" t="s">
        <v>145</v>
      </c>
      <c r="S404">
        <v>0</v>
      </c>
    </row>
    <row r="405" spans="1:19">
      <c r="A405" t="s">
        <v>35</v>
      </c>
      <c r="B405" t="s">
        <v>1010</v>
      </c>
      <c r="C405">
        <f>"ZSQ01"</f>
        <v>0</v>
      </c>
      <c r="D405">
        <v>0</v>
      </c>
      <c r="E405">
        <v>0</v>
      </c>
      <c r="F405">
        <v>2</v>
      </c>
      <c r="G405">
        <v>0</v>
      </c>
      <c r="H405">
        <v>2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100</v>
      </c>
      <c r="Q405">
        <v>0</v>
      </c>
      <c r="R405" t="s">
        <v>145</v>
      </c>
      <c r="S405">
        <v>0</v>
      </c>
    </row>
    <row r="406" spans="1:19">
      <c r="A406" t="s">
        <v>35</v>
      </c>
      <c r="B406" t="s">
        <v>6497</v>
      </c>
      <c r="C406">
        <f>"ZSQ03"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100</v>
      </c>
      <c r="Q406">
        <v>0</v>
      </c>
      <c r="R406" t="s">
        <v>145</v>
      </c>
      <c r="S406">
        <v>0</v>
      </c>
    </row>
    <row r="407" spans="1:19">
      <c r="A407" t="s">
        <v>35</v>
      </c>
      <c r="B407" t="s">
        <v>6496</v>
      </c>
      <c r="C407">
        <f>"ZSQ07"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100</v>
      </c>
      <c r="Q407">
        <v>0</v>
      </c>
      <c r="R407" t="s">
        <v>145</v>
      </c>
      <c r="S407">
        <v>0</v>
      </c>
    </row>
    <row r="408" spans="1:19">
      <c r="A408" t="s">
        <v>35</v>
      </c>
      <c r="B408" t="s">
        <v>6495</v>
      </c>
      <c r="C408">
        <f>"ZSQ08"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100</v>
      </c>
      <c r="Q408">
        <v>0</v>
      </c>
      <c r="R408" t="s">
        <v>145</v>
      </c>
      <c r="S408">
        <v>0</v>
      </c>
    </row>
    <row r="409" spans="1:19">
      <c r="A409" t="s">
        <v>35</v>
      </c>
      <c r="B409" t="s">
        <v>3870</v>
      </c>
      <c r="C409">
        <f>"LS143"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100</v>
      </c>
      <c r="Q409">
        <v>0</v>
      </c>
      <c r="R409" t="s">
        <v>145</v>
      </c>
      <c r="S409">
        <v>0</v>
      </c>
    </row>
    <row r="410" spans="1:19">
      <c r="A410" t="s">
        <v>35</v>
      </c>
      <c r="B410" t="s">
        <v>3867</v>
      </c>
      <c r="C410">
        <f>"LS144"</f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100</v>
      </c>
      <c r="Q410">
        <v>0</v>
      </c>
      <c r="R410" t="s">
        <v>145</v>
      </c>
      <c r="S410">
        <v>0</v>
      </c>
    </row>
    <row r="411" spans="1:19">
      <c r="A411" t="s">
        <v>35</v>
      </c>
      <c r="B411" t="s">
        <v>1171</v>
      </c>
      <c r="C411">
        <f>"LS144AM"</f>
        <v>0</v>
      </c>
      <c r="D411">
        <v>0</v>
      </c>
      <c r="E411">
        <v>0</v>
      </c>
      <c r="F411">
        <v>1</v>
      </c>
      <c r="G411">
        <v>0</v>
      </c>
      <c r="H411">
        <v>1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100</v>
      </c>
      <c r="Q411">
        <v>0</v>
      </c>
      <c r="R411" t="s">
        <v>145</v>
      </c>
      <c r="S411">
        <v>0</v>
      </c>
    </row>
    <row r="412" spans="1:19">
      <c r="A412" t="s">
        <v>35</v>
      </c>
      <c r="B412" t="s">
        <v>8987</v>
      </c>
      <c r="C412">
        <f>"BD810L"</f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100</v>
      </c>
      <c r="Q412">
        <v>0</v>
      </c>
      <c r="R412" t="s">
        <v>145</v>
      </c>
      <c r="S412">
        <v>0</v>
      </c>
    </row>
    <row r="413" spans="1:19">
      <c r="A413" t="s">
        <v>35</v>
      </c>
      <c r="B413" t="s">
        <v>3773</v>
      </c>
      <c r="C413">
        <f>"16804"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100</v>
      </c>
      <c r="Q413">
        <v>0</v>
      </c>
      <c r="R413" t="s">
        <v>145</v>
      </c>
      <c r="S413">
        <v>0</v>
      </c>
    </row>
    <row r="414" spans="1:19">
      <c r="A414" t="s">
        <v>35</v>
      </c>
      <c r="B414" t="s">
        <v>1021</v>
      </c>
      <c r="C414">
        <f>"er140"</f>
        <v>0</v>
      </c>
      <c r="D414">
        <v>2</v>
      </c>
      <c r="E414">
        <v>0</v>
      </c>
      <c r="F414">
        <v>0</v>
      </c>
      <c r="G414">
        <v>0</v>
      </c>
      <c r="H414">
        <v>2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100</v>
      </c>
      <c r="Q414">
        <v>0</v>
      </c>
      <c r="R414" t="s">
        <v>145</v>
      </c>
      <c r="S414">
        <v>0</v>
      </c>
    </row>
    <row r="415" spans="1:19">
      <c r="A415" t="s">
        <v>35</v>
      </c>
      <c r="B415" t="s">
        <v>3855</v>
      </c>
      <c r="C415">
        <f>"RJ504"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100</v>
      </c>
      <c r="Q415">
        <v>0</v>
      </c>
      <c r="R415" t="s">
        <v>145</v>
      </c>
      <c r="S415">
        <v>0</v>
      </c>
    </row>
    <row r="416" spans="1:19">
      <c r="A416" t="s">
        <v>35</v>
      </c>
      <c r="B416" t="s">
        <v>493</v>
      </c>
      <c r="C416">
        <f>"JWZ1024L"</f>
        <v>0</v>
      </c>
      <c r="D416">
        <v>0</v>
      </c>
      <c r="E416">
        <v>0</v>
      </c>
      <c r="F416">
        <v>18</v>
      </c>
      <c r="G416">
        <v>0</v>
      </c>
      <c r="H416">
        <v>18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100</v>
      </c>
      <c r="Q416">
        <v>0</v>
      </c>
      <c r="R416" t="s">
        <v>145</v>
      </c>
      <c r="S416">
        <v>0</v>
      </c>
    </row>
    <row r="417" spans="1:19">
      <c r="A417" t="s">
        <v>35</v>
      </c>
      <c r="B417" t="s">
        <v>6493</v>
      </c>
      <c r="C417">
        <f>"JWZ1022L"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100</v>
      </c>
      <c r="Q417">
        <v>0</v>
      </c>
      <c r="R417" t="s">
        <v>145</v>
      </c>
      <c r="S417">
        <v>0</v>
      </c>
    </row>
    <row r="418" spans="1:19">
      <c r="A418" t="s">
        <v>35</v>
      </c>
      <c r="B418" t="s">
        <v>424</v>
      </c>
      <c r="C418">
        <f>"JWZ1007L"</f>
        <v>0</v>
      </c>
      <c r="D418">
        <v>0</v>
      </c>
      <c r="E418">
        <v>33</v>
      </c>
      <c r="F418">
        <v>0</v>
      </c>
      <c r="G418">
        <v>0</v>
      </c>
      <c r="H418">
        <v>33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100</v>
      </c>
      <c r="Q418">
        <v>0</v>
      </c>
      <c r="R418" t="s">
        <v>145</v>
      </c>
      <c r="S418">
        <v>0</v>
      </c>
    </row>
    <row r="419" spans="1:19">
      <c r="A419" t="s">
        <v>35</v>
      </c>
      <c r="B419" t="s">
        <v>405</v>
      </c>
      <c r="C419">
        <f>"JWZ1017L"</f>
        <v>0</v>
      </c>
      <c r="D419">
        <v>0</v>
      </c>
      <c r="E419">
        <v>41</v>
      </c>
      <c r="F419">
        <v>0</v>
      </c>
      <c r="G419">
        <v>0</v>
      </c>
      <c r="H419">
        <v>41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100</v>
      </c>
      <c r="Q419">
        <v>0</v>
      </c>
      <c r="R419" t="s">
        <v>145</v>
      </c>
      <c r="S419">
        <v>0</v>
      </c>
    </row>
    <row r="420" spans="1:19">
      <c r="A420" t="s">
        <v>35</v>
      </c>
      <c r="B420" t="s">
        <v>6545</v>
      </c>
      <c r="C420">
        <f>"CC309LACN"</f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 s="2">
        <v>0</v>
      </c>
      <c r="M420">
        <v>0</v>
      </c>
      <c r="N420" s="2">
        <v>0</v>
      </c>
      <c r="O420">
        <v>0</v>
      </c>
      <c r="P420" t="s">
        <v>100</v>
      </c>
      <c r="Q420">
        <v>0</v>
      </c>
      <c r="R420" t="s">
        <v>145</v>
      </c>
      <c r="S420">
        <v>0</v>
      </c>
    </row>
    <row r="421" spans="1:19">
      <c r="A421" t="s">
        <v>35</v>
      </c>
      <c r="B421" t="s">
        <v>345</v>
      </c>
      <c r="C421">
        <f>"RJ824V"</f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 s="2">
        <v>0</v>
      </c>
      <c r="M421">
        <v>0</v>
      </c>
      <c r="N421" s="2">
        <v>0</v>
      </c>
      <c r="O421">
        <v>0</v>
      </c>
      <c r="P421" t="s">
        <v>100</v>
      </c>
      <c r="Q421">
        <v>0</v>
      </c>
      <c r="R421" t="s">
        <v>145</v>
      </c>
      <c r="S421">
        <v>0</v>
      </c>
    </row>
    <row r="422" spans="1:19">
      <c r="A422" t="s">
        <v>35</v>
      </c>
      <c r="B422" t="s">
        <v>3866</v>
      </c>
      <c r="C422">
        <f>"LS144ROS"</f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s="2">
        <v>0</v>
      </c>
      <c r="M422">
        <v>0</v>
      </c>
      <c r="N422" s="2">
        <v>0</v>
      </c>
      <c r="O422">
        <v>0</v>
      </c>
      <c r="P422" t="s">
        <v>100</v>
      </c>
      <c r="Q422">
        <v>0</v>
      </c>
      <c r="R422" t="s">
        <v>145</v>
      </c>
      <c r="S422">
        <v>0</v>
      </c>
    </row>
    <row r="423" spans="1:19">
      <c r="A423" t="s">
        <v>35</v>
      </c>
      <c r="B423" t="s">
        <v>6701</v>
      </c>
      <c r="C423">
        <f>"KX4128"</f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 s="2">
        <v>0</v>
      </c>
      <c r="M423">
        <v>0</v>
      </c>
      <c r="N423" s="2">
        <v>0</v>
      </c>
      <c r="O423">
        <v>0</v>
      </c>
      <c r="P423" t="s">
        <v>100</v>
      </c>
      <c r="Q423">
        <v>0</v>
      </c>
      <c r="R423" t="s">
        <v>145</v>
      </c>
      <c r="S423">
        <v>0</v>
      </c>
    </row>
    <row r="424" spans="1:19">
      <c r="A424" t="s">
        <v>35</v>
      </c>
      <c r="B424" t="s">
        <v>6877</v>
      </c>
      <c r="C424">
        <f>"WD033"</f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 s="2">
        <v>0</v>
      </c>
      <c r="M424">
        <v>0</v>
      </c>
      <c r="N424" s="2">
        <v>0</v>
      </c>
      <c r="O424">
        <v>0</v>
      </c>
      <c r="P424" t="s">
        <v>100</v>
      </c>
      <c r="Q424">
        <v>0</v>
      </c>
      <c r="R424" t="s">
        <v>145</v>
      </c>
      <c r="S424">
        <v>0</v>
      </c>
    </row>
    <row r="425" spans="1:19">
      <c r="A425" t="s">
        <v>35</v>
      </c>
      <c r="B425" t="s">
        <v>6876</v>
      </c>
      <c r="C425">
        <f>"jw0119"</f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 s="2">
        <v>0</v>
      </c>
      <c r="M425">
        <v>0</v>
      </c>
      <c r="N425" s="2">
        <v>0</v>
      </c>
      <c r="O425">
        <v>0</v>
      </c>
      <c r="P425" t="s">
        <v>100</v>
      </c>
      <c r="Q425">
        <v>0</v>
      </c>
      <c r="R425" t="s">
        <v>145</v>
      </c>
      <c r="S425">
        <v>0</v>
      </c>
    </row>
    <row r="426" spans="1:19">
      <c r="A426" t="s">
        <v>35</v>
      </c>
      <c r="B426" t="s">
        <v>6875</v>
      </c>
      <c r="C426">
        <f>"jw0120a"</f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 s="2">
        <v>0</v>
      </c>
      <c r="M426">
        <v>0</v>
      </c>
      <c r="N426" s="2">
        <v>0</v>
      </c>
      <c r="O426">
        <v>0</v>
      </c>
      <c r="P426" t="s">
        <v>100</v>
      </c>
      <c r="Q426">
        <v>0</v>
      </c>
      <c r="R426" t="s">
        <v>145</v>
      </c>
      <c r="S426">
        <v>0</v>
      </c>
    </row>
    <row r="427" spans="1:19">
      <c r="A427" t="s">
        <v>35</v>
      </c>
      <c r="B427" t="s">
        <v>6874</v>
      </c>
      <c r="C427">
        <f>"jw0120n"</f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 s="2">
        <v>0</v>
      </c>
      <c r="M427">
        <v>0</v>
      </c>
      <c r="N427" s="2">
        <v>0</v>
      </c>
      <c r="O427">
        <v>0</v>
      </c>
      <c r="P427" t="s">
        <v>100</v>
      </c>
      <c r="Q427">
        <v>0</v>
      </c>
      <c r="R427" t="s">
        <v>145</v>
      </c>
      <c r="S427">
        <v>0</v>
      </c>
    </row>
    <row r="428" spans="1:19">
      <c r="A428" t="s">
        <v>35</v>
      </c>
      <c r="B428" t="s">
        <v>6873</v>
      </c>
      <c r="C428">
        <f>"jw0120r"</f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 s="2">
        <v>0</v>
      </c>
      <c r="M428">
        <v>0</v>
      </c>
      <c r="N428" s="2">
        <v>0</v>
      </c>
      <c r="O428">
        <v>0</v>
      </c>
      <c r="P428" t="s">
        <v>100</v>
      </c>
      <c r="Q428">
        <v>0</v>
      </c>
      <c r="R428" t="s">
        <v>145</v>
      </c>
      <c r="S428">
        <v>0</v>
      </c>
    </row>
    <row r="429" spans="1:19">
      <c r="A429" t="s">
        <v>35</v>
      </c>
      <c r="B429" t="s">
        <v>6870</v>
      </c>
      <c r="C429">
        <f>"jw0121N"</f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 s="2">
        <v>0</v>
      </c>
      <c r="M429">
        <v>0</v>
      </c>
      <c r="N429" s="2">
        <v>0</v>
      </c>
      <c r="O429">
        <v>0</v>
      </c>
      <c r="P429" t="s">
        <v>100</v>
      </c>
      <c r="Q429">
        <v>0</v>
      </c>
      <c r="R429" t="s">
        <v>145</v>
      </c>
      <c r="S429">
        <v>0</v>
      </c>
    </row>
    <row r="430" spans="1:19">
      <c r="A430" t="s">
        <v>35</v>
      </c>
      <c r="B430" t="s">
        <v>6869</v>
      </c>
      <c r="C430">
        <f>"jw0121R"</f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 s="2">
        <v>0</v>
      </c>
      <c r="M430">
        <v>0</v>
      </c>
      <c r="N430" s="2">
        <v>0</v>
      </c>
      <c r="O430">
        <v>0</v>
      </c>
      <c r="P430" t="s">
        <v>100</v>
      </c>
      <c r="Q430">
        <v>0</v>
      </c>
      <c r="R430" t="s">
        <v>145</v>
      </c>
      <c r="S430">
        <v>0</v>
      </c>
    </row>
    <row r="431" spans="1:19">
      <c r="A431" t="s">
        <v>35</v>
      </c>
      <c r="B431" t="s">
        <v>6826</v>
      </c>
      <c r="C431">
        <f>"KX1021ROJ"</f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 s="2">
        <v>0</v>
      </c>
      <c r="M431">
        <v>0</v>
      </c>
      <c r="N431" s="2">
        <v>0</v>
      </c>
      <c r="O431">
        <v>0</v>
      </c>
      <c r="P431" t="s">
        <v>100</v>
      </c>
      <c r="Q431">
        <v>0</v>
      </c>
      <c r="R431" t="s">
        <v>145</v>
      </c>
      <c r="S431">
        <v>0</v>
      </c>
    </row>
    <row r="432" spans="1:19">
      <c r="A432" t="s">
        <v>35</v>
      </c>
      <c r="B432" t="s">
        <v>3950</v>
      </c>
      <c r="C432">
        <f>"10200093"</f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 s="2">
        <v>0</v>
      </c>
      <c r="M432">
        <v>0</v>
      </c>
      <c r="N432" s="2">
        <v>0</v>
      </c>
      <c r="O432">
        <v>0</v>
      </c>
      <c r="P432" t="s">
        <v>100</v>
      </c>
      <c r="Q432">
        <v>0</v>
      </c>
      <c r="R432" t="s">
        <v>145</v>
      </c>
      <c r="S432">
        <v>0</v>
      </c>
    </row>
    <row r="433" spans="1:19">
      <c r="A433" t="s">
        <v>35</v>
      </c>
      <c r="B433" t="s">
        <v>3947</v>
      </c>
      <c r="C433">
        <f>"07646"</f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 s="2">
        <v>0</v>
      </c>
      <c r="M433">
        <v>0</v>
      </c>
      <c r="N433" s="2">
        <v>0</v>
      </c>
      <c r="O433">
        <v>0</v>
      </c>
      <c r="P433" t="s">
        <v>100</v>
      </c>
      <c r="Q433">
        <v>0</v>
      </c>
      <c r="R433" t="s">
        <v>145</v>
      </c>
      <c r="S433">
        <v>0</v>
      </c>
    </row>
    <row r="434" spans="1:19">
      <c r="A434" t="s">
        <v>35</v>
      </c>
      <c r="B434" t="s">
        <v>3977</v>
      </c>
      <c r="C434">
        <f>"07653"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 s="2">
        <v>0</v>
      </c>
      <c r="M434">
        <v>0</v>
      </c>
      <c r="N434" s="2">
        <v>0</v>
      </c>
      <c r="O434">
        <v>0</v>
      </c>
      <c r="P434" t="s">
        <v>100</v>
      </c>
      <c r="Q434">
        <v>0</v>
      </c>
      <c r="R434" t="s">
        <v>145</v>
      </c>
      <c r="S434">
        <v>0</v>
      </c>
    </row>
    <row r="435" spans="1:19">
      <c r="A435" t="s">
        <v>35</v>
      </c>
      <c r="B435" t="s">
        <v>3976</v>
      </c>
      <c r="C435">
        <f>"07660"</f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 s="2">
        <v>0</v>
      </c>
      <c r="M435">
        <v>0</v>
      </c>
      <c r="N435" s="2">
        <v>0</v>
      </c>
      <c r="O435">
        <v>0</v>
      </c>
      <c r="P435" t="s">
        <v>100</v>
      </c>
      <c r="Q435">
        <v>0</v>
      </c>
      <c r="R435" t="s">
        <v>145</v>
      </c>
      <c r="S435">
        <v>0</v>
      </c>
    </row>
    <row r="436" spans="1:19">
      <c r="A436" t="s">
        <v>35</v>
      </c>
      <c r="B436" t="s">
        <v>3591</v>
      </c>
      <c r="C436">
        <f>"2930MIX"</f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 s="2">
        <v>0</v>
      </c>
      <c r="M436">
        <v>0</v>
      </c>
      <c r="N436" s="2">
        <v>0</v>
      </c>
      <c r="O436">
        <v>0</v>
      </c>
      <c r="P436" t="s">
        <v>100</v>
      </c>
      <c r="Q436">
        <v>0</v>
      </c>
      <c r="R436" t="s">
        <v>145</v>
      </c>
      <c r="S436">
        <v>0</v>
      </c>
    </row>
    <row r="437" spans="1:19">
      <c r="A437" t="s">
        <v>35</v>
      </c>
      <c r="B437" t="s">
        <v>3590</v>
      </c>
      <c r="C437">
        <f>"LO80805"</f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 s="2">
        <v>0</v>
      </c>
      <c r="M437">
        <v>0</v>
      </c>
      <c r="N437" s="2">
        <v>0</v>
      </c>
      <c r="O437">
        <v>0</v>
      </c>
      <c r="P437" t="s">
        <v>100</v>
      </c>
      <c r="Q437">
        <v>0</v>
      </c>
      <c r="R437" t="s">
        <v>145</v>
      </c>
      <c r="S437">
        <v>0</v>
      </c>
    </row>
    <row r="438" spans="1:19">
      <c r="A438" t="s">
        <v>35</v>
      </c>
      <c r="B438" t="s">
        <v>3922</v>
      </c>
      <c r="C438">
        <f>"LO75575"</f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 s="2">
        <v>0</v>
      </c>
      <c r="M438">
        <v>0</v>
      </c>
      <c r="N438" s="2">
        <v>0</v>
      </c>
      <c r="O438">
        <v>0</v>
      </c>
      <c r="P438" t="s">
        <v>100</v>
      </c>
      <c r="Q438">
        <v>0</v>
      </c>
      <c r="R438" t="s">
        <v>145</v>
      </c>
      <c r="S438">
        <v>0</v>
      </c>
    </row>
    <row r="439" spans="1:19">
      <c r="A439" t="s">
        <v>35</v>
      </c>
      <c r="B439" t="s">
        <v>6867</v>
      </c>
      <c r="C439">
        <f>"JW0122N"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 s="2">
        <v>0</v>
      </c>
      <c r="M439">
        <v>0</v>
      </c>
      <c r="N439" s="2">
        <v>0</v>
      </c>
      <c r="O439">
        <v>0</v>
      </c>
      <c r="P439" t="s">
        <v>100</v>
      </c>
      <c r="Q439">
        <v>0</v>
      </c>
      <c r="R439" t="s">
        <v>145</v>
      </c>
      <c r="S439">
        <v>0</v>
      </c>
    </row>
    <row r="440" spans="1:19">
      <c r="A440" t="s">
        <v>35</v>
      </c>
      <c r="B440" t="s">
        <v>3965</v>
      </c>
      <c r="C440">
        <f>"FV002"</f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 s="2">
        <v>0</v>
      </c>
      <c r="M440">
        <v>0</v>
      </c>
      <c r="N440" s="2">
        <v>0</v>
      </c>
      <c r="O440">
        <v>0</v>
      </c>
      <c r="P440" t="s">
        <v>100</v>
      </c>
      <c r="Q440">
        <v>0</v>
      </c>
      <c r="R440" t="s">
        <v>145</v>
      </c>
      <c r="S440">
        <v>0</v>
      </c>
    </row>
    <row r="441" spans="1:19">
      <c r="A441" t="s">
        <v>35</v>
      </c>
      <c r="B441" t="s">
        <v>3614</v>
      </c>
      <c r="C441">
        <f>"MK01M"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 s="2">
        <v>0</v>
      </c>
      <c r="M441">
        <v>0</v>
      </c>
      <c r="N441" s="2">
        <v>0</v>
      </c>
      <c r="O441">
        <v>0</v>
      </c>
      <c r="P441" t="s">
        <v>100</v>
      </c>
      <c r="Q441">
        <v>0</v>
      </c>
      <c r="R441" t="s">
        <v>145</v>
      </c>
      <c r="S441">
        <v>0</v>
      </c>
    </row>
    <row r="442" spans="1:19">
      <c r="A442" t="s">
        <v>35</v>
      </c>
      <c r="B442" t="s">
        <v>3629</v>
      </c>
      <c r="C442">
        <f>"MK01S"</f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 s="2">
        <v>0</v>
      </c>
      <c r="M442">
        <v>0</v>
      </c>
      <c r="N442" s="2">
        <v>0</v>
      </c>
      <c r="O442">
        <v>0</v>
      </c>
      <c r="P442" t="s">
        <v>100</v>
      </c>
      <c r="Q442">
        <v>0</v>
      </c>
      <c r="R442" t="s">
        <v>145</v>
      </c>
      <c r="S442">
        <v>0</v>
      </c>
    </row>
    <row r="443" spans="1:19">
      <c r="A443" t="s">
        <v>35</v>
      </c>
      <c r="B443" t="s">
        <v>3628</v>
      </c>
      <c r="C443">
        <f>"A03"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 s="2">
        <v>0</v>
      </c>
      <c r="M443">
        <v>0</v>
      </c>
      <c r="N443" s="2">
        <v>0</v>
      </c>
      <c r="O443">
        <v>0</v>
      </c>
      <c r="P443" t="s">
        <v>100</v>
      </c>
      <c r="Q443">
        <v>0</v>
      </c>
      <c r="R443" t="s">
        <v>145</v>
      </c>
      <c r="S443">
        <v>0</v>
      </c>
    </row>
    <row r="444" spans="1:19">
      <c r="A444" t="s">
        <v>35</v>
      </c>
      <c r="B444" t="s">
        <v>3627</v>
      </c>
      <c r="C444">
        <f>"MK01XL"</f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 s="2">
        <v>0</v>
      </c>
      <c r="M444">
        <v>0</v>
      </c>
      <c r="N444" s="2">
        <v>0</v>
      </c>
      <c r="O444">
        <v>0</v>
      </c>
      <c r="P444" t="s">
        <v>100</v>
      </c>
      <c r="Q444">
        <v>0</v>
      </c>
      <c r="R444" t="s">
        <v>145</v>
      </c>
      <c r="S444">
        <v>0</v>
      </c>
    </row>
    <row r="445" spans="1:19">
      <c r="A445" t="s">
        <v>35</v>
      </c>
      <c r="B445" t="s">
        <v>3626</v>
      </c>
      <c r="C445">
        <f>"FB896MCEL"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 s="2">
        <v>0</v>
      </c>
      <c r="M445">
        <v>0</v>
      </c>
      <c r="N445" s="2">
        <v>0</v>
      </c>
      <c r="O445">
        <v>0</v>
      </c>
      <c r="P445" t="s">
        <v>100</v>
      </c>
      <c r="Q445">
        <v>0</v>
      </c>
      <c r="R445" t="s">
        <v>145</v>
      </c>
      <c r="S445">
        <v>0</v>
      </c>
    </row>
    <row r="446" spans="1:19">
      <c r="A446" t="s">
        <v>35</v>
      </c>
      <c r="B446" t="s">
        <v>3532</v>
      </c>
      <c r="C446">
        <f>"FB896MM"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 s="2">
        <v>0</v>
      </c>
      <c r="M446">
        <v>0</v>
      </c>
      <c r="N446" s="2">
        <v>0</v>
      </c>
      <c r="O446">
        <v>0</v>
      </c>
      <c r="P446" t="s">
        <v>100</v>
      </c>
      <c r="Q446">
        <v>0</v>
      </c>
      <c r="R446" t="s">
        <v>145</v>
      </c>
      <c r="S446">
        <v>0</v>
      </c>
    </row>
    <row r="447" spans="1:19">
      <c r="A447" t="s">
        <v>35</v>
      </c>
      <c r="B447" t="s">
        <v>1029</v>
      </c>
      <c r="C447">
        <f>"LO75573"</f>
        <v>0</v>
      </c>
      <c r="D447">
        <v>0</v>
      </c>
      <c r="E447">
        <v>2</v>
      </c>
      <c r="F447">
        <v>0</v>
      </c>
      <c r="G447">
        <v>0</v>
      </c>
      <c r="H447">
        <v>2</v>
      </c>
      <c r="I447">
        <v>0</v>
      </c>
      <c r="J447">
        <v>0</v>
      </c>
      <c r="K447">
        <v>0</v>
      </c>
      <c r="L447" s="2">
        <v>0</v>
      </c>
      <c r="M447">
        <v>0</v>
      </c>
      <c r="N447" s="2">
        <v>0</v>
      </c>
      <c r="O447">
        <v>0</v>
      </c>
      <c r="P447" t="s">
        <v>100</v>
      </c>
      <c r="Q447">
        <v>0</v>
      </c>
      <c r="R447" t="s">
        <v>145</v>
      </c>
      <c r="S447">
        <v>0</v>
      </c>
    </row>
    <row r="448" spans="1:19">
      <c r="A448" t="s">
        <v>35</v>
      </c>
      <c r="B448" t="s">
        <v>3578</v>
      </c>
      <c r="C448">
        <f>"252520"</f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 s="2">
        <v>0</v>
      </c>
      <c r="M448">
        <v>0</v>
      </c>
      <c r="N448" s="2">
        <v>0</v>
      </c>
      <c r="O448">
        <v>0</v>
      </c>
      <c r="P448" t="s">
        <v>100</v>
      </c>
      <c r="Q448">
        <v>0</v>
      </c>
      <c r="R448" t="s">
        <v>145</v>
      </c>
      <c r="S448">
        <v>0</v>
      </c>
    </row>
    <row r="449" spans="1:19">
      <c r="A449" t="s">
        <v>35</v>
      </c>
      <c r="B449" t="s">
        <v>3609</v>
      </c>
      <c r="C449">
        <f>"1880"</f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 s="2">
        <v>0</v>
      </c>
      <c r="M449">
        <v>0</v>
      </c>
      <c r="N449" s="2">
        <v>0</v>
      </c>
      <c r="O449">
        <v>0</v>
      </c>
      <c r="P449" t="s">
        <v>100</v>
      </c>
      <c r="Q449">
        <v>0</v>
      </c>
      <c r="R449" t="s">
        <v>145</v>
      </c>
      <c r="S449">
        <v>0</v>
      </c>
    </row>
    <row r="450" spans="1:19">
      <c r="A450" t="s">
        <v>35</v>
      </c>
      <c r="B450" t="s">
        <v>3574</v>
      </c>
      <c r="C450">
        <f>"MSBM"</f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 s="2">
        <v>0</v>
      </c>
      <c r="M450">
        <v>0</v>
      </c>
      <c r="N450" s="2">
        <v>0</v>
      </c>
      <c r="O450">
        <v>0</v>
      </c>
      <c r="P450" t="s">
        <v>100</v>
      </c>
      <c r="Q450">
        <v>0</v>
      </c>
      <c r="R450" t="s">
        <v>145</v>
      </c>
      <c r="S450">
        <v>0</v>
      </c>
    </row>
    <row r="451" spans="1:19">
      <c r="A451" t="s">
        <v>35</v>
      </c>
      <c r="B451" t="s">
        <v>6839</v>
      </c>
      <c r="C451">
        <f>"KX44"</f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 s="2">
        <v>0</v>
      </c>
      <c r="M451">
        <v>0</v>
      </c>
      <c r="N451" s="2">
        <v>0</v>
      </c>
      <c r="O451">
        <v>0</v>
      </c>
      <c r="P451" t="s">
        <v>100</v>
      </c>
      <c r="Q451">
        <v>0</v>
      </c>
      <c r="R451" t="s">
        <v>145</v>
      </c>
      <c r="S451">
        <v>0</v>
      </c>
    </row>
    <row r="452" spans="1:19">
      <c r="A452" t="s">
        <v>35</v>
      </c>
      <c r="B452" t="s">
        <v>3623</v>
      </c>
      <c r="C452">
        <f>"VH15015L"</f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 s="2">
        <v>0</v>
      </c>
      <c r="M452">
        <v>0</v>
      </c>
      <c r="N452" s="2">
        <v>0</v>
      </c>
      <c r="O452">
        <v>0</v>
      </c>
      <c r="P452" t="s">
        <v>100</v>
      </c>
      <c r="Q452">
        <v>0</v>
      </c>
      <c r="R452" t="s">
        <v>145</v>
      </c>
      <c r="S452">
        <v>0</v>
      </c>
    </row>
    <row r="453" spans="1:19">
      <c r="A453" t="s">
        <v>35</v>
      </c>
      <c r="B453" t="s">
        <v>3622</v>
      </c>
      <c r="C453">
        <f>"VH15015M"</f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 s="2">
        <v>0</v>
      </c>
      <c r="M453">
        <v>0</v>
      </c>
      <c r="N453" s="2">
        <v>0</v>
      </c>
      <c r="O453">
        <v>0</v>
      </c>
      <c r="P453" t="s">
        <v>100</v>
      </c>
      <c r="Q453">
        <v>0</v>
      </c>
      <c r="R453" t="s">
        <v>145</v>
      </c>
      <c r="S453">
        <v>0</v>
      </c>
    </row>
    <row r="454" spans="1:19">
      <c r="A454" t="s">
        <v>35</v>
      </c>
      <c r="B454" t="s">
        <v>3620</v>
      </c>
      <c r="C454">
        <f>"XCX3"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 s="2">
        <v>0</v>
      </c>
      <c r="M454">
        <v>0</v>
      </c>
      <c r="N454" s="2">
        <v>0</v>
      </c>
      <c r="O454">
        <v>0</v>
      </c>
      <c r="P454" t="s">
        <v>100</v>
      </c>
      <c r="Q454">
        <v>0</v>
      </c>
      <c r="R454" t="s">
        <v>145</v>
      </c>
      <c r="S454">
        <v>0</v>
      </c>
    </row>
    <row r="455" spans="1:19">
      <c r="A455" t="s">
        <v>35</v>
      </c>
      <c r="B455" t="s">
        <v>3585</v>
      </c>
      <c r="C455">
        <f>"YK001AG"</f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 s="2">
        <v>0</v>
      </c>
      <c r="M455">
        <v>0</v>
      </c>
      <c r="N455" s="2">
        <v>0</v>
      </c>
      <c r="O455">
        <v>0</v>
      </c>
      <c r="P455" t="s">
        <v>100</v>
      </c>
      <c r="Q455">
        <v>0</v>
      </c>
      <c r="R455" t="s">
        <v>145</v>
      </c>
      <c r="S455">
        <v>0</v>
      </c>
    </row>
    <row r="456" spans="1:19">
      <c r="A456" t="s">
        <v>35</v>
      </c>
      <c r="B456" t="s">
        <v>3581</v>
      </c>
      <c r="C456">
        <f>"1880M"</f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 s="2">
        <v>0</v>
      </c>
      <c r="M456">
        <v>0</v>
      </c>
      <c r="N456" s="2">
        <v>0</v>
      </c>
      <c r="O456">
        <v>0</v>
      </c>
      <c r="P456" t="s">
        <v>100</v>
      </c>
      <c r="Q456">
        <v>0</v>
      </c>
      <c r="R456" t="s">
        <v>145</v>
      </c>
      <c r="S456">
        <v>0</v>
      </c>
    </row>
    <row r="457" spans="1:19">
      <c r="A457" t="s">
        <v>35</v>
      </c>
      <c r="B457" t="s">
        <v>3580</v>
      </c>
      <c r="C457">
        <f>"YK001NBAT"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 s="2">
        <v>0</v>
      </c>
      <c r="M457">
        <v>0</v>
      </c>
      <c r="N457" s="2">
        <v>0</v>
      </c>
      <c r="O457">
        <v>0</v>
      </c>
      <c r="P457" t="s">
        <v>100</v>
      </c>
      <c r="Q457">
        <v>0</v>
      </c>
      <c r="R457" t="s">
        <v>145</v>
      </c>
      <c r="S457">
        <v>0</v>
      </c>
    </row>
    <row r="458" spans="1:19">
      <c r="A458" t="s">
        <v>35</v>
      </c>
      <c r="B458" t="s">
        <v>3579</v>
      </c>
      <c r="C458">
        <f>"1880R"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 s="2">
        <v>0</v>
      </c>
      <c r="M458">
        <v>0</v>
      </c>
      <c r="N458" s="2">
        <v>0</v>
      </c>
      <c r="O458">
        <v>0</v>
      </c>
      <c r="P458" t="s">
        <v>100</v>
      </c>
      <c r="Q458">
        <v>0</v>
      </c>
      <c r="R458" t="s">
        <v>145</v>
      </c>
      <c r="S458">
        <v>0</v>
      </c>
    </row>
    <row r="459" spans="1:19">
      <c r="A459" t="s">
        <v>35</v>
      </c>
      <c r="B459" t="s">
        <v>3577</v>
      </c>
      <c r="C459">
        <f>"WPS146"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 s="2">
        <v>0</v>
      </c>
      <c r="M459">
        <v>0</v>
      </c>
      <c r="N459" s="2">
        <v>0</v>
      </c>
      <c r="O459">
        <v>0</v>
      </c>
      <c r="P459" t="s">
        <v>100</v>
      </c>
      <c r="Q459">
        <v>0</v>
      </c>
      <c r="R459" t="s">
        <v>145</v>
      </c>
      <c r="S459">
        <v>0</v>
      </c>
    </row>
    <row r="460" spans="1:19">
      <c r="A460" t="s">
        <v>35</v>
      </c>
      <c r="B460" t="s">
        <v>6809</v>
      </c>
      <c r="C460">
        <f>"CA1014"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 s="2">
        <v>0</v>
      </c>
      <c r="M460">
        <v>0</v>
      </c>
      <c r="N460" s="2">
        <v>0</v>
      </c>
      <c r="O460">
        <v>0</v>
      </c>
      <c r="P460" t="s">
        <v>100</v>
      </c>
      <c r="Q460">
        <v>0</v>
      </c>
      <c r="R460" t="s">
        <v>145</v>
      </c>
      <c r="S460">
        <v>0</v>
      </c>
    </row>
    <row r="461" spans="1:19">
      <c r="A461" t="s">
        <v>35</v>
      </c>
      <c r="B461" t="s">
        <v>6808</v>
      </c>
      <c r="C461">
        <f>"CA1022CA1006"</f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 s="2">
        <v>0</v>
      </c>
      <c r="M461">
        <v>0</v>
      </c>
      <c r="N461" s="2">
        <v>0</v>
      </c>
      <c r="O461">
        <v>0</v>
      </c>
      <c r="P461" t="s">
        <v>100</v>
      </c>
      <c r="Q461">
        <v>0</v>
      </c>
      <c r="R461" t="s">
        <v>145</v>
      </c>
      <c r="S461">
        <v>0</v>
      </c>
    </row>
    <row r="462" spans="1:19">
      <c r="A462" t="s">
        <v>35</v>
      </c>
      <c r="B462" t="s">
        <v>6807</v>
      </c>
      <c r="C462">
        <f>"KLM13"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 s="2">
        <v>0</v>
      </c>
      <c r="M462">
        <v>0</v>
      </c>
      <c r="N462" s="2">
        <v>0</v>
      </c>
      <c r="O462">
        <v>0</v>
      </c>
      <c r="P462" t="s">
        <v>100</v>
      </c>
      <c r="Q462">
        <v>0</v>
      </c>
      <c r="R462" t="s">
        <v>145</v>
      </c>
      <c r="S462">
        <v>0</v>
      </c>
    </row>
    <row r="463" spans="1:19">
      <c r="A463" t="s">
        <v>35</v>
      </c>
      <c r="B463" t="s">
        <v>3853</v>
      </c>
      <c r="C463">
        <f>"LYC090425L"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 s="2">
        <v>0</v>
      </c>
      <c r="M463">
        <v>0</v>
      </c>
      <c r="N463" s="2">
        <v>0</v>
      </c>
      <c r="O463">
        <v>0</v>
      </c>
      <c r="P463" t="s">
        <v>100</v>
      </c>
      <c r="Q463">
        <v>0</v>
      </c>
      <c r="R463" t="s">
        <v>145</v>
      </c>
      <c r="S463">
        <v>0</v>
      </c>
    </row>
    <row r="464" spans="1:19">
      <c r="A464" t="s">
        <v>35</v>
      </c>
      <c r="B464" t="s">
        <v>3775</v>
      </c>
      <c r="C464">
        <f>"CP6530"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 s="2">
        <v>0</v>
      </c>
      <c r="M464">
        <v>0</v>
      </c>
      <c r="N464" s="2">
        <v>0</v>
      </c>
      <c r="O464">
        <v>0</v>
      </c>
      <c r="P464" t="s">
        <v>100</v>
      </c>
      <c r="Q464">
        <v>0</v>
      </c>
      <c r="R464" t="s">
        <v>145</v>
      </c>
      <c r="S464">
        <v>0</v>
      </c>
    </row>
    <row r="465" spans="1:19">
      <c r="A465" t="s">
        <v>35</v>
      </c>
      <c r="B465" t="s">
        <v>3812</v>
      </c>
      <c r="C465">
        <f>"ER43PS"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 s="2">
        <v>0</v>
      </c>
      <c r="M465">
        <v>0</v>
      </c>
      <c r="N465" s="2">
        <v>0</v>
      </c>
      <c r="O465">
        <v>0</v>
      </c>
      <c r="P465" t="s">
        <v>100</v>
      </c>
      <c r="Q465">
        <v>0</v>
      </c>
      <c r="R465" t="s">
        <v>145</v>
      </c>
      <c r="S465">
        <v>0</v>
      </c>
    </row>
    <row r="466" spans="1:19">
      <c r="A466" t="s">
        <v>35</v>
      </c>
      <c r="B466" t="s">
        <v>3811</v>
      </c>
      <c r="C466">
        <f>"ER999"</f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 s="2">
        <v>0</v>
      </c>
      <c r="M466">
        <v>0</v>
      </c>
      <c r="N466" s="2">
        <v>0</v>
      </c>
      <c r="O466">
        <v>0</v>
      </c>
      <c r="P466" t="s">
        <v>100</v>
      </c>
      <c r="Q466">
        <v>0</v>
      </c>
      <c r="R466" t="s">
        <v>145</v>
      </c>
      <c r="S466">
        <v>0</v>
      </c>
    </row>
    <row r="467" spans="1:19">
      <c r="A467" t="s">
        <v>35</v>
      </c>
      <c r="B467" t="s">
        <v>257</v>
      </c>
      <c r="C467">
        <f>"KX1091MOR"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 s="2">
        <v>0</v>
      </c>
      <c r="M467">
        <v>0</v>
      </c>
      <c r="N467" s="2">
        <v>0</v>
      </c>
      <c r="O467">
        <v>0</v>
      </c>
      <c r="P467" t="s">
        <v>100</v>
      </c>
      <c r="Q467">
        <v>0</v>
      </c>
      <c r="R467" t="s">
        <v>145</v>
      </c>
      <c r="S467">
        <v>0</v>
      </c>
    </row>
    <row r="468" spans="1:19">
      <c r="A468" t="s">
        <v>35</v>
      </c>
      <c r="B468" t="s">
        <v>6864</v>
      </c>
      <c r="C468">
        <f>"EPTK4"</f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 s="2">
        <v>0</v>
      </c>
      <c r="M468">
        <v>0</v>
      </c>
      <c r="N468" s="2">
        <v>0</v>
      </c>
      <c r="O468">
        <v>0</v>
      </c>
      <c r="P468" t="s">
        <v>100</v>
      </c>
      <c r="Q468">
        <v>0</v>
      </c>
      <c r="R468" t="s">
        <v>145</v>
      </c>
      <c r="S468">
        <v>0</v>
      </c>
    </row>
    <row r="469" spans="1:19">
      <c r="A469" t="s">
        <v>35</v>
      </c>
      <c r="B469" t="s">
        <v>257</v>
      </c>
      <c r="C469">
        <f>"KX1091ROS"</f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 s="2">
        <v>0</v>
      </c>
      <c r="M469">
        <v>0</v>
      </c>
      <c r="N469" s="2">
        <v>0</v>
      </c>
      <c r="O469">
        <v>0</v>
      </c>
      <c r="P469" t="s">
        <v>100</v>
      </c>
      <c r="Q469">
        <v>0</v>
      </c>
      <c r="R469" t="s">
        <v>145</v>
      </c>
      <c r="S469">
        <v>0</v>
      </c>
    </row>
    <row r="470" spans="1:19">
      <c r="A470" t="s">
        <v>35</v>
      </c>
      <c r="B470" t="s">
        <v>6803</v>
      </c>
      <c r="C470">
        <f>"4000548"</f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 s="2">
        <v>0</v>
      </c>
      <c r="M470">
        <v>0</v>
      </c>
      <c r="N470" s="2">
        <v>0</v>
      </c>
      <c r="O470">
        <v>0</v>
      </c>
      <c r="P470" t="s">
        <v>100</v>
      </c>
      <c r="Q470">
        <v>0</v>
      </c>
      <c r="R470" t="s">
        <v>145</v>
      </c>
      <c r="S470">
        <v>0</v>
      </c>
    </row>
    <row r="471" spans="1:19">
      <c r="A471" t="s">
        <v>35</v>
      </c>
      <c r="B471" t="s">
        <v>6827</v>
      </c>
      <c r="C471">
        <f>"KX1039AZ"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 s="2">
        <v>0</v>
      </c>
      <c r="M471">
        <v>0</v>
      </c>
      <c r="N471" s="2">
        <v>0</v>
      </c>
      <c r="O471">
        <v>0</v>
      </c>
      <c r="P471" t="s">
        <v>100</v>
      </c>
      <c r="Q471">
        <v>0</v>
      </c>
      <c r="R471" t="s">
        <v>145</v>
      </c>
      <c r="S471">
        <v>0</v>
      </c>
    </row>
    <row r="472" spans="1:19">
      <c r="A472" t="s">
        <v>35</v>
      </c>
      <c r="B472" t="s">
        <v>6827</v>
      </c>
      <c r="C472">
        <f>"KX1039ROJ"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 s="2">
        <v>0</v>
      </c>
      <c r="M472">
        <v>0</v>
      </c>
      <c r="N472" s="2">
        <v>0</v>
      </c>
      <c r="O472">
        <v>0</v>
      </c>
      <c r="P472" t="s">
        <v>100</v>
      </c>
      <c r="Q472">
        <v>0</v>
      </c>
      <c r="R472" t="s">
        <v>145</v>
      </c>
      <c r="S472">
        <v>0</v>
      </c>
    </row>
    <row r="473" spans="1:19">
      <c r="A473" t="s">
        <v>35</v>
      </c>
      <c r="B473" t="s">
        <v>6827</v>
      </c>
      <c r="C473">
        <f>"KX1039ROS"</f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 s="2">
        <v>0</v>
      </c>
      <c r="M473">
        <v>0</v>
      </c>
      <c r="N473" s="2">
        <v>0</v>
      </c>
      <c r="O473">
        <v>0</v>
      </c>
      <c r="P473" t="s">
        <v>100</v>
      </c>
      <c r="Q473">
        <v>0</v>
      </c>
      <c r="R473" t="s">
        <v>145</v>
      </c>
      <c r="S473">
        <v>0</v>
      </c>
    </row>
    <row r="474" spans="1:19">
      <c r="A474" t="s">
        <v>35</v>
      </c>
      <c r="B474" t="s">
        <v>6827</v>
      </c>
      <c r="C474">
        <f>"KX1039VE"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 s="2">
        <v>0</v>
      </c>
      <c r="M474">
        <v>0</v>
      </c>
      <c r="N474" s="2">
        <v>0</v>
      </c>
      <c r="O474">
        <v>0</v>
      </c>
      <c r="P474" t="s">
        <v>100</v>
      </c>
      <c r="Q474">
        <v>0</v>
      </c>
      <c r="R474" t="s">
        <v>145</v>
      </c>
      <c r="S474">
        <v>0</v>
      </c>
    </row>
    <row r="475" spans="1:19">
      <c r="A475" t="s">
        <v>35</v>
      </c>
      <c r="B475" t="s">
        <v>6826</v>
      </c>
      <c r="C475">
        <f>"KX1021CEL"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 s="2">
        <v>0</v>
      </c>
      <c r="M475">
        <v>0</v>
      </c>
      <c r="N475" s="2">
        <v>0</v>
      </c>
      <c r="O475">
        <v>0</v>
      </c>
      <c r="P475" t="s">
        <v>100</v>
      </c>
      <c r="Q475">
        <v>0</v>
      </c>
      <c r="R475" t="s">
        <v>145</v>
      </c>
      <c r="S475">
        <v>0</v>
      </c>
    </row>
    <row r="476" spans="1:19">
      <c r="A476" t="s">
        <v>35</v>
      </c>
      <c r="B476" t="s">
        <v>6826</v>
      </c>
      <c r="C476">
        <f>"KX1021MOR"</f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 s="2">
        <v>0</v>
      </c>
      <c r="M476">
        <v>0</v>
      </c>
      <c r="N476" s="2">
        <v>0</v>
      </c>
      <c r="O476">
        <v>0</v>
      </c>
      <c r="P476" t="s">
        <v>100</v>
      </c>
      <c r="Q476">
        <v>0</v>
      </c>
      <c r="R476" t="s">
        <v>145</v>
      </c>
      <c r="S476">
        <v>0</v>
      </c>
    </row>
    <row r="477" spans="1:19">
      <c r="A477" t="s">
        <v>35</v>
      </c>
      <c r="B477" t="s">
        <v>257</v>
      </c>
      <c r="C477">
        <f>"KX1091ROJ"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 s="2">
        <v>0</v>
      </c>
      <c r="M477">
        <v>0</v>
      </c>
      <c r="N477" s="2">
        <v>0</v>
      </c>
      <c r="O477">
        <v>0</v>
      </c>
      <c r="P477" t="s">
        <v>100</v>
      </c>
      <c r="Q477">
        <v>0</v>
      </c>
      <c r="R477" t="s">
        <v>145</v>
      </c>
      <c r="S477">
        <v>0</v>
      </c>
    </row>
    <row r="478" spans="1:19">
      <c r="A478" t="s">
        <v>35</v>
      </c>
      <c r="B478" t="s">
        <v>6863</v>
      </c>
      <c r="C478">
        <f>"VSB3"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 s="2">
        <v>0</v>
      </c>
      <c r="M478">
        <v>0</v>
      </c>
      <c r="N478" s="2">
        <v>0</v>
      </c>
      <c r="O478">
        <v>0</v>
      </c>
      <c r="P478" t="s">
        <v>100</v>
      </c>
      <c r="Q478">
        <v>0</v>
      </c>
      <c r="R478" t="s">
        <v>145</v>
      </c>
      <c r="S478">
        <v>0</v>
      </c>
    </row>
    <row r="479" spans="1:19">
      <c r="A479" t="s">
        <v>35</v>
      </c>
      <c r="B479" t="s">
        <v>6862</v>
      </c>
      <c r="C479">
        <f>"KX1101"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 s="2">
        <v>0</v>
      </c>
      <c r="M479">
        <v>0</v>
      </c>
      <c r="N479" s="2">
        <v>0</v>
      </c>
      <c r="O479">
        <v>0</v>
      </c>
      <c r="P479" t="s">
        <v>100</v>
      </c>
      <c r="Q479">
        <v>0</v>
      </c>
      <c r="R479" t="s">
        <v>145</v>
      </c>
      <c r="S479">
        <v>0</v>
      </c>
    </row>
    <row r="480" spans="1:19">
      <c r="A480" t="s">
        <v>35</v>
      </c>
      <c r="B480" t="s">
        <v>6861</v>
      </c>
      <c r="C480">
        <f>"KX1003AZ"</f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 s="2">
        <v>0</v>
      </c>
      <c r="M480">
        <v>0</v>
      </c>
      <c r="N480" s="2">
        <v>0</v>
      </c>
      <c r="O480">
        <v>0</v>
      </c>
      <c r="P480" t="s">
        <v>100</v>
      </c>
      <c r="Q480">
        <v>0</v>
      </c>
      <c r="R480" t="s">
        <v>145</v>
      </c>
      <c r="S480">
        <v>0</v>
      </c>
    </row>
    <row r="481" spans="1:19">
      <c r="A481" t="s">
        <v>35</v>
      </c>
      <c r="B481" t="s">
        <v>6772</v>
      </c>
      <c r="C481">
        <f>"JW5041SR"</f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 s="2">
        <v>0</v>
      </c>
      <c r="M481">
        <v>0</v>
      </c>
      <c r="N481" s="2">
        <v>0</v>
      </c>
      <c r="O481">
        <v>0</v>
      </c>
      <c r="P481" t="s">
        <v>100</v>
      </c>
      <c r="Q481">
        <v>0</v>
      </c>
      <c r="R481" t="s">
        <v>145</v>
      </c>
      <c r="S481">
        <v>0</v>
      </c>
    </row>
    <row r="482" spans="1:19">
      <c r="A482" t="s">
        <v>35</v>
      </c>
      <c r="B482" t="s">
        <v>6861</v>
      </c>
      <c r="C482">
        <f>"KX1003ROS"</f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 s="2">
        <v>0</v>
      </c>
      <c r="M482">
        <v>0</v>
      </c>
      <c r="N482" s="2">
        <v>0</v>
      </c>
      <c r="O482">
        <v>0</v>
      </c>
      <c r="P482" t="s">
        <v>100</v>
      </c>
      <c r="Q482">
        <v>0</v>
      </c>
      <c r="R482" t="s">
        <v>145</v>
      </c>
      <c r="S482">
        <v>0</v>
      </c>
    </row>
    <row r="483" spans="1:19">
      <c r="A483" t="s">
        <v>35</v>
      </c>
      <c r="B483" t="s">
        <v>6861</v>
      </c>
      <c r="C483">
        <f>"KX1003VE"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 s="2">
        <v>0</v>
      </c>
      <c r="M483">
        <v>0</v>
      </c>
      <c r="N483" s="2">
        <v>0</v>
      </c>
      <c r="O483">
        <v>0</v>
      </c>
      <c r="P483" t="s">
        <v>100</v>
      </c>
      <c r="Q483">
        <v>0</v>
      </c>
      <c r="R483" t="s">
        <v>145</v>
      </c>
      <c r="S483">
        <v>0</v>
      </c>
    </row>
    <row r="484" spans="1:19">
      <c r="A484" t="s">
        <v>35</v>
      </c>
      <c r="B484" t="s">
        <v>6860</v>
      </c>
      <c r="C484">
        <f>"KX1101AZ"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 s="2">
        <v>0</v>
      </c>
      <c r="M484">
        <v>0</v>
      </c>
      <c r="N484" s="2">
        <v>0</v>
      </c>
      <c r="O484">
        <v>0</v>
      </c>
      <c r="P484" t="s">
        <v>100</v>
      </c>
      <c r="Q484">
        <v>0</v>
      </c>
      <c r="R484" t="s">
        <v>145</v>
      </c>
      <c r="S484">
        <v>0</v>
      </c>
    </row>
    <row r="485" spans="1:19">
      <c r="A485" t="s">
        <v>35</v>
      </c>
      <c r="B485" t="s">
        <v>6860</v>
      </c>
      <c r="C485">
        <f>"KX1101CA"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 s="2">
        <v>0</v>
      </c>
      <c r="M485">
        <v>0</v>
      </c>
      <c r="N485" s="2">
        <v>0</v>
      </c>
      <c r="O485">
        <v>0</v>
      </c>
      <c r="P485" t="s">
        <v>100</v>
      </c>
      <c r="Q485">
        <v>0</v>
      </c>
      <c r="R485" t="s">
        <v>145</v>
      </c>
      <c r="S485">
        <v>0</v>
      </c>
    </row>
    <row r="486" spans="1:19">
      <c r="A486" t="s">
        <v>35</v>
      </c>
      <c r="B486" t="s">
        <v>6810</v>
      </c>
      <c r="C486">
        <f>"CP233S"</f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 s="2">
        <v>0</v>
      </c>
      <c r="M486">
        <v>0</v>
      </c>
      <c r="N486" s="2">
        <v>0</v>
      </c>
      <c r="O486">
        <v>0</v>
      </c>
      <c r="P486" t="s">
        <v>100</v>
      </c>
      <c r="Q486">
        <v>0</v>
      </c>
      <c r="R486" t="s">
        <v>145</v>
      </c>
      <c r="S486">
        <v>0</v>
      </c>
    </row>
    <row r="487" spans="1:19">
      <c r="A487" t="s">
        <v>35</v>
      </c>
      <c r="B487" t="s">
        <v>6828</v>
      </c>
      <c r="C487">
        <f>"kx4220"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 s="2">
        <v>0</v>
      </c>
      <c r="M487">
        <v>0</v>
      </c>
      <c r="N487" s="2">
        <v>0</v>
      </c>
      <c r="O487">
        <v>0</v>
      </c>
      <c r="P487" t="s">
        <v>100</v>
      </c>
      <c r="Q487">
        <v>0</v>
      </c>
      <c r="R487" t="s">
        <v>145</v>
      </c>
      <c r="S487">
        <v>0</v>
      </c>
    </row>
    <row r="488" spans="1:19">
      <c r="A488" t="s">
        <v>35</v>
      </c>
      <c r="B488" t="s">
        <v>6865</v>
      </c>
      <c r="C488">
        <f>"KX4221"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 s="2">
        <v>0</v>
      </c>
      <c r="M488">
        <v>0</v>
      </c>
      <c r="N488" s="2">
        <v>0</v>
      </c>
      <c r="O488">
        <v>0</v>
      </c>
      <c r="P488" t="s">
        <v>100</v>
      </c>
      <c r="Q488">
        <v>0</v>
      </c>
      <c r="R488" t="s">
        <v>145</v>
      </c>
      <c r="S488">
        <v>0</v>
      </c>
    </row>
    <row r="489" spans="1:19">
      <c r="A489" t="s">
        <v>35</v>
      </c>
      <c r="B489" t="s">
        <v>6879</v>
      </c>
      <c r="C489">
        <f>"WD031"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 s="2">
        <v>0</v>
      </c>
      <c r="M489">
        <v>0</v>
      </c>
      <c r="N489" s="2">
        <v>0</v>
      </c>
      <c r="O489">
        <v>0</v>
      </c>
      <c r="P489" t="s">
        <v>100</v>
      </c>
      <c r="Q489">
        <v>0</v>
      </c>
      <c r="R489" t="s">
        <v>145</v>
      </c>
      <c r="S489">
        <v>0</v>
      </c>
    </row>
    <row r="490" spans="1:19">
      <c r="A490" t="s">
        <v>35</v>
      </c>
      <c r="B490" t="s">
        <v>6815</v>
      </c>
      <c r="C490">
        <f>"WD032"</f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 s="2">
        <v>0</v>
      </c>
      <c r="M490">
        <v>0</v>
      </c>
      <c r="N490" s="2">
        <v>0</v>
      </c>
      <c r="O490">
        <v>0</v>
      </c>
      <c r="P490" t="s">
        <v>100</v>
      </c>
      <c r="Q490">
        <v>0</v>
      </c>
      <c r="R490" t="s">
        <v>145</v>
      </c>
      <c r="S490">
        <v>0</v>
      </c>
    </row>
    <row r="491" spans="1:19">
      <c r="A491" t="s">
        <v>35</v>
      </c>
      <c r="B491" t="s">
        <v>6825</v>
      </c>
      <c r="C491">
        <f>"CC103AV"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 s="2">
        <v>0</v>
      </c>
      <c r="M491">
        <v>0</v>
      </c>
      <c r="N491" s="2">
        <v>0</v>
      </c>
      <c r="O491">
        <v>0</v>
      </c>
      <c r="P491" t="s">
        <v>100</v>
      </c>
      <c r="Q491">
        <v>0</v>
      </c>
      <c r="R491" t="s">
        <v>145</v>
      </c>
      <c r="S491">
        <v>0</v>
      </c>
    </row>
    <row r="492" spans="1:19">
      <c r="A492" t="s">
        <v>35</v>
      </c>
      <c r="B492" t="s">
        <v>6814</v>
      </c>
      <c r="C492">
        <f>"CC103V"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 s="2">
        <v>0</v>
      </c>
      <c r="M492">
        <v>0</v>
      </c>
      <c r="N492" s="2">
        <v>0</v>
      </c>
      <c r="O492">
        <v>0</v>
      </c>
      <c r="P492" t="s">
        <v>100</v>
      </c>
      <c r="Q492">
        <v>0</v>
      </c>
      <c r="R492" t="s">
        <v>145</v>
      </c>
      <c r="S492">
        <v>0</v>
      </c>
    </row>
    <row r="493" spans="1:19">
      <c r="A493" t="s">
        <v>35</v>
      </c>
      <c r="B493" t="s">
        <v>6813</v>
      </c>
      <c r="C493">
        <f>"CA1002"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 s="2">
        <v>0</v>
      </c>
      <c r="M493">
        <v>0</v>
      </c>
      <c r="N493" s="2">
        <v>0</v>
      </c>
      <c r="O493">
        <v>0</v>
      </c>
      <c r="P493" t="s">
        <v>100</v>
      </c>
      <c r="Q493">
        <v>0</v>
      </c>
      <c r="R493" t="s">
        <v>145</v>
      </c>
      <c r="S493">
        <v>0</v>
      </c>
    </row>
    <row r="494" spans="1:19">
      <c r="A494" t="s">
        <v>35</v>
      </c>
      <c r="B494" t="s">
        <v>6812</v>
      </c>
      <c r="C494">
        <f>"PQ04"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 s="2">
        <v>0</v>
      </c>
      <c r="M494">
        <v>0</v>
      </c>
      <c r="N494" s="2">
        <v>0</v>
      </c>
      <c r="O494">
        <v>0</v>
      </c>
      <c r="P494" t="s">
        <v>100</v>
      </c>
      <c r="Q494">
        <v>0</v>
      </c>
      <c r="R494" t="s">
        <v>145</v>
      </c>
      <c r="S494">
        <v>0</v>
      </c>
    </row>
    <row r="495" spans="1:19">
      <c r="A495" t="s">
        <v>35</v>
      </c>
      <c r="B495" t="s">
        <v>6811</v>
      </c>
      <c r="C495">
        <f>"PQ02"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 s="2">
        <v>0</v>
      </c>
      <c r="M495">
        <v>0</v>
      </c>
      <c r="N495" s="2">
        <v>0</v>
      </c>
      <c r="O495">
        <v>0</v>
      </c>
      <c r="P495" t="s">
        <v>100</v>
      </c>
      <c r="Q495">
        <v>0</v>
      </c>
      <c r="R495" t="s">
        <v>145</v>
      </c>
      <c r="S495">
        <v>0</v>
      </c>
    </row>
    <row r="496" spans="1:19">
      <c r="A496" t="s">
        <v>35</v>
      </c>
      <c r="B496" t="s">
        <v>6860</v>
      </c>
      <c r="C496">
        <f>"KX1101NE"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 s="2">
        <v>0</v>
      </c>
      <c r="M496">
        <v>0</v>
      </c>
      <c r="N496" s="2">
        <v>0</v>
      </c>
      <c r="O496">
        <v>0</v>
      </c>
      <c r="P496" t="s">
        <v>100</v>
      </c>
      <c r="Q496">
        <v>0</v>
      </c>
      <c r="R496" t="s">
        <v>145</v>
      </c>
      <c r="S496">
        <v>0</v>
      </c>
    </row>
    <row r="497" spans="1:19">
      <c r="A497" t="s">
        <v>35</v>
      </c>
      <c r="B497" t="s">
        <v>8275</v>
      </c>
      <c r="C497">
        <f>"pt100"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 s="2">
        <v>0</v>
      </c>
      <c r="M497">
        <v>0</v>
      </c>
      <c r="N497" s="2">
        <v>0</v>
      </c>
      <c r="O497">
        <v>0</v>
      </c>
      <c r="P497" t="s">
        <v>100</v>
      </c>
      <c r="Q497">
        <v>0</v>
      </c>
      <c r="R497" t="s">
        <v>145</v>
      </c>
      <c r="S497">
        <v>0</v>
      </c>
    </row>
    <row r="498" spans="1:19">
      <c r="A498" t="s">
        <v>35</v>
      </c>
      <c r="B498" t="s">
        <v>8271</v>
      </c>
      <c r="C498">
        <f>"PT167"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 s="2">
        <v>0</v>
      </c>
      <c r="M498">
        <v>0</v>
      </c>
      <c r="N498" s="2">
        <v>0</v>
      </c>
      <c r="O498">
        <v>0</v>
      </c>
      <c r="P498" t="s">
        <v>100</v>
      </c>
      <c r="Q498">
        <v>0</v>
      </c>
      <c r="R498" t="s">
        <v>145</v>
      </c>
      <c r="S498">
        <v>0</v>
      </c>
    </row>
    <row r="499" spans="1:19">
      <c r="A499" t="s">
        <v>35</v>
      </c>
      <c r="B499" t="s">
        <v>8270</v>
      </c>
      <c r="C499">
        <f>"PT168"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 s="2">
        <v>0</v>
      </c>
      <c r="M499">
        <v>0</v>
      </c>
      <c r="N499" s="2">
        <v>0</v>
      </c>
      <c r="O499">
        <v>0</v>
      </c>
      <c r="P499" t="s">
        <v>100</v>
      </c>
      <c r="Q499">
        <v>0</v>
      </c>
      <c r="R499" t="s">
        <v>145</v>
      </c>
      <c r="S499">
        <v>0</v>
      </c>
    </row>
    <row r="500" spans="1:19">
      <c r="A500" t="s">
        <v>35</v>
      </c>
      <c r="B500" t="s">
        <v>8269</v>
      </c>
      <c r="C500">
        <f>"pt170"</f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 s="2">
        <v>0</v>
      </c>
      <c r="M500">
        <v>0</v>
      </c>
      <c r="N500" s="2">
        <v>0</v>
      </c>
      <c r="O500">
        <v>0</v>
      </c>
      <c r="P500" t="s">
        <v>100</v>
      </c>
      <c r="Q500">
        <v>0</v>
      </c>
      <c r="R500" t="s">
        <v>145</v>
      </c>
      <c r="S500">
        <v>0</v>
      </c>
    </row>
    <row r="501" spans="1:19">
      <c r="A501" t="s">
        <v>35</v>
      </c>
      <c r="B501" t="s">
        <v>8268</v>
      </c>
      <c r="C501">
        <f>"PT68"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 s="2">
        <v>0</v>
      </c>
      <c r="M501">
        <v>0</v>
      </c>
      <c r="N501" s="2">
        <v>0</v>
      </c>
      <c r="O501">
        <v>0</v>
      </c>
      <c r="P501" t="s">
        <v>100</v>
      </c>
      <c r="Q501">
        <v>0</v>
      </c>
      <c r="R501" t="s">
        <v>145</v>
      </c>
      <c r="S501">
        <v>0</v>
      </c>
    </row>
    <row r="502" spans="1:19">
      <c r="A502" t="s">
        <v>35</v>
      </c>
      <c r="B502" t="s">
        <v>8267</v>
      </c>
      <c r="C502">
        <f>"PT83"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 s="2">
        <v>0</v>
      </c>
      <c r="M502">
        <v>0</v>
      </c>
      <c r="N502" s="2">
        <v>0</v>
      </c>
      <c r="O502">
        <v>0</v>
      </c>
      <c r="P502" t="s">
        <v>100</v>
      </c>
      <c r="Q502">
        <v>0</v>
      </c>
      <c r="R502" t="s">
        <v>145</v>
      </c>
      <c r="S502">
        <v>0</v>
      </c>
    </row>
    <row r="503" spans="1:19">
      <c r="A503" t="s">
        <v>35</v>
      </c>
      <c r="B503" t="s">
        <v>8266</v>
      </c>
      <c r="C503">
        <f>"PT84"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 s="2">
        <v>0</v>
      </c>
      <c r="M503">
        <v>0</v>
      </c>
      <c r="N503" s="2">
        <v>0</v>
      </c>
      <c r="O503">
        <v>0</v>
      </c>
      <c r="P503" t="s">
        <v>100</v>
      </c>
      <c r="Q503">
        <v>0</v>
      </c>
      <c r="R503" t="s">
        <v>145</v>
      </c>
      <c r="S503">
        <v>0</v>
      </c>
    </row>
    <row r="504" spans="1:19">
      <c r="A504" t="s">
        <v>35</v>
      </c>
      <c r="B504" t="s">
        <v>8265</v>
      </c>
      <c r="C504">
        <f>"PT84A"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 s="2">
        <v>0</v>
      </c>
      <c r="M504">
        <v>0</v>
      </c>
      <c r="N504" s="2">
        <v>0</v>
      </c>
      <c r="O504">
        <v>0</v>
      </c>
      <c r="P504" t="s">
        <v>100</v>
      </c>
      <c r="Q504">
        <v>0</v>
      </c>
      <c r="R504" t="s">
        <v>145</v>
      </c>
      <c r="S504">
        <v>0</v>
      </c>
    </row>
    <row r="505" spans="1:19">
      <c r="A505" t="s">
        <v>35</v>
      </c>
      <c r="B505" t="s">
        <v>8264</v>
      </c>
      <c r="C505">
        <f>"PT84V"</f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 s="2">
        <v>0</v>
      </c>
      <c r="M505">
        <v>0</v>
      </c>
      <c r="N505" s="2">
        <v>0</v>
      </c>
      <c r="O505">
        <v>0</v>
      </c>
      <c r="P505" t="s">
        <v>100</v>
      </c>
      <c r="Q505">
        <v>0</v>
      </c>
      <c r="R505" t="s">
        <v>145</v>
      </c>
      <c r="S505">
        <v>0</v>
      </c>
    </row>
    <row r="506" spans="1:19">
      <c r="A506" t="s">
        <v>35</v>
      </c>
      <c r="B506" t="s">
        <v>8263</v>
      </c>
      <c r="C506">
        <f>"PT89"</f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 s="2">
        <v>0</v>
      </c>
      <c r="M506">
        <v>0</v>
      </c>
      <c r="N506" s="2">
        <v>0</v>
      </c>
      <c r="O506">
        <v>0</v>
      </c>
      <c r="P506" t="s">
        <v>100</v>
      </c>
      <c r="Q506">
        <v>0</v>
      </c>
      <c r="R506" t="s">
        <v>145</v>
      </c>
      <c r="S506">
        <v>0</v>
      </c>
    </row>
    <row r="507" spans="1:19">
      <c r="A507" t="s">
        <v>35</v>
      </c>
      <c r="B507" t="s">
        <v>7965</v>
      </c>
      <c r="C507">
        <f>"JW2609"</f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 s="2">
        <v>0</v>
      </c>
      <c r="M507">
        <v>0</v>
      </c>
      <c r="N507" s="2">
        <v>0</v>
      </c>
      <c r="O507">
        <v>0</v>
      </c>
      <c r="P507" t="s">
        <v>100</v>
      </c>
      <c r="Q507">
        <v>0</v>
      </c>
      <c r="R507" t="s">
        <v>145</v>
      </c>
      <c r="S507">
        <v>0</v>
      </c>
    </row>
    <row r="508" spans="1:19">
      <c r="A508" t="s">
        <v>35</v>
      </c>
      <c r="B508" t="s">
        <v>8261</v>
      </c>
      <c r="C508">
        <f>"pt126"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 s="2">
        <v>0</v>
      </c>
      <c r="M508">
        <v>0</v>
      </c>
      <c r="N508" s="2">
        <v>0</v>
      </c>
      <c r="O508">
        <v>0</v>
      </c>
      <c r="P508" t="s">
        <v>100</v>
      </c>
      <c r="Q508">
        <v>0</v>
      </c>
      <c r="R508" t="s">
        <v>145</v>
      </c>
      <c r="S508">
        <v>0</v>
      </c>
    </row>
    <row r="509" spans="1:19">
      <c r="A509" t="s">
        <v>35</v>
      </c>
      <c r="B509" t="s">
        <v>8227</v>
      </c>
      <c r="C509">
        <f>"PT128"</f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 s="2">
        <v>0</v>
      </c>
      <c r="M509">
        <v>0</v>
      </c>
      <c r="N509" s="2">
        <v>0</v>
      </c>
      <c r="O509">
        <v>0</v>
      </c>
      <c r="P509" t="s">
        <v>100</v>
      </c>
      <c r="Q509">
        <v>0</v>
      </c>
      <c r="R509" t="s">
        <v>145</v>
      </c>
      <c r="S509">
        <v>0</v>
      </c>
    </row>
    <row r="510" spans="1:19">
      <c r="A510" t="s">
        <v>35</v>
      </c>
      <c r="B510" t="s">
        <v>8225</v>
      </c>
      <c r="C510">
        <f>"pt131"</f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 s="2">
        <v>0</v>
      </c>
      <c r="M510">
        <v>0</v>
      </c>
      <c r="N510" s="2">
        <v>0</v>
      </c>
      <c r="O510">
        <v>0</v>
      </c>
      <c r="P510" t="s">
        <v>100</v>
      </c>
      <c r="Q510">
        <v>0</v>
      </c>
      <c r="R510" t="s">
        <v>145</v>
      </c>
      <c r="S510">
        <v>0</v>
      </c>
    </row>
    <row r="511" spans="1:19">
      <c r="A511" t="s">
        <v>35</v>
      </c>
      <c r="B511" t="s">
        <v>8224</v>
      </c>
      <c r="C511">
        <f>"pt133"</f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 s="2">
        <v>0</v>
      </c>
      <c r="M511">
        <v>0</v>
      </c>
      <c r="N511" s="2">
        <v>0</v>
      </c>
      <c r="O511">
        <v>0</v>
      </c>
      <c r="P511" t="s">
        <v>100</v>
      </c>
      <c r="Q511">
        <v>0</v>
      </c>
      <c r="R511" t="s">
        <v>145</v>
      </c>
      <c r="S511">
        <v>0</v>
      </c>
    </row>
    <row r="512" spans="1:19">
      <c r="A512" t="s">
        <v>35</v>
      </c>
      <c r="B512" t="s">
        <v>8223</v>
      </c>
      <c r="C512">
        <f>"pt135"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 s="2">
        <v>0</v>
      </c>
      <c r="M512">
        <v>0</v>
      </c>
      <c r="N512" s="2">
        <v>0</v>
      </c>
      <c r="O512">
        <v>0</v>
      </c>
      <c r="P512" t="s">
        <v>100</v>
      </c>
      <c r="Q512">
        <v>0</v>
      </c>
      <c r="R512" t="s">
        <v>145</v>
      </c>
      <c r="S512">
        <v>0</v>
      </c>
    </row>
    <row r="513" spans="1:19">
      <c r="A513" t="s">
        <v>35</v>
      </c>
      <c r="B513" t="s">
        <v>8221</v>
      </c>
      <c r="C513">
        <f>"pt137"</f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 s="2">
        <v>0</v>
      </c>
      <c r="M513">
        <v>0</v>
      </c>
      <c r="N513" s="2">
        <v>0</v>
      </c>
      <c r="O513">
        <v>0</v>
      </c>
      <c r="P513" t="s">
        <v>100</v>
      </c>
      <c r="Q513">
        <v>0</v>
      </c>
      <c r="R513" t="s">
        <v>145</v>
      </c>
      <c r="S513">
        <v>0</v>
      </c>
    </row>
    <row r="514" spans="1:19">
      <c r="A514" t="s">
        <v>35</v>
      </c>
      <c r="B514" t="s">
        <v>2888</v>
      </c>
      <c r="C514">
        <f>"LO75502"</f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 s="2">
        <v>0</v>
      </c>
      <c r="M514">
        <v>0</v>
      </c>
      <c r="N514" s="2">
        <v>0</v>
      </c>
      <c r="O514">
        <v>0</v>
      </c>
      <c r="P514" t="s">
        <v>100</v>
      </c>
      <c r="Q514">
        <v>0</v>
      </c>
      <c r="R514" t="s">
        <v>145</v>
      </c>
      <c r="S514">
        <v>0</v>
      </c>
    </row>
    <row r="515" spans="1:19">
      <c r="A515" t="s">
        <v>35</v>
      </c>
      <c r="B515" t="s">
        <v>2892</v>
      </c>
      <c r="C515">
        <f>"LO75505"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 s="2">
        <v>0</v>
      </c>
      <c r="M515">
        <v>0</v>
      </c>
      <c r="N515" s="2">
        <v>0</v>
      </c>
      <c r="O515">
        <v>0</v>
      </c>
      <c r="P515" t="s">
        <v>100</v>
      </c>
      <c r="Q515">
        <v>0</v>
      </c>
      <c r="R515" t="s">
        <v>145</v>
      </c>
      <c r="S515">
        <v>0</v>
      </c>
    </row>
    <row r="516" spans="1:19">
      <c r="A516" t="s">
        <v>35</v>
      </c>
      <c r="B516" t="s">
        <v>2894</v>
      </c>
      <c r="C516">
        <f>"LO75503"</f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 s="2">
        <v>0</v>
      </c>
      <c r="M516">
        <v>0</v>
      </c>
      <c r="N516" s="2">
        <v>0</v>
      </c>
      <c r="O516">
        <v>0</v>
      </c>
      <c r="P516" t="s">
        <v>100</v>
      </c>
      <c r="Q516">
        <v>0</v>
      </c>
      <c r="R516" t="s">
        <v>145</v>
      </c>
      <c r="S516">
        <v>0</v>
      </c>
    </row>
    <row r="517" spans="1:19">
      <c r="A517" t="s">
        <v>35</v>
      </c>
      <c r="B517" t="s">
        <v>2895</v>
      </c>
      <c r="C517">
        <f>"LO75532"</f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 s="2">
        <v>0</v>
      </c>
      <c r="M517">
        <v>0</v>
      </c>
      <c r="N517" s="2">
        <v>0</v>
      </c>
      <c r="O517">
        <v>0</v>
      </c>
      <c r="P517" t="s">
        <v>100</v>
      </c>
      <c r="Q517">
        <v>0</v>
      </c>
      <c r="R517" t="s">
        <v>145</v>
      </c>
      <c r="S517">
        <v>0</v>
      </c>
    </row>
    <row r="518" spans="1:19">
      <c r="A518" t="s">
        <v>35</v>
      </c>
      <c r="B518" t="s">
        <v>8278</v>
      </c>
      <c r="C518">
        <f>"PT122"</f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 s="2">
        <v>0</v>
      </c>
      <c r="M518">
        <v>0</v>
      </c>
      <c r="N518" s="2">
        <v>0</v>
      </c>
      <c r="O518">
        <v>0</v>
      </c>
      <c r="P518" t="s">
        <v>100</v>
      </c>
      <c r="Q518">
        <v>0</v>
      </c>
      <c r="R518" t="s">
        <v>145</v>
      </c>
      <c r="S518">
        <v>0</v>
      </c>
    </row>
    <row r="519" spans="1:19">
      <c r="A519" t="s">
        <v>35</v>
      </c>
      <c r="B519" t="s">
        <v>8232</v>
      </c>
      <c r="C519">
        <f>"PT116"</f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 s="2">
        <v>0</v>
      </c>
      <c r="M519">
        <v>0</v>
      </c>
      <c r="N519" s="2">
        <v>0</v>
      </c>
      <c r="O519">
        <v>0</v>
      </c>
      <c r="P519" t="s">
        <v>100</v>
      </c>
      <c r="Q519">
        <v>0</v>
      </c>
      <c r="R519" t="s">
        <v>145</v>
      </c>
      <c r="S519">
        <v>0</v>
      </c>
    </row>
    <row r="520" spans="1:19">
      <c r="A520" t="s">
        <v>35</v>
      </c>
      <c r="B520" t="s">
        <v>1098</v>
      </c>
      <c r="C520">
        <f>"PT117"</f>
        <v>0</v>
      </c>
      <c r="D520">
        <v>2</v>
      </c>
      <c r="E520">
        <v>0</v>
      </c>
      <c r="F520">
        <v>0</v>
      </c>
      <c r="G520">
        <v>0</v>
      </c>
      <c r="H520">
        <v>2</v>
      </c>
      <c r="I520">
        <v>0</v>
      </c>
      <c r="J520">
        <v>0</v>
      </c>
      <c r="K520">
        <v>0</v>
      </c>
      <c r="L520" s="2">
        <v>0</v>
      </c>
      <c r="M520">
        <v>0</v>
      </c>
      <c r="N520" s="2">
        <v>0</v>
      </c>
      <c r="O520">
        <v>0</v>
      </c>
      <c r="P520" t="s">
        <v>100</v>
      </c>
      <c r="Q520">
        <v>0</v>
      </c>
      <c r="R520" t="s">
        <v>145</v>
      </c>
      <c r="S520">
        <v>0</v>
      </c>
    </row>
    <row r="521" spans="1:19">
      <c r="A521" t="s">
        <v>35</v>
      </c>
      <c r="B521" t="s">
        <v>1202</v>
      </c>
      <c r="C521">
        <f>"PT121"</f>
        <v>0</v>
      </c>
      <c r="D521">
        <v>1</v>
      </c>
      <c r="E521">
        <v>0</v>
      </c>
      <c r="F521">
        <v>0</v>
      </c>
      <c r="G521">
        <v>0</v>
      </c>
      <c r="H521">
        <v>1</v>
      </c>
      <c r="I521">
        <v>0</v>
      </c>
      <c r="J521">
        <v>0</v>
      </c>
      <c r="K521">
        <v>0</v>
      </c>
      <c r="L521" s="2">
        <v>0</v>
      </c>
      <c r="M521">
        <v>0</v>
      </c>
      <c r="N521" s="2">
        <v>0</v>
      </c>
      <c r="O521">
        <v>0</v>
      </c>
      <c r="P521" t="s">
        <v>100</v>
      </c>
      <c r="Q521">
        <v>0</v>
      </c>
      <c r="R521" t="s">
        <v>145</v>
      </c>
      <c r="S521">
        <v>0</v>
      </c>
    </row>
    <row r="522" spans="1:19">
      <c r="A522" t="s">
        <v>35</v>
      </c>
      <c r="B522" t="s">
        <v>8229</v>
      </c>
      <c r="C522">
        <f>"pt064"</f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 s="2">
        <v>0</v>
      </c>
      <c r="M522">
        <v>0</v>
      </c>
      <c r="N522" s="2">
        <v>0</v>
      </c>
      <c r="O522">
        <v>0</v>
      </c>
      <c r="P522" t="s">
        <v>100</v>
      </c>
      <c r="Q522">
        <v>0</v>
      </c>
      <c r="R522" t="s">
        <v>145</v>
      </c>
      <c r="S522">
        <v>0</v>
      </c>
    </row>
    <row r="523" spans="1:19">
      <c r="A523" t="s">
        <v>35</v>
      </c>
      <c r="B523" t="s">
        <v>8228</v>
      </c>
      <c r="C523">
        <f>"pt068"</f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 s="2">
        <v>0</v>
      </c>
      <c r="M523">
        <v>0</v>
      </c>
      <c r="N523" s="2">
        <v>0</v>
      </c>
      <c r="O523">
        <v>0</v>
      </c>
      <c r="P523" t="s">
        <v>100</v>
      </c>
      <c r="Q523">
        <v>0</v>
      </c>
      <c r="R523" t="s">
        <v>145</v>
      </c>
      <c r="S523">
        <v>0</v>
      </c>
    </row>
    <row r="524" spans="1:19">
      <c r="A524" t="s">
        <v>35</v>
      </c>
      <c r="B524" t="s">
        <v>8072</v>
      </c>
      <c r="C524">
        <f>"pt069"</f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 s="2">
        <v>0</v>
      </c>
      <c r="M524">
        <v>0</v>
      </c>
      <c r="N524" s="2">
        <v>0</v>
      </c>
      <c r="O524">
        <v>0</v>
      </c>
      <c r="P524" t="s">
        <v>100</v>
      </c>
      <c r="Q524">
        <v>0</v>
      </c>
      <c r="R524" t="s">
        <v>145</v>
      </c>
      <c r="S524">
        <v>0</v>
      </c>
    </row>
    <row r="525" spans="1:19">
      <c r="A525" t="s">
        <v>35</v>
      </c>
      <c r="B525" t="s">
        <v>8071</v>
      </c>
      <c r="C525">
        <f>"pt070"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 s="2">
        <v>0</v>
      </c>
      <c r="M525">
        <v>0</v>
      </c>
      <c r="N525" s="2">
        <v>0</v>
      </c>
      <c r="O525">
        <v>0</v>
      </c>
      <c r="P525" t="s">
        <v>100</v>
      </c>
      <c r="Q525">
        <v>0</v>
      </c>
      <c r="R525" t="s">
        <v>145</v>
      </c>
      <c r="S525">
        <v>0</v>
      </c>
    </row>
    <row r="526" spans="1:19">
      <c r="A526" t="s">
        <v>35</v>
      </c>
      <c r="B526" t="s">
        <v>8070</v>
      </c>
      <c r="C526">
        <f>"pt071"</f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 s="2">
        <v>0</v>
      </c>
      <c r="M526">
        <v>0</v>
      </c>
      <c r="N526" s="2">
        <v>0</v>
      </c>
      <c r="O526">
        <v>0</v>
      </c>
      <c r="P526" t="s">
        <v>100</v>
      </c>
      <c r="Q526">
        <v>0</v>
      </c>
      <c r="R526" t="s">
        <v>145</v>
      </c>
      <c r="S526">
        <v>0</v>
      </c>
    </row>
    <row r="527" spans="1:19">
      <c r="A527" t="s">
        <v>35</v>
      </c>
      <c r="B527" t="s">
        <v>8219</v>
      </c>
      <c r="C527">
        <f>"pt141"</f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 s="2">
        <v>0</v>
      </c>
      <c r="M527">
        <v>0</v>
      </c>
      <c r="N527" s="2">
        <v>0</v>
      </c>
      <c r="O527">
        <v>0</v>
      </c>
      <c r="P527" t="s">
        <v>100</v>
      </c>
      <c r="Q527">
        <v>0</v>
      </c>
      <c r="R527" t="s">
        <v>145</v>
      </c>
      <c r="S527">
        <v>0</v>
      </c>
    </row>
    <row r="528" spans="1:19">
      <c r="A528" t="s">
        <v>35</v>
      </c>
      <c r="B528" t="s">
        <v>1203</v>
      </c>
      <c r="C528">
        <f>"PT144"</f>
        <v>0</v>
      </c>
      <c r="D528">
        <v>1</v>
      </c>
      <c r="E528">
        <v>0</v>
      </c>
      <c r="F528">
        <v>0</v>
      </c>
      <c r="G528">
        <v>0</v>
      </c>
      <c r="H528">
        <v>1</v>
      </c>
      <c r="I528">
        <v>0</v>
      </c>
      <c r="J528">
        <v>0</v>
      </c>
      <c r="K528">
        <v>0</v>
      </c>
      <c r="L528" s="2">
        <v>0</v>
      </c>
      <c r="M528">
        <v>0</v>
      </c>
      <c r="N528" s="2">
        <v>0</v>
      </c>
      <c r="O528">
        <v>0</v>
      </c>
      <c r="P528" t="s">
        <v>100</v>
      </c>
      <c r="Q528">
        <v>0</v>
      </c>
      <c r="R528" t="s">
        <v>145</v>
      </c>
      <c r="S528">
        <v>0</v>
      </c>
    </row>
    <row r="529" spans="1:19">
      <c r="A529" t="s">
        <v>35</v>
      </c>
      <c r="B529" t="s">
        <v>8276</v>
      </c>
      <c r="C529">
        <f>"PT095D"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 s="2">
        <v>0</v>
      </c>
      <c r="M529">
        <v>0</v>
      </c>
      <c r="N529" s="2">
        <v>0</v>
      </c>
      <c r="O529">
        <v>0</v>
      </c>
      <c r="P529" t="s">
        <v>100</v>
      </c>
      <c r="Q529">
        <v>0</v>
      </c>
      <c r="R529" t="s">
        <v>145</v>
      </c>
      <c r="S529">
        <v>0</v>
      </c>
    </row>
    <row r="530" spans="1:19">
      <c r="A530" t="s">
        <v>35</v>
      </c>
      <c r="B530" t="s">
        <v>8248</v>
      </c>
      <c r="C530">
        <f>"PT147"</f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 s="2">
        <v>0</v>
      </c>
      <c r="M530">
        <v>0</v>
      </c>
      <c r="N530" s="2">
        <v>0</v>
      </c>
      <c r="O530">
        <v>0</v>
      </c>
      <c r="P530" t="s">
        <v>100</v>
      </c>
      <c r="Q530">
        <v>0</v>
      </c>
      <c r="R530" t="s">
        <v>145</v>
      </c>
      <c r="S530">
        <v>0</v>
      </c>
    </row>
    <row r="531" spans="1:19">
      <c r="A531" t="s">
        <v>35</v>
      </c>
      <c r="B531" t="s">
        <v>8231</v>
      </c>
      <c r="C531">
        <f>"PT149"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 s="2">
        <v>0</v>
      </c>
      <c r="M531">
        <v>0</v>
      </c>
      <c r="N531" s="2">
        <v>0</v>
      </c>
      <c r="O531">
        <v>0</v>
      </c>
      <c r="P531" t="s">
        <v>100</v>
      </c>
      <c r="Q531">
        <v>0</v>
      </c>
      <c r="R531" t="s">
        <v>145</v>
      </c>
      <c r="S531">
        <v>0</v>
      </c>
    </row>
    <row r="532" spans="1:19">
      <c r="A532" t="s">
        <v>35</v>
      </c>
      <c r="B532" t="s">
        <v>2900</v>
      </c>
      <c r="C532">
        <f>"XQG01ROS"</f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 s="2">
        <v>0</v>
      </c>
      <c r="M532">
        <v>0</v>
      </c>
      <c r="N532" s="2">
        <v>0</v>
      </c>
      <c r="O532">
        <v>0</v>
      </c>
      <c r="P532" t="s">
        <v>100</v>
      </c>
      <c r="Q532">
        <v>0</v>
      </c>
      <c r="R532" t="s">
        <v>145</v>
      </c>
      <c r="S532">
        <v>0</v>
      </c>
    </row>
    <row r="533" spans="1:19">
      <c r="A533" t="s">
        <v>35</v>
      </c>
      <c r="B533" t="s">
        <v>2903</v>
      </c>
      <c r="C533">
        <f>"XQG01VE"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 s="2">
        <v>0</v>
      </c>
      <c r="M533">
        <v>0</v>
      </c>
      <c r="N533" s="2">
        <v>0</v>
      </c>
      <c r="O533">
        <v>0</v>
      </c>
      <c r="P533" t="s">
        <v>100</v>
      </c>
      <c r="Q533">
        <v>0</v>
      </c>
      <c r="R533" t="s">
        <v>145</v>
      </c>
      <c r="S533">
        <v>0</v>
      </c>
    </row>
    <row r="534" spans="1:19">
      <c r="A534" t="s">
        <v>35</v>
      </c>
      <c r="B534" t="s">
        <v>2861</v>
      </c>
      <c r="C534">
        <f>"9652LA"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 s="2">
        <v>0</v>
      </c>
      <c r="M534">
        <v>0</v>
      </c>
      <c r="N534" s="2">
        <v>0</v>
      </c>
      <c r="O534">
        <v>0</v>
      </c>
      <c r="P534" t="s">
        <v>100</v>
      </c>
      <c r="Q534">
        <v>0</v>
      </c>
      <c r="R534" t="s">
        <v>145</v>
      </c>
      <c r="S534">
        <v>0</v>
      </c>
    </row>
    <row r="535" spans="1:19">
      <c r="A535" t="s">
        <v>35</v>
      </c>
      <c r="B535" t="s">
        <v>2862</v>
      </c>
      <c r="C535">
        <f>"YBS8069"</f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 s="2">
        <v>0</v>
      </c>
      <c r="M535">
        <v>0</v>
      </c>
      <c r="N535" s="2">
        <v>0</v>
      </c>
      <c r="O535">
        <v>0</v>
      </c>
      <c r="P535" t="s">
        <v>100</v>
      </c>
      <c r="Q535">
        <v>0</v>
      </c>
      <c r="R535" t="s">
        <v>145</v>
      </c>
      <c r="S535">
        <v>0</v>
      </c>
    </row>
    <row r="536" spans="1:19">
      <c r="A536" t="s">
        <v>35</v>
      </c>
      <c r="B536" t="s">
        <v>2910</v>
      </c>
      <c r="C536">
        <f>"9640da"</f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 s="2">
        <v>0</v>
      </c>
      <c r="M536">
        <v>0</v>
      </c>
      <c r="N536" s="2">
        <v>0</v>
      </c>
      <c r="O536">
        <v>0</v>
      </c>
      <c r="P536" t="s">
        <v>100</v>
      </c>
      <c r="Q536">
        <v>0</v>
      </c>
      <c r="R536" t="s">
        <v>145</v>
      </c>
      <c r="S536">
        <v>0</v>
      </c>
    </row>
    <row r="537" spans="1:19">
      <c r="A537" t="s">
        <v>35</v>
      </c>
      <c r="B537" t="s">
        <v>2950</v>
      </c>
      <c r="C537">
        <f>"PX5038"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 s="2">
        <v>0</v>
      </c>
      <c r="M537">
        <v>0</v>
      </c>
      <c r="N537" s="2">
        <v>0</v>
      </c>
      <c r="O537">
        <v>0</v>
      </c>
      <c r="P537" t="s">
        <v>100</v>
      </c>
      <c r="Q537">
        <v>0</v>
      </c>
      <c r="R537" t="s">
        <v>145</v>
      </c>
      <c r="S537">
        <v>0</v>
      </c>
    </row>
    <row r="538" spans="1:19">
      <c r="A538" t="s">
        <v>35</v>
      </c>
      <c r="B538" t="s">
        <v>1312</v>
      </c>
      <c r="C538">
        <f>"ER123"</f>
        <v>0</v>
      </c>
      <c r="D538">
        <v>1</v>
      </c>
      <c r="E538">
        <v>0</v>
      </c>
      <c r="F538">
        <v>0</v>
      </c>
      <c r="G538">
        <v>0</v>
      </c>
      <c r="H538">
        <v>1</v>
      </c>
      <c r="I538">
        <v>0</v>
      </c>
      <c r="J538">
        <v>0</v>
      </c>
      <c r="K538">
        <v>0</v>
      </c>
      <c r="L538" s="2">
        <v>0</v>
      </c>
      <c r="M538">
        <v>0</v>
      </c>
      <c r="N538" s="2">
        <v>0</v>
      </c>
      <c r="O538">
        <v>0</v>
      </c>
      <c r="P538" t="s">
        <v>100</v>
      </c>
      <c r="Q538">
        <v>0</v>
      </c>
      <c r="R538" t="s">
        <v>145</v>
      </c>
      <c r="S538">
        <v>0</v>
      </c>
    </row>
    <row r="539" spans="1:19">
      <c r="A539" t="s">
        <v>35</v>
      </c>
      <c r="B539" t="s">
        <v>2923</v>
      </c>
      <c r="C539">
        <f>"PS1022"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 s="2">
        <v>0</v>
      </c>
      <c r="M539">
        <v>0</v>
      </c>
      <c r="N539" s="2">
        <v>0</v>
      </c>
      <c r="O539">
        <v>0</v>
      </c>
      <c r="P539" t="s">
        <v>100</v>
      </c>
      <c r="Q539">
        <v>0</v>
      </c>
      <c r="R539" t="s">
        <v>145</v>
      </c>
      <c r="S539">
        <v>0</v>
      </c>
    </row>
    <row r="540" spans="1:19">
      <c r="A540" t="s">
        <v>35</v>
      </c>
      <c r="B540" t="s">
        <v>8217</v>
      </c>
      <c r="C540">
        <f>"PT145"</f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 s="2">
        <v>0</v>
      </c>
      <c r="M540">
        <v>0</v>
      </c>
      <c r="N540" s="2">
        <v>0</v>
      </c>
      <c r="O540">
        <v>0</v>
      </c>
      <c r="P540" t="s">
        <v>100</v>
      </c>
      <c r="Q540">
        <v>0</v>
      </c>
      <c r="R540" t="s">
        <v>145</v>
      </c>
      <c r="S540">
        <v>0</v>
      </c>
    </row>
    <row r="541" spans="1:19">
      <c r="A541" t="s">
        <v>35</v>
      </c>
      <c r="B541" t="s">
        <v>2970</v>
      </c>
      <c r="C541">
        <f>"683XLA"</f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 s="2">
        <v>0</v>
      </c>
      <c r="M541">
        <v>0</v>
      </c>
      <c r="N541" s="2">
        <v>0</v>
      </c>
      <c r="O541">
        <v>0</v>
      </c>
      <c r="P541" t="s">
        <v>100</v>
      </c>
      <c r="Q541">
        <v>0</v>
      </c>
      <c r="R541" t="s">
        <v>145</v>
      </c>
      <c r="S541">
        <v>0</v>
      </c>
    </row>
    <row r="542" spans="1:19">
      <c r="A542" t="s">
        <v>35</v>
      </c>
      <c r="B542" t="s">
        <v>2972</v>
      </c>
      <c r="C542">
        <f>"683XLGC"</f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 s="2">
        <v>0</v>
      </c>
      <c r="M542">
        <v>0</v>
      </c>
      <c r="N542" s="2">
        <v>0</v>
      </c>
      <c r="O542">
        <v>0</v>
      </c>
      <c r="P542" t="s">
        <v>100</v>
      </c>
      <c r="Q542">
        <v>0</v>
      </c>
      <c r="R542" t="s">
        <v>145</v>
      </c>
      <c r="S542">
        <v>0</v>
      </c>
    </row>
    <row r="543" spans="1:19">
      <c r="A543" t="s">
        <v>35</v>
      </c>
      <c r="B543" t="s">
        <v>3010</v>
      </c>
      <c r="C543">
        <f>"683XLN"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 s="2">
        <v>0</v>
      </c>
      <c r="M543">
        <v>0</v>
      </c>
      <c r="N543" s="2">
        <v>0</v>
      </c>
      <c r="O543">
        <v>0</v>
      </c>
      <c r="P543" t="s">
        <v>100</v>
      </c>
      <c r="Q543">
        <v>0</v>
      </c>
      <c r="R543" t="s">
        <v>145</v>
      </c>
      <c r="S543">
        <v>0</v>
      </c>
    </row>
    <row r="544" spans="1:19">
      <c r="A544" t="s">
        <v>35</v>
      </c>
      <c r="B544" t="s">
        <v>8165</v>
      </c>
      <c r="C544">
        <f>"D14XXL"</f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 s="2">
        <v>0</v>
      </c>
      <c r="M544">
        <v>0</v>
      </c>
      <c r="N544" s="2">
        <v>0</v>
      </c>
      <c r="O544">
        <v>0</v>
      </c>
      <c r="P544" t="s">
        <v>100</v>
      </c>
      <c r="Q544">
        <v>0</v>
      </c>
      <c r="R544" t="s">
        <v>145</v>
      </c>
      <c r="S544">
        <v>0</v>
      </c>
    </row>
    <row r="545" spans="1:19">
      <c r="A545" t="s">
        <v>35</v>
      </c>
      <c r="B545" t="s">
        <v>8164</v>
      </c>
      <c r="C545">
        <f>"1873L"</f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 s="2">
        <v>0</v>
      </c>
      <c r="M545">
        <v>0</v>
      </c>
      <c r="N545" s="2">
        <v>0</v>
      </c>
      <c r="O545">
        <v>0</v>
      </c>
      <c r="P545" t="s">
        <v>100</v>
      </c>
      <c r="Q545">
        <v>0</v>
      </c>
      <c r="R545" t="s">
        <v>145</v>
      </c>
      <c r="S545">
        <v>0</v>
      </c>
    </row>
    <row r="546" spans="1:19">
      <c r="A546" t="s">
        <v>35</v>
      </c>
      <c r="B546" t="s">
        <v>8163</v>
      </c>
      <c r="C546">
        <f>"1873M"</f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 s="2">
        <v>0</v>
      </c>
      <c r="M546">
        <v>0</v>
      </c>
      <c r="N546" s="2">
        <v>0</v>
      </c>
      <c r="O546">
        <v>0</v>
      </c>
      <c r="P546" t="s">
        <v>100</v>
      </c>
      <c r="Q546">
        <v>0</v>
      </c>
      <c r="R546" t="s">
        <v>145</v>
      </c>
      <c r="S546">
        <v>0</v>
      </c>
    </row>
    <row r="547" spans="1:19">
      <c r="A547" t="s">
        <v>35</v>
      </c>
      <c r="B547" t="s">
        <v>8162</v>
      </c>
      <c r="C547">
        <f>"1873S"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 s="2">
        <v>0</v>
      </c>
      <c r="M547">
        <v>0</v>
      </c>
      <c r="N547" s="2">
        <v>0</v>
      </c>
      <c r="O547">
        <v>0</v>
      </c>
      <c r="P547" t="s">
        <v>100</v>
      </c>
      <c r="Q547">
        <v>0</v>
      </c>
      <c r="R547" t="s">
        <v>145</v>
      </c>
      <c r="S547">
        <v>0</v>
      </c>
    </row>
    <row r="548" spans="1:19">
      <c r="A548" t="s">
        <v>35</v>
      </c>
      <c r="B548" t="s">
        <v>8161</v>
      </c>
      <c r="C548">
        <f>"1873XL"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 s="2">
        <v>0</v>
      </c>
      <c r="M548">
        <v>0</v>
      </c>
      <c r="N548" s="2">
        <v>0</v>
      </c>
      <c r="O548">
        <v>0</v>
      </c>
      <c r="P548" t="s">
        <v>100</v>
      </c>
      <c r="Q548">
        <v>0</v>
      </c>
      <c r="R548" t="s">
        <v>145</v>
      </c>
      <c r="S548">
        <v>0</v>
      </c>
    </row>
    <row r="549" spans="1:19">
      <c r="A549" t="s">
        <v>35</v>
      </c>
      <c r="B549" t="s">
        <v>8160</v>
      </c>
      <c r="C549">
        <f>"1873XXL"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 s="2">
        <v>0</v>
      </c>
      <c r="M549">
        <v>0</v>
      </c>
      <c r="N549" s="2">
        <v>0</v>
      </c>
      <c r="O549">
        <v>0</v>
      </c>
      <c r="P549" t="s">
        <v>100</v>
      </c>
      <c r="Q549">
        <v>0</v>
      </c>
      <c r="R549" t="s">
        <v>145</v>
      </c>
      <c r="S549">
        <v>0</v>
      </c>
    </row>
    <row r="550" spans="1:19">
      <c r="A550" t="s">
        <v>35</v>
      </c>
      <c r="B550" t="s">
        <v>8159</v>
      </c>
      <c r="C550">
        <f>"1818l"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 s="2">
        <v>0</v>
      </c>
      <c r="M550">
        <v>0</v>
      </c>
      <c r="N550" s="2">
        <v>0</v>
      </c>
      <c r="O550">
        <v>0</v>
      </c>
      <c r="P550" t="s">
        <v>100</v>
      </c>
      <c r="Q550">
        <v>0</v>
      </c>
      <c r="R550" t="s">
        <v>145</v>
      </c>
      <c r="S550">
        <v>0</v>
      </c>
    </row>
    <row r="551" spans="1:19">
      <c r="A551" t="s">
        <v>35</v>
      </c>
      <c r="B551" t="s">
        <v>3037</v>
      </c>
      <c r="C551">
        <f>"LO75535"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 s="2">
        <v>0</v>
      </c>
      <c r="M551">
        <v>0</v>
      </c>
      <c r="N551" s="2">
        <v>0</v>
      </c>
      <c r="O551">
        <v>0</v>
      </c>
      <c r="P551" t="s">
        <v>100</v>
      </c>
      <c r="Q551">
        <v>0</v>
      </c>
      <c r="R551" t="s">
        <v>145</v>
      </c>
      <c r="S551">
        <v>0</v>
      </c>
    </row>
    <row r="552" spans="1:19">
      <c r="A552" t="s">
        <v>35</v>
      </c>
      <c r="B552" t="s">
        <v>8157</v>
      </c>
      <c r="C552">
        <f>"1818S"</f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 s="2">
        <v>0</v>
      </c>
      <c r="M552">
        <v>0</v>
      </c>
      <c r="N552" s="2">
        <v>0</v>
      </c>
      <c r="O552">
        <v>0</v>
      </c>
      <c r="P552" t="s">
        <v>100</v>
      </c>
      <c r="Q552">
        <v>0</v>
      </c>
      <c r="R552" t="s">
        <v>145</v>
      </c>
      <c r="S552">
        <v>0</v>
      </c>
    </row>
    <row r="553" spans="1:19">
      <c r="A553" t="s">
        <v>35</v>
      </c>
      <c r="B553" t="s">
        <v>8156</v>
      </c>
      <c r="C553">
        <f>"1818xl"</f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 s="2">
        <v>0</v>
      </c>
      <c r="M553">
        <v>0</v>
      </c>
      <c r="N553" s="2">
        <v>0</v>
      </c>
      <c r="O553">
        <v>0</v>
      </c>
      <c r="P553" t="s">
        <v>100</v>
      </c>
      <c r="Q553">
        <v>0</v>
      </c>
      <c r="R553" t="s">
        <v>145</v>
      </c>
      <c r="S553">
        <v>0</v>
      </c>
    </row>
    <row r="554" spans="1:19">
      <c r="A554" t="s">
        <v>35</v>
      </c>
      <c r="B554" t="s">
        <v>8155</v>
      </c>
      <c r="C554">
        <f>"1818xxl"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 s="2">
        <v>0</v>
      </c>
      <c r="M554">
        <v>0</v>
      </c>
      <c r="N554" s="2">
        <v>0</v>
      </c>
      <c r="O554">
        <v>0</v>
      </c>
      <c r="P554" t="s">
        <v>100</v>
      </c>
      <c r="Q554">
        <v>0</v>
      </c>
      <c r="R554" t="s">
        <v>145</v>
      </c>
      <c r="S554">
        <v>0</v>
      </c>
    </row>
    <row r="555" spans="1:19">
      <c r="A555" t="s">
        <v>35</v>
      </c>
      <c r="B555" t="s">
        <v>8210</v>
      </c>
      <c r="C555">
        <f>"1018271"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 s="2">
        <v>0</v>
      </c>
      <c r="M555">
        <v>0</v>
      </c>
      <c r="N555" s="2">
        <v>0</v>
      </c>
      <c r="O555">
        <v>0</v>
      </c>
      <c r="P555" t="s">
        <v>100</v>
      </c>
      <c r="Q555">
        <v>0</v>
      </c>
      <c r="R555" t="s">
        <v>145</v>
      </c>
      <c r="S555">
        <v>0</v>
      </c>
    </row>
    <row r="556" spans="1:19">
      <c r="A556" t="s">
        <v>35</v>
      </c>
      <c r="B556" t="s">
        <v>4165</v>
      </c>
      <c r="C556">
        <f>"FB681XLA"</f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 s="2">
        <v>0</v>
      </c>
      <c r="M556">
        <v>0</v>
      </c>
      <c r="N556" s="2">
        <v>0</v>
      </c>
      <c r="O556">
        <v>0</v>
      </c>
      <c r="P556" t="s">
        <v>100</v>
      </c>
      <c r="Q556">
        <v>0</v>
      </c>
      <c r="R556" t="s">
        <v>145</v>
      </c>
      <c r="S556">
        <v>0</v>
      </c>
    </row>
    <row r="557" spans="1:19">
      <c r="A557" t="s">
        <v>35</v>
      </c>
      <c r="B557" t="s">
        <v>4164</v>
      </c>
      <c r="C557">
        <f>"FB681XLR"</f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 s="2">
        <v>0</v>
      </c>
      <c r="M557">
        <v>0</v>
      </c>
      <c r="N557" s="2">
        <v>0</v>
      </c>
      <c r="O557">
        <v>0</v>
      </c>
      <c r="P557" t="s">
        <v>100</v>
      </c>
      <c r="Q557">
        <v>0</v>
      </c>
      <c r="R557" t="s">
        <v>145</v>
      </c>
      <c r="S557">
        <v>0</v>
      </c>
    </row>
    <row r="558" spans="1:19">
      <c r="A558" t="s">
        <v>35</v>
      </c>
      <c r="B558" t="s">
        <v>4161</v>
      </c>
      <c r="C558">
        <f>"YP42XLA"</f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 s="2">
        <v>0</v>
      </c>
      <c r="M558">
        <v>0</v>
      </c>
      <c r="N558" s="2">
        <v>0</v>
      </c>
      <c r="O558">
        <v>0</v>
      </c>
      <c r="P558" t="s">
        <v>100</v>
      </c>
      <c r="Q558">
        <v>0</v>
      </c>
      <c r="R558" t="s">
        <v>145</v>
      </c>
      <c r="S558">
        <v>0</v>
      </c>
    </row>
    <row r="559" spans="1:19">
      <c r="A559" t="s">
        <v>35</v>
      </c>
      <c r="B559" t="s">
        <v>4128</v>
      </c>
      <c r="C559">
        <f>"YP42SA"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 s="2">
        <v>0</v>
      </c>
      <c r="M559">
        <v>0</v>
      </c>
      <c r="N559" s="2">
        <v>0</v>
      </c>
      <c r="O559">
        <v>0</v>
      </c>
      <c r="P559" t="s">
        <v>100</v>
      </c>
      <c r="Q559">
        <v>0</v>
      </c>
      <c r="R559" t="s">
        <v>145</v>
      </c>
      <c r="S559">
        <v>0</v>
      </c>
    </row>
    <row r="560" spans="1:19">
      <c r="A560" t="s">
        <v>35</v>
      </c>
      <c r="B560" t="s">
        <v>4134</v>
      </c>
      <c r="C560">
        <f>"FB6782XL"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 s="2">
        <v>0</v>
      </c>
      <c r="M560">
        <v>0</v>
      </c>
      <c r="N560" s="2">
        <v>0</v>
      </c>
      <c r="O560">
        <v>0</v>
      </c>
      <c r="P560" t="s">
        <v>100</v>
      </c>
      <c r="Q560">
        <v>0</v>
      </c>
      <c r="R560" t="s">
        <v>145</v>
      </c>
      <c r="S560">
        <v>0</v>
      </c>
    </row>
    <row r="561" spans="1:19">
      <c r="A561" t="s">
        <v>35</v>
      </c>
      <c r="B561" t="s">
        <v>4133</v>
      </c>
      <c r="C561">
        <f>"FB6783XL"</f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 s="2">
        <v>0</v>
      </c>
      <c r="M561">
        <v>0</v>
      </c>
      <c r="N561" s="2">
        <v>0</v>
      </c>
      <c r="O561">
        <v>0</v>
      </c>
      <c r="P561" t="s">
        <v>100</v>
      </c>
      <c r="Q561">
        <v>0</v>
      </c>
      <c r="R561" t="s">
        <v>145</v>
      </c>
      <c r="S561">
        <v>0</v>
      </c>
    </row>
    <row r="562" spans="1:19">
      <c r="A562" t="s">
        <v>35</v>
      </c>
      <c r="B562" t="s">
        <v>8158</v>
      </c>
      <c r="C562">
        <f>"1818m"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 s="2">
        <v>0</v>
      </c>
      <c r="M562">
        <v>0</v>
      </c>
      <c r="N562" s="2">
        <v>0</v>
      </c>
      <c r="O562">
        <v>0</v>
      </c>
      <c r="P562" t="s">
        <v>100</v>
      </c>
      <c r="Q562">
        <v>0</v>
      </c>
      <c r="R562" t="s">
        <v>145</v>
      </c>
      <c r="S562">
        <v>0</v>
      </c>
    </row>
    <row r="563" spans="1:19">
      <c r="A563" t="s">
        <v>35</v>
      </c>
      <c r="B563" t="s">
        <v>3038</v>
      </c>
      <c r="C563">
        <f>"LO75533"</f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 s="2">
        <v>0</v>
      </c>
      <c r="M563">
        <v>0</v>
      </c>
      <c r="N563" s="2">
        <v>0</v>
      </c>
      <c r="O563">
        <v>0</v>
      </c>
      <c r="P563" t="s">
        <v>100</v>
      </c>
      <c r="Q563">
        <v>0</v>
      </c>
      <c r="R563" t="s">
        <v>145</v>
      </c>
      <c r="S563">
        <v>0</v>
      </c>
    </row>
    <row r="564" spans="1:19">
      <c r="A564" t="s">
        <v>35</v>
      </c>
      <c r="B564" t="s">
        <v>2917</v>
      </c>
      <c r="C564">
        <f>"h001"</f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 s="2">
        <v>0</v>
      </c>
      <c r="M564">
        <v>0</v>
      </c>
      <c r="N564" s="2">
        <v>0</v>
      </c>
      <c r="O564">
        <v>0</v>
      </c>
      <c r="P564" t="s">
        <v>100</v>
      </c>
      <c r="Q564">
        <v>0</v>
      </c>
      <c r="R564" t="s">
        <v>145</v>
      </c>
      <c r="S564">
        <v>0</v>
      </c>
    </row>
    <row r="565" spans="1:19">
      <c r="A565" t="s">
        <v>35</v>
      </c>
      <c r="B565" t="s">
        <v>3014</v>
      </c>
      <c r="C565">
        <f>"HC0101"</f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 s="2">
        <v>0</v>
      </c>
      <c r="M565">
        <v>0</v>
      </c>
      <c r="N565" s="2">
        <v>0</v>
      </c>
      <c r="O565">
        <v>0</v>
      </c>
      <c r="P565" t="s">
        <v>100</v>
      </c>
      <c r="Q565">
        <v>0</v>
      </c>
      <c r="R565" t="s">
        <v>145</v>
      </c>
      <c r="S565">
        <v>0</v>
      </c>
    </row>
    <row r="566" spans="1:19">
      <c r="A566" t="s">
        <v>35</v>
      </c>
      <c r="B566" t="s">
        <v>2885</v>
      </c>
      <c r="C566">
        <f>"DR124"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 s="2">
        <v>0</v>
      </c>
      <c r="M566">
        <v>0</v>
      </c>
      <c r="N566" s="2">
        <v>0</v>
      </c>
      <c r="O566">
        <v>0</v>
      </c>
      <c r="P566" t="s">
        <v>100</v>
      </c>
      <c r="Q566">
        <v>0</v>
      </c>
      <c r="R566" t="s">
        <v>145</v>
      </c>
      <c r="S566">
        <v>0</v>
      </c>
    </row>
    <row r="567" spans="1:19">
      <c r="A567" t="s">
        <v>35</v>
      </c>
      <c r="B567" t="s">
        <v>2921</v>
      </c>
      <c r="C567">
        <f>"970310"</f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 s="2">
        <v>0</v>
      </c>
      <c r="M567">
        <v>0</v>
      </c>
      <c r="N567" s="2">
        <v>0</v>
      </c>
      <c r="O567">
        <v>0</v>
      </c>
      <c r="P567" t="s">
        <v>100</v>
      </c>
      <c r="Q567">
        <v>0</v>
      </c>
      <c r="R567" t="s">
        <v>145</v>
      </c>
      <c r="S567">
        <v>0</v>
      </c>
    </row>
    <row r="568" spans="1:19">
      <c r="A568" t="s">
        <v>35</v>
      </c>
      <c r="B568" t="s">
        <v>8250</v>
      </c>
      <c r="C568">
        <f>"54B109083MG"</f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 s="2">
        <v>0</v>
      </c>
      <c r="M568">
        <v>0</v>
      </c>
      <c r="N568" s="2">
        <v>0</v>
      </c>
      <c r="O568">
        <v>0</v>
      </c>
      <c r="P568" t="s">
        <v>100</v>
      </c>
      <c r="Q568">
        <v>0</v>
      </c>
      <c r="R568" t="s">
        <v>145</v>
      </c>
      <c r="S568">
        <v>0</v>
      </c>
    </row>
    <row r="569" spans="1:19">
      <c r="A569" t="s">
        <v>35</v>
      </c>
      <c r="B569" t="s">
        <v>8184</v>
      </c>
      <c r="C569">
        <f>"PT150"</f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 s="2">
        <v>0</v>
      </c>
      <c r="M569">
        <v>0</v>
      </c>
      <c r="N569" s="2">
        <v>0</v>
      </c>
      <c r="O569">
        <v>0</v>
      </c>
      <c r="P569" t="s">
        <v>100</v>
      </c>
      <c r="Q569">
        <v>0</v>
      </c>
      <c r="R569" t="s">
        <v>145</v>
      </c>
      <c r="S569">
        <v>0</v>
      </c>
    </row>
    <row r="570" spans="1:19">
      <c r="A570" t="s">
        <v>35</v>
      </c>
      <c r="B570" t="s">
        <v>8183</v>
      </c>
      <c r="C570">
        <f>"PT152"</f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 s="2">
        <v>0</v>
      </c>
      <c r="M570">
        <v>0</v>
      </c>
      <c r="N570" s="2">
        <v>0</v>
      </c>
      <c r="O570">
        <v>0</v>
      </c>
      <c r="P570" t="s">
        <v>100</v>
      </c>
      <c r="Q570">
        <v>0</v>
      </c>
      <c r="R570" t="s">
        <v>145</v>
      </c>
      <c r="S570">
        <v>0</v>
      </c>
    </row>
    <row r="571" spans="1:19">
      <c r="A571" t="s">
        <v>35</v>
      </c>
      <c r="B571" t="s">
        <v>8274</v>
      </c>
      <c r="C571">
        <f>"PT154"</f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 s="2">
        <v>0</v>
      </c>
      <c r="M571">
        <v>0</v>
      </c>
      <c r="N571" s="2">
        <v>0</v>
      </c>
      <c r="O571">
        <v>0</v>
      </c>
      <c r="P571" t="s">
        <v>100</v>
      </c>
      <c r="Q571">
        <v>0</v>
      </c>
      <c r="R571" t="s">
        <v>145</v>
      </c>
      <c r="S571">
        <v>0</v>
      </c>
    </row>
    <row r="572" spans="1:19">
      <c r="A572" t="s">
        <v>35</v>
      </c>
      <c r="B572" t="s">
        <v>4127</v>
      </c>
      <c r="C572">
        <f>"DW26L"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 s="2">
        <v>0</v>
      </c>
      <c r="M572">
        <v>0</v>
      </c>
      <c r="N572" s="2">
        <v>0</v>
      </c>
      <c r="O572">
        <v>0</v>
      </c>
      <c r="P572" t="s">
        <v>100</v>
      </c>
      <c r="Q572">
        <v>0</v>
      </c>
      <c r="R572" t="s">
        <v>145</v>
      </c>
      <c r="S572">
        <v>0</v>
      </c>
    </row>
    <row r="573" spans="1:19">
      <c r="A573" t="s">
        <v>35</v>
      </c>
      <c r="B573" t="s">
        <v>3034</v>
      </c>
      <c r="C573">
        <f>"1817XL"</f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 s="2">
        <v>0</v>
      </c>
      <c r="M573">
        <v>0</v>
      </c>
      <c r="N573" s="2">
        <v>0</v>
      </c>
      <c r="O573">
        <v>0</v>
      </c>
      <c r="P573" t="s">
        <v>100</v>
      </c>
      <c r="Q573">
        <v>0</v>
      </c>
      <c r="R573" t="s">
        <v>145</v>
      </c>
      <c r="S573">
        <v>0</v>
      </c>
    </row>
    <row r="574" spans="1:19">
      <c r="A574" t="s">
        <v>35</v>
      </c>
      <c r="B574" t="s">
        <v>4124</v>
      </c>
      <c r="C574">
        <f>"DW26XL"</f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 s="2">
        <v>0</v>
      </c>
      <c r="M574">
        <v>0</v>
      </c>
      <c r="N574" s="2">
        <v>0</v>
      </c>
      <c r="O574">
        <v>0</v>
      </c>
      <c r="P574" t="s">
        <v>100</v>
      </c>
      <c r="Q574">
        <v>0</v>
      </c>
      <c r="R574" t="s">
        <v>145</v>
      </c>
      <c r="S574">
        <v>0</v>
      </c>
    </row>
    <row r="575" spans="1:19">
      <c r="A575" t="s">
        <v>35</v>
      </c>
      <c r="B575" t="s">
        <v>4169</v>
      </c>
      <c r="C575">
        <f>"DW26XXL"</f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 s="2">
        <v>0</v>
      </c>
      <c r="M575">
        <v>0</v>
      </c>
      <c r="N575" s="2">
        <v>0</v>
      </c>
      <c r="O575">
        <v>0</v>
      </c>
      <c r="P575" t="s">
        <v>100</v>
      </c>
      <c r="Q575">
        <v>0</v>
      </c>
      <c r="R575" t="s">
        <v>145</v>
      </c>
      <c r="S575">
        <v>0</v>
      </c>
    </row>
    <row r="576" spans="1:19">
      <c r="A576" t="s">
        <v>35</v>
      </c>
      <c r="B576" t="s">
        <v>4160</v>
      </c>
      <c r="C576">
        <f>"B1180622XLA"</f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 s="2">
        <v>0</v>
      </c>
      <c r="M576">
        <v>0</v>
      </c>
      <c r="N576" s="2">
        <v>0</v>
      </c>
      <c r="O576">
        <v>0</v>
      </c>
      <c r="P576" t="s">
        <v>100</v>
      </c>
      <c r="Q576">
        <v>0</v>
      </c>
      <c r="R576" t="s">
        <v>145</v>
      </c>
      <c r="S576">
        <v>0</v>
      </c>
    </row>
    <row r="577" spans="1:19">
      <c r="A577" t="s">
        <v>35</v>
      </c>
      <c r="B577" t="s">
        <v>2752</v>
      </c>
      <c r="C577">
        <f>"B118062LR"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 s="2">
        <v>0</v>
      </c>
      <c r="M577">
        <v>0</v>
      </c>
      <c r="N577" s="2">
        <v>0</v>
      </c>
      <c r="O577">
        <v>0</v>
      </c>
      <c r="P577" t="s">
        <v>100</v>
      </c>
      <c r="Q577">
        <v>0</v>
      </c>
      <c r="R577" t="s">
        <v>145</v>
      </c>
      <c r="S577">
        <v>0</v>
      </c>
    </row>
    <row r="578" spans="1:19">
      <c r="A578" t="s">
        <v>35</v>
      </c>
      <c r="B578" t="s">
        <v>2749</v>
      </c>
      <c r="C578">
        <f>"B118062MA"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 s="2">
        <v>0</v>
      </c>
      <c r="M578">
        <v>0</v>
      </c>
      <c r="N578" s="2">
        <v>0</v>
      </c>
      <c r="O578">
        <v>0</v>
      </c>
      <c r="P578" t="s">
        <v>100</v>
      </c>
      <c r="Q578">
        <v>0</v>
      </c>
      <c r="R578" t="s">
        <v>145</v>
      </c>
      <c r="S578">
        <v>0</v>
      </c>
    </row>
    <row r="579" spans="1:19">
      <c r="A579" t="s">
        <v>35</v>
      </c>
      <c r="B579" t="s">
        <v>2805</v>
      </c>
      <c r="C579">
        <f>"B118062SG"</f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 s="2">
        <v>0</v>
      </c>
      <c r="M579">
        <v>0</v>
      </c>
      <c r="N579" s="2">
        <v>0</v>
      </c>
      <c r="O579">
        <v>0</v>
      </c>
      <c r="P579" t="s">
        <v>100</v>
      </c>
      <c r="Q579">
        <v>0</v>
      </c>
      <c r="R579" t="s">
        <v>145</v>
      </c>
      <c r="S579">
        <v>0</v>
      </c>
    </row>
    <row r="580" spans="1:19">
      <c r="A580" t="s">
        <v>35</v>
      </c>
      <c r="B580" t="s">
        <v>2790</v>
      </c>
      <c r="C580">
        <f>"B118062XLR"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 s="2">
        <v>0</v>
      </c>
      <c r="M580">
        <v>0</v>
      </c>
      <c r="N580" s="2">
        <v>0</v>
      </c>
      <c r="O580">
        <v>0</v>
      </c>
      <c r="P580" t="s">
        <v>100</v>
      </c>
      <c r="Q580">
        <v>0</v>
      </c>
      <c r="R580" t="s">
        <v>145</v>
      </c>
      <c r="S580">
        <v>0</v>
      </c>
    </row>
    <row r="581" spans="1:19">
      <c r="A581" t="s">
        <v>35</v>
      </c>
      <c r="B581" t="s">
        <v>2841</v>
      </c>
      <c r="C581">
        <f>"B118062XSR"</f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 s="2">
        <v>0</v>
      </c>
      <c r="M581">
        <v>0</v>
      </c>
      <c r="N581" s="2">
        <v>0</v>
      </c>
      <c r="O581">
        <v>0</v>
      </c>
      <c r="P581" t="s">
        <v>100</v>
      </c>
      <c r="Q581">
        <v>0</v>
      </c>
      <c r="R581" t="s">
        <v>145</v>
      </c>
      <c r="S581">
        <v>0</v>
      </c>
    </row>
    <row r="582" spans="1:19">
      <c r="A582" t="s">
        <v>35</v>
      </c>
      <c r="B582" t="s">
        <v>2757</v>
      </c>
      <c r="C582">
        <f>"B19220LR"</f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 s="2">
        <v>0</v>
      </c>
      <c r="M582">
        <v>0</v>
      </c>
      <c r="N582" s="2">
        <v>0</v>
      </c>
      <c r="O582">
        <v>0</v>
      </c>
      <c r="P582" t="s">
        <v>100</v>
      </c>
      <c r="Q582">
        <v>0</v>
      </c>
      <c r="R582" t="s">
        <v>145</v>
      </c>
      <c r="S582">
        <v>0</v>
      </c>
    </row>
    <row r="583" spans="1:19">
      <c r="A583" t="s">
        <v>35</v>
      </c>
      <c r="B583" t="s">
        <v>2983</v>
      </c>
      <c r="C583">
        <f>"B1916XLG"</f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 s="2">
        <v>0</v>
      </c>
      <c r="M583">
        <v>0</v>
      </c>
      <c r="N583" s="2">
        <v>0</v>
      </c>
      <c r="O583">
        <v>0</v>
      </c>
      <c r="P583" t="s">
        <v>100</v>
      </c>
      <c r="Q583">
        <v>0</v>
      </c>
      <c r="R583" t="s">
        <v>145</v>
      </c>
      <c r="S583">
        <v>0</v>
      </c>
    </row>
    <row r="584" spans="1:19">
      <c r="A584" t="s">
        <v>35</v>
      </c>
      <c r="B584" t="s">
        <v>4125</v>
      </c>
      <c r="C584">
        <f>"DW26S"</f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 s="2">
        <v>0</v>
      </c>
      <c r="M584">
        <v>0</v>
      </c>
      <c r="N584" s="2">
        <v>0</v>
      </c>
      <c r="O584">
        <v>0</v>
      </c>
      <c r="P584" t="s">
        <v>100</v>
      </c>
      <c r="Q584">
        <v>0</v>
      </c>
      <c r="R584" t="s">
        <v>145</v>
      </c>
      <c r="S584">
        <v>0</v>
      </c>
    </row>
    <row r="585" spans="1:19">
      <c r="A585" t="s">
        <v>35</v>
      </c>
      <c r="B585" t="s">
        <v>807</v>
      </c>
      <c r="C585">
        <f>"KL09"</f>
        <v>0</v>
      </c>
      <c r="D585">
        <v>4</v>
      </c>
      <c r="E585">
        <v>0</v>
      </c>
      <c r="F585">
        <v>0</v>
      </c>
      <c r="G585">
        <v>0</v>
      </c>
      <c r="H585">
        <v>4</v>
      </c>
      <c r="I585">
        <v>0</v>
      </c>
      <c r="J585">
        <v>0</v>
      </c>
      <c r="K585">
        <v>0</v>
      </c>
      <c r="L585" s="2">
        <v>0</v>
      </c>
      <c r="M585">
        <v>0</v>
      </c>
      <c r="N585" s="2">
        <v>0</v>
      </c>
      <c r="O585">
        <v>0</v>
      </c>
      <c r="P585" t="s">
        <v>100</v>
      </c>
      <c r="Q585">
        <v>0</v>
      </c>
      <c r="R585" t="s">
        <v>145</v>
      </c>
      <c r="S585">
        <v>0</v>
      </c>
    </row>
    <row r="586" spans="1:19">
      <c r="A586" t="s">
        <v>35</v>
      </c>
      <c r="B586" t="s">
        <v>903</v>
      </c>
      <c r="C586">
        <f>"KL10"</f>
        <v>0</v>
      </c>
      <c r="D586">
        <v>0</v>
      </c>
      <c r="E586">
        <v>3</v>
      </c>
      <c r="F586">
        <v>0</v>
      </c>
      <c r="G586">
        <v>0</v>
      </c>
      <c r="H586">
        <v>3</v>
      </c>
      <c r="I586">
        <v>0</v>
      </c>
      <c r="J586">
        <v>0</v>
      </c>
      <c r="K586">
        <v>0</v>
      </c>
      <c r="L586" s="2">
        <v>0</v>
      </c>
      <c r="M586">
        <v>0</v>
      </c>
      <c r="N586" s="2">
        <v>0</v>
      </c>
      <c r="O586">
        <v>0</v>
      </c>
      <c r="P586" t="s">
        <v>100</v>
      </c>
      <c r="Q586">
        <v>0</v>
      </c>
      <c r="R586" t="s">
        <v>145</v>
      </c>
      <c r="S586">
        <v>0</v>
      </c>
    </row>
    <row r="587" spans="1:19">
      <c r="A587" t="s">
        <v>35</v>
      </c>
      <c r="B587" t="s">
        <v>2963</v>
      </c>
      <c r="C587">
        <f>"LWT0092"</f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 s="2">
        <v>0</v>
      </c>
      <c r="M587">
        <v>0</v>
      </c>
      <c r="N587" s="2">
        <v>0</v>
      </c>
      <c r="O587">
        <v>0</v>
      </c>
      <c r="P587" t="s">
        <v>100</v>
      </c>
      <c r="Q587">
        <v>0</v>
      </c>
      <c r="R587" t="s">
        <v>145</v>
      </c>
      <c r="S587">
        <v>0</v>
      </c>
    </row>
    <row r="588" spans="1:19">
      <c r="A588" t="s">
        <v>35</v>
      </c>
      <c r="B588" t="s">
        <v>8125</v>
      </c>
      <c r="C588">
        <f>"HD38L"</f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 s="2">
        <v>0</v>
      </c>
      <c r="M588">
        <v>0</v>
      </c>
      <c r="N588" s="2">
        <v>0</v>
      </c>
      <c r="O588">
        <v>0</v>
      </c>
      <c r="P588" t="s">
        <v>100</v>
      </c>
      <c r="Q588">
        <v>0</v>
      </c>
      <c r="R588" t="s">
        <v>145</v>
      </c>
      <c r="S588">
        <v>0</v>
      </c>
    </row>
    <row r="589" spans="1:19">
      <c r="A589" t="s">
        <v>35</v>
      </c>
      <c r="B589" t="s">
        <v>8124</v>
      </c>
      <c r="C589">
        <f>"HD38M"</f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 s="2">
        <v>0</v>
      </c>
      <c r="M589">
        <v>0</v>
      </c>
      <c r="N589" s="2">
        <v>0</v>
      </c>
      <c r="O589">
        <v>0</v>
      </c>
      <c r="P589" t="s">
        <v>100</v>
      </c>
      <c r="Q589">
        <v>0</v>
      </c>
      <c r="R589" t="s">
        <v>145</v>
      </c>
      <c r="S589">
        <v>0</v>
      </c>
    </row>
    <row r="590" spans="1:19">
      <c r="A590" t="s">
        <v>35</v>
      </c>
      <c r="B590" t="s">
        <v>8055</v>
      </c>
      <c r="C590">
        <f>"HD34M"</f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 s="2">
        <v>0</v>
      </c>
      <c r="M590">
        <v>0</v>
      </c>
      <c r="N590" s="2">
        <v>0</v>
      </c>
      <c r="O590">
        <v>0</v>
      </c>
      <c r="P590" t="s">
        <v>100</v>
      </c>
      <c r="Q590">
        <v>0</v>
      </c>
      <c r="R590" t="s">
        <v>145</v>
      </c>
      <c r="S590">
        <v>0</v>
      </c>
    </row>
    <row r="591" spans="1:19">
      <c r="A591" t="s">
        <v>35</v>
      </c>
      <c r="B591" t="s">
        <v>2995</v>
      </c>
      <c r="C591">
        <f>"PT205G"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 s="2">
        <v>0</v>
      </c>
      <c r="M591">
        <v>0</v>
      </c>
      <c r="N591" s="2">
        <v>0</v>
      </c>
      <c r="O591">
        <v>0</v>
      </c>
      <c r="P591" t="s">
        <v>100</v>
      </c>
      <c r="Q591">
        <v>0</v>
      </c>
      <c r="R591" t="s">
        <v>145</v>
      </c>
      <c r="S591">
        <v>0</v>
      </c>
    </row>
    <row r="592" spans="1:19">
      <c r="A592" t="s">
        <v>35</v>
      </c>
      <c r="B592" t="s">
        <v>1236</v>
      </c>
      <c r="C592">
        <f>"PT051"</f>
        <v>0</v>
      </c>
      <c r="D592">
        <v>0</v>
      </c>
      <c r="E592">
        <v>1</v>
      </c>
      <c r="F592">
        <v>0</v>
      </c>
      <c r="G592">
        <v>0</v>
      </c>
      <c r="H592">
        <v>1</v>
      </c>
      <c r="I592">
        <v>0</v>
      </c>
      <c r="J592">
        <v>0</v>
      </c>
      <c r="K592">
        <v>0</v>
      </c>
      <c r="L592" s="2">
        <v>0</v>
      </c>
      <c r="M592">
        <v>0</v>
      </c>
      <c r="N592" s="2">
        <v>0</v>
      </c>
      <c r="O592">
        <v>0</v>
      </c>
      <c r="P592" t="s">
        <v>100</v>
      </c>
      <c r="Q592">
        <v>0</v>
      </c>
      <c r="R592" t="s">
        <v>145</v>
      </c>
      <c r="S592">
        <v>0</v>
      </c>
    </row>
    <row r="593" spans="1:19">
      <c r="A593" t="s">
        <v>35</v>
      </c>
      <c r="B593" t="s">
        <v>2993</v>
      </c>
      <c r="C593">
        <f>"PT205N"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 s="2">
        <v>0</v>
      </c>
      <c r="M593">
        <v>0</v>
      </c>
      <c r="N593" s="2">
        <v>0</v>
      </c>
      <c r="O593">
        <v>0</v>
      </c>
      <c r="P593" t="s">
        <v>100</v>
      </c>
      <c r="Q593">
        <v>0</v>
      </c>
      <c r="R593" t="s">
        <v>145</v>
      </c>
      <c r="S593">
        <v>0</v>
      </c>
    </row>
    <row r="594" spans="1:19">
      <c r="A594" t="s">
        <v>35</v>
      </c>
      <c r="B594" t="s">
        <v>1310</v>
      </c>
      <c r="C594">
        <f>"PT273"</f>
        <v>0</v>
      </c>
      <c r="D594">
        <v>1</v>
      </c>
      <c r="E594">
        <v>0</v>
      </c>
      <c r="F594">
        <v>0</v>
      </c>
      <c r="G594">
        <v>0</v>
      </c>
      <c r="H594">
        <v>1</v>
      </c>
      <c r="I594">
        <v>0</v>
      </c>
      <c r="J594">
        <v>0</v>
      </c>
      <c r="K594">
        <v>0</v>
      </c>
      <c r="L594" s="2">
        <v>0</v>
      </c>
      <c r="M594">
        <v>0</v>
      </c>
      <c r="N594" s="2">
        <v>0</v>
      </c>
      <c r="O594">
        <v>0</v>
      </c>
      <c r="P594" t="s">
        <v>100</v>
      </c>
      <c r="Q594">
        <v>0</v>
      </c>
      <c r="R594" t="s">
        <v>145</v>
      </c>
      <c r="S594">
        <v>0</v>
      </c>
    </row>
    <row r="595" spans="1:19">
      <c r="A595" t="s">
        <v>35</v>
      </c>
      <c r="B595" t="s">
        <v>8233</v>
      </c>
      <c r="C595">
        <f>"PT114"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 s="2">
        <v>0</v>
      </c>
      <c r="M595">
        <v>0</v>
      </c>
      <c r="N595" s="2">
        <v>0</v>
      </c>
      <c r="O595">
        <v>0</v>
      </c>
      <c r="P595" t="s">
        <v>100</v>
      </c>
      <c r="Q595">
        <v>0</v>
      </c>
      <c r="R595" t="s">
        <v>145</v>
      </c>
      <c r="S595">
        <v>0</v>
      </c>
    </row>
    <row r="596" spans="1:19">
      <c r="A596" t="s">
        <v>35</v>
      </c>
      <c r="B596" t="s">
        <v>1269</v>
      </c>
      <c r="C596">
        <f>"CT239"</f>
        <v>0</v>
      </c>
      <c r="D596">
        <v>1</v>
      </c>
      <c r="E596">
        <v>0</v>
      </c>
      <c r="F596">
        <v>0</v>
      </c>
      <c r="G596">
        <v>0</v>
      </c>
      <c r="H596">
        <v>1</v>
      </c>
      <c r="I596">
        <v>0</v>
      </c>
      <c r="J596">
        <v>0</v>
      </c>
      <c r="K596">
        <v>0</v>
      </c>
      <c r="L596" s="2">
        <v>0</v>
      </c>
      <c r="M596">
        <v>0</v>
      </c>
      <c r="N596" s="2">
        <v>0</v>
      </c>
      <c r="O596">
        <v>0</v>
      </c>
      <c r="P596" t="s">
        <v>100</v>
      </c>
      <c r="Q596">
        <v>0</v>
      </c>
      <c r="R596" t="s">
        <v>145</v>
      </c>
      <c r="S596">
        <v>0</v>
      </c>
    </row>
    <row r="597" spans="1:19">
      <c r="A597" t="s">
        <v>35</v>
      </c>
      <c r="B597" t="s">
        <v>1125</v>
      </c>
      <c r="C597">
        <f>"TF1063"</f>
        <v>0</v>
      </c>
      <c r="D597">
        <v>0</v>
      </c>
      <c r="E597">
        <v>2</v>
      </c>
      <c r="F597">
        <v>0</v>
      </c>
      <c r="G597">
        <v>0</v>
      </c>
      <c r="H597">
        <v>2</v>
      </c>
      <c r="I597">
        <v>0</v>
      </c>
      <c r="J597">
        <v>0</v>
      </c>
      <c r="K597">
        <v>0</v>
      </c>
      <c r="L597" s="2">
        <v>0</v>
      </c>
      <c r="M597">
        <v>0</v>
      </c>
      <c r="N597" s="2">
        <v>0</v>
      </c>
      <c r="O597">
        <v>0</v>
      </c>
      <c r="P597" t="s">
        <v>100</v>
      </c>
      <c r="Q597">
        <v>0</v>
      </c>
      <c r="R597" t="s">
        <v>145</v>
      </c>
      <c r="S597">
        <v>0</v>
      </c>
    </row>
    <row r="598" spans="1:19">
      <c r="A598" t="s">
        <v>35</v>
      </c>
      <c r="B598" t="s">
        <v>1126</v>
      </c>
      <c r="C598">
        <f>"00223"</f>
        <v>0</v>
      </c>
      <c r="D598">
        <v>0</v>
      </c>
      <c r="E598">
        <v>0</v>
      </c>
      <c r="F598">
        <v>2</v>
      </c>
      <c r="G598">
        <v>0</v>
      </c>
      <c r="H598">
        <v>2</v>
      </c>
      <c r="I598">
        <v>0</v>
      </c>
      <c r="J598">
        <v>0</v>
      </c>
      <c r="K598">
        <v>0</v>
      </c>
      <c r="L598" s="2">
        <v>0</v>
      </c>
      <c r="M598">
        <v>0</v>
      </c>
      <c r="N598" s="2">
        <v>0</v>
      </c>
      <c r="O598">
        <v>0</v>
      </c>
      <c r="P598" t="s">
        <v>100</v>
      </c>
      <c r="Q598">
        <v>0</v>
      </c>
      <c r="R598" t="s">
        <v>145</v>
      </c>
      <c r="S598">
        <v>0</v>
      </c>
    </row>
    <row r="599" spans="1:19">
      <c r="A599" t="s">
        <v>35</v>
      </c>
      <c r="B599" t="s">
        <v>3015</v>
      </c>
      <c r="C599">
        <f>"HDDZ71UNID"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 s="2">
        <v>0</v>
      </c>
      <c r="M599">
        <v>0</v>
      </c>
      <c r="N599" s="2">
        <v>0</v>
      </c>
      <c r="O599">
        <v>0</v>
      </c>
      <c r="P599" t="s">
        <v>100</v>
      </c>
      <c r="Q599">
        <v>0</v>
      </c>
      <c r="R599" t="s">
        <v>145</v>
      </c>
      <c r="S599">
        <v>0</v>
      </c>
    </row>
    <row r="600" spans="1:19">
      <c r="A600" t="s">
        <v>35</v>
      </c>
      <c r="B600" t="s">
        <v>2930</v>
      </c>
      <c r="C600">
        <f>"234905"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 s="2">
        <v>0</v>
      </c>
      <c r="M600">
        <v>0</v>
      </c>
      <c r="N600" s="2">
        <v>0</v>
      </c>
      <c r="O600">
        <v>0</v>
      </c>
      <c r="P600" t="s">
        <v>100</v>
      </c>
      <c r="Q600">
        <v>0</v>
      </c>
      <c r="R600" t="s">
        <v>145</v>
      </c>
      <c r="S600">
        <v>0</v>
      </c>
    </row>
    <row r="601" spans="1:19">
      <c r="A601" t="s">
        <v>35</v>
      </c>
      <c r="B601" t="s">
        <v>2929</v>
      </c>
      <c r="C601">
        <f>"XX113"</f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 s="2">
        <v>0</v>
      </c>
      <c r="M601">
        <v>0</v>
      </c>
      <c r="N601" s="2">
        <v>0</v>
      </c>
      <c r="O601">
        <v>0</v>
      </c>
      <c r="P601" t="s">
        <v>100</v>
      </c>
      <c r="Q601">
        <v>0</v>
      </c>
      <c r="R601" t="s">
        <v>145</v>
      </c>
      <c r="S601">
        <v>0</v>
      </c>
    </row>
    <row r="602" spans="1:19">
      <c r="A602" t="s">
        <v>35</v>
      </c>
      <c r="B602" t="s">
        <v>2916</v>
      </c>
      <c r="C602">
        <f>"LWT0176"</f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 s="2">
        <v>0</v>
      </c>
      <c r="M602">
        <v>0</v>
      </c>
      <c r="N602" s="2">
        <v>0</v>
      </c>
      <c r="O602">
        <v>0</v>
      </c>
      <c r="P602" t="s">
        <v>100</v>
      </c>
      <c r="Q602">
        <v>0</v>
      </c>
      <c r="R602" t="s">
        <v>145</v>
      </c>
      <c r="S602">
        <v>0</v>
      </c>
    </row>
    <row r="603" spans="1:19">
      <c r="A603" t="s">
        <v>35</v>
      </c>
      <c r="B603" t="s">
        <v>2860</v>
      </c>
      <c r="C603">
        <f>"AH020009"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 s="2">
        <v>0</v>
      </c>
      <c r="M603">
        <v>0</v>
      </c>
      <c r="N603" s="2">
        <v>0</v>
      </c>
      <c r="O603">
        <v>0</v>
      </c>
      <c r="P603" t="s">
        <v>100</v>
      </c>
      <c r="Q603">
        <v>0</v>
      </c>
      <c r="R603" t="s">
        <v>145</v>
      </c>
      <c r="S603">
        <v>0</v>
      </c>
    </row>
    <row r="604" spans="1:19">
      <c r="A604" t="s">
        <v>35</v>
      </c>
      <c r="B604" t="s">
        <v>2904</v>
      </c>
      <c r="C604">
        <f>"1549572179867"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 s="2">
        <v>0</v>
      </c>
      <c r="M604">
        <v>0</v>
      </c>
      <c r="N604" s="2">
        <v>0</v>
      </c>
      <c r="O604">
        <v>0</v>
      </c>
      <c r="P604" t="s">
        <v>100</v>
      </c>
      <c r="Q604">
        <v>0</v>
      </c>
      <c r="R604" t="s">
        <v>145</v>
      </c>
      <c r="S604">
        <v>0</v>
      </c>
    </row>
    <row r="605" spans="1:19">
      <c r="A605" t="s">
        <v>35</v>
      </c>
      <c r="B605" t="s">
        <v>2902</v>
      </c>
      <c r="C605">
        <f>"KL01"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 s="2">
        <v>0</v>
      </c>
      <c r="M605">
        <v>0</v>
      </c>
      <c r="N605" s="2">
        <v>0</v>
      </c>
      <c r="O605">
        <v>0</v>
      </c>
      <c r="P605" t="s">
        <v>100</v>
      </c>
      <c r="Q605">
        <v>0</v>
      </c>
      <c r="R605" t="s">
        <v>145</v>
      </c>
      <c r="S605">
        <v>0</v>
      </c>
    </row>
    <row r="606" spans="1:19">
      <c r="A606" t="s">
        <v>35</v>
      </c>
      <c r="B606" t="s">
        <v>1270</v>
      </c>
      <c r="C606">
        <f>"PT090PAV"</f>
        <v>0</v>
      </c>
      <c r="D606">
        <v>1</v>
      </c>
      <c r="E606">
        <v>0</v>
      </c>
      <c r="F606">
        <v>0</v>
      </c>
      <c r="G606">
        <v>0</v>
      </c>
      <c r="H606">
        <v>1</v>
      </c>
      <c r="I606">
        <v>0</v>
      </c>
      <c r="J606">
        <v>0</v>
      </c>
      <c r="K606">
        <v>0</v>
      </c>
      <c r="L606" s="2">
        <v>0</v>
      </c>
      <c r="M606">
        <v>0</v>
      </c>
      <c r="N606" s="2">
        <v>0</v>
      </c>
      <c r="O606">
        <v>0</v>
      </c>
      <c r="P606" t="s">
        <v>100</v>
      </c>
      <c r="Q606">
        <v>0</v>
      </c>
      <c r="R606" t="s">
        <v>145</v>
      </c>
      <c r="S606">
        <v>0</v>
      </c>
    </row>
    <row r="607" spans="1:19">
      <c r="A607" t="s">
        <v>35</v>
      </c>
      <c r="B607" t="s">
        <v>1259</v>
      </c>
      <c r="C607">
        <f>"KL160KSB"</f>
        <v>0</v>
      </c>
      <c r="D607">
        <v>1</v>
      </c>
      <c r="E607">
        <v>0</v>
      </c>
      <c r="F607">
        <v>0</v>
      </c>
      <c r="G607">
        <v>0</v>
      </c>
      <c r="H607">
        <v>1</v>
      </c>
      <c r="I607">
        <v>0</v>
      </c>
      <c r="J607">
        <v>0</v>
      </c>
      <c r="K607">
        <v>0</v>
      </c>
      <c r="L607" s="2">
        <v>0</v>
      </c>
      <c r="M607">
        <v>0</v>
      </c>
      <c r="N607" s="2">
        <v>0</v>
      </c>
      <c r="O607">
        <v>0</v>
      </c>
      <c r="P607" t="s">
        <v>100</v>
      </c>
      <c r="Q607">
        <v>0</v>
      </c>
      <c r="R607" t="s">
        <v>145</v>
      </c>
      <c r="S607">
        <v>0</v>
      </c>
    </row>
    <row r="608" spans="1:19">
      <c r="A608" t="s">
        <v>35</v>
      </c>
      <c r="B608" t="s">
        <v>1258</v>
      </c>
      <c r="C608">
        <f>"KL160N"</f>
        <v>0</v>
      </c>
      <c r="D608">
        <v>1</v>
      </c>
      <c r="E608">
        <v>0</v>
      </c>
      <c r="F608">
        <v>0</v>
      </c>
      <c r="G608">
        <v>0</v>
      </c>
      <c r="H608">
        <v>1</v>
      </c>
      <c r="I608">
        <v>0</v>
      </c>
      <c r="J608">
        <v>0</v>
      </c>
      <c r="K608">
        <v>0</v>
      </c>
      <c r="L608" s="2">
        <v>0</v>
      </c>
      <c r="M608">
        <v>0</v>
      </c>
      <c r="N608" s="2">
        <v>0</v>
      </c>
      <c r="O608">
        <v>0</v>
      </c>
      <c r="P608" t="s">
        <v>100</v>
      </c>
      <c r="Q608">
        <v>0</v>
      </c>
      <c r="R608" t="s">
        <v>145</v>
      </c>
      <c r="S608">
        <v>0</v>
      </c>
    </row>
    <row r="609" spans="1:19">
      <c r="A609" t="s">
        <v>35</v>
      </c>
      <c r="B609" t="s">
        <v>3331</v>
      </c>
      <c r="C609">
        <f>"KL160S"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 s="2">
        <v>0</v>
      </c>
      <c r="M609">
        <v>0</v>
      </c>
      <c r="N609" s="2">
        <v>0</v>
      </c>
      <c r="O609">
        <v>0</v>
      </c>
      <c r="P609" t="s">
        <v>100</v>
      </c>
      <c r="Q609">
        <v>0</v>
      </c>
      <c r="R609" t="s">
        <v>145</v>
      </c>
      <c r="S609">
        <v>0</v>
      </c>
    </row>
    <row r="610" spans="1:19">
      <c r="A610" t="s">
        <v>35</v>
      </c>
      <c r="B610" t="s">
        <v>3330</v>
      </c>
      <c r="C610">
        <f>"KL160C"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 s="2">
        <v>0</v>
      </c>
      <c r="M610">
        <v>0</v>
      </c>
      <c r="N610" s="2">
        <v>0</v>
      </c>
      <c r="O610">
        <v>0</v>
      </c>
      <c r="P610" t="s">
        <v>100</v>
      </c>
      <c r="Q610">
        <v>0</v>
      </c>
      <c r="R610" t="s">
        <v>145</v>
      </c>
      <c r="S610">
        <v>0</v>
      </c>
    </row>
    <row r="611" spans="1:19">
      <c r="A611" t="s">
        <v>35</v>
      </c>
      <c r="B611" t="s">
        <v>3505</v>
      </c>
      <c r="C611">
        <f>"PINP"</f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 s="2">
        <v>0</v>
      </c>
      <c r="M611">
        <v>0</v>
      </c>
      <c r="N611" s="2">
        <v>0</v>
      </c>
      <c r="O611">
        <v>0</v>
      </c>
      <c r="P611" t="s">
        <v>100</v>
      </c>
      <c r="Q611">
        <v>0</v>
      </c>
      <c r="R611" t="s">
        <v>145</v>
      </c>
      <c r="S611">
        <v>0</v>
      </c>
    </row>
    <row r="612" spans="1:19">
      <c r="A612" t="s">
        <v>35</v>
      </c>
      <c r="B612" t="s">
        <v>3442</v>
      </c>
      <c r="C612">
        <f>"MSIDAMA"</f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 s="2">
        <v>0</v>
      </c>
      <c r="M612">
        <v>0</v>
      </c>
      <c r="N612" s="2">
        <v>0</v>
      </c>
      <c r="O612">
        <v>0</v>
      </c>
      <c r="P612" t="s">
        <v>100</v>
      </c>
      <c r="Q612">
        <v>0</v>
      </c>
      <c r="R612" t="s">
        <v>145</v>
      </c>
      <c r="S612">
        <v>0</v>
      </c>
    </row>
    <row r="613" spans="1:19">
      <c r="A613" t="s">
        <v>35</v>
      </c>
      <c r="B613" t="s">
        <v>1251</v>
      </c>
      <c r="C613">
        <f>"MSIDAZ"</f>
        <v>0</v>
      </c>
      <c r="D613">
        <v>1</v>
      </c>
      <c r="E613">
        <v>0</v>
      </c>
      <c r="F613">
        <v>0</v>
      </c>
      <c r="G613">
        <v>0</v>
      </c>
      <c r="H613">
        <v>1</v>
      </c>
      <c r="I613">
        <v>0</v>
      </c>
      <c r="J613">
        <v>0</v>
      </c>
      <c r="K613">
        <v>0</v>
      </c>
      <c r="L613" s="2">
        <v>0</v>
      </c>
      <c r="M613">
        <v>0</v>
      </c>
      <c r="N613" s="2">
        <v>0</v>
      </c>
      <c r="O613">
        <v>0</v>
      </c>
      <c r="P613" t="s">
        <v>100</v>
      </c>
      <c r="Q613">
        <v>0</v>
      </c>
      <c r="R613" t="s">
        <v>145</v>
      </c>
      <c r="S613">
        <v>0</v>
      </c>
    </row>
    <row r="614" spans="1:19">
      <c r="A614" t="s">
        <v>35</v>
      </c>
      <c r="B614" t="s">
        <v>3424</v>
      </c>
      <c r="C614">
        <f>"MSIDNAR"</f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 s="2">
        <v>0</v>
      </c>
      <c r="M614">
        <v>0</v>
      </c>
      <c r="N614" s="2">
        <v>0</v>
      </c>
      <c r="O614">
        <v>0</v>
      </c>
      <c r="P614" t="s">
        <v>100</v>
      </c>
      <c r="Q614">
        <v>0</v>
      </c>
      <c r="R614" t="s">
        <v>145</v>
      </c>
      <c r="S614">
        <v>0</v>
      </c>
    </row>
    <row r="615" spans="1:19">
      <c r="A615" t="s">
        <v>35</v>
      </c>
      <c r="B615" t="s">
        <v>3289</v>
      </c>
      <c r="C615">
        <f>"MSID1ROJ"</f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 s="2">
        <v>0</v>
      </c>
      <c r="M615">
        <v>0</v>
      </c>
      <c r="N615" s="2">
        <v>0</v>
      </c>
      <c r="O615">
        <v>0</v>
      </c>
      <c r="P615" t="s">
        <v>100</v>
      </c>
      <c r="Q615">
        <v>0</v>
      </c>
      <c r="R615" t="s">
        <v>145</v>
      </c>
      <c r="S615">
        <v>0</v>
      </c>
    </row>
    <row r="616" spans="1:19">
      <c r="A616" t="s">
        <v>35</v>
      </c>
      <c r="B616" t="s">
        <v>8146</v>
      </c>
      <c r="C616">
        <f>"A79S"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 s="2">
        <v>0</v>
      </c>
      <c r="M616">
        <v>0</v>
      </c>
      <c r="N616" s="2">
        <v>0</v>
      </c>
      <c r="O616">
        <v>0</v>
      </c>
      <c r="P616" t="s">
        <v>100</v>
      </c>
      <c r="Q616">
        <v>0</v>
      </c>
      <c r="R616" t="s">
        <v>145</v>
      </c>
      <c r="S616">
        <v>0</v>
      </c>
    </row>
    <row r="617" spans="1:19">
      <c r="A617" t="s">
        <v>35</v>
      </c>
      <c r="B617" t="s">
        <v>2887</v>
      </c>
      <c r="C617">
        <f>"LWT0090"</f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 s="2">
        <v>0</v>
      </c>
      <c r="M617">
        <v>0</v>
      </c>
      <c r="N617" s="2">
        <v>0</v>
      </c>
      <c r="O617">
        <v>0</v>
      </c>
      <c r="P617" t="s">
        <v>100</v>
      </c>
      <c r="Q617">
        <v>0</v>
      </c>
      <c r="R617" t="s">
        <v>145</v>
      </c>
      <c r="S617">
        <v>0</v>
      </c>
    </row>
    <row r="618" spans="1:19">
      <c r="A618" t="s">
        <v>35</v>
      </c>
      <c r="B618" t="s">
        <v>2739</v>
      </c>
      <c r="C618">
        <f>"XDB403R"</f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 s="2">
        <v>0</v>
      </c>
      <c r="M618">
        <v>0</v>
      </c>
      <c r="N618" s="2">
        <v>0</v>
      </c>
      <c r="O618">
        <v>0</v>
      </c>
      <c r="P618" t="s">
        <v>100</v>
      </c>
      <c r="Q618">
        <v>0</v>
      </c>
      <c r="R618" t="s">
        <v>145</v>
      </c>
      <c r="S618">
        <v>0</v>
      </c>
    </row>
    <row r="619" spans="1:19">
      <c r="A619" t="s">
        <v>35</v>
      </c>
      <c r="B619" t="s">
        <v>990</v>
      </c>
      <c r="C619">
        <f>"BRI19"</f>
        <v>0</v>
      </c>
      <c r="D619">
        <v>2</v>
      </c>
      <c r="E619">
        <v>0</v>
      </c>
      <c r="F619">
        <v>0</v>
      </c>
      <c r="G619">
        <v>0</v>
      </c>
      <c r="H619">
        <v>2</v>
      </c>
      <c r="I619">
        <v>0</v>
      </c>
      <c r="J619">
        <v>0</v>
      </c>
      <c r="K619">
        <v>0</v>
      </c>
      <c r="L619" s="2">
        <v>0</v>
      </c>
      <c r="M619">
        <v>0</v>
      </c>
      <c r="N619" s="2">
        <v>0</v>
      </c>
      <c r="O619">
        <v>0</v>
      </c>
      <c r="P619" t="s">
        <v>100</v>
      </c>
      <c r="Q619">
        <v>0</v>
      </c>
      <c r="R619" t="s">
        <v>145</v>
      </c>
      <c r="S619">
        <v>0</v>
      </c>
    </row>
    <row r="620" spans="1:19">
      <c r="A620" t="s">
        <v>35</v>
      </c>
      <c r="B620" t="s">
        <v>1235</v>
      </c>
      <c r="C620">
        <f>"BRI18"</f>
        <v>0</v>
      </c>
      <c r="D620">
        <v>1</v>
      </c>
      <c r="E620">
        <v>0</v>
      </c>
      <c r="F620">
        <v>0</v>
      </c>
      <c r="G620">
        <v>0</v>
      </c>
      <c r="H620">
        <v>1</v>
      </c>
      <c r="I620">
        <v>0</v>
      </c>
      <c r="J620">
        <v>0</v>
      </c>
      <c r="K620">
        <v>0</v>
      </c>
      <c r="L620" s="2">
        <v>0</v>
      </c>
      <c r="M620">
        <v>0</v>
      </c>
      <c r="N620" s="2">
        <v>0</v>
      </c>
      <c r="O620">
        <v>0</v>
      </c>
      <c r="P620" t="s">
        <v>100</v>
      </c>
      <c r="Q620">
        <v>0</v>
      </c>
      <c r="R620" t="s">
        <v>145</v>
      </c>
      <c r="S620">
        <v>0</v>
      </c>
    </row>
    <row r="621" spans="1:19">
      <c r="A621" t="s">
        <v>35</v>
      </c>
      <c r="B621" t="s">
        <v>2758</v>
      </c>
      <c r="C621">
        <f>"EDU2"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 s="2">
        <v>0</v>
      </c>
      <c r="M621">
        <v>0</v>
      </c>
      <c r="N621" s="2">
        <v>0</v>
      </c>
      <c r="O621">
        <v>0</v>
      </c>
      <c r="P621" t="s">
        <v>100</v>
      </c>
      <c r="Q621">
        <v>0</v>
      </c>
      <c r="R621" t="s">
        <v>145</v>
      </c>
      <c r="S621">
        <v>0</v>
      </c>
    </row>
    <row r="622" spans="1:19">
      <c r="A622" t="s">
        <v>35</v>
      </c>
      <c r="B622" t="s">
        <v>8052</v>
      </c>
      <c r="C622">
        <f>"HD23XS"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 s="2">
        <v>0</v>
      </c>
      <c r="M622">
        <v>0</v>
      </c>
      <c r="N622" s="2">
        <v>0</v>
      </c>
      <c r="O622">
        <v>0</v>
      </c>
      <c r="P622" t="s">
        <v>100</v>
      </c>
      <c r="Q622">
        <v>0</v>
      </c>
      <c r="R622" t="s">
        <v>145</v>
      </c>
      <c r="S622">
        <v>0</v>
      </c>
    </row>
    <row r="623" spans="1:19">
      <c r="A623" t="s">
        <v>35</v>
      </c>
      <c r="B623" t="s">
        <v>8142</v>
      </c>
      <c r="C623">
        <f>"HD23XXS"</f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 s="2">
        <v>0</v>
      </c>
      <c r="M623">
        <v>0</v>
      </c>
      <c r="N623" s="2">
        <v>0</v>
      </c>
      <c r="O623">
        <v>0</v>
      </c>
      <c r="P623" t="s">
        <v>100</v>
      </c>
      <c r="Q623">
        <v>0</v>
      </c>
      <c r="R623" t="s">
        <v>145</v>
      </c>
      <c r="S623">
        <v>0</v>
      </c>
    </row>
    <row r="624" spans="1:19">
      <c r="A624" t="s">
        <v>35</v>
      </c>
      <c r="B624" t="s">
        <v>8134</v>
      </c>
      <c r="C624">
        <f>"34SR"</f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 s="2">
        <v>0</v>
      </c>
      <c r="M624">
        <v>0</v>
      </c>
      <c r="N624" s="2">
        <v>0</v>
      </c>
      <c r="O624">
        <v>0</v>
      </c>
      <c r="P624" t="s">
        <v>100</v>
      </c>
      <c r="Q624">
        <v>0</v>
      </c>
      <c r="R624" t="s">
        <v>145</v>
      </c>
      <c r="S624">
        <v>0</v>
      </c>
    </row>
    <row r="625" spans="1:19">
      <c r="A625" t="s">
        <v>35</v>
      </c>
      <c r="B625" t="s">
        <v>8133</v>
      </c>
      <c r="C625">
        <f>"34XSR"</f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 s="2">
        <v>0</v>
      </c>
      <c r="M625">
        <v>0</v>
      </c>
      <c r="N625" s="2">
        <v>0</v>
      </c>
      <c r="O625">
        <v>0</v>
      </c>
      <c r="P625" t="s">
        <v>100</v>
      </c>
      <c r="Q625">
        <v>0</v>
      </c>
      <c r="R625" t="s">
        <v>145</v>
      </c>
      <c r="S625">
        <v>0</v>
      </c>
    </row>
    <row r="626" spans="1:19">
      <c r="A626" t="s">
        <v>35</v>
      </c>
      <c r="B626" t="s">
        <v>2747</v>
      </c>
      <c r="C626">
        <f>"3808"</f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 s="2">
        <v>0</v>
      </c>
      <c r="M626">
        <v>0</v>
      </c>
      <c r="N626" s="2">
        <v>0</v>
      </c>
      <c r="O626">
        <v>0</v>
      </c>
      <c r="P626" t="s">
        <v>100</v>
      </c>
      <c r="Q626">
        <v>0</v>
      </c>
      <c r="R626" t="s">
        <v>145</v>
      </c>
      <c r="S626">
        <v>0</v>
      </c>
    </row>
    <row r="627" spans="1:19">
      <c r="A627" t="s">
        <v>35</v>
      </c>
      <c r="B627" t="s">
        <v>2744</v>
      </c>
      <c r="C627">
        <f>"BRI10"</f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 s="2">
        <v>0</v>
      </c>
      <c r="M627">
        <v>0</v>
      </c>
      <c r="N627" s="2">
        <v>0</v>
      </c>
      <c r="O627">
        <v>0</v>
      </c>
      <c r="P627" t="s">
        <v>100</v>
      </c>
      <c r="Q627">
        <v>0</v>
      </c>
      <c r="R627" t="s">
        <v>145</v>
      </c>
      <c r="S627">
        <v>0</v>
      </c>
    </row>
    <row r="628" spans="1:19">
      <c r="A628" t="s">
        <v>35</v>
      </c>
      <c r="B628" t="s">
        <v>8145</v>
      </c>
      <c r="C628">
        <f>"A79XL"</f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 s="2">
        <v>0</v>
      </c>
      <c r="M628">
        <v>0</v>
      </c>
      <c r="N628" s="2">
        <v>0</v>
      </c>
      <c r="O628">
        <v>0</v>
      </c>
      <c r="P628" t="s">
        <v>100</v>
      </c>
      <c r="Q628">
        <v>0</v>
      </c>
      <c r="R628" t="s">
        <v>145</v>
      </c>
      <c r="S628">
        <v>0</v>
      </c>
    </row>
    <row r="629" spans="1:19">
      <c r="A629" t="s">
        <v>35</v>
      </c>
      <c r="B629" t="s">
        <v>8067</v>
      </c>
      <c r="C629">
        <f>"pt087"</f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 s="2">
        <v>0</v>
      </c>
      <c r="M629">
        <v>0</v>
      </c>
      <c r="N629" s="2">
        <v>0</v>
      </c>
      <c r="O629">
        <v>0</v>
      </c>
      <c r="P629" t="s">
        <v>100</v>
      </c>
      <c r="Q629">
        <v>0</v>
      </c>
      <c r="R629" t="s">
        <v>145</v>
      </c>
      <c r="S629">
        <v>0</v>
      </c>
    </row>
    <row r="630" spans="1:19">
      <c r="A630" t="s">
        <v>35</v>
      </c>
      <c r="B630" t="s">
        <v>8066</v>
      </c>
      <c r="C630">
        <f>"pt088"</f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 s="2">
        <v>0</v>
      </c>
      <c r="M630">
        <v>0</v>
      </c>
      <c r="N630" s="2">
        <v>0</v>
      </c>
      <c r="O630">
        <v>0</v>
      </c>
      <c r="P630" t="s">
        <v>100</v>
      </c>
      <c r="Q630">
        <v>0</v>
      </c>
      <c r="R630" t="s">
        <v>145</v>
      </c>
      <c r="S630">
        <v>0</v>
      </c>
    </row>
    <row r="631" spans="1:19">
      <c r="A631" t="s">
        <v>35</v>
      </c>
      <c r="B631" t="s">
        <v>8065</v>
      </c>
      <c r="C631">
        <f>"pt089"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 s="2">
        <v>0</v>
      </c>
      <c r="M631">
        <v>0</v>
      </c>
      <c r="N631" s="2">
        <v>0</v>
      </c>
      <c r="O631">
        <v>0</v>
      </c>
      <c r="P631" t="s">
        <v>100</v>
      </c>
      <c r="Q631">
        <v>0</v>
      </c>
      <c r="R631" t="s">
        <v>145</v>
      </c>
      <c r="S631">
        <v>0</v>
      </c>
    </row>
    <row r="632" spans="1:19">
      <c r="A632" t="s">
        <v>35</v>
      </c>
      <c r="B632" t="s">
        <v>8064</v>
      </c>
      <c r="C632">
        <f>"pt090"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 s="2">
        <v>0</v>
      </c>
      <c r="M632">
        <v>0</v>
      </c>
      <c r="N632" s="2">
        <v>0</v>
      </c>
      <c r="O632">
        <v>0</v>
      </c>
      <c r="P632" t="s">
        <v>100</v>
      </c>
      <c r="Q632">
        <v>0</v>
      </c>
      <c r="R632" t="s">
        <v>145</v>
      </c>
      <c r="S632">
        <v>0</v>
      </c>
    </row>
    <row r="633" spans="1:19">
      <c r="A633" t="s">
        <v>35</v>
      </c>
      <c r="B633" t="s">
        <v>8063</v>
      </c>
      <c r="C633">
        <f>"PT090L"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 s="2">
        <v>0</v>
      </c>
      <c r="M633">
        <v>0</v>
      </c>
      <c r="N633" s="2">
        <v>0</v>
      </c>
      <c r="O633">
        <v>0</v>
      </c>
      <c r="P633" t="s">
        <v>100</v>
      </c>
      <c r="Q633">
        <v>0</v>
      </c>
      <c r="R633" t="s">
        <v>145</v>
      </c>
      <c r="S633">
        <v>0</v>
      </c>
    </row>
    <row r="634" spans="1:19">
      <c r="A634" t="s">
        <v>35</v>
      </c>
      <c r="B634" t="s">
        <v>8062</v>
      </c>
      <c r="C634">
        <f>"PT090V"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 s="2">
        <v>0</v>
      </c>
      <c r="M634">
        <v>0</v>
      </c>
      <c r="N634" s="2">
        <v>0</v>
      </c>
      <c r="O634">
        <v>0</v>
      </c>
      <c r="P634" t="s">
        <v>100</v>
      </c>
      <c r="Q634">
        <v>0</v>
      </c>
      <c r="R634" t="s">
        <v>145</v>
      </c>
      <c r="S634">
        <v>0</v>
      </c>
    </row>
    <row r="635" spans="1:19">
      <c r="A635" t="s">
        <v>35</v>
      </c>
      <c r="B635" t="s">
        <v>8169</v>
      </c>
      <c r="C635">
        <f>"pt091"</f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 s="2">
        <v>0</v>
      </c>
      <c r="M635">
        <v>0</v>
      </c>
      <c r="N635" s="2">
        <v>0</v>
      </c>
      <c r="O635">
        <v>0</v>
      </c>
      <c r="P635" t="s">
        <v>100</v>
      </c>
      <c r="Q635">
        <v>0</v>
      </c>
      <c r="R635" t="s">
        <v>145</v>
      </c>
      <c r="S635">
        <v>0</v>
      </c>
    </row>
    <row r="636" spans="1:19">
      <c r="A636" t="s">
        <v>35</v>
      </c>
      <c r="B636" t="s">
        <v>8262</v>
      </c>
      <c r="C636">
        <f>"pt092"</f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 s="2">
        <v>0</v>
      </c>
      <c r="M636">
        <v>0</v>
      </c>
      <c r="N636" s="2">
        <v>0</v>
      </c>
      <c r="O636">
        <v>0</v>
      </c>
      <c r="P636" t="s">
        <v>100</v>
      </c>
      <c r="Q636">
        <v>0</v>
      </c>
      <c r="R636" t="s">
        <v>145</v>
      </c>
      <c r="S636">
        <v>0</v>
      </c>
    </row>
    <row r="637" spans="1:19">
      <c r="A637" t="s">
        <v>35</v>
      </c>
      <c r="B637" t="s">
        <v>8277</v>
      </c>
      <c r="C637">
        <f>"pt093"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 s="2">
        <v>0</v>
      </c>
      <c r="M637">
        <v>0</v>
      </c>
      <c r="N637" s="2">
        <v>0</v>
      </c>
      <c r="O637">
        <v>0</v>
      </c>
      <c r="P637" t="s">
        <v>100</v>
      </c>
      <c r="Q637">
        <v>0</v>
      </c>
      <c r="R637" t="s">
        <v>145</v>
      </c>
      <c r="S637">
        <v>0</v>
      </c>
    </row>
    <row r="638" spans="1:19">
      <c r="A638" t="s">
        <v>35</v>
      </c>
      <c r="B638" t="s">
        <v>2933</v>
      </c>
      <c r="C638">
        <f>"PS1032"</f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 s="2">
        <v>0</v>
      </c>
      <c r="M638">
        <v>0</v>
      </c>
      <c r="N638" s="2">
        <v>0</v>
      </c>
      <c r="O638">
        <v>0</v>
      </c>
      <c r="P638" t="s">
        <v>100</v>
      </c>
      <c r="Q638">
        <v>0</v>
      </c>
      <c r="R638" t="s">
        <v>145</v>
      </c>
      <c r="S638">
        <v>0</v>
      </c>
    </row>
    <row r="639" spans="1:19">
      <c r="A639" t="s">
        <v>35</v>
      </c>
      <c r="B639" t="s">
        <v>2901</v>
      </c>
      <c r="C639">
        <f>"KL02"</f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 s="2">
        <v>0</v>
      </c>
      <c r="M639">
        <v>0</v>
      </c>
      <c r="N639" s="2">
        <v>0</v>
      </c>
      <c r="O639">
        <v>0</v>
      </c>
      <c r="P639" t="s">
        <v>100</v>
      </c>
      <c r="Q639">
        <v>0</v>
      </c>
      <c r="R639" t="s">
        <v>145</v>
      </c>
      <c r="S639">
        <v>0</v>
      </c>
    </row>
    <row r="640" spans="1:19">
      <c r="A640" t="s">
        <v>35</v>
      </c>
      <c r="B640" t="s">
        <v>2932</v>
      </c>
      <c r="C640">
        <f>"DM2048"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 s="2">
        <v>0</v>
      </c>
      <c r="M640">
        <v>0</v>
      </c>
      <c r="N640" s="2">
        <v>0</v>
      </c>
      <c r="O640">
        <v>0</v>
      </c>
      <c r="P640" t="s">
        <v>100</v>
      </c>
      <c r="Q640">
        <v>0</v>
      </c>
      <c r="R640" t="s">
        <v>145</v>
      </c>
      <c r="S640">
        <v>0</v>
      </c>
    </row>
    <row r="641" spans="1:19">
      <c r="A641" t="s">
        <v>35</v>
      </c>
      <c r="B641" t="s">
        <v>2914</v>
      </c>
      <c r="C641">
        <f>"CTB9"</f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 s="2">
        <v>0</v>
      </c>
      <c r="M641">
        <v>0</v>
      </c>
      <c r="N641" s="2">
        <v>0</v>
      </c>
      <c r="O641">
        <v>0</v>
      </c>
      <c r="P641" t="s">
        <v>100</v>
      </c>
      <c r="Q641">
        <v>0</v>
      </c>
      <c r="R641" t="s">
        <v>145</v>
      </c>
      <c r="S641">
        <v>0</v>
      </c>
    </row>
    <row r="642" spans="1:19">
      <c r="A642" t="s">
        <v>35</v>
      </c>
      <c r="B642" t="s">
        <v>2913</v>
      </c>
      <c r="C642">
        <f>"ER023"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 s="2">
        <v>0</v>
      </c>
      <c r="M642">
        <v>0</v>
      </c>
      <c r="N642" s="2">
        <v>0</v>
      </c>
      <c r="O642">
        <v>0</v>
      </c>
      <c r="P642" t="s">
        <v>100</v>
      </c>
      <c r="Q642">
        <v>0</v>
      </c>
      <c r="R642" t="s">
        <v>145</v>
      </c>
      <c r="S642">
        <v>0</v>
      </c>
    </row>
    <row r="643" spans="1:19">
      <c r="A643" t="s">
        <v>35</v>
      </c>
      <c r="B643" t="s">
        <v>8242</v>
      </c>
      <c r="C643">
        <f>"pt101"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 s="2">
        <v>0</v>
      </c>
      <c r="M643">
        <v>0</v>
      </c>
      <c r="N643" s="2">
        <v>0</v>
      </c>
      <c r="O643">
        <v>0</v>
      </c>
      <c r="P643" t="s">
        <v>100</v>
      </c>
      <c r="Q643">
        <v>0</v>
      </c>
      <c r="R643" t="s">
        <v>145</v>
      </c>
      <c r="S643">
        <v>0</v>
      </c>
    </row>
    <row r="644" spans="1:19">
      <c r="A644" t="s">
        <v>35</v>
      </c>
      <c r="B644" t="s">
        <v>8241</v>
      </c>
      <c r="C644">
        <f>"pt102"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 s="2">
        <v>0</v>
      </c>
      <c r="M644">
        <v>0</v>
      </c>
      <c r="N644" s="2">
        <v>0</v>
      </c>
      <c r="O644">
        <v>0</v>
      </c>
      <c r="P644" t="s">
        <v>100</v>
      </c>
      <c r="Q644">
        <v>0</v>
      </c>
      <c r="R644" t="s">
        <v>145</v>
      </c>
      <c r="S644">
        <v>0</v>
      </c>
    </row>
    <row r="645" spans="1:19">
      <c r="A645" t="s">
        <v>35</v>
      </c>
      <c r="B645" t="s">
        <v>8240</v>
      </c>
      <c r="C645">
        <f>"PT106"</f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 s="2">
        <v>0</v>
      </c>
      <c r="M645">
        <v>0</v>
      </c>
      <c r="N645" s="2">
        <v>0</v>
      </c>
      <c r="O645">
        <v>0</v>
      </c>
      <c r="P645" t="s">
        <v>100</v>
      </c>
      <c r="Q645">
        <v>0</v>
      </c>
      <c r="R645" t="s">
        <v>145</v>
      </c>
      <c r="S645">
        <v>0</v>
      </c>
    </row>
    <row r="646" spans="1:19">
      <c r="A646" t="s">
        <v>35</v>
      </c>
      <c r="B646" t="s">
        <v>8239</v>
      </c>
      <c r="C646">
        <f>"PT107"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 s="2">
        <v>0</v>
      </c>
      <c r="M646">
        <v>0</v>
      </c>
      <c r="N646" s="2">
        <v>0</v>
      </c>
      <c r="O646">
        <v>0</v>
      </c>
      <c r="P646" t="s">
        <v>100</v>
      </c>
      <c r="Q646">
        <v>0</v>
      </c>
      <c r="R646" t="s">
        <v>145</v>
      </c>
      <c r="S646">
        <v>0</v>
      </c>
    </row>
    <row r="647" spans="1:19">
      <c r="A647" t="s">
        <v>35</v>
      </c>
      <c r="B647" t="s">
        <v>8238</v>
      </c>
      <c r="C647">
        <f>"PT108"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 s="2">
        <v>0</v>
      </c>
      <c r="M647">
        <v>0</v>
      </c>
      <c r="N647" s="2">
        <v>0</v>
      </c>
      <c r="O647">
        <v>0</v>
      </c>
      <c r="P647" t="s">
        <v>100</v>
      </c>
      <c r="Q647">
        <v>0</v>
      </c>
      <c r="R647" t="s">
        <v>145</v>
      </c>
      <c r="S647">
        <v>0</v>
      </c>
    </row>
    <row r="648" spans="1:19">
      <c r="A648" t="s">
        <v>35</v>
      </c>
      <c r="B648" t="s">
        <v>8237</v>
      </c>
      <c r="C648">
        <f>"PT109"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 s="2">
        <v>0</v>
      </c>
      <c r="M648">
        <v>0</v>
      </c>
      <c r="N648" s="2">
        <v>0</v>
      </c>
      <c r="O648">
        <v>0</v>
      </c>
      <c r="P648" t="s">
        <v>100</v>
      </c>
      <c r="Q648">
        <v>0</v>
      </c>
      <c r="R648" t="s">
        <v>145</v>
      </c>
      <c r="S648">
        <v>0</v>
      </c>
    </row>
    <row r="649" spans="1:19">
      <c r="A649" t="s">
        <v>35</v>
      </c>
      <c r="B649" t="s">
        <v>8236</v>
      </c>
      <c r="C649">
        <f>"PT110"</f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 s="2">
        <v>0</v>
      </c>
      <c r="M649">
        <v>0</v>
      </c>
      <c r="N649" s="2">
        <v>0</v>
      </c>
      <c r="O649">
        <v>0</v>
      </c>
      <c r="P649" t="s">
        <v>100</v>
      </c>
      <c r="Q649">
        <v>0</v>
      </c>
      <c r="R649" t="s">
        <v>145</v>
      </c>
      <c r="S649">
        <v>0</v>
      </c>
    </row>
    <row r="650" spans="1:19">
      <c r="A650" t="s">
        <v>35</v>
      </c>
      <c r="B650" t="s">
        <v>1323</v>
      </c>
      <c r="C650">
        <f>"PS06043"</f>
        <v>0</v>
      </c>
      <c r="D650">
        <v>1</v>
      </c>
      <c r="E650">
        <v>0</v>
      </c>
      <c r="F650">
        <v>0</v>
      </c>
      <c r="G650">
        <v>0</v>
      </c>
      <c r="H650">
        <v>1</v>
      </c>
      <c r="I650">
        <v>0</v>
      </c>
      <c r="J650">
        <v>0</v>
      </c>
      <c r="K650">
        <v>0</v>
      </c>
      <c r="L650" s="2">
        <v>0</v>
      </c>
      <c r="M650">
        <v>0</v>
      </c>
      <c r="N650" s="2">
        <v>0</v>
      </c>
      <c r="O650">
        <v>0</v>
      </c>
      <c r="P650" t="s">
        <v>100</v>
      </c>
      <c r="Q650">
        <v>0</v>
      </c>
      <c r="R650" t="s">
        <v>145</v>
      </c>
      <c r="S650">
        <v>0</v>
      </c>
    </row>
    <row r="651" spans="1:19">
      <c r="A651" t="s">
        <v>35</v>
      </c>
      <c r="B651" t="s">
        <v>817</v>
      </c>
      <c r="C651">
        <f>"HDD174ROS"</f>
        <v>0</v>
      </c>
      <c r="D651">
        <v>4</v>
      </c>
      <c r="E651">
        <v>0</v>
      </c>
      <c r="F651">
        <v>0</v>
      </c>
      <c r="G651">
        <v>0</v>
      </c>
      <c r="H651">
        <v>4</v>
      </c>
      <c r="I651">
        <v>0</v>
      </c>
      <c r="J651">
        <v>0</v>
      </c>
      <c r="K651">
        <v>0</v>
      </c>
      <c r="L651" s="2">
        <v>0</v>
      </c>
      <c r="M651">
        <v>0</v>
      </c>
      <c r="N651" s="2">
        <v>0</v>
      </c>
      <c r="O651">
        <v>0</v>
      </c>
      <c r="P651" t="s">
        <v>100</v>
      </c>
      <c r="Q651">
        <v>0</v>
      </c>
      <c r="R651" t="s">
        <v>145</v>
      </c>
      <c r="S651">
        <v>0</v>
      </c>
    </row>
    <row r="652" spans="1:19">
      <c r="A652" t="s">
        <v>35</v>
      </c>
      <c r="B652" t="s">
        <v>3041</v>
      </c>
      <c r="C652">
        <f>"LWT0183"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 s="2">
        <v>0</v>
      </c>
      <c r="M652">
        <v>0</v>
      </c>
      <c r="N652" s="2">
        <v>0</v>
      </c>
      <c r="O652">
        <v>0</v>
      </c>
      <c r="P652" t="s">
        <v>100</v>
      </c>
      <c r="Q652">
        <v>0</v>
      </c>
      <c r="R652" t="s">
        <v>145</v>
      </c>
      <c r="S652">
        <v>0</v>
      </c>
    </row>
    <row r="653" spans="1:19">
      <c r="A653" t="s">
        <v>35</v>
      </c>
      <c r="B653" t="s">
        <v>3046</v>
      </c>
      <c r="C653">
        <f>"LWT0179"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 s="2">
        <v>0</v>
      </c>
      <c r="M653">
        <v>0</v>
      </c>
      <c r="N653" s="2">
        <v>0</v>
      </c>
      <c r="O653">
        <v>0</v>
      </c>
      <c r="P653" t="s">
        <v>100</v>
      </c>
      <c r="Q653">
        <v>0</v>
      </c>
      <c r="R653" t="s">
        <v>145</v>
      </c>
      <c r="S653">
        <v>0</v>
      </c>
    </row>
    <row r="654" spans="1:19">
      <c r="A654" t="s">
        <v>35</v>
      </c>
      <c r="B654" t="s">
        <v>2890</v>
      </c>
      <c r="C654">
        <f>"LWT0177"</f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 s="2">
        <v>0</v>
      </c>
      <c r="M654">
        <v>0</v>
      </c>
      <c r="N654" s="2">
        <v>0</v>
      </c>
      <c r="O654">
        <v>0</v>
      </c>
      <c r="P654" t="s">
        <v>100</v>
      </c>
      <c r="Q654">
        <v>0</v>
      </c>
      <c r="R654" t="s">
        <v>145</v>
      </c>
      <c r="S654">
        <v>0</v>
      </c>
    </row>
    <row r="655" spans="1:19">
      <c r="A655" t="s">
        <v>35</v>
      </c>
      <c r="B655" t="s">
        <v>2889</v>
      </c>
      <c r="C655">
        <f>"lwt0180"</f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 s="2">
        <v>0</v>
      </c>
      <c r="M655">
        <v>0</v>
      </c>
      <c r="N655" s="2">
        <v>0</v>
      </c>
      <c r="O655">
        <v>0</v>
      </c>
      <c r="P655" t="s">
        <v>100</v>
      </c>
      <c r="Q655">
        <v>0</v>
      </c>
      <c r="R655" t="s">
        <v>145</v>
      </c>
      <c r="S655">
        <v>0</v>
      </c>
    </row>
    <row r="656" spans="1:19">
      <c r="A656" t="s">
        <v>35</v>
      </c>
      <c r="B656" t="s">
        <v>2911</v>
      </c>
      <c r="C656">
        <f>"SDR252"</f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 s="2">
        <v>0</v>
      </c>
      <c r="M656">
        <v>0</v>
      </c>
      <c r="N656" s="2">
        <v>0</v>
      </c>
      <c r="O656">
        <v>0</v>
      </c>
      <c r="P656" t="s">
        <v>100</v>
      </c>
      <c r="Q656">
        <v>0</v>
      </c>
      <c r="R656" t="s">
        <v>145</v>
      </c>
      <c r="S656">
        <v>0</v>
      </c>
    </row>
    <row r="657" spans="1:19">
      <c r="A657" t="s">
        <v>35</v>
      </c>
      <c r="B657" t="s">
        <v>2907</v>
      </c>
      <c r="C657">
        <f>"D4644"</f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 s="2">
        <v>0</v>
      </c>
      <c r="M657">
        <v>0</v>
      </c>
      <c r="N657" s="2">
        <v>0</v>
      </c>
      <c r="O657">
        <v>0</v>
      </c>
      <c r="P657" t="s">
        <v>100</v>
      </c>
      <c r="Q657">
        <v>0</v>
      </c>
      <c r="R657" t="s">
        <v>145</v>
      </c>
      <c r="S657">
        <v>0</v>
      </c>
    </row>
    <row r="658" spans="1:19">
      <c r="A658" t="s">
        <v>35</v>
      </c>
      <c r="B658" t="s">
        <v>2906</v>
      </c>
      <c r="C658">
        <f>"D4642"</f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 s="2">
        <v>0</v>
      </c>
      <c r="M658">
        <v>0</v>
      </c>
      <c r="N658" s="2">
        <v>0</v>
      </c>
      <c r="O658">
        <v>0</v>
      </c>
      <c r="P658" t="s">
        <v>100</v>
      </c>
      <c r="Q658">
        <v>0</v>
      </c>
      <c r="R658" t="s">
        <v>145</v>
      </c>
      <c r="S658">
        <v>0</v>
      </c>
    </row>
    <row r="659" spans="1:19">
      <c r="A659" t="s">
        <v>35</v>
      </c>
      <c r="B659" t="s">
        <v>2898</v>
      </c>
      <c r="C659">
        <f>"PGDT064AZ"</f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 s="2">
        <v>0</v>
      </c>
      <c r="M659">
        <v>0</v>
      </c>
      <c r="N659" s="2">
        <v>0</v>
      </c>
      <c r="O659">
        <v>0</v>
      </c>
      <c r="P659" t="s">
        <v>100</v>
      </c>
      <c r="Q659">
        <v>0</v>
      </c>
      <c r="R659" t="s">
        <v>145</v>
      </c>
      <c r="S659">
        <v>0</v>
      </c>
    </row>
    <row r="660" spans="1:19">
      <c r="A660" t="s">
        <v>35</v>
      </c>
      <c r="B660" t="s">
        <v>2897</v>
      </c>
      <c r="C660">
        <f>"PGDT064NAR"</f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 s="2">
        <v>0</v>
      </c>
      <c r="M660">
        <v>0</v>
      </c>
      <c r="N660" s="2">
        <v>0</v>
      </c>
      <c r="O660">
        <v>0</v>
      </c>
      <c r="P660" t="s">
        <v>100</v>
      </c>
      <c r="Q660">
        <v>0</v>
      </c>
      <c r="R660" t="s">
        <v>145</v>
      </c>
      <c r="S660">
        <v>0</v>
      </c>
    </row>
    <row r="661" spans="1:19">
      <c r="A661" t="s">
        <v>35</v>
      </c>
      <c r="B661" t="s">
        <v>8068</v>
      </c>
      <c r="C661">
        <f>"pt086"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 s="2">
        <v>0</v>
      </c>
      <c r="M661">
        <v>0</v>
      </c>
      <c r="N661" s="2">
        <v>0</v>
      </c>
      <c r="O661">
        <v>0</v>
      </c>
      <c r="P661" t="s">
        <v>100</v>
      </c>
      <c r="Q661">
        <v>0</v>
      </c>
      <c r="R661" t="s">
        <v>145</v>
      </c>
      <c r="S661">
        <v>0</v>
      </c>
    </row>
    <row r="662" spans="1:19">
      <c r="A662" t="s">
        <v>35</v>
      </c>
      <c r="B662" t="s">
        <v>2941</v>
      </c>
      <c r="C662">
        <f>"PGCT041ROS"</f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 s="2">
        <v>0</v>
      </c>
      <c r="M662">
        <v>0</v>
      </c>
      <c r="N662" s="2">
        <v>0</v>
      </c>
      <c r="O662">
        <v>0</v>
      </c>
      <c r="P662" t="s">
        <v>100</v>
      </c>
      <c r="Q662">
        <v>0</v>
      </c>
      <c r="R662" t="s">
        <v>145</v>
      </c>
      <c r="S662">
        <v>0</v>
      </c>
    </row>
    <row r="663" spans="1:19">
      <c r="A663" t="s">
        <v>35</v>
      </c>
      <c r="B663" t="s">
        <v>8247</v>
      </c>
      <c r="C663">
        <f>"pt062"</f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 s="2">
        <v>0</v>
      </c>
      <c r="M663">
        <v>0</v>
      </c>
      <c r="N663" s="2">
        <v>0</v>
      </c>
      <c r="O663">
        <v>0</v>
      </c>
      <c r="P663" t="s">
        <v>100</v>
      </c>
      <c r="Q663">
        <v>0</v>
      </c>
      <c r="R663" t="s">
        <v>145</v>
      </c>
      <c r="S663">
        <v>0</v>
      </c>
    </row>
    <row r="664" spans="1:19">
      <c r="A664" t="s">
        <v>35</v>
      </c>
      <c r="B664" t="s">
        <v>8230</v>
      </c>
      <c r="C664">
        <f>"pt063"</f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 s="2">
        <v>0</v>
      </c>
      <c r="M664">
        <v>0</v>
      </c>
      <c r="N664" s="2">
        <v>0</v>
      </c>
      <c r="O664">
        <v>0</v>
      </c>
      <c r="P664" t="s">
        <v>100</v>
      </c>
      <c r="Q664">
        <v>0</v>
      </c>
      <c r="R664" t="s">
        <v>145</v>
      </c>
      <c r="S664">
        <v>0</v>
      </c>
    </row>
    <row r="665" spans="1:19">
      <c r="A665" t="s">
        <v>35</v>
      </c>
      <c r="B665" t="s">
        <v>2938</v>
      </c>
      <c r="C665">
        <f>"CTB21AZ"</f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 s="2">
        <v>0</v>
      </c>
      <c r="M665">
        <v>0</v>
      </c>
      <c r="N665" s="2">
        <v>0</v>
      </c>
      <c r="O665">
        <v>0</v>
      </c>
      <c r="P665" t="s">
        <v>100</v>
      </c>
      <c r="Q665">
        <v>0</v>
      </c>
      <c r="R665" t="s">
        <v>145</v>
      </c>
      <c r="S665">
        <v>0</v>
      </c>
    </row>
    <row r="666" spans="1:19">
      <c r="A666" t="s">
        <v>35</v>
      </c>
      <c r="B666" t="s">
        <v>2935</v>
      </c>
      <c r="C666">
        <f>"CTB21BL"</f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 s="2">
        <v>0</v>
      </c>
      <c r="M666">
        <v>0</v>
      </c>
      <c r="N666" s="2">
        <v>0</v>
      </c>
      <c r="O666">
        <v>0</v>
      </c>
      <c r="P666" t="s">
        <v>100</v>
      </c>
      <c r="Q666">
        <v>0</v>
      </c>
      <c r="R666" t="s">
        <v>145</v>
      </c>
      <c r="S666">
        <v>0</v>
      </c>
    </row>
    <row r="667" spans="1:19">
      <c r="A667" t="s">
        <v>35</v>
      </c>
      <c r="B667" t="s">
        <v>3020</v>
      </c>
      <c r="C667">
        <f>"CTB21GR"</f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 s="2">
        <v>0</v>
      </c>
      <c r="M667">
        <v>0</v>
      </c>
      <c r="N667" s="2">
        <v>0</v>
      </c>
      <c r="O667">
        <v>0</v>
      </c>
      <c r="P667" t="s">
        <v>100</v>
      </c>
      <c r="Q667">
        <v>0</v>
      </c>
      <c r="R667" t="s">
        <v>145</v>
      </c>
      <c r="S667">
        <v>0</v>
      </c>
    </row>
    <row r="668" spans="1:19">
      <c r="A668" t="s">
        <v>35</v>
      </c>
      <c r="B668" t="s">
        <v>3019</v>
      </c>
      <c r="C668">
        <f>"CTB21MO"</f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 s="2">
        <v>0</v>
      </c>
      <c r="M668">
        <v>0</v>
      </c>
      <c r="N668" s="2">
        <v>0</v>
      </c>
      <c r="O668">
        <v>0</v>
      </c>
      <c r="P668" t="s">
        <v>100</v>
      </c>
      <c r="Q668">
        <v>0</v>
      </c>
      <c r="R668" t="s">
        <v>145</v>
      </c>
      <c r="S668">
        <v>0</v>
      </c>
    </row>
    <row r="669" spans="1:19">
      <c r="A669" t="s">
        <v>35</v>
      </c>
      <c r="B669" t="s">
        <v>3017</v>
      </c>
      <c r="C669">
        <f>"CTB21ROS"</f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 s="2">
        <v>0</v>
      </c>
      <c r="M669">
        <v>0</v>
      </c>
      <c r="N669" s="2">
        <v>0</v>
      </c>
      <c r="O669">
        <v>0</v>
      </c>
      <c r="P669" t="s">
        <v>100</v>
      </c>
      <c r="Q669">
        <v>0</v>
      </c>
      <c r="R669" t="s">
        <v>145</v>
      </c>
      <c r="S669">
        <v>0</v>
      </c>
    </row>
    <row r="670" spans="1:19">
      <c r="A670" t="s">
        <v>35</v>
      </c>
      <c r="B670" t="s">
        <v>3016</v>
      </c>
      <c r="C670">
        <f>"CTB21VE"</f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 s="2">
        <v>0</v>
      </c>
      <c r="M670">
        <v>0</v>
      </c>
      <c r="N670" s="2">
        <v>0</v>
      </c>
      <c r="O670">
        <v>0</v>
      </c>
      <c r="P670" t="s">
        <v>100</v>
      </c>
      <c r="Q670">
        <v>0</v>
      </c>
      <c r="R670" t="s">
        <v>145</v>
      </c>
      <c r="S670">
        <v>0</v>
      </c>
    </row>
    <row r="671" spans="1:19">
      <c r="A671" t="s">
        <v>35</v>
      </c>
      <c r="B671" t="s">
        <v>8069</v>
      </c>
      <c r="C671">
        <f>"pt085"</f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 s="2">
        <v>0</v>
      </c>
      <c r="M671">
        <v>0</v>
      </c>
      <c r="N671" s="2">
        <v>0</v>
      </c>
      <c r="O671">
        <v>0</v>
      </c>
      <c r="P671" t="s">
        <v>100</v>
      </c>
      <c r="Q671">
        <v>0</v>
      </c>
      <c r="R671" t="s">
        <v>145</v>
      </c>
      <c r="S671">
        <v>0</v>
      </c>
    </row>
    <row r="672" spans="1:19">
      <c r="A672" t="s">
        <v>35</v>
      </c>
      <c r="B672" t="s">
        <v>2891</v>
      </c>
      <c r="C672">
        <f>"JPPS"</f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 s="2">
        <v>0</v>
      </c>
      <c r="M672">
        <v>0</v>
      </c>
      <c r="N672" s="2">
        <v>0</v>
      </c>
      <c r="O672">
        <v>0</v>
      </c>
      <c r="P672" t="s">
        <v>100</v>
      </c>
      <c r="Q672">
        <v>0</v>
      </c>
      <c r="R672" t="s">
        <v>145</v>
      </c>
      <c r="S672">
        <v>0</v>
      </c>
    </row>
    <row r="673" spans="1:19">
      <c r="A673" t="s">
        <v>35</v>
      </c>
      <c r="B673" t="s">
        <v>4087</v>
      </c>
      <c r="C673">
        <f>"CTB56"</f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 s="2">
        <v>0</v>
      </c>
      <c r="M673">
        <v>0</v>
      </c>
      <c r="N673" s="2">
        <v>0</v>
      </c>
      <c r="O673">
        <v>0</v>
      </c>
      <c r="P673" t="s">
        <v>100</v>
      </c>
      <c r="Q673">
        <v>0</v>
      </c>
      <c r="R673" t="s">
        <v>145</v>
      </c>
      <c r="S673">
        <v>0</v>
      </c>
    </row>
    <row r="674" spans="1:19">
      <c r="A674" t="s">
        <v>35</v>
      </c>
      <c r="B674" t="s">
        <v>4065</v>
      </c>
      <c r="C674">
        <f>"TP10"</f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 s="2">
        <v>0</v>
      </c>
      <c r="M674">
        <v>0</v>
      </c>
      <c r="N674" s="2">
        <v>0</v>
      </c>
      <c r="O674">
        <v>0</v>
      </c>
      <c r="P674" t="s">
        <v>100</v>
      </c>
      <c r="Q674">
        <v>0</v>
      </c>
      <c r="R674" t="s">
        <v>145</v>
      </c>
      <c r="S674">
        <v>0</v>
      </c>
    </row>
    <row r="675" spans="1:19">
      <c r="A675" t="s">
        <v>35</v>
      </c>
      <c r="B675" t="s">
        <v>4064</v>
      </c>
      <c r="C675">
        <f>"TP50A"</f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 s="2">
        <v>0</v>
      </c>
      <c r="M675">
        <v>0</v>
      </c>
      <c r="N675" s="2">
        <v>0</v>
      </c>
      <c r="O675">
        <v>0</v>
      </c>
      <c r="P675" t="s">
        <v>100</v>
      </c>
      <c r="Q675">
        <v>0</v>
      </c>
      <c r="R675" t="s">
        <v>145</v>
      </c>
      <c r="S675">
        <v>0</v>
      </c>
    </row>
    <row r="676" spans="1:19">
      <c r="A676" t="s">
        <v>35</v>
      </c>
      <c r="B676" t="s">
        <v>1300</v>
      </c>
      <c r="C676">
        <f>"C608GR"</f>
        <v>0</v>
      </c>
      <c r="D676">
        <v>0</v>
      </c>
      <c r="E676">
        <v>1</v>
      </c>
      <c r="F676">
        <v>0</v>
      </c>
      <c r="G676">
        <v>0</v>
      </c>
      <c r="H676">
        <v>1</v>
      </c>
      <c r="I676">
        <v>0</v>
      </c>
      <c r="J676">
        <v>0</v>
      </c>
      <c r="K676">
        <v>0</v>
      </c>
      <c r="L676" s="2">
        <v>0</v>
      </c>
      <c r="M676">
        <v>0</v>
      </c>
      <c r="N676" s="2">
        <v>0</v>
      </c>
      <c r="O676">
        <v>0</v>
      </c>
      <c r="P676" t="s">
        <v>100</v>
      </c>
      <c r="Q676">
        <v>0</v>
      </c>
      <c r="R676" t="s">
        <v>145</v>
      </c>
      <c r="S676">
        <v>0</v>
      </c>
    </row>
    <row r="677" spans="1:19">
      <c r="A677" t="s">
        <v>35</v>
      </c>
      <c r="B677" t="s">
        <v>4399</v>
      </c>
      <c r="C677">
        <f>"C610"</f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 s="2">
        <v>0</v>
      </c>
      <c r="M677">
        <v>0</v>
      </c>
      <c r="N677" s="2">
        <v>0</v>
      </c>
      <c r="O677">
        <v>0</v>
      </c>
      <c r="P677" t="s">
        <v>100</v>
      </c>
      <c r="Q677">
        <v>0</v>
      </c>
      <c r="R677" t="s">
        <v>145</v>
      </c>
      <c r="S677">
        <v>0</v>
      </c>
    </row>
    <row r="678" spans="1:19">
      <c r="A678" t="s">
        <v>35</v>
      </c>
      <c r="B678" t="s">
        <v>4398</v>
      </c>
      <c r="C678">
        <f>"C601"</f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 s="2">
        <v>0</v>
      </c>
      <c r="M678">
        <v>0</v>
      </c>
      <c r="N678" s="2">
        <v>0</v>
      </c>
      <c r="O678">
        <v>0</v>
      </c>
      <c r="P678" t="s">
        <v>100</v>
      </c>
      <c r="Q678">
        <v>0</v>
      </c>
      <c r="R678" t="s">
        <v>145</v>
      </c>
      <c r="S678">
        <v>0</v>
      </c>
    </row>
    <row r="679" spans="1:19">
      <c r="A679" t="s">
        <v>35</v>
      </c>
      <c r="B679" t="s">
        <v>4397</v>
      </c>
      <c r="C679">
        <f>"C614"</f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 s="2">
        <v>0</v>
      </c>
      <c r="M679">
        <v>0</v>
      </c>
      <c r="N679" s="2">
        <v>0</v>
      </c>
      <c r="O679">
        <v>0</v>
      </c>
      <c r="P679" t="s">
        <v>100</v>
      </c>
      <c r="Q679">
        <v>0</v>
      </c>
      <c r="R679" t="s">
        <v>145</v>
      </c>
      <c r="S679">
        <v>0</v>
      </c>
    </row>
    <row r="680" spans="1:19">
      <c r="A680" t="s">
        <v>35</v>
      </c>
      <c r="B680" t="s">
        <v>4260</v>
      </c>
      <c r="C680">
        <f>"MCW166"</f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 s="2">
        <v>0</v>
      </c>
      <c r="M680">
        <v>0</v>
      </c>
      <c r="N680" s="2">
        <v>0</v>
      </c>
      <c r="O680">
        <v>0</v>
      </c>
      <c r="P680" t="s">
        <v>100</v>
      </c>
      <c r="Q680">
        <v>0</v>
      </c>
      <c r="R680" t="s">
        <v>145</v>
      </c>
      <c r="S680">
        <v>0</v>
      </c>
    </row>
    <row r="681" spans="1:19">
      <c r="A681" t="s">
        <v>35</v>
      </c>
      <c r="B681" t="s">
        <v>4091</v>
      </c>
      <c r="C681">
        <f>"MCW169"</f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 s="2">
        <v>0</v>
      </c>
      <c r="M681">
        <v>0</v>
      </c>
      <c r="N681" s="2">
        <v>0</v>
      </c>
      <c r="O681">
        <v>0</v>
      </c>
      <c r="P681" t="s">
        <v>100</v>
      </c>
      <c r="Q681">
        <v>0</v>
      </c>
      <c r="R681" t="s">
        <v>145</v>
      </c>
      <c r="S681">
        <v>0</v>
      </c>
    </row>
    <row r="682" spans="1:19">
      <c r="A682" t="s">
        <v>35</v>
      </c>
      <c r="B682" t="s">
        <v>4062</v>
      </c>
      <c r="C682">
        <f>"MCW162"</f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 s="2">
        <v>0</v>
      </c>
      <c r="M682">
        <v>0</v>
      </c>
      <c r="N682" s="2">
        <v>0</v>
      </c>
      <c r="O682">
        <v>0</v>
      </c>
      <c r="P682" t="s">
        <v>100</v>
      </c>
      <c r="Q682">
        <v>0</v>
      </c>
      <c r="R682" t="s">
        <v>145</v>
      </c>
      <c r="S682">
        <v>0</v>
      </c>
    </row>
    <row r="683" spans="1:19">
      <c r="A683" t="s">
        <v>35</v>
      </c>
      <c r="B683" t="s">
        <v>4131</v>
      </c>
      <c r="C683">
        <f>"FB6785XL"</f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 s="2">
        <v>0</v>
      </c>
      <c r="M683">
        <v>0</v>
      </c>
      <c r="N683" s="2">
        <v>0</v>
      </c>
      <c r="O683">
        <v>0</v>
      </c>
      <c r="P683" t="s">
        <v>100</v>
      </c>
      <c r="Q683">
        <v>0</v>
      </c>
      <c r="R683" t="s">
        <v>145</v>
      </c>
      <c r="S683">
        <v>0</v>
      </c>
    </row>
    <row r="684" spans="1:19">
      <c r="A684" t="s">
        <v>35</v>
      </c>
      <c r="B684" t="s">
        <v>7964</v>
      </c>
      <c r="C684">
        <f>"JW2609AM"</f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 s="2">
        <v>0</v>
      </c>
      <c r="M684">
        <v>0</v>
      </c>
      <c r="N684" s="2">
        <v>0</v>
      </c>
      <c r="O684">
        <v>0</v>
      </c>
      <c r="P684" t="s">
        <v>100</v>
      </c>
      <c r="Q684">
        <v>0</v>
      </c>
      <c r="R684" t="s">
        <v>145</v>
      </c>
      <c r="S684">
        <v>0</v>
      </c>
    </row>
    <row r="685" spans="1:19">
      <c r="A685" t="s">
        <v>35</v>
      </c>
      <c r="B685" t="s">
        <v>7976</v>
      </c>
      <c r="C685">
        <f>"JW2610AM"</f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 s="2">
        <v>0</v>
      </c>
      <c r="M685">
        <v>0</v>
      </c>
      <c r="N685" s="2">
        <v>0</v>
      </c>
      <c r="O685">
        <v>0</v>
      </c>
      <c r="P685" t="s">
        <v>100</v>
      </c>
      <c r="Q685">
        <v>0</v>
      </c>
      <c r="R685" t="s">
        <v>145</v>
      </c>
      <c r="S685">
        <v>0</v>
      </c>
    </row>
    <row r="686" spans="1:19">
      <c r="A686" t="s">
        <v>35</v>
      </c>
      <c r="B686" t="s">
        <v>7945</v>
      </c>
      <c r="C686">
        <f>"8332"</f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 s="2">
        <v>0</v>
      </c>
      <c r="M686">
        <v>0</v>
      </c>
      <c r="N686" s="2">
        <v>0</v>
      </c>
      <c r="O686">
        <v>0</v>
      </c>
      <c r="P686" t="s">
        <v>100</v>
      </c>
      <c r="Q686">
        <v>0</v>
      </c>
      <c r="R686" t="s">
        <v>145</v>
      </c>
      <c r="S686">
        <v>0</v>
      </c>
    </row>
    <row r="687" spans="1:19">
      <c r="A687" t="s">
        <v>35</v>
      </c>
      <c r="B687" t="s">
        <v>7929</v>
      </c>
      <c r="C687">
        <f>"ZS1069S"</f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 s="2">
        <v>0</v>
      </c>
      <c r="M687">
        <v>0</v>
      </c>
      <c r="N687" s="2">
        <v>0</v>
      </c>
      <c r="O687">
        <v>0</v>
      </c>
      <c r="P687" t="s">
        <v>100</v>
      </c>
      <c r="Q687">
        <v>0</v>
      </c>
      <c r="R687" t="s">
        <v>145</v>
      </c>
      <c r="S687">
        <v>0</v>
      </c>
    </row>
    <row r="688" spans="1:19">
      <c r="A688" t="s">
        <v>35</v>
      </c>
      <c r="B688" t="s">
        <v>7928</v>
      </c>
      <c r="C688">
        <f>"ZS1069L"</f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 s="2">
        <v>0</v>
      </c>
      <c r="M688">
        <v>0</v>
      </c>
      <c r="N688" s="2">
        <v>0</v>
      </c>
      <c r="O688">
        <v>0</v>
      </c>
      <c r="P688" t="s">
        <v>100</v>
      </c>
      <c r="Q688">
        <v>0</v>
      </c>
      <c r="R688" t="s">
        <v>145</v>
      </c>
      <c r="S688">
        <v>0</v>
      </c>
    </row>
    <row r="689" spans="1:19">
      <c r="A689" t="s">
        <v>35</v>
      </c>
      <c r="B689" t="s">
        <v>7922</v>
      </c>
      <c r="C689">
        <f>"LQC05ROJ"</f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 s="2">
        <v>0</v>
      </c>
      <c r="M689">
        <v>0</v>
      </c>
      <c r="N689" s="2">
        <v>0</v>
      </c>
      <c r="O689">
        <v>0</v>
      </c>
      <c r="P689" t="s">
        <v>100</v>
      </c>
      <c r="Q689">
        <v>0</v>
      </c>
      <c r="R689" t="s">
        <v>145</v>
      </c>
      <c r="S689">
        <v>0</v>
      </c>
    </row>
    <row r="690" spans="1:19">
      <c r="A690" t="s">
        <v>35</v>
      </c>
      <c r="B690" t="s">
        <v>6740</v>
      </c>
      <c r="C690">
        <f>"ACH25"</f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 s="2">
        <v>0</v>
      </c>
      <c r="M690">
        <v>0</v>
      </c>
      <c r="N690" s="2">
        <v>0</v>
      </c>
      <c r="O690">
        <v>0</v>
      </c>
      <c r="P690" t="s">
        <v>100</v>
      </c>
      <c r="Q690">
        <v>0</v>
      </c>
      <c r="R690" t="s">
        <v>145</v>
      </c>
      <c r="S690">
        <v>0</v>
      </c>
    </row>
    <row r="691" spans="1:19">
      <c r="A691" t="s">
        <v>35</v>
      </c>
      <c r="B691" t="s">
        <v>7948</v>
      </c>
      <c r="C691">
        <f>"ACH"</f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 s="2">
        <v>0</v>
      </c>
      <c r="M691">
        <v>0</v>
      </c>
      <c r="N691" s="2">
        <v>0</v>
      </c>
      <c r="O691">
        <v>0</v>
      </c>
      <c r="P691" t="s">
        <v>100</v>
      </c>
      <c r="Q691">
        <v>0</v>
      </c>
      <c r="R691" t="s">
        <v>145</v>
      </c>
      <c r="S691">
        <v>0</v>
      </c>
    </row>
    <row r="692" spans="1:19">
      <c r="A692" t="s">
        <v>35</v>
      </c>
      <c r="B692" t="s">
        <v>7947</v>
      </c>
      <c r="C692">
        <f>"ACH30"</f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 s="2">
        <v>0</v>
      </c>
      <c r="M692">
        <v>0</v>
      </c>
      <c r="N692" s="2">
        <v>0</v>
      </c>
      <c r="O692">
        <v>0</v>
      </c>
      <c r="P692" t="s">
        <v>100</v>
      </c>
      <c r="Q692">
        <v>0</v>
      </c>
      <c r="R692" t="s">
        <v>145</v>
      </c>
      <c r="S692">
        <v>0</v>
      </c>
    </row>
    <row r="693" spans="1:19">
      <c r="A693" t="s">
        <v>35</v>
      </c>
      <c r="B693" t="s">
        <v>7946</v>
      </c>
      <c r="C693">
        <f>"ACH35"</f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 s="2">
        <v>0</v>
      </c>
      <c r="M693">
        <v>0</v>
      </c>
      <c r="N693" s="2">
        <v>0</v>
      </c>
      <c r="O693">
        <v>0</v>
      </c>
      <c r="P693" t="s">
        <v>100</v>
      </c>
      <c r="Q693">
        <v>0</v>
      </c>
      <c r="R693" t="s">
        <v>145</v>
      </c>
      <c r="S693">
        <v>0</v>
      </c>
    </row>
    <row r="694" spans="1:19">
      <c r="A694" t="s">
        <v>35</v>
      </c>
      <c r="B694" t="s">
        <v>4107</v>
      </c>
      <c r="C694">
        <f>"PA402262"</f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 s="2">
        <v>0</v>
      </c>
      <c r="M694">
        <v>0</v>
      </c>
      <c r="N694" s="2">
        <v>0</v>
      </c>
      <c r="O694">
        <v>0</v>
      </c>
      <c r="P694" t="s">
        <v>100</v>
      </c>
      <c r="Q694">
        <v>0</v>
      </c>
      <c r="R694" t="s">
        <v>145</v>
      </c>
      <c r="S694">
        <v>0</v>
      </c>
    </row>
    <row r="695" spans="1:19">
      <c r="A695" t="s">
        <v>35</v>
      </c>
      <c r="B695" t="s">
        <v>4063</v>
      </c>
      <c r="C695">
        <f>"ANS23"</f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 s="2">
        <v>0</v>
      </c>
      <c r="M695">
        <v>0</v>
      </c>
      <c r="N695" s="2">
        <v>0</v>
      </c>
      <c r="O695">
        <v>0</v>
      </c>
      <c r="P695" t="s">
        <v>100</v>
      </c>
      <c r="Q695">
        <v>0</v>
      </c>
      <c r="R695" t="s">
        <v>145</v>
      </c>
      <c r="S695">
        <v>0</v>
      </c>
    </row>
    <row r="696" spans="1:19">
      <c r="A696" t="s">
        <v>35</v>
      </c>
      <c r="B696" t="s">
        <v>8013</v>
      </c>
      <c r="C696">
        <f>"FN50H"</f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 s="2">
        <v>0</v>
      </c>
      <c r="M696">
        <v>0</v>
      </c>
      <c r="N696" s="2">
        <v>0</v>
      </c>
      <c r="O696">
        <v>0</v>
      </c>
      <c r="P696" t="s">
        <v>100</v>
      </c>
      <c r="Q696">
        <v>0</v>
      </c>
      <c r="R696" t="s">
        <v>145</v>
      </c>
      <c r="S696">
        <v>0</v>
      </c>
    </row>
    <row r="697" spans="1:19">
      <c r="A697" t="s">
        <v>35</v>
      </c>
      <c r="B697" t="s">
        <v>8011</v>
      </c>
      <c r="C697">
        <f>"CLBS"</f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 s="2">
        <v>0</v>
      </c>
      <c r="M697">
        <v>0</v>
      </c>
      <c r="N697" s="2">
        <v>0</v>
      </c>
      <c r="O697">
        <v>0</v>
      </c>
      <c r="P697" t="s">
        <v>100</v>
      </c>
      <c r="Q697">
        <v>0</v>
      </c>
      <c r="R697" t="s">
        <v>145</v>
      </c>
      <c r="S697">
        <v>0</v>
      </c>
    </row>
    <row r="698" spans="1:19">
      <c r="A698" t="s">
        <v>35</v>
      </c>
      <c r="B698" t="s">
        <v>7940</v>
      </c>
      <c r="C698">
        <f>"CLBM"</f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 s="2">
        <v>0</v>
      </c>
      <c r="M698">
        <v>0</v>
      </c>
      <c r="N698" s="2">
        <v>0</v>
      </c>
      <c r="O698">
        <v>0</v>
      </c>
      <c r="P698" t="s">
        <v>100</v>
      </c>
      <c r="Q698">
        <v>0</v>
      </c>
      <c r="R698" t="s">
        <v>145</v>
      </c>
      <c r="S698">
        <v>0</v>
      </c>
    </row>
    <row r="699" spans="1:19">
      <c r="A699" t="s">
        <v>35</v>
      </c>
      <c r="B699" t="s">
        <v>7939</v>
      </c>
      <c r="C699">
        <f>"CLBXS"</f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 s="2">
        <v>0</v>
      </c>
      <c r="M699">
        <v>0</v>
      </c>
      <c r="N699" s="2">
        <v>0</v>
      </c>
      <c r="O699">
        <v>0</v>
      </c>
      <c r="P699" t="s">
        <v>100</v>
      </c>
      <c r="Q699">
        <v>0</v>
      </c>
      <c r="R699" t="s">
        <v>145</v>
      </c>
      <c r="S699">
        <v>0</v>
      </c>
    </row>
    <row r="700" spans="1:19">
      <c r="A700" t="s">
        <v>35</v>
      </c>
      <c r="B700" t="s">
        <v>508</v>
      </c>
      <c r="C700">
        <f>"CLBXSX1"</f>
        <v>0</v>
      </c>
      <c r="D700">
        <v>16</v>
      </c>
      <c r="E700">
        <v>0</v>
      </c>
      <c r="F700">
        <v>0</v>
      </c>
      <c r="G700">
        <v>0</v>
      </c>
      <c r="H700">
        <v>16</v>
      </c>
      <c r="I700">
        <v>0</v>
      </c>
      <c r="J700">
        <v>0</v>
      </c>
      <c r="K700">
        <v>0</v>
      </c>
      <c r="L700" s="2">
        <v>0</v>
      </c>
      <c r="M700">
        <v>0</v>
      </c>
      <c r="N700" s="2">
        <v>0</v>
      </c>
      <c r="O700">
        <v>0</v>
      </c>
      <c r="P700" t="s">
        <v>100</v>
      </c>
      <c r="Q700">
        <v>0</v>
      </c>
      <c r="R700" t="s">
        <v>145</v>
      </c>
      <c r="S700">
        <v>0</v>
      </c>
    </row>
    <row r="701" spans="1:19">
      <c r="A701" t="s">
        <v>35</v>
      </c>
      <c r="B701" t="s">
        <v>7938</v>
      </c>
      <c r="C701">
        <f>"CLPM"</f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 s="2">
        <v>0</v>
      </c>
      <c r="M701">
        <v>0</v>
      </c>
      <c r="N701" s="2">
        <v>0</v>
      </c>
      <c r="O701">
        <v>0</v>
      </c>
      <c r="P701" t="s">
        <v>100</v>
      </c>
      <c r="Q701">
        <v>0</v>
      </c>
      <c r="R701" t="s">
        <v>145</v>
      </c>
      <c r="S701">
        <v>0</v>
      </c>
    </row>
    <row r="702" spans="1:19">
      <c r="A702" t="s">
        <v>35</v>
      </c>
      <c r="B702" t="s">
        <v>7936</v>
      </c>
      <c r="C702">
        <f>"CLDM"</f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 s="2">
        <v>0</v>
      </c>
      <c r="M702">
        <v>0</v>
      </c>
      <c r="N702" s="2">
        <v>0</v>
      </c>
      <c r="O702">
        <v>0</v>
      </c>
      <c r="P702" t="s">
        <v>100</v>
      </c>
      <c r="Q702">
        <v>0</v>
      </c>
      <c r="R702" t="s">
        <v>145</v>
      </c>
      <c r="S702">
        <v>0</v>
      </c>
    </row>
    <row r="703" spans="1:19">
      <c r="A703" t="s">
        <v>35</v>
      </c>
      <c r="B703" t="s">
        <v>7935</v>
      </c>
      <c r="C703">
        <f>"CLCM"</f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 s="2">
        <v>0</v>
      </c>
      <c r="M703">
        <v>0</v>
      </c>
      <c r="N703" s="2">
        <v>0</v>
      </c>
      <c r="O703">
        <v>0</v>
      </c>
      <c r="P703" t="s">
        <v>100</v>
      </c>
      <c r="Q703">
        <v>0</v>
      </c>
      <c r="R703" t="s">
        <v>145</v>
      </c>
      <c r="S703">
        <v>0</v>
      </c>
    </row>
    <row r="704" spans="1:19">
      <c r="A704" t="s">
        <v>35</v>
      </c>
      <c r="B704" t="s">
        <v>7932</v>
      </c>
      <c r="C704">
        <f>"8339"</f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 s="2">
        <v>0</v>
      </c>
      <c r="M704">
        <v>0</v>
      </c>
      <c r="N704" s="2">
        <v>0</v>
      </c>
      <c r="O704">
        <v>0</v>
      </c>
      <c r="P704" t="s">
        <v>100</v>
      </c>
      <c r="Q704">
        <v>0</v>
      </c>
      <c r="R704" t="s">
        <v>145</v>
      </c>
      <c r="S704">
        <v>0</v>
      </c>
    </row>
    <row r="705" spans="1:19">
      <c r="A705" t="s">
        <v>35</v>
      </c>
      <c r="B705" t="s">
        <v>4088</v>
      </c>
      <c r="C705">
        <f>"HC0109"</f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 s="2">
        <v>0</v>
      </c>
      <c r="M705">
        <v>0</v>
      </c>
      <c r="N705" s="2">
        <v>0</v>
      </c>
      <c r="O705">
        <v>0</v>
      </c>
      <c r="P705" t="s">
        <v>100</v>
      </c>
      <c r="Q705">
        <v>0</v>
      </c>
      <c r="R705" t="s">
        <v>145</v>
      </c>
      <c r="S705">
        <v>0</v>
      </c>
    </row>
    <row r="706" spans="1:19">
      <c r="A706" t="s">
        <v>35</v>
      </c>
      <c r="B706" t="s">
        <v>8029</v>
      </c>
      <c r="C706">
        <f>"FEP100VO"</f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 s="2">
        <v>0</v>
      </c>
      <c r="M706">
        <v>0</v>
      </c>
      <c r="N706" s="2">
        <v>0</v>
      </c>
      <c r="O706">
        <v>0</v>
      </c>
      <c r="P706" t="s">
        <v>100</v>
      </c>
      <c r="Q706">
        <v>0</v>
      </c>
      <c r="R706" t="s">
        <v>145</v>
      </c>
      <c r="S706">
        <v>0</v>
      </c>
    </row>
    <row r="707" spans="1:19">
      <c r="A707" t="s">
        <v>35</v>
      </c>
      <c r="B707" t="s">
        <v>8027</v>
      </c>
      <c r="C707">
        <f>"FEP100VI"</f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 s="2">
        <v>0</v>
      </c>
      <c r="M707">
        <v>0</v>
      </c>
      <c r="N707" s="2">
        <v>0</v>
      </c>
      <c r="O707">
        <v>0</v>
      </c>
      <c r="P707" t="s">
        <v>100</v>
      </c>
      <c r="Q707">
        <v>0</v>
      </c>
      <c r="R707" t="s">
        <v>145</v>
      </c>
      <c r="S707">
        <v>0</v>
      </c>
    </row>
    <row r="708" spans="1:19">
      <c r="A708" t="s">
        <v>35</v>
      </c>
      <c r="B708" t="s">
        <v>975</v>
      </c>
      <c r="C708">
        <f>"LQC05ROS"</f>
        <v>0</v>
      </c>
      <c r="D708">
        <v>0</v>
      </c>
      <c r="E708">
        <v>0</v>
      </c>
      <c r="F708">
        <v>2</v>
      </c>
      <c r="G708">
        <v>0</v>
      </c>
      <c r="H708">
        <v>2</v>
      </c>
      <c r="I708">
        <v>0</v>
      </c>
      <c r="J708">
        <v>0</v>
      </c>
      <c r="K708">
        <v>0</v>
      </c>
      <c r="L708" s="2">
        <v>0</v>
      </c>
      <c r="M708">
        <v>0</v>
      </c>
      <c r="N708" s="2">
        <v>0</v>
      </c>
      <c r="O708">
        <v>0</v>
      </c>
      <c r="P708" t="s">
        <v>100</v>
      </c>
      <c r="Q708">
        <v>0</v>
      </c>
      <c r="R708" t="s">
        <v>145</v>
      </c>
      <c r="S708">
        <v>0</v>
      </c>
    </row>
    <row r="709" spans="1:19">
      <c r="A709" t="s">
        <v>35</v>
      </c>
      <c r="B709" t="s">
        <v>7949</v>
      </c>
      <c r="C709">
        <f>"JW2607"</f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 s="2">
        <v>0</v>
      </c>
      <c r="M709">
        <v>0</v>
      </c>
      <c r="N709" s="2">
        <v>0</v>
      </c>
      <c r="O709">
        <v>0</v>
      </c>
      <c r="P709" t="s">
        <v>100</v>
      </c>
      <c r="Q709">
        <v>0</v>
      </c>
      <c r="R709" t="s">
        <v>145</v>
      </c>
      <c r="S709">
        <v>0</v>
      </c>
    </row>
    <row r="710" spans="1:19">
      <c r="A710" t="s">
        <v>35</v>
      </c>
      <c r="B710" t="s">
        <v>7917</v>
      </c>
      <c r="C710">
        <f>"JW2607AM"</f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 s="2">
        <v>0</v>
      </c>
      <c r="M710">
        <v>0</v>
      </c>
      <c r="N710" s="2">
        <v>0</v>
      </c>
      <c r="O710">
        <v>0</v>
      </c>
      <c r="P710" t="s">
        <v>100</v>
      </c>
      <c r="Q710">
        <v>0</v>
      </c>
      <c r="R710" t="s">
        <v>145</v>
      </c>
      <c r="S710">
        <v>0</v>
      </c>
    </row>
    <row r="711" spans="1:19">
      <c r="A711" t="s">
        <v>35</v>
      </c>
      <c r="B711" t="s">
        <v>7960</v>
      </c>
      <c r="C711">
        <f>"JW2607CE"</f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 s="2">
        <v>0</v>
      </c>
      <c r="M711">
        <v>0</v>
      </c>
      <c r="N711" s="2">
        <v>0</v>
      </c>
      <c r="O711">
        <v>0</v>
      </c>
      <c r="P711" t="s">
        <v>100</v>
      </c>
      <c r="Q711">
        <v>0</v>
      </c>
      <c r="R711" t="s">
        <v>145</v>
      </c>
      <c r="S711">
        <v>0</v>
      </c>
    </row>
    <row r="712" spans="1:19">
      <c r="A712" t="s">
        <v>35</v>
      </c>
      <c r="B712" t="s">
        <v>7975</v>
      </c>
      <c r="C712">
        <f>"JW2607MO"</f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 s="2">
        <v>0</v>
      </c>
      <c r="M712">
        <v>0</v>
      </c>
      <c r="N712" s="2">
        <v>0</v>
      </c>
      <c r="O712">
        <v>0</v>
      </c>
      <c r="P712" t="s">
        <v>100</v>
      </c>
      <c r="Q712">
        <v>0</v>
      </c>
      <c r="R712" t="s">
        <v>145</v>
      </c>
      <c r="S712">
        <v>0</v>
      </c>
    </row>
    <row r="713" spans="1:19">
      <c r="A713" t="s">
        <v>35</v>
      </c>
      <c r="B713" t="s">
        <v>7974</v>
      </c>
      <c r="C713">
        <f>"JW2607ROS"</f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 s="2">
        <v>0</v>
      </c>
      <c r="M713">
        <v>0</v>
      </c>
      <c r="N713" s="2">
        <v>0</v>
      </c>
      <c r="O713">
        <v>0</v>
      </c>
      <c r="P713" t="s">
        <v>100</v>
      </c>
      <c r="Q713">
        <v>0</v>
      </c>
      <c r="R713" t="s">
        <v>145</v>
      </c>
      <c r="S713">
        <v>0</v>
      </c>
    </row>
    <row r="714" spans="1:19">
      <c r="A714" t="s">
        <v>35</v>
      </c>
      <c r="B714" t="s">
        <v>7973</v>
      </c>
      <c r="C714">
        <f>"JW2607VE"</f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 s="2">
        <v>0</v>
      </c>
      <c r="M714">
        <v>0</v>
      </c>
      <c r="N714" s="2">
        <v>0</v>
      </c>
      <c r="O714">
        <v>0</v>
      </c>
      <c r="P714" t="s">
        <v>100</v>
      </c>
      <c r="Q714">
        <v>0</v>
      </c>
      <c r="R714" t="s">
        <v>145</v>
      </c>
      <c r="S714">
        <v>0</v>
      </c>
    </row>
    <row r="715" spans="1:19">
      <c r="A715" t="s">
        <v>35</v>
      </c>
      <c r="B715" t="s">
        <v>4122</v>
      </c>
      <c r="C715">
        <f>"HC1020"</f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 s="2">
        <v>0</v>
      </c>
      <c r="M715">
        <v>0</v>
      </c>
      <c r="N715" s="2">
        <v>0</v>
      </c>
      <c r="O715">
        <v>0</v>
      </c>
      <c r="P715" t="s">
        <v>100</v>
      </c>
      <c r="Q715">
        <v>0</v>
      </c>
      <c r="R715" t="s">
        <v>145</v>
      </c>
      <c r="S715">
        <v>0</v>
      </c>
    </row>
    <row r="716" spans="1:19">
      <c r="A716" t="s">
        <v>35</v>
      </c>
      <c r="B716" t="s">
        <v>7930</v>
      </c>
      <c r="C716">
        <f>"FEP100V"</f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 s="2">
        <v>0</v>
      </c>
      <c r="M716">
        <v>0</v>
      </c>
      <c r="N716" s="2">
        <v>0</v>
      </c>
      <c r="O716">
        <v>0</v>
      </c>
      <c r="P716" t="s">
        <v>100</v>
      </c>
      <c r="Q716">
        <v>0</v>
      </c>
      <c r="R716" t="s">
        <v>145</v>
      </c>
      <c r="S716">
        <v>0</v>
      </c>
    </row>
    <row r="717" spans="1:19">
      <c r="A717" t="s">
        <v>35</v>
      </c>
      <c r="B717" t="s">
        <v>7952</v>
      </c>
      <c r="C717">
        <f>"19M"</f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 s="2">
        <v>0</v>
      </c>
      <c r="M717">
        <v>0</v>
      </c>
      <c r="N717" s="2">
        <v>0</v>
      </c>
      <c r="O717">
        <v>0</v>
      </c>
      <c r="P717" t="s">
        <v>100</v>
      </c>
      <c r="Q717">
        <v>0</v>
      </c>
      <c r="R717" t="s">
        <v>145</v>
      </c>
      <c r="S717">
        <v>0</v>
      </c>
    </row>
    <row r="718" spans="1:19">
      <c r="A718" t="s">
        <v>35</v>
      </c>
      <c r="B718" t="s">
        <v>7951</v>
      </c>
      <c r="C718">
        <f>"19S"</f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 s="2">
        <v>0</v>
      </c>
      <c r="M718">
        <v>0</v>
      </c>
      <c r="N718" s="2">
        <v>0</v>
      </c>
      <c r="O718">
        <v>0</v>
      </c>
      <c r="P718" t="s">
        <v>100</v>
      </c>
      <c r="Q718">
        <v>0</v>
      </c>
      <c r="R718" t="s">
        <v>145</v>
      </c>
      <c r="S718">
        <v>0</v>
      </c>
    </row>
    <row r="719" spans="1:19">
      <c r="A719" t="s">
        <v>35</v>
      </c>
      <c r="B719" t="s">
        <v>6739</v>
      </c>
      <c r="C719">
        <f>"CS0152"</f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 s="2">
        <v>0</v>
      </c>
      <c r="M719">
        <v>0</v>
      </c>
      <c r="N719" s="2">
        <v>0</v>
      </c>
      <c r="O719">
        <v>0</v>
      </c>
      <c r="P719" t="s">
        <v>100</v>
      </c>
      <c r="Q719">
        <v>0</v>
      </c>
      <c r="R719" t="s">
        <v>145</v>
      </c>
      <c r="S719">
        <v>0</v>
      </c>
    </row>
    <row r="720" spans="1:19">
      <c r="A720" t="s">
        <v>35</v>
      </c>
      <c r="B720" t="s">
        <v>939</v>
      </c>
      <c r="C720">
        <f>"CS0150"</f>
        <v>0</v>
      </c>
      <c r="D720">
        <v>0</v>
      </c>
      <c r="E720">
        <v>3</v>
      </c>
      <c r="F720">
        <v>0</v>
      </c>
      <c r="G720">
        <v>0</v>
      </c>
      <c r="H720">
        <v>3</v>
      </c>
      <c r="I720">
        <v>0</v>
      </c>
      <c r="J720">
        <v>0</v>
      </c>
      <c r="K720">
        <v>0</v>
      </c>
      <c r="L720" s="2">
        <v>0</v>
      </c>
      <c r="M720">
        <v>0</v>
      </c>
      <c r="N720" s="2">
        <v>0</v>
      </c>
      <c r="O720">
        <v>0</v>
      </c>
      <c r="P720" t="s">
        <v>100</v>
      </c>
      <c r="Q720">
        <v>0</v>
      </c>
      <c r="R720" t="s">
        <v>145</v>
      </c>
      <c r="S720">
        <v>0</v>
      </c>
    </row>
    <row r="721" spans="1:19">
      <c r="A721" t="s">
        <v>35</v>
      </c>
      <c r="B721" t="s">
        <v>6791</v>
      </c>
      <c r="C721">
        <f>"LX3060"</f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 s="2">
        <v>0</v>
      </c>
      <c r="M721">
        <v>0</v>
      </c>
      <c r="N721" s="2">
        <v>0</v>
      </c>
      <c r="O721">
        <v>0</v>
      </c>
      <c r="P721" t="s">
        <v>100</v>
      </c>
      <c r="Q721">
        <v>0</v>
      </c>
      <c r="R721" t="s">
        <v>145</v>
      </c>
      <c r="S721">
        <v>0</v>
      </c>
    </row>
    <row r="722" spans="1:19">
      <c r="A722" t="s">
        <v>35</v>
      </c>
      <c r="B722" t="s">
        <v>6790</v>
      </c>
      <c r="C722">
        <f>"LX2550"</f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 s="2">
        <v>0</v>
      </c>
      <c r="M722">
        <v>0</v>
      </c>
      <c r="N722" s="2">
        <v>0</v>
      </c>
      <c r="O722">
        <v>0</v>
      </c>
      <c r="P722" t="s">
        <v>100</v>
      </c>
      <c r="Q722">
        <v>0</v>
      </c>
      <c r="R722" t="s">
        <v>145</v>
      </c>
      <c r="S722">
        <v>0</v>
      </c>
    </row>
    <row r="723" spans="1:19">
      <c r="A723" t="s">
        <v>35</v>
      </c>
      <c r="B723" t="s">
        <v>6789</v>
      </c>
      <c r="C723">
        <f>"LX2040"</f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 s="2">
        <v>0</v>
      </c>
      <c r="M723">
        <v>0</v>
      </c>
      <c r="N723" s="2">
        <v>0</v>
      </c>
      <c r="O723">
        <v>0</v>
      </c>
      <c r="P723" t="s">
        <v>100</v>
      </c>
      <c r="Q723">
        <v>0</v>
      </c>
      <c r="R723" t="s">
        <v>145</v>
      </c>
      <c r="S723">
        <v>0</v>
      </c>
    </row>
    <row r="724" spans="1:19">
      <c r="A724" t="s">
        <v>35</v>
      </c>
      <c r="B724" t="s">
        <v>6788</v>
      </c>
      <c r="C724">
        <f>"LS3070"</f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 s="2">
        <v>0</v>
      </c>
      <c r="M724">
        <v>0</v>
      </c>
      <c r="N724" s="2">
        <v>0</v>
      </c>
      <c r="O724">
        <v>0</v>
      </c>
      <c r="P724" t="s">
        <v>100</v>
      </c>
      <c r="Q724">
        <v>0</v>
      </c>
      <c r="R724" t="s">
        <v>145</v>
      </c>
      <c r="S724">
        <v>0</v>
      </c>
    </row>
    <row r="725" spans="1:19">
      <c r="A725" t="s">
        <v>35</v>
      </c>
      <c r="B725" t="s">
        <v>6696</v>
      </c>
      <c r="C725">
        <f>"LX1530"</f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 s="2">
        <v>0</v>
      </c>
      <c r="M725">
        <v>0</v>
      </c>
      <c r="N725" s="2">
        <v>0</v>
      </c>
      <c r="O725">
        <v>0</v>
      </c>
      <c r="P725" t="s">
        <v>100</v>
      </c>
      <c r="Q725">
        <v>0</v>
      </c>
      <c r="R725" t="s">
        <v>145</v>
      </c>
      <c r="S725">
        <v>0</v>
      </c>
    </row>
    <row r="726" spans="1:19">
      <c r="A726" t="s">
        <v>35</v>
      </c>
      <c r="B726" t="s">
        <v>6786</v>
      </c>
      <c r="C726">
        <f>"lx3070"</f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 s="2">
        <v>0</v>
      </c>
      <c r="M726">
        <v>0</v>
      </c>
      <c r="N726" s="2">
        <v>0</v>
      </c>
      <c r="O726">
        <v>0</v>
      </c>
      <c r="P726" t="s">
        <v>100</v>
      </c>
      <c r="Q726">
        <v>0</v>
      </c>
      <c r="R726" t="s">
        <v>145</v>
      </c>
      <c r="S726">
        <v>0</v>
      </c>
    </row>
    <row r="727" spans="1:19">
      <c r="A727" t="s">
        <v>35</v>
      </c>
      <c r="B727" t="s">
        <v>7378</v>
      </c>
      <c r="C727">
        <f>"ACH40"</f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 s="2">
        <v>0</v>
      </c>
      <c r="M727">
        <v>0</v>
      </c>
      <c r="N727" s="2">
        <v>0</v>
      </c>
      <c r="O727">
        <v>0</v>
      </c>
      <c r="P727" t="s">
        <v>100</v>
      </c>
      <c r="Q727">
        <v>0</v>
      </c>
      <c r="R727" t="s">
        <v>145</v>
      </c>
      <c r="S727">
        <v>0</v>
      </c>
    </row>
    <row r="728" spans="1:19">
      <c r="A728" t="s">
        <v>35</v>
      </c>
      <c r="B728" t="s">
        <v>4336</v>
      </c>
      <c r="C728">
        <f>"018214813033"</f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 s="2">
        <v>0</v>
      </c>
      <c r="M728">
        <v>0</v>
      </c>
      <c r="N728" s="2">
        <v>0</v>
      </c>
      <c r="O728">
        <v>0</v>
      </c>
      <c r="P728" t="s">
        <v>100</v>
      </c>
      <c r="Q728">
        <v>0</v>
      </c>
      <c r="R728" t="s">
        <v>145</v>
      </c>
      <c r="S728">
        <v>0</v>
      </c>
    </row>
    <row r="729" spans="1:19">
      <c r="A729" t="s">
        <v>35</v>
      </c>
      <c r="B729" t="s">
        <v>4320</v>
      </c>
      <c r="C729">
        <f>"018214836636"</f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 s="2">
        <v>0</v>
      </c>
      <c r="M729">
        <v>0</v>
      </c>
      <c r="N729" s="2">
        <v>0</v>
      </c>
      <c r="O729">
        <v>0</v>
      </c>
      <c r="P729" t="s">
        <v>100</v>
      </c>
      <c r="Q729">
        <v>0</v>
      </c>
      <c r="R729" t="s">
        <v>145</v>
      </c>
      <c r="S729">
        <v>0</v>
      </c>
    </row>
    <row r="730" spans="1:19">
      <c r="A730" t="s">
        <v>35</v>
      </c>
      <c r="B730" t="s">
        <v>4275</v>
      </c>
      <c r="C730">
        <f>"NFSB105W"</f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 s="2">
        <v>0</v>
      </c>
      <c r="M730">
        <v>0</v>
      </c>
      <c r="N730" s="2">
        <v>0</v>
      </c>
      <c r="O730">
        <v>0</v>
      </c>
      <c r="P730" t="s">
        <v>100</v>
      </c>
      <c r="Q730">
        <v>0</v>
      </c>
      <c r="R730" t="s">
        <v>145</v>
      </c>
      <c r="S730">
        <v>0</v>
      </c>
    </row>
    <row r="731" spans="1:19">
      <c r="A731" t="s">
        <v>35</v>
      </c>
      <c r="B731" t="s">
        <v>4274</v>
      </c>
      <c r="C731">
        <f>"NRRB305W"</f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 s="2">
        <v>0</v>
      </c>
      <c r="M731">
        <v>0</v>
      </c>
      <c r="N731" s="2">
        <v>0</v>
      </c>
      <c r="O731">
        <v>0</v>
      </c>
      <c r="P731" t="s">
        <v>100</v>
      </c>
      <c r="Q731">
        <v>0</v>
      </c>
      <c r="R731" t="s">
        <v>145</v>
      </c>
      <c r="S731">
        <v>0</v>
      </c>
    </row>
    <row r="732" spans="1:19">
      <c r="A732" t="s">
        <v>35</v>
      </c>
      <c r="B732" t="s">
        <v>4445</v>
      </c>
      <c r="C732">
        <f>"OGHTS"</f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 s="2">
        <v>0</v>
      </c>
      <c r="M732">
        <v>0</v>
      </c>
      <c r="N732" s="2">
        <v>0</v>
      </c>
      <c r="O732">
        <v>0</v>
      </c>
      <c r="P732" t="s">
        <v>100</v>
      </c>
      <c r="Q732">
        <v>0</v>
      </c>
      <c r="R732" t="s">
        <v>145</v>
      </c>
      <c r="S732">
        <v>0</v>
      </c>
    </row>
    <row r="733" spans="1:19">
      <c r="A733" t="s">
        <v>35</v>
      </c>
      <c r="B733" t="s">
        <v>4422</v>
      </c>
      <c r="C733">
        <f>"25395904"</f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 s="2">
        <v>0</v>
      </c>
      <c r="M733">
        <v>0</v>
      </c>
      <c r="N733" s="2">
        <v>0</v>
      </c>
      <c r="O733">
        <v>0</v>
      </c>
      <c r="P733" t="s">
        <v>100</v>
      </c>
      <c r="Q733">
        <v>0</v>
      </c>
      <c r="R733" t="s">
        <v>145</v>
      </c>
      <c r="S733">
        <v>0</v>
      </c>
    </row>
    <row r="734" spans="1:19">
      <c r="A734" t="s">
        <v>35</v>
      </c>
      <c r="B734" t="s">
        <v>6792</v>
      </c>
      <c r="C734">
        <f>"JW5041MN"</f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 s="2">
        <v>0</v>
      </c>
      <c r="M734">
        <v>0</v>
      </c>
      <c r="N734" s="2">
        <v>0</v>
      </c>
      <c r="O734">
        <v>0</v>
      </c>
      <c r="P734" t="s">
        <v>100</v>
      </c>
      <c r="Q734">
        <v>0</v>
      </c>
      <c r="R734" t="s">
        <v>145</v>
      </c>
      <c r="S734">
        <v>0</v>
      </c>
    </row>
    <row r="735" spans="1:19">
      <c r="A735" t="s">
        <v>35</v>
      </c>
      <c r="B735" t="s">
        <v>6775</v>
      </c>
      <c r="C735">
        <f>"JW5041MRJ"</f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 s="2">
        <v>0</v>
      </c>
      <c r="M735">
        <v>0</v>
      </c>
      <c r="N735" s="2">
        <v>0</v>
      </c>
      <c r="O735">
        <v>0</v>
      </c>
      <c r="P735" t="s">
        <v>100</v>
      </c>
      <c r="Q735">
        <v>0</v>
      </c>
      <c r="R735" t="s">
        <v>145</v>
      </c>
      <c r="S735">
        <v>0</v>
      </c>
    </row>
    <row r="736" spans="1:19">
      <c r="A736" t="s">
        <v>35</v>
      </c>
      <c r="B736" t="s">
        <v>6774</v>
      </c>
      <c r="C736">
        <f>"JW5041MR"</f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 s="2">
        <v>0</v>
      </c>
      <c r="M736">
        <v>0</v>
      </c>
      <c r="N736" s="2">
        <v>0</v>
      </c>
      <c r="O736">
        <v>0</v>
      </c>
      <c r="P736" t="s">
        <v>100</v>
      </c>
      <c r="Q736">
        <v>0</v>
      </c>
      <c r="R736" t="s">
        <v>145</v>
      </c>
      <c r="S736">
        <v>0</v>
      </c>
    </row>
    <row r="737" spans="1:19">
      <c r="A737" t="s">
        <v>35</v>
      </c>
      <c r="B737" t="s">
        <v>6773</v>
      </c>
      <c r="C737">
        <f>"JW5041SRJ"</f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 s="2">
        <v>0</v>
      </c>
      <c r="M737">
        <v>0</v>
      </c>
      <c r="N737" s="2">
        <v>0</v>
      </c>
      <c r="O737">
        <v>0</v>
      </c>
      <c r="P737" t="s">
        <v>100</v>
      </c>
      <c r="Q737">
        <v>0</v>
      </c>
      <c r="R737" t="s">
        <v>145</v>
      </c>
      <c r="S737">
        <v>0</v>
      </c>
    </row>
    <row r="738" spans="1:19">
      <c r="A738" t="s">
        <v>35</v>
      </c>
      <c r="B738" t="s">
        <v>6782</v>
      </c>
      <c r="C738">
        <f>"JW5041L"</f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 s="2">
        <v>0</v>
      </c>
      <c r="M738">
        <v>0</v>
      </c>
      <c r="N738" s="2">
        <v>0</v>
      </c>
      <c r="O738">
        <v>0</v>
      </c>
      <c r="P738" t="s">
        <v>100</v>
      </c>
      <c r="Q738">
        <v>0</v>
      </c>
      <c r="R738" t="s">
        <v>145</v>
      </c>
      <c r="S738">
        <v>0</v>
      </c>
    </row>
    <row r="739" spans="1:19">
      <c r="A739" t="s">
        <v>35</v>
      </c>
      <c r="B739" t="s">
        <v>6760</v>
      </c>
      <c r="C739">
        <f>"JWZ20101"</f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 s="2">
        <v>0</v>
      </c>
      <c r="M739">
        <v>0</v>
      </c>
      <c r="N739" s="2">
        <v>0</v>
      </c>
      <c r="O739">
        <v>0</v>
      </c>
      <c r="P739" t="s">
        <v>100</v>
      </c>
      <c r="Q739">
        <v>0</v>
      </c>
      <c r="R739" t="s">
        <v>145</v>
      </c>
      <c r="S739">
        <v>0</v>
      </c>
    </row>
    <row r="740" spans="1:19">
      <c r="A740" t="s">
        <v>35</v>
      </c>
      <c r="B740" t="s">
        <v>6759</v>
      </c>
      <c r="C740">
        <f>"JWZ2006M"</f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 s="2">
        <v>0</v>
      </c>
      <c r="M740">
        <v>0</v>
      </c>
      <c r="N740" s="2">
        <v>0</v>
      </c>
      <c r="O740">
        <v>0</v>
      </c>
      <c r="P740" t="s">
        <v>100</v>
      </c>
      <c r="Q740">
        <v>0</v>
      </c>
      <c r="R740" t="s">
        <v>145</v>
      </c>
      <c r="S740">
        <v>0</v>
      </c>
    </row>
    <row r="741" spans="1:19">
      <c r="A741" t="s">
        <v>35</v>
      </c>
      <c r="B741" t="s">
        <v>6758</v>
      </c>
      <c r="C741">
        <f>"JWZ2009SURF"</f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 s="2">
        <v>0</v>
      </c>
      <c r="M741">
        <v>0</v>
      </c>
      <c r="N741" s="2">
        <v>0</v>
      </c>
      <c r="O741">
        <v>0</v>
      </c>
      <c r="P741" t="s">
        <v>100</v>
      </c>
      <c r="Q741">
        <v>0</v>
      </c>
      <c r="R741" t="s">
        <v>145</v>
      </c>
      <c r="S741">
        <v>0</v>
      </c>
    </row>
    <row r="742" spans="1:19">
      <c r="A742" t="s">
        <v>35</v>
      </c>
      <c r="B742" t="s">
        <v>4089</v>
      </c>
      <c r="C742">
        <f>"C210"</f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 s="2">
        <v>0</v>
      </c>
      <c r="M742">
        <v>0</v>
      </c>
      <c r="N742" s="2">
        <v>0</v>
      </c>
      <c r="O742">
        <v>0</v>
      </c>
      <c r="P742" t="s">
        <v>100</v>
      </c>
      <c r="Q742">
        <v>0</v>
      </c>
      <c r="R742" t="s">
        <v>145</v>
      </c>
      <c r="S742">
        <v>0</v>
      </c>
    </row>
    <row r="743" spans="1:19">
      <c r="A743" t="s">
        <v>35</v>
      </c>
      <c r="B743" t="s">
        <v>4423</v>
      </c>
      <c r="C743">
        <f>"TQ71"</f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 s="2">
        <v>0</v>
      </c>
      <c r="M743">
        <v>0</v>
      </c>
      <c r="N743" s="2">
        <v>0</v>
      </c>
      <c r="O743">
        <v>0</v>
      </c>
      <c r="P743" t="s">
        <v>100</v>
      </c>
      <c r="Q743">
        <v>0</v>
      </c>
      <c r="R743" t="s">
        <v>145</v>
      </c>
      <c r="S743">
        <v>0</v>
      </c>
    </row>
    <row r="744" spans="1:19">
      <c r="A744" t="s">
        <v>35</v>
      </c>
      <c r="B744" t="s">
        <v>4408</v>
      </c>
      <c r="C744">
        <f>"TQ71CE"</f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 s="2">
        <v>0</v>
      </c>
      <c r="M744">
        <v>0</v>
      </c>
      <c r="N744" s="2">
        <v>0</v>
      </c>
      <c r="O744">
        <v>0</v>
      </c>
      <c r="P744" t="s">
        <v>100</v>
      </c>
      <c r="Q744">
        <v>0</v>
      </c>
      <c r="R744" t="s">
        <v>145</v>
      </c>
      <c r="S744">
        <v>0</v>
      </c>
    </row>
    <row r="745" spans="1:19">
      <c r="A745" t="s">
        <v>35</v>
      </c>
      <c r="B745" t="s">
        <v>4407</v>
      </c>
      <c r="C745">
        <f>"TQ71VE"</f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 s="2">
        <v>0</v>
      </c>
      <c r="M745">
        <v>0</v>
      </c>
      <c r="N745" s="2">
        <v>0</v>
      </c>
      <c r="O745">
        <v>0</v>
      </c>
      <c r="P745" t="s">
        <v>100</v>
      </c>
      <c r="Q745">
        <v>0</v>
      </c>
      <c r="R745" t="s">
        <v>145</v>
      </c>
      <c r="S745">
        <v>0</v>
      </c>
    </row>
    <row r="746" spans="1:19">
      <c r="A746" t="s">
        <v>35</v>
      </c>
      <c r="B746" t="s">
        <v>4066</v>
      </c>
      <c r="C746">
        <f>"C608AZ"</f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 s="2">
        <v>0</v>
      </c>
      <c r="M746">
        <v>0</v>
      </c>
      <c r="N746" s="2">
        <v>0</v>
      </c>
      <c r="O746">
        <v>0</v>
      </c>
      <c r="P746" t="s">
        <v>100</v>
      </c>
      <c r="Q746">
        <v>0</v>
      </c>
      <c r="R746" t="s">
        <v>145</v>
      </c>
      <c r="S746">
        <v>0</v>
      </c>
    </row>
    <row r="747" spans="1:19">
      <c r="A747" t="s">
        <v>35</v>
      </c>
      <c r="B747" t="s">
        <v>4421</v>
      </c>
      <c r="C747">
        <f>"25395862"</f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 s="2">
        <v>0</v>
      </c>
      <c r="M747">
        <v>0</v>
      </c>
      <c r="N747" s="2">
        <v>0</v>
      </c>
      <c r="O747">
        <v>0</v>
      </c>
      <c r="P747" t="s">
        <v>100</v>
      </c>
      <c r="Q747">
        <v>0</v>
      </c>
      <c r="R747" t="s">
        <v>145</v>
      </c>
      <c r="S747">
        <v>0</v>
      </c>
    </row>
    <row r="748" spans="1:19">
      <c r="A748" t="s">
        <v>35</v>
      </c>
      <c r="B748" t="s">
        <v>4420</v>
      </c>
      <c r="C748">
        <f>"25395865"</f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 s="2">
        <v>0</v>
      </c>
      <c r="M748">
        <v>0</v>
      </c>
      <c r="N748" s="2">
        <v>0</v>
      </c>
      <c r="O748">
        <v>0</v>
      </c>
      <c r="P748" t="s">
        <v>100</v>
      </c>
      <c r="Q748">
        <v>0</v>
      </c>
      <c r="R748" t="s">
        <v>145</v>
      </c>
      <c r="S748">
        <v>0</v>
      </c>
    </row>
    <row r="749" spans="1:19">
      <c r="A749" t="s">
        <v>35</v>
      </c>
      <c r="B749" t="s">
        <v>7953</v>
      </c>
      <c r="C749">
        <f>"ACD2"</f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 s="2">
        <v>0</v>
      </c>
      <c r="M749">
        <v>0</v>
      </c>
      <c r="N749" s="2">
        <v>0</v>
      </c>
      <c r="O749">
        <v>0</v>
      </c>
      <c r="P749" t="s">
        <v>100</v>
      </c>
      <c r="Q749">
        <v>0</v>
      </c>
      <c r="R749" t="s">
        <v>145</v>
      </c>
      <c r="S749">
        <v>0</v>
      </c>
    </row>
    <row r="750" spans="1:19">
      <c r="A750" t="s">
        <v>35</v>
      </c>
      <c r="B750" t="s">
        <v>4416</v>
      </c>
      <c r="C750">
        <f>"25395875"</f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 s="2">
        <v>0</v>
      </c>
      <c r="M750">
        <v>0</v>
      </c>
      <c r="N750" s="2">
        <v>0</v>
      </c>
      <c r="O750">
        <v>0</v>
      </c>
      <c r="P750" t="s">
        <v>100</v>
      </c>
      <c r="Q750">
        <v>0</v>
      </c>
      <c r="R750" t="s">
        <v>145</v>
      </c>
      <c r="S750">
        <v>0</v>
      </c>
    </row>
    <row r="751" spans="1:19">
      <c r="A751" t="s">
        <v>35</v>
      </c>
      <c r="B751" t="s">
        <v>914</v>
      </c>
      <c r="C751">
        <f>"CTB12"</f>
        <v>0</v>
      </c>
      <c r="D751">
        <v>3</v>
      </c>
      <c r="E751">
        <v>0</v>
      </c>
      <c r="F751">
        <v>0</v>
      </c>
      <c r="G751">
        <v>0</v>
      </c>
      <c r="H751">
        <v>3</v>
      </c>
      <c r="I751">
        <v>0</v>
      </c>
      <c r="J751">
        <v>0</v>
      </c>
      <c r="K751">
        <v>0</v>
      </c>
      <c r="L751" s="2">
        <v>0</v>
      </c>
      <c r="M751">
        <v>0</v>
      </c>
      <c r="N751" s="2">
        <v>0</v>
      </c>
      <c r="O751">
        <v>0</v>
      </c>
      <c r="P751" t="s">
        <v>100</v>
      </c>
      <c r="Q751">
        <v>0</v>
      </c>
      <c r="R751" t="s">
        <v>145</v>
      </c>
      <c r="S751">
        <v>0</v>
      </c>
    </row>
    <row r="752" spans="1:19">
      <c r="A752" t="s">
        <v>35</v>
      </c>
      <c r="B752" t="s">
        <v>1467</v>
      </c>
      <c r="C752">
        <f>"JWZ2003"</f>
        <v>0</v>
      </c>
      <c r="D752">
        <v>0</v>
      </c>
      <c r="E752">
        <v>0</v>
      </c>
      <c r="F752">
        <v>1</v>
      </c>
      <c r="G752">
        <v>0</v>
      </c>
      <c r="H752">
        <v>1</v>
      </c>
      <c r="I752">
        <v>0</v>
      </c>
      <c r="J752">
        <v>0</v>
      </c>
      <c r="K752">
        <v>0</v>
      </c>
      <c r="L752" s="2">
        <v>0</v>
      </c>
      <c r="M752">
        <v>0</v>
      </c>
      <c r="N752" s="2">
        <v>0</v>
      </c>
      <c r="O752">
        <v>0</v>
      </c>
      <c r="P752" t="s">
        <v>100</v>
      </c>
      <c r="Q752">
        <v>0</v>
      </c>
      <c r="R752" t="s">
        <v>145</v>
      </c>
      <c r="S752">
        <v>0</v>
      </c>
    </row>
    <row r="753" spans="1:19">
      <c r="A753" t="s">
        <v>35</v>
      </c>
      <c r="B753" t="s">
        <v>6757</v>
      </c>
      <c r="C753">
        <f>"JWZ2012M"</f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 s="2">
        <v>0</v>
      </c>
      <c r="M753">
        <v>0</v>
      </c>
      <c r="N753" s="2">
        <v>0</v>
      </c>
      <c r="O753">
        <v>0</v>
      </c>
      <c r="P753" t="s">
        <v>100</v>
      </c>
      <c r="Q753">
        <v>0</v>
      </c>
      <c r="R753" t="s">
        <v>145</v>
      </c>
      <c r="S753">
        <v>0</v>
      </c>
    </row>
    <row r="754" spans="1:19">
      <c r="A754" t="s">
        <v>35</v>
      </c>
      <c r="B754" t="s">
        <v>6756</v>
      </c>
      <c r="C754">
        <f>"JWZ2013V"</f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 s="2">
        <v>0</v>
      </c>
      <c r="M754">
        <v>0</v>
      </c>
      <c r="N754" s="2">
        <v>0</v>
      </c>
      <c r="O754">
        <v>0</v>
      </c>
      <c r="P754" t="s">
        <v>100</v>
      </c>
      <c r="Q754">
        <v>0</v>
      </c>
      <c r="R754" t="s">
        <v>145</v>
      </c>
      <c r="S754">
        <v>0</v>
      </c>
    </row>
    <row r="755" spans="1:19">
      <c r="A755" t="s">
        <v>35</v>
      </c>
      <c r="B755" t="s">
        <v>6749</v>
      </c>
      <c r="C755">
        <f>"GZT1L"</f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 s="2">
        <v>0</v>
      </c>
      <c r="M755">
        <v>0</v>
      </c>
      <c r="N755" s="2">
        <v>0</v>
      </c>
      <c r="O755">
        <v>0</v>
      </c>
      <c r="P755" t="s">
        <v>100</v>
      </c>
      <c r="Q755">
        <v>0</v>
      </c>
      <c r="R755" t="s">
        <v>145</v>
      </c>
      <c r="S755">
        <v>0</v>
      </c>
    </row>
    <row r="756" spans="1:19">
      <c r="A756" t="s">
        <v>35</v>
      </c>
      <c r="B756" t="s">
        <v>6748</v>
      </c>
      <c r="C756">
        <f>"GZT1M"</f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 s="2">
        <v>0</v>
      </c>
      <c r="M756">
        <v>0</v>
      </c>
      <c r="N756" s="2">
        <v>0</v>
      </c>
      <c r="O756">
        <v>0</v>
      </c>
      <c r="P756" t="s">
        <v>100</v>
      </c>
      <c r="Q756">
        <v>0</v>
      </c>
      <c r="R756" t="s">
        <v>145</v>
      </c>
      <c r="S756">
        <v>0</v>
      </c>
    </row>
    <row r="757" spans="1:19">
      <c r="A757" t="s">
        <v>35</v>
      </c>
      <c r="B757" t="s">
        <v>6746</v>
      </c>
      <c r="C757">
        <f>"GZT1XL"</f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 s="2">
        <v>0</v>
      </c>
      <c r="M757">
        <v>0</v>
      </c>
      <c r="N757" s="2">
        <v>0</v>
      </c>
      <c r="O757">
        <v>0</v>
      </c>
      <c r="P757" t="s">
        <v>100</v>
      </c>
      <c r="Q757">
        <v>0</v>
      </c>
      <c r="R757" t="s">
        <v>145</v>
      </c>
      <c r="S757">
        <v>0</v>
      </c>
    </row>
    <row r="758" spans="1:19">
      <c r="A758" t="s">
        <v>35</v>
      </c>
      <c r="B758" t="s">
        <v>1466</v>
      </c>
      <c r="C758">
        <f>"FPC04"</f>
        <v>0</v>
      </c>
      <c r="D758">
        <v>0</v>
      </c>
      <c r="E758">
        <v>1</v>
      </c>
      <c r="F758">
        <v>0</v>
      </c>
      <c r="G758">
        <v>0</v>
      </c>
      <c r="H758">
        <v>1</v>
      </c>
      <c r="I758">
        <v>0</v>
      </c>
      <c r="J758">
        <v>0</v>
      </c>
      <c r="K758">
        <v>0</v>
      </c>
      <c r="L758" s="2">
        <v>0</v>
      </c>
      <c r="M758">
        <v>0</v>
      </c>
      <c r="N758" s="2">
        <v>0</v>
      </c>
      <c r="O758">
        <v>0</v>
      </c>
      <c r="P758" t="s">
        <v>100</v>
      </c>
      <c r="Q758">
        <v>0</v>
      </c>
      <c r="R758" t="s">
        <v>145</v>
      </c>
      <c r="S758">
        <v>0</v>
      </c>
    </row>
    <row r="759" spans="1:19">
      <c r="A759" t="s">
        <v>35</v>
      </c>
      <c r="B759" t="s">
        <v>6761</v>
      </c>
      <c r="C759">
        <f>"FPC05"</f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 s="2">
        <v>0</v>
      </c>
      <c r="M759">
        <v>0</v>
      </c>
      <c r="N759" s="2">
        <v>0</v>
      </c>
      <c r="O759">
        <v>0</v>
      </c>
      <c r="P759" t="s">
        <v>100</v>
      </c>
      <c r="Q759">
        <v>0</v>
      </c>
      <c r="R759" t="s">
        <v>145</v>
      </c>
      <c r="S759">
        <v>0</v>
      </c>
    </row>
    <row r="760" spans="1:19">
      <c r="A760" t="s">
        <v>35</v>
      </c>
      <c r="B760" t="s">
        <v>4417</v>
      </c>
      <c r="C760">
        <f>"25395873"</f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 s="2">
        <v>0</v>
      </c>
      <c r="M760">
        <v>0</v>
      </c>
      <c r="N760" s="2">
        <v>0</v>
      </c>
      <c r="O760">
        <v>0</v>
      </c>
      <c r="P760" t="s">
        <v>100</v>
      </c>
      <c r="Q760">
        <v>0</v>
      </c>
      <c r="R760" t="s">
        <v>145</v>
      </c>
      <c r="S760">
        <v>0</v>
      </c>
    </row>
    <row r="761" spans="1:19">
      <c r="A761" t="s">
        <v>35</v>
      </c>
      <c r="B761" t="s">
        <v>7835</v>
      </c>
      <c r="C761">
        <f>"FEP70C"</f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 s="2">
        <v>0</v>
      </c>
      <c r="M761">
        <v>0</v>
      </c>
      <c r="N761" s="2">
        <v>0</v>
      </c>
      <c r="O761">
        <v>0</v>
      </c>
      <c r="P761" t="s">
        <v>100</v>
      </c>
      <c r="Q761">
        <v>0</v>
      </c>
      <c r="R761" t="s">
        <v>145</v>
      </c>
      <c r="S761">
        <v>0</v>
      </c>
    </row>
    <row r="762" spans="1:19">
      <c r="A762" t="s">
        <v>35</v>
      </c>
      <c r="B762" t="s">
        <v>7834</v>
      </c>
      <c r="C762">
        <f>"FEP70GC"</f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 s="2">
        <v>0</v>
      </c>
      <c r="M762">
        <v>0</v>
      </c>
      <c r="N762" s="2">
        <v>0</v>
      </c>
      <c r="O762">
        <v>0</v>
      </c>
      <c r="P762" t="s">
        <v>100</v>
      </c>
      <c r="Q762">
        <v>0</v>
      </c>
      <c r="R762" t="s">
        <v>145</v>
      </c>
      <c r="S762">
        <v>0</v>
      </c>
    </row>
    <row r="763" spans="1:19">
      <c r="A763" t="s">
        <v>35</v>
      </c>
      <c r="B763" t="s">
        <v>7833</v>
      </c>
      <c r="C763">
        <f>"FEP70GO"</f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 s="2">
        <v>0</v>
      </c>
      <c r="M763">
        <v>0</v>
      </c>
      <c r="N763" s="2">
        <v>0</v>
      </c>
      <c r="O763">
        <v>0</v>
      </c>
      <c r="P763" t="s">
        <v>100</v>
      </c>
      <c r="Q763">
        <v>0</v>
      </c>
      <c r="R763" t="s">
        <v>145</v>
      </c>
      <c r="S763">
        <v>0</v>
      </c>
    </row>
    <row r="764" spans="1:19">
      <c r="A764" t="s">
        <v>35</v>
      </c>
      <c r="B764" t="s">
        <v>4201</v>
      </c>
      <c r="C764">
        <f>"PDISNL"</f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 s="2">
        <v>0</v>
      </c>
      <c r="M764">
        <v>0</v>
      </c>
      <c r="N764" s="2">
        <v>0</v>
      </c>
      <c r="O764">
        <v>0</v>
      </c>
      <c r="P764" t="s">
        <v>100</v>
      </c>
      <c r="Q764">
        <v>0</v>
      </c>
      <c r="R764" t="s">
        <v>145</v>
      </c>
      <c r="S764">
        <v>0</v>
      </c>
    </row>
    <row r="765" spans="1:19">
      <c r="A765" t="s">
        <v>35</v>
      </c>
      <c r="B765" t="s">
        <v>4201</v>
      </c>
      <c r="C765">
        <f>"PDISNM"</f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 s="2">
        <v>0</v>
      </c>
      <c r="M765">
        <v>0</v>
      </c>
      <c r="N765" s="2">
        <v>0</v>
      </c>
      <c r="O765">
        <v>0</v>
      </c>
      <c r="P765" t="s">
        <v>100</v>
      </c>
      <c r="Q765">
        <v>0</v>
      </c>
      <c r="R765" t="s">
        <v>145</v>
      </c>
      <c r="S765">
        <v>0</v>
      </c>
    </row>
    <row r="766" spans="1:19">
      <c r="A766" t="s">
        <v>35</v>
      </c>
      <c r="B766" t="s">
        <v>4201</v>
      </c>
      <c r="C766">
        <f>"PDISN"</f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 s="2">
        <v>0</v>
      </c>
      <c r="M766">
        <v>0</v>
      </c>
      <c r="N766" s="2">
        <v>0</v>
      </c>
      <c r="O766">
        <v>0</v>
      </c>
      <c r="P766" t="s">
        <v>100</v>
      </c>
      <c r="Q766">
        <v>0</v>
      </c>
      <c r="R766" t="s">
        <v>145</v>
      </c>
      <c r="S766">
        <v>0</v>
      </c>
    </row>
    <row r="767" spans="1:19">
      <c r="A767" t="s">
        <v>35</v>
      </c>
      <c r="B767" t="s">
        <v>1494</v>
      </c>
      <c r="C767">
        <f>"FEP60GC"</f>
        <v>0</v>
      </c>
      <c r="D767">
        <v>0</v>
      </c>
      <c r="E767">
        <v>1</v>
      </c>
      <c r="F767">
        <v>0</v>
      </c>
      <c r="G767">
        <v>0</v>
      </c>
      <c r="H767">
        <v>1</v>
      </c>
      <c r="I767">
        <v>0</v>
      </c>
      <c r="J767">
        <v>0</v>
      </c>
      <c r="K767">
        <v>0</v>
      </c>
      <c r="L767" s="2">
        <v>0</v>
      </c>
      <c r="M767">
        <v>0</v>
      </c>
      <c r="N767" s="2">
        <v>0</v>
      </c>
      <c r="O767">
        <v>0</v>
      </c>
      <c r="P767" t="s">
        <v>100</v>
      </c>
      <c r="Q767">
        <v>0</v>
      </c>
      <c r="R767" t="s">
        <v>145</v>
      </c>
      <c r="S767">
        <v>0</v>
      </c>
    </row>
    <row r="768" spans="1:19">
      <c r="A768" t="s">
        <v>35</v>
      </c>
      <c r="B768" t="s">
        <v>8003</v>
      </c>
      <c r="C768">
        <f>"FEP60GO"</f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 s="2">
        <v>0</v>
      </c>
      <c r="M768">
        <v>0</v>
      </c>
      <c r="N768" s="2">
        <v>0</v>
      </c>
      <c r="O768">
        <v>0</v>
      </c>
      <c r="P768" t="s">
        <v>100</v>
      </c>
      <c r="Q768">
        <v>0</v>
      </c>
      <c r="R768" t="s">
        <v>145</v>
      </c>
      <c r="S768">
        <v>0</v>
      </c>
    </row>
    <row r="769" spans="1:19">
      <c r="A769" t="s">
        <v>35</v>
      </c>
      <c r="B769" t="s">
        <v>1493</v>
      </c>
      <c r="C769">
        <f>"FEP60P"</f>
        <v>0</v>
      </c>
      <c r="D769">
        <v>0</v>
      </c>
      <c r="E769">
        <v>0</v>
      </c>
      <c r="F769">
        <v>1</v>
      </c>
      <c r="G769">
        <v>0</v>
      </c>
      <c r="H769">
        <v>1</v>
      </c>
      <c r="I769">
        <v>0</v>
      </c>
      <c r="J769">
        <v>0</v>
      </c>
      <c r="K769">
        <v>0</v>
      </c>
      <c r="L769" s="2">
        <v>0</v>
      </c>
      <c r="M769">
        <v>0</v>
      </c>
      <c r="N769" s="2">
        <v>0</v>
      </c>
      <c r="O769">
        <v>0</v>
      </c>
      <c r="P769" t="s">
        <v>100</v>
      </c>
      <c r="Q769">
        <v>0</v>
      </c>
      <c r="R769" t="s">
        <v>145</v>
      </c>
      <c r="S769">
        <v>0</v>
      </c>
    </row>
    <row r="770" spans="1:19">
      <c r="A770" t="s">
        <v>35</v>
      </c>
      <c r="B770" t="s">
        <v>8002</v>
      </c>
      <c r="C770">
        <f>"FEP60RO"</f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 s="2">
        <v>0</v>
      </c>
      <c r="M770">
        <v>0</v>
      </c>
      <c r="N770" s="2">
        <v>0</v>
      </c>
      <c r="O770">
        <v>0</v>
      </c>
      <c r="P770" t="s">
        <v>100</v>
      </c>
      <c r="Q770">
        <v>0</v>
      </c>
      <c r="R770" t="s">
        <v>145</v>
      </c>
      <c r="S770">
        <v>0</v>
      </c>
    </row>
    <row r="771" spans="1:19">
      <c r="A771" t="s">
        <v>35</v>
      </c>
      <c r="B771" t="s">
        <v>4104</v>
      </c>
      <c r="C771">
        <f>"6834XLCE"</f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 s="2">
        <v>0</v>
      </c>
      <c r="M771">
        <v>0</v>
      </c>
      <c r="N771" s="2">
        <v>0</v>
      </c>
      <c r="O771">
        <v>0</v>
      </c>
      <c r="P771" t="s">
        <v>100</v>
      </c>
      <c r="Q771">
        <v>0</v>
      </c>
      <c r="R771" t="s">
        <v>145</v>
      </c>
      <c r="S771">
        <v>0</v>
      </c>
    </row>
    <row r="772" spans="1:19">
      <c r="A772" t="s">
        <v>35</v>
      </c>
      <c r="B772" t="s">
        <v>8000</v>
      </c>
      <c r="C772">
        <f>"FEP60VIN"</f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 s="2">
        <v>0</v>
      </c>
      <c r="M772">
        <v>0</v>
      </c>
      <c r="N772" s="2">
        <v>0</v>
      </c>
      <c r="O772">
        <v>0</v>
      </c>
      <c r="P772" t="s">
        <v>100</v>
      </c>
      <c r="Q772">
        <v>0</v>
      </c>
      <c r="R772" t="s">
        <v>145</v>
      </c>
      <c r="S772">
        <v>0</v>
      </c>
    </row>
    <row r="773" spans="1:19">
      <c r="A773" t="s">
        <v>35</v>
      </c>
      <c r="B773" t="s">
        <v>4103</v>
      </c>
      <c r="C773">
        <f>"6834XLGC"</f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 s="2">
        <v>0</v>
      </c>
      <c r="M773">
        <v>0</v>
      </c>
      <c r="N773" s="2">
        <v>0</v>
      </c>
      <c r="O773">
        <v>0</v>
      </c>
      <c r="P773" t="s">
        <v>100</v>
      </c>
      <c r="Q773">
        <v>0</v>
      </c>
      <c r="R773" t="s">
        <v>145</v>
      </c>
      <c r="S773">
        <v>0</v>
      </c>
    </row>
    <row r="774" spans="1:19">
      <c r="A774" t="s">
        <v>35</v>
      </c>
      <c r="B774" t="s">
        <v>4102</v>
      </c>
      <c r="C774">
        <f>"6834XLGO"</f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 s="2">
        <v>0</v>
      </c>
      <c r="M774">
        <v>0</v>
      </c>
      <c r="N774" s="2">
        <v>0</v>
      </c>
      <c r="O774">
        <v>0</v>
      </c>
      <c r="P774" t="s">
        <v>100</v>
      </c>
      <c r="Q774">
        <v>0</v>
      </c>
      <c r="R774" t="s">
        <v>145</v>
      </c>
      <c r="S774">
        <v>0</v>
      </c>
    </row>
    <row r="775" spans="1:19">
      <c r="A775" t="s">
        <v>35</v>
      </c>
      <c r="B775" t="s">
        <v>4009</v>
      </c>
      <c r="C775">
        <f>"6834XLN"</f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 s="2">
        <v>0</v>
      </c>
      <c r="M775">
        <v>0</v>
      </c>
      <c r="N775" s="2">
        <v>0</v>
      </c>
      <c r="O775">
        <v>0</v>
      </c>
      <c r="P775" t="s">
        <v>100</v>
      </c>
      <c r="Q775">
        <v>0</v>
      </c>
      <c r="R775" t="s">
        <v>145</v>
      </c>
      <c r="S775">
        <v>0</v>
      </c>
    </row>
    <row r="776" spans="1:19">
      <c r="A776" t="s">
        <v>35</v>
      </c>
      <c r="B776" t="s">
        <v>4006</v>
      </c>
      <c r="C776">
        <f>"6835XLGO"</f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 s="2">
        <v>0</v>
      </c>
      <c r="M776">
        <v>0</v>
      </c>
      <c r="N776" s="2">
        <v>0</v>
      </c>
      <c r="O776">
        <v>0</v>
      </c>
      <c r="P776" t="s">
        <v>100</v>
      </c>
      <c r="Q776">
        <v>0</v>
      </c>
      <c r="R776" t="s">
        <v>145</v>
      </c>
      <c r="S776">
        <v>0</v>
      </c>
    </row>
    <row r="777" spans="1:19">
      <c r="A777" t="s">
        <v>35</v>
      </c>
      <c r="B777" t="s">
        <v>4005</v>
      </c>
      <c r="C777">
        <f>"6835XLN"</f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 s="2">
        <v>0</v>
      </c>
      <c r="M777">
        <v>0</v>
      </c>
      <c r="N777" s="2">
        <v>0</v>
      </c>
      <c r="O777">
        <v>0</v>
      </c>
      <c r="P777" t="s">
        <v>100</v>
      </c>
      <c r="Q777">
        <v>0</v>
      </c>
      <c r="R777" t="s">
        <v>145</v>
      </c>
      <c r="S777">
        <v>0</v>
      </c>
    </row>
    <row r="778" spans="1:19">
      <c r="A778" t="s">
        <v>35</v>
      </c>
      <c r="B778" t="s">
        <v>4004</v>
      </c>
      <c r="C778">
        <f>"6836XLA"</f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 s="2">
        <v>0</v>
      </c>
      <c r="M778">
        <v>0</v>
      </c>
      <c r="N778" s="2">
        <v>0</v>
      </c>
      <c r="O778">
        <v>0</v>
      </c>
      <c r="P778" t="s">
        <v>100</v>
      </c>
      <c r="Q778">
        <v>0</v>
      </c>
      <c r="R778" t="s">
        <v>145</v>
      </c>
      <c r="S778">
        <v>0</v>
      </c>
    </row>
    <row r="779" spans="1:19">
      <c r="A779" t="s">
        <v>35</v>
      </c>
      <c r="B779" t="s">
        <v>4096</v>
      </c>
      <c r="C779">
        <f>"6836XLGO"</f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 s="2">
        <v>0</v>
      </c>
      <c r="M779">
        <v>0</v>
      </c>
      <c r="N779" s="2">
        <v>0</v>
      </c>
      <c r="O779">
        <v>0</v>
      </c>
      <c r="P779" t="s">
        <v>100</v>
      </c>
      <c r="Q779">
        <v>0</v>
      </c>
      <c r="R779" t="s">
        <v>145</v>
      </c>
      <c r="S779">
        <v>0</v>
      </c>
    </row>
    <row r="780" spans="1:19">
      <c r="A780" t="s">
        <v>35</v>
      </c>
      <c r="B780" t="s">
        <v>4095</v>
      </c>
      <c r="C780">
        <f>"6836XLN"</f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 s="2">
        <v>0</v>
      </c>
      <c r="M780">
        <v>0</v>
      </c>
      <c r="N780" s="2">
        <v>0</v>
      </c>
      <c r="O780">
        <v>0</v>
      </c>
      <c r="P780" t="s">
        <v>100</v>
      </c>
      <c r="Q780">
        <v>0</v>
      </c>
      <c r="R780" t="s">
        <v>145</v>
      </c>
      <c r="S780">
        <v>0</v>
      </c>
    </row>
    <row r="781" spans="1:19">
      <c r="A781" t="s">
        <v>35</v>
      </c>
      <c r="B781" t="s">
        <v>1491</v>
      </c>
      <c r="C781">
        <f>"FEP50GO"</f>
        <v>0</v>
      </c>
      <c r="D781">
        <v>0</v>
      </c>
      <c r="E781">
        <v>1</v>
      </c>
      <c r="F781">
        <v>0</v>
      </c>
      <c r="G781">
        <v>0</v>
      </c>
      <c r="H781">
        <v>1</v>
      </c>
      <c r="I781">
        <v>0</v>
      </c>
      <c r="J781">
        <v>0</v>
      </c>
      <c r="K781">
        <v>0</v>
      </c>
      <c r="L781" s="2">
        <v>0</v>
      </c>
      <c r="M781">
        <v>0</v>
      </c>
      <c r="N781" s="2">
        <v>0</v>
      </c>
      <c r="O781">
        <v>0</v>
      </c>
      <c r="P781" t="s">
        <v>100</v>
      </c>
      <c r="Q781">
        <v>0</v>
      </c>
      <c r="R781" t="s">
        <v>145</v>
      </c>
      <c r="S781">
        <v>0</v>
      </c>
    </row>
    <row r="782" spans="1:19">
      <c r="A782" t="s">
        <v>35</v>
      </c>
      <c r="B782" t="s">
        <v>8001</v>
      </c>
      <c r="C782">
        <f>"FEP60V"</f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 s="2">
        <v>0</v>
      </c>
      <c r="M782">
        <v>0</v>
      </c>
      <c r="N782" s="2">
        <v>0</v>
      </c>
      <c r="O782">
        <v>0</v>
      </c>
      <c r="P782" t="s">
        <v>100</v>
      </c>
      <c r="Q782">
        <v>0</v>
      </c>
      <c r="R782" t="s">
        <v>145</v>
      </c>
      <c r="S782">
        <v>0</v>
      </c>
    </row>
    <row r="783" spans="1:19">
      <c r="A783" t="s">
        <v>35</v>
      </c>
      <c r="B783" t="s">
        <v>1283</v>
      </c>
      <c r="C783">
        <f>"FB678L"</f>
        <v>0</v>
      </c>
      <c r="D783">
        <v>0</v>
      </c>
      <c r="E783">
        <v>1</v>
      </c>
      <c r="F783">
        <v>0</v>
      </c>
      <c r="G783">
        <v>0</v>
      </c>
      <c r="H783">
        <v>1</v>
      </c>
      <c r="I783">
        <v>0</v>
      </c>
      <c r="J783">
        <v>0</v>
      </c>
      <c r="K783">
        <v>0</v>
      </c>
      <c r="L783" s="2">
        <v>0</v>
      </c>
      <c r="M783">
        <v>0</v>
      </c>
      <c r="N783" s="2">
        <v>0</v>
      </c>
      <c r="O783">
        <v>0</v>
      </c>
      <c r="P783" t="s">
        <v>100</v>
      </c>
      <c r="Q783">
        <v>0</v>
      </c>
      <c r="R783" t="s">
        <v>145</v>
      </c>
      <c r="S783">
        <v>0</v>
      </c>
    </row>
    <row r="784" spans="1:19">
      <c r="A784" t="s">
        <v>35</v>
      </c>
      <c r="B784" t="s">
        <v>4245</v>
      </c>
      <c r="C784">
        <f>"FB678XL"</f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 s="2">
        <v>0</v>
      </c>
      <c r="M784">
        <v>0</v>
      </c>
      <c r="N784" s="2">
        <v>0</v>
      </c>
      <c r="O784">
        <v>0</v>
      </c>
      <c r="P784" t="s">
        <v>100</v>
      </c>
      <c r="Q784">
        <v>0</v>
      </c>
      <c r="R784" t="s">
        <v>145</v>
      </c>
      <c r="S784">
        <v>0</v>
      </c>
    </row>
    <row r="785" spans="1:19">
      <c r="A785" t="s">
        <v>35</v>
      </c>
      <c r="B785" t="s">
        <v>4226</v>
      </c>
      <c r="C785">
        <f>"FB6812XLV"</f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 s="2">
        <v>0</v>
      </c>
      <c r="M785">
        <v>0</v>
      </c>
      <c r="N785" s="2">
        <v>0</v>
      </c>
      <c r="O785">
        <v>0</v>
      </c>
      <c r="P785" t="s">
        <v>100</v>
      </c>
      <c r="Q785">
        <v>0</v>
      </c>
      <c r="R785" t="s">
        <v>145</v>
      </c>
      <c r="S785">
        <v>0</v>
      </c>
    </row>
    <row r="786" spans="1:19">
      <c r="A786" t="s">
        <v>35</v>
      </c>
      <c r="B786" t="s">
        <v>7851</v>
      </c>
      <c r="C786">
        <f>"DTC804A"</f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 s="2">
        <v>0</v>
      </c>
      <c r="M786">
        <v>0</v>
      </c>
      <c r="N786" s="2">
        <v>0</v>
      </c>
      <c r="O786">
        <v>0</v>
      </c>
      <c r="P786" t="s">
        <v>100</v>
      </c>
      <c r="Q786">
        <v>0</v>
      </c>
      <c r="R786" t="s">
        <v>145</v>
      </c>
      <c r="S786">
        <v>0</v>
      </c>
    </row>
    <row r="787" spans="1:19">
      <c r="A787" t="s">
        <v>35</v>
      </c>
      <c r="B787" t="s">
        <v>1496</v>
      </c>
      <c r="C787">
        <f>"DTC804"</f>
        <v>0</v>
      </c>
      <c r="D787">
        <v>1</v>
      </c>
      <c r="E787">
        <v>0</v>
      </c>
      <c r="F787">
        <v>0</v>
      </c>
      <c r="G787">
        <v>0</v>
      </c>
      <c r="H787">
        <v>1</v>
      </c>
      <c r="I787">
        <v>0</v>
      </c>
      <c r="J787">
        <v>0</v>
      </c>
      <c r="K787">
        <v>0</v>
      </c>
      <c r="L787" s="2">
        <v>0</v>
      </c>
      <c r="M787">
        <v>0</v>
      </c>
      <c r="N787" s="2">
        <v>0</v>
      </c>
      <c r="O787">
        <v>0</v>
      </c>
      <c r="P787" t="s">
        <v>100</v>
      </c>
      <c r="Q787">
        <v>0</v>
      </c>
      <c r="R787" t="s">
        <v>145</v>
      </c>
      <c r="S787">
        <v>0</v>
      </c>
    </row>
    <row r="788" spans="1:19">
      <c r="A788" t="s">
        <v>35</v>
      </c>
      <c r="B788" t="s">
        <v>4222</v>
      </c>
      <c r="C788">
        <f>"FB6814XLA"</f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 s="2">
        <v>0</v>
      </c>
      <c r="M788">
        <v>0</v>
      </c>
      <c r="N788" s="2">
        <v>0</v>
      </c>
      <c r="O788">
        <v>0</v>
      </c>
      <c r="P788" t="s">
        <v>100</v>
      </c>
      <c r="Q788">
        <v>0</v>
      </c>
      <c r="R788" t="s">
        <v>145</v>
      </c>
      <c r="S788">
        <v>0</v>
      </c>
    </row>
    <row r="789" spans="1:19">
      <c r="A789" t="s">
        <v>35</v>
      </c>
      <c r="B789" t="s">
        <v>4180</v>
      </c>
      <c r="C789">
        <f>"FB6815XLA"</f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 s="2">
        <v>0</v>
      </c>
      <c r="M789">
        <v>0</v>
      </c>
      <c r="N789" s="2">
        <v>0</v>
      </c>
      <c r="O789">
        <v>0</v>
      </c>
      <c r="P789" t="s">
        <v>100</v>
      </c>
      <c r="Q789">
        <v>0</v>
      </c>
      <c r="R789" t="s">
        <v>145</v>
      </c>
      <c r="S789">
        <v>0</v>
      </c>
    </row>
    <row r="790" spans="1:19">
      <c r="A790" t="s">
        <v>35</v>
      </c>
      <c r="B790" t="s">
        <v>4179</v>
      </c>
      <c r="C790">
        <f>"FB6815XLR"</f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 s="2">
        <v>0</v>
      </c>
      <c r="M790">
        <v>0</v>
      </c>
      <c r="N790" s="2">
        <v>0</v>
      </c>
      <c r="O790">
        <v>0</v>
      </c>
      <c r="P790" t="s">
        <v>100</v>
      </c>
      <c r="Q790">
        <v>0</v>
      </c>
      <c r="R790" t="s">
        <v>145</v>
      </c>
      <c r="S790">
        <v>0</v>
      </c>
    </row>
    <row r="791" spans="1:19">
      <c r="A791" t="s">
        <v>35</v>
      </c>
      <c r="B791" t="s">
        <v>4178</v>
      </c>
      <c r="C791">
        <f>"FB6815XLV"</f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 s="2">
        <v>0</v>
      </c>
      <c r="M791">
        <v>0</v>
      </c>
      <c r="N791" s="2">
        <v>0</v>
      </c>
      <c r="O791">
        <v>0</v>
      </c>
      <c r="P791" t="s">
        <v>100</v>
      </c>
      <c r="Q791">
        <v>0</v>
      </c>
      <c r="R791" t="s">
        <v>145</v>
      </c>
      <c r="S791">
        <v>0</v>
      </c>
    </row>
    <row r="792" spans="1:19">
      <c r="A792" t="s">
        <v>35</v>
      </c>
      <c r="B792" t="s">
        <v>4177</v>
      </c>
      <c r="C792">
        <f>"FB6816XLA"</f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 s="2">
        <v>0</v>
      </c>
      <c r="M792">
        <v>0</v>
      </c>
      <c r="N792" s="2">
        <v>0</v>
      </c>
      <c r="O792">
        <v>0</v>
      </c>
      <c r="P792" t="s">
        <v>100</v>
      </c>
      <c r="Q792">
        <v>0</v>
      </c>
      <c r="R792" t="s">
        <v>145</v>
      </c>
      <c r="S792">
        <v>0</v>
      </c>
    </row>
    <row r="793" spans="1:19">
      <c r="A793" t="s">
        <v>35</v>
      </c>
      <c r="B793" t="s">
        <v>7836</v>
      </c>
      <c r="C793">
        <f>"FEP70AD"</f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 s="2">
        <v>0</v>
      </c>
      <c r="M793">
        <v>0</v>
      </c>
      <c r="N793" s="2">
        <v>0</v>
      </c>
      <c r="O793">
        <v>0</v>
      </c>
      <c r="P793" t="s">
        <v>100</v>
      </c>
      <c r="Q793">
        <v>0</v>
      </c>
      <c r="R793" t="s">
        <v>145</v>
      </c>
      <c r="S793">
        <v>0</v>
      </c>
    </row>
    <row r="794" spans="1:19">
      <c r="A794" t="s">
        <v>35</v>
      </c>
      <c r="B794" t="s">
        <v>4215</v>
      </c>
      <c r="C794">
        <f>"FB6816XLV"</f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 s="2">
        <v>0</v>
      </c>
      <c r="M794">
        <v>0</v>
      </c>
      <c r="N794" s="2">
        <v>0</v>
      </c>
      <c r="O794">
        <v>0</v>
      </c>
      <c r="P794" t="s">
        <v>100</v>
      </c>
      <c r="Q794">
        <v>0</v>
      </c>
      <c r="R794" t="s">
        <v>145</v>
      </c>
      <c r="S794">
        <v>0</v>
      </c>
    </row>
    <row r="795" spans="1:19">
      <c r="A795" t="s">
        <v>35</v>
      </c>
      <c r="B795" t="s">
        <v>4027</v>
      </c>
      <c r="C795">
        <f>"C1183542XLV"</f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 s="2">
        <v>0</v>
      </c>
      <c r="M795">
        <v>0</v>
      </c>
      <c r="N795" s="2">
        <v>0</v>
      </c>
      <c r="O795">
        <v>0</v>
      </c>
      <c r="P795" t="s">
        <v>100</v>
      </c>
      <c r="Q795">
        <v>0</v>
      </c>
      <c r="R795" t="s">
        <v>145</v>
      </c>
      <c r="S795">
        <v>0</v>
      </c>
    </row>
    <row r="796" spans="1:19">
      <c r="A796" t="s">
        <v>35</v>
      </c>
      <c r="B796" t="s">
        <v>4045</v>
      </c>
      <c r="C796">
        <f>"B109006SN"</f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 s="2">
        <v>0</v>
      </c>
      <c r="M796">
        <v>0</v>
      </c>
      <c r="N796" s="2">
        <v>0</v>
      </c>
      <c r="O796">
        <v>0</v>
      </c>
      <c r="P796" t="s">
        <v>100</v>
      </c>
      <c r="Q796">
        <v>0</v>
      </c>
      <c r="R796" t="s">
        <v>145</v>
      </c>
      <c r="S796">
        <v>0</v>
      </c>
    </row>
    <row r="797" spans="1:19">
      <c r="A797" t="s">
        <v>35</v>
      </c>
      <c r="B797" t="s">
        <v>4046</v>
      </c>
      <c r="C797">
        <f>"A731l"</f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 s="2">
        <v>0</v>
      </c>
      <c r="M797">
        <v>0</v>
      </c>
      <c r="N797" s="2">
        <v>0</v>
      </c>
      <c r="O797">
        <v>0</v>
      </c>
      <c r="P797" t="s">
        <v>100</v>
      </c>
      <c r="Q797">
        <v>0</v>
      </c>
      <c r="R797" t="s">
        <v>145</v>
      </c>
      <c r="S797">
        <v>0</v>
      </c>
    </row>
    <row r="798" spans="1:19">
      <c r="A798" t="s">
        <v>35</v>
      </c>
      <c r="B798" t="s">
        <v>4043</v>
      </c>
      <c r="C798">
        <f>"A731xl"</f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 s="2">
        <v>0</v>
      </c>
      <c r="M798">
        <v>0</v>
      </c>
      <c r="N798" s="2">
        <v>0</v>
      </c>
      <c r="O798">
        <v>0</v>
      </c>
      <c r="P798" t="s">
        <v>100</v>
      </c>
      <c r="Q798">
        <v>0</v>
      </c>
      <c r="R798" t="s">
        <v>145</v>
      </c>
      <c r="S798">
        <v>0</v>
      </c>
    </row>
    <row r="799" spans="1:19">
      <c r="A799" t="s">
        <v>35</v>
      </c>
      <c r="B799" t="s">
        <v>4042</v>
      </c>
      <c r="C799">
        <f>"A731xxl"</f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 s="2">
        <v>0</v>
      </c>
      <c r="M799">
        <v>0</v>
      </c>
      <c r="N799" s="2">
        <v>0</v>
      </c>
      <c r="O799">
        <v>0</v>
      </c>
      <c r="P799" t="s">
        <v>100</v>
      </c>
      <c r="Q799">
        <v>0</v>
      </c>
      <c r="R799" t="s">
        <v>145</v>
      </c>
      <c r="S799">
        <v>0</v>
      </c>
    </row>
    <row r="800" spans="1:19">
      <c r="A800" t="s">
        <v>35</v>
      </c>
      <c r="B800" t="s">
        <v>4213</v>
      </c>
      <c r="C800">
        <f>"B109048MA"</f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 s="2">
        <v>0</v>
      </c>
      <c r="M800">
        <v>0</v>
      </c>
      <c r="N800" s="2">
        <v>0</v>
      </c>
      <c r="O800">
        <v>0</v>
      </c>
      <c r="P800" t="s">
        <v>100</v>
      </c>
      <c r="Q800">
        <v>0</v>
      </c>
      <c r="R800" t="s">
        <v>145</v>
      </c>
      <c r="S800">
        <v>0</v>
      </c>
    </row>
    <row r="801" spans="1:19">
      <c r="A801" t="s">
        <v>35</v>
      </c>
      <c r="B801" t="s">
        <v>7998</v>
      </c>
      <c r="C801">
        <f>"FEP40P"</f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 s="2">
        <v>0</v>
      </c>
      <c r="M801">
        <v>0</v>
      </c>
      <c r="N801" s="2">
        <v>0</v>
      </c>
      <c r="O801">
        <v>0</v>
      </c>
      <c r="P801" t="s">
        <v>100</v>
      </c>
      <c r="Q801">
        <v>0</v>
      </c>
      <c r="R801" t="s">
        <v>145</v>
      </c>
      <c r="S801">
        <v>0</v>
      </c>
    </row>
    <row r="802" spans="1:19">
      <c r="A802" t="s">
        <v>35</v>
      </c>
      <c r="B802" t="s">
        <v>7858</v>
      </c>
      <c r="C802">
        <f>"FEP40RO"</f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 s="2">
        <v>0</v>
      </c>
      <c r="M802">
        <v>0</v>
      </c>
      <c r="N802" s="2">
        <v>0</v>
      </c>
      <c r="O802">
        <v>0</v>
      </c>
      <c r="P802" t="s">
        <v>100</v>
      </c>
      <c r="Q802">
        <v>0</v>
      </c>
      <c r="R802" t="s">
        <v>145</v>
      </c>
      <c r="S802">
        <v>0</v>
      </c>
    </row>
    <row r="803" spans="1:19">
      <c r="A803" t="s">
        <v>35</v>
      </c>
      <c r="B803" t="s">
        <v>7839</v>
      </c>
      <c r="C803">
        <f>"FEP40VC"</f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 s="2">
        <v>0</v>
      </c>
      <c r="M803">
        <v>0</v>
      </c>
      <c r="N803" s="2">
        <v>0</v>
      </c>
      <c r="O803">
        <v>0</v>
      </c>
      <c r="P803" t="s">
        <v>100</v>
      </c>
      <c r="Q803">
        <v>0</v>
      </c>
      <c r="R803" t="s">
        <v>145</v>
      </c>
      <c r="S803">
        <v>0</v>
      </c>
    </row>
    <row r="804" spans="1:19">
      <c r="A804" t="s">
        <v>35</v>
      </c>
      <c r="B804" t="s">
        <v>4216</v>
      </c>
      <c r="C804">
        <f>"FB6816XLR"</f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 s="2">
        <v>0</v>
      </c>
      <c r="M804">
        <v>0</v>
      </c>
      <c r="N804" s="2">
        <v>0</v>
      </c>
      <c r="O804">
        <v>0</v>
      </c>
      <c r="P804" t="s">
        <v>100</v>
      </c>
      <c r="Q804">
        <v>0</v>
      </c>
      <c r="R804" t="s">
        <v>145</v>
      </c>
      <c r="S804">
        <v>0</v>
      </c>
    </row>
    <row r="805" spans="1:19">
      <c r="A805" t="s">
        <v>35</v>
      </c>
      <c r="B805" t="s">
        <v>7979</v>
      </c>
      <c r="C805">
        <f>"FEP100P"</f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 s="2">
        <v>0</v>
      </c>
      <c r="M805">
        <v>0</v>
      </c>
      <c r="N805" s="2">
        <v>0</v>
      </c>
      <c r="O805">
        <v>0</v>
      </c>
      <c r="P805" t="s">
        <v>100</v>
      </c>
      <c r="Q805">
        <v>0</v>
      </c>
      <c r="R805" t="s">
        <v>145</v>
      </c>
      <c r="S805">
        <v>0</v>
      </c>
    </row>
    <row r="806" spans="1:19">
      <c r="A806" t="s">
        <v>35</v>
      </c>
      <c r="B806" t="s">
        <v>7978</v>
      </c>
      <c r="C806">
        <f>"FEP100RA"</f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 s="2">
        <v>0</v>
      </c>
      <c r="M806">
        <v>0</v>
      </c>
      <c r="N806" s="2">
        <v>0</v>
      </c>
      <c r="O806">
        <v>0</v>
      </c>
      <c r="P806" t="s">
        <v>100</v>
      </c>
      <c r="Q806">
        <v>0</v>
      </c>
      <c r="R806" t="s">
        <v>145</v>
      </c>
      <c r="S806">
        <v>0</v>
      </c>
    </row>
    <row r="807" spans="1:19">
      <c r="A807" t="s">
        <v>35</v>
      </c>
      <c r="B807" t="s">
        <v>7977</v>
      </c>
      <c r="C807">
        <f>"FEP100RC"</f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 s="2">
        <v>0</v>
      </c>
      <c r="M807">
        <v>0</v>
      </c>
      <c r="N807" s="2">
        <v>0</v>
      </c>
      <c r="O807">
        <v>0</v>
      </c>
      <c r="P807" t="s">
        <v>100</v>
      </c>
      <c r="Q807">
        <v>0</v>
      </c>
      <c r="R807" t="s">
        <v>145</v>
      </c>
      <c r="S807">
        <v>0</v>
      </c>
    </row>
    <row r="808" spans="1:19">
      <c r="A808" t="s">
        <v>35</v>
      </c>
      <c r="B808" t="s">
        <v>7999</v>
      </c>
      <c r="C808">
        <f>"FEP60VI"</f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 s="2">
        <v>0</v>
      </c>
      <c r="M808">
        <v>0</v>
      </c>
      <c r="N808" s="2">
        <v>0</v>
      </c>
      <c r="O808">
        <v>0</v>
      </c>
      <c r="P808" t="s">
        <v>100</v>
      </c>
      <c r="Q808">
        <v>0</v>
      </c>
      <c r="R808" t="s">
        <v>145</v>
      </c>
      <c r="S808">
        <v>0</v>
      </c>
    </row>
    <row r="809" spans="1:19">
      <c r="A809" t="s">
        <v>35</v>
      </c>
      <c r="B809" t="s">
        <v>8030</v>
      </c>
      <c r="C809">
        <f>"FEP50AD"</f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 s="2">
        <v>0</v>
      </c>
      <c r="M809">
        <v>0</v>
      </c>
      <c r="N809" s="2">
        <v>0</v>
      </c>
      <c r="O809">
        <v>0</v>
      </c>
      <c r="P809" t="s">
        <v>100</v>
      </c>
      <c r="Q809">
        <v>0</v>
      </c>
      <c r="R809" t="s">
        <v>145</v>
      </c>
      <c r="S809">
        <v>0</v>
      </c>
    </row>
    <row r="810" spans="1:19">
      <c r="A810" t="s">
        <v>35</v>
      </c>
      <c r="B810" t="s">
        <v>1646</v>
      </c>
      <c r="C810">
        <f>"FEP50C"</f>
        <v>0</v>
      </c>
      <c r="D810">
        <v>0</v>
      </c>
      <c r="E810">
        <v>0</v>
      </c>
      <c r="F810">
        <v>1</v>
      </c>
      <c r="G810">
        <v>0</v>
      </c>
      <c r="H810">
        <v>1</v>
      </c>
      <c r="I810">
        <v>0</v>
      </c>
      <c r="J810">
        <v>0</v>
      </c>
      <c r="K810">
        <v>0</v>
      </c>
      <c r="L810" s="2">
        <v>0</v>
      </c>
      <c r="M810">
        <v>0</v>
      </c>
      <c r="N810" s="2">
        <v>0</v>
      </c>
      <c r="O810">
        <v>0</v>
      </c>
      <c r="P810" t="s">
        <v>11046</v>
      </c>
      <c r="Q810">
        <v>-174</v>
      </c>
      <c r="R810" t="s">
        <v>11182</v>
      </c>
      <c r="S810">
        <v>0</v>
      </c>
    </row>
    <row r="811" spans="1:19">
      <c r="A811" t="s">
        <v>35</v>
      </c>
      <c r="B811" t="s">
        <v>1492</v>
      </c>
      <c r="C811">
        <f>"FEP50GC"</f>
        <v>0</v>
      </c>
      <c r="D811">
        <v>1</v>
      </c>
      <c r="E811">
        <v>0</v>
      </c>
      <c r="F811">
        <v>0</v>
      </c>
      <c r="G811">
        <v>0</v>
      </c>
      <c r="H811">
        <v>1</v>
      </c>
      <c r="I811">
        <v>0</v>
      </c>
      <c r="J811">
        <v>0</v>
      </c>
      <c r="K811">
        <v>0</v>
      </c>
      <c r="L811" s="2">
        <v>0</v>
      </c>
      <c r="M811">
        <v>0</v>
      </c>
      <c r="N811" s="2">
        <v>0</v>
      </c>
      <c r="O811">
        <v>0</v>
      </c>
      <c r="P811" t="s">
        <v>100</v>
      </c>
      <c r="Q811">
        <v>0</v>
      </c>
      <c r="R811" t="s">
        <v>145</v>
      </c>
      <c r="S811">
        <v>0</v>
      </c>
    </row>
    <row r="812" spans="1:19">
      <c r="A812" t="s">
        <v>35</v>
      </c>
      <c r="B812" t="s">
        <v>8023</v>
      </c>
      <c r="C812">
        <f>"FEP120GC"</f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 s="2">
        <v>0</v>
      </c>
      <c r="M812">
        <v>0</v>
      </c>
      <c r="N812" s="2">
        <v>0</v>
      </c>
      <c r="O812">
        <v>0</v>
      </c>
      <c r="P812" t="s">
        <v>100</v>
      </c>
      <c r="Q812">
        <v>0</v>
      </c>
      <c r="R812" t="s">
        <v>145</v>
      </c>
      <c r="S812">
        <v>0</v>
      </c>
    </row>
    <row r="813" spans="1:19">
      <c r="A813" t="s">
        <v>35</v>
      </c>
      <c r="B813" t="s">
        <v>8022</v>
      </c>
      <c r="C813">
        <f>"FEP120GO"</f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 s="2">
        <v>0</v>
      </c>
      <c r="M813">
        <v>0</v>
      </c>
      <c r="N813" s="2">
        <v>0</v>
      </c>
      <c r="O813">
        <v>0</v>
      </c>
      <c r="P813" t="s">
        <v>100</v>
      </c>
      <c r="Q813">
        <v>0</v>
      </c>
      <c r="R813" t="s">
        <v>145</v>
      </c>
      <c r="S813">
        <v>0</v>
      </c>
    </row>
    <row r="814" spans="1:19">
      <c r="A814" t="s">
        <v>35</v>
      </c>
      <c r="B814" t="s">
        <v>8018</v>
      </c>
      <c r="C814">
        <f>"FEP120ROSO"</f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 s="2">
        <v>0</v>
      </c>
      <c r="M814">
        <v>0</v>
      </c>
      <c r="N814" s="2">
        <v>0</v>
      </c>
      <c r="O814">
        <v>0</v>
      </c>
      <c r="P814" t="s">
        <v>100</v>
      </c>
      <c r="Q814">
        <v>0</v>
      </c>
      <c r="R814" t="s">
        <v>145</v>
      </c>
      <c r="S814">
        <v>0</v>
      </c>
    </row>
    <row r="815" spans="1:19">
      <c r="A815" t="s">
        <v>35</v>
      </c>
      <c r="B815" t="s">
        <v>7996</v>
      </c>
      <c r="C815">
        <f>"FEP50P"</f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 s="2">
        <v>0</v>
      </c>
      <c r="M815">
        <v>0</v>
      </c>
      <c r="N815" s="2">
        <v>0</v>
      </c>
      <c r="O815">
        <v>0</v>
      </c>
      <c r="P815" t="s">
        <v>100</v>
      </c>
      <c r="Q815">
        <v>0</v>
      </c>
      <c r="R815" t="s">
        <v>145</v>
      </c>
      <c r="S815">
        <v>0</v>
      </c>
    </row>
    <row r="816" spans="1:19">
      <c r="A816" t="s">
        <v>35</v>
      </c>
      <c r="B816" t="s">
        <v>4101</v>
      </c>
      <c r="C816">
        <f>"2530"</f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 s="2">
        <v>0</v>
      </c>
      <c r="M816">
        <v>0</v>
      </c>
      <c r="N816" s="2">
        <v>0</v>
      </c>
      <c r="O816">
        <v>0</v>
      </c>
      <c r="P816" t="s">
        <v>100</v>
      </c>
      <c r="Q816">
        <v>0</v>
      </c>
      <c r="R816" t="s">
        <v>145</v>
      </c>
      <c r="S816">
        <v>0</v>
      </c>
    </row>
    <row r="817" spans="1:19">
      <c r="A817" t="s">
        <v>35</v>
      </c>
      <c r="B817" t="s">
        <v>4100</v>
      </c>
      <c r="C817">
        <f>"2529"</f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 s="2">
        <v>0</v>
      </c>
      <c r="M817">
        <v>0</v>
      </c>
      <c r="N817" s="2">
        <v>0</v>
      </c>
      <c r="O817">
        <v>0</v>
      </c>
      <c r="P817" t="s">
        <v>100</v>
      </c>
      <c r="Q817">
        <v>0</v>
      </c>
      <c r="R817" t="s">
        <v>145</v>
      </c>
      <c r="S817">
        <v>0</v>
      </c>
    </row>
    <row r="818" spans="1:19">
      <c r="A818" t="s">
        <v>35</v>
      </c>
      <c r="B818" t="s">
        <v>4121</v>
      </c>
      <c r="C818">
        <f>"TF1032"</f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 s="2">
        <v>0</v>
      </c>
      <c r="M818">
        <v>0</v>
      </c>
      <c r="N818" s="2">
        <v>0</v>
      </c>
      <c r="O818">
        <v>0</v>
      </c>
      <c r="P818" t="s">
        <v>100</v>
      </c>
      <c r="Q818">
        <v>0</v>
      </c>
      <c r="R818" t="s">
        <v>145</v>
      </c>
      <c r="S818">
        <v>0</v>
      </c>
    </row>
    <row r="819" spans="1:19">
      <c r="A819" t="s">
        <v>35</v>
      </c>
      <c r="B819" t="s">
        <v>4120</v>
      </c>
      <c r="C819">
        <f>"HC0110"</f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 s="2">
        <v>0</v>
      </c>
      <c r="M819">
        <v>0</v>
      </c>
      <c r="N819" s="2">
        <v>0</v>
      </c>
      <c r="O819">
        <v>0</v>
      </c>
      <c r="P819" t="s">
        <v>100</v>
      </c>
      <c r="Q819">
        <v>0</v>
      </c>
      <c r="R819" t="s">
        <v>145</v>
      </c>
      <c r="S819">
        <v>0</v>
      </c>
    </row>
    <row r="820" spans="1:19">
      <c r="A820" t="s">
        <v>35</v>
      </c>
      <c r="B820" t="s">
        <v>4025</v>
      </c>
      <c r="C820">
        <f>"WQ4508C"</f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 s="2">
        <v>0</v>
      </c>
      <c r="M820">
        <v>0</v>
      </c>
      <c r="N820" s="2">
        <v>0</v>
      </c>
      <c r="O820">
        <v>0</v>
      </c>
      <c r="P820" t="s">
        <v>100</v>
      </c>
      <c r="Q820">
        <v>0</v>
      </c>
      <c r="R820" t="s">
        <v>145</v>
      </c>
      <c r="S820">
        <v>0</v>
      </c>
    </row>
    <row r="821" spans="1:19">
      <c r="A821" t="s">
        <v>35</v>
      </c>
      <c r="B821" t="s">
        <v>4020</v>
      </c>
      <c r="C821">
        <f>"6832XLA"</f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 s="2">
        <v>0</v>
      </c>
      <c r="M821">
        <v>0</v>
      </c>
      <c r="N821" s="2">
        <v>0</v>
      </c>
      <c r="O821">
        <v>0</v>
      </c>
      <c r="P821" t="s">
        <v>100</v>
      </c>
      <c r="Q821">
        <v>0</v>
      </c>
      <c r="R821" t="s">
        <v>145</v>
      </c>
      <c r="S821">
        <v>0</v>
      </c>
    </row>
    <row r="822" spans="1:19">
      <c r="A822" t="s">
        <v>35</v>
      </c>
      <c r="B822" t="s">
        <v>4110</v>
      </c>
      <c r="C822">
        <f>"6832XLGO"</f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 s="2">
        <v>0</v>
      </c>
      <c r="M822">
        <v>0</v>
      </c>
      <c r="N822" s="2">
        <v>0</v>
      </c>
      <c r="O822">
        <v>0</v>
      </c>
      <c r="P822" t="s">
        <v>100</v>
      </c>
      <c r="Q822">
        <v>0</v>
      </c>
      <c r="R822" t="s">
        <v>145</v>
      </c>
      <c r="S822">
        <v>0</v>
      </c>
    </row>
    <row r="823" spans="1:19">
      <c r="A823" t="s">
        <v>35</v>
      </c>
      <c r="B823" t="s">
        <v>4109</v>
      </c>
      <c r="C823">
        <f>"6832XLN"</f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 s="2">
        <v>0</v>
      </c>
      <c r="M823">
        <v>0</v>
      </c>
      <c r="N823" s="2">
        <v>0</v>
      </c>
      <c r="O823">
        <v>0</v>
      </c>
      <c r="P823" t="s">
        <v>100</v>
      </c>
      <c r="Q823">
        <v>0</v>
      </c>
      <c r="R823" t="s">
        <v>145</v>
      </c>
      <c r="S823">
        <v>0</v>
      </c>
    </row>
    <row r="824" spans="1:19">
      <c r="A824" t="s">
        <v>35</v>
      </c>
      <c r="B824" t="s">
        <v>4108</v>
      </c>
      <c r="C824">
        <f>"6833XLA"</f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 s="2">
        <v>0</v>
      </c>
      <c r="M824">
        <v>0</v>
      </c>
      <c r="N824" s="2">
        <v>0</v>
      </c>
      <c r="O824">
        <v>0</v>
      </c>
      <c r="P824" t="s">
        <v>100</v>
      </c>
      <c r="Q824">
        <v>0</v>
      </c>
      <c r="R824" t="s">
        <v>145</v>
      </c>
      <c r="S824">
        <v>0</v>
      </c>
    </row>
    <row r="825" spans="1:19">
      <c r="A825" t="s">
        <v>35</v>
      </c>
      <c r="B825" t="s">
        <v>4105</v>
      </c>
      <c r="C825">
        <f>"6833XLN"</f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 s="2">
        <v>0</v>
      </c>
      <c r="M825">
        <v>0</v>
      </c>
      <c r="N825" s="2">
        <v>0</v>
      </c>
      <c r="O825">
        <v>0</v>
      </c>
      <c r="P825" t="s">
        <v>100</v>
      </c>
      <c r="Q825">
        <v>0</v>
      </c>
      <c r="R825" t="s">
        <v>145</v>
      </c>
      <c r="S825">
        <v>0</v>
      </c>
    </row>
    <row r="826" spans="1:19">
      <c r="A826" t="s">
        <v>35</v>
      </c>
      <c r="B826" t="s">
        <v>8016</v>
      </c>
      <c r="C826">
        <f>"FEP120VEOS"</f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 s="2">
        <v>0</v>
      </c>
      <c r="M826">
        <v>0</v>
      </c>
      <c r="N826" s="2">
        <v>0</v>
      </c>
      <c r="O826">
        <v>0</v>
      </c>
      <c r="P826" t="s">
        <v>100</v>
      </c>
      <c r="Q826">
        <v>0</v>
      </c>
      <c r="R826" t="s">
        <v>145</v>
      </c>
      <c r="S826">
        <v>0</v>
      </c>
    </row>
    <row r="827" spans="1:19">
      <c r="A827" t="s">
        <v>35</v>
      </c>
      <c r="B827" t="s">
        <v>7995</v>
      </c>
      <c r="C827">
        <f>"FEP50RA"</f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 s="2">
        <v>0</v>
      </c>
      <c r="M827">
        <v>0</v>
      </c>
      <c r="N827" s="2">
        <v>0</v>
      </c>
      <c r="O827">
        <v>0</v>
      </c>
      <c r="P827" t="s">
        <v>100</v>
      </c>
      <c r="Q827">
        <v>0</v>
      </c>
      <c r="R827" t="s">
        <v>145</v>
      </c>
      <c r="S827">
        <v>0</v>
      </c>
    </row>
    <row r="828" spans="1:19">
      <c r="A828" t="s">
        <v>35</v>
      </c>
      <c r="B828" t="s">
        <v>7994</v>
      </c>
      <c r="C828">
        <f>"FEP50RC"</f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 s="2">
        <v>0</v>
      </c>
      <c r="M828">
        <v>0</v>
      </c>
      <c r="N828" s="2">
        <v>0</v>
      </c>
      <c r="O828">
        <v>0</v>
      </c>
      <c r="P828" t="s">
        <v>100</v>
      </c>
      <c r="Q828">
        <v>0</v>
      </c>
      <c r="R828" t="s">
        <v>145</v>
      </c>
      <c r="S828">
        <v>0</v>
      </c>
    </row>
    <row r="829" spans="1:19">
      <c r="A829" t="s">
        <v>35</v>
      </c>
      <c r="B829" t="s">
        <v>1490</v>
      </c>
      <c r="C829">
        <f>"FEP50RO"</f>
        <v>0</v>
      </c>
      <c r="D829">
        <v>1</v>
      </c>
      <c r="E829">
        <v>0</v>
      </c>
      <c r="F829">
        <v>0</v>
      </c>
      <c r="G829">
        <v>0</v>
      </c>
      <c r="H829">
        <v>1</v>
      </c>
      <c r="I829">
        <v>0</v>
      </c>
      <c r="J829">
        <v>0</v>
      </c>
      <c r="K829">
        <v>0</v>
      </c>
      <c r="L829" s="2">
        <v>0</v>
      </c>
      <c r="M829">
        <v>0</v>
      </c>
      <c r="N829" s="2">
        <v>0</v>
      </c>
      <c r="O829">
        <v>0</v>
      </c>
      <c r="P829" t="s">
        <v>100</v>
      </c>
      <c r="Q829">
        <v>0</v>
      </c>
      <c r="R829" t="s">
        <v>145</v>
      </c>
      <c r="S829">
        <v>0</v>
      </c>
    </row>
    <row r="830" spans="1:19">
      <c r="A830" t="s">
        <v>35</v>
      </c>
      <c r="B830" t="s">
        <v>1489</v>
      </c>
      <c r="C830">
        <f>"FEP50V"</f>
        <v>0</v>
      </c>
      <c r="D830">
        <v>0</v>
      </c>
      <c r="E830">
        <v>1</v>
      </c>
      <c r="F830">
        <v>0</v>
      </c>
      <c r="G830">
        <v>0</v>
      </c>
      <c r="H830">
        <v>1</v>
      </c>
      <c r="I830">
        <v>0</v>
      </c>
      <c r="J830">
        <v>0</v>
      </c>
      <c r="K830">
        <v>0</v>
      </c>
      <c r="L830" s="2">
        <v>0</v>
      </c>
      <c r="M830">
        <v>0</v>
      </c>
      <c r="N830" s="2">
        <v>0</v>
      </c>
      <c r="O830">
        <v>0</v>
      </c>
      <c r="P830" t="s">
        <v>100</v>
      </c>
      <c r="Q830">
        <v>0</v>
      </c>
      <c r="R830" t="s">
        <v>145</v>
      </c>
      <c r="S830">
        <v>0</v>
      </c>
    </row>
    <row r="831" spans="1:19">
      <c r="A831" t="s">
        <v>35</v>
      </c>
      <c r="B831" t="s">
        <v>7993</v>
      </c>
      <c r="C831">
        <f>"FEP50VO"</f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 s="2">
        <v>0</v>
      </c>
      <c r="M831">
        <v>0</v>
      </c>
      <c r="N831" s="2">
        <v>0</v>
      </c>
      <c r="O831">
        <v>0</v>
      </c>
      <c r="P831" t="s">
        <v>100</v>
      </c>
      <c r="Q831">
        <v>0</v>
      </c>
      <c r="R831" t="s">
        <v>145</v>
      </c>
      <c r="S831">
        <v>0</v>
      </c>
    </row>
    <row r="832" spans="1:19">
      <c r="A832" t="s">
        <v>35</v>
      </c>
      <c r="B832" t="s">
        <v>7992</v>
      </c>
      <c r="C832">
        <f>"FEP50VIN"</f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 s="2">
        <v>0</v>
      </c>
      <c r="M832">
        <v>0</v>
      </c>
      <c r="N832" s="2">
        <v>0</v>
      </c>
      <c r="O832">
        <v>0</v>
      </c>
      <c r="P832" t="s">
        <v>100</v>
      </c>
      <c r="Q832">
        <v>0</v>
      </c>
      <c r="R832" t="s">
        <v>145</v>
      </c>
      <c r="S832">
        <v>0</v>
      </c>
    </row>
    <row r="833" spans="1:19">
      <c r="A833" t="s">
        <v>35</v>
      </c>
      <c r="B833" t="s">
        <v>7991</v>
      </c>
      <c r="C833">
        <f>"FEP50VI"</f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 s="2">
        <v>0</v>
      </c>
      <c r="M833">
        <v>0</v>
      </c>
      <c r="N833" s="2">
        <v>0</v>
      </c>
      <c r="O833">
        <v>0</v>
      </c>
      <c r="P833" t="s">
        <v>100</v>
      </c>
      <c r="Q833">
        <v>0</v>
      </c>
      <c r="R833" t="s">
        <v>145</v>
      </c>
      <c r="S833">
        <v>0</v>
      </c>
    </row>
    <row r="834" spans="1:19">
      <c r="A834" t="s">
        <v>35</v>
      </c>
      <c r="B834" t="s">
        <v>8006</v>
      </c>
      <c r="C834">
        <f>"FEP80AD"</f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 s="2">
        <v>0</v>
      </c>
      <c r="M834">
        <v>0</v>
      </c>
      <c r="N834" s="2">
        <v>0</v>
      </c>
      <c r="O834">
        <v>0</v>
      </c>
      <c r="P834" t="s">
        <v>100</v>
      </c>
      <c r="Q834">
        <v>0</v>
      </c>
      <c r="R834" t="s">
        <v>145</v>
      </c>
      <c r="S834">
        <v>0</v>
      </c>
    </row>
    <row r="835" spans="1:19">
      <c r="A835" t="s">
        <v>35</v>
      </c>
      <c r="B835" t="s">
        <v>7829</v>
      </c>
      <c r="C835">
        <f>"FEP70VO"</f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 s="2">
        <v>0</v>
      </c>
      <c r="M835">
        <v>0</v>
      </c>
      <c r="N835" s="2">
        <v>0</v>
      </c>
      <c r="O835">
        <v>0</v>
      </c>
      <c r="P835" t="s">
        <v>100</v>
      </c>
      <c r="Q835">
        <v>0</v>
      </c>
      <c r="R835" t="s">
        <v>145</v>
      </c>
      <c r="S835">
        <v>0</v>
      </c>
    </row>
    <row r="836" spans="1:19">
      <c r="A836" t="s">
        <v>35</v>
      </c>
      <c r="B836" t="s">
        <v>7828</v>
      </c>
      <c r="C836">
        <f>"FEP70VIN"</f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 s="2">
        <v>0</v>
      </c>
      <c r="M836">
        <v>0</v>
      </c>
      <c r="N836" s="2">
        <v>0</v>
      </c>
      <c r="O836">
        <v>0</v>
      </c>
      <c r="P836" t="s">
        <v>100</v>
      </c>
      <c r="Q836">
        <v>0</v>
      </c>
      <c r="R836" t="s">
        <v>145</v>
      </c>
      <c r="S836">
        <v>0</v>
      </c>
    </row>
    <row r="837" spans="1:19">
      <c r="A837" t="s">
        <v>35</v>
      </c>
      <c r="B837" t="s">
        <v>7980</v>
      </c>
      <c r="C837">
        <f>"FEP100GO"</f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 s="2">
        <v>0</v>
      </c>
      <c r="M837">
        <v>0</v>
      </c>
      <c r="N837" s="2">
        <v>0</v>
      </c>
      <c r="O837">
        <v>0</v>
      </c>
      <c r="P837" t="s">
        <v>100</v>
      </c>
      <c r="Q837">
        <v>0</v>
      </c>
      <c r="R837" t="s">
        <v>145</v>
      </c>
      <c r="S837">
        <v>0</v>
      </c>
    </row>
    <row r="838" spans="1:19">
      <c r="A838" t="s">
        <v>35</v>
      </c>
      <c r="B838" t="s">
        <v>7931</v>
      </c>
      <c r="C838">
        <f>"FEP60AD"</f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 s="2">
        <v>0</v>
      </c>
      <c r="M838">
        <v>0</v>
      </c>
      <c r="N838" s="2">
        <v>0</v>
      </c>
      <c r="O838">
        <v>0</v>
      </c>
      <c r="P838" t="s">
        <v>100</v>
      </c>
      <c r="Q838">
        <v>0</v>
      </c>
      <c r="R838" t="s">
        <v>145</v>
      </c>
      <c r="S838">
        <v>0</v>
      </c>
    </row>
    <row r="839" spans="1:19">
      <c r="A839" t="s">
        <v>35</v>
      </c>
      <c r="B839" t="s">
        <v>8005</v>
      </c>
      <c r="C839">
        <f>"FEP60B"</f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 s="2">
        <v>0</v>
      </c>
      <c r="M839">
        <v>0</v>
      </c>
      <c r="N839" s="2">
        <v>0</v>
      </c>
      <c r="O839">
        <v>0</v>
      </c>
      <c r="P839" t="s">
        <v>100</v>
      </c>
      <c r="Q839">
        <v>0</v>
      </c>
      <c r="R839" t="s">
        <v>145</v>
      </c>
      <c r="S839">
        <v>0</v>
      </c>
    </row>
    <row r="840" spans="1:19">
      <c r="A840" t="s">
        <v>35</v>
      </c>
      <c r="B840" t="s">
        <v>8004</v>
      </c>
      <c r="C840">
        <f>"FEP60C"</f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 s="2">
        <v>0</v>
      </c>
      <c r="M840">
        <v>0</v>
      </c>
      <c r="N840" s="2">
        <v>0</v>
      </c>
      <c r="O840">
        <v>0</v>
      </c>
      <c r="P840" t="s">
        <v>100</v>
      </c>
      <c r="Q840">
        <v>0</v>
      </c>
      <c r="R840" t="s">
        <v>145</v>
      </c>
      <c r="S840">
        <v>0</v>
      </c>
    </row>
    <row r="841" spans="1:19">
      <c r="A841" t="s">
        <v>35</v>
      </c>
      <c r="B841" t="s">
        <v>7989</v>
      </c>
      <c r="C841">
        <f>"FEP80C"</f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 s="2">
        <v>0</v>
      </c>
      <c r="M841">
        <v>0</v>
      </c>
      <c r="N841" s="2">
        <v>0</v>
      </c>
      <c r="O841">
        <v>0</v>
      </c>
      <c r="P841" t="s">
        <v>100</v>
      </c>
      <c r="Q841">
        <v>0</v>
      </c>
      <c r="R841" t="s">
        <v>145</v>
      </c>
      <c r="S841">
        <v>0</v>
      </c>
    </row>
    <row r="842" spans="1:19">
      <c r="A842" t="s">
        <v>35</v>
      </c>
      <c r="B842" t="s">
        <v>8014</v>
      </c>
      <c r="C842">
        <f>"FEP80GC"</f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 s="2">
        <v>0</v>
      </c>
      <c r="M842">
        <v>0</v>
      </c>
      <c r="N842" s="2">
        <v>0</v>
      </c>
      <c r="O842">
        <v>0</v>
      </c>
      <c r="P842" t="s">
        <v>100</v>
      </c>
      <c r="Q842">
        <v>0</v>
      </c>
      <c r="R842" t="s">
        <v>145</v>
      </c>
      <c r="S842">
        <v>0</v>
      </c>
    </row>
    <row r="843" spans="1:19">
      <c r="A843" t="s">
        <v>35</v>
      </c>
      <c r="B843" t="s">
        <v>7985</v>
      </c>
      <c r="C843">
        <f>"FEP80VO"</f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 s="2">
        <v>0</v>
      </c>
      <c r="M843">
        <v>0</v>
      </c>
      <c r="N843" s="2">
        <v>0</v>
      </c>
      <c r="O843">
        <v>0</v>
      </c>
      <c r="P843" t="s">
        <v>100</v>
      </c>
      <c r="Q843">
        <v>0</v>
      </c>
      <c r="R843" t="s">
        <v>145</v>
      </c>
      <c r="S843">
        <v>0</v>
      </c>
    </row>
    <row r="844" spans="1:19">
      <c r="A844" t="s">
        <v>35</v>
      </c>
      <c r="B844" t="s">
        <v>7983</v>
      </c>
      <c r="C844">
        <f>"FEP100AD"</f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 s="2">
        <v>0</v>
      </c>
      <c r="M844">
        <v>0</v>
      </c>
      <c r="N844" s="2">
        <v>0</v>
      </c>
      <c r="O844">
        <v>0</v>
      </c>
      <c r="P844" t="s">
        <v>100</v>
      </c>
      <c r="Q844">
        <v>0</v>
      </c>
      <c r="R844" t="s">
        <v>145</v>
      </c>
      <c r="S844">
        <v>0</v>
      </c>
    </row>
    <row r="845" spans="1:19">
      <c r="A845" t="s">
        <v>35</v>
      </c>
      <c r="B845" t="s">
        <v>1488</v>
      </c>
      <c r="C845">
        <f>"FEP100B"</f>
        <v>0</v>
      </c>
      <c r="D845">
        <v>0</v>
      </c>
      <c r="E845">
        <v>0</v>
      </c>
      <c r="F845">
        <v>1</v>
      </c>
      <c r="G845">
        <v>0</v>
      </c>
      <c r="H845">
        <v>1</v>
      </c>
      <c r="I845">
        <v>0</v>
      </c>
      <c r="J845">
        <v>0</v>
      </c>
      <c r="K845">
        <v>0</v>
      </c>
      <c r="L845" s="2">
        <v>0</v>
      </c>
      <c r="M845">
        <v>0</v>
      </c>
      <c r="N845" s="2">
        <v>0</v>
      </c>
      <c r="O845">
        <v>0</v>
      </c>
      <c r="P845" t="s">
        <v>100</v>
      </c>
      <c r="Q845">
        <v>0</v>
      </c>
      <c r="R845" t="s">
        <v>145</v>
      </c>
      <c r="S845">
        <v>0</v>
      </c>
    </row>
    <row r="846" spans="1:19">
      <c r="A846" t="s">
        <v>35</v>
      </c>
      <c r="B846" t="s">
        <v>7982</v>
      </c>
      <c r="C846">
        <f>"FEP100C"</f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 s="2">
        <v>0</v>
      </c>
      <c r="M846">
        <v>0</v>
      </c>
      <c r="N846" s="2">
        <v>0</v>
      </c>
      <c r="O846">
        <v>0</v>
      </c>
      <c r="P846" t="s">
        <v>100</v>
      </c>
      <c r="Q846">
        <v>0</v>
      </c>
      <c r="R846" t="s">
        <v>145</v>
      </c>
      <c r="S846">
        <v>0</v>
      </c>
    </row>
    <row r="847" spans="1:19">
      <c r="A847" t="s">
        <v>35</v>
      </c>
      <c r="B847" t="s">
        <v>7981</v>
      </c>
      <c r="C847">
        <f>"FEP100GC"</f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 s="2">
        <v>0</v>
      </c>
      <c r="M847">
        <v>0</v>
      </c>
      <c r="N847" s="2">
        <v>0</v>
      </c>
      <c r="O847">
        <v>0</v>
      </c>
      <c r="P847" t="s">
        <v>100</v>
      </c>
      <c r="Q847">
        <v>0</v>
      </c>
      <c r="R847" t="s">
        <v>145</v>
      </c>
      <c r="S847">
        <v>0</v>
      </c>
    </row>
    <row r="848" spans="1:19">
      <c r="A848" t="s">
        <v>35</v>
      </c>
      <c r="B848" t="s">
        <v>1495</v>
      </c>
      <c r="C848">
        <f>"FEP70VI"</f>
        <v>0</v>
      </c>
      <c r="D848">
        <v>0</v>
      </c>
      <c r="E848">
        <v>0</v>
      </c>
      <c r="F848">
        <v>1</v>
      </c>
      <c r="G848">
        <v>0</v>
      </c>
      <c r="H848">
        <v>1</v>
      </c>
      <c r="I848">
        <v>0</v>
      </c>
      <c r="J848">
        <v>0</v>
      </c>
      <c r="K848">
        <v>0</v>
      </c>
      <c r="L848" s="2">
        <v>0</v>
      </c>
      <c r="M848">
        <v>0</v>
      </c>
      <c r="N848" s="2">
        <v>0</v>
      </c>
      <c r="O848">
        <v>0</v>
      </c>
      <c r="P848" t="s">
        <v>100</v>
      </c>
      <c r="Q848">
        <v>0</v>
      </c>
      <c r="R848" t="s">
        <v>145</v>
      </c>
      <c r="S848">
        <v>0</v>
      </c>
    </row>
    <row r="849" spans="1:19">
      <c r="A849" t="s">
        <v>35</v>
      </c>
      <c r="B849" t="s">
        <v>9538</v>
      </c>
      <c r="C849">
        <f>"CL01L"</f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 s="2">
        <v>0</v>
      </c>
      <c r="M849">
        <v>0</v>
      </c>
      <c r="N849" s="2">
        <v>0</v>
      </c>
      <c r="O849">
        <v>0</v>
      </c>
      <c r="P849" t="s">
        <v>100</v>
      </c>
      <c r="Q849">
        <v>0</v>
      </c>
      <c r="R849" t="s">
        <v>145</v>
      </c>
      <c r="S849">
        <v>0</v>
      </c>
    </row>
    <row r="850" spans="1:19">
      <c r="A850" t="s">
        <v>35</v>
      </c>
      <c r="B850" t="s">
        <v>1410</v>
      </c>
      <c r="C850">
        <f>"CL01S"</f>
        <v>0</v>
      </c>
      <c r="D850">
        <v>0</v>
      </c>
      <c r="E850">
        <v>1</v>
      </c>
      <c r="F850">
        <v>0</v>
      </c>
      <c r="G850">
        <v>0</v>
      </c>
      <c r="H850">
        <v>1</v>
      </c>
      <c r="I850">
        <v>0</v>
      </c>
      <c r="J850">
        <v>0</v>
      </c>
      <c r="K850">
        <v>0</v>
      </c>
      <c r="L850" s="2">
        <v>0</v>
      </c>
      <c r="M850">
        <v>0</v>
      </c>
      <c r="N850" s="2">
        <v>0</v>
      </c>
      <c r="O850">
        <v>0</v>
      </c>
      <c r="P850" t="s">
        <v>100</v>
      </c>
      <c r="Q850">
        <v>0</v>
      </c>
      <c r="R850" t="s">
        <v>145</v>
      </c>
      <c r="S850">
        <v>0</v>
      </c>
    </row>
    <row r="851" spans="1:19">
      <c r="A851" t="s">
        <v>35</v>
      </c>
      <c r="B851" t="s">
        <v>9578</v>
      </c>
      <c r="C851">
        <f>"LO81011"</f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 s="2">
        <v>0</v>
      </c>
      <c r="M851">
        <v>0</v>
      </c>
      <c r="N851" s="2">
        <v>0</v>
      </c>
      <c r="O851">
        <v>0</v>
      </c>
      <c r="P851" t="s">
        <v>100</v>
      </c>
      <c r="Q851">
        <v>0</v>
      </c>
      <c r="R851" t="s">
        <v>145</v>
      </c>
      <c r="S851">
        <v>0</v>
      </c>
    </row>
    <row r="852" spans="1:19">
      <c r="A852" t="s">
        <v>35</v>
      </c>
      <c r="B852" t="s">
        <v>9576</v>
      </c>
      <c r="C852">
        <f>"LO81021"</f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 s="2">
        <v>0</v>
      </c>
      <c r="M852">
        <v>0</v>
      </c>
      <c r="N852" s="2">
        <v>0</v>
      </c>
      <c r="O852">
        <v>0</v>
      </c>
      <c r="P852" t="s">
        <v>100</v>
      </c>
      <c r="Q852">
        <v>0</v>
      </c>
      <c r="R852" t="s">
        <v>145</v>
      </c>
      <c r="S852">
        <v>0</v>
      </c>
    </row>
    <row r="853" spans="1:19">
      <c r="A853" t="s">
        <v>35</v>
      </c>
      <c r="B853" t="s">
        <v>9575</v>
      </c>
      <c r="C853">
        <f>"LO81020"</f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 s="2">
        <v>0</v>
      </c>
      <c r="M853">
        <v>0</v>
      </c>
      <c r="N853" s="2">
        <v>0</v>
      </c>
      <c r="O853">
        <v>0</v>
      </c>
      <c r="P853" t="s">
        <v>100</v>
      </c>
      <c r="Q853">
        <v>0</v>
      </c>
      <c r="R853" t="s">
        <v>145</v>
      </c>
      <c r="S853">
        <v>0</v>
      </c>
    </row>
    <row r="854" spans="1:19">
      <c r="A854" t="s">
        <v>35</v>
      </c>
      <c r="B854" t="s">
        <v>9574</v>
      </c>
      <c r="C854">
        <f>"LO81001"</f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 s="2">
        <v>0</v>
      </c>
      <c r="M854">
        <v>0</v>
      </c>
      <c r="N854" s="2">
        <v>0</v>
      </c>
      <c r="O854">
        <v>0</v>
      </c>
      <c r="P854" t="s">
        <v>100</v>
      </c>
      <c r="Q854">
        <v>0</v>
      </c>
      <c r="R854" t="s">
        <v>145</v>
      </c>
      <c r="S854">
        <v>0</v>
      </c>
    </row>
    <row r="855" spans="1:19">
      <c r="A855" t="s">
        <v>35</v>
      </c>
      <c r="B855" t="s">
        <v>9552</v>
      </c>
      <c r="C855">
        <f>"HC090"</f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 s="2">
        <v>0</v>
      </c>
      <c r="M855">
        <v>0</v>
      </c>
      <c r="N855" s="2">
        <v>0</v>
      </c>
      <c r="O855">
        <v>0</v>
      </c>
      <c r="P855" t="s">
        <v>100</v>
      </c>
      <c r="Q855">
        <v>0</v>
      </c>
      <c r="R855" t="s">
        <v>145</v>
      </c>
      <c r="S855">
        <v>0</v>
      </c>
    </row>
    <row r="856" spans="1:19">
      <c r="A856" t="s">
        <v>35</v>
      </c>
      <c r="B856" t="s">
        <v>9505</v>
      </c>
      <c r="C856">
        <f>"HC091"</f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 s="2">
        <v>0</v>
      </c>
      <c r="M856">
        <v>0</v>
      </c>
      <c r="N856" s="2">
        <v>0</v>
      </c>
      <c r="O856">
        <v>0</v>
      </c>
      <c r="P856" t="s">
        <v>100</v>
      </c>
      <c r="Q856">
        <v>0</v>
      </c>
      <c r="R856" t="s">
        <v>145</v>
      </c>
      <c r="S856">
        <v>0</v>
      </c>
    </row>
    <row r="857" spans="1:19">
      <c r="A857" t="s">
        <v>35</v>
      </c>
      <c r="B857" t="s">
        <v>7053</v>
      </c>
      <c r="C857">
        <f>"LS148C"</f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 s="2">
        <v>0</v>
      </c>
      <c r="M857">
        <v>0</v>
      </c>
      <c r="N857" s="2">
        <v>0</v>
      </c>
      <c r="O857">
        <v>0</v>
      </c>
      <c r="P857" t="s">
        <v>100</v>
      </c>
      <c r="Q857">
        <v>0</v>
      </c>
      <c r="R857" t="s">
        <v>145</v>
      </c>
      <c r="S857">
        <v>0</v>
      </c>
    </row>
    <row r="858" spans="1:19">
      <c r="A858" t="s">
        <v>35</v>
      </c>
      <c r="B858" t="s">
        <v>6632</v>
      </c>
      <c r="C858">
        <f>"JWZ1024S"</f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 s="2">
        <v>0</v>
      </c>
      <c r="M858">
        <v>0</v>
      </c>
      <c r="N858" s="2">
        <v>0</v>
      </c>
      <c r="O858">
        <v>0</v>
      </c>
      <c r="P858" t="s">
        <v>100</v>
      </c>
      <c r="Q858">
        <v>0</v>
      </c>
      <c r="R858" t="s">
        <v>145</v>
      </c>
      <c r="S858">
        <v>0</v>
      </c>
    </row>
    <row r="859" spans="1:19">
      <c r="A859" t="s">
        <v>35</v>
      </c>
      <c r="B859" t="s">
        <v>7051</v>
      </c>
      <c r="C859">
        <f>"LS148R"</f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 s="2">
        <v>0</v>
      </c>
      <c r="M859">
        <v>0</v>
      </c>
      <c r="N859" s="2">
        <v>0</v>
      </c>
      <c r="O859">
        <v>0</v>
      </c>
      <c r="P859" t="s">
        <v>100</v>
      </c>
      <c r="Q859">
        <v>0</v>
      </c>
      <c r="R859" t="s">
        <v>145</v>
      </c>
      <c r="S859">
        <v>0</v>
      </c>
    </row>
    <row r="860" spans="1:19">
      <c r="A860" t="s">
        <v>35</v>
      </c>
      <c r="B860" t="s">
        <v>7050</v>
      </c>
      <c r="C860">
        <f>"CN046"</f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 s="2">
        <v>0</v>
      </c>
      <c r="M860">
        <v>0</v>
      </c>
      <c r="N860" s="2">
        <v>0</v>
      </c>
      <c r="O860">
        <v>0</v>
      </c>
      <c r="P860" t="s">
        <v>100</v>
      </c>
      <c r="Q860">
        <v>0</v>
      </c>
      <c r="R860" t="s">
        <v>145</v>
      </c>
      <c r="S860">
        <v>0</v>
      </c>
    </row>
    <row r="861" spans="1:19">
      <c r="A861" t="s">
        <v>35</v>
      </c>
      <c r="B861" t="s">
        <v>9532</v>
      </c>
      <c r="C861">
        <f>"25702626"</f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 s="2">
        <v>0</v>
      </c>
      <c r="M861">
        <v>0</v>
      </c>
      <c r="N861" s="2">
        <v>0</v>
      </c>
      <c r="O861">
        <v>0</v>
      </c>
      <c r="P861" t="s">
        <v>100</v>
      </c>
      <c r="Q861">
        <v>0</v>
      </c>
      <c r="R861" t="s">
        <v>145</v>
      </c>
      <c r="S861">
        <v>0</v>
      </c>
    </row>
    <row r="862" spans="1:19">
      <c r="A862" t="s">
        <v>35</v>
      </c>
      <c r="B862" t="s">
        <v>9531</v>
      </c>
      <c r="C862">
        <f>"25702652"</f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 s="2">
        <v>0</v>
      </c>
      <c r="M862">
        <v>0</v>
      </c>
      <c r="N862" s="2">
        <v>0</v>
      </c>
      <c r="O862">
        <v>0</v>
      </c>
      <c r="P862" t="s">
        <v>100</v>
      </c>
      <c r="Q862">
        <v>0</v>
      </c>
      <c r="R862" t="s">
        <v>145</v>
      </c>
      <c r="S862">
        <v>0</v>
      </c>
    </row>
    <row r="863" spans="1:19">
      <c r="A863" t="s">
        <v>35</v>
      </c>
      <c r="B863" t="s">
        <v>9525</v>
      </c>
      <c r="C863">
        <f>"EP"</f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 s="2">
        <v>0</v>
      </c>
      <c r="M863">
        <v>0</v>
      </c>
      <c r="N863" s="2">
        <v>0</v>
      </c>
      <c r="O863">
        <v>0</v>
      </c>
      <c r="P863" t="s">
        <v>100</v>
      </c>
      <c r="Q863">
        <v>0</v>
      </c>
      <c r="R863" t="s">
        <v>145</v>
      </c>
      <c r="S863">
        <v>0</v>
      </c>
    </row>
    <row r="864" spans="1:19">
      <c r="A864" t="s">
        <v>35</v>
      </c>
      <c r="B864" t="s">
        <v>9685</v>
      </c>
      <c r="C864">
        <f>"S311"</f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 s="2">
        <v>0</v>
      </c>
      <c r="M864">
        <v>0</v>
      </c>
      <c r="N864" s="2">
        <v>0</v>
      </c>
      <c r="O864">
        <v>0</v>
      </c>
      <c r="P864" t="s">
        <v>100</v>
      </c>
      <c r="Q864">
        <v>0</v>
      </c>
      <c r="R864" t="s">
        <v>145</v>
      </c>
      <c r="S864">
        <v>0</v>
      </c>
    </row>
    <row r="865" spans="1:19">
      <c r="A865" t="s">
        <v>35</v>
      </c>
      <c r="B865" t="s">
        <v>9684</v>
      </c>
      <c r="C865">
        <f>"S311AZ"</f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 s="2">
        <v>0</v>
      </c>
      <c r="M865">
        <v>0</v>
      </c>
      <c r="N865" s="2">
        <v>0</v>
      </c>
      <c r="O865">
        <v>0</v>
      </c>
      <c r="P865" t="s">
        <v>100</v>
      </c>
      <c r="Q865">
        <v>0</v>
      </c>
      <c r="R865" t="s">
        <v>145</v>
      </c>
      <c r="S865">
        <v>0</v>
      </c>
    </row>
    <row r="866" spans="1:19">
      <c r="A866" t="s">
        <v>35</v>
      </c>
      <c r="B866" t="s">
        <v>1406</v>
      </c>
      <c r="C866">
        <f>"S311ROS"</f>
        <v>0</v>
      </c>
      <c r="D866">
        <v>1</v>
      </c>
      <c r="E866">
        <v>0</v>
      </c>
      <c r="F866">
        <v>0</v>
      </c>
      <c r="G866">
        <v>0</v>
      </c>
      <c r="H866">
        <v>1</v>
      </c>
      <c r="I866">
        <v>0</v>
      </c>
      <c r="J866">
        <v>0</v>
      </c>
      <c r="K866">
        <v>0</v>
      </c>
      <c r="L866" s="2">
        <v>0</v>
      </c>
      <c r="M866">
        <v>0</v>
      </c>
      <c r="N866" s="2">
        <v>0</v>
      </c>
      <c r="O866">
        <v>0</v>
      </c>
      <c r="P866" t="s">
        <v>100</v>
      </c>
      <c r="Q866">
        <v>0</v>
      </c>
      <c r="R866" t="s">
        <v>145</v>
      </c>
      <c r="S866">
        <v>0</v>
      </c>
    </row>
    <row r="867" spans="1:19">
      <c r="A867" t="s">
        <v>35</v>
      </c>
      <c r="B867" t="s">
        <v>9683</v>
      </c>
      <c r="C867">
        <f>"S311VE"</f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 s="2">
        <v>0</v>
      </c>
      <c r="M867">
        <v>0</v>
      </c>
      <c r="N867" s="2">
        <v>0</v>
      </c>
      <c r="O867">
        <v>0</v>
      </c>
      <c r="P867" t="s">
        <v>100</v>
      </c>
      <c r="Q867">
        <v>0</v>
      </c>
      <c r="R867" t="s">
        <v>145</v>
      </c>
      <c r="S867">
        <v>0</v>
      </c>
    </row>
    <row r="868" spans="1:19">
      <c r="A868" t="s">
        <v>35</v>
      </c>
      <c r="B868" t="s">
        <v>9679</v>
      </c>
      <c r="C868">
        <f>"NV0100"</f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 s="2">
        <v>0</v>
      </c>
      <c r="M868">
        <v>0</v>
      </c>
      <c r="N868" s="2">
        <v>0</v>
      </c>
      <c r="O868">
        <v>0</v>
      </c>
      <c r="P868" t="s">
        <v>100</v>
      </c>
      <c r="Q868">
        <v>0</v>
      </c>
      <c r="R868" t="s">
        <v>145</v>
      </c>
      <c r="S868">
        <v>0</v>
      </c>
    </row>
    <row r="869" spans="1:19">
      <c r="A869" t="s">
        <v>35</v>
      </c>
      <c r="B869" t="s">
        <v>7052</v>
      </c>
      <c r="C869">
        <f>"LS148G"</f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 s="2">
        <v>0</v>
      </c>
      <c r="M869">
        <v>0</v>
      </c>
      <c r="N869" s="2">
        <v>0</v>
      </c>
      <c r="O869">
        <v>0</v>
      </c>
      <c r="P869" t="s">
        <v>100</v>
      </c>
      <c r="Q869">
        <v>0</v>
      </c>
      <c r="R869" t="s">
        <v>145</v>
      </c>
      <c r="S869">
        <v>0</v>
      </c>
    </row>
    <row r="870" spans="1:19">
      <c r="A870" t="s">
        <v>35</v>
      </c>
      <c r="B870" t="s">
        <v>8305</v>
      </c>
      <c r="C870">
        <f>"DC3104C"</f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 s="2">
        <v>0</v>
      </c>
      <c r="M870">
        <v>0</v>
      </c>
      <c r="N870" s="2">
        <v>0</v>
      </c>
      <c r="O870">
        <v>0</v>
      </c>
      <c r="P870" t="s">
        <v>100</v>
      </c>
      <c r="Q870">
        <v>0</v>
      </c>
      <c r="R870" t="s">
        <v>145</v>
      </c>
      <c r="S870">
        <v>0</v>
      </c>
    </row>
    <row r="871" spans="1:19">
      <c r="A871" t="s">
        <v>35</v>
      </c>
      <c r="B871" t="s">
        <v>8330</v>
      </c>
      <c r="C871">
        <f>"DC3105B"</f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 s="2">
        <v>0</v>
      </c>
      <c r="M871">
        <v>0</v>
      </c>
      <c r="N871" s="2">
        <v>0</v>
      </c>
      <c r="O871">
        <v>0</v>
      </c>
      <c r="P871" t="s">
        <v>100</v>
      </c>
      <c r="Q871">
        <v>0</v>
      </c>
      <c r="R871" t="s">
        <v>145</v>
      </c>
      <c r="S871">
        <v>0</v>
      </c>
    </row>
    <row r="872" spans="1:19">
      <c r="A872" t="s">
        <v>35</v>
      </c>
      <c r="B872" t="s">
        <v>8328</v>
      </c>
      <c r="C872">
        <f>"DC3101A"</f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 s="2">
        <v>0</v>
      </c>
      <c r="M872">
        <v>0</v>
      </c>
      <c r="N872" s="2">
        <v>0</v>
      </c>
      <c r="O872">
        <v>0</v>
      </c>
      <c r="P872" t="s">
        <v>100</v>
      </c>
      <c r="Q872">
        <v>0</v>
      </c>
      <c r="R872" t="s">
        <v>145</v>
      </c>
      <c r="S872">
        <v>0</v>
      </c>
    </row>
    <row r="873" spans="1:19">
      <c r="A873" t="s">
        <v>35</v>
      </c>
      <c r="B873" t="s">
        <v>8326</v>
      </c>
      <c r="C873">
        <f>"DC3101C"</f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 s="2">
        <v>0</v>
      </c>
      <c r="M873">
        <v>0</v>
      </c>
      <c r="N873" s="2">
        <v>0</v>
      </c>
      <c r="O873">
        <v>0</v>
      </c>
      <c r="P873" t="s">
        <v>100</v>
      </c>
      <c r="Q873">
        <v>0</v>
      </c>
      <c r="R873" t="s">
        <v>145</v>
      </c>
      <c r="S873">
        <v>0</v>
      </c>
    </row>
    <row r="874" spans="1:19">
      <c r="A874" t="s">
        <v>35</v>
      </c>
      <c r="B874" t="s">
        <v>8296</v>
      </c>
      <c r="C874">
        <f>"DC3101B"</f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 s="2">
        <v>0</v>
      </c>
      <c r="M874">
        <v>0</v>
      </c>
      <c r="N874" s="2">
        <v>0</v>
      </c>
      <c r="O874">
        <v>0</v>
      </c>
      <c r="P874" t="s">
        <v>100</v>
      </c>
      <c r="Q874">
        <v>0</v>
      </c>
      <c r="R874" t="s">
        <v>145</v>
      </c>
      <c r="S874">
        <v>0</v>
      </c>
    </row>
    <row r="875" spans="1:19">
      <c r="A875" t="s">
        <v>35</v>
      </c>
      <c r="B875" t="s">
        <v>7048</v>
      </c>
      <c r="C875">
        <f>"MH076BL"</f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 s="2">
        <v>0</v>
      </c>
      <c r="M875">
        <v>0</v>
      </c>
      <c r="N875" s="2">
        <v>0</v>
      </c>
      <c r="O875">
        <v>0</v>
      </c>
      <c r="P875" t="s">
        <v>100</v>
      </c>
      <c r="Q875">
        <v>0</v>
      </c>
      <c r="R875" t="s">
        <v>145</v>
      </c>
      <c r="S875">
        <v>0</v>
      </c>
    </row>
    <row r="876" spans="1:19">
      <c r="A876" t="s">
        <v>35</v>
      </c>
      <c r="B876" t="s">
        <v>1369</v>
      </c>
      <c r="C876">
        <f>"MH076ROS"</f>
        <v>0</v>
      </c>
      <c r="D876">
        <v>0</v>
      </c>
      <c r="E876">
        <v>1</v>
      </c>
      <c r="F876">
        <v>0</v>
      </c>
      <c r="G876">
        <v>0</v>
      </c>
      <c r="H876">
        <v>1</v>
      </c>
      <c r="I876">
        <v>0</v>
      </c>
      <c r="J876">
        <v>0</v>
      </c>
      <c r="K876">
        <v>0</v>
      </c>
      <c r="L876" s="2">
        <v>0</v>
      </c>
      <c r="M876">
        <v>0</v>
      </c>
      <c r="N876" s="2">
        <v>0</v>
      </c>
      <c r="O876">
        <v>0</v>
      </c>
      <c r="P876" t="s">
        <v>100</v>
      </c>
      <c r="Q876">
        <v>0</v>
      </c>
      <c r="R876" t="s">
        <v>145</v>
      </c>
      <c r="S876">
        <v>0</v>
      </c>
    </row>
    <row r="877" spans="1:19">
      <c r="A877" t="s">
        <v>35</v>
      </c>
      <c r="B877" t="s">
        <v>1403</v>
      </c>
      <c r="C877">
        <f>"NO16"</f>
        <v>0</v>
      </c>
      <c r="D877">
        <v>1</v>
      </c>
      <c r="E877">
        <v>0</v>
      </c>
      <c r="F877">
        <v>0</v>
      </c>
      <c r="G877">
        <v>0</v>
      </c>
      <c r="H877">
        <v>1</v>
      </c>
      <c r="I877">
        <v>0</v>
      </c>
      <c r="J877">
        <v>0</v>
      </c>
      <c r="K877">
        <v>0</v>
      </c>
      <c r="L877" s="2">
        <v>0</v>
      </c>
      <c r="M877">
        <v>0</v>
      </c>
      <c r="N877" s="2">
        <v>0</v>
      </c>
      <c r="O877">
        <v>0</v>
      </c>
      <c r="P877" t="s">
        <v>100</v>
      </c>
      <c r="Q877">
        <v>0</v>
      </c>
      <c r="R877" t="s">
        <v>145</v>
      </c>
      <c r="S877">
        <v>0</v>
      </c>
    </row>
    <row r="878" spans="1:19">
      <c r="A878" t="s">
        <v>35</v>
      </c>
      <c r="B878" t="s">
        <v>7041</v>
      </c>
      <c r="C878">
        <f>"MH076V"</f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 s="2">
        <v>0</v>
      </c>
      <c r="M878">
        <v>0</v>
      </c>
      <c r="N878" s="2">
        <v>0</v>
      </c>
      <c r="O878">
        <v>0</v>
      </c>
      <c r="P878" t="s">
        <v>100</v>
      </c>
      <c r="Q878">
        <v>0</v>
      </c>
      <c r="R878" t="s">
        <v>145</v>
      </c>
      <c r="S878">
        <v>0</v>
      </c>
    </row>
    <row r="879" spans="1:19">
      <c r="A879" t="s">
        <v>35</v>
      </c>
      <c r="B879" t="s">
        <v>9539</v>
      </c>
      <c r="C879">
        <f>"CL02M"</f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 s="2">
        <v>0</v>
      </c>
      <c r="M879">
        <v>0</v>
      </c>
      <c r="N879" s="2">
        <v>0</v>
      </c>
      <c r="O879">
        <v>0</v>
      </c>
      <c r="P879" t="s">
        <v>100</v>
      </c>
      <c r="Q879">
        <v>0</v>
      </c>
      <c r="R879" t="s">
        <v>145</v>
      </c>
      <c r="S879">
        <v>0</v>
      </c>
    </row>
    <row r="880" spans="1:19">
      <c r="A880" t="s">
        <v>35</v>
      </c>
      <c r="B880" t="s">
        <v>7038</v>
      </c>
      <c r="C880">
        <f>"2972"</f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 s="2">
        <v>0</v>
      </c>
      <c r="M880">
        <v>0</v>
      </c>
      <c r="N880" s="2">
        <v>0</v>
      </c>
      <c r="O880">
        <v>0</v>
      </c>
      <c r="P880" t="s">
        <v>100</v>
      </c>
      <c r="Q880">
        <v>0</v>
      </c>
      <c r="R880" t="s">
        <v>145</v>
      </c>
      <c r="S880">
        <v>0</v>
      </c>
    </row>
    <row r="881" spans="1:19">
      <c r="A881" t="s">
        <v>35</v>
      </c>
      <c r="B881" t="s">
        <v>994</v>
      </c>
      <c r="C881">
        <f>"CL03L"</f>
        <v>0</v>
      </c>
      <c r="D881">
        <v>2</v>
      </c>
      <c r="E881">
        <v>0</v>
      </c>
      <c r="F881">
        <v>0</v>
      </c>
      <c r="G881">
        <v>0</v>
      </c>
      <c r="H881">
        <v>2</v>
      </c>
      <c r="I881">
        <v>0</v>
      </c>
      <c r="J881">
        <v>0</v>
      </c>
      <c r="K881">
        <v>0</v>
      </c>
      <c r="L881" s="2">
        <v>0</v>
      </c>
      <c r="M881">
        <v>0</v>
      </c>
      <c r="N881" s="2">
        <v>0</v>
      </c>
      <c r="O881">
        <v>0</v>
      </c>
      <c r="P881" t="s">
        <v>100</v>
      </c>
      <c r="Q881">
        <v>0</v>
      </c>
      <c r="R881" t="s">
        <v>145</v>
      </c>
      <c r="S881">
        <v>0</v>
      </c>
    </row>
    <row r="882" spans="1:19">
      <c r="A882" t="s">
        <v>35</v>
      </c>
      <c r="B882" t="s">
        <v>8284</v>
      </c>
      <c r="C882">
        <f>"HDD166ROS"</f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 s="2">
        <v>0</v>
      </c>
      <c r="M882">
        <v>0</v>
      </c>
      <c r="N882" s="2">
        <v>0</v>
      </c>
      <c r="O882">
        <v>0</v>
      </c>
      <c r="P882" t="s">
        <v>100</v>
      </c>
      <c r="Q882">
        <v>0</v>
      </c>
      <c r="R882" t="s">
        <v>145</v>
      </c>
      <c r="S882">
        <v>0</v>
      </c>
    </row>
    <row r="883" spans="1:19">
      <c r="A883" t="s">
        <v>35</v>
      </c>
      <c r="B883" t="s">
        <v>1449</v>
      </c>
      <c r="C883">
        <f>"RTW04"</f>
        <v>0</v>
      </c>
      <c r="D883">
        <v>1</v>
      </c>
      <c r="E883">
        <v>0</v>
      </c>
      <c r="F883">
        <v>0</v>
      </c>
      <c r="G883">
        <v>0</v>
      </c>
      <c r="H883">
        <v>1</v>
      </c>
      <c r="I883">
        <v>0</v>
      </c>
      <c r="J883">
        <v>0</v>
      </c>
      <c r="K883">
        <v>0</v>
      </c>
      <c r="L883" s="2">
        <v>0</v>
      </c>
      <c r="M883">
        <v>0</v>
      </c>
      <c r="N883" s="2">
        <v>0</v>
      </c>
      <c r="O883">
        <v>0</v>
      </c>
      <c r="P883" t="s">
        <v>100</v>
      </c>
      <c r="Q883">
        <v>0</v>
      </c>
      <c r="R883" t="s">
        <v>145</v>
      </c>
      <c r="S883">
        <v>0</v>
      </c>
    </row>
    <row r="884" spans="1:19">
      <c r="A884" t="s">
        <v>35</v>
      </c>
      <c r="B884" t="s">
        <v>8281</v>
      </c>
      <c r="C884">
        <f>"RT3422C"</f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 s="2">
        <v>0</v>
      </c>
      <c r="M884">
        <v>0</v>
      </c>
      <c r="N884" s="2">
        <v>0</v>
      </c>
      <c r="O884">
        <v>0</v>
      </c>
      <c r="P884" t="s">
        <v>100</v>
      </c>
      <c r="Q884">
        <v>0</v>
      </c>
      <c r="R884" t="s">
        <v>145</v>
      </c>
      <c r="S884">
        <v>0</v>
      </c>
    </row>
    <row r="885" spans="1:19">
      <c r="A885" t="s">
        <v>35</v>
      </c>
      <c r="B885" t="s">
        <v>1033</v>
      </c>
      <c r="C885">
        <f>"RT3423C"</f>
        <v>0</v>
      </c>
      <c r="D885">
        <v>2</v>
      </c>
      <c r="E885">
        <v>0</v>
      </c>
      <c r="F885">
        <v>0</v>
      </c>
      <c r="G885">
        <v>0</v>
      </c>
      <c r="H885">
        <v>2</v>
      </c>
      <c r="I885">
        <v>0</v>
      </c>
      <c r="J885">
        <v>0</v>
      </c>
      <c r="K885">
        <v>0</v>
      </c>
      <c r="L885" s="2">
        <v>0</v>
      </c>
      <c r="M885">
        <v>0</v>
      </c>
      <c r="N885" s="2">
        <v>0</v>
      </c>
      <c r="O885">
        <v>0</v>
      </c>
      <c r="P885" t="s">
        <v>100</v>
      </c>
      <c r="Q885">
        <v>0</v>
      </c>
      <c r="R885" t="s">
        <v>145</v>
      </c>
      <c r="S885">
        <v>0</v>
      </c>
    </row>
    <row r="886" spans="1:19">
      <c r="A886" t="s">
        <v>35</v>
      </c>
      <c r="B886" t="s">
        <v>8280</v>
      </c>
      <c r="C886">
        <f>"RT3421A"</f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 s="2">
        <v>0</v>
      </c>
      <c r="M886">
        <v>0</v>
      </c>
      <c r="N886" s="2">
        <v>0</v>
      </c>
      <c r="O886">
        <v>0</v>
      </c>
      <c r="P886" t="s">
        <v>100</v>
      </c>
      <c r="Q886">
        <v>0</v>
      </c>
      <c r="R886" t="s">
        <v>145</v>
      </c>
      <c r="S886">
        <v>0</v>
      </c>
    </row>
    <row r="887" spans="1:19">
      <c r="A887" t="s">
        <v>35</v>
      </c>
      <c r="B887" t="s">
        <v>8279</v>
      </c>
      <c r="C887">
        <f>"RT3422B"</f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 s="2">
        <v>0</v>
      </c>
      <c r="M887">
        <v>0</v>
      </c>
      <c r="N887" s="2">
        <v>0</v>
      </c>
      <c r="O887">
        <v>0</v>
      </c>
      <c r="P887" t="s">
        <v>100</v>
      </c>
      <c r="Q887">
        <v>0</v>
      </c>
      <c r="R887" t="s">
        <v>145</v>
      </c>
      <c r="S887">
        <v>0</v>
      </c>
    </row>
    <row r="888" spans="1:19">
      <c r="A888" t="s">
        <v>35</v>
      </c>
      <c r="B888" t="s">
        <v>8353</v>
      </c>
      <c r="C888">
        <f>"RT3423G"</f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 s="2">
        <v>0</v>
      </c>
      <c r="M888">
        <v>0</v>
      </c>
      <c r="N888" s="2">
        <v>0</v>
      </c>
      <c r="O888">
        <v>0</v>
      </c>
      <c r="P888" t="s">
        <v>100</v>
      </c>
      <c r="Q888">
        <v>0</v>
      </c>
      <c r="R888" t="s">
        <v>145</v>
      </c>
      <c r="S888">
        <v>0</v>
      </c>
    </row>
    <row r="889" spans="1:19">
      <c r="A889" t="s">
        <v>35</v>
      </c>
      <c r="B889" t="s">
        <v>1411</v>
      </c>
      <c r="C889">
        <f>"CL02L"</f>
        <v>0</v>
      </c>
      <c r="D889">
        <v>1</v>
      </c>
      <c r="E889">
        <v>0</v>
      </c>
      <c r="F889">
        <v>0</v>
      </c>
      <c r="G889">
        <v>0</v>
      </c>
      <c r="H889">
        <v>1</v>
      </c>
      <c r="I889">
        <v>0</v>
      </c>
      <c r="J889">
        <v>0</v>
      </c>
      <c r="K889">
        <v>0</v>
      </c>
      <c r="L889" s="2">
        <v>0</v>
      </c>
      <c r="M889">
        <v>0</v>
      </c>
      <c r="N889" s="2">
        <v>0</v>
      </c>
      <c r="O889">
        <v>0</v>
      </c>
      <c r="P889" t="s">
        <v>100</v>
      </c>
      <c r="Q889">
        <v>0</v>
      </c>
      <c r="R889" t="s">
        <v>145</v>
      </c>
      <c r="S889">
        <v>0</v>
      </c>
    </row>
    <row r="890" spans="1:19">
      <c r="A890" t="s">
        <v>35</v>
      </c>
      <c r="B890" t="s">
        <v>7039</v>
      </c>
      <c r="C890">
        <f>"2971"</f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 s="2">
        <v>0</v>
      </c>
      <c r="M890">
        <v>0</v>
      </c>
      <c r="N890" s="2">
        <v>0</v>
      </c>
      <c r="O890">
        <v>0</v>
      </c>
      <c r="P890" t="s">
        <v>100</v>
      </c>
      <c r="Q890">
        <v>0</v>
      </c>
      <c r="R890" t="s">
        <v>145</v>
      </c>
      <c r="S890">
        <v>0</v>
      </c>
    </row>
    <row r="891" spans="1:19">
      <c r="A891" t="s">
        <v>35</v>
      </c>
      <c r="B891" t="s">
        <v>9465</v>
      </c>
      <c r="C891">
        <f>"W008MA"</f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 s="2">
        <v>0</v>
      </c>
      <c r="M891">
        <v>0</v>
      </c>
      <c r="N891" s="2">
        <v>0</v>
      </c>
      <c r="O891">
        <v>0</v>
      </c>
      <c r="P891" t="s">
        <v>100</v>
      </c>
      <c r="Q891">
        <v>0</v>
      </c>
      <c r="R891" t="s">
        <v>145</v>
      </c>
      <c r="S891">
        <v>0</v>
      </c>
    </row>
    <row r="892" spans="1:19">
      <c r="A892" t="s">
        <v>35</v>
      </c>
      <c r="B892" t="s">
        <v>9464</v>
      </c>
      <c r="C892">
        <f>"W008XXSG"</f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 s="2">
        <v>0</v>
      </c>
      <c r="M892">
        <v>0</v>
      </c>
      <c r="N892" s="2">
        <v>0</v>
      </c>
      <c r="O892">
        <v>0</v>
      </c>
      <c r="P892" t="s">
        <v>100</v>
      </c>
      <c r="Q892">
        <v>0</v>
      </c>
      <c r="R892" t="s">
        <v>145</v>
      </c>
      <c r="S892">
        <v>0</v>
      </c>
    </row>
    <row r="893" spans="1:19">
      <c r="A893" t="s">
        <v>35</v>
      </c>
      <c r="B893" t="s">
        <v>9464</v>
      </c>
      <c r="C893">
        <f>"W008XSG"</f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 s="2">
        <v>0</v>
      </c>
      <c r="M893">
        <v>0</v>
      </c>
      <c r="N893" s="2">
        <v>0</v>
      </c>
      <c r="O893">
        <v>0</v>
      </c>
      <c r="P893" t="s">
        <v>100</v>
      </c>
      <c r="Q893">
        <v>0</v>
      </c>
      <c r="R893" t="s">
        <v>145</v>
      </c>
      <c r="S893">
        <v>0</v>
      </c>
    </row>
    <row r="894" spans="1:19">
      <c r="A894" t="s">
        <v>35</v>
      </c>
      <c r="B894" t="s">
        <v>9464</v>
      </c>
      <c r="C894">
        <f>"W008SG"</f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 s="2">
        <v>0</v>
      </c>
      <c r="M894">
        <v>0</v>
      </c>
      <c r="N894" s="2">
        <v>0</v>
      </c>
      <c r="O894">
        <v>0</v>
      </c>
      <c r="P894" t="s">
        <v>100</v>
      </c>
      <c r="Q894">
        <v>0</v>
      </c>
      <c r="R894" t="s">
        <v>145</v>
      </c>
      <c r="S894">
        <v>0</v>
      </c>
    </row>
    <row r="895" spans="1:19">
      <c r="A895" t="s">
        <v>35</v>
      </c>
      <c r="B895" t="s">
        <v>9464</v>
      </c>
      <c r="C895">
        <f>"W008MG"</f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 s="2">
        <v>0</v>
      </c>
      <c r="M895">
        <v>0</v>
      </c>
      <c r="N895" s="2">
        <v>0</v>
      </c>
      <c r="O895">
        <v>0</v>
      </c>
      <c r="P895" t="s">
        <v>100</v>
      </c>
      <c r="Q895">
        <v>0</v>
      </c>
      <c r="R895" t="s">
        <v>145</v>
      </c>
      <c r="S895">
        <v>0</v>
      </c>
    </row>
    <row r="896" spans="1:19">
      <c r="A896" t="s">
        <v>35</v>
      </c>
      <c r="B896" t="s">
        <v>1360</v>
      </c>
      <c r="C896">
        <f>"W008XXSN"</f>
        <v>0</v>
      </c>
      <c r="D896">
        <v>1</v>
      </c>
      <c r="E896">
        <v>0</v>
      </c>
      <c r="F896">
        <v>0</v>
      </c>
      <c r="G896">
        <v>0</v>
      </c>
      <c r="H896">
        <v>1</v>
      </c>
      <c r="I896">
        <v>0</v>
      </c>
      <c r="J896">
        <v>0</v>
      </c>
      <c r="K896">
        <v>0</v>
      </c>
      <c r="L896" s="2">
        <v>0</v>
      </c>
      <c r="M896">
        <v>0</v>
      </c>
      <c r="N896" s="2">
        <v>0</v>
      </c>
      <c r="O896">
        <v>0</v>
      </c>
      <c r="P896" t="s">
        <v>100</v>
      </c>
      <c r="Q896">
        <v>0</v>
      </c>
      <c r="R896" t="s">
        <v>145</v>
      </c>
      <c r="S896">
        <v>0</v>
      </c>
    </row>
    <row r="897" spans="1:19">
      <c r="A897" t="s">
        <v>35</v>
      </c>
      <c r="B897" t="s">
        <v>1360</v>
      </c>
      <c r="C897">
        <f>"W008XSN"</f>
        <v>0</v>
      </c>
      <c r="D897">
        <v>1</v>
      </c>
      <c r="E897">
        <v>0</v>
      </c>
      <c r="F897">
        <v>0</v>
      </c>
      <c r="G897">
        <v>0</v>
      </c>
      <c r="H897">
        <v>1</v>
      </c>
      <c r="I897">
        <v>0</v>
      </c>
      <c r="J897">
        <v>0</v>
      </c>
      <c r="K897">
        <v>0</v>
      </c>
      <c r="L897" s="2">
        <v>0</v>
      </c>
      <c r="M897">
        <v>0</v>
      </c>
      <c r="N897" s="2">
        <v>0</v>
      </c>
      <c r="O897">
        <v>0</v>
      </c>
      <c r="P897" t="s">
        <v>100</v>
      </c>
      <c r="Q897">
        <v>0</v>
      </c>
      <c r="R897" t="s">
        <v>145</v>
      </c>
      <c r="S897">
        <v>0</v>
      </c>
    </row>
    <row r="898" spans="1:19">
      <c r="A898" t="s">
        <v>35</v>
      </c>
      <c r="B898" t="s">
        <v>1360</v>
      </c>
      <c r="C898">
        <f>"W008SN"</f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 s="2">
        <v>0</v>
      </c>
      <c r="M898">
        <v>0</v>
      </c>
      <c r="N898" s="2">
        <v>0</v>
      </c>
      <c r="O898">
        <v>0</v>
      </c>
      <c r="P898" t="s">
        <v>100</v>
      </c>
      <c r="Q898">
        <v>0</v>
      </c>
      <c r="R898" t="s">
        <v>145</v>
      </c>
      <c r="S898">
        <v>0</v>
      </c>
    </row>
    <row r="899" spans="1:19">
      <c r="A899" t="s">
        <v>35</v>
      </c>
      <c r="B899" t="s">
        <v>9697</v>
      </c>
      <c r="C899">
        <f>"KE3273D"</f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 s="2">
        <v>0</v>
      </c>
      <c r="M899">
        <v>0</v>
      </c>
      <c r="N899" s="2">
        <v>0</v>
      </c>
      <c r="O899">
        <v>0</v>
      </c>
      <c r="P899" t="s">
        <v>100</v>
      </c>
      <c r="Q899">
        <v>0</v>
      </c>
      <c r="R899" t="s">
        <v>145</v>
      </c>
      <c r="S899">
        <v>0</v>
      </c>
    </row>
    <row r="900" spans="1:19">
      <c r="A900" t="s">
        <v>35</v>
      </c>
      <c r="B900" t="s">
        <v>9703</v>
      </c>
      <c r="C900">
        <f>"D201"</f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 s="2">
        <v>0</v>
      </c>
      <c r="M900">
        <v>0</v>
      </c>
      <c r="N900" s="2">
        <v>0</v>
      </c>
      <c r="O900">
        <v>0</v>
      </c>
      <c r="P900" t="s">
        <v>100</v>
      </c>
      <c r="Q900">
        <v>0</v>
      </c>
      <c r="R900" t="s">
        <v>145</v>
      </c>
      <c r="S900">
        <v>0</v>
      </c>
    </row>
    <row r="901" spans="1:19">
      <c r="A901" t="s">
        <v>35</v>
      </c>
      <c r="B901" t="s">
        <v>9618</v>
      </c>
      <c r="C901">
        <f>"PCE86"</f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 s="2">
        <v>0</v>
      </c>
      <c r="M901">
        <v>0</v>
      </c>
      <c r="N901" s="2">
        <v>0</v>
      </c>
      <c r="O901">
        <v>0</v>
      </c>
      <c r="P901" t="s">
        <v>100</v>
      </c>
      <c r="Q901">
        <v>0</v>
      </c>
      <c r="R901" t="s">
        <v>145</v>
      </c>
      <c r="S901">
        <v>0</v>
      </c>
    </row>
    <row r="902" spans="1:19">
      <c r="A902" t="s">
        <v>35</v>
      </c>
      <c r="B902" t="s">
        <v>9617</v>
      </c>
      <c r="C902">
        <f>"PCE084"</f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 s="2">
        <v>0</v>
      </c>
      <c r="M902">
        <v>0</v>
      </c>
      <c r="N902" s="2">
        <v>0</v>
      </c>
      <c r="O902">
        <v>0</v>
      </c>
      <c r="P902" t="s">
        <v>100</v>
      </c>
      <c r="Q902">
        <v>0</v>
      </c>
      <c r="R902" t="s">
        <v>145</v>
      </c>
      <c r="S902">
        <v>0</v>
      </c>
    </row>
    <row r="903" spans="1:19">
      <c r="A903" t="s">
        <v>35</v>
      </c>
      <c r="B903" t="s">
        <v>9616</v>
      </c>
      <c r="C903">
        <f>"PCE083"</f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 s="2">
        <v>0</v>
      </c>
      <c r="M903">
        <v>0</v>
      </c>
      <c r="N903" s="2">
        <v>0</v>
      </c>
      <c r="O903">
        <v>0</v>
      </c>
      <c r="P903" t="s">
        <v>100</v>
      </c>
      <c r="Q903">
        <v>0</v>
      </c>
      <c r="R903" t="s">
        <v>145</v>
      </c>
      <c r="S903">
        <v>0</v>
      </c>
    </row>
    <row r="904" spans="1:19">
      <c r="A904" t="s">
        <v>35</v>
      </c>
      <c r="B904" t="s">
        <v>9614</v>
      </c>
      <c r="C904">
        <f>"PCE087"</f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 s="2">
        <v>0</v>
      </c>
      <c r="M904">
        <v>0</v>
      </c>
      <c r="N904" s="2">
        <v>0</v>
      </c>
      <c r="O904">
        <v>0</v>
      </c>
      <c r="P904" t="s">
        <v>100</v>
      </c>
      <c r="Q904">
        <v>0</v>
      </c>
      <c r="R904" t="s">
        <v>145</v>
      </c>
      <c r="S904">
        <v>0</v>
      </c>
    </row>
    <row r="905" spans="1:19">
      <c r="A905" t="s">
        <v>35</v>
      </c>
      <c r="B905" t="s">
        <v>9613</v>
      </c>
      <c r="C905">
        <f>"PCE088"</f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 s="2">
        <v>0</v>
      </c>
      <c r="M905">
        <v>0</v>
      </c>
      <c r="N905" s="2">
        <v>0</v>
      </c>
      <c r="O905">
        <v>0</v>
      </c>
      <c r="P905" t="s">
        <v>100</v>
      </c>
      <c r="Q905">
        <v>0</v>
      </c>
      <c r="R905" t="s">
        <v>145</v>
      </c>
      <c r="S905">
        <v>0</v>
      </c>
    </row>
    <row r="906" spans="1:19">
      <c r="A906" t="s">
        <v>35</v>
      </c>
      <c r="B906" t="s">
        <v>9376</v>
      </c>
      <c r="C906">
        <f>"TC777Ss"</f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 s="2">
        <v>0</v>
      </c>
      <c r="M906">
        <v>0</v>
      </c>
      <c r="N906" s="2">
        <v>0</v>
      </c>
      <c r="O906">
        <v>0</v>
      </c>
      <c r="P906" t="s">
        <v>100</v>
      </c>
      <c r="Q906">
        <v>0</v>
      </c>
      <c r="R906" t="s">
        <v>145</v>
      </c>
      <c r="S906">
        <v>0</v>
      </c>
    </row>
    <row r="907" spans="1:19">
      <c r="A907" t="s">
        <v>35</v>
      </c>
      <c r="B907" t="s">
        <v>1485</v>
      </c>
      <c r="C907">
        <f>"TC777XLS"</f>
        <v>0</v>
      </c>
      <c r="D907">
        <v>0</v>
      </c>
      <c r="E907">
        <v>1</v>
      </c>
      <c r="F907">
        <v>0</v>
      </c>
      <c r="G907">
        <v>0</v>
      </c>
      <c r="H907">
        <v>1</v>
      </c>
      <c r="I907">
        <v>0</v>
      </c>
      <c r="J907">
        <v>0</v>
      </c>
      <c r="K907">
        <v>0</v>
      </c>
      <c r="L907" s="2">
        <v>0</v>
      </c>
      <c r="M907">
        <v>0</v>
      </c>
      <c r="N907" s="2">
        <v>0</v>
      </c>
      <c r="O907">
        <v>0</v>
      </c>
      <c r="P907" t="s">
        <v>100</v>
      </c>
      <c r="Q907">
        <v>0</v>
      </c>
      <c r="R907" t="s">
        <v>145</v>
      </c>
      <c r="S907">
        <v>0</v>
      </c>
    </row>
    <row r="908" spans="1:19">
      <c r="A908" t="s">
        <v>35</v>
      </c>
      <c r="B908" t="s">
        <v>9375</v>
      </c>
      <c r="C908">
        <f>"W008M"</f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 s="2">
        <v>0</v>
      </c>
      <c r="M908">
        <v>0</v>
      </c>
      <c r="N908" s="2">
        <v>0</v>
      </c>
      <c r="O908">
        <v>0</v>
      </c>
      <c r="P908" t="s">
        <v>100</v>
      </c>
      <c r="Q908">
        <v>0</v>
      </c>
      <c r="R908" t="s">
        <v>145</v>
      </c>
      <c r="S908">
        <v>0</v>
      </c>
    </row>
    <row r="909" spans="1:19">
      <c r="A909" t="s">
        <v>35</v>
      </c>
      <c r="B909" t="s">
        <v>9374</v>
      </c>
      <c r="C909">
        <f>"W008S"</f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 s="2">
        <v>0</v>
      </c>
      <c r="M909">
        <v>0</v>
      </c>
      <c r="N909" s="2">
        <v>0</v>
      </c>
      <c r="O909">
        <v>0</v>
      </c>
      <c r="P909" t="s">
        <v>100</v>
      </c>
      <c r="Q909">
        <v>0</v>
      </c>
      <c r="R909" t="s">
        <v>145</v>
      </c>
      <c r="S909">
        <v>0</v>
      </c>
    </row>
    <row r="910" spans="1:19">
      <c r="A910" t="s">
        <v>35</v>
      </c>
      <c r="B910" t="s">
        <v>9415</v>
      </c>
      <c r="C910">
        <f>"TC777L"</f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 s="2">
        <v>0</v>
      </c>
      <c r="M910">
        <v>0</v>
      </c>
      <c r="N910" s="2">
        <v>0</v>
      </c>
      <c r="O910">
        <v>0</v>
      </c>
      <c r="P910" t="s">
        <v>100</v>
      </c>
      <c r="Q910">
        <v>0</v>
      </c>
      <c r="R910" t="s">
        <v>145</v>
      </c>
      <c r="S910">
        <v>0</v>
      </c>
    </row>
    <row r="911" spans="1:19">
      <c r="A911" t="s">
        <v>35</v>
      </c>
      <c r="B911" t="s">
        <v>9620</v>
      </c>
      <c r="C911">
        <f>"KE3500"</f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 s="2">
        <v>0</v>
      </c>
      <c r="M911">
        <v>0</v>
      </c>
      <c r="N911" s="2">
        <v>0</v>
      </c>
      <c r="O911">
        <v>0</v>
      </c>
      <c r="P911" t="s">
        <v>100</v>
      </c>
      <c r="Q911">
        <v>0</v>
      </c>
      <c r="R911" t="s">
        <v>145</v>
      </c>
      <c r="S911">
        <v>0</v>
      </c>
    </row>
    <row r="912" spans="1:19">
      <c r="A912" t="s">
        <v>35</v>
      </c>
      <c r="B912" t="s">
        <v>9718</v>
      </c>
      <c r="C912">
        <f>"KE3274D"</f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 s="2">
        <v>0</v>
      </c>
      <c r="M912">
        <v>0</v>
      </c>
      <c r="N912" s="2">
        <v>0</v>
      </c>
      <c r="O912">
        <v>0</v>
      </c>
      <c r="P912" t="s">
        <v>100</v>
      </c>
      <c r="Q912">
        <v>0</v>
      </c>
      <c r="R912" t="s">
        <v>145</v>
      </c>
      <c r="S912">
        <v>0</v>
      </c>
    </row>
    <row r="913" spans="1:19">
      <c r="A913" t="s">
        <v>35</v>
      </c>
      <c r="B913" t="s">
        <v>9701</v>
      </c>
      <c r="C913">
        <f>"KE3271D"</f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 s="2">
        <v>0</v>
      </c>
      <c r="M913">
        <v>0</v>
      </c>
      <c r="N913" s="2">
        <v>0</v>
      </c>
      <c r="O913">
        <v>0</v>
      </c>
      <c r="P913" t="s">
        <v>100</v>
      </c>
      <c r="Q913">
        <v>0</v>
      </c>
      <c r="R913" t="s">
        <v>145</v>
      </c>
      <c r="S913">
        <v>0</v>
      </c>
    </row>
    <row r="914" spans="1:19">
      <c r="A914" t="s">
        <v>35</v>
      </c>
      <c r="B914" t="s">
        <v>9700</v>
      </c>
      <c r="C914">
        <f>"KE3275D"</f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 s="2">
        <v>0</v>
      </c>
      <c r="M914">
        <v>0</v>
      </c>
      <c r="N914" s="2">
        <v>0</v>
      </c>
      <c r="O914">
        <v>0</v>
      </c>
      <c r="P914" t="s">
        <v>100</v>
      </c>
      <c r="Q914">
        <v>0</v>
      </c>
      <c r="R914" t="s">
        <v>145</v>
      </c>
      <c r="S914">
        <v>0</v>
      </c>
    </row>
    <row r="915" spans="1:19">
      <c r="A915" t="s">
        <v>35</v>
      </c>
      <c r="B915" t="s">
        <v>9699</v>
      </c>
      <c r="C915">
        <f>"KE3272D"</f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 s="2">
        <v>0</v>
      </c>
      <c r="M915">
        <v>0</v>
      </c>
      <c r="N915" s="2">
        <v>0</v>
      </c>
      <c r="O915">
        <v>0</v>
      </c>
      <c r="P915" t="s">
        <v>100</v>
      </c>
      <c r="Q915">
        <v>0</v>
      </c>
      <c r="R915" t="s">
        <v>145</v>
      </c>
      <c r="S915">
        <v>0</v>
      </c>
    </row>
    <row r="916" spans="1:19">
      <c r="A916" t="s">
        <v>35</v>
      </c>
      <c r="B916" t="s">
        <v>995</v>
      </c>
      <c r="C916">
        <f>"CL04L"</f>
        <v>0</v>
      </c>
      <c r="D916">
        <v>2</v>
      </c>
      <c r="E916">
        <v>0</v>
      </c>
      <c r="F916">
        <v>0</v>
      </c>
      <c r="G916">
        <v>0</v>
      </c>
      <c r="H916">
        <v>2</v>
      </c>
      <c r="I916">
        <v>0</v>
      </c>
      <c r="J916">
        <v>0</v>
      </c>
      <c r="K916">
        <v>0</v>
      </c>
      <c r="L916" s="2">
        <v>0</v>
      </c>
      <c r="M916">
        <v>0</v>
      </c>
      <c r="N916" s="2">
        <v>0</v>
      </c>
      <c r="O916">
        <v>0</v>
      </c>
      <c r="P916" t="s">
        <v>100</v>
      </c>
      <c r="Q916">
        <v>0</v>
      </c>
      <c r="R916" t="s">
        <v>145</v>
      </c>
      <c r="S916">
        <v>0</v>
      </c>
    </row>
    <row r="917" spans="1:19">
      <c r="A917" t="s">
        <v>35</v>
      </c>
      <c r="B917" t="s">
        <v>1413</v>
      </c>
      <c r="C917">
        <f>"CL04M"</f>
        <v>0</v>
      </c>
      <c r="D917">
        <v>1</v>
      </c>
      <c r="E917">
        <v>0</v>
      </c>
      <c r="F917">
        <v>0</v>
      </c>
      <c r="G917">
        <v>0</v>
      </c>
      <c r="H917">
        <v>1</v>
      </c>
      <c r="I917">
        <v>0</v>
      </c>
      <c r="J917">
        <v>0</v>
      </c>
      <c r="K917">
        <v>0</v>
      </c>
      <c r="L917" s="2">
        <v>0</v>
      </c>
      <c r="M917">
        <v>0</v>
      </c>
      <c r="N917" s="2">
        <v>0</v>
      </c>
      <c r="O917">
        <v>0</v>
      </c>
      <c r="P917" t="s">
        <v>100</v>
      </c>
      <c r="Q917">
        <v>0</v>
      </c>
      <c r="R917" t="s">
        <v>145</v>
      </c>
      <c r="S917">
        <v>0</v>
      </c>
    </row>
    <row r="918" spans="1:19">
      <c r="A918" t="s">
        <v>35</v>
      </c>
      <c r="B918" t="s">
        <v>1412</v>
      </c>
      <c r="C918">
        <f>"CL04S"</f>
        <v>0</v>
      </c>
      <c r="D918">
        <v>1</v>
      </c>
      <c r="E918">
        <v>0</v>
      </c>
      <c r="F918">
        <v>0</v>
      </c>
      <c r="G918">
        <v>0</v>
      </c>
      <c r="H918">
        <v>1</v>
      </c>
      <c r="I918">
        <v>0</v>
      </c>
      <c r="J918">
        <v>0</v>
      </c>
      <c r="K918">
        <v>0</v>
      </c>
      <c r="L918" s="2">
        <v>0</v>
      </c>
      <c r="M918">
        <v>0</v>
      </c>
      <c r="N918" s="2">
        <v>0</v>
      </c>
      <c r="O918">
        <v>0</v>
      </c>
      <c r="P918" t="s">
        <v>100</v>
      </c>
      <c r="Q918">
        <v>0</v>
      </c>
      <c r="R918" t="s">
        <v>145</v>
      </c>
      <c r="S918">
        <v>0</v>
      </c>
    </row>
    <row r="919" spans="1:19">
      <c r="A919" t="s">
        <v>35</v>
      </c>
      <c r="B919" t="s">
        <v>9336</v>
      </c>
      <c r="C919">
        <f>"FEMUR2"</f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 s="2">
        <v>0</v>
      </c>
      <c r="M919">
        <v>0</v>
      </c>
      <c r="N919" s="2">
        <v>0</v>
      </c>
      <c r="O919">
        <v>0</v>
      </c>
      <c r="P919" t="s">
        <v>100</v>
      </c>
      <c r="Q919">
        <v>0</v>
      </c>
      <c r="R919" t="s">
        <v>145</v>
      </c>
      <c r="S919">
        <v>0</v>
      </c>
    </row>
    <row r="920" spans="1:19">
      <c r="A920" t="s">
        <v>35</v>
      </c>
      <c r="B920" t="s">
        <v>9335</v>
      </c>
      <c r="C920">
        <f>"FEMUR1"</f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 s="2">
        <v>0</v>
      </c>
      <c r="M920">
        <v>0</v>
      </c>
      <c r="N920" s="2">
        <v>0</v>
      </c>
      <c r="O920">
        <v>0</v>
      </c>
      <c r="P920" t="s">
        <v>100</v>
      </c>
      <c r="Q920">
        <v>0</v>
      </c>
      <c r="R920" t="s">
        <v>145</v>
      </c>
      <c r="S920">
        <v>0</v>
      </c>
    </row>
    <row r="921" spans="1:19">
      <c r="A921" t="s">
        <v>35</v>
      </c>
      <c r="B921" t="s">
        <v>9472</v>
      </c>
      <c r="C921">
        <f>"CTB85"</f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 s="2">
        <v>0</v>
      </c>
      <c r="M921">
        <v>0</v>
      </c>
      <c r="N921" s="2">
        <v>0</v>
      </c>
      <c r="O921">
        <v>0</v>
      </c>
      <c r="P921" t="s">
        <v>100</v>
      </c>
      <c r="Q921">
        <v>0</v>
      </c>
      <c r="R921" t="s">
        <v>145</v>
      </c>
      <c r="S921">
        <v>0</v>
      </c>
    </row>
    <row r="922" spans="1:19">
      <c r="A922" t="s">
        <v>35</v>
      </c>
      <c r="B922" t="s">
        <v>9465</v>
      </c>
      <c r="C922">
        <f>"W008SA"</f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 s="2">
        <v>0</v>
      </c>
      <c r="M922">
        <v>0</v>
      </c>
      <c r="N922" s="2">
        <v>0</v>
      </c>
      <c r="O922">
        <v>0</v>
      </c>
      <c r="P922" t="s">
        <v>100</v>
      </c>
      <c r="Q922">
        <v>0</v>
      </c>
      <c r="R922" t="s">
        <v>145</v>
      </c>
      <c r="S922">
        <v>0</v>
      </c>
    </row>
    <row r="923" spans="1:19">
      <c r="A923" t="s">
        <v>35</v>
      </c>
      <c r="B923" t="s">
        <v>8351</v>
      </c>
      <c r="C923">
        <f>"608XXXL"</f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 s="2">
        <v>0</v>
      </c>
      <c r="M923">
        <v>0</v>
      </c>
      <c r="N923" s="2">
        <v>0</v>
      </c>
      <c r="O923">
        <v>0</v>
      </c>
      <c r="P923" t="s">
        <v>100</v>
      </c>
      <c r="Q923">
        <v>0</v>
      </c>
      <c r="R923" t="s">
        <v>145</v>
      </c>
      <c r="S923">
        <v>0</v>
      </c>
    </row>
    <row r="924" spans="1:19">
      <c r="A924" t="s">
        <v>35</v>
      </c>
      <c r="B924" t="s">
        <v>8349</v>
      </c>
      <c r="C924">
        <f>"1050AZ"</f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 s="2">
        <v>0</v>
      </c>
      <c r="M924">
        <v>0</v>
      </c>
      <c r="N924" s="2">
        <v>0</v>
      </c>
      <c r="O924">
        <v>0</v>
      </c>
      <c r="P924" t="s">
        <v>100</v>
      </c>
      <c r="Q924">
        <v>0</v>
      </c>
      <c r="R924" t="s">
        <v>145</v>
      </c>
      <c r="S924">
        <v>0</v>
      </c>
    </row>
    <row r="925" spans="1:19">
      <c r="A925" t="s">
        <v>35</v>
      </c>
      <c r="B925" t="s">
        <v>8683</v>
      </c>
      <c r="C925">
        <f>"1050SB"</f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 s="2">
        <v>0</v>
      </c>
      <c r="M925">
        <v>0</v>
      </c>
      <c r="N925" s="2">
        <v>0</v>
      </c>
      <c r="O925">
        <v>0</v>
      </c>
      <c r="P925" t="s">
        <v>100</v>
      </c>
      <c r="Q925">
        <v>0</v>
      </c>
      <c r="R925" t="s">
        <v>145</v>
      </c>
      <c r="S925">
        <v>0</v>
      </c>
    </row>
    <row r="926" spans="1:19">
      <c r="A926" t="s">
        <v>35</v>
      </c>
      <c r="B926" t="s">
        <v>1446</v>
      </c>
      <c r="C926">
        <f>"1055MROS"</f>
        <v>0</v>
      </c>
      <c r="D926">
        <v>0</v>
      </c>
      <c r="E926">
        <v>1</v>
      </c>
      <c r="F926">
        <v>0</v>
      </c>
      <c r="G926">
        <v>0</v>
      </c>
      <c r="H926">
        <v>1</v>
      </c>
      <c r="I926">
        <v>0</v>
      </c>
      <c r="J926">
        <v>0</v>
      </c>
      <c r="K926">
        <v>0</v>
      </c>
      <c r="L926" s="2">
        <v>0</v>
      </c>
      <c r="M926">
        <v>0</v>
      </c>
      <c r="N926" s="2">
        <v>0</v>
      </c>
      <c r="O926">
        <v>0</v>
      </c>
      <c r="P926" t="s">
        <v>100</v>
      </c>
      <c r="Q926">
        <v>0</v>
      </c>
      <c r="R926" t="s">
        <v>145</v>
      </c>
      <c r="S926">
        <v>0</v>
      </c>
    </row>
    <row r="927" spans="1:19">
      <c r="A927" t="s">
        <v>35</v>
      </c>
      <c r="B927" t="s">
        <v>8300</v>
      </c>
      <c r="C927">
        <f>"YSQ01VER"</f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 s="2">
        <v>0</v>
      </c>
      <c r="M927">
        <v>0</v>
      </c>
      <c r="N927" s="2">
        <v>0</v>
      </c>
      <c r="O927">
        <v>0</v>
      </c>
      <c r="P927" t="s">
        <v>100</v>
      </c>
      <c r="Q927">
        <v>0</v>
      </c>
      <c r="R927" t="s">
        <v>145</v>
      </c>
      <c r="S927">
        <v>0</v>
      </c>
    </row>
    <row r="928" spans="1:19">
      <c r="A928" t="s">
        <v>35</v>
      </c>
      <c r="B928" t="s">
        <v>1334</v>
      </c>
      <c r="C928">
        <f>"CN03"</f>
        <v>0</v>
      </c>
      <c r="D928">
        <v>1</v>
      </c>
      <c r="E928">
        <v>0</v>
      </c>
      <c r="F928">
        <v>0</v>
      </c>
      <c r="G928">
        <v>0</v>
      </c>
      <c r="H928">
        <v>1</v>
      </c>
      <c r="I928">
        <v>0</v>
      </c>
      <c r="J928">
        <v>0</v>
      </c>
      <c r="K928">
        <v>0</v>
      </c>
      <c r="L928" s="2">
        <v>0</v>
      </c>
      <c r="M928">
        <v>0</v>
      </c>
      <c r="N928" s="2">
        <v>0</v>
      </c>
      <c r="O928">
        <v>0</v>
      </c>
      <c r="P928" t="s">
        <v>100</v>
      </c>
      <c r="Q928">
        <v>0</v>
      </c>
      <c r="R928" t="s">
        <v>145</v>
      </c>
      <c r="S928">
        <v>0</v>
      </c>
    </row>
    <row r="929" spans="1:19">
      <c r="A929" t="s">
        <v>35</v>
      </c>
      <c r="B929" t="s">
        <v>8299</v>
      </c>
      <c r="C929">
        <f>"CN04"</f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 s="2">
        <v>0</v>
      </c>
      <c r="M929">
        <v>0</v>
      </c>
      <c r="N929" s="2">
        <v>0</v>
      </c>
      <c r="O929">
        <v>0</v>
      </c>
      <c r="P929" t="s">
        <v>100</v>
      </c>
      <c r="Q929">
        <v>0</v>
      </c>
      <c r="R929" t="s">
        <v>145</v>
      </c>
      <c r="S929">
        <v>0</v>
      </c>
    </row>
    <row r="930" spans="1:19">
      <c r="A930" t="s">
        <v>35</v>
      </c>
      <c r="B930" t="s">
        <v>8386</v>
      </c>
      <c r="C930">
        <f>"KHSG0013"</f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 s="2">
        <v>0</v>
      </c>
      <c r="M930">
        <v>0</v>
      </c>
      <c r="N930" s="2">
        <v>0</v>
      </c>
      <c r="O930">
        <v>0</v>
      </c>
      <c r="P930" t="s">
        <v>100</v>
      </c>
      <c r="Q930">
        <v>0</v>
      </c>
      <c r="R930" t="s">
        <v>145</v>
      </c>
      <c r="S930">
        <v>0</v>
      </c>
    </row>
    <row r="931" spans="1:19">
      <c r="A931" t="s">
        <v>35</v>
      </c>
      <c r="B931" t="s">
        <v>8385</v>
      </c>
      <c r="C931">
        <f>"KHSG0019"</f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 s="2">
        <v>0</v>
      </c>
      <c r="M931">
        <v>0</v>
      </c>
      <c r="N931" s="2">
        <v>0</v>
      </c>
      <c r="O931">
        <v>0</v>
      </c>
      <c r="P931" t="s">
        <v>100</v>
      </c>
      <c r="Q931">
        <v>0</v>
      </c>
      <c r="R931" t="s">
        <v>145</v>
      </c>
      <c r="S931">
        <v>0</v>
      </c>
    </row>
    <row r="932" spans="1:19">
      <c r="A932" t="s">
        <v>35</v>
      </c>
      <c r="B932" t="s">
        <v>8383</v>
      </c>
      <c r="C932">
        <f>"HDD166C"</f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 s="2">
        <v>0</v>
      </c>
      <c r="M932">
        <v>0</v>
      </c>
      <c r="N932" s="2">
        <v>0</v>
      </c>
      <c r="O932">
        <v>0</v>
      </c>
      <c r="P932" t="s">
        <v>100</v>
      </c>
      <c r="Q932">
        <v>0</v>
      </c>
      <c r="R932" t="s">
        <v>145</v>
      </c>
      <c r="S932">
        <v>0</v>
      </c>
    </row>
    <row r="933" spans="1:19">
      <c r="A933" t="s">
        <v>35</v>
      </c>
      <c r="B933" t="s">
        <v>9471</v>
      </c>
      <c r="C933">
        <f>"CTB85CE"</f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 s="2">
        <v>0</v>
      </c>
      <c r="M933">
        <v>0</v>
      </c>
      <c r="N933" s="2">
        <v>0</v>
      </c>
      <c r="O933">
        <v>0</v>
      </c>
      <c r="P933" t="s">
        <v>100</v>
      </c>
      <c r="Q933">
        <v>0</v>
      </c>
      <c r="R933" t="s">
        <v>145</v>
      </c>
      <c r="S933">
        <v>0</v>
      </c>
    </row>
    <row r="934" spans="1:19">
      <c r="A934" t="s">
        <v>35</v>
      </c>
      <c r="B934" t="s">
        <v>1050</v>
      </c>
      <c r="C934">
        <f>"HDD146V"</f>
        <v>0</v>
      </c>
      <c r="D934">
        <v>0</v>
      </c>
      <c r="E934">
        <v>0</v>
      </c>
      <c r="F934">
        <v>2</v>
      </c>
      <c r="G934">
        <v>0</v>
      </c>
      <c r="H934">
        <v>2</v>
      </c>
      <c r="I934">
        <v>0</v>
      </c>
      <c r="J934">
        <v>0</v>
      </c>
      <c r="K934">
        <v>0</v>
      </c>
      <c r="L934" s="2">
        <v>0</v>
      </c>
      <c r="M934">
        <v>0</v>
      </c>
      <c r="N934" s="2">
        <v>0</v>
      </c>
      <c r="O934">
        <v>0</v>
      </c>
      <c r="P934" t="s">
        <v>100</v>
      </c>
      <c r="Q934">
        <v>0</v>
      </c>
      <c r="R934" t="s">
        <v>145</v>
      </c>
      <c r="S934">
        <v>0</v>
      </c>
    </row>
    <row r="935" spans="1:19">
      <c r="A935" t="s">
        <v>35</v>
      </c>
      <c r="B935" t="s">
        <v>1458</v>
      </c>
      <c r="C935">
        <f>"CTB3"</f>
        <v>0</v>
      </c>
      <c r="D935">
        <v>0</v>
      </c>
      <c r="E935">
        <v>0</v>
      </c>
      <c r="F935">
        <v>1</v>
      </c>
      <c r="G935">
        <v>0</v>
      </c>
      <c r="H935">
        <v>1</v>
      </c>
      <c r="I935">
        <v>0</v>
      </c>
      <c r="J935">
        <v>0</v>
      </c>
      <c r="K935">
        <v>0</v>
      </c>
      <c r="L935" s="2">
        <v>0</v>
      </c>
      <c r="M935">
        <v>0</v>
      </c>
      <c r="N935" s="2">
        <v>0</v>
      </c>
      <c r="O935">
        <v>0</v>
      </c>
      <c r="P935" t="s">
        <v>100</v>
      </c>
      <c r="Q935">
        <v>0</v>
      </c>
      <c r="R935" t="s">
        <v>145</v>
      </c>
      <c r="S935">
        <v>0</v>
      </c>
    </row>
    <row r="936" spans="1:19">
      <c r="A936" t="s">
        <v>35</v>
      </c>
      <c r="B936" t="s">
        <v>8423</v>
      </c>
      <c r="C936">
        <f>"LY999"</f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 s="2">
        <v>0</v>
      </c>
      <c r="M936">
        <v>0</v>
      </c>
      <c r="N936" s="2">
        <v>0</v>
      </c>
      <c r="O936">
        <v>0</v>
      </c>
      <c r="P936" t="s">
        <v>100</v>
      </c>
      <c r="Q936">
        <v>0</v>
      </c>
      <c r="R936" t="s">
        <v>145</v>
      </c>
      <c r="S936">
        <v>0</v>
      </c>
    </row>
    <row r="937" spans="1:19">
      <c r="A937" t="s">
        <v>35</v>
      </c>
      <c r="B937" t="s">
        <v>8421</v>
      </c>
      <c r="C937">
        <f>"084500119783"</f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 s="2">
        <v>0</v>
      </c>
      <c r="M937">
        <v>0</v>
      </c>
      <c r="N937" s="2">
        <v>0</v>
      </c>
      <c r="O937">
        <v>0</v>
      </c>
      <c r="P937" t="s">
        <v>100</v>
      </c>
      <c r="Q937">
        <v>0</v>
      </c>
      <c r="R937" t="s">
        <v>145</v>
      </c>
      <c r="S937">
        <v>0</v>
      </c>
    </row>
    <row r="938" spans="1:19">
      <c r="A938" t="s">
        <v>35</v>
      </c>
      <c r="B938" t="s">
        <v>8514</v>
      </c>
      <c r="C938">
        <f>"YY201ABE"</f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 s="2">
        <v>0</v>
      </c>
      <c r="M938">
        <v>0</v>
      </c>
      <c r="N938" s="2">
        <v>0</v>
      </c>
      <c r="O938">
        <v>0</v>
      </c>
      <c r="P938" t="s">
        <v>100</v>
      </c>
      <c r="Q938">
        <v>0</v>
      </c>
      <c r="R938" t="s">
        <v>145</v>
      </c>
      <c r="S938">
        <v>0</v>
      </c>
    </row>
    <row r="939" spans="1:19">
      <c r="A939" t="s">
        <v>35</v>
      </c>
      <c r="B939" t="s">
        <v>8513</v>
      </c>
      <c r="C939">
        <f>"YY201ES"</f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 s="2">
        <v>0</v>
      </c>
      <c r="M939">
        <v>0</v>
      </c>
      <c r="N939" s="2">
        <v>0</v>
      </c>
      <c r="O939">
        <v>0</v>
      </c>
      <c r="P939" t="s">
        <v>100</v>
      </c>
      <c r="Q939">
        <v>0</v>
      </c>
      <c r="R939" t="s">
        <v>145</v>
      </c>
      <c r="S939">
        <v>0</v>
      </c>
    </row>
    <row r="940" spans="1:19">
      <c r="A940" t="s">
        <v>35</v>
      </c>
      <c r="B940" t="s">
        <v>8512</v>
      </c>
      <c r="C940">
        <f>"DS002"</f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 s="2">
        <v>0</v>
      </c>
      <c r="M940">
        <v>0</v>
      </c>
      <c r="N940" s="2">
        <v>0</v>
      </c>
      <c r="O940">
        <v>0</v>
      </c>
      <c r="P940" t="s">
        <v>100</v>
      </c>
      <c r="Q940">
        <v>0</v>
      </c>
      <c r="R940" t="s">
        <v>145</v>
      </c>
      <c r="S940">
        <v>0</v>
      </c>
    </row>
    <row r="941" spans="1:19">
      <c r="A941" t="s">
        <v>35</v>
      </c>
      <c r="B941" t="s">
        <v>7123</v>
      </c>
      <c r="C941">
        <f>"6005056"</f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 s="2">
        <v>0</v>
      </c>
      <c r="M941">
        <v>0</v>
      </c>
      <c r="N941" s="2">
        <v>0</v>
      </c>
      <c r="O941">
        <v>0</v>
      </c>
      <c r="P941" t="s">
        <v>100</v>
      </c>
      <c r="Q941">
        <v>0</v>
      </c>
      <c r="R941" t="s">
        <v>145</v>
      </c>
      <c r="S941">
        <v>0</v>
      </c>
    </row>
    <row r="942" spans="1:19">
      <c r="A942" t="s">
        <v>35</v>
      </c>
      <c r="B942" t="s">
        <v>1457</v>
      </c>
      <c r="C942">
        <f>"66032"</f>
        <v>0</v>
      </c>
      <c r="D942">
        <v>0</v>
      </c>
      <c r="E942">
        <v>1</v>
      </c>
      <c r="F942">
        <v>0</v>
      </c>
      <c r="G942">
        <v>0</v>
      </c>
      <c r="H942">
        <v>1</v>
      </c>
      <c r="I942">
        <v>0</v>
      </c>
      <c r="J942">
        <v>0</v>
      </c>
      <c r="K942">
        <v>0</v>
      </c>
      <c r="L942" s="2">
        <v>0</v>
      </c>
      <c r="M942">
        <v>0</v>
      </c>
      <c r="N942" s="2">
        <v>0</v>
      </c>
      <c r="O942">
        <v>0</v>
      </c>
      <c r="P942" t="s">
        <v>100</v>
      </c>
      <c r="Q942">
        <v>0</v>
      </c>
      <c r="R942" t="s">
        <v>145</v>
      </c>
      <c r="S942">
        <v>0</v>
      </c>
    </row>
    <row r="943" spans="1:19">
      <c r="A943" t="s">
        <v>35</v>
      </c>
      <c r="B943" t="s">
        <v>7054</v>
      </c>
      <c r="C943">
        <f>"LS148A"</f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 s="2">
        <v>0</v>
      </c>
      <c r="M943">
        <v>0</v>
      </c>
      <c r="N943" s="2">
        <v>0</v>
      </c>
      <c r="O943">
        <v>0</v>
      </c>
      <c r="P943" t="s">
        <v>100</v>
      </c>
      <c r="Q943">
        <v>0</v>
      </c>
      <c r="R943" t="s">
        <v>145</v>
      </c>
      <c r="S943">
        <v>0</v>
      </c>
    </row>
    <row r="944" spans="1:19">
      <c r="A944" t="s">
        <v>35</v>
      </c>
      <c r="B944" t="s">
        <v>8410</v>
      </c>
      <c r="C944">
        <f>"MCW144"</f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 s="2">
        <v>0</v>
      </c>
      <c r="M944">
        <v>0</v>
      </c>
      <c r="N944" s="2">
        <v>0</v>
      </c>
      <c r="O944">
        <v>0</v>
      </c>
      <c r="P944" t="s">
        <v>100</v>
      </c>
      <c r="Q944">
        <v>0</v>
      </c>
      <c r="R944" t="s">
        <v>145</v>
      </c>
      <c r="S944">
        <v>0</v>
      </c>
    </row>
    <row r="945" spans="1:19">
      <c r="A945" t="s">
        <v>35</v>
      </c>
      <c r="B945" t="s">
        <v>8515</v>
      </c>
      <c r="C945">
        <f>"PT312C"</f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 s="2">
        <v>0</v>
      </c>
      <c r="M945">
        <v>0</v>
      </c>
      <c r="N945" s="2">
        <v>0</v>
      </c>
      <c r="O945">
        <v>0</v>
      </c>
      <c r="P945" t="s">
        <v>100</v>
      </c>
      <c r="Q945">
        <v>0</v>
      </c>
      <c r="R945" t="s">
        <v>145</v>
      </c>
      <c r="S945">
        <v>0</v>
      </c>
    </row>
    <row r="946" spans="1:19">
      <c r="A946" t="s">
        <v>35</v>
      </c>
      <c r="B946" t="s">
        <v>1094</v>
      </c>
      <c r="C946">
        <f>"PT239C"</f>
        <v>0</v>
      </c>
      <c r="D946">
        <v>0</v>
      </c>
      <c r="E946">
        <v>2</v>
      </c>
      <c r="F946">
        <v>0</v>
      </c>
      <c r="G946">
        <v>0</v>
      </c>
      <c r="H946">
        <v>2</v>
      </c>
      <c r="I946">
        <v>0</v>
      </c>
      <c r="J946">
        <v>0</v>
      </c>
      <c r="K946">
        <v>0</v>
      </c>
      <c r="L946" s="2">
        <v>0</v>
      </c>
      <c r="M946">
        <v>0</v>
      </c>
      <c r="N946" s="2">
        <v>0</v>
      </c>
      <c r="O946">
        <v>0</v>
      </c>
      <c r="P946" t="s">
        <v>100</v>
      </c>
      <c r="Q946">
        <v>0</v>
      </c>
      <c r="R946" t="s">
        <v>145</v>
      </c>
      <c r="S946">
        <v>0</v>
      </c>
    </row>
    <row r="947" spans="1:19">
      <c r="A947" t="s">
        <v>35</v>
      </c>
      <c r="B947" t="s">
        <v>7110</v>
      </c>
      <c r="C947">
        <f>"6006071"</f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 s="2">
        <v>0</v>
      </c>
      <c r="M947">
        <v>0</v>
      </c>
      <c r="N947" s="2">
        <v>0</v>
      </c>
      <c r="O947">
        <v>0</v>
      </c>
      <c r="P947" t="s">
        <v>100</v>
      </c>
      <c r="Q947">
        <v>0</v>
      </c>
      <c r="R947" t="s">
        <v>145</v>
      </c>
      <c r="S947">
        <v>0</v>
      </c>
    </row>
    <row r="948" spans="1:19">
      <c r="A948" t="s">
        <v>35</v>
      </c>
      <c r="B948" t="s">
        <v>7108</v>
      </c>
      <c r="C948">
        <f>"6006073"</f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 s="2">
        <v>0</v>
      </c>
      <c r="M948">
        <v>0</v>
      </c>
      <c r="N948" s="2">
        <v>0</v>
      </c>
      <c r="O948">
        <v>0</v>
      </c>
      <c r="P948" t="s">
        <v>100</v>
      </c>
      <c r="Q948">
        <v>0</v>
      </c>
      <c r="R948" t="s">
        <v>145</v>
      </c>
      <c r="S948">
        <v>0</v>
      </c>
    </row>
    <row r="949" spans="1:19">
      <c r="A949" t="s">
        <v>35</v>
      </c>
      <c r="B949" t="s">
        <v>8471</v>
      </c>
      <c r="C949">
        <f>"KHSG0079AMAR"</f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 s="2">
        <v>0</v>
      </c>
      <c r="M949">
        <v>0</v>
      </c>
      <c r="N949" s="2">
        <v>0</v>
      </c>
      <c r="O949">
        <v>0</v>
      </c>
      <c r="P949" t="s">
        <v>100</v>
      </c>
      <c r="Q949">
        <v>0</v>
      </c>
      <c r="R949" t="s">
        <v>145</v>
      </c>
      <c r="S949">
        <v>0</v>
      </c>
    </row>
    <row r="950" spans="1:19">
      <c r="A950" t="s">
        <v>35</v>
      </c>
      <c r="B950" t="s">
        <v>8470</v>
      </c>
      <c r="C950">
        <f>"KHSG0079MOR"</f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 s="2">
        <v>0</v>
      </c>
      <c r="M950">
        <v>0</v>
      </c>
      <c r="N950" s="2">
        <v>0</v>
      </c>
      <c r="O950">
        <v>0</v>
      </c>
      <c r="P950" t="s">
        <v>100</v>
      </c>
      <c r="Q950">
        <v>0</v>
      </c>
      <c r="R950" t="s">
        <v>145</v>
      </c>
      <c r="S950">
        <v>0</v>
      </c>
    </row>
    <row r="951" spans="1:19">
      <c r="A951" t="s">
        <v>35</v>
      </c>
      <c r="B951" t="s">
        <v>8510</v>
      </c>
      <c r="C951">
        <f>"KHSG0079NAR"</f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 s="2">
        <v>0</v>
      </c>
      <c r="M951">
        <v>0</v>
      </c>
      <c r="N951" s="2">
        <v>0</v>
      </c>
      <c r="O951">
        <v>0</v>
      </c>
      <c r="P951" t="s">
        <v>100</v>
      </c>
      <c r="Q951">
        <v>0</v>
      </c>
      <c r="R951" t="s">
        <v>145</v>
      </c>
      <c r="S951">
        <v>0</v>
      </c>
    </row>
    <row r="952" spans="1:19">
      <c r="A952" t="s">
        <v>35</v>
      </c>
      <c r="B952" t="s">
        <v>8509</v>
      </c>
      <c r="C952">
        <f>"KHSG0079VER"</f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 s="2">
        <v>0</v>
      </c>
      <c r="M952">
        <v>0</v>
      </c>
      <c r="N952" s="2">
        <v>0</v>
      </c>
      <c r="O952">
        <v>0</v>
      </c>
      <c r="P952" t="s">
        <v>100</v>
      </c>
      <c r="Q952">
        <v>0</v>
      </c>
      <c r="R952" t="s">
        <v>145</v>
      </c>
      <c r="S952">
        <v>0</v>
      </c>
    </row>
    <row r="953" spans="1:19">
      <c r="A953" t="s">
        <v>35</v>
      </c>
      <c r="B953" t="s">
        <v>8508</v>
      </c>
      <c r="C953">
        <f>"KHSG0084MUL"</f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 s="2">
        <v>0</v>
      </c>
      <c r="M953">
        <v>0</v>
      </c>
      <c r="N953" s="2">
        <v>0</v>
      </c>
      <c r="O953">
        <v>0</v>
      </c>
      <c r="P953" t="s">
        <v>100</v>
      </c>
      <c r="Q953">
        <v>0</v>
      </c>
      <c r="R953" t="s">
        <v>145</v>
      </c>
      <c r="S953">
        <v>0</v>
      </c>
    </row>
    <row r="954" spans="1:19">
      <c r="A954" t="s">
        <v>35</v>
      </c>
      <c r="B954" t="s">
        <v>8412</v>
      </c>
      <c r="C954">
        <f>"145084"</f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 s="2">
        <v>0</v>
      </c>
      <c r="M954">
        <v>0</v>
      </c>
      <c r="N954" s="2">
        <v>0</v>
      </c>
      <c r="O954">
        <v>0</v>
      </c>
      <c r="P954" t="s">
        <v>100</v>
      </c>
      <c r="Q954">
        <v>0</v>
      </c>
      <c r="R954" t="s">
        <v>145</v>
      </c>
      <c r="S954">
        <v>0</v>
      </c>
    </row>
    <row r="955" spans="1:19">
      <c r="A955" t="s">
        <v>35</v>
      </c>
      <c r="B955" t="s">
        <v>8415</v>
      </c>
      <c r="C955">
        <f>"807704"</f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 s="2">
        <v>0</v>
      </c>
      <c r="M955">
        <v>0</v>
      </c>
      <c r="N955" s="2">
        <v>0</v>
      </c>
      <c r="O955">
        <v>0</v>
      </c>
      <c r="P955" t="s">
        <v>100</v>
      </c>
      <c r="Q955">
        <v>0</v>
      </c>
      <c r="R955" t="s">
        <v>145</v>
      </c>
      <c r="S955">
        <v>0</v>
      </c>
    </row>
    <row r="956" spans="1:19">
      <c r="A956" t="s">
        <v>35</v>
      </c>
      <c r="B956" t="s">
        <v>8414</v>
      </c>
      <c r="C956">
        <f>"JY01"</f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 s="2">
        <v>0</v>
      </c>
      <c r="M956">
        <v>0</v>
      </c>
      <c r="N956" s="2">
        <v>0</v>
      </c>
      <c r="O956">
        <v>0</v>
      </c>
      <c r="P956" t="s">
        <v>100</v>
      </c>
      <c r="Q956">
        <v>0</v>
      </c>
      <c r="R956" t="s">
        <v>145</v>
      </c>
      <c r="S956">
        <v>0</v>
      </c>
    </row>
    <row r="957" spans="1:19">
      <c r="A957" t="s">
        <v>35</v>
      </c>
      <c r="B957" t="s">
        <v>6952</v>
      </c>
      <c r="C957">
        <f>"QSMW2360B"</f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 s="2">
        <v>0</v>
      </c>
      <c r="M957">
        <v>0</v>
      </c>
      <c r="N957" s="2">
        <v>0</v>
      </c>
      <c r="O957">
        <v>0</v>
      </c>
      <c r="P957" t="s">
        <v>100</v>
      </c>
      <c r="Q957">
        <v>0</v>
      </c>
      <c r="R957" t="s">
        <v>145</v>
      </c>
      <c r="S957">
        <v>0</v>
      </c>
    </row>
    <row r="958" spans="1:19">
      <c r="A958" t="s">
        <v>35</v>
      </c>
      <c r="B958" t="s">
        <v>8409</v>
      </c>
      <c r="C958">
        <f>"LWT0106"</f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 s="2">
        <v>0</v>
      </c>
      <c r="M958">
        <v>0</v>
      </c>
      <c r="N958" s="2">
        <v>0</v>
      </c>
      <c r="O958">
        <v>0</v>
      </c>
      <c r="P958" t="s">
        <v>100</v>
      </c>
      <c r="Q958">
        <v>0</v>
      </c>
      <c r="R958" t="s">
        <v>145</v>
      </c>
      <c r="S958">
        <v>0</v>
      </c>
    </row>
    <row r="959" spans="1:19">
      <c r="A959" t="s">
        <v>35</v>
      </c>
      <c r="B959" t="s">
        <v>1456</v>
      </c>
      <c r="C959">
        <f>"QZWJ021"</f>
        <v>0</v>
      </c>
      <c r="D959">
        <v>1</v>
      </c>
      <c r="E959">
        <v>0</v>
      </c>
      <c r="F959">
        <v>0</v>
      </c>
      <c r="G959">
        <v>0</v>
      </c>
      <c r="H959">
        <v>1</v>
      </c>
      <c r="I959">
        <v>0</v>
      </c>
      <c r="J959">
        <v>0</v>
      </c>
      <c r="K959">
        <v>0</v>
      </c>
      <c r="L959" s="2">
        <v>0</v>
      </c>
      <c r="M959">
        <v>0</v>
      </c>
      <c r="N959" s="2">
        <v>0</v>
      </c>
      <c r="O959">
        <v>0</v>
      </c>
      <c r="P959" t="s">
        <v>100</v>
      </c>
      <c r="Q959">
        <v>0</v>
      </c>
      <c r="R959" t="s">
        <v>145</v>
      </c>
      <c r="S959">
        <v>0</v>
      </c>
    </row>
    <row r="960" spans="1:19">
      <c r="A960" t="s">
        <v>35</v>
      </c>
      <c r="B960" t="s">
        <v>8408</v>
      </c>
      <c r="C960">
        <f>"YT96953"</f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 s="2">
        <v>0</v>
      </c>
      <c r="M960">
        <v>0</v>
      </c>
      <c r="N960" s="2">
        <v>0</v>
      </c>
      <c r="O960">
        <v>0</v>
      </c>
      <c r="P960" t="s">
        <v>100</v>
      </c>
      <c r="Q960">
        <v>0</v>
      </c>
      <c r="R960" t="s">
        <v>145</v>
      </c>
      <c r="S960">
        <v>0</v>
      </c>
    </row>
    <row r="961" spans="1:19">
      <c r="A961" t="s">
        <v>35</v>
      </c>
      <c r="B961" t="s">
        <v>8500</v>
      </c>
      <c r="C961">
        <f>"350001"</f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 s="2">
        <v>0</v>
      </c>
      <c r="M961">
        <v>0</v>
      </c>
      <c r="N961" s="2">
        <v>0</v>
      </c>
      <c r="O961">
        <v>0</v>
      </c>
      <c r="P961" t="s">
        <v>100</v>
      </c>
      <c r="Q961">
        <v>0</v>
      </c>
      <c r="R961" t="s">
        <v>145</v>
      </c>
      <c r="S961">
        <v>0</v>
      </c>
    </row>
    <row r="962" spans="1:19">
      <c r="A962" t="s">
        <v>35</v>
      </c>
      <c r="B962" t="s">
        <v>8424</v>
      </c>
      <c r="C962">
        <f>"XG012"</f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 s="2">
        <v>0</v>
      </c>
      <c r="M962">
        <v>0</v>
      </c>
      <c r="N962" s="2">
        <v>0</v>
      </c>
      <c r="O962">
        <v>0</v>
      </c>
      <c r="P962" t="s">
        <v>100</v>
      </c>
      <c r="Q962">
        <v>0</v>
      </c>
      <c r="R962" t="s">
        <v>145</v>
      </c>
      <c r="S962">
        <v>0</v>
      </c>
    </row>
    <row r="963" spans="1:19">
      <c r="A963" t="s">
        <v>35</v>
      </c>
      <c r="B963" t="s">
        <v>7073</v>
      </c>
      <c r="C963">
        <f>"6005054"</f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 s="2">
        <v>0</v>
      </c>
      <c r="M963">
        <v>0</v>
      </c>
      <c r="N963" s="2">
        <v>0</v>
      </c>
      <c r="O963">
        <v>0</v>
      </c>
      <c r="P963" t="s">
        <v>100</v>
      </c>
      <c r="Q963">
        <v>0</v>
      </c>
      <c r="R963" t="s">
        <v>145</v>
      </c>
      <c r="S963">
        <v>0</v>
      </c>
    </row>
    <row r="964" spans="1:19">
      <c r="A964" t="s">
        <v>35</v>
      </c>
      <c r="B964" t="s">
        <v>8460</v>
      </c>
      <c r="C964">
        <f>"KHSG0036"</f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 s="2">
        <v>0</v>
      </c>
      <c r="M964">
        <v>0</v>
      </c>
      <c r="N964" s="2">
        <v>0</v>
      </c>
      <c r="O964">
        <v>0</v>
      </c>
      <c r="P964" t="s">
        <v>100</v>
      </c>
      <c r="Q964">
        <v>0</v>
      </c>
      <c r="R964" t="s">
        <v>145</v>
      </c>
      <c r="S964">
        <v>0</v>
      </c>
    </row>
    <row r="965" spans="1:19">
      <c r="A965" t="s">
        <v>35</v>
      </c>
      <c r="B965" t="s">
        <v>7071</v>
      </c>
      <c r="C965">
        <f>"6005052"</f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 s="2">
        <v>0</v>
      </c>
      <c r="M965">
        <v>0</v>
      </c>
      <c r="N965" s="2">
        <v>0</v>
      </c>
      <c r="O965">
        <v>0</v>
      </c>
      <c r="P965" t="s">
        <v>100</v>
      </c>
      <c r="Q965">
        <v>0</v>
      </c>
      <c r="R965" t="s">
        <v>145</v>
      </c>
      <c r="S965">
        <v>0</v>
      </c>
    </row>
    <row r="966" spans="1:19">
      <c r="A966" t="s">
        <v>35</v>
      </c>
      <c r="B966" t="s">
        <v>7070</v>
      </c>
      <c r="C966">
        <f>"6005051"</f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 s="2">
        <v>0</v>
      </c>
      <c r="M966">
        <v>0</v>
      </c>
      <c r="N966" s="2">
        <v>0</v>
      </c>
      <c r="O966">
        <v>0</v>
      </c>
      <c r="P966" t="s">
        <v>100</v>
      </c>
      <c r="Q966">
        <v>0</v>
      </c>
      <c r="R966" t="s">
        <v>145</v>
      </c>
      <c r="S966">
        <v>0</v>
      </c>
    </row>
    <row r="967" spans="1:19">
      <c r="A967" t="s">
        <v>35</v>
      </c>
      <c r="B967" t="s">
        <v>7069</v>
      </c>
      <c r="C967">
        <f>"6005050"</f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 s="2">
        <v>0</v>
      </c>
      <c r="M967">
        <v>0</v>
      </c>
      <c r="N967" s="2">
        <v>0</v>
      </c>
      <c r="O967">
        <v>0</v>
      </c>
      <c r="P967" t="s">
        <v>100</v>
      </c>
      <c r="Q967">
        <v>0</v>
      </c>
      <c r="R967" t="s">
        <v>145</v>
      </c>
      <c r="S967">
        <v>0</v>
      </c>
    </row>
    <row r="968" spans="1:19">
      <c r="A968" t="s">
        <v>35</v>
      </c>
      <c r="B968" t="s">
        <v>7068</v>
      </c>
      <c r="C968">
        <f>"6005053"</f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 s="2">
        <v>0</v>
      </c>
      <c r="M968">
        <v>0</v>
      </c>
      <c r="N968" s="2">
        <v>0</v>
      </c>
      <c r="O968">
        <v>0</v>
      </c>
      <c r="P968" t="s">
        <v>100</v>
      </c>
      <c r="Q968">
        <v>0</v>
      </c>
      <c r="R968" t="s">
        <v>145</v>
      </c>
      <c r="S968">
        <v>0</v>
      </c>
    </row>
    <row r="969" spans="1:19">
      <c r="A969" t="s">
        <v>35</v>
      </c>
      <c r="B969" t="s">
        <v>6927</v>
      </c>
      <c r="C969">
        <f>"CS015"</f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 s="2">
        <v>0</v>
      </c>
      <c r="M969">
        <v>0</v>
      </c>
      <c r="N969" s="2">
        <v>0</v>
      </c>
      <c r="O969">
        <v>0</v>
      </c>
      <c r="P969" t="s">
        <v>100</v>
      </c>
      <c r="Q969">
        <v>0</v>
      </c>
      <c r="R969" t="s">
        <v>145</v>
      </c>
      <c r="S969">
        <v>0</v>
      </c>
    </row>
    <row r="970" spans="1:19">
      <c r="A970" t="s">
        <v>35</v>
      </c>
      <c r="B970" t="s">
        <v>6914</v>
      </c>
      <c r="C970">
        <f>"ZJ231AC"</f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 s="2">
        <v>0</v>
      </c>
      <c r="M970">
        <v>0</v>
      </c>
      <c r="N970" s="2">
        <v>0</v>
      </c>
      <c r="O970">
        <v>0</v>
      </c>
      <c r="P970" t="s">
        <v>100</v>
      </c>
      <c r="Q970">
        <v>0</v>
      </c>
      <c r="R970" t="s">
        <v>145</v>
      </c>
      <c r="S970">
        <v>0</v>
      </c>
    </row>
    <row r="971" spans="1:19">
      <c r="A971" t="s">
        <v>35</v>
      </c>
      <c r="B971" t="s">
        <v>6913</v>
      </c>
      <c r="C971">
        <f>"ZJ231ROSC"</f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 s="2">
        <v>0</v>
      </c>
      <c r="M971">
        <v>0</v>
      </c>
      <c r="N971" s="2">
        <v>0</v>
      </c>
      <c r="O971">
        <v>0</v>
      </c>
      <c r="P971" t="s">
        <v>100</v>
      </c>
      <c r="Q971">
        <v>0</v>
      </c>
      <c r="R971" t="s">
        <v>145</v>
      </c>
      <c r="S971">
        <v>0</v>
      </c>
    </row>
    <row r="972" spans="1:19">
      <c r="A972" t="s">
        <v>35</v>
      </c>
      <c r="B972" t="s">
        <v>7017</v>
      </c>
      <c r="C972">
        <f>"M015"</f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 s="2">
        <v>0</v>
      </c>
      <c r="M972">
        <v>0</v>
      </c>
      <c r="N972" s="2">
        <v>0</v>
      </c>
      <c r="O972">
        <v>0</v>
      </c>
      <c r="P972" t="s">
        <v>100</v>
      </c>
      <c r="Q972">
        <v>0</v>
      </c>
      <c r="R972" t="s">
        <v>145</v>
      </c>
      <c r="S972">
        <v>0</v>
      </c>
    </row>
    <row r="973" spans="1:19">
      <c r="A973" t="s">
        <v>35</v>
      </c>
      <c r="B973" t="s">
        <v>8461</v>
      </c>
      <c r="C973">
        <f>"KHSG0020"</f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 s="2">
        <v>0</v>
      </c>
      <c r="M973">
        <v>0</v>
      </c>
      <c r="N973" s="2">
        <v>0</v>
      </c>
      <c r="O973">
        <v>0</v>
      </c>
      <c r="P973" t="s">
        <v>100</v>
      </c>
      <c r="Q973">
        <v>0</v>
      </c>
      <c r="R973" t="s">
        <v>145</v>
      </c>
      <c r="S973">
        <v>0</v>
      </c>
    </row>
    <row r="974" spans="1:19">
      <c r="A974" t="s">
        <v>35</v>
      </c>
      <c r="B974" t="s">
        <v>1093</v>
      </c>
      <c r="C974">
        <f>"KHSG0090"</f>
        <v>0</v>
      </c>
      <c r="D974">
        <v>2</v>
      </c>
      <c r="E974">
        <v>0</v>
      </c>
      <c r="F974">
        <v>0</v>
      </c>
      <c r="G974">
        <v>0</v>
      </c>
      <c r="H974">
        <v>2</v>
      </c>
      <c r="I974">
        <v>0</v>
      </c>
      <c r="J974">
        <v>0</v>
      </c>
      <c r="K974">
        <v>0</v>
      </c>
      <c r="L974" s="2">
        <v>0</v>
      </c>
      <c r="M974">
        <v>0</v>
      </c>
      <c r="N974" s="2">
        <v>0</v>
      </c>
      <c r="O974">
        <v>0</v>
      </c>
      <c r="P974" t="s">
        <v>100</v>
      </c>
      <c r="Q974">
        <v>0</v>
      </c>
      <c r="R974" t="s">
        <v>145</v>
      </c>
      <c r="S974">
        <v>0</v>
      </c>
    </row>
    <row r="975" spans="1:19">
      <c r="A975" t="s">
        <v>35</v>
      </c>
      <c r="B975" t="s">
        <v>7072</v>
      </c>
      <c r="C975">
        <f>"6005055"</f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 s="2">
        <v>0</v>
      </c>
      <c r="M975">
        <v>0</v>
      </c>
      <c r="N975" s="2">
        <v>0</v>
      </c>
      <c r="O975">
        <v>0</v>
      </c>
      <c r="P975" t="s">
        <v>100</v>
      </c>
      <c r="Q975">
        <v>0</v>
      </c>
      <c r="R975" t="s">
        <v>145</v>
      </c>
      <c r="S975">
        <v>0</v>
      </c>
    </row>
    <row r="976" spans="1:19">
      <c r="A976" t="s">
        <v>35</v>
      </c>
      <c r="B976" t="s">
        <v>1425</v>
      </c>
      <c r="C976">
        <f>"MCW121"</f>
        <v>0</v>
      </c>
      <c r="D976">
        <v>0</v>
      </c>
      <c r="E976">
        <v>1</v>
      </c>
      <c r="F976">
        <v>0</v>
      </c>
      <c r="G976">
        <v>0</v>
      </c>
      <c r="H976">
        <v>1</v>
      </c>
      <c r="I976">
        <v>0</v>
      </c>
      <c r="J976">
        <v>0</v>
      </c>
      <c r="K976">
        <v>0</v>
      </c>
      <c r="L976" s="2">
        <v>0</v>
      </c>
      <c r="M976">
        <v>0</v>
      </c>
      <c r="N976" s="2">
        <v>0</v>
      </c>
      <c r="O976">
        <v>0</v>
      </c>
      <c r="P976" t="s">
        <v>100</v>
      </c>
      <c r="Q976">
        <v>0</v>
      </c>
      <c r="R976" t="s">
        <v>145</v>
      </c>
      <c r="S976">
        <v>0</v>
      </c>
    </row>
    <row r="977" spans="1:19">
      <c r="A977" t="s">
        <v>35</v>
      </c>
      <c r="B977" t="s">
        <v>7010</v>
      </c>
      <c r="C977">
        <f>"2934"</f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 s="2">
        <v>0</v>
      </c>
      <c r="M977">
        <v>0</v>
      </c>
      <c r="N977" s="2">
        <v>0</v>
      </c>
      <c r="O977">
        <v>0</v>
      </c>
      <c r="P977" t="s">
        <v>100</v>
      </c>
      <c r="Q977">
        <v>0</v>
      </c>
      <c r="R977" t="s">
        <v>145</v>
      </c>
      <c r="S977">
        <v>0</v>
      </c>
    </row>
    <row r="978" spans="1:19">
      <c r="A978" t="s">
        <v>35</v>
      </c>
      <c r="B978" t="s">
        <v>7009</v>
      </c>
      <c r="C978">
        <f>"LS147"</f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 s="2">
        <v>0</v>
      </c>
      <c r="M978">
        <v>0</v>
      </c>
      <c r="N978" s="2">
        <v>0</v>
      </c>
      <c r="O978">
        <v>0</v>
      </c>
      <c r="P978" t="s">
        <v>100</v>
      </c>
      <c r="Q978">
        <v>0</v>
      </c>
      <c r="R978" t="s">
        <v>145</v>
      </c>
      <c r="S978">
        <v>0</v>
      </c>
    </row>
    <row r="979" spans="1:19">
      <c r="A979" t="s">
        <v>35</v>
      </c>
      <c r="B979" t="s">
        <v>1371</v>
      </c>
      <c r="C979">
        <f>"LS147C"</f>
        <v>0</v>
      </c>
      <c r="D979">
        <v>0</v>
      </c>
      <c r="E979">
        <v>0</v>
      </c>
      <c r="F979">
        <v>1</v>
      </c>
      <c r="G979">
        <v>0</v>
      </c>
      <c r="H979">
        <v>1</v>
      </c>
      <c r="I979">
        <v>0</v>
      </c>
      <c r="J979">
        <v>0</v>
      </c>
      <c r="K979">
        <v>0</v>
      </c>
      <c r="L979" s="2">
        <v>0</v>
      </c>
      <c r="M979">
        <v>0</v>
      </c>
      <c r="N979" s="2">
        <v>0</v>
      </c>
      <c r="O979">
        <v>0</v>
      </c>
      <c r="P979" t="s">
        <v>100</v>
      </c>
      <c r="Q979">
        <v>0</v>
      </c>
      <c r="R979" t="s">
        <v>145</v>
      </c>
      <c r="S979">
        <v>0</v>
      </c>
    </row>
    <row r="980" spans="1:19">
      <c r="A980" t="s">
        <v>35</v>
      </c>
      <c r="B980" t="s">
        <v>7007</v>
      </c>
      <c r="C980">
        <f>"CN045"</f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 s="2">
        <v>0</v>
      </c>
      <c r="M980">
        <v>0</v>
      </c>
      <c r="N980" s="2">
        <v>0</v>
      </c>
      <c r="O980">
        <v>0</v>
      </c>
      <c r="P980" t="s">
        <v>100</v>
      </c>
      <c r="Q980">
        <v>0</v>
      </c>
      <c r="R980" t="s">
        <v>145</v>
      </c>
      <c r="S980">
        <v>0</v>
      </c>
    </row>
    <row r="981" spans="1:19">
      <c r="A981" t="s">
        <v>35</v>
      </c>
      <c r="B981" t="s">
        <v>7006</v>
      </c>
      <c r="C981">
        <f>"2933"</f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 s="2">
        <v>0</v>
      </c>
      <c r="M981">
        <v>0</v>
      </c>
      <c r="N981" s="2">
        <v>0</v>
      </c>
      <c r="O981">
        <v>0</v>
      </c>
      <c r="P981" t="s">
        <v>100</v>
      </c>
      <c r="Q981">
        <v>0</v>
      </c>
      <c r="R981" t="s">
        <v>145</v>
      </c>
      <c r="S981">
        <v>0</v>
      </c>
    </row>
    <row r="982" spans="1:19">
      <c r="A982" t="s">
        <v>35</v>
      </c>
      <c r="B982" t="s">
        <v>8285</v>
      </c>
      <c r="C982">
        <f>"PT192A"</f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 s="2">
        <v>0</v>
      </c>
      <c r="M982">
        <v>0</v>
      </c>
      <c r="N982" s="2">
        <v>0</v>
      </c>
      <c r="O982">
        <v>0</v>
      </c>
      <c r="P982" t="s">
        <v>100</v>
      </c>
      <c r="Q982">
        <v>0</v>
      </c>
      <c r="R982" t="s">
        <v>145</v>
      </c>
      <c r="S982">
        <v>0</v>
      </c>
    </row>
    <row r="983" spans="1:19">
      <c r="A983" t="s">
        <v>35</v>
      </c>
      <c r="B983" t="s">
        <v>8319</v>
      </c>
      <c r="C983">
        <f>"PT257A"</f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 s="2">
        <v>0</v>
      </c>
      <c r="M983">
        <v>0</v>
      </c>
      <c r="N983" s="2">
        <v>0</v>
      </c>
      <c r="O983">
        <v>0</v>
      </c>
      <c r="P983" t="s">
        <v>100</v>
      </c>
      <c r="Q983">
        <v>0</v>
      </c>
      <c r="R983" t="s">
        <v>145</v>
      </c>
      <c r="S983">
        <v>0</v>
      </c>
    </row>
    <row r="984" spans="1:19">
      <c r="A984" t="s">
        <v>35</v>
      </c>
      <c r="B984" t="s">
        <v>8316</v>
      </c>
      <c r="C984">
        <f>"ZRD2018047"</f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 s="2">
        <v>0</v>
      </c>
      <c r="M984">
        <v>0</v>
      </c>
      <c r="N984" s="2">
        <v>0</v>
      </c>
      <c r="O984">
        <v>0</v>
      </c>
      <c r="P984" t="s">
        <v>100</v>
      </c>
      <c r="Q984">
        <v>0</v>
      </c>
      <c r="R984" t="s">
        <v>145</v>
      </c>
      <c r="S984">
        <v>0</v>
      </c>
    </row>
    <row r="985" spans="1:19">
      <c r="A985" t="s">
        <v>35</v>
      </c>
      <c r="B985" t="s">
        <v>8507</v>
      </c>
      <c r="C985">
        <f>"XX221"</f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 s="2">
        <v>0</v>
      </c>
      <c r="M985">
        <v>0</v>
      </c>
      <c r="N985" s="2">
        <v>0</v>
      </c>
      <c r="O985">
        <v>0</v>
      </c>
      <c r="P985" t="s">
        <v>100</v>
      </c>
      <c r="Q985">
        <v>0</v>
      </c>
      <c r="R985" t="s">
        <v>145</v>
      </c>
      <c r="S985">
        <v>0</v>
      </c>
    </row>
    <row r="986" spans="1:19">
      <c r="A986" t="s">
        <v>35</v>
      </c>
      <c r="B986" t="s">
        <v>8333</v>
      </c>
      <c r="C986">
        <f>"W0054"</f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 s="2">
        <v>0</v>
      </c>
      <c r="M986">
        <v>0</v>
      </c>
      <c r="N986" s="2">
        <v>0</v>
      </c>
      <c r="O986">
        <v>0</v>
      </c>
      <c r="P986" t="s">
        <v>100</v>
      </c>
      <c r="Q986">
        <v>0</v>
      </c>
      <c r="R986" t="s">
        <v>145</v>
      </c>
      <c r="S986">
        <v>0</v>
      </c>
    </row>
    <row r="987" spans="1:19">
      <c r="A987" t="s">
        <v>35</v>
      </c>
      <c r="B987" t="s">
        <v>8311</v>
      </c>
      <c r="C987">
        <f>"MCW113"</f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 s="2">
        <v>0</v>
      </c>
      <c r="M987">
        <v>0</v>
      </c>
      <c r="N987" s="2">
        <v>0</v>
      </c>
      <c r="O987">
        <v>0</v>
      </c>
      <c r="P987" t="s">
        <v>100</v>
      </c>
      <c r="Q987">
        <v>0</v>
      </c>
      <c r="R987" t="s">
        <v>145</v>
      </c>
      <c r="S987">
        <v>0</v>
      </c>
    </row>
    <row r="988" spans="1:19">
      <c r="A988" t="s">
        <v>35</v>
      </c>
      <c r="B988" t="s">
        <v>8306</v>
      </c>
      <c r="C988">
        <f>"DC3104A"</f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 s="2">
        <v>0</v>
      </c>
      <c r="M988">
        <v>0</v>
      </c>
      <c r="N988" s="2">
        <v>0</v>
      </c>
      <c r="O988">
        <v>0</v>
      </c>
      <c r="P988" t="s">
        <v>100</v>
      </c>
      <c r="Q988">
        <v>0</v>
      </c>
      <c r="R988" t="s">
        <v>145</v>
      </c>
      <c r="S988">
        <v>0</v>
      </c>
    </row>
    <row r="989" spans="1:19">
      <c r="A989" t="s">
        <v>35</v>
      </c>
      <c r="B989" t="s">
        <v>7005</v>
      </c>
      <c r="C989">
        <f>"D2121"</f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 s="2">
        <v>0</v>
      </c>
      <c r="M989">
        <v>0</v>
      </c>
      <c r="N989" s="2">
        <v>0</v>
      </c>
      <c r="O989">
        <v>0</v>
      </c>
      <c r="P989" t="s">
        <v>100</v>
      </c>
      <c r="Q989">
        <v>0</v>
      </c>
      <c r="R989" t="s">
        <v>145</v>
      </c>
      <c r="S989">
        <v>0</v>
      </c>
    </row>
    <row r="990" spans="1:19">
      <c r="A990" t="s">
        <v>35</v>
      </c>
      <c r="B990" t="s">
        <v>7003</v>
      </c>
      <c r="C990">
        <f>"LS152"</f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 s="2">
        <v>0</v>
      </c>
      <c r="M990">
        <v>0</v>
      </c>
      <c r="N990" s="2">
        <v>0</v>
      </c>
      <c r="O990">
        <v>0</v>
      </c>
      <c r="P990" t="s">
        <v>100</v>
      </c>
      <c r="Q990">
        <v>0</v>
      </c>
      <c r="R990" t="s">
        <v>145</v>
      </c>
      <c r="S990">
        <v>0</v>
      </c>
    </row>
    <row r="991" spans="1:19">
      <c r="A991" t="s">
        <v>35</v>
      </c>
      <c r="B991" t="s">
        <v>1370</v>
      </c>
      <c r="C991">
        <f>"NO98"</f>
        <v>0</v>
      </c>
      <c r="D991">
        <v>0</v>
      </c>
      <c r="E991">
        <v>1</v>
      </c>
      <c r="F991">
        <v>0</v>
      </c>
      <c r="G991">
        <v>0</v>
      </c>
      <c r="H991">
        <v>1</v>
      </c>
      <c r="I991">
        <v>0</v>
      </c>
      <c r="J991">
        <v>0</v>
      </c>
      <c r="K991">
        <v>0</v>
      </c>
      <c r="L991" s="2">
        <v>0</v>
      </c>
      <c r="M991">
        <v>0</v>
      </c>
      <c r="N991" s="2">
        <v>0</v>
      </c>
      <c r="O991">
        <v>0</v>
      </c>
      <c r="P991" t="s">
        <v>100</v>
      </c>
      <c r="Q991">
        <v>0</v>
      </c>
      <c r="R991" t="s">
        <v>145</v>
      </c>
      <c r="S991">
        <v>0</v>
      </c>
    </row>
    <row r="992" spans="1:19">
      <c r="A992" t="s">
        <v>35</v>
      </c>
      <c r="B992" t="s">
        <v>7061</v>
      </c>
      <c r="C992">
        <f>"NO105"</f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 s="2">
        <v>0</v>
      </c>
      <c r="M992">
        <v>0</v>
      </c>
      <c r="N992" s="2">
        <v>0</v>
      </c>
      <c r="O992">
        <v>0</v>
      </c>
      <c r="P992" t="s">
        <v>100</v>
      </c>
      <c r="Q992">
        <v>0</v>
      </c>
      <c r="R992" t="s">
        <v>145</v>
      </c>
      <c r="S992">
        <v>0</v>
      </c>
    </row>
    <row r="993" spans="1:19">
      <c r="A993" t="s">
        <v>35</v>
      </c>
      <c r="B993" t="s">
        <v>7060</v>
      </c>
      <c r="C993">
        <f>"NO102"</f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 s="2">
        <v>0</v>
      </c>
      <c r="M993">
        <v>0</v>
      </c>
      <c r="N993" s="2">
        <v>0</v>
      </c>
      <c r="O993">
        <v>0</v>
      </c>
      <c r="P993" t="s">
        <v>100</v>
      </c>
      <c r="Q993">
        <v>0</v>
      </c>
      <c r="R993" t="s">
        <v>145</v>
      </c>
      <c r="S993">
        <v>0</v>
      </c>
    </row>
    <row r="994" spans="1:19">
      <c r="A994" t="s">
        <v>35</v>
      </c>
      <c r="B994" t="s">
        <v>7056</v>
      </c>
      <c r="C994">
        <f>"NO99"</f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 s="2">
        <v>0</v>
      </c>
      <c r="M994">
        <v>0</v>
      </c>
      <c r="N994" s="2">
        <v>0</v>
      </c>
      <c r="O994">
        <v>0</v>
      </c>
      <c r="P994" t="s">
        <v>100</v>
      </c>
      <c r="Q994">
        <v>0</v>
      </c>
      <c r="R994" t="s">
        <v>145</v>
      </c>
      <c r="S994">
        <v>0</v>
      </c>
    </row>
    <row r="995" spans="1:19">
      <c r="A995" t="s">
        <v>35</v>
      </c>
      <c r="B995" t="s">
        <v>7055</v>
      </c>
      <c r="C995">
        <f>"LS148"</f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 s="2">
        <v>0</v>
      </c>
      <c r="M995">
        <v>0</v>
      </c>
      <c r="N995" s="2">
        <v>0</v>
      </c>
      <c r="O995">
        <v>0</v>
      </c>
      <c r="P995" t="s">
        <v>100</v>
      </c>
      <c r="Q995">
        <v>0</v>
      </c>
      <c r="R995" t="s">
        <v>145</v>
      </c>
      <c r="S995">
        <v>0</v>
      </c>
    </row>
    <row r="996" spans="1:19">
      <c r="A996" t="s">
        <v>35</v>
      </c>
      <c r="B996" t="s">
        <v>8335</v>
      </c>
      <c r="C996">
        <f>"830350"</f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 s="2">
        <v>0</v>
      </c>
      <c r="M996">
        <v>0</v>
      </c>
      <c r="N996" s="2">
        <v>0</v>
      </c>
      <c r="O996">
        <v>0</v>
      </c>
      <c r="P996" t="s">
        <v>100</v>
      </c>
      <c r="Q996">
        <v>0</v>
      </c>
      <c r="R996" t="s">
        <v>145</v>
      </c>
      <c r="S996">
        <v>0</v>
      </c>
    </row>
    <row r="997" spans="1:19">
      <c r="A997" t="s">
        <v>35</v>
      </c>
      <c r="B997" t="s">
        <v>8506</v>
      </c>
      <c r="C997">
        <f>"ZJ009862"</f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 s="2">
        <v>0</v>
      </c>
      <c r="M997">
        <v>0</v>
      </c>
      <c r="N997" s="2">
        <v>0</v>
      </c>
      <c r="O997">
        <v>0</v>
      </c>
      <c r="P997" t="s">
        <v>100</v>
      </c>
      <c r="Q997">
        <v>0</v>
      </c>
      <c r="R997" t="s">
        <v>145</v>
      </c>
      <c r="S997">
        <v>0</v>
      </c>
    </row>
    <row r="998" spans="1:19">
      <c r="A998" t="s">
        <v>35</v>
      </c>
      <c r="B998" t="s">
        <v>8505</v>
      </c>
      <c r="C998">
        <f>"KHSG0158"</f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 s="2">
        <v>0</v>
      </c>
      <c r="M998">
        <v>0</v>
      </c>
      <c r="N998" s="2">
        <v>0</v>
      </c>
      <c r="O998">
        <v>0</v>
      </c>
      <c r="P998" t="s">
        <v>100</v>
      </c>
      <c r="Q998">
        <v>0</v>
      </c>
      <c r="R998" t="s">
        <v>145</v>
      </c>
      <c r="S998">
        <v>0</v>
      </c>
    </row>
    <row r="999" spans="1:19">
      <c r="A999" t="s">
        <v>35</v>
      </c>
      <c r="B999" t="s">
        <v>8504</v>
      </c>
      <c r="C999">
        <f>"KHBZ052"</f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 s="2">
        <v>0</v>
      </c>
      <c r="M999">
        <v>0</v>
      </c>
      <c r="N999" s="2">
        <v>0</v>
      </c>
      <c r="O999">
        <v>0</v>
      </c>
      <c r="P999" t="s">
        <v>100</v>
      </c>
      <c r="Q999">
        <v>0</v>
      </c>
      <c r="R999" t="s">
        <v>145</v>
      </c>
      <c r="S999">
        <v>0</v>
      </c>
    </row>
    <row r="1000" spans="1:19">
      <c r="A1000" t="s">
        <v>35</v>
      </c>
      <c r="B1000" t="s">
        <v>8519</v>
      </c>
      <c r="C1000">
        <f>"KHBZ080"</f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 s="2">
        <v>0</v>
      </c>
      <c r="M1000">
        <v>0</v>
      </c>
      <c r="N1000" s="2">
        <v>0</v>
      </c>
      <c r="O1000">
        <v>0</v>
      </c>
      <c r="P1000" t="s">
        <v>100</v>
      </c>
      <c r="Q1000">
        <v>0</v>
      </c>
      <c r="R1000" t="s">
        <v>145</v>
      </c>
      <c r="S1000">
        <v>0</v>
      </c>
    </row>
    <row r="1001" spans="1:19">
      <c r="A1001" t="s">
        <v>35</v>
      </c>
      <c r="B1001" t="s">
        <v>8501</v>
      </c>
      <c r="C1001">
        <f>"LC8030"</f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 s="2">
        <v>0</v>
      </c>
      <c r="M1001">
        <v>0</v>
      </c>
      <c r="N1001" s="2">
        <v>0</v>
      </c>
      <c r="O1001">
        <v>0</v>
      </c>
      <c r="P1001" t="s">
        <v>100</v>
      </c>
      <c r="Q1001">
        <v>0</v>
      </c>
      <c r="R1001" t="s">
        <v>145</v>
      </c>
      <c r="S1001">
        <v>0</v>
      </c>
    </row>
    <row r="1002" spans="1:19">
      <c r="A1002" t="s">
        <v>35</v>
      </c>
      <c r="B1002" t="s">
        <v>8478</v>
      </c>
      <c r="C1002">
        <f>"MCW104"</f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 s="2">
        <v>0</v>
      </c>
      <c r="M1002">
        <v>0</v>
      </c>
      <c r="N1002" s="2">
        <v>0</v>
      </c>
      <c r="O1002">
        <v>0</v>
      </c>
      <c r="P1002" t="s">
        <v>100</v>
      </c>
      <c r="Q1002">
        <v>0</v>
      </c>
      <c r="R1002" t="s">
        <v>145</v>
      </c>
      <c r="S1002">
        <v>0</v>
      </c>
    </row>
    <row r="1003" spans="1:19">
      <c r="A1003" t="s">
        <v>35</v>
      </c>
      <c r="B1003" t="s">
        <v>8477</v>
      </c>
      <c r="C1003">
        <f>"HDD022"</f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 s="2">
        <v>0</v>
      </c>
      <c r="M1003">
        <v>0</v>
      </c>
      <c r="N1003" s="2">
        <v>0</v>
      </c>
      <c r="O1003">
        <v>0</v>
      </c>
      <c r="P1003" t="s">
        <v>100</v>
      </c>
      <c r="Q1003">
        <v>0</v>
      </c>
      <c r="R1003" t="s">
        <v>145</v>
      </c>
      <c r="S1003">
        <v>0</v>
      </c>
    </row>
    <row r="1004" spans="1:19">
      <c r="A1004" t="s">
        <v>35</v>
      </c>
      <c r="B1004" t="s">
        <v>8476</v>
      </c>
      <c r="C1004">
        <f>"PCC011AM"</f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 s="2">
        <v>0</v>
      </c>
      <c r="M1004">
        <v>0</v>
      </c>
      <c r="N1004" s="2">
        <v>0</v>
      </c>
      <c r="O1004">
        <v>0</v>
      </c>
      <c r="P1004" t="s">
        <v>100</v>
      </c>
      <c r="Q1004">
        <v>0</v>
      </c>
      <c r="R1004" t="s">
        <v>145</v>
      </c>
      <c r="S1004">
        <v>0</v>
      </c>
    </row>
    <row r="1005" spans="1:19">
      <c r="A1005" t="s">
        <v>35</v>
      </c>
      <c r="B1005" t="s">
        <v>8475</v>
      </c>
      <c r="C1005">
        <f>"PCC011CE"</f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 s="2">
        <v>0</v>
      </c>
      <c r="M1005">
        <v>0</v>
      </c>
      <c r="N1005" s="2">
        <v>0</v>
      </c>
      <c r="O1005">
        <v>0</v>
      </c>
      <c r="P1005" t="s">
        <v>100</v>
      </c>
      <c r="Q1005">
        <v>0</v>
      </c>
      <c r="R1005" t="s">
        <v>145</v>
      </c>
      <c r="S1005">
        <v>0</v>
      </c>
    </row>
    <row r="1006" spans="1:19">
      <c r="A1006" t="s">
        <v>35</v>
      </c>
      <c r="B1006" t="s">
        <v>1198</v>
      </c>
      <c r="C1006">
        <f>"PCC011ROS"</f>
        <v>0</v>
      </c>
      <c r="D1006">
        <v>0</v>
      </c>
      <c r="E1006">
        <v>1</v>
      </c>
      <c r="F1006">
        <v>0</v>
      </c>
      <c r="G1006">
        <v>0</v>
      </c>
      <c r="H1006">
        <v>1</v>
      </c>
      <c r="I1006">
        <v>0</v>
      </c>
      <c r="J1006">
        <v>0</v>
      </c>
      <c r="K1006">
        <v>0</v>
      </c>
      <c r="L1006" s="2">
        <v>0</v>
      </c>
      <c r="M1006">
        <v>0</v>
      </c>
      <c r="N1006" s="2">
        <v>0</v>
      </c>
      <c r="O1006">
        <v>0</v>
      </c>
      <c r="P1006" t="s">
        <v>100</v>
      </c>
      <c r="Q1006">
        <v>0</v>
      </c>
      <c r="R1006" t="s">
        <v>145</v>
      </c>
      <c r="S1006">
        <v>0</v>
      </c>
    </row>
    <row r="1007" spans="1:19">
      <c r="A1007" t="s">
        <v>35</v>
      </c>
      <c r="B1007" t="s">
        <v>8286</v>
      </c>
      <c r="C1007">
        <f>"DC3102B"</f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 s="2">
        <v>0</v>
      </c>
      <c r="M1007">
        <v>0</v>
      </c>
      <c r="N1007" s="2">
        <v>0</v>
      </c>
      <c r="O1007">
        <v>0</v>
      </c>
      <c r="P1007" t="s">
        <v>100</v>
      </c>
      <c r="Q1007">
        <v>0</v>
      </c>
      <c r="R1007" t="s">
        <v>145</v>
      </c>
      <c r="S1007">
        <v>0</v>
      </c>
    </row>
    <row r="1008" spans="1:19">
      <c r="A1008" t="s">
        <v>35</v>
      </c>
      <c r="B1008" t="s">
        <v>8338</v>
      </c>
      <c r="C1008">
        <f>"PT278C"</f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 s="2">
        <v>0</v>
      </c>
      <c r="M1008">
        <v>0</v>
      </c>
      <c r="N1008" s="2">
        <v>0</v>
      </c>
      <c r="O1008">
        <v>0</v>
      </c>
      <c r="P1008" t="s">
        <v>100</v>
      </c>
      <c r="Q1008">
        <v>0</v>
      </c>
      <c r="R1008" t="s">
        <v>145</v>
      </c>
      <c r="S1008">
        <v>0</v>
      </c>
    </row>
    <row r="1009" spans="1:19">
      <c r="A1009" t="s">
        <v>35</v>
      </c>
      <c r="B1009" t="s">
        <v>8321</v>
      </c>
      <c r="C1009">
        <f>"HDD178A"</f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 s="2">
        <v>0</v>
      </c>
      <c r="M1009">
        <v>0</v>
      </c>
      <c r="N1009" s="2">
        <v>0</v>
      </c>
      <c r="O1009">
        <v>0</v>
      </c>
      <c r="P1009" t="s">
        <v>100</v>
      </c>
      <c r="Q1009">
        <v>0</v>
      </c>
      <c r="R1009" t="s">
        <v>145</v>
      </c>
      <c r="S1009">
        <v>0</v>
      </c>
    </row>
    <row r="1010" spans="1:19">
      <c r="A1010" t="s">
        <v>35</v>
      </c>
      <c r="B1010" t="s">
        <v>8468</v>
      </c>
      <c r="C1010">
        <f>"MCW108"</f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 s="2">
        <v>0</v>
      </c>
      <c r="M1010">
        <v>0</v>
      </c>
      <c r="N1010" s="2">
        <v>0</v>
      </c>
      <c r="O1010">
        <v>0</v>
      </c>
      <c r="P1010" t="s">
        <v>100</v>
      </c>
      <c r="Q1010">
        <v>0</v>
      </c>
      <c r="R1010" t="s">
        <v>145</v>
      </c>
      <c r="S1010">
        <v>0</v>
      </c>
    </row>
    <row r="1011" spans="1:19">
      <c r="A1011" t="s">
        <v>35</v>
      </c>
      <c r="B1011" t="s">
        <v>7095</v>
      </c>
      <c r="C1011">
        <f>"2071XXL"</f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 s="2">
        <v>0</v>
      </c>
      <c r="M1011">
        <v>0</v>
      </c>
      <c r="N1011" s="2">
        <v>0</v>
      </c>
      <c r="O1011">
        <v>0</v>
      </c>
      <c r="P1011" t="s">
        <v>100</v>
      </c>
      <c r="Q1011">
        <v>0</v>
      </c>
      <c r="R1011" t="s">
        <v>145</v>
      </c>
      <c r="S1011">
        <v>0</v>
      </c>
    </row>
    <row r="1012" spans="1:19">
      <c r="A1012" t="s">
        <v>35</v>
      </c>
      <c r="B1012" t="s">
        <v>7027</v>
      </c>
      <c r="C1012">
        <f>"XQ34XXL"</f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 s="2">
        <v>0</v>
      </c>
      <c r="M1012">
        <v>0</v>
      </c>
      <c r="N1012" s="2">
        <v>0</v>
      </c>
      <c r="O1012">
        <v>0</v>
      </c>
      <c r="P1012" t="s">
        <v>100</v>
      </c>
      <c r="Q1012">
        <v>0</v>
      </c>
      <c r="R1012" t="s">
        <v>145</v>
      </c>
      <c r="S1012">
        <v>0</v>
      </c>
    </row>
    <row r="1013" spans="1:19">
      <c r="A1013" t="s">
        <v>35</v>
      </c>
      <c r="B1013" t="s">
        <v>7025</v>
      </c>
      <c r="C1013">
        <f>"6006077"</f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 s="2">
        <v>0</v>
      </c>
      <c r="M1013">
        <v>0</v>
      </c>
      <c r="N1013" s="2">
        <v>0</v>
      </c>
      <c r="O1013">
        <v>0</v>
      </c>
      <c r="P1013" t="s">
        <v>100</v>
      </c>
      <c r="Q1013">
        <v>0</v>
      </c>
      <c r="R1013" t="s">
        <v>145</v>
      </c>
      <c r="S1013">
        <v>0</v>
      </c>
    </row>
    <row r="1014" spans="1:19">
      <c r="A1014" t="s">
        <v>35</v>
      </c>
      <c r="B1014" t="s">
        <v>7021</v>
      </c>
      <c r="C1014">
        <f>"6006063"</f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 s="2">
        <v>0</v>
      </c>
      <c r="M1014">
        <v>0</v>
      </c>
      <c r="N1014" s="2">
        <v>0</v>
      </c>
      <c r="O1014">
        <v>0</v>
      </c>
      <c r="P1014" t="s">
        <v>100</v>
      </c>
      <c r="Q1014">
        <v>0</v>
      </c>
      <c r="R1014" t="s">
        <v>145</v>
      </c>
      <c r="S1014">
        <v>0</v>
      </c>
    </row>
    <row r="1015" spans="1:19">
      <c r="A1015" t="s">
        <v>35</v>
      </c>
      <c r="B1015" t="s">
        <v>8467</v>
      </c>
      <c r="C1015">
        <f>"JDC38"</f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 s="2">
        <v>0</v>
      </c>
      <c r="M1015">
        <v>0</v>
      </c>
      <c r="N1015" s="2">
        <v>0</v>
      </c>
      <c r="O1015">
        <v>0</v>
      </c>
      <c r="P1015" t="s">
        <v>100</v>
      </c>
      <c r="Q1015">
        <v>0</v>
      </c>
      <c r="R1015" t="s">
        <v>145</v>
      </c>
      <c r="S1015">
        <v>0</v>
      </c>
    </row>
    <row r="1016" spans="1:19">
      <c r="A1016" t="s">
        <v>35</v>
      </c>
      <c r="B1016" t="s">
        <v>1197</v>
      </c>
      <c r="C1016">
        <f>"GT482"</f>
        <v>0</v>
      </c>
      <c r="D1016">
        <v>0</v>
      </c>
      <c r="E1016">
        <v>0</v>
      </c>
      <c r="F1016">
        <v>1</v>
      </c>
      <c r="G1016">
        <v>0</v>
      </c>
      <c r="H1016">
        <v>1</v>
      </c>
      <c r="I1016">
        <v>0</v>
      </c>
      <c r="J1016">
        <v>0</v>
      </c>
      <c r="K1016">
        <v>0</v>
      </c>
      <c r="L1016" s="2">
        <v>0</v>
      </c>
      <c r="M1016">
        <v>0</v>
      </c>
      <c r="N1016" s="2">
        <v>0</v>
      </c>
      <c r="O1016">
        <v>0</v>
      </c>
      <c r="P1016" t="s">
        <v>100</v>
      </c>
      <c r="Q1016">
        <v>0</v>
      </c>
      <c r="R1016" t="s">
        <v>145</v>
      </c>
      <c r="S1016">
        <v>0</v>
      </c>
    </row>
    <row r="1017" spans="1:19">
      <c r="A1017" t="s">
        <v>35</v>
      </c>
      <c r="B1017" t="s">
        <v>8464</v>
      </c>
      <c r="C1017">
        <f>"LWT0078"</f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 s="2">
        <v>0</v>
      </c>
      <c r="M1017">
        <v>0</v>
      </c>
      <c r="N1017" s="2">
        <v>0</v>
      </c>
      <c r="O1017">
        <v>0</v>
      </c>
      <c r="P1017" t="s">
        <v>100</v>
      </c>
      <c r="Q1017">
        <v>0</v>
      </c>
      <c r="R1017" t="s">
        <v>145</v>
      </c>
      <c r="S1017">
        <v>0</v>
      </c>
    </row>
    <row r="1018" spans="1:19">
      <c r="A1018" t="s">
        <v>35</v>
      </c>
      <c r="B1018" t="s">
        <v>8473</v>
      </c>
      <c r="C1018">
        <f>"MCW146"</f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 s="2">
        <v>0</v>
      </c>
      <c r="M1018">
        <v>0</v>
      </c>
      <c r="N1018" s="2">
        <v>0</v>
      </c>
      <c r="O1018">
        <v>0</v>
      </c>
      <c r="P1018" t="s">
        <v>100</v>
      </c>
      <c r="Q1018">
        <v>0</v>
      </c>
      <c r="R1018" t="s">
        <v>145</v>
      </c>
      <c r="S1018">
        <v>0</v>
      </c>
    </row>
    <row r="1019" spans="1:19">
      <c r="A1019" t="s">
        <v>35</v>
      </c>
      <c r="B1019" t="s">
        <v>9875</v>
      </c>
      <c r="C1019">
        <f>"ZRD2019124"</f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 s="2">
        <v>0</v>
      </c>
      <c r="M1019">
        <v>0</v>
      </c>
      <c r="N1019" s="2">
        <v>0</v>
      </c>
      <c r="O1019">
        <v>0</v>
      </c>
      <c r="P1019" t="s">
        <v>100</v>
      </c>
      <c r="Q1019">
        <v>0</v>
      </c>
      <c r="R1019" t="s">
        <v>145</v>
      </c>
      <c r="S1019">
        <v>0</v>
      </c>
    </row>
    <row r="1020" spans="1:19">
      <c r="A1020" t="s">
        <v>35</v>
      </c>
      <c r="B1020" t="s">
        <v>9874</v>
      </c>
      <c r="C1020">
        <f>"ZRD2019199"</f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 s="2">
        <v>0</v>
      </c>
      <c r="M1020">
        <v>0</v>
      </c>
      <c r="N1020" s="2">
        <v>0</v>
      </c>
      <c r="O1020">
        <v>0</v>
      </c>
      <c r="P1020" t="s">
        <v>100</v>
      </c>
      <c r="Q1020">
        <v>0</v>
      </c>
      <c r="R1020" t="s">
        <v>145</v>
      </c>
      <c r="S1020">
        <v>0</v>
      </c>
    </row>
    <row r="1021" spans="1:19">
      <c r="A1021" t="s">
        <v>35</v>
      </c>
      <c r="B1021" t="s">
        <v>9873</v>
      </c>
      <c r="C1021">
        <f>"ZRD2019200"</f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 s="2">
        <v>0</v>
      </c>
      <c r="M1021">
        <v>0</v>
      </c>
      <c r="N1021" s="2">
        <v>0</v>
      </c>
      <c r="O1021">
        <v>0</v>
      </c>
      <c r="P1021" t="s">
        <v>100</v>
      </c>
      <c r="Q1021">
        <v>0</v>
      </c>
      <c r="R1021" t="s">
        <v>145</v>
      </c>
      <c r="S1021">
        <v>0</v>
      </c>
    </row>
    <row r="1022" spans="1:19">
      <c r="A1022" t="s">
        <v>35</v>
      </c>
      <c r="B1022" t="s">
        <v>8636</v>
      </c>
      <c r="C1022">
        <f>"ZRD2019322"</f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 s="2">
        <v>0</v>
      </c>
      <c r="M1022">
        <v>0</v>
      </c>
      <c r="N1022" s="2">
        <v>0</v>
      </c>
      <c r="O1022">
        <v>0</v>
      </c>
      <c r="P1022" t="s">
        <v>100</v>
      </c>
      <c r="Q1022">
        <v>0</v>
      </c>
      <c r="R1022" t="s">
        <v>145</v>
      </c>
      <c r="S1022">
        <v>0</v>
      </c>
    </row>
    <row r="1023" spans="1:19">
      <c r="A1023" t="s">
        <v>35</v>
      </c>
      <c r="B1023" t="s">
        <v>8635</v>
      </c>
      <c r="C1023">
        <f>"bps7423"</f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 s="2">
        <v>0</v>
      </c>
      <c r="M1023">
        <v>0</v>
      </c>
      <c r="N1023" s="2">
        <v>0</v>
      </c>
      <c r="O1023">
        <v>0</v>
      </c>
      <c r="P1023" t="s">
        <v>100</v>
      </c>
      <c r="Q1023">
        <v>0</v>
      </c>
      <c r="R1023" t="s">
        <v>145</v>
      </c>
      <c r="S1023">
        <v>0</v>
      </c>
    </row>
    <row r="1024" spans="1:19">
      <c r="A1024" t="s">
        <v>35</v>
      </c>
      <c r="B1024" t="s">
        <v>9727</v>
      </c>
      <c r="C1024">
        <f>"22769"</f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 s="2">
        <v>0</v>
      </c>
      <c r="M1024">
        <v>0</v>
      </c>
      <c r="N1024" s="2">
        <v>0</v>
      </c>
      <c r="O1024">
        <v>0</v>
      </c>
      <c r="P1024" t="s">
        <v>100</v>
      </c>
      <c r="Q1024">
        <v>0</v>
      </c>
      <c r="R1024" t="s">
        <v>145</v>
      </c>
      <c r="S1024">
        <v>0</v>
      </c>
    </row>
    <row r="1025" spans="1:19">
      <c r="A1025" t="s">
        <v>35</v>
      </c>
      <c r="B1025" t="s">
        <v>9726</v>
      </c>
      <c r="C1025">
        <f>"ZHM"</f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 s="2">
        <v>0</v>
      </c>
      <c r="M1025">
        <v>0</v>
      </c>
      <c r="N1025" s="2">
        <v>0</v>
      </c>
      <c r="O1025">
        <v>0</v>
      </c>
      <c r="P1025" t="s">
        <v>100</v>
      </c>
      <c r="Q1025">
        <v>0</v>
      </c>
      <c r="R1025" t="s">
        <v>145</v>
      </c>
      <c r="S1025">
        <v>0</v>
      </c>
    </row>
    <row r="1026" spans="1:19">
      <c r="A1026" t="s">
        <v>35</v>
      </c>
      <c r="B1026" t="s">
        <v>9769</v>
      </c>
      <c r="C1026">
        <f>"4803030"</f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 s="2">
        <v>0</v>
      </c>
      <c r="M1026">
        <v>0</v>
      </c>
      <c r="N1026" s="2">
        <v>0</v>
      </c>
      <c r="O1026">
        <v>0</v>
      </c>
      <c r="P1026" t="s">
        <v>100</v>
      </c>
      <c r="Q1026">
        <v>0</v>
      </c>
      <c r="R1026" t="s">
        <v>145</v>
      </c>
      <c r="S1026">
        <v>0</v>
      </c>
    </row>
    <row r="1027" spans="1:19">
      <c r="A1027" t="s">
        <v>35</v>
      </c>
      <c r="B1027" t="s">
        <v>9766</v>
      </c>
      <c r="C1027">
        <f>"4803031"</f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 s="2">
        <v>0</v>
      </c>
      <c r="M1027">
        <v>0</v>
      </c>
      <c r="N1027" s="2">
        <v>0</v>
      </c>
      <c r="O1027">
        <v>0</v>
      </c>
      <c r="P1027" t="s">
        <v>100</v>
      </c>
      <c r="Q1027">
        <v>0</v>
      </c>
      <c r="R1027" t="s">
        <v>145</v>
      </c>
      <c r="S1027">
        <v>0</v>
      </c>
    </row>
    <row r="1028" spans="1:19">
      <c r="A1028" t="s">
        <v>35</v>
      </c>
      <c r="B1028" t="s">
        <v>9430</v>
      </c>
      <c r="C1028">
        <f>"TC777M"</f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 s="2">
        <v>0</v>
      </c>
      <c r="M1028">
        <v>0</v>
      </c>
      <c r="N1028" s="2">
        <v>0</v>
      </c>
      <c r="O1028">
        <v>0</v>
      </c>
      <c r="P1028" t="s">
        <v>100</v>
      </c>
      <c r="Q1028">
        <v>0</v>
      </c>
      <c r="R1028" t="s">
        <v>145</v>
      </c>
      <c r="S1028">
        <v>0</v>
      </c>
    </row>
    <row r="1029" spans="1:19">
      <c r="A1029" t="s">
        <v>35</v>
      </c>
      <c r="B1029" t="s">
        <v>9720</v>
      </c>
      <c r="C1029">
        <f>"12X12"</f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 s="2">
        <v>0</v>
      </c>
      <c r="M1029">
        <v>0</v>
      </c>
      <c r="N1029" s="2">
        <v>0</v>
      </c>
      <c r="O1029">
        <v>0</v>
      </c>
      <c r="P1029" t="s">
        <v>100</v>
      </c>
      <c r="Q1029">
        <v>0</v>
      </c>
      <c r="R1029" t="s">
        <v>145</v>
      </c>
      <c r="S1029">
        <v>0</v>
      </c>
    </row>
    <row r="1030" spans="1:19">
      <c r="A1030" t="s">
        <v>35</v>
      </c>
      <c r="B1030" t="s">
        <v>9719</v>
      </c>
      <c r="C1030">
        <f>"15X15"</f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 s="2">
        <v>0</v>
      </c>
      <c r="M1030">
        <v>0</v>
      </c>
      <c r="N1030" s="2">
        <v>0</v>
      </c>
      <c r="O1030">
        <v>0</v>
      </c>
      <c r="P1030" t="s">
        <v>100</v>
      </c>
      <c r="Q1030">
        <v>0</v>
      </c>
      <c r="R1030" t="s">
        <v>145</v>
      </c>
      <c r="S1030">
        <v>0</v>
      </c>
    </row>
    <row r="1031" spans="1:19">
      <c r="A1031" t="s">
        <v>35</v>
      </c>
      <c r="B1031" t="s">
        <v>9762</v>
      </c>
      <c r="C1031">
        <f>"20X20"</f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 s="2">
        <v>0</v>
      </c>
      <c r="M1031">
        <v>0</v>
      </c>
      <c r="N1031" s="2">
        <v>0</v>
      </c>
      <c r="O1031">
        <v>0</v>
      </c>
      <c r="P1031" t="s">
        <v>100</v>
      </c>
      <c r="Q1031">
        <v>0</v>
      </c>
      <c r="R1031" t="s">
        <v>145</v>
      </c>
      <c r="S1031">
        <v>0</v>
      </c>
    </row>
    <row r="1032" spans="1:19">
      <c r="A1032" t="s">
        <v>35</v>
      </c>
      <c r="B1032" t="s">
        <v>9761</v>
      </c>
      <c r="C1032">
        <f>"0465"</f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 s="2">
        <v>0</v>
      </c>
      <c r="M1032">
        <v>0</v>
      </c>
      <c r="N1032" s="2">
        <v>0</v>
      </c>
      <c r="O1032">
        <v>0</v>
      </c>
      <c r="P1032" t="s">
        <v>100</v>
      </c>
      <c r="Q1032">
        <v>0</v>
      </c>
      <c r="R1032" t="s">
        <v>145</v>
      </c>
      <c r="S1032">
        <v>0</v>
      </c>
    </row>
    <row r="1033" spans="1:19">
      <c r="A1033" t="s">
        <v>35</v>
      </c>
      <c r="B1033" t="s">
        <v>10116</v>
      </c>
      <c r="C1033">
        <f>"DT641SR"</f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 s="2">
        <v>0</v>
      </c>
      <c r="M1033">
        <v>0</v>
      </c>
      <c r="N1033" s="2">
        <v>0</v>
      </c>
      <c r="O1033">
        <v>0</v>
      </c>
      <c r="P1033" t="s">
        <v>100</v>
      </c>
      <c r="Q1033">
        <v>0</v>
      </c>
      <c r="R1033" t="s">
        <v>145</v>
      </c>
      <c r="S1033">
        <v>0</v>
      </c>
    </row>
    <row r="1034" spans="1:19">
      <c r="A1034" t="s">
        <v>35</v>
      </c>
      <c r="B1034" t="s">
        <v>9788</v>
      </c>
      <c r="C1034">
        <f>"23119"</f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 s="2">
        <v>0</v>
      </c>
      <c r="M1034">
        <v>0</v>
      </c>
      <c r="N1034" s="2">
        <v>0</v>
      </c>
      <c r="O1034">
        <v>0</v>
      </c>
      <c r="P1034" t="s">
        <v>100</v>
      </c>
      <c r="Q1034">
        <v>0</v>
      </c>
      <c r="R1034" t="s">
        <v>145</v>
      </c>
      <c r="S1034">
        <v>0</v>
      </c>
    </row>
    <row r="1035" spans="1:19">
      <c r="A1035" t="s">
        <v>35</v>
      </c>
      <c r="B1035" t="s">
        <v>9823</v>
      </c>
      <c r="C1035">
        <f>"23121"</f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 s="2">
        <v>0</v>
      </c>
      <c r="M1035">
        <v>0</v>
      </c>
      <c r="N1035" s="2">
        <v>0</v>
      </c>
      <c r="O1035">
        <v>0</v>
      </c>
      <c r="P1035" t="s">
        <v>100</v>
      </c>
      <c r="Q1035">
        <v>0</v>
      </c>
      <c r="R1035" t="s">
        <v>145</v>
      </c>
      <c r="S1035">
        <v>0</v>
      </c>
    </row>
    <row r="1036" spans="1:19">
      <c r="A1036" t="s">
        <v>35</v>
      </c>
      <c r="B1036" t="s">
        <v>9748</v>
      </c>
      <c r="C1036">
        <f>"23117"</f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 s="2">
        <v>0</v>
      </c>
      <c r="M1036">
        <v>0</v>
      </c>
      <c r="N1036" s="2">
        <v>0</v>
      </c>
      <c r="O1036">
        <v>0</v>
      </c>
      <c r="P1036" t="s">
        <v>100</v>
      </c>
      <c r="Q1036">
        <v>0</v>
      </c>
      <c r="R1036" t="s">
        <v>145</v>
      </c>
      <c r="S1036">
        <v>0</v>
      </c>
    </row>
    <row r="1037" spans="1:19">
      <c r="A1037" t="s">
        <v>35</v>
      </c>
      <c r="B1037" t="s">
        <v>9732</v>
      </c>
      <c r="C1037">
        <f>"23120"</f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 s="2">
        <v>0</v>
      </c>
      <c r="M1037">
        <v>0</v>
      </c>
      <c r="N1037" s="2">
        <v>0</v>
      </c>
      <c r="O1037">
        <v>0</v>
      </c>
      <c r="P1037" t="s">
        <v>100</v>
      </c>
      <c r="Q1037">
        <v>0</v>
      </c>
      <c r="R1037" t="s">
        <v>145</v>
      </c>
      <c r="S1037">
        <v>0</v>
      </c>
    </row>
    <row r="1038" spans="1:19">
      <c r="A1038" t="s">
        <v>35</v>
      </c>
      <c r="B1038" t="s">
        <v>9872</v>
      </c>
      <c r="C1038">
        <f>"H005"</f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 s="2">
        <v>0</v>
      </c>
      <c r="M1038">
        <v>0</v>
      </c>
      <c r="N1038" s="2">
        <v>0</v>
      </c>
      <c r="O1038">
        <v>0</v>
      </c>
      <c r="P1038" t="s">
        <v>100</v>
      </c>
      <c r="Q1038">
        <v>0</v>
      </c>
      <c r="R1038" t="s">
        <v>145</v>
      </c>
      <c r="S1038">
        <v>0</v>
      </c>
    </row>
    <row r="1039" spans="1:19">
      <c r="A1039" t="s">
        <v>35</v>
      </c>
      <c r="B1039" t="s">
        <v>9721</v>
      </c>
      <c r="C1039">
        <f>"40X40"</f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 s="2">
        <v>0</v>
      </c>
      <c r="M1039">
        <v>0</v>
      </c>
      <c r="N1039" s="2">
        <v>0</v>
      </c>
      <c r="O1039">
        <v>0</v>
      </c>
      <c r="P1039" t="s">
        <v>100</v>
      </c>
      <c r="Q1039">
        <v>0</v>
      </c>
      <c r="R1039" t="s">
        <v>145</v>
      </c>
      <c r="S1039">
        <v>0</v>
      </c>
    </row>
    <row r="1040" spans="1:19">
      <c r="A1040" t="s">
        <v>35</v>
      </c>
      <c r="B1040" t="s">
        <v>10056</v>
      </c>
      <c r="C1040">
        <f>"LO80604"</f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 s="2">
        <v>0</v>
      </c>
      <c r="M1040">
        <v>0</v>
      </c>
      <c r="N1040" s="2">
        <v>0</v>
      </c>
      <c r="O1040">
        <v>0</v>
      </c>
      <c r="P1040" t="s">
        <v>100</v>
      </c>
      <c r="Q1040">
        <v>0</v>
      </c>
      <c r="R1040" t="s">
        <v>145</v>
      </c>
      <c r="S1040">
        <v>0</v>
      </c>
    </row>
    <row r="1041" spans="1:19">
      <c r="A1041" t="s">
        <v>35</v>
      </c>
      <c r="B1041" t="s">
        <v>10055</v>
      </c>
      <c r="C1041">
        <f>"LO80603"</f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 s="2">
        <v>0</v>
      </c>
      <c r="M1041">
        <v>0</v>
      </c>
      <c r="N1041" s="2">
        <v>0</v>
      </c>
      <c r="O1041">
        <v>0</v>
      </c>
      <c r="P1041" t="s">
        <v>100</v>
      </c>
      <c r="Q1041">
        <v>0</v>
      </c>
      <c r="R1041" t="s">
        <v>145</v>
      </c>
      <c r="S1041">
        <v>0</v>
      </c>
    </row>
    <row r="1042" spans="1:19">
      <c r="A1042" t="s">
        <v>35</v>
      </c>
      <c r="B1042" t="s">
        <v>10054</v>
      </c>
      <c r="C1042">
        <f>"LO80612"</f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 s="2">
        <v>0</v>
      </c>
      <c r="M1042">
        <v>0</v>
      </c>
      <c r="N1042" s="2">
        <v>0</v>
      </c>
      <c r="O1042">
        <v>0</v>
      </c>
      <c r="P1042" t="s">
        <v>100</v>
      </c>
      <c r="Q1042">
        <v>0</v>
      </c>
      <c r="R1042" t="s">
        <v>145</v>
      </c>
      <c r="S1042">
        <v>0</v>
      </c>
    </row>
    <row r="1043" spans="1:19">
      <c r="A1043" t="s">
        <v>35</v>
      </c>
      <c r="B1043" t="s">
        <v>10053</v>
      </c>
      <c r="C1043">
        <f>"LO80804"</f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 s="2">
        <v>0</v>
      </c>
      <c r="M1043">
        <v>0</v>
      </c>
      <c r="N1043" s="2">
        <v>0</v>
      </c>
      <c r="O1043">
        <v>0</v>
      </c>
      <c r="P1043" t="s">
        <v>100</v>
      </c>
      <c r="Q1043">
        <v>0</v>
      </c>
      <c r="R1043" t="s">
        <v>145</v>
      </c>
      <c r="S1043">
        <v>0</v>
      </c>
    </row>
    <row r="1044" spans="1:19">
      <c r="A1044" t="s">
        <v>35</v>
      </c>
      <c r="B1044" t="s">
        <v>10036</v>
      </c>
      <c r="C1044">
        <f>"LO80803"</f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 s="2">
        <v>0</v>
      </c>
      <c r="M1044">
        <v>0</v>
      </c>
      <c r="N1044" s="2">
        <v>0</v>
      </c>
      <c r="O1044">
        <v>0</v>
      </c>
      <c r="P1044" t="s">
        <v>100</v>
      </c>
      <c r="Q1044">
        <v>0</v>
      </c>
      <c r="R1044" t="s">
        <v>145</v>
      </c>
      <c r="S1044">
        <v>0</v>
      </c>
    </row>
    <row r="1045" spans="1:19">
      <c r="A1045" t="s">
        <v>35</v>
      </c>
      <c r="B1045" t="s">
        <v>9989</v>
      </c>
      <c r="C1045">
        <f>"LO80762"</f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 s="2">
        <v>0</v>
      </c>
      <c r="M1045">
        <v>0</v>
      </c>
      <c r="N1045" s="2">
        <v>0</v>
      </c>
      <c r="O1045">
        <v>0</v>
      </c>
      <c r="P1045" t="s">
        <v>100</v>
      </c>
      <c r="Q1045">
        <v>0</v>
      </c>
      <c r="R1045" t="s">
        <v>145</v>
      </c>
      <c r="S1045">
        <v>0</v>
      </c>
    </row>
    <row r="1046" spans="1:19">
      <c r="A1046" t="s">
        <v>35</v>
      </c>
      <c r="B1046" t="s">
        <v>9988</v>
      </c>
      <c r="C1046">
        <f>"LO80601"</f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 s="2">
        <v>0</v>
      </c>
      <c r="M1046">
        <v>0</v>
      </c>
      <c r="N1046" s="2">
        <v>0</v>
      </c>
      <c r="O1046">
        <v>0</v>
      </c>
      <c r="P1046" t="s">
        <v>100</v>
      </c>
      <c r="Q1046">
        <v>0</v>
      </c>
      <c r="R1046" t="s">
        <v>145</v>
      </c>
      <c r="S1046">
        <v>0</v>
      </c>
    </row>
    <row r="1047" spans="1:19">
      <c r="A1047" t="s">
        <v>35</v>
      </c>
      <c r="B1047" t="s">
        <v>9987</v>
      </c>
      <c r="C1047">
        <f>"LO80600"</f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 s="2">
        <v>0</v>
      </c>
      <c r="M1047">
        <v>0</v>
      </c>
      <c r="N1047" s="2">
        <v>0</v>
      </c>
      <c r="O1047">
        <v>0</v>
      </c>
      <c r="P1047" t="s">
        <v>100</v>
      </c>
      <c r="Q1047">
        <v>0</v>
      </c>
      <c r="R1047" t="s">
        <v>145</v>
      </c>
      <c r="S1047">
        <v>0</v>
      </c>
    </row>
    <row r="1048" spans="1:19">
      <c r="A1048" t="s">
        <v>35</v>
      </c>
      <c r="B1048" t="s">
        <v>9979</v>
      </c>
      <c r="C1048">
        <f>"GASL"</f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 s="2">
        <v>0</v>
      </c>
      <c r="M1048">
        <v>0</v>
      </c>
      <c r="N1048" s="2">
        <v>0</v>
      </c>
      <c r="O1048">
        <v>0</v>
      </c>
      <c r="P1048" t="s">
        <v>100</v>
      </c>
      <c r="Q1048">
        <v>0</v>
      </c>
      <c r="R1048" t="s">
        <v>145</v>
      </c>
      <c r="S1048">
        <v>0</v>
      </c>
    </row>
    <row r="1049" spans="1:19">
      <c r="A1049" t="s">
        <v>35</v>
      </c>
      <c r="B1049" t="s">
        <v>9876</v>
      </c>
      <c r="C1049">
        <f>"0025000004"</f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 s="2">
        <v>0</v>
      </c>
      <c r="M1049">
        <v>0</v>
      </c>
      <c r="N1049" s="2">
        <v>0</v>
      </c>
      <c r="O1049">
        <v>0</v>
      </c>
      <c r="P1049" t="s">
        <v>100</v>
      </c>
      <c r="Q1049">
        <v>0</v>
      </c>
      <c r="R1049" t="s">
        <v>145</v>
      </c>
      <c r="S1049">
        <v>0</v>
      </c>
    </row>
    <row r="1050" spans="1:19">
      <c r="A1050" t="s">
        <v>35</v>
      </c>
      <c r="B1050" t="s">
        <v>9731</v>
      </c>
      <c r="C1050">
        <f>"23122"</f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 s="2">
        <v>0</v>
      </c>
      <c r="M1050">
        <v>0</v>
      </c>
      <c r="N1050" s="2">
        <v>0</v>
      </c>
      <c r="O1050">
        <v>0</v>
      </c>
      <c r="P1050" t="s">
        <v>100</v>
      </c>
      <c r="Q1050">
        <v>0</v>
      </c>
      <c r="R1050" t="s">
        <v>145</v>
      </c>
      <c r="S1050">
        <v>0</v>
      </c>
    </row>
    <row r="1051" spans="1:19">
      <c r="A1051" t="s">
        <v>35</v>
      </c>
      <c r="B1051" t="s">
        <v>9730</v>
      </c>
      <c r="C1051">
        <f>"22768"</f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 s="2">
        <v>0</v>
      </c>
      <c r="M1051">
        <v>0</v>
      </c>
      <c r="N1051" s="2">
        <v>0</v>
      </c>
      <c r="O1051">
        <v>0</v>
      </c>
      <c r="P1051" t="s">
        <v>100</v>
      </c>
      <c r="Q1051">
        <v>0</v>
      </c>
      <c r="R1051" t="s">
        <v>145</v>
      </c>
      <c r="S1051">
        <v>0</v>
      </c>
    </row>
    <row r="1052" spans="1:19">
      <c r="A1052" t="s">
        <v>35</v>
      </c>
      <c r="B1052" t="s">
        <v>9729</v>
      </c>
      <c r="C1052">
        <f>"22767"</f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 s="2">
        <v>0</v>
      </c>
      <c r="M1052">
        <v>0</v>
      </c>
      <c r="N1052" s="2">
        <v>0</v>
      </c>
      <c r="O1052">
        <v>0</v>
      </c>
      <c r="P1052" t="s">
        <v>100</v>
      </c>
      <c r="Q1052">
        <v>0</v>
      </c>
      <c r="R1052" t="s">
        <v>145</v>
      </c>
      <c r="S1052">
        <v>0</v>
      </c>
    </row>
    <row r="1053" spans="1:19">
      <c r="A1053" t="s">
        <v>35</v>
      </c>
      <c r="B1053" t="s">
        <v>8583</v>
      </c>
      <c r="C1053">
        <f>"HC0111"</f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 s="2">
        <v>0</v>
      </c>
      <c r="M1053">
        <v>0</v>
      </c>
      <c r="N1053" s="2">
        <v>0</v>
      </c>
      <c r="O1053">
        <v>0</v>
      </c>
      <c r="P1053" t="s">
        <v>100</v>
      </c>
      <c r="Q1053">
        <v>0</v>
      </c>
      <c r="R1053" t="s">
        <v>145</v>
      </c>
      <c r="S1053">
        <v>0</v>
      </c>
    </row>
    <row r="1054" spans="1:19">
      <c r="A1054" t="s">
        <v>35</v>
      </c>
      <c r="B1054" t="s">
        <v>8582</v>
      </c>
      <c r="C1054">
        <f>"PT088AM"</f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 s="2">
        <v>0</v>
      </c>
      <c r="M1054">
        <v>0</v>
      </c>
      <c r="N1054" s="2">
        <v>0</v>
      </c>
      <c r="O1054">
        <v>0</v>
      </c>
      <c r="P1054" t="s">
        <v>100</v>
      </c>
      <c r="Q1054">
        <v>0</v>
      </c>
      <c r="R1054" t="s">
        <v>145</v>
      </c>
      <c r="S1054">
        <v>0</v>
      </c>
    </row>
    <row r="1055" spans="1:19">
      <c r="A1055" t="s">
        <v>35</v>
      </c>
      <c r="B1055" t="s">
        <v>8581</v>
      </c>
      <c r="C1055">
        <f>"PT088CEL"</f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 s="2">
        <v>0</v>
      </c>
      <c r="M1055">
        <v>0</v>
      </c>
      <c r="N1055" s="2">
        <v>0</v>
      </c>
      <c r="O1055">
        <v>0</v>
      </c>
      <c r="P1055" t="s">
        <v>100</v>
      </c>
      <c r="Q1055">
        <v>0</v>
      </c>
      <c r="R1055" t="s">
        <v>145</v>
      </c>
      <c r="S1055">
        <v>0</v>
      </c>
    </row>
    <row r="1056" spans="1:19">
      <c r="A1056" t="s">
        <v>35</v>
      </c>
      <c r="B1056" t="s">
        <v>8580</v>
      </c>
      <c r="C1056">
        <f>"PT088ROS"</f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 s="2">
        <v>0</v>
      </c>
      <c r="M1056">
        <v>0</v>
      </c>
      <c r="N1056" s="2">
        <v>0</v>
      </c>
      <c r="O1056">
        <v>0</v>
      </c>
      <c r="P1056" t="s">
        <v>100</v>
      </c>
      <c r="Q1056">
        <v>0</v>
      </c>
      <c r="R1056" t="s">
        <v>145</v>
      </c>
      <c r="S1056">
        <v>0</v>
      </c>
    </row>
    <row r="1057" spans="1:19">
      <c r="A1057" t="s">
        <v>35</v>
      </c>
      <c r="B1057" t="s">
        <v>8623</v>
      </c>
      <c r="C1057">
        <f>"HFEM"</f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 s="2">
        <v>0</v>
      </c>
      <c r="M1057">
        <v>0</v>
      </c>
      <c r="N1057" s="2">
        <v>0</v>
      </c>
      <c r="O1057">
        <v>0</v>
      </c>
      <c r="P1057" t="s">
        <v>100</v>
      </c>
      <c r="Q1057">
        <v>0</v>
      </c>
      <c r="R1057" t="s">
        <v>145</v>
      </c>
      <c r="S1057">
        <v>0</v>
      </c>
    </row>
    <row r="1058" spans="1:19">
      <c r="A1058" t="s">
        <v>35</v>
      </c>
      <c r="B1058" t="s">
        <v>8638</v>
      </c>
      <c r="C1058">
        <f>"HFEM2"</f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 s="2">
        <v>0</v>
      </c>
      <c r="M1058">
        <v>0</v>
      </c>
      <c r="N1058" s="2">
        <v>0</v>
      </c>
      <c r="O1058">
        <v>0</v>
      </c>
      <c r="P1058" t="s">
        <v>100</v>
      </c>
      <c r="Q1058">
        <v>0</v>
      </c>
      <c r="R1058" t="s">
        <v>145</v>
      </c>
      <c r="S1058">
        <v>0</v>
      </c>
    </row>
    <row r="1059" spans="1:19">
      <c r="A1059" t="s">
        <v>35</v>
      </c>
      <c r="B1059" t="s">
        <v>9877</v>
      </c>
      <c r="C1059">
        <f>"X007"</f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 s="2">
        <v>0</v>
      </c>
      <c r="M1059">
        <v>0</v>
      </c>
      <c r="N1059" s="2">
        <v>0</v>
      </c>
      <c r="O1059">
        <v>0</v>
      </c>
      <c r="P1059" t="s">
        <v>100</v>
      </c>
      <c r="Q1059">
        <v>0</v>
      </c>
      <c r="R1059" t="s">
        <v>145</v>
      </c>
      <c r="S1059">
        <v>0</v>
      </c>
    </row>
    <row r="1060" spans="1:19">
      <c r="A1060" t="s">
        <v>35</v>
      </c>
      <c r="B1060" t="s">
        <v>9978</v>
      </c>
      <c r="C1060">
        <f>"GASM"</f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 s="2">
        <v>0</v>
      </c>
      <c r="M1060">
        <v>0</v>
      </c>
      <c r="N1060" s="2">
        <v>0</v>
      </c>
      <c r="O1060">
        <v>0</v>
      </c>
      <c r="P1060" t="s">
        <v>100</v>
      </c>
      <c r="Q1060">
        <v>0</v>
      </c>
      <c r="R1060" t="s">
        <v>145</v>
      </c>
      <c r="S1060">
        <v>0</v>
      </c>
    </row>
    <row r="1061" spans="1:19">
      <c r="A1061" t="s">
        <v>35</v>
      </c>
      <c r="B1061" t="s">
        <v>10103</v>
      </c>
      <c r="C1061">
        <f>"XB1813RL"</f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 s="2">
        <v>0</v>
      </c>
      <c r="M1061">
        <v>0</v>
      </c>
      <c r="N1061" s="2">
        <v>0</v>
      </c>
      <c r="O1061">
        <v>0</v>
      </c>
      <c r="P1061" t="s">
        <v>100</v>
      </c>
      <c r="Q1061">
        <v>0</v>
      </c>
      <c r="R1061" t="s">
        <v>145</v>
      </c>
      <c r="S1061">
        <v>0</v>
      </c>
    </row>
    <row r="1062" spans="1:19">
      <c r="A1062" t="s">
        <v>35</v>
      </c>
      <c r="B1062" t="s">
        <v>10101</v>
      </c>
      <c r="C1062">
        <f>"XB09073"</f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 s="2">
        <v>0</v>
      </c>
      <c r="M1062">
        <v>0</v>
      </c>
      <c r="N1062" s="2">
        <v>0</v>
      </c>
      <c r="O1062">
        <v>0</v>
      </c>
      <c r="P1062" t="s">
        <v>100</v>
      </c>
      <c r="Q1062">
        <v>0</v>
      </c>
      <c r="R1062" t="s">
        <v>145</v>
      </c>
      <c r="S1062">
        <v>0</v>
      </c>
    </row>
    <row r="1063" spans="1:19">
      <c r="A1063" t="s">
        <v>35</v>
      </c>
      <c r="B1063" t="s">
        <v>10190</v>
      </c>
      <c r="C1063">
        <f>"XB09072"</f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 s="2">
        <v>0</v>
      </c>
      <c r="M1063">
        <v>0</v>
      </c>
      <c r="N1063" s="2">
        <v>0</v>
      </c>
      <c r="O1063">
        <v>0</v>
      </c>
      <c r="P1063" t="s">
        <v>100</v>
      </c>
      <c r="Q1063">
        <v>0</v>
      </c>
      <c r="R1063" t="s">
        <v>145</v>
      </c>
      <c r="S1063">
        <v>0</v>
      </c>
    </row>
    <row r="1064" spans="1:19">
      <c r="A1064" t="s">
        <v>35</v>
      </c>
      <c r="B1064" t="s">
        <v>10188</v>
      </c>
      <c r="C1064">
        <f>"XB09074"</f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 s="2">
        <v>0</v>
      </c>
      <c r="M1064">
        <v>0</v>
      </c>
      <c r="N1064" s="2">
        <v>0</v>
      </c>
      <c r="O1064">
        <v>0</v>
      </c>
      <c r="P1064" t="s">
        <v>100</v>
      </c>
      <c r="Q1064">
        <v>0</v>
      </c>
      <c r="R1064" t="s">
        <v>145</v>
      </c>
      <c r="S1064">
        <v>0</v>
      </c>
    </row>
    <row r="1065" spans="1:19">
      <c r="A1065" t="s">
        <v>35</v>
      </c>
      <c r="B1065" t="s">
        <v>7633</v>
      </c>
      <c r="C1065">
        <f>"PT015MFA"</f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 s="2">
        <v>0</v>
      </c>
      <c r="M1065">
        <v>0</v>
      </c>
      <c r="N1065" s="2">
        <v>0</v>
      </c>
      <c r="O1065">
        <v>0</v>
      </c>
      <c r="P1065" t="s">
        <v>100</v>
      </c>
      <c r="Q1065">
        <v>0</v>
      </c>
      <c r="R1065" t="s">
        <v>145</v>
      </c>
      <c r="S1065">
        <v>0</v>
      </c>
    </row>
    <row r="1066" spans="1:19">
      <c r="A1066" t="s">
        <v>35</v>
      </c>
      <c r="B1066" t="s">
        <v>5101</v>
      </c>
      <c r="C1066">
        <f>"25570846"</f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 s="2">
        <v>0</v>
      </c>
      <c r="M1066">
        <v>0</v>
      </c>
      <c r="N1066" s="2">
        <v>0</v>
      </c>
      <c r="O1066">
        <v>0</v>
      </c>
      <c r="P1066" t="s">
        <v>100</v>
      </c>
      <c r="Q1066">
        <v>0</v>
      </c>
      <c r="R1066" t="s">
        <v>145</v>
      </c>
      <c r="S1066">
        <v>0</v>
      </c>
    </row>
    <row r="1067" spans="1:19">
      <c r="A1067" t="s">
        <v>35</v>
      </c>
      <c r="B1067" t="s">
        <v>9887</v>
      </c>
      <c r="C1067">
        <f>"hc070"</f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 s="2">
        <v>0</v>
      </c>
      <c r="M1067">
        <v>0</v>
      </c>
      <c r="N1067" s="2">
        <v>0</v>
      </c>
      <c r="O1067">
        <v>0</v>
      </c>
      <c r="P1067" t="s">
        <v>100</v>
      </c>
      <c r="Q1067">
        <v>0</v>
      </c>
      <c r="R1067" t="s">
        <v>145</v>
      </c>
      <c r="S1067">
        <v>0</v>
      </c>
    </row>
    <row r="1068" spans="1:19">
      <c r="A1068" t="s">
        <v>35</v>
      </c>
      <c r="B1068" t="s">
        <v>9886</v>
      </c>
      <c r="C1068">
        <f>"HC092"</f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 s="2">
        <v>0</v>
      </c>
      <c r="M1068">
        <v>0</v>
      </c>
      <c r="N1068" s="2">
        <v>0</v>
      </c>
      <c r="O1068">
        <v>0</v>
      </c>
      <c r="P1068" t="s">
        <v>100</v>
      </c>
      <c r="Q1068">
        <v>0</v>
      </c>
      <c r="R1068" t="s">
        <v>145</v>
      </c>
      <c r="S1068">
        <v>0</v>
      </c>
    </row>
    <row r="1069" spans="1:19">
      <c r="A1069" t="s">
        <v>35</v>
      </c>
      <c r="B1069" t="s">
        <v>9885</v>
      </c>
      <c r="C1069">
        <f>"HC078"</f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 s="2">
        <v>0</v>
      </c>
      <c r="M1069">
        <v>0</v>
      </c>
      <c r="N1069" s="2">
        <v>0</v>
      </c>
      <c r="O1069">
        <v>0</v>
      </c>
      <c r="P1069" t="s">
        <v>100</v>
      </c>
      <c r="Q1069">
        <v>0</v>
      </c>
      <c r="R1069" t="s">
        <v>145</v>
      </c>
      <c r="S1069">
        <v>0</v>
      </c>
    </row>
    <row r="1070" spans="1:19">
      <c r="A1070" t="s">
        <v>35</v>
      </c>
      <c r="B1070" t="s">
        <v>9872</v>
      </c>
      <c r="C1070">
        <f>"HC005"</f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 s="2">
        <v>0</v>
      </c>
      <c r="M1070">
        <v>0</v>
      </c>
      <c r="N1070" s="2">
        <v>0</v>
      </c>
      <c r="O1070">
        <v>0</v>
      </c>
      <c r="P1070" t="s">
        <v>100</v>
      </c>
      <c r="Q1070">
        <v>0</v>
      </c>
      <c r="R1070" t="s">
        <v>145</v>
      </c>
      <c r="S1070">
        <v>0</v>
      </c>
    </row>
    <row r="1071" spans="1:19">
      <c r="A1071" t="s">
        <v>35</v>
      </c>
      <c r="B1071" t="s">
        <v>9883</v>
      </c>
      <c r="C1071">
        <f>"HC079"</f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 s="2">
        <v>0</v>
      </c>
      <c r="M1071">
        <v>0</v>
      </c>
      <c r="N1071" s="2">
        <v>0</v>
      </c>
      <c r="O1071">
        <v>0</v>
      </c>
      <c r="P1071" t="s">
        <v>100</v>
      </c>
      <c r="Q1071">
        <v>0</v>
      </c>
      <c r="R1071" t="s">
        <v>145</v>
      </c>
      <c r="S1071">
        <v>0</v>
      </c>
    </row>
    <row r="1072" spans="1:19">
      <c r="A1072" t="s">
        <v>35</v>
      </c>
      <c r="B1072" t="s">
        <v>9898</v>
      </c>
      <c r="C1072">
        <f>"HC093"</f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 s="2">
        <v>0</v>
      </c>
      <c r="M1072">
        <v>0</v>
      </c>
      <c r="N1072" s="2">
        <v>0</v>
      </c>
      <c r="O1072">
        <v>0</v>
      </c>
      <c r="P1072" t="s">
        <v>100</v>
      </c>
      <c r="Q1072">
        <v>0</v>
      </c>
      <c r="R1072" t="s">
        <v>145</v>
      </c>
      <c r="S1072">
        <v>0</v>
      </c>
    </row>
    <row r="1073" spans="1:19">
      <c r="A1073" t="s">
        <v>35</v>
      </c>
      <c r="B1073" t="s">
        <v>9881</v>
      </c>
      <c r="C1073">
        <f>"HC082"</f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 s="2">
        <v>0</v>
      </c>
      <c r="M1073">
        <v>0</v>
      </c>
      <c r="N1073" s="2">
        <v>0</v>
      </c>
      <c r="O1073">
        <v>0</v>
      </c>
      <c r="P1073" t="s">
        <v>100</v>
      </c>
      <c r="Q1073">
        <v>0</v>
      </c>
      <c r="R1073" t="s">
        <v>145</v>
      </c>
      <c r="S1073">
        <v>0</v>
      </c>
    </row>
    <row r="1074" spans="1:19">
      <c r="A1074" t="s">
        <v>35</v>
      </c>
      <c r="B1074" t="s">
        <v>9880</v>
      </c>
      <c r="C1074">
        <f>"HC094"</f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 s="2">
        <v>0</v>
      </c>
      <c r="M1074">
        <v>0</v>
      </c>
      <c r="N1074" s="2">
        <v>0</v>
      </c>
      <c r="O1074">
        <v>0</v>
      </c>
      <c r="P1074" t="s">
        <v>100</v>
      </c>
      <c r="Q1074">
        <v>0</v>
      </c>
      <c r="R1074" t="s">
        <v>145</v>
      </c>
      <c r="S1074">
        <v>0</v>
      </c>
    </row>
    <row r="1075" spans="1:19">
      <c r="A1075" t="s">
        <v>35</v>
      </c>
      <c r="B1075" t="s">
        <v>9879</v>
      </c>
      <c r="C1075">
        <f>"HC080"</f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 s="2">
        <v>0</v>
      </c>
      <c r="M1075">
        <v>0</v>
      </c>
      <c r="N1075" s="2">
        <v>0</v>
      </c>
      <c r="O1075">
        <v>0</v>
      </c>
      <c r="P1075" t="s">
        <v>100</v>
      </c>
      <c r="Q1075">
        <v>0</v>
      </c>
      <c r="R1075" t="s">
        <v>145</v>
      </c>
      <c r="S1075">
        <v>0</v>
      </c>
    </row>
    <row r="1076" spans="1:19">
      <c r="A1076" t="s">
        <v>35</v>
      </c>
      <c r="B1076" t="s">
        <v>9878</v>
      </c>
      <c r="C1076">
        <f>"HC083"</f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 s="2">
        <v>0</v>
      </c>
      <c r="M1076">
        <v>0</v>
      </c>
      <c r="N1076" s="2">
        <v>0</v>
      </c>
      <c r="O1076">
        <v>0</v>
      </c>
      <c r="P1076" t="s">
        <v>100</v>
      </c>
      <c r="Q1076">
        <v>0</v>
      </c>
      <c r="R1076" t="s">
        <v>145</v>
      </c>
      <c r="S1076">
        <v>0</v>
      </c>
    </row>
    <row r="1077" spans="1:19">
      <c r="A1077" t="s">
        <v>35</v>
      </c>
      <c r="B1077" t="s">
        <v>9848</v>
      </c>
      <c r="C1077">
        <f>"HC001"</f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 s="2">
        <v>0</v>
      </c>
      <c r="M1077">
        <v>0</v>
      </c>
      <c r="N1077" s="2">
        <v>0</v>
      </c>
      <c r="O1077">
        <v>0</v>
      </c>
      <c r="P1077" t="s">
        <v>100</v>
      </c>
      <c r="Q1077">
        <v>0</v>
      </c>
      <c r="R1077" t="s">
        <v>145</v>
      </c>
      <c r="S1077">
        <v>0</v>
      </c>
    </row>
    <row r="1078" spans="1:19">
      <c r="A1078" t="s">
        <v>35</v>
      </c>
      <c r="B1078" t="s">
        <v>9848</v>
      </c>
      <c r="C1078">
        <f>"HC006"</f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 s="2">
        <v>0</v>
      </c>
      <c r="M1078">
        <v>0</v>
      </c>
      <c r="N1078" s="2">
        <v>0</v>
      </c>
      <c r="O1078">
        <v>0</v>
      </c>
      <c r="P1078" t="s">
        <v>100</v>
      </c>
      <c r="Q1078">
        <v>0</v>
      </c>
      <c r="R1078" t="s">
        <v>145</v>
      </c>
      <c r="S1078">
        <v>0</v>
      </c>
    </row>
    <row r="1079" spans="1:19">
      <c r="A1079" t="s">
        <v>35</v>
      </c>
      <c r="B1079" t="s">
        <v>9848</v>
      </c>
      <c r="C1079">
        <f>"HC007"</f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 s="2">
        <v>0</v>
      </c>
      <c r="M1079">
        <v>0</v>
      </c>
      <c r="N1079" s="2">
        <v>0</v>
      </c>
      <c r="O1079">
        <v>0</v>
      </c>
      <c r="P1079" t="s">
        <v>100</v>
      </c>
      <c r="Q1079">
        <v>0</v>
      </c>
      <c r="R1079" t="s">
        <v>145</v>
      </c>
      <c r="S1079">
        <v>0</v>
      </c>
    </row>
    <row r="1080" spans="1:19">
      <c r="A1080" t="s">
        <v>35</v>
      </c>
      <c r="B1080" t="s">
        <v>9847</v>
      </c>
      <c r="C1080">
        <f>"HC0125"</f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 s="2">
        <v>0</v>
      </c>
      <c r="M1080">
        <v>0</v>
      </c>
      <c r="N1080" s="2">
        <v>0</v>
      </c>
      <c r="O1080">
        <v>0</v>
      </c>
      <c r="P1080" t="s">
        <v>100</v>
      </c>
      <c r="Q1080">
        <v>0</v>
      </c>
      <c r="R1080" t="s">
        <v>145</v>
      </c>
      <c r="S1080">
        <v>0</v>
      </c>
    </row>
    <row r="1081" spans="1:19">
      <c r="A1081" t="s">
        <v>35</v>
      </c>
      <c r="B1081" t="s">
        <v>9884</v>
      </c>
      <c r="C1081">
        <f>"HC081"</f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 s="2">
        <v>0</v>
      </c>
      <c r="M1081">
        <v>0</v>
      </c>
      <c r="N1081" s="2">
        <v>0</v>
      </c>
      <c r="O1081">
        <v>0</v>
      </c>
      <c r="P1081" t="s">
        <v>100</v>
      </c>
      <c r="Q1081">
        <v>0</v>
      </c>
      <c r="R1081" t="s">
        <v>145</v>
      </c>
      <c r="S1081">
        <v>0</v>
      </c>
    </row>
    <row r="1082" spans="1:19">
      <c r="A1082" t="s">
        <v>35</v>
      </c>
      <c r="B1082" t="s">
        <v>9871</v>
      </c>
      <c r="C1082">
        <f>"HC116"</f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 s="2">
        <v>0</v>
      </c>
      <c r="M1082">
        <v>0</v>
      </c>
      <c r="N1082" s="2">
        <v>0</v>
      </c>
      <c r="O1082">
        <v>0</v>
      </c>
      <c r="P1082" t="s">
        <v>100</v>
      </c>
      <c r="Q1082">
        <v>0</v>
      </c>
      <c r="R1082" t="s">
        <v>145</v>
      </c>
      <c r="S1082">
        <v>0</v>
      </c>
    </row>
    <row r="1083" spans="1:19">
      <c r="A1083" t="s">
        <v>35</v>
      </c>
      <c r="B1083" t="s">
        <v>9870</v>
      </c>
      <c r="C1083">
        <f>"HC123"</f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 s="2">
        <v>0</v>
      </c>
      <c r="M1083">
        <v>0</v>
      </c>
      <c r="N1083" s="2">
        <v>0</v>
      </c>
      <c r="O1083">
        <v>0</v>
      </c>
      <c r="P1083" t="s">
        <v>100</v>
      </c>
      <c r="Q1083">
        <v>0</v>
      </c>
      <c r="R1083" t="s">
        <v>145</v>
      </c>
      <c r="S1083">
        <v>0</v>
      </c>
    </row>
    <row r="1084" spans="1:19">
      <c r="A1084" t="s">
        <v>35</v>
      </c>
      <c r="B1084" t="s">
        <v>9869</v>
      </c>
      <c r="C1084">
        <f>"HC260"</f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 s="2">
        <v>0</v>
      </c>
      <c r="M1084">
        <v>0</v>
      </c>
      <c r="N1084" s="2">
        <v>0</v>
      </c>
      <c r="O1084">
        <v>0</v>
      </c>
      <c r="P1084" t="s">
        <v>100</v>
      </c>
      <c r="Q1084">
        <v>0</v>
      </c>
      <c r="R1084" t="s">
        <v>145</v>
      </c>
      <c r="S1084">
        <v>0</v>
      </c>
    </row>
    <row r="1085" spans="1:19">
      <c r="A1085" t="s">
        <v>35</v>
      </c>
      <c r="B1085" t="s">
        <v>9267</v>
      </c>
      <c r="C1085">
        <f>"HC291"</f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 s="2">
        <v>0</v>
      </c>
      <c r="M1085">
        <v>0</v>
      </c>
      <c r="N1085" s="2">
        <v>0</v>
      </c>
      <c r="O1085">
        <v>0</v>
      </c>
      <c r="P1085" t="s">
        <v>100</v>
      </c>
      <c r="Q1085">
        <v>0</v>
      </c>
      <c r="R1085" t="s">
        <v>145</v>
      </c>
      <c r="S1085">
        <v>0</v>
      </c>
    </row>
    <row r="1086" spans="1:19">
      <c r="A1086" t="s">
        <v>35</v>
      </c>
      <c r="B1086" t="s">
        <v>8607</v>
      </c>
      <c r="C1086">
        <f>"HC011"</f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 s="2">
        <v>0</v>
      </c>
      <c r="M1086">
        <v>0</v>
      </c>
      <c r="N1086" s="2">
        <v>0</v>
      </c>
      <c r="O1086">
        <v>0</v>
      </c>
      <c r="P1086" t="s">
        <v>100</v>
      </c>
      <c r="Q1086">
        <v>0</v>
      </c>
      <c r="R1086" t="s">
        <v>145</v>
      </c>
      <c r="S1086">
        <v>0</v>
      </c>
    </row>
    <row r="1087" spans="1:19">
      <c r="A1087" t="s">
        <v>35</v>
      </c>
      <c r="B1087" t="s">
        <v>8606</v>
      </c>
      <c r="C1087">
        <f>"HC010"</f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 s="2">
        <v>0</v>
      </c>
      <c r="M1087">
        <v>0</v>
      </c>
      <c r="N1087" s="2">
        <v>0</v>
      </c>
      <c r="O1087">
        <v>0</v>
      </c>
      <c r="P1087" t="s">
        <v>100</v>
      </c>
      <c r="Q1087">
        <v>0</v>
      </c>
      <c r="R1087" t="s">
        <v>145</v>
      </c>
      <c r="S1087">
        <v>0</v>
      </c>
    </row>
    <row r="1088" spans="1:19">
      <c r="A1088" t="s">
        <v>35</v>
      </c>
      <c r="B1088" t="s">
        <v>8605</v>
      </c>
      <c r="C1088">
        <f>"HC009"</f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 s="2">
        <v>0</v>
      </c>
      <c r="M1088">
        <v>0</v>
      </c>
      <c r="N1088" s="2">
        <v>0</v>
      </c>
      <c r="O1088">
        <v>0</v>
      </c>
      <c r="P1088" t="s">
        <v>100</v>
      </c>
      <c r="Q1088">
        <v>0</v>
      </c>
      <c r="R1088" t="s">
        <v>145</v>
      </c>
      <c r="S1088">
        <v>0</v>
      </c>
    </row>
    <row r="1089" spans="1:19">
      <c r="A1089" t="s">
        <v>35</v>
      </c>
      <c r="B1089" t="s">
        <v>8605</v>
      </c>
      <c r="C1089">
        <f>"HC008"</f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 s="2">
        <v>0</v>
      </c>
      <c r="M1089">
        <v>0</v>
      </c>
      <c r="N1089" s="2">
        <v>0</v>
      </c>
      <c r="O1089">
        <v>0</v>
      </c>
      <c r="P1089" t="s">
        <v>100</v>
      </c>
      <c r="Q1089">
        <v>0</v>
      </c>
      <c r="R1089" t="s">
        <v>145</v>
      </c>
      <c r="S1089">
        <v>0</v>
      </c>
    </row>
    <row r="1090" spans="1:19">
      <c r="A1090" t="s">
        <v>35</v>
      </c>
      <c r="B1090" t="s">
        <v>8604</v>
      </c>
      <c r="C1090">
        <f>"HC024"</f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 s="2">
        <v>0</v>
      </c>
      <c r="M1090">
        <v>0</v>
      </c>
      <c r="N1090" s="2">
        <v>0</v>
      </c>
      <c r="O1090">
        <v>0</v>
      </c>
      <c r="P1090" t="s">
        <v>100</v>
      </c>
      <c r="Q1090">
        <v>0</v>
      </c>
      <c r="R1090" t="s">
        <v>145</v>
      </c>
      <c r="S1090">
        <v>0</v>
      </c>
    </row>
    <row r="1091" spans="1:19">
      <c r="A1091" t="s">
        <v>35</v>
      </c>
      <c r="B1091" t="s">
        <v>9891</v>
      </c>
      <c r="C1091">
        <f>"HC0151"</f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 s="2">
        <v>0</v>
      </c>
      <c r="M1091">
        <v>0</v>
      </c>
      <c r="N1091" s="2">
        <v>0</v>
      </c>
      <c r="O1091">
        <v>0</v>
      </c>
      <c r="P1091" t="s">
        <v>100</v>
      </c>
      <c r="Q1091">
        <v>0</v>
      </c>
      <c r="R1091" t="s">
        <v>145</v>
      </c>
      <c r="S1091">
        <v>0</v>
      </c>
    </row>
    <row r="1092" spans="1:19">
      <c r="A1092" t="s">
        <v>35</v>
      </c>
      <c r="B1092" t="s">
        <v>10104</v>
      </c>
      <c r="C1092">
        <f>"XB1813RM"</f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 s="2">
        <v>0</v>
      </c>
      <c r="M1092">
        <v>0</v>
      </c>
      <c r="N1092" s="2">
        <v>0</v>
      </c>
      <c r="O1092">
        <v>0</v>
      </c>
      <c r="P1092" t="s">
        <v>100</v>
      </c>
      <c r="Q1092">
        <v>0</v>
      </c>
      <c r="R1092" t="s">
        <v>145</v>
      </c>
      <c r="S1092">
        <v>0</v>
      </c>
    </row>
    <row r="1093" spans="1:19">
      <c r="A1093" t="s">
        <v>35</v>
      </c>
      <c r="B1093" t="s">
        <v>9889</v>
      </c>
      <c r="C1093">
        <f>"W2002"</f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 s="2">
        <v>0</v>
      </c>
      <c r="M1093">
        <v>0</v>
      </c>
      <c r="N1093" s="2">
        <v>0</v>
      </c>
      <c r="O1093">
        <v>0</v>
      </c>
      <c r="P1093" t="s">
        <v>100</v>
      </c>
      <c r="Q1093">
        <v>0</v>
      </c>
      <c r="R1093" t="s">
        <v>145</v>
      </c>
      <c r="S1093">
        <v>0</v>
      </c>
    </row>
    <row r="1094" spans="1:19">
      <c r="A1094" t="s">
        <v>35</v>
      </c>
      <c r="B1094" t="s">
        <v>9888</v>
      </c>
      <c r="C1094">
        <f>"HC071"</f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 s="2">
        <v>0</v>
      </c>
      <c r="M1094">
        <v>0</v>
      </c>
      <c r="N1094" s="2">
        <v>0</v>
      </c>
      <c r="O1094">
        <v>0</v>
      </c>
      <c r="P1094" t="s">
        <v>100</v>
      </c>
      <c r="Q1094">
        <v>0</v>
      </c>
      <c r="R1094" t="s">
        <v>145</v>
      </c>
      <c r="S1094">
        <v>0</v>
      </c>
    </row>
    <row r="1095" spans="1:19">
      <c r="A1095" t="s">
        <v>35</v>
      </c>
      <c r="B1095" t="s">
        <v>9728</v>
      </c>
      <c r="C1095">
        <f>"22766"</f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 s="2">
        <v>0</v>
      </c>
      <c r="M1095">
        <v>0</v>
      </c>
      <c r="N1095" s="2">
        <v>0</v>
      </c>
      <c r="O1095">
        <v>0</v>
      </c>
      <c r="P1095" t="s">
        <v>100</v>
      </c>
      <c r="Q1095">
        <v>0</v>
      </c>
      <c r="R1095" t="s">
        <v>145</v>
      </c>
      <c r="S1095">
        <v>0</v>
      </c>
    </row>
    <row r="1096" spans="1:19">
      <c r="A1096" t="s">
        <v>35</v>
      </c>
      <c r="B1096" t="s">
        <v>7644</v>
      </c>
      <c r="C1096">
        <f>"XB09071NE"</f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 s="2">
        <v>0</v>
      </c>
      <c r="M1096">
        <v>0</v>
      </c>
      <c r="N1096" s="2">
        <v>0</v>
      </c>
      <c r="O1096">
        <v>0</v>
      </c>
      <c r="P1096" t="s">
        <v>100</v>
      </c>
      <c r="Q1096">
        <v>0</v>
      </c>
      <c r="R1096" t="s">
        <v>145</v>
      </c>
      <c r="S1096">
        <v>0</v>
      </c>
    </row>
    <row r="1097" spans="1:19">
      <c r="A1097" t="s">
        <v>35</v>
      </c>
      <c r="B1097" t="s">
        <v>5370</v>
      </c>
      <c r="C1097">
        <f>"10110"</f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 s="2">
        <v>0</v>
      </c>
      <c r="M1097">
        <v>0</v>
      </c>
      <c r="N1097" s="2">
        <v>0</v>
      </c>
      <c r="O1097">
        <v>0</v>
      </c>
      <c r="P1097" t="s">
        <v>100</v>
      </c>
      <c r="Q1097">
        <v>0</v>
      </c>
      <c r="R1097" t="s">
        <v>145</v>
      </c>
      <c r="S1097">
        <v>0</v>
      </c>
    </row>
    <row r="1098" spans="1:19">
      <c r="A1098" t="s">
        <v>35</v>
      </c>
      <c r="B1098" t="s">
        <v>5369</v>
      </c>
      <c r="C1098">
        <f>"06465"</f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 s="2">
        <v>0</v>
      </c>
      <c r="M1098">
        <v>0</v>
      </c>
      <c r="N1098" s="2">
        <v>0</v>
      </c>
      <c r="O1098">
        <v>0</v>
      </c>
      <c r="P1098" t="s">
        <v>100</v>
      </c>
      <c r="Q1098">
        <v>0</v>
      </c>
      <c r="R1098" t="s">
        <v>145</v>
      </c>
      <c r="S1098">
        <v>0</v>
      </c>
    </row>
    <row r="1099" spans="1:19">
      <c r="A1099" t="s">
        <v>35</v>
      </c>
      <c r="B1099" t="s">
        <v>5368</v>
      </c>
      <c r="C1099">
        <f>"06472"</f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 s="2">
        <v>0</v>
      </c>
      <c r="M1099">
        <v>0</v>
      </c>
      <c r="N1099" s="2">
        <v>0</v>
      </c>
      <c r="O1099">
        <v>0</v>
      </c>
      <c r="P1099" t="s">
        <v>100</v>
      </c>
      <c r="Q1099">
        <v>0</v>
      </c>
      <c r="R1099" t="s">
        <v>145</v>
      </c>
      <c r="S1099">
        <v>0</v>
      </c>
    </row>
    <row r="1100" spans="1:19">
      <c r="A1100" t="s">
        <v>35</v>
      </c>
      <c r="B1100" t="s">
        <v>5367</v>
      </c>
      <c r="C1100">
        <f>"00999"</f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 s="2">
        <v>0</v>
      </c>
      <c r="M1100">
        <v>0</v>
      </c>
      <c r="N1100" s="2">
        <v>0</v>
      </c>
      <c r="O1100">
        <v>0</v>
      </c>
      <c r="P1100" t="s">
        <v>100</v>
      </c>
      <c r="Q1100">
        <v>0</v>
      </c>
      <c r="R1100" t="s">
        <v>145</v>
      </c>
      <c r="S1100">
        <v>0</v>
      </c>
    </row>
    <row r="1101" spans="1:19">
      <c r="A1101" t="s">
        <v>35</v>
      </c>
      <c r="B1101" t="s">
        <v>5366</v>
      </c>
      <c r="C1101">
        <f>"01019"</f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 s="2">
        <v>0</v>
      </c>
      <c r="M1101">
        <v>0</v>
      </c>
      <c r="N1101" s="2">
        <v>0</v>
      </c>
      <c r="O1101">
        <v>0</v>
      </c>
      <c r="P1101" t="s">
        <v>100</v>
      </c>
      <c r="Q1101">
        <v>0</v>
      </c>
      <c r="R1101" t="s">
        <v>145</v>
      </c>
      <c r="S1101">
        <v>0</v>
      </c>
    </row>
    <row r="1102" spans="1:19">
      <c r="A1102" t="s">
        <v>35</v>
      </c>
      <c r="B1102" t="s">
        <v>5365</v>
      </c>
      <c r="C1102">
        <f>"01002"</f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 s="2">
        <v>0</v>
      </c>
      <c r="M1102">
        <v>0</v>
      </c>
      <c r="N1102" s="2">
        <v>0</v>
      </c>
      <c r="O1102">
        <v>0</v>
      </c>
      <c r="P1102" t="s">
        <v>100</v>
      </c>
      <c r="Q1102">
        <v>0</v>
      </c>
      <c r="R1102" t="s">
        <v>145</v>
      </c>
      <c r="S1102">
        <v>0</v>
      </c>
    </row>
    <row r="1103" spans="1:19">
      <c r="A1103" t="s">
        <v>35</v>
      </c>
      <c r="B1103" t="s">
        <v>9890</v>
      </c>
      <c r="C1103">
        <f>"w0053"</f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 s="2">
        <v>0</v>
      </c>
      <c r="M1103">
        <v>0</v>
      </c>
      <c r="N1103" s="2">
        <v>0</v>
      </c>
      <c r="O1103">
        <v>0</v>
      </c>
      <c r="P1103" t="s">
        <v>100</v>
      </c>
      <c r="Q1103">
        <v>0</v>
      </c>
      <c r="R1103" t="s">
        <v>145</v>
      </c>
      <c r="S1103">
        <v>0</v>
      </c>
    </row>
    <row r="1104" spans="1:19">
      <c r="A1104" t="s">
        <v>35</v>
      </c>
      <c r="B1104" t="s">
        <v>9378</v>
      </c>
      <c r="C1104">
        <f>"TC777LS"</f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 s="2">
        <v>0</v>
      </c>
      <c r="M1104">
        <v>0</v>
      </c>
      <c r="N1104" s="2">
        <v>0</v>
      </c>
      <c r="O1104">
        <v>0</v>
      </c>
      <c r="P1104" t="s">
        <v>100</v>
      </c>
      <c r="Q1104">
        <v>0</v>
      </c>
      <c r="R1104" t="s">
        <v>145</v>
      </c>
      <c r="S1104">
        <v>0</v>
      </c>
    </row>
    <row r="1105" spans="1:19">
      <c r="A1105" t="s">
        <v>35</v>
      </c>
      <c r="B1105" t="s">
        <v>9377</v>
      </c>
      <c r="C1105">
        <f>"TC777MS"</f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 s="2">
        <v>0</v>
      </c>
      <c r="M1105">
        <v>0</v>
      </c>
      <c r="N1105" s="2">
        <v>0</v>
      </c>
      <c r="O1105">
        <v>0</v>
      </c>
      <c r="P1105" t="s">
        <v>100</v>
      </c>
      <c r="Q1105">
        <v>0</v>
      </c>
      <c r="R1105" t="s">
        <v>145</v>
      </c>
      <c r="S1105">
        <v>0</v>
      </c>
    </row>
    <row r="1106" spans="1:19">
      <c r="A1106" t="s">
        <v>35</v>
      </c>
      <c r="B1106" t="s">
        <v>8360</v>
      </c>
      <c r="C1106">
        <f>"042C"</f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 s="2">
        <v>0</v>
      </c>
      <c r="M1106">
        <v>0</v>
      </c>
      <c r="N1106" s="2">
        <v>0</v>
      </c>
      <c r="O1106">
        <v>0</v>
      </c>
      <c r="P1106" t="s">
        <v>100</v>
      </c>
      <c r="Q1106">
        <v>0</v>
      </c>
      <c r="R1106" t="s">
        <v>145</v>
      </c>
      <c r="S1106">
        <v>0</v>
      </c>
    </row>
    <row r="1107" spans="1:19">
      <c r="A1107" t="s">
        <v>35</v>
      </c>
      <c r="B1107" t="s">
        <v>9421</v>
      </c>
      <c r="C1107">
        <f>"MF889"</f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 s="2">
        <v>0</v>
      </c>
      <c r="M1107">
        <v>0</v>
      </c>
      <c r="N1107" s="2">
        <v>0</v>
      </c>
      <c r="O1107">
        <v>0</v>
      </c>
      <c r="P1107" t="s">
        <v>100</v>
      </c>
      <c r="Q1107">
        <v>0</v>
      </c>
      <c r="R1107" t="s">
        <v>145</v>
      </c>
      <c r="S1107">
        <v>0</v>
      </c>
    </row>
    <row r="1108" spans="1:19">
      <c r="A1108" t="s">
        <v>35</v>
      </c>
      <c r="B1108" t="s">
        <v>9420</v>
      </c>
      <c r="C1108">
        <f>"28002C"</f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 s="2">
        <v>0</v>
      </c>
      <c r="M1108">
        <v>0</v>
      </c>
      <c r="N1108" s="2">
        <v>0</v>
      </c>
      <c r="O1108">
        <v>0</v>
      </c>
      <c r="P1108" t="s">
        <v>100</v>
      </c>
      <c r="Q1108">
        <v>0</v>
      </c>
      <c r="R1108" t="s">
        <v>145</v>
      </c>
      <c r="S1108">
        <v>0</v>
      </c>
    </row>
    <row r="1109" spans="1:19">
      <c r="A1109" t="s">
        <v>35</v>
      </c>
      <c r="B1109" t="s">
        <v>10044</v>
      </c>
      <c r="C1109">
        <f>"DR113A"</f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 s="2">
        <v>0</v>
      </c>
      <c r="M1109">
        <v>0</v>
      </c>
      <c r="N1109" s="2">
        <v>0</v>
      </c>
      <c r="O1109">
        <v>0</v>
      </c>
      <c r="P1109" t="s">
        <v>100</v>
      </c>
      <c r="Q1109">
        <v>0</v>
      </c>
      <c r="R1109" t="s">
        <v>145</v>
      </c>
      <c r="S1109">
        <v>0</v>
      </c>
    </row>
    <row r="1110" spans="1:19">
      <c r="A1110" t="s">
        <v>35</v>
      </c>
      <c r="B1110" t="s">
        <v>10042</v>
      </c>
      <c r="C1110">
        <f>"RD001A"</f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 s="2">
        <v>0</v>
      </c>
      <c r="M1110">
        <v>0</v>
      </c>
      <c r="N1110" s="2">
        <v>0</v>
      </c>
      <c r="O1110">
        <v>0</v>
      </c>
      <c r="P1110" t="s">
        <v>100</v>
      </c>
      <c r="Q1110">
        <v>0</v>
      </c>
      <c r="R1110" t="s">
        <v>145</v>
      </c>
      <c r="S1110">
        <v>0</v>
      </c>
    </row>
    <row r="1111" spans="1:19">
      <c r="A1111" t="s">
        <v>35</v>
      </c>
      <c r="B1111" t="s">
        <v>801</v>
      </c>
      <c r="C1111">
        <f>"JQ1000"</f>
        <v>0</v>
      </c>
      <c r="D1111">
        <v>0</v>
      </c>
      <c r="E1111">
        <v>4</v>
      </c>
      <c r="F1111">
        <v>0</v>
      </c>
      <c r="G1111">
        <v>0</v>
      </c>
      <c r="H1111">
        <v>4</v>
      </c>
      <c r="I1111">
        <v>0</v>
      </c>
      <c r="J1111">
        <v>0</v>
      </c>
      <c r="K1111">
        <v>0</v>
      </c>
      <c r="L1111" s="2">
        <v>0</v>
      </c>
      <c r="M1111">
        <v>0</v>
      </c>
      <c r="N1111" s="2">
        <v>0</v>
      </c>
      <c r="O1111">
        <v>0</v>
      </c>
      <c r="P1111" t="s">
        <v>100</v>
      </c>
      <c r="Q1111">
        <v>0</v>
      </c>
      <c r="R1111" t="s">
        <v>145</v>
      </c>
      <c r="S1111">
        <v>0</v>
      </c>
    </row>
    <row r="1112" spans="1:19">
      <c r="A1112" t="s">
        <v>35</v>
      </c>
      <c r="B1112" t="s">
        <v>10077</v>
      </c>
      <c r="C1112">
        <f>"FURMC"</f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 s="2">
        <v>0</v>
      </c>
      <c r="M1112">
        <v>0</v>
      </c>
      <c r="N1112" s="2">
        <v>0</v>
      </c>
      <c r="O1112">
        <v>0</v>
      </c>
      <c r="P1112" t="s">
        <v>100</v>
      </c>
      <c r="Q1112">
        <v>0</v>
      </c>
      <c r="R1112" t="s">
        <v>145</v>
      </c>
      <c r="S1112">
        <v>0</v>
      </c>
    </row>
    <row r="1113" spans="1:19">
      <c r="A1113" t="s">
        <v>35</v>
      </c>
      <c r="B1113" t="s">
        <v>9809</v>
      </c>
      <c r="C1113">
        <f>"YE79454"</f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 s="2">
        <v>0</v>
      </c>
      <c r="M1113">
        <v>0</v>
      </c>
      <c r="N1113" s="2">
        <v>0</v>
      </c>
      <c r="O1113">
        <v>0</v>
      </c>
      <c r="P1113" t="s">
        <v>100</v>
      </c>
      <c r="Q1113">
        <v>0</v>
      </c>
      <c r="R1113" t="s">
        <v>145</v>
      </c>
      <c r="S1113">
        <v>0</v>
      </c>
    </row>
    <row r="1114" spans="1:19">
      <c r="A1114" t="s">
        <v>35</v>
      </c>
      <c r="B1114" t="s">
        <v>1038</v>
      </c>
      <c r="C1114">
        <f>"7011243"</f>
        <v>0</v>
      </c>
      <c r="D1114">
        <v>0</v>
      </c>
      <c r="E1114">
        <v>0</v>
      </c>
      <c r="F1114">
        <v>2</v>
      </c>
      <c r="G1114">
        <v>0</v>
      </c>
      <c r="H1114">
        <v>2</v>
      </c>
      <c r="I1114">
        <v>0</v>
      </c>
      <c r="J1114">
        <v>0</v>
      </c>
      <c r="K1114">
        <v>0</v>
      </c>
      <c r="L1114" s="2">
        <v>0</v>
      </c>
      <c r="M1114">
        <v>0</v>
      </c>
      <c r="N1114" s="2">
        <v>0</v>
      </c>
      <c r="O1114">
        <v>0</v>
      </c>
      <c r="P1114" t="s">
        <v>100</v>
      </c>
      <c r="Q1114">
        <v>0</v>
      </c>
      <c r="R1114" t="s">
        <v>145</v>
      </c>
      <c r="S1114">
        <v>0</v>
      </c>
    </row>
    <row r="1115" spans="1:19">
      <c r="A1115" t="s">
        <v>35</v>
      </c>
      <c r="B1115" t="s">
        <v>1444</v>
      </c>
      <c r="C1115">
        <f>"7011245"</f>
        <v>0</v>
      </c>
      <c r="D1115">
        <v>1</v>
      </c>
      <c r="E1115">
        <v>0</v>
      </c>
      <c r="F1115">
        <v>0</v>
      </c>
      <c r="G1115">
        <v>0</v>
      </c>
      <c r="H1115">
        <v>1</v>
      </c>
      <c r="I1115">
        <v>0</v>
      </c>
      <c r="J1115">
        <v>0</v>
      </c>
      <c r="K1115">
        <v>0</v>
      </c>
      <c r="L1115" s="2">
        <v>0</v>
      </c>
      <c r="M1115">
        <v>0</v>
      </c>
      <c r="N1115" s="2">
        <v>0</v>
      </c>
      <c r="O1115">
        <v>0</v>
      </c>
      <c r="P1115" t="s">
        <v>100</v>
      </c>
      <c r="Q1115">
        <v>0</v>
      </c>
      <c r="R1115" t="s">
        <v>145</v>
      </c>
      <c r="S1115">
        <v>0</v>
      </c>
    </row>
    <row r="1116" spans="1:19">
      <c r="A1116" t="s">
        <v>35</v>
      </c>
      <c r="B1116" t="s">
        <v>8694</v>
      </c>
      <c r="C1116">
        <f>"LJC48"</f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 s="2">
        <v>0</v>
      </c>
      <c r="M1116">
        <v>0</v>
      </c>
      <c r="N1116" s="2">
        <v>0</v>
      </c>
      <c r="O1116">
        <v>0</v>
      </c>
      <c r="P1116" t="s">
        <v>100</v>
      </c>
      <c r="Q1116">
        <v>0</v>
      </c>
      <c r="R1116" t="s">
        <v>145</v>
      </c>
      <c r="S1116">
        <v>0</v>
      </c>
    </row>
    <row r="1117" spans="1:19">
      <c r="A1117" t="s">
        <v>35</v>
      </c>
      <c r="B1117" t="s">
        <v>8357</v>
      </c>
      <c r="C1117">
        <f>"ATLAS10R"</f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 s="2">
        <v>0</v>
      </c>
      <c r="M1117">
        <v>0</v>
      </c>
      <c r="N1117" s="2">
        <v>0</v>
      </c>
      <c r="O1117">
        <v>0</v>
      </c>
      <c r="P1117" t="s">
        <v>100</v>
      </c>
      <c r="Q1117">
        <v>0</v>
      </c>
      <c r="R1117" t="s">
        <v>145</v>
      </c>
      <c r="S1117">
        <v>0</v>
      </c>
    </row>
    <row r="1118" spans="1:19">
      <c r="A1118" t="s">
        <v>35</v>
      </c>
      <c r="B1118" t="s">
        <v>8354</v>
      </c>
      <c r="C1118">
        <f>"ATLAS20R"</f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 s="2">
        <v>0</v>
      </c>
      <c r="M1118">
        <v>0</v>
      </c>
      <c r="N1118" s="2">
        <v>0</v>
      </c>
      <c r="O1118">
        <v>0</v>
      </c>
      <c r="P1118" t="s">
        <v>100</v>
      </c>
      <c r="Q1118">
        <v>0</v>
      </c>
      <c r="R1118" t="s">
        <v>145</v>
      </c>
      <c r="S1118">
        <v>0</v>
      </c>
    </row>
    <row r="1119" spans="1:19">
      <c r="A1119" t="s">
        <v>35</v>
      </c>
      <c r="B1119" t="s">
        <v>10071</v>
      </c>
      <c r="C1119">
        <f>"FURSL"</f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 s="2">
        <v>0</v>
      </c>
      <c r="M1119">
        <v>0</v>
      </c>
      <c r="N1119" s="2">
        <v>0</v>
      </c>
      <c r="O1119">
        <v>0</v>
      </c>
      <c r="P1119" t="s">
        <v>100</v>
      </c>
      <c r="Q1119">
        <v>0</v>
      </c>
      <c r="R1119" t="s">
        <v>145</v>
      </c>
      <c r="S1119">
        <v>0</v>
      </c>
    </row>
    <row r="1120" spans="1:19">
      <c r="A1120" t="s">
        <v>35</v>
      </c>
      <c r="B1120" t="s">
        <v>10051</v>
      </c>
      <c r="C1120">
        <f>"HC0105"</f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 s="2">
        <v>0</v>
      </c>
      <c r="M1120">
        <v>0</v>
      </c>
      <c r="N1120" s="2">
        <v>0</v>
      </c>
      <c r="O1120">
        <v>0</v>
      </c>
      <c r="P1120" t="s">
        <v>100</v>
      </c>
      <c r="Q1120">
        <v>0</v>
      </c>
      <c r="R1120" t="s">
        <v>145</v>
      </c>
      <c r="S1120">
        <v>0</v>
      </c>
    </row>
    <row r="1121" spans="1:19">
      <c r="A1121" t="s">
        <v>35</v>
      </c>
      <c r="B1121" t="s">
        <v>10050</v>
      </c>
      <c r="C1121">
        <f>"LO80800"</f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 s="2">
        <v>0</v>
      </c>
      <c r="M1121">
        <v>0</v>
      </c>
      <c r="N1121" s="2">
        <v>0</v>
      </c>
      <c r="O1121">
        <v>0</v>
      </c>
      <c r="P1121" t="s">
        <v>100</v>
      </c>
      <c r="Q1121">
        <v>0</v>
      </c>
      <c r="R1121" t="s">
        <v>145</v>
      </c>
      <c r="S1121">
        <v>0</v>
      </c>
    </row>
    <row r="1122" spans="1:19">
      <c r="A1122" t="s">
        <v>35</v>
      </c>
      <c r="B1122" t="s">
        <v>10068</v>
      </c>
      <c r="C1122">
        <f>"12343"</f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 s="2">
        <v>0</v>
      </c>
      <c r="M1122">
        <v>0</v>
      </c>
      <c r="N1122" s="2">
        <v>0</v>
      </c>
      <c r="O1122">
        <v>0</v>
      </c>
      <c r="P1122" t="s">
        <v>100</v>
      </c>
      <c r="Q1122">
        <v>0</v>
      </c>
      <c r="R1122" t="s">
        <v>145</v>
      </c>
      <c r="S1122">
        <v>0</v>
      </c>
    </row>
    <row r="1123" spans="1:19">
      <c r="A1123" t="s">
        <v>35</v>
      </c>
      <c r="B1123" t="s">
        <v>1040</v>
      </c>
      <c r="C1123">
        <f>"PF010"</f>
        <v>0</v>
      </c>
      <c r="D1123">
        <v>2</v>
      </c>
      <c r="E1123">
        <v>0</v>
      </c>
      <c r="F1123">
        <v>0</v>
      </c>
      <c r="G1123">
        <v>0</v>
      </c>
      <c r="H1123">
        <v>2</v>
      </c>
      <c r="I1123">
        <v>0</v>
      </c>
      <c r="J1123">
        <v>0</v>
      </c>
      <c r="K1123">
        <v>0</v>
      </c>
      <c r="L1123" s="2">
        <v>0</v>
      </c>
      <c r="M1123">
        <v>0</v>
      </c>
      <c r="N1123" s="2">
        <v>0</v>
      </c>
      <c r="O1123">
        <v>0</v>
      </c>
      <c r="P1123" t="s">
        <v>100</v>
      </c>
      <c r="Q1123">
        <v>0</v>
      </c>
      <c r="R1123" t="s">
        <v>145</v>
      </c>
      <c r="S1123">
        <v>0</v>
      </c>
    </row>
    <row r="1124" spans="1:19">
      <c r="A1124" t="s">
        <v>35</v>
      </c>
      <c r="B1124" t="s">
        <v>10076</v>
      </c>
      <c r="C1124">
        <f>"FURMCP"</f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 s="2">
        <v>0</v>
      </c>
      <c r="M1124">
        <v>0</v>
      </c>
      <c r="N1124" s="2">
        <v>0</v>
      </c>
      <c r="O1124">
        <v>0</v>
      </c>
      <c r="P1124" t="s">
        <v>100</v>
      </c>
      <c r="Q1124">
        <v>0</v>
      </c>
      <c r="R1124" t="s">
        <v>145</v>
      </c>
      <c r="S1124">
        <v>0</v>
      </c>
    </row>
    <row r="1125" spans="1:19">
      <c r="A1125" t="s">
        <v>35</v>
      </c>
      <c r="B1125" t="s">
        <v>9429</v>
      </c>
      <c r="C1125">
        <f>"TC777S"</f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 s="2">
        <v>0</v>
      </c>
      <c r="M1125">
        <v>0</v>
      </c>
      <c r="N1125" s="2">
        <v>0</v>
      </c>
      <c r="O1125">
        <v>0</v>
      </c>
      <c r="P1125" t="s">
        <v>100</v>
      </c>
      <c r="Q1125">
        <v>0</v>
      </c>
      <c r="R1125" t="s">
        <v>145</v>
      </c>
      <c r="S1125">
        <v>0</v>
      </c>
    </row>
    <row r="1126" spans="1:19">
      <c r="A1126" t="s">
        <v>35</v>
      </c>
      <c r="B1126" t="s">
        <v>1472</v>
      </c>
      <c r="C1126">
        <f>"TC777XL"</f>
        <v>0</v>
      </c>
      <c r="D1126">
        <v>1</v>
      </c>
      <c r="E1126">
        <v>0</v>
      </c>
      <c r="F1126">
        <v>0</v>
      </c>
      <c r="G1126">
        <v>0</v>
      </c>
      <c r="H1126">
        <v>1</v>
      </c>
      <c r="I1126">
        <v>0</v>
      </c>
      <c r="J1126">
        <v>0</v>
      </c>
      <c r="K1126">
        <v>0</v>
      </c>
      <c r="L1126" s="2">
        <v>0</v>
      </c>
      <c r="M1126">
        <v>0</v>
      </c>
      <c r="N1126" s="2">
        <v>0</v>
      </c>
      <c r="O1126">
        <v>0</v>
      </c>
      <c r="P1126" t="s">
        <v>100</v>
      </c>
      <c r="Q1126">
        <v>0</v>
      </c>
      <c r="R1126" t="s">
        <v>145</v>
      </c>
      <c r="S1126">
        <v>0</v>
      </c>
    </row>
    <row r="1127" spans="1:19">
      <c r="A1127" t="s">
        <v>35</v>
      </c>
      <c r="B1127" t="s">
        <v>9470</v>
      </c>
      <c r="C1127">
        <f>"CTB85MO"</f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 s="2">
        <v>0</v>
      </c>
      <c r="M1127">
        <v>0</v>
      </c>
      <c r="N1127" s="2">
        <v>0</v>
      </c>
      <c r="O1127">
        <v>0</v>
      </c>
      <c r="P1127" t="s">
        <v>100</v>
      </c>
      <c r="Q1127">
        <v>0</v>
      </c>
      <c r="R1127" t="s">
        <v>145</v>
      </c>
      <c r="S1127">
        <v>0</v>
      </c>
    </row>
    <row r="1128" spans="1:19">
      <c r="A1128" t="s">
        <v>35</v>
      </c>
      <c r="B1128" t="s">
        <v>9469</v>
      </c>
      <c r="C1128">
        <f>"CTB85NA"</f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 s="2">
        <v>0</v>
      </c>
      <c r="M1128">
        <v>0</v>
      </c>
      <c r="N1128" s="2">
        <v>0</v>
      </c>
      <c r="O1128">
        <v>0</v>
      </c>
      <c r="P1128" t="s">
        <v>100</v>
      </c>
      <c r="Q1128">
        <v>0</v>
      </c>
      <c r="R1128" t="s">
        <v>145</v>
      </c>
      <c r="S1128">
        <v>0</v>
      </c>
    </row>
    <row r="1129" spans="1:19">
      <c r="A1129" t="s">
        <v>35</v>
      </c>
      <c r="B1129" t="s">
        <v>1512</v>
      </c>
      <c r="C1129">
        <f>"CTB85VE"</f>
        <v>0</v>
      </c>
      <c r="D1129">
        <v>0</v>
      </c>
      <c r="E1129">
        <v>0</v>
      </c>
      <c r="F1129">
        <v>1</v>
      </c>
      <c r="G1129">
        <v>0</v>
      </c>
      <c r="H1129">
        <v>1</v>
      </c>
      <c r="I1129">
        <v>0</v>
      </c>
      <c r="J1129">
        <v>0</v>
      </c>
      <c r="K1129">
        <v>0</v>
      </c>
      <c r="L1129" s="2">
        <v>0</v>
      </c>
      <c r="M1129">
        <v>0</v>
      </c>
      <c r="N1129" s="2">
        <v>0</v>
      </c>
      <c r="O1129">
        <v>0</v>
      </c>
      <c r="P1129" t="s">
        <v>11041</v>
      </c>
      <c r="Q1129">
        <v>-1.588</v>
      </c>
      <c r="R1129" t="s">
        <v>11158</v>
      </c>
      <c r="S1129">
        <v>0</v>
      </c>
    </row>
    <row r="1130" spans="1:19">
      <c r="A1130" t="s">
        <v>35</v>
      </c>
      <c r="B1130" t="s">
        <v>9468</v>
      </c>
      <c r="C1130">
        <f>"CTB85VEF"</f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 s="2">
        <v>0</v>
      </c>
      <c r="M1130">
        <v>0</v>
      </c>
      <c r="N1130" s="2">
        <v>0</v>
      </c>
      <c r="O1130">
        <v>0</v>
      </c>
      <c r="P1130" t="s">
        <v>100</v>
      </c>
      <c r="Q1130">
        <v>0</v>
      </c>
      <c r="R1130" t="s">
        <v>145</v>
      </c>
      <c r="S1130">
        <v>0</v>
      </c>
    </row>
    <row r="1131" spans="1:19">
      <c r="A1131" t="s">
        <v>35</v>
      </c>
      <c r="B1131" t="s">
        <v>9465</v>
      </c>
      <c r="C1131">
        <f>"W008XXSA"</f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 s="2">
        <v>0</v>
      </c>
      <c r="M1131">
        <v>0</v>
      </c>
      <c r="N1131" s="2">
        <v>0</v>
      </c>
      <c r="O1131">
        <v>0</v>
      </c>
      <c r="P1131" t="s">
        <v>100</v>
      </c>
      <c r="Q1131">
        <v>0</v>
      </c>
      <c r="R1131" t="s">
        <v>145</v>
      </c>
      <c r="S1131">
        <v>0</v>
      </c>
    </row>
    <row r="1132" spans="1:19">
      <c r="A1132" t="s">
        <v>35</v>
      </c>
      <c r="B1132" t="s">
        <v>9465</v>
      </c>
      <c r="C1132">
        <f>"W008XSA"</f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 s="2">
        <v>0</v>
      </c>
      <c r="M1132">
        <v>0</v>
      </c>
      <c r="N1132" s="2">
        <v>0</v>
      </c>
      <c r="O1132">
        <v>0</v>
      </c>
      <c r="P1132" t="s">
        <v>100</v>
      </c>
      <c r="Q1132">
        <v>0</v>
      </c>
      <c r="R1132" t="s">
        <v>145</v>
      </c>
      <c r="S1132">
        <v>0</v>
      </c>
    </row>
    <row r="1133" spans="1:19">
      <c r="A1133" t="s">
        <v>35</v>
      </c>
      <c r="B1133" t="s">
        <v>9418</v>
      </c>
      <c r="C1133">
        <f>"D412"</f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 s="2">
        <v>0</v>
      </c>
      <c r="M1133">
        <v>0</v>
      </c>
      <c r="N1133" s="2">
        <v>0</v>
      </c>
      <c r="O1133">
        <v>0</v>
      </c>
      <c r="P1133" t="s">
        <v>100</v>
      </c>
      <c r="Q1133">
        <v>0</v>
      </c>
      <c r="R1133" t="s">
        <v>145</v>
      </c>
      <c r="S1133">
        <v>0</v>
      </c>
    </row>
    <row r="1134" spans="1:19">
      <c r="A1134" t="s">
        <v>35</v>
      </c>
      <c r="B1134" t="s">
        <v>1332</v>
      </c>
      <c r="C1134">
        <f>"W008MR"</f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 s="2">
        <v>0</v>
      </c>
      <c r="M1134">
        <v>0</v>
      </c>
      <c r="N1134" s="2">
        <v>0</v>
      </c>
      <c r="O1134">
        <v>0</v>
      </c>
      <c r="P1134" t="s">
        <v>100</v>
      </c>
      <c r="Q1134">
        <v>0</v>
      </c>
      <c r="R1134" t="s">
        <v>145</v>
      </c>
      <c r="S1134">
        <v>0</v>
      </c>
    </row>
    <row r="1135" spans="1:19">
      <c r="A1135" t="s">
        <v>35</v>
      </c>
      <c r="B1135" t="s">
        <v>9405</v>
      </c>
      <c r="C1135">
        <f>"RJ745A"</f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 s="2">
        <v>0</v>
      </c>
      <c r="M1135">
        <v>0</v>
      </c>
      <c r="N1135" s="2">
        <v>0</v>
      </c>
      <c r="O1135">
        <v>0</v>
      </c>
      <c r="P1135" t="s">
        <v>100</v>
      </c>
      <c r="Q1135">
        <v>0</v>
      </c>
      <c r="R1135" t="s">
        <v>145</v>
      </c>
      <c r="S1135">
        <v>0</v>
      </c>
    </row>
    <row r="1136" spans="1:19">
      <c r="A1136" t="s">
        <v>35</v>
      </c>
      <c r="B1136" t="s">
        <v>9404</v>
      </c>
      <c r="C1136">
        <f>"RJ745G"</f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 s="2">
        <v>0</v>
      </c>
      <c r="M1136">
        <v>0</v>
      </c>
      <c r="N1136" s="2">
        <v>0</v>
      </c>
      <c r="O1136">
        <v>0</v>
      </c>
      <c r="P1136" t="s">
        <v>100</v>
      </c>
      <c r="Q1136">
        <v>0</v>
      </c>
      <c r="R1136" t="s">
        <v>145</v>
      </c>
      <c r="S1136">
        <v>0</v>
      </c>
    </row>
    <row r="1137" spans="1:19">
      <c r="A1137" t="s">
        <v>35</v>
      </c>
      <c r="B1137" t="s">
        <v>9403</v>
      </c>
      <c r="C1137">
        <f>"DR27"</f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 s="2">
        <v>0</v>
      </c>
      <c r="M1137">
        <v>0</v>
      </c>
      <c r="N1137" s="2">
        <v>0</v>
      </c>
      <c r="O1137">
        <v>0</v>
      </c>
      <c r="P1137" t="s">
        <v>100</v>
      </c>
      <c r="Q1137">
        <v>0</v>
      </c>
      <c r="R1137" t="s">
        <v>145</v>
      </c>
      <c r="S1137">
        <v>0</v>
      </c>
    </row>
    <row r="1138" spans="1:19">
      <c r="A1138" t="s">
        <v>35</v>
      </c>
      <c r="B1138" t="s">
        <v>9402</v>
      </c>
      <c r="C1138">
        <f>"MF889A"</f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 s="2">
        <v>0</v>
      </c>
      <c r="M1138">
        <v>0</v>
      </c>
      <c r="N1138" s="2">
        <v>0</v>
      </c>
      <c r="O1138">
        <v>0</v>
      </c>
      <c r="P1138" t="s">
        <v>100</v>
      </c>
      <c r="Q1138">
        <v>0</v>
      </c>
      <c r="R1138" t="s">
        <v>145</v>
      </c>
      <c r="S1138">
        <v>0</v>
      </c>
    </row>
    <row r="1139" spans="1:19">
      <c r="A1139" t="s">
        <v>35</v>
      </c>
      <c r="B1139" t="s">
        <v>1361</v>
      </c>
      <c r="C1139">
        <f>"RD016A"</f>
        <v>0</v>
      </c>
      <c r="D1139">
        <v>0</v>
      </c>
      <c r="E1139">
        <v>1</v>
      </c>
      <c r="F1139">
        <v>0</v>
      </c>
      <c r="G1139">
        <v>0</v>
      </c>
      <c r="H1139">
        <v>1</v>
      </c>
      <c r="I1139">
        <v>0</v>
      </c>
      <c r="J1139">
        <v>0</v>
      </c>
      <c r="K1139">
        <v>0</v>
      </c>
      <c r="L1139" s="2">
        <v>0</v>
      </c>
      <c r="M1139">
        <v>0</v>
      </c>
      <c r="N1139" s="2">
        <v>0</v>
      </c>
      <c r="O1139">
        <v>0</v>
      </c>
      <c r="P1139" t="s">
        <v>100</v>
      </c>
      <c r="Q1139">
        <v>0</v>
      </c>
      <c r="R1139" t="s">
        <v>145</v>
      </c>
      <c r="S1139">
        <v>0</v>
      </c>
    </row>
    <row r="1140" spans="1:19">
      <c r="A1140" t="s">
        <v>35</v>
      </c>
      <c r="B1140" t="s">
        <v>9733</v>
      </c>
      <c r="C1140">
        <f>"RD016"</f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 s="2">
        <v>0</v>
      </c>
      <c r="M1140">
        <v>0</v>
      </c>
      <c r="N1140" s="2">
        <v>0</v>
      </c>
      <c r="O1140">
        <v>0</v>
      </c>
      <c r="P1140" t="s">
        <v>100</v>
      </c>
      <c r="Q1140">
        <v>0</v>
      </c>
      <c r="R1140" t="s">
        <v>145</v>
      </c>
      <c r="S1140">
        <v>0</v>
      </c>
    </row>
    <row r="1141" spans="1:19">
      <c r="A1141" t="s">
        <v>35</v>
      </c>
      <c r="B1141" t="s">
        <v>1360</v>
      </c>
      <c r="C1141">
        <f>"W008MN"</f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 s="2">
        <v>0</v>
      </c>
      <c r="M1141">
        <v>0</v>
      </c>
      <c r="N1141" s="2">
        <v>0</v>
      </c>
      <c r="O1141">
        <v>0</v>
      </c>
      <c r="P1141" t="s">
        <v>100</v>
      </c>
      <c r="Q1141">
        <v>0</v>
      </c>
      <c r="R1141" t="s">
        <v>145</v>
      </c>
      <c r="S1141">
        <v>0</v>
      </c>
    </row>
    <row r="1142" spans="1:19">
      <c r="A1142" t="s">
        <v>35</v>
      </c>
      <c r="B1142" t="s">
        <v>1332</v>
      </c>
      <c r="C1142">
        <f>"W008XXSR"</f>
        <v>0</v>
      </c>
      <c r="D1142">
        <v>1</v>
      </c>
      <c r="E1142">
        <v>0</v>
      </c>
      <c r="F1142">
        <v>0</v>
      </c>
      <c r="G1142">
        <v>0</v>
      </c>
      <c r="H1142">
        <v>1</v>
      </c>
      <c r="I1142">
        <v>0</v>
      </c>
      <c r="J1142">
        <v>0</v>
      </c>
      <c r="K1142">
        <v>0</v>
      </c>
      <c r="L1142" s="2">
        <v>0</v>
      </c>
      <c r="M1142">
        <v>0</v>
      </c>
      <c r="N1142" s="2">
        <v>0</v>
      </c>
      <c r="O1142">
        <v>0</v>
      </c>
      <c r="P1142" t="s">
        <v>100</v>
      </c>
      <c r="Q1142">
        <v>0</v>
      </c>
      <c r="R1142" t="s">
        <v>145</v>
      </c>
      <c r="S1142">
        <v>0</v>
      </c>
    </row>
    <row r="1143" spans="1:19">
      <c r="A1143" t="s">
        <v>35</v>
      </c>
      <c r="B1143" t="s">
        <v>1332</v>
      </c>
      <c r="C1143">
        <f>"W008XSR"</f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 s="2">
        <v>0</v>
      </c>
      <c r="M1143">
        <v>0</v>
      </c>
      <c r="N1143" s="2">
        <v>0</v>
      </c>
      <c r="O1143">
        <v>0</v>
      </c>
      <c r="P1143" t="s">
        <v>100</v>
      </c>
      <c r="Q1143">
        <v>0</v>
      </c>
      <c r="R1143" t="s">
        <v>145</v>
      </c>
      <c r="S1143">
        <v>0</v>
      </c>
    </row>
    <row r="1144" spans="1:19">
      <c r="A1144" t="s">
        <v>35</v>
      </c>
      <c r="B1144" t="s">
        <v>1332</v>
      </c>
      <c r="C1144">
        <f>"W008SR"</f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 s="2">
        <v>0</v>
      </c>
      <c r="M1144">
        <v>0</v>
      </c>
      <c r="N1144" s="2">
        <v>0</v>
      </c>
      <c r="O1144">
        <v>0</v>
      </c>
      <c r="P1144" t="s">
        <v>100</v>
      </c>
      <c r="Q1144">
        <v>0</v>
      </c>
      <c r="R1144" t="s">
        <v>145</v>
      </c>
      <c r="S1144">
        <v>0</v>
      </c>
    </row>
    <row r="1145" spans="1:19">
      <c r="A1145" t="s">
        <v>35</v>
      </c>
      <c r="B1145" t="s">
        <v>9406</v>
      </c>
      <c r="C1145">
        <f>"MF895a"</f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 s="2">
        <v>0</v>
      </c>
      <c r="M1145">
        <v>0</v>
      </c>
      <c r="N1145" s="2">
        <v>0</v>
      </c>
      <c r="O1145">
        <v>0</v>
      </c>
      <c r="P1145" t="s">
        <v>100</v>
      </c>
      <c r="Q1145">
        <v>0</v>
      </c>
      <c r="R1145" t="s">
        <v>145</v>
      </c>
      <c r="S1145">
        <v>0</v>
      </c>
    </row>
    <row r="1146" spans="1:19">
      <c r="A1146" t="s">
        <v>35</v>
      </c>
      <c r="B1146" t="s">
        <v>10072</v>
      </c>
      <c r="C1146">
        <f>"FURSCP"</f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 s="2">
        <v>0</v>
      </c>
      <c r="M1146">
        <v>0</v>
      </c>
      <c r="N1146" s="2">
        <v>0</v>
      </c>
      <c r="O1146">
        <v>0</v>
      </c>
      <c r="P1146" t="s">
        <v>100</v>
      </c>
      <c r="Q1146">
        <v>0</v>
      </c>
      <c r="R1146" t="s">
        <v>145</v>
      </c>
      <c r="S1146">
        <v>0</v>
      </c>
    </row>
    <row r="1147" spans="1:19">
      <c r="A1147" t="s">
        <v>35</v>
      </c>
      <c r="B1147" t="s">
        <v>10064</v>
      </c>
      <c r="C1147">
        <f>"CTB89"</f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 s="2">
        <v>0</v>
      </c>
      <c r="M1147">
        <v>0</v>
      </c>
      <c r="N1147" s="2">
        <v>0</v>
      </c>
      <c r="O1147">
        <v>0</v>
      </c>
      <c r="P1147" t="s">
        <v>100</v>
      </c>
      <c r="Q1147">
        <v>0</v>
      </c>
      <c r="R1147" t="s">
        <v>145</v>
      </c>
      <c r="S1147">
        <v>0</v>
      </c>
    </row>
    <row r="1148" spans="1:19">
      <c r="A1148" t="s">
        <v>35</v>
      </c>
      <c r="B1148" t="s">
        <v>10063</v>
      </c>
      <c r="C1148">
        <f>"10013"</f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 s="2">
        <v>0</v>
      </c>
      <c r="M1148">
        <v>0</v>
      </c>
      <c r="N1148" s="2">
        <v>0</v>
      </c>
      <c r="O1148">
        <v>0</v>
      </c>
      <c r="P1148" t="s">
        <v>100</v>
      </c>
      <c r="Q1148">
        <v>0</v>
      </c>
      <c r="R1148" t="s">
        <v>145</v>
      </c>
      <c r="S1148">
        <v>0</v>
      </c>
    </row>
    <row r="1149" spans="1:19">
      <c r="A1149" t="s">
        <v>35</v>
      </c>
      <c r="B1149" t="s">
        <v>9971</v>
      </c>
      <c r="C1149">
        <f>"1003"</f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 s="2">
        <v>0</v>
      </c>
      <c r="M1149">
        <v>0</v>
      </c>
      <c r="N1149" s="2">
        <v>0</v>
      </c>
      <c r="O1149">
        <v>0</v>
      </c>
      <c r="P1149" t="s">
        <v>100</v>
      </c>
      <c r="Q1149">
        <v>0</v>
      </c>
      <c r="R1149" t="s">
        <v>145</v>
      </c>
      <c r="S1149">
        <v>0</v>
      </c>
    </row>
    <row r="1150" spans="1:19">
      <c r="A1150" t="s">
        <v>35</v>
      </c>
      <c r="B1150" t="s">
        <v>9986</v>
      </c>
      <c r="C1150">
        <f>"2258"</f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 s="2">
        <v>0</v>
      </c>
      <c r="M1150">
        <v>0</v>
      </c>
      <c r="N1150" s="2">
        <v>0</v>
      </c>
      <c r="O1150">
        <v>0</v>
      </c>
      <c r="P1150" t="s">
        <v>100</v>
      </c>
      <c r="Q1150">
        <v>0</v>
      </c>
      <c r="R1150" t="s">
        <v>145</v>
      </c>
      <c r="S1150">
        <v>0</v>
      </c>
    </row>
    <row r="1151" spans="1:19">
      <c r="A1151" t="s">
        <v>35</v>
      </c>
      <c r="B1151" t="s">
        <v>1483</v>
      </c>
      <c r="C1151">
        <f>"2424"</f>
        <v>0</v>
      </c>
      <c r="D1151">
        <v>0</v>
      </c>
      <c r="E1151">
        <v>1</v>
      </c>
      <c r="F1151">
        <v>0</v>
      </c>
      <c r="G1151">
        <v>0</v>
      </c>
      <c r="H1151">
        <v>1</v>
      </c>
      <c r="I1151">
        <v>0</v>
      </c>
      <c r="J1151">
        <v>0</v>
      </c>
      <c r="K1151">
        <v>0</v>
      </c>
      <c r="L1151" s="2">
        <v>0</v>
      </c>
      <c r="M1151">
        <v>0</v>
      </c>
      <c r="N1151" s="2">
        <v>0</v>
      </c>
      <c r="O1151">
        <v>0</v>
      </c>
      <c r="P1151" t="s">
        <v>100</v>
      </c>
      <c r="Q1151">
        <v>0</v>
      </c>
      <c r="R1151" t="s">
        <v>145</v>
      </c>
      <c r="S1151">
        <v>0</v>
      </c>
    </row>
    <row r="1152" spans="1:19">
      <c r="A1152" t="s">
        <v>35</v>
      </c>
      <c r="B1152" t="s">
        <v>10178</v>
      </c>
      <c r="C1152">
        <f>"W007L"</f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 s="2">
        <v>0</v>
      </c>
      <c r="M1152">
        <v>0</v>
      </c>
      <c r="N1152" s="2">
        <v>0</v>
      </c>
      <c r="O1152">
        <v>0</v>
      </c>
      <c r="P1152" t="s">
        <v>100</v>
      </c>
      <c r="Q1152">
        <v>0</v>
      </c>
      <c r="R1152" t="s">
        <v>145</v>
      </c>
      <c r="S1152">
        <v>0</v>
      </c>
    </row>
    <row r="1153" spans="1:19">
      <c r="A1153" t="s">
        <v>35</v>
      </c>
      <c r="B1153" t="s">
        <v>8632</v>
      </c>
      <c r="C1153">
        <f>"X012"</f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 s="2">
        <v>0</v>
      </c>
      <c r="M1153">
        <v>0</v>
      </c>
      <c r="N1153" s="2">
        <v>0</v>
      </c>
      <c r="O1153">
        <v>0</v>
      </c>
      <c r="P1153" t="s">
        <v>100</v>
      </c>
      <c r="Q1153">
        <v>0</v>
      </c>
      <c r="R1153" t="s">
        <v>145</v>
      </c>
      <c r="S1153">
        <v>0</v>
      </c>
    </row>
    <row r="1154" spans="1:19">
      <c r="A1154" t="s">
        <v>35</v>
      </c>
      <c r="B1154" t="s">
        <v>8631</v>
      </c>
      <c r="C1154">
        <f>"PA40802"</f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 s="2">
        <v>0</v>
      </c>
      <c r="M1154">
        <v>0</v>
      </c>
      <c r="N1154" s="2">
        <v>0</v>
      </c>
      <c r="O1154">
        <v>0</v>
      </c>
      <c r="P1154" t="s">
        <v>100</v>
      </c>
      <c r="Q1154">
        <v>0</v>
      </c>
      <c r="R1154" t="s">
        <v>145</v>
      </c>
      <c r="S1154">
        <v>0</v>
      </c>
    </row>
    <row r="1155" spans="1:19">
      <c r="A1155" t="s">
        <v>35</v>
      </c>
      <c r="B1155" t="s">
        <v>8720</v>
      </c>
      <c r="C1155">
        <f>"PF013"</f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 s="2">
        <v>0</v>
      </c>
      <c r="M1155">
        <v>0</v>
      </c>
      <c r="N1155" s="2">
        <v>0</v>
      </c>
      <c r="O1155">
        <v>0</v>
      </c>
      <c r="P1155" t="s">
        <v>100</v>
      </c>
      <c r="Q1155">
        <v>0</v>
      </c>
      <c r="R1155" t="s">
        <v>145</v>
      </c>
      <c r="S1155">
        <v>0</v>
      </c>
    </row>
    <row r="1156" spans="1:19">
      <c r="A1156" t="s">
        <v>35</v>
      </c>
      <c r="B1156" t="s">
        <v>8603</v>
      </c>
      <c r="C1156">
        <f>"HC0115"</f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 s="2">
        <v>0</v>
      </c>
      <c r="M1156">
        <v>0</v>
      </c>
      <c r="N1156" s="2">
        <v>0</v>
      </c>
      <c r="O1156">
        <v>0</v>
      </c>
      <c r="P1156" t="s">
        <v>100</v>
      </c>
      <c r="Q1156">
        <v>0</v>
      </c>
      <c r="R1156" t="s">
        <v>145</v>
      </c>
      <c r="S1156">
        <v>0</v>
      </c>
    </row>
    <row r="1157" spans="1:19">
      <c r="A1157" t="s">
        <v>35</v>
      </c>
      <c r="B1157" t="s">
        <v>8602</v>
      </c>
      <c r="C1157">
        <f>"HC0116"</f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 s="2">
        <v>0</v>
      </c>
      <c r="M1157">
        <v>0</v>
      </c>
      <c r="N1157" s="2">
        <v>0</v>
      </c>
      <c r="O1157">
        <v>0</v>
      </c>
      <c r="P1157" t="s">
        <v>100</v>
      </c>
      <c r="Q1157">
        <v>0</v>
      </c>
      <c r="R1157" t="s">
        <v>145</v>
      </c>
      <c r="S1157">
        <v>0</v>
      </c>
    </row>
    <row r="1158" spans="1:19">
      <c r="A1158" t="s">
        <v>35</v>
      </c>
      <c r="B1158" t="s">
        <v>8601</v>
      </c>
      <c r="C1158">
        <f>"ZRD2019122"</f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 s="2">
        <v>0</v>
      </c>
      <c r="M1158">
        <v>0</v>
      </c>
      <c r="N1158" s="2">
        <v>0</v>
      </c>
      <c r="O1158">
        <v>0</v>
      </c>
      <c r="P1158" t="s">
        <v>100</v>
      </c>
      <c r="Q1158">
        <v>0</v>
      </c>
      <c r="R1158" t="s">
        <v>145</v>
      </c>
      <c r="S1158">
        <v>0</v>
      </c>
    </row>
    <row r="1159" spans="1:19">
      <c r="A1159" t="s">
        <v>35</v>
      </c>
      <c r="B1159" t="s">
        <v>8599</v>
      </c>
      <c r="C1159">
        <f>"HC077"</f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 s="2">
        <v>0</v>
      </c>
      <c r="M1159">
        <v>0</v>
      </c>
      <c r="N1159" s="2">
        <v>0</v>
      </c>
      <c r="O1159">
        <v>0</v>
      </c>
      <c r="P1159" t="s">
        <v>100</v>
      </c>
      <c r="Q1159">
        <v>0</v>
      </c>
      <c r="R1159" t="s">
        <v>145</v>
      </c>
      <c r="S1159">
        <v>0</v>
      </c>
    </row>
    <row r="1160" spans="1:19">
      <c r="A1160" t="s">
        <v>35</v>
      </c>
      <c r="B1160" t="s">
        <v>8611</v>
      </c>
      <c r="C1160">
        <f>"HC072"</f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 s="2">
        <v>0</v>
      </c>
      <c r="M1160">
        <v>0</v>
      </c>
      <c r="N1160" s="2">
        <v>0</v>
      </c>
      <c r="O1160">
        <v>0</v>
      </c>
      <c r="P1160" t="s">
        <v>100</v>
      </c>
      <c r="Q1160">
        <v>0</v>
      </c>
      <c r="R1160" t="s">
        <v>145</v>
      </c>
      <c r="S1160">
        <v>0</v>
      </c>
    </row>
    <row r="1161" spans="1:19">
      <c r="A1161" t="s">
        <v>35</v>
      </c>
      <c r="B1161" t="s">
        <v>8610</v>
      </c>
      <c r="C1161">
        <f>"HC016"</f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 s="2">
        <v>0</v>
      </c>
      <c r="M1161">
        <v>0</v>
      </c>
      <c r="N1161" s="2">
        <v>0</v>
      </c>
      <c r="O1161">
        <v>0</v>
      </c>
      <c r="P1161" t="s">
        <v>100</v>
      </c>
      <c r="Q1161">
        <v>0</v>
      </c>
      <c r="R1161" t="s">
        <v>145</v>
      </c>
      <c r="S1161">
        <v>0</v>
      </c>
    </row>
    <row r="1162" spans="1:19">
      <c r="A1162" t="s">
        <v>35</v>
      </c>
      <c r="B1162" t="s">
        <v>1427</v>
      </c>
      <c r="C1162">
        <f>"bps7421"</f>
        <v>0</v>
      </c>
      <c r="D1162">
        <v>1</v>
      </c>
      <c r="E1162">
        <v>0</v>
      </c>
      <c r="F1162">
        <v>0</v>
      </c>
      <c r="G1162">
        <v>0</v>
      </c>
      <c r="H1162">
        <v>1</v>
      </c>
      <c r="I1162">
        <v>0</v>
      </c>
      <c r="J1162">
        <v>0</v>
      </c>
      <c r="K1162">
        <v>0</v>
      </c>
      <c r="L1162" s="2">
        <v>0</v>
      </c>
      <c r="M1162">
        <v>0</v>
      </c>
      <c r="N1162" s="2">
        <v>0</v>
      </c>
      <c r="O1162">
        <v>0</v>
      </c>
      <c r="P1162" t="s">
        <v>100</v>
      </c>
      <c r="Q1162">
        <v>0</v>
      </c>
      <c r="R1162" t="s">
        <v>145</v>
      </c>
      <c r="S1162">
        <v>0</v>
      </c>
    </row>
    <row r="1163" spans="1:19">
      <c r="A1163" t="s">
        <v>35</v>
      </c>
      <c r="B1163" t="s">
        <v>1505</v>
      </c>
      <c r="C1163">
        <f>"W007M"</f>
        <v>0</v>
      </c>
      <c r="D1163">
        <v>0</v>
      </c>
      <c r="E1163">
        <v>1</v>
      </c>
      <c r="F1163">
        <v>0</v>
      </c>
      <c r="G1163">
        <v>0</v>
      </c>
      <c r="H1163">
        <v>1</v>
      </c>
      <c r="I1163">
        <v>0</v>
      </c>
      <c r="J1163">
        <v>0</v>
      </c>
      <c r="K1163">
        <v>0</v>
      </c>
      <c r="L1163" s="2">
        <v>0</v>
      </c>
      <c r="M1163">
        <v>0</v>
      </c>
      <c r="N1163" s="2">
        <v>0</v>
      </c>
      <c r="O1163">
        <v>0</v>
      </c>
      <c r="P1163" t="s">
        <v>100</v>
      </c>
      <c r="Q1163">
        <v>0</v>
      </c>
      <c r="R1163" t="s">
        <v>145</v>
      </c>
      <c r="S1163">
        <v>0</v>
      </c>
    </row>
    <row r="1164" spans="1:19">
      <c r="A1164" t="s">
        <v>35</v>
      </c>
      <c r="B1164" t="s">
        <v>10160</v>
      </c>
      <c r="C1164">
        <f>"LY001MC"</f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 s="2">
        <v>0</v>
      </c>
      <c r="M1164">
        <v>0</v>
      </c>
      <c r="N1164" s="2">
        <v>0</v>
      </c>
      <c r="O1164">
        <v>0</v>
      </c>
      <c r="P1164" t="s">
        <v>100</v>
      </c>
      <c r="Q1164">
        <v>0</v>
      </c>
      <c r="R1164" t="s">
        <v>145</v>
      </c>
      <c r="S1164">
        <v>0</v>
      </c>
    </row>
    <row r="1165" spans="1:19">
      <c r="A1165" t="s">
        <v>35</v>
      </c>
      <c r="B1165" t="s">
        <v>10129</v>
      </c>
      <c r="C1165">
        <f>"029695650567"</f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 s="2">
        <v>0</v>
      </c>
      <c r="M1165">
        <v>0</v>
      </c>
      <c r="N1165" s="2">
        <v>0</v>
      </c>
      <c r="O1165">
        <v>0</v>
      </c>
      <c r="P1165" t="s">
        <v>100</v>
      </c>
      <c r="Q1165">
        <v>0</v>
      </c>
      <c r="R1165" t="s">
        <v>145</v>
      </c>
      <c r="S1165">
        <v>0</v>
      </c>
    </row>
    <row r="1166" spans="1:19">
      <c r="A1166" t="s">
        <v>35</v>
      </c>
      <c r="B1166" t="s">
        <v>8629</v>
      </c>
      <c r="C1166">
        <f>"HC0114"</f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 s="2">
        <v>0</v>
      </c>
      <c r="M1166">
        <v>0</v>
      </c>
      <c r="N1166" s="2">
        <v>0</v>
      </c>
      <c r="O1166">
        <v>0</v>
      </c>
      <c r="P1166" t="s">
        <v>100</v>
      </c>
      <c r="Q1166">
        <v>0</v>
      </c>
      <c r="R1166" t="s">
        <v>145</v>
      </c>
      <c r="S1166">
        <v>0</v>
      </c>
    </row>
    <row r="1167" spans="1:19">
      <c r="A1167" t="s">
        <v>35</v>
      </c>
      <c r="B1167" t="s">
        <v>1421</v>
      </c>
      <c r="C1167">
        <f>"JALCO"</f>
        <v>0</v>
      </c>
      <c r="D1167">
        <v>1</v>
      </c>
      <c r="E1167">
        <v>0</v>
      </c>
      <c r="F1167">
        <v>0</v>
      </c>
      <c r="G1167">
        <v>0</v>
      </c>
      <c r="H1167">
        <v>1</v>
      </c>
      <c r="I1167">
        <v>0</v>
      </c>
      <c r="J1167">
        <v>0</v>
      </c>
      <c r="K1167">
        <v>0</v>
      </c>
      <c r="L1167" s="2">
        <v>0</v>
      </c>
      <c r="M1167">
        <v>0</v>
      </c>
      <c r="N1167" s="2">
        <v>0</v>
      </c>
      <c r="O1167">
        <v>0</v>
      </c>
      <c r="P1167" t="s">
        <v>100</v>
      </c>
      <c r="Q1167">
        <v>0</v>
      </c>
      <c r="R1167" t="s">
        <v>145</v>
      </c>
      <c r="S1167">
        <v>0</v>
      </c>
    </row>
    <row r="1168" spans="1:19">
      <c r="A1168" t="s">
        <v>35</v>
      </c>
      <c r="B1168" t="s">
        <v>710</v>
      </c>
      <c r="C1168">
        <f>"CBT13"</f>
        <v>0</v>
      </c>
      <c r="D1168">
        <v>6</v>
      </c>
      <c r="E1168">
        <v>0</v>
      </c>
      <c r="F1168">
        <v>0</v>
      </c>
      <c r="G1168">
        <v>0</v>
      </c>
      <c r="H1168">
        <v>6</v>
      </c>
      <c r="I1168">
        <v>0</v>
      </c>
      <c r="J1168">
        <v>0</v>
      </c>
      <c r="K1168">
        <v>0</v>
      </c>
      <c r="L1168" s="2">
        <v>0</v>
      </c>
      <c r="M1168">
        <v>0</v>
      </c>
      <c r="N1168" s="2">
        <v>0</v>
      </c>
      <c r="O1168">
        <v>0</v>
      </c>
      <c r="P1168" t="s">
        <v>100</v>
      </c>
      <c r="Q1168">
        <v>0</v>
      </c>
      <c r="R1168" t="s">
        <v>145</v>
      </c>
      <c r="S1168">
        <v>0</v>
      </c>
    </row>
    <row r="1169" spans="1:19">
      <c r="A1169" t="s">
        <v>35</v>
      </c>
      <c r="B1169" t="s">
        <v>8650</v>
      </c>
      <c r="C1169">
        <f>"H6201"</f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 s="2">
        <v>0</v>
      </c>
      <c r="M1169">
        <v>0</v>
      </c>
      <c r="N1169" s="2">
        <v>0</v>
      </c>
      <c r="O1169">
        <v>0</v>
      </c>
      <c r="P1169" t="s">
        <v>100</v>
      </c>
      <c r="Q1169">
        <v>0</v>
      </c>
      <c r="R1169" t="s">
        <v>145</v>
      </c>
      <c r="S1169">
        <v>0</v>
      </c>
    </row>
    <row r="1170" spans="1:19">
      <c r="A1170" t="s">
        <v>35</v>
      </c>
      <c r="B1170" t="s">
        <v>8685</v>
      </c>
      <c r="C1170">
        <f>"2029610200928"</f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 s="2">
        <v>0</v>
      </c>
      <c r="M1170">
        <v>0</v>
      </c>
      <c r="N1170" s="2">
        <v>0</v>
      </c>
      <c r="O1170">
        <v>0</v>
      </c>
      <c r="P1170" t="s">
        <v>100</v>
      </c>
      <c r="Q1170">
        <v>0</v>
      </c>
      <c r="R1170" t="s">
        <v>145</v>
      </c>
      <c r="S1170">
        <v>0</v>
      </c>
    </row>
    <row r="1171" spans="1:19">
      <c r="A1171" t="s">
        <v>35</v>
      </c>
      <c r="B1171" t="s">
        <v>8643</v>
      </c>
      <c r="C1171">
        <f>"KF6006"</f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 s="2">
        <v>0</v>
      </c>
      <c r="M1171">
        <v>0</v>
      </c>
      <c r="N1171" s="2">
        <v>0</v>
      </c>
      <c r="O1171">
        <v>0</v>
      </c>
      <c r="P1171" t="s">
        <v>100</v>
      </c>
      <c r="Q1171">
        <v>0</v>
      </c>
      <c r="R1171" t="s">
        <v>145</v>
      </c>
      <c r="S1171">
        <v>0</v>
      </c>
    </row>
    <row r="1172" spans="1:19">
      <c r="A1172" t="s">
        <v>35</v>
      </c>
      <c r="B1172" t="s">
        <v>1445</v>
      </c>
      <c r="C1172">
        <f>"KF6004"</f>
        <v>0</v>
      </c>
      <c r="D1172">
        <v>1</v>
      </c>
      <c r="E1172">
        <v>0</v>
      </c>
      <c r="F1172">
        <v>0</v>
      </c>
      <c r="G1172">
        <v>0</v>
      </c>
      <c r="H1172">
        <v>1</v>
      </c>
      <c r="I1172">
        <v>0</v>
      </c>
      <c r="J1172">
        <v>0</v>
      </c>
      <c r="K1172">
        <v>0</v>
      </c>
      <c r="L1172" s="2">
        <v>0</v>
      </c>
      <c r="M1172">
        <v>0</v>
      </c>
      <c r="N1172" s="2">
        <v>0</v>
      </c>
      <c r="O1172">
        <v>0</v>
      </c>
      <c r="P1172" t="s">
        <v>100</v>
      </c>
      <c r="Q1172">
        <v>0</v>
      </c>
      <c r="R1172" t="s">
        <v>145</v>
      </c>
      <c r="S1172">
        <v>0</v>
      </c>
    </row>
    <row r="1173" spans="1:19">
      <c r="A1173" t="s">
        <v>35</v>
      </c>
      <c r="B1173" t="s">
        <v>8362</v>
      </c>
      <c r="C1173">
        <f>"043C"</f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 s="2">
        <v>0</v>
      </c>
      <c r="M1173">
        <v>0</v>
      </c>
      <c r="N1173" s="2">
        <v>0</v>
      </c>
      <c r="O1173">
        <v>0</v>
      </c>
      <c r="P1173" t="s">
        <v>100</v>
      </c>
      <c r="Q1173">
        <v>0</v>
      </c>
      <c r="R1173" t="s">
        <v>145</v>
      </c>
      <c r="S1173">
        <v>0</v>
      </c>
    </row>
    <row r="1174" spans="1:19">
      <c r="A1174" t="s">
        <v>35</v>
      </c>
      <c r="B1174" t="s">
        <v>8361</v>
      </c>
      <c r="C1174">
        <f>"044C"</f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 s="2">
        <v>0</v>
      </c>
      <c r="M1174">
        <v>0</v>
      </c>
      <c r="N1174" s="2">
        <v>0</v>
      </c>
      <c r="O1174">
        <v>0</v>
      </c>
      <c r="P1174" t="s">
        <v>100</v>
      </c>
      <c r="Q1174">
        <v>0</v>
      </c>
      <c r="R1174" t="s">
        <v>145</v>
      </c>
      <c r="S1174">
        <v>0</v>
      </c>
    </row>
    <row r="1175" spans="1:19">
      <c r="A1175" t="s">
        <v>35</v>
      </c>
      <c r="B1175" t="s">
        <v>8609</v>
      </c>
      <c r="C1175">
        <f>"HC017"</f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 s="2">
        <v>0</v>
      </c>
      <c r="M1175">
        <v>0</v>
      </c>
      <c r="N1175" s="2">
        <v>0</v>
      </c>
      <c r="O1175">
        <v>0</v>
      </c>
      <c r="P1175" t="s">
        <v>100</v>
      </c>
      <c r="Q1175">
        <v>0</v>
      </c>
      <c r="R1175" t="s">
        <v>145</v>
      </c>
      <c r="S1175">
        <v>0</v>
      </c>
    </row>
    <row r="1176" spans="1:19">
      <c r="A1176" t="s">
        <v>35</v>
      </c>
      <c r="B1176" t="s">
        <v>8548</v>
      </c>
      <c r="C1176">
        <f>"FV003"</f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 s="2">
        <v>0</v>
      </c>
      <c r="M1176">
        <v>0</v>
      </c>
      <c r="N1176" s="2">
        <v>0</v>
      </c>
      <c r="O1176">
        <v>0</v>
      </c>
      <c r="P1176" t="s">
        <v>100</v>
      </c>
      <c r="Q1176">
        <v>0</v>
      </c>
      <c r="R1176" t="s">
        <v>145</v>
      </c>
      <c r="S1176">
        <v>0</v>
      </c>
    </row>
    <row r="1177" spans="1:19">
      <c r="A1177" t="s">
        <v>35</v>
      </c>
      <c r="B1177" t="s">
        <v>10073</v>
      </c>
      <c r="C1177">
        <f>"FURSC"</f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 s="2">
        <v>0</v>
      </c>
      <c r="M1177">
        <v>0</v>
      </c>
      <c r="N1177" s="2">
        <v>0</v>
      </c>
      <c r="O1177">
        <v>0</v>
      </c>
      <c r="P1177" t="s">
        <v>100</v>
      </c>
      <c r="Q1177">
        <v>0</v>
      </c>
      <c r="R1177" t="s">
        <v>145</v>
      </c>
      <c r="S1177">
        <v>0</v>
      </c>
    </row>
    <row r="1178" spans="1:19">
      <c r="A1178" t="s">
        <v>35</v>
      </c>
      <c r="B1178" t="s">
        <v>518</v>
      </c>
      <c r="C1178">
        <f>"CK1008"</f>
        <v>0</v>
      </c>
      <c r="D1178">
        <v>15</v>
      </c>
      <c r="E1178">
        <v>0</v>
      </c>
      <c r="F1178">
        <v>0</v>
      </c>
      <c r="G1178">
        <v>0</v>
      </c>
      <c r="H1178">
        <v>15</v>
      </c>
      <c r="I1178">
        <v>0</v>
      </c>
      <c r="J1178">
        <v>0</v>
      </c>
      <c r="K1178">
        <v>0</v>
      </c>
      <c r="L1178" s="2">
        <v>0</v>
      </c>
      <c r="M1178">
        <v>0</v>
      </c>
      <c r="N1178" s="2">
        <v>0</v>
      </c>
      <c r="O1178">
        <v>0</v>
      </c>
      <c r="P1178" t="s">
        <v>100</v>
      </c>
      <c r="Q1178">
        <v>0</v>
      </c>
      <c r="R1178" t="s">
        <v>145</v>
      </c>
      <c r="S1178">
        <v>0</v>
      </c>
    </row>
    <row r="1179" spans="1:19">
      <c r="A1179" t="s">
        <v>35</v>
      </c>
      <c r="B1179" t="s">
        <v>10066</v>
      </c>
      <c r="C1179">
        <f>"LO80807"</f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 s="2">
        <v>0</v>
      </c>
      <c r="M1179">
        <v>0</v>
      </c>
      <c r="N1179" s="2">
        <v>0</v>
      </c>
      <c r="O1179">
        <v>0</v>
      </c>
      <c r="P1179" t="s">
        <v>100</v>
      </c>
      <c r="Q1179">
        <v>0</v>
      </c>
      <c r="R1179" t="s">
        <v>145</v>
      </c>
      <c r="S1179">
        <v>0</v>
      </c>
    </row>
    <row r="1180" spans="1:19">
      <c r="A1180" t="s">
        <v>35</v>
      </c>
      <c r="B1180" t="s">
        <v>10065</v>
      </c>
      <c r="C1180">
        <f>"LO80602"</f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 s="2">
        <v>0</v>
      </c>
      <c r="M1180">
        <v>0</v>
      </c>
      <c r="N1180" s="2">
        <v>0</v>
      </c>
      <c r="O1180">
        <v>0</v>
      </c>
      <c r="P1180" t="s">
        <v>100</v>
      </c>
      <c r="Q1180">
        <v>0</v>
      </c>
      <c r="R1180" t="s">
        <v>145</v>
      </c>
      <c r="S1180">
        <v>0</v>
      </c>
    </row>
    <row r="1181" spans="1:19">
      <c r="A1181" t="s">
        <v>35</v>
      </c>
      <c r="B1181" t="s">
        <v>10030</v>
      </c>
      <c r="C1181">
        <f>"LO80752"</f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 s="2">
        <v>0</v>
      </c>
      <c r="M1181">
        <v>0</v>
      </c>
      <c r="N1181" s="2">
        <v>0</v>
      </c>
      <c r="O1181">
        <v>0</v>
      </c>
      <c r="P1181" t="s">
        <v>100</v>
      </c>
      <c r="Q1181">
        <v>0</v>
      </c>
      <c r="R1181" t="s">
        <v>145</v>
      </c>
      <c r="S1181">
        <v>0</v>
      </c>
    </row>
    <row r="1182" spans="1:19">
      <c r="A1182" t="s">
        <v>35</v>
      </c>
      <c r="B1182" t="s">
        <v>10029</v>
      </c>
      <c r="C1182">
        <f>"LO80802"</f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 s="2">
        <v>0</v>
      </c>
      <c r="M1182">
        <v>0</v>
      </c>
      <c r="N1182" s="2">
        <v>0</v>
      </c>
      <c r="O1182">
        <v>0</v>
      </c>
      <c r="P1182" t="s">
        <v>100</v>
      </c>
      <c r="Q1182">
        <v>0</v>
      </c>
      <c r="R1182" t="s">
        <v>145</v>
      </c>
      <c r="S1182">
        <v>0</v>
      </c>
    </row>
    <row r="1183" spans="1:19">
      <c r="A1183" t="s">
        <v>35</v>
      </c>
      <c r="B1183" t="s">
        <v>10060</v>
      </c>
      <c r="C1183">
        <f>"HC030"</f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 s="2">
        <v>0</v>
      </c>
      <c r="M1183">
        <v>0</v>
      </c>
      <c r="N1183" s="2">
        <v>0</v>
      </c>
      <c r="O1183">
        <v>0</v>
      </c>
      <c r="P1183" t="s">
        <v>100</v>
      </c>
      <c r="Q1183">
        <v>0</v>
      </c>
      <c r="R1183" t="s">
        <v>145</v>
      </c>
      <c r="S1183">
        <v>0</v>
      </c>
    </row>
    <row r="1184" spans="1:19">
      <c r="A1184" t="s">
        <v>35</v>
      </c>
      <c r="B1184" t="s">
        <v>10059</v>
      </c>
      <c r="C1184">
        <f>"HC031"</f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 s="2">
        <v>0</v>
      </c>
      <c r="M1184">
        <v>0</v>
      </c>
      <c r="N1184" s="2">
        <v>0</v>
      </c>
      <c r="O1184">
        <v>0</v>
      </c>
      <c r="P1184" t="s">
        <v>100</v>
      </c>
      <c r="Q1184">
        <v>0</v>
      </c>
      <c r="R1184" t="s">
        <v>145</v>
      </c>
      <c r="S1184">
        <v>0</v>
      </c>
    </row>
    <row r="1185" spans="1:19">
      <c r="A1185" t="s">
        <v>35</v>
      </c>
      <c r="B1185" t="s">
        <v>10058</v>
      </c>
      <c r="C1185">
        <f>"LO80607"</f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 s="2">
        <v>0</v>
      </c>
      <c r="M1185">
        <v>0</v>
      </c>
      <c r="N1185" s="2">
        <v>0</v>
      </c>
      <c r="O1185">
        <v>0</v>
      </c>
      <c r="P1185" t="s">
        <v>100</v>
      </c>
      <c r="Q1185">
        <v>0</v>
      </c>
      <c r="R1185" t="s">
        <v>145</v>
      </c>
      <c r="S1185">
        <v>0</v>
      </c>
    </row>
    <row r="1186" spans="1:19">
      <c r="A1186" t="s">
        <v>35</v>
      </c>
      <c r="B1186" t="s">
        <v>10057</v>
      </c>
      <c r="C1186">
        <f>"LO80606"</f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 s="2">
        <v>0</v>
      </c>
      <c r="M1186">
        <v>0</v>
      </c>
      <c r="N1186" s="2">
        <v>0</v>
      </c>
      <c r="O1186">
        <v>0</v>
      </c>
      <c r="P1186" t="s">
        <v>100</v>
      </c>
      <c r="Q1186">
        <v>0</v>
      </c>
      <c r="R1186" t="s">
        <v>145</v>
      </c>
      <c r="S1186">
        <v>0</v>
      </c>
    </row>
    <row r="1187" spans="1:19">
      <c r="A1187" t="s">
        <v>35</v>
      </c>
      <c r="B1187" t="s">
        <v>10075</v>
      </c>
      <c r="C1187">
        <f>"FURML"</f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 s="2">
        <v>0</v>
      </c>
      <c r="M1187">
        <v>0</v>
      </c>
      <c r="N1187" s="2">
        <v>0</v>
      </c>
      <c r="O1187">
        <v>0</v>
      </c>
      <c r="P1187" t="s">
        <v>100</v>
      </c>
      <c r="Q1187">
        <v>0</v>
      </c>
      <c r="R1187" t="s">
        <v>145</v>
      </c>
      <c r="S1187">
        <v>0</v>
      </c>
    </row>
    <row r="1188" spans="1:19">
      <c r="A1188" t="s">
        <v>35</v>
      </c>
      <c r="B1188" t="s">
        <v>8547</v>
      </c>
      <c r="C1188">
        <f>"FV004"</f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 s="2">
        <v>0</v>
      </c>
      <c r="M1188">
        <v>0</v>
      </c>
      <c r="N1188" s="2">
        <v>0</v>
      </c>
      <c r="O1188">
        <v>0</v>
      </c>
      <c r="P1188" t="s">
        <v>100</v>
      </c>
      <c r="Q1188">
        <v>0</v>
      </c>
      <c r="R1188" t="s">
        <v>145</v>
      </c>
      <c r="S1188">
        <v>0</v>
      </c>
    </row>
    <row r="1189" spans="1:19">
      <c r="A1189" t="s">
        <v>35</v>
      </c>
      <c r="B1189" t="s">
        <v>6659</v>
      </c>
      <c r="C1189">
        <f>"KLM10"</f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 s="2">
        <v>0</v>
      </c>
      <c r="M1189">
        <v>0</v>
      </c>
      <c r="N1189" s="2">
        <v>0</v>
      </c>
      <c r="O1189">
        <v>0</v>
      </c>
      <c r="P1189" t="s">
        <v>100</v>
      </c>
      <c r="Q1189">
        <v>0</v>
      </c>
      <c r="R1189" t="s">
        <v>145</v>
      </c>
      <c r="S1189">
        <v>0</v>
      </c>
    </row>
    <row r="1190" spans="1:19">
      <c r="A1190" t="s">
        <v>35</v>
      </c>
      <c r="B1190" t="s">
        <v>6658</v>
      </c>
      <c r="C1190">
        <f>"PQ018"</f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 s="2">
        <v>0</v>
      </c>
      <c r="M1190">
        <v>0</v>
      </c>
      <c r="N1190" s="2">
        <v>0</v>
      </c>
      <c r="O1190">
        <v>0</v>
      </c>
      <c r="P1190" t="s">
        <v>100</v>
      </c>
      <c r="Q1190">
        <v>0</v>
      </c>
      <c r="R1190" t="s">
        <v>145</v>
      </c>
      <c r="S1190">
        <v>0</v>
      </c>
    </row>
    <row r="1191" spans="1:19">
      <c r="A1191" t="s">
        <v>35</v>
      </c>
      <c r="B1191" t="s">
        <v>6657</v>
      </c>
      <c r="C1191">
        <f>"PQ014"</f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 s="2">
        <v>0</v>
      </c>
      <c r="M1191">
        <v>0</v>
      </c>
      <c r="N1191" s="2">
        <v>0</v>
      </c>
      <c r="O1191">
        <v>0</v>
      </c>
      <c r="P1191" t="s">
        <v>100</v>
      </c>
      <c r="Q1191">
        <v>0</v>
      </c>
      <c r="R1191" t="s">
        <v>145</v>
      </c>
      <c r="S1191">
        <v>0</v>
      </c>
    </row>
    <row r="1192" spans="1:19">
      <c r="A1192" t="s">
        <v>35</v>
      </c>
      <c r="B1192" t="s">
        <v>6616</v>
      </c>
      <c r="C1192">
        <f>"CC309SRNN"</f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 s="2">
        <v>0</v>
      </c>
      <c r="M1192">
        <v>0</v>
      </c>
      <c r="N1192" s="2">
        <v>0</v>
      </c>
      <c r="O1192">
        <v>0</v>
      </c>
      <c r="P1192" t="s">
        <v>100</v>
      </c>
      <c r="Q1192">
        <v>0</v>
      </c>
      <c r="R1192" t="s">
        <v>145</v>
      </c>
      <c r="S1192">
        <v>0</v>
      </c>
    </row>
    <row r="1193" spans="1:19">
      <c r="A1193" t="s">
        <v>35</v>
      </c>
      <c r="B1193" t="s">
        <v>6614</v>
      </c>
      <c r="C1193">
        <f>"CC309SRNC"</f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 s="2">
        <v>0</v>
      </c>
      <c r="M1193">
        <v>0</v>
      </c>
      <c r="N1193" s="2">
        <v>0</v>
      </c>
      <c r="O1193">
        <v>0</v>
      </c>
      <c r="P1193" t="s">
        <v>100</v>
      </c>
      <c r="Q1193">
        <v>0</v>
      </c>
      <c r="R1193" t="s">
        <v>145</v>
      </c>
      <c r="S1193">
        <v>0</v>
      </c>
    </row>
    <row r="1194" spans="1:19">
      <c r="A1194" t="s">
        <v>35</v>
      </c>
      <c r="B1194" t="s">
        <v>6612</v>
      </c>
      <c r="C1194">
        <f>"VM009"</f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 s="2">
        <v>0</v>
      </c>
      <c r="M1194">
        <v>0</v>
      </c>
      <c r="N1194" s="2">
        <v>0</v>
      </c>
      <c r="O1194">
        <v>0</v>
      </c>
      <c r="P1194" t="s">
        <v>100</v>
      </c>
      <c r="Q1194">
        <v>0</v>
      </c>
      <c r="R1194" t="s">
        <v>145</v>
      </c>
      <c r="S1194">
        <v>0</v>
      </c>
    </row>
    <row r="1195" spans="1:19">
      <c r="A1195" t="s">
        <v>35</v>
      </c>
      <c r="B1195" t="s">
        <v>6656</v>
      </c>
      <c r="C1195">
        <f>"PQ012"</f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 s="2">
        <v>0</v>
      </c>
      <c r="M1195">
        <v>0</v>
      </c>
      <c r="N1195" s="2">
        <v>0</v>
      </c>
      <c r="O1195">
        <v>0</v>
      </c>
      <c r="P1195" t="s">
        <v>100</v>
      </c>
      <c r="Q1195">
        <v>0</v>
      </c>
      <c r="R1195" t="s">
        <v>145</v>
      </c>
      <c r="S1195">
        <v>0</v>
      </c>
    </row>
    <row r="1196" spans="1:19">
      <c r="A1196" t="s">
        <v>35</v>
      </c>
      <c r="B1196" t="s">
        <v>6669</v>
      </c>
      <c r="C1196">
        <f>"PQ020"</f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 s="2">
        <v>0</v>
      </c>
      <c r="M1196">
        <v>0</v>
      </c>
      <c r="N1196" s="2">
        <v>0</v>
      </c>
      <c r="O1196">
        <v>0</v>
      </c>
      <c r="P1196" t="s">
        <v>100</v>
      </c>
      <c r="Q1196">
        <v>0</v>
      </c>
      <c r="R1196" t="s">
        <v>145</v>
      </c>
      <c r="S1196">
        <v>0</v>
      </c>
    </row>
    <row r="1197" spans="1:19">
      <c r="A1197" t="s">
        <v>35</v>
      </c>
      <c r="B1197" t="s">
        <v>6652</v>
      </c>
      <c r="C1197">
        <f>"PQ010"</f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 s="2">
        <v>0</v>
      </c>
      <c r="M1197">
        <v>0</v>
      </c>
      <c r="N1197" s="2">
        <v>0</v>
      </c>
      <c r="O1197">
        <v>0</v>
      </c>
      <c r="P1197" t="s">
        <v>100</v>
      </c>
      <c r="Q1197">
        <v>0</v>
      </c>
      <c r="R1197" t="s">
        <v>145</v>
      </c>
      <c r="S1197">
        <v>0</v>
      </c>
    </row>
    <row r="1198" spans="1:19">
      <c r="A1198" t="s">
        <v>35</v>
      </c>
      <c r="B1198" t="s">
        <v>8416</v>
      </c>
      <c r="C1198">
        <f>"CT0852"</f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 s="2">
        <v>0</v>
      </c>
      <c r="M1198">
        <v>0</v>
      </c>
      <c r="N1198" s="2">
        <v>0</v>
      </c>
      <c r="O1198">
        <v>0</v>
      </c>
      <c r="P1198" t="s">
        <v>100</v>
      </c>
      <c r="Q1198">
        <v>0</v>
      </c>
      <c r="R1198" t="s">
        <v>145</v>
      </c>
      <c r="S1198">
        <v>0</v>
      </c>
    </row>
    <row r="1199" spans="1:19">
      <c r="A1199" t="s">
        <v>35</v>
      </c>
      <c r="B1199" t="s">
        <v>6650</v>
      </c>
      <c r="C1199">
        <f>"PQ019"</f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 s="2">
        <v>0</v>
      </c>
      <c r="M1199">
        <v>0</v>
      </c>
      <c r="N1199" s="2">
        <v>0</v>
      </c>
      <c r="O1199">
        <v>0</v>
      </c>
      <c r="P1199" t="s">
        <v>100</v>
      </c>
      <c r="Q1199">
        <v>0</v>
      </c>
      <c r="R1199" t="s">
        <v>145</v>
      </c>
      <c r="S1199">
        <v>0</v>
      </c>
    </row>
    <row r="1200" spans="1:19">
      <c r="A1200" t="s">
        <v>35</v>
      </c>
      <c r="B1200" t="s">
        <v>6649</v>
      </c>
      <c r="C1200">
        <f>"PQ013CE"</f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 s="2">
        <v>0</v>
      </c>
      <c r="M1200">
        <v>0</v>
      </c>
      <c r="N1200" s="2">
        <v>0</v>
      </c>
      <c r="O1200">
        <v>0</v>
      </c>
      <c r="P1200" t="s">
        <v>100</v>
      </c>
      <c r="Q1200">
        <v>0</v>
      </c>
      <c r="R1200" t="s">
        <v>145</v>
      </c>
      <c r="S1200">
        <v>0</v>
      </c>
    </row>
    <row r="1201" spans="1:19">
      <c r="A1201" t="s">
        <v>35</v>
      </c>
      <c r="B1201" t="s">
        <v>6648</v>
      </c>
      <c r="C1201">
        <f>"PQ013MO"</f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 s="2">
        <v>0</v>
      </c>
      <c r="M1201">
        <v>0</v>
      </c>
      <c r="N1201" s="2">
        <v>0</v>
      </c>
      <c r="O1201">
        <v>0</v>
      </c>
      <c r="P1201" t="s">
        <v>100</v>
      </c>
      <c r="Q1201">
        <v>0</v>
      </c>
      <c r="R1201" t="s">
        <v>145</v>
      </c>
      <c r="S1201">
        <v>0</v>
      </c>
    </row>
    <row r="1202" spans="1:19">
      <c r="A1202" t="s">
        <v>35</v>
      </c>
      <c r="B1202" t="s">
        <v>6647</v>
      </c>
      <c r="C1202">
        <f>"PQ013ROJ"</f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 s="2">
        <v>0</v>
      </c>
      <c r="M1202">
        <v>0</v>
      </c>
      <c r="N1202" s="2">
        <v>0</v>
      </c>
      <c r="O1202">
        <v>0</v>
      </c>
      <c r="P1202" t="s">
        <v>100</v>
      </c>
      <c r="Q1202">
        <v>0</v>
      </c>
      <c r="R1202" t="s">
        <v>145</v>
      </c>
      <c r="S1202">
        <v>0</v>
      </c>
    </row>
    <row r="1203" spans="1:19">
      <c r="A1203" t="s">
        <v>35</v>
      </c>
      <c r="B1203" t="s">
        <v>6646</v>
      </c>
      <c r="C1203">
        <f>"PQ013ROS"</f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 s="2">
        <v>0</v>
      </c>
      <c r="M1203">
        <v>0</v>
      </c>
      <c r="N1203" s="2">
        <v>0</v>
      </c>
      <c r="O1203">
        <v>0</v>
      </c>
      <c r="P1203" t="s">
        <v>100</v>
      </c>
      <c r="Q1203">
        <v>0</v>
      </c>
      <c r="R1203" t="s">
        <v>145</v>
      </c>
      <c r="S1203">
        <v>0</v>
      </c>
    </row>
    <row r="1204" spans="1:19">
      <c r="A1204" t="s">
        <v>35</v>
      </c>
      <c r="B1204" t="s">
        <v>1364</v>
      </c>
      <c r="C1204">
        <f>"PQ013VE"</f>
        <v>0</v>
      </c>
      <c r="D1204">
        <v>1</v>
      </c>
      <c r="E1204">
        <v>0</v>
      </c>
      <c r="F1204">
        <v>0</v>
      </c>
      <c r="G1204">
        <v>0</v>
      </c>
      <c r="H1204">
        <v>1</v>
      </c>
      <c r="I1204">
        <v>0</v>
      </c>
      <c r="J1204">
        <v>0</v>
      </c>
      <c r="K1204">
        <v>0</v>
      </c>
      <c r="L1204" s="2">
        <v>0</v>
      </c>
      <c r="M1204">
        <v>0</v>
      </c>
      <c r="N1204" s="2">
        <v>0</v>
      </c>
      <c r="O1204">
        <v>0</v>
      </c>
      <c r="P1204" t="s">
        <v>100</v>
      </c>
      <c r="Q1204">
        <v>0</v>
      </c>
      <c r="R1204" t="s">
        <v>145</v>
      </c>
      <c r="S1204">
        <v>0</v>
      </c>
    </row>
    <row r="1205" spans="1:19">
      <c r="A1205" t="s">
        <v>35</v>
      </c>
      <c r="B1205" t="s">
        <v>9214</v>
      </c>
      <c r="C1205">
        <f>"SDR121"</f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 s="2">
        <v>0</v>
      </c>
      <c r="M1205">
        <v>0</v>
      </c>
      <c r="N1205" s="2">
        <v>0</v>
      </c>
      <c r="O1205">
        <v>0</v>
      </c>
      <c r="P1205" t="s">
        <v>100</v>
      </c>
      <c r="Q1205">
        <v>0</v>
      </c>
      <c r="R1205" t="s">
        <v>145</v>
      </c>
      <c r="S1205">
        <v>0</v>
      </c>
    </row>
    <row r="1206" spans="1:19">
      <c r="A1206" t="s">
        <v>35</v>
      </c>
      <c r="B1206" t="s">
        <v>9213</v>
      </c>
      <c r="C1206">
        <f>"SDR102"</f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 s="2">
        <v>0</v>
      </c>
      <c r="M1206">
        <v>0</v>
      </c>
      <c r="N1206" s="2">
        <v>0</v>
      </c>
      <c r="O1206">
        <v>0</v>
      </c>
      <c r="P1206" t="s">
        <v>100</v>
      </c>
      <c r="Q1206">
        <v>0</v>
      </c>
      <c r="R1206" t="s">
        <v>145</v>
      </c>
      <c r="S1206">
        <v>0</v>
      </c>
    </row>
    <row r="1207" spans="1:19">
      <c r="A1207" t="s">
        <v>35</v>
      </c>
      <c r="B1207" t="s">
        <v>9212</v>
      </c>
      <c r="C1207">
        <f>"SDR110"</f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 s="2">
        <v>0</v>
      </c>
      <c r="M1207">
        <v>0</v>
      </c>
      <c r="N1207" s="2">
        <v>0</v>
      </c>
      <c r="O1207">
        <v>0</v>
      </c>
      <c r="P1207" t="s">
        <v>100</v>
      </c>
      <c r="Q1207">
        <v>0</v>
      </c>
      <c r="R1207" t="s">
        <v>145</v>
      </c>
      <c r="S1207">
        <v>0</v>
      </c>
    </row>
    <row r="1208" spans="1:19">
      <c r="A1208" t="s">
        <v>35</v>
      </c>
      <c r="B1208" t="s">
        <v>9192</v>
      </c>
      <c r="C1208">
        <f>"SDR125"</f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 s="2">
        <v>0</v>
      </c>
      <c r="M1208">
        <v>0</v>
      </c>
      <c r="N1208" s="2">
        <v>0</v>
      </c>
      <c r="O1208">
        <v>0</v>
      </c>
      <c r="P1208" t="s">
        <v>100</v>
      </c>
      <c r="Q1208">
        <v>0</v>
      </c>
      <c r="R1208" t="s">
        <v>145</v>
      </c>
      <c r="S1208">
        <v>0</v>
      </c>
    </row>
    <row r="1209" spans="1:19">
      <c r="A1209" t="s">
        <v>35</v>
      </c>
      <c r="B1209" t="s">
        <v>6651</v>
      </c>
      <c r="C1209">
        <f>"PQ021"</f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 s="2">
        <v>0</v>
      </c>
      <c r="M1209">
        <v>0</v>
      </c>
      <c r="N1209" s="2">
        <v>0</v>
      </c>
      <c r="O1209">
        <v>0</v>
      </c>
      <c r="P1209" t="s">
        <v>100</v>
      </c>
      <c r="Q1209">
        <v>0</v>
      </c>
      <c r="R1209" t="s">
        <v>145</v>
      </c>
      <c r="S1209">
        <v>0</v>
      </c>
    </row>
    <row r="1210" spans="1:19">
      <c r="A1210" t="s">
        <v>35</v>
      </c>
      <c r="B1210" t="s">
        <v>6609</v>
      </c>
      <c r="C1210">
        <f>"JY3060"</f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 s="2">
        <v>0</v>
      </c>
      <c r="M1210">
        <v>0</v>
      </c>
      <c r="N1210" s="2">
        <v>0</v>
      </c>
      <c r="O1210">
        <v>0</v>
      </c>
      <c r="P1210" t="s">
        <v>100</v>
      </c>
      <c r="Q1210">
        <v>0</v>
      </c>
      <c r="R1210" t="s">
        <v>145</v>
      </c>
      <c r="S1210">
        <v>0</v>
      </c>
    </row>
    <row r="1211" spans="1:19">
      <c r="A1211" t="s">
        <v>35</v>
      </c>
      <c r="B1211" t="s">
        <v>6608</v>
      </c>
      <c r="C1211">
        <f>"JY1530"</f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 s="2">
        <v>0</v>
      </c>
      <c r="M1211">
        <v>0</v>
      </c>
      <c r="N1211" s="2">
        <v>0</v>
      </c>
      <c r="O1211">
        <v>0</v>
      </c>
      <c r="P1211" t="s">
        <v>100</v>
      </c>
      <c r="Q1211">
        <v>0</v>
      </c>
      <c r="R1211" t="s">
        <v>145</v>
      </c>
      <c r="S1211">
        <v>0</v>
      </c>
    </row>
    <row r="1212" spans="1:19">
      <c r="A1212" t="s">
        <v>35</v>
      </c>
      <c r="B1212" t="s">
        <v>6653</v>
      </c>
      <c r="C1212">
        <f>"JY1030"</f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 s="2">
        <v>0</v>
      </c>
      <c r="M1212">
        <v>0</v>
      </c>
      <c r="N1212" s="2">
        <v>0</v>
      </c>
      <c r="O1212">
        <v>0</v>
      </c>
      <c r="P1212" t="s">
        <v>100</v>
      </c>
      <c r="Q1212">
        <v>0</v>
      </c>
      <c r="R1212" t="s">
        <v>145</v>
      </c>
      <c r="S1212">
        <v>0</v>
      </c>
    </row>
    <row r="1213" spans="1:19">
      <c r="A1213" t="s">
        <v>35</v>
      </c>
      <c r="B1213" t="s">
        <v>1352</v>
      </c>
      <c r="C1213">
        <f>"BBT01LC"</f>
        <v>0</v>
      </c>
      <c r="D1213">
        <v>0</v>
      </c>
      <c r="E1213">
        <v>0</v>
      </c>
      <c r="F1213">
        <v>1</v>
      </c>
      <c r="G1213">
        <v>0</v>
      </c>
      <c r="H1213">
        <v>1</v>
      </c>
      <c r="I1213">
        <v>0</v>
      </c>
      <c r="J1213">
        <v>0</v>
      </c>
      <c r="K1213">
        <v>0</v>
      </c>
      <c r="L1213" s="2">
        <v>0</v>
      </c>
      <c r="M1213">
        <v>0</v>
      </c>
      <c r="N1213" s="2">
        <v>0</v>
      </c>
      <c r="O1213">
        <v>0</v>
      </c>
      <c r="P1213" t="s">
        <v>100</v>
      </c>
      <c r="Q1213">
        <v>0</v>
      </c>
      <c r="R1213" t="s">
        <v>145</v>
      </c>
      <c r="S1213">
        <v>0</v>
      </c>
    </row>
    <row r="1214" spans="1:19">
      <c r="A1214" t="s">
        <v>35</v>
      </c>
      <c r="B1214" t="s">
        <v>6668</v>
      </c>
      <c r="C1214">
        <f>"BBT01LM"</f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 s="2">
        <v>0</v>
      </c>
      <c r="M1214">
        <v>0</v>
      </c>
      <c r="N1214" s="2">
        <v>0</v>
      </c>
      <c r="O1214">
        <v>0</v>
      </c>
      <c r="P1214" t="s">
        <v>100</v>
      </c>
      <c r="Q1214">
        <v>0</v>
      </c>
      <c r="R1214" t="s">
        <v>145</v>
      </c>
      <c r="S1214">
        <v>0</v>
      </c>
    </row>
    <row r="1215" spans="1:19">
      <c r="A1215" t="s">
        <v>35</v>
      </c>
      <c r="B1215" t="s">
        <v>1367</v>
      </c>
      <c r="C1215">
        <f>"BBT01LN"</f>
        <v>0</v>
      </c>
      <c r="D1215">
        <v>0</v>
      </c>
      <c r="E1215">
        <v>1</v>
      </c>
      <c r="F1215">
        <v>0</v>
      </c>
      <c r="G1215">
        <v>0</v>
      </c>
      <c r="H1215">
        <v>1</v>
      </c>
      <c r="I1215">
        <v>0</v>
      </c>
      <c r="J1215">
        <v>0</v>
      </c>
      <c r="K1215">
        <v>0</v>
      </c>
      <c r="L1215" s="2">
        <v>0</v>
      </c>
      <c r="M1215">
        <v>0</v>
      </c>
      <c r="N1215" s="2">
        <v>0</v>
      </c>
      <c r="O1215">
        <v>0</v>
      </c>
      <c r="P1215" t="s">
        <v>100</v>
      </c>
      <c r="Q1215">
        <v>0</v>
      </c>
      <c r="R1215" t="s">
        <v>145</v>
      </c>
      <c r="S1215">
        <v>0</v>
      </c>
    </row>
    <row r="1216" spans="1:19">
      <c r="A1216" t="s">
        <v>35</v>
      </c>
      <c r="B1216" t="s">
        <v>6667</v>
      </c>
      <c r="C1216">
        <f>"BBT01LV"</f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 s="2">
        <v>0</v>
      </c>
      <c r="M1216">
        <v>0</v>
      </c>
      <c r="N1216" s="2">
        <v>0</v>
      </c>
      <c r="O1216">
        <v>0</v>
      </c>
      <c r="P1216" t="s">
        <v>100</v>
      </c>
      <c r="Q1216">
        <v>0</v>
      </c>
      <c r="R1216" t="s">
        <v>145</v>
      </c>
      <c r="S1216">
        <v>0</v>
      </c>
    </row>
    <row r="1217" spans="1:19">
      <c r="A1217" t="s">
        <v>35</v>
      </c>
      <c r="B1217" t="s">
        <v>9202</v>
      </c>
      <c r="C1217">
        <f>"WPS073"</f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 s="2">
        <v>0</v>
      </c>
      <c r="M1217">
        <v>0</v>
      </c>
      <c r="N1217" s="2">
        <v>0</v>
      </c>
      <c r="O1217">
        <v>0</v>
      </c>
      <c r="P1217" t="s">
        <v>100</v>
      </c>
      <c r="Q1217">
        <v>0</v>
      </c>
      <c r="R1217" t="s">
        <v>145</v>
      </c>
      <c r="S1217">
        <v>0</v>
      </c>
    </row>
    <row r="1218" spans="1:19">
      <c r="A1218" t="s">
        <v>35</v>
      </c>
      <c r="B1218" t="s">
        <v>9199</v>
      </c>
      <c r="C1218">
        <f>"WPS069"</f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 s="2">
        <v>0</v>
      </c>
      <c r="M1218">
        <v>0</v>
      </c>
      <c r="N1218" s="2">
        <v>0</v>
      </c>
      <c r="O1218">
        <v>0</v>
      </c>
      <c r="P1218" t="s">
        <v>100</v>
      </c>
      <c r="Q1218">
        <v>0</v>
      </c>
      <c r="R1218" t="s">
        <v>145</v>
      </c>
      <c r="S1218">
        <v>0</v>
      </c>
    </row>
    <row r="1219" spans="1:19">
      <c r="A1219" t="s">
        <v>35</v>
      </c>
      <c r="B1219" t="s">
        <v>6660</v>
      </c>
      <c r="C1219">
        <f>"19L"</f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 s="2">
        <v>0</v>
      </c>
      <c r="M1219">
        <v>0</v>
      </c>
      <c r="N1219" s="2">
        <v>0</v>
      </c>
      <c r="O1219">
        <v>0</v>
      </c>
      <c r="P1219" t="s">
        <v>100</v>
      </c>
      <c r="Q1219">
        <v>0</v>
      </c>
      <c r="R1219" t="s">
        <v>145</v>
      </c>
      <c r="S1219">
        <v>0</v>
      </c>
    </row>
    <row r="1220" spans="1:19">
      <c r="A1220" t="s">
        <v>35</v>
      </c>
      <c r="B1220" t="s">
        <v>9242</v>
      </c>
      <c r="C1220">
        <f>"CT1163"</f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 s="2">
        <v>0</v>
      </c>
      <c r="M1220">
        <v>0</v>
      </c>
      <c r="N1220" s="2">
        <v>0</v>
      </c>
      <c r="O1220">
        <v>0</v>
      </c>
      <c r="P1220" t="s">
        <v>100</v>
      </c>
      <c r="Q1220">
        <v>0</v>
      </c>
      <c r="R1220" t="s">
        <v>145</v>
      </c>
      <c r="S1220">
        <v>0</v>
      </c>
    </row>
    <row r="1221" spans="1:19">
      <c r="A1221" t="s">
        <v>35</v>
      </c>
      <c r="B1221" t="s">
        <v>9240</v>
      </c>
      <c r="C1221">
        <f>"DT360L"</f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 s="2">
        <v>0</v>
      </c>
      <c r="M1221">
        <v>0</v>
      </c>
      <c r="N1221" s="2">
        <v>0</v>
      </c>
      <c r="O1221">
        <v>0</v>
      </c>
      <c r="P1221" t="s">
        <v>100</v>
      </c>
      <c r="Q1221">
        <v>0</v>
      </c>
      <c r="R1221" t="s">
        <v>145</v>
      </c>
      <c r="S1221">
        <v>0</v>
      </c>
    </row>
    <row r="1222" spans="1:19">
      <c r="A1222" t="s">
        <v>35</v>
      </c>
      <c r="B1222" t="s">
        <v>1113</v>
      </c>
      <c r="C1222">
        <f>"D046L"</f>
        <v>0</v>
      </c>
      <c r="D1222">
        <v>2</v>
      </c>
      <c r="E1222">
        <v>0</v>
      </c>
      <c r="F1222">
        <v>0</v>
      </c>
      <c r="G1222">
        <v>0</v>
      </c>
      <c r="H1222">
        <v>2</v>
      </c>
      <c r="I1222">
        <v>0</v>
      </c>
      <c r="J1222">
        <v>0</v>
      </c>
      <c r="K1222">
        <v>0</v>
      </c>
      <c r="L1222" s="2">
        <v>0</v>
      </c>
      <c r="M1222">
        <v>0</v>
      </c>
      <c r="N1222" s="2">
        <v>0</v>
      </c>
      <c r="O1222">
        <v>0</v>
      </c>
      <c r="P1222" t="s">
        <v>100</v>
      </c>
      <c r="Q1222">
        <v>0</v>
      </c>
      <c r="R1222" t="s">
        <v>145</v>
      </c>
      <c r="S1222">
        <v>0</v>
      </c>
    </row>
    <row r="1223" spans="1:19">
      <c r="A1223" t="s">
        <v>35</v>
      </c>
      <c r="B1223" t="s">
        <v>9204</v>
      </c>
      <c r="C1223">
        <f>"DGY113"</f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 s="2">
        <v>0</v>
      </c>
      <c r="M1223">
        <v>0</v>
      </c>
      <c r="N1223" s="2">
        <v>0</v>
      </c>
      <c r="O1223">
        <v>0</v>
      </c>
      <c r="P1223" t="s">
        <v>100</v>
      </c>
      <c r="Q1223">
        <v>0</v>
      </c>
      <c r="R1223" t="s">
        <v>145</v>
      </c>
      <c r="S1223">
        <v>0</v>
      </c>
    </row>
    <row r="1224" spans="1:19">
      <c r="A1224" t="s">
        <v>35</v>
      </c>
      <c r="B1224" t="s">
        <v>9203</v>
      </c>
      <c r="C1224">
        <f>"WPS113"</f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 s="2">
        <v>0</v>
      </c>
      <c r="M1224">
        <v>0</v>
      </c>
      <c r="N1224" s="2">
        <v>0</v>
      </c>
      <c r="O1224">
        <v>0</v>
      </c>
      <c r="P1224" t="s">
        <v>100</v>
      </c>
      <c r="Q1224">
        <v>0</v>
      </c>
      <c r="R1224" t="s">
        <v>145</v>
      </c>
      <c r="S1224">
        <v>0</v>
      </c>
    </row>
    <row r="1225" spans="1:19">
      <c r="A1225" t="s">
        <v>35</v>
      </c>
      <c r="B1225" t="s">
        <v>1366</v>
      </c>
      <c r="C1225">
        <f>"BBT01MC"</f>
        <v>0</v>
      </c>
      <c r="D1225">
        <v>0</v>
      </c>
      <c r="E1225">
        <v>1</v>
      </c>
      <c r="F1225">
        <v>0</v>
      </c>
      <c r="G1225">
        <v>0</v>
      </c>
      <c r="H1225">
        <v>1</v>
      </c>
      <c r="I1225">
        <v>0</v>
      </c>
      <c r="J1225">
        <v>0</v>
      </c>
      <c r="K1225">
        <v>0</v>
      </c>
      <c r="L1225" s="2">
        <v>0</v>
      </c>
      <c r="M1225">
        <v>0</v>
      </c>
      <c r="N1225" s="2">
        <v>0</v>
      </c>
      <c r="O1225">
        <v>0</v>
      </c>
      <c r="P1225" t="s">
        <v>100</v>
      </c>
      <c r="Q1225">
        <v>0</v>
      </c>
      <c r="R1225" t="s">
        <v>145</v>
      </c>
      <c r="S1225">
        <v>0</v>
      </c>
    </row>
    <row r="1226" spans="1:19">
      <c r="A1226" t="s">
        <v>35</v>
      </c>
      <c r="B1226" t="s">
        <v>6643</v>
      </c>
      <c r="C1226">
        <f>"BBT01MV"</f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 s="2">
        <v>0</v>
      </c>
      <c r="M1226">
        <v>0</v>
      </c>
      <c r="N1226" s="2">
        <v>0</v>
      </c>
      <c r="O1226">
        <v>0</v>
      </c>
      <c r="P1226" t="s">
        <v>100</v>
      </c>
      <c r="Q1226">
        <v>0</v>
      </c>
      <c r="R1226" t="s">
        <v>145</v>
      </c>
      <c r="S1226">
        <v>0</v>
      </c>
    </row>
    <row r="1227" spans="1:19">
      <c r="A1227" t="s">
        <v>35</v>
      </c>
      <c r="B1227" t="s">
        <v>6664</v>
      </c>
      <c r="C1227">
        <f>"BBT01XLC"</f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 s="2">
        <v>0</v>
      </c>
      <c r="M1227">
        <v>0</v>
      </c>
      <c r="N1227" s="2">
        <v>0</v>
      </c>
      <c r="O1227">
        <v>0</v>
      </c>
      <c r="P1227" t="s">
        <v>100</v>
      </c>
      <c r="Q1227">
        <v>0</v>
      </c>
      <c r="R1227" t="s">
        <v>145</v>
      </c>
      <c r="S1227">
        <v>0</v>
      </c>
    </row>
    <row r="1228" spans="1:19">
      <c r="A1228" t="s">
        <v>35</v>
      </c>
      <c r="B1228" t="s">
        <v>6663</v>
      </c>
      <c r="C1228">
        <f>"BBT01XLM"</f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 s="2">
        <v>0</v>
      </c>
      <c r="M1228">
        <v>0</v>
      </c>
      <c r="N1228" s="2">
        <v>0</v>
      </c>
      <c r="O1228">
        <v>0</v>
      </c>
      <c r="P1228" t="s">
        <v>100</v>
      </c>
      <c r="Q1228">
        <v>0</v>
      </c>
      <c r="R1228" t="s">
        <v>145</v>
      </c>
      <c r="S1228">
        <v>0</v>
      </c>
    </row>
    <row r="1229" spans="1:19">
      <c r="A1229" t="s">
        <v>35</v>
      </c>
      <c r="B1229" t="s">
        <v>1365</v>
      </c>
      <c r="C1229">
        <f>"BBT01XLN"</f>
        <v>0</v>
      </c>
      <c r="D1229">
        <v>1</v>
      </c>
      <c r="E1229">
        <v>0</v>
      </c>
      <c r="F1229">
        <v>0</v>
      </c>
      <c r="G1229">
        <v>0</v>
      </c>
      <c r="H1229">
        <v>1</v>
      </c>
      <c r="I1229">
        <v>0</v>
      </c>
      <c r="J1229">
        <v>0</v>
      </c>
      <c r="K1229">
        <v>0</v>
      </c>
      <c r="L1229" s="2">
        <v>0</v>
      </c>
      <c r="M1229">
        <v>0</v>
      </c>
      <c r="N1229" s="2">
        <v>0</v>
      </c>
      <c r="O1229">
        <v>0</v>
      </c>
      <c r="P1229" t="s">
        <v>100</v>
      </c>
      <c r="Q1229">
        <v>0</v>
      </c>
      <c r="R1229" t="s">
        <v>145</v>
      </c>
      <c r="S1229">
        <v>0</v>
      </c>
    </row>
    <row r="1230" spans="1:19">
      <c r="A1230" t="s">
        <v>35</v>
      </c>
      <c r="B1230" t="s">
        <v>9243</v>
      </c>
      <c r="C1230">
        <f>"DGY124"</f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 s="2">
        <v>0</v>
      </c>
      <c r="M1230">
        <v>0</v>
      </c>
      <c r="N1230" s="2">
        <v>0</v>
      </c>
      <c r="O1230">
        <v>0</v>
      </c>
      <c r="P1230" t="s">
        <v>100</v>
      </c>
      <c r="Q1230">
        <v>0</v>
      </c>
      <c r="R1230" t="s">
        <v>145</v>
      </c>
      <c r="S1230">
        <v>0</v>
      </c>
    </row>
    <row r="1231" spans="1:19">
      <c r="A1231" t="s">
        <v>35</v>
      </c>
      <c r="B1231" t="s">
        <v>9220</v>
      </c>
      <c r="C1231">
        <f>"CT384"</f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 s="2">
        <v>0</v>
      </c>
      <c r="M1231">
        <v>0</v>
      </c>
      <c r="N1231" s="2">
        <v>0</v>
      </c>
      <c r="O1231">
        <v>0</v>
      </c>
      <c r="P1231" t="s">
        <v>100</v>
      </c>
      <c r="Q1231">
        <v>0</v>
      </c>
      <c r="R1231" t="s">
        <v>145</v>
      </c>
      <c r="S1231">
        <v>0</v>
      </c>
    </row>
    <row r="1232" spans="1:19">
      <c r="A1232" t="s">
        <v>35</v>
      </c>
      <c r="B1232" t="s">
        <v>9219</v>
      </c>
      <c r="C1232">
        <f>"WPS192"</f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 s="2">
        <v>0</v>
      </c>
      <c r="M1232">
        <v>0</v>
      </c>
      <c r="N1232" s="2">
        <v>0</v>
      </c>
      <c r="O1232">
        <v>0</v>
      </c>
      <c r="P1232" t="s">
        <v>100</v>
      </c>
      <c r="Q1232">
        <v>0</v>
      </c>
      <c r="R1232" t="s">
        <v>145</v>
      </c>
      <c r="S1232">
        <v>0</v>
      </c>
    </row>
    <row r="1233" spans="1:19">
      <c r="A1233" t="s">
        <v>35</v>
      </c>
      <c r="B1233" t="s">
        <v>9218</v>
      </c>
      <c r="C1233">
        <f>"CT031"</f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 s="2">
        <v>0</v>
      </c>
      <c r="M1233">
        <v>0</v>
      </c>
      <c r="N1233" s="2">
        <v>0</v>
      </c>
      <c r="O1233">
        <v>0</v>
      </c>
      <c r="P1233" t="s">
        <v>100</v>
      </c>
      <c r="Q1233">
        <v>0</v>
      </c>
      <c r="R1233" t="s">
        <v>145</v>
      </c>
      <c r="S1233">
        <v>0</v>
      </c>
    </row>
    <row r="1234" spans="1:19">
      <c r="A1234" t="s">
        <v>35</v>
      </c>
      <c r="B1234" t="s">
        <v>1343</v>
      </c>
      <c r="C1234">
        <f>"LS222LI"</f>
        <v>0</v>
      </c>
      <c r="D1234">
        <v>0</v>
      </c>
      <c r="E1234">
        <v>1</v>
      </c>
      <c r="F1234">
        <v>0</v>
      </c>
      <c r="G1234">
        <v>0</v>
      </c>
      <c r="H1234">
        <v>1</v>
      </c>
      <c r="I1234">
        <v>0</v>
      </c>
      <c r="J1234">
        <v>0</v>
      </c>
      <c r="K1234">
        <v>0</v>
      </c>
      <c r="L1234" s="2">
        <v>0</v>
      </c>
      <c r="M1234">
        <v>0</v>
      </c>
      <c r="N1234" s="2">
        <v>0</v>
      </c>
      <c r="O1234">
        <v>0</v>
      </c>
      <c r="P1234" t="s">
        <v>100</v>
      </c>
      <c r="Q1234">
        <v>0</v>
      </c>
      <c r="R1234" t="s">
        <v>145</v>
      </c>
      <c r="S1234">
        <v>0</v>
      </c>
    </row>
    <row r="1235" spans="1:19">
      <c r="A1235" t="s">
        <v>35</v>
      </c>
      <c r="B1235" t="s">
        <v>7204</v>
      </c>
      <c r="C1235">
        <f>"LS222NA"</f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 s="2">
        <v>0</v>
      </c>
      <c r="M1235">
        <v>0</v>
      </c>
      <c r="N1235" s="2">
        <v>0</v>
      </c>
      <c r="O1235">
        <v>0</v>
      </c>
      <c r="P1235" t="s">
        <v>100</v>
      </c>
      <c r="Q1235">
        <v>0</v>
      </c>
      <c r="R1235" t="s">
        <v>145</v>
      </c>
      <c r="S1235">
        <v>0</v>
      </c>
    </row>
    <row r="1236" spans="1:19">
      <c r="A1236" t="s">
        <v>35</v>
      </c>
      <c r="B1236" t="s">
        <v>1344</v>
      </c>
      <c r="C1236">
        <f>"LS222VEO"</f>
        <v>0</v>
      </c>
      <c r="D1236">
        <v>0</v>
      </c>
      <c r="E1236">
        <v>1</v>
      </c>
      <c r="F1236">
        <v>0</v>
      </c>
      <c r="G1236">
        <v>0</v>
      </c>
      <c r="H1236">
        <v>1</v>
      </c>
      <c r="I1236">
        <v>0</v>
      </c>
      <c r="J1236">
        <v>0</v>
      </c>
      <c r="K1236">
        <v>0</v>
      </c>
      <c r="L1236" s="2">
        <v>0</v>
      </c>
      <c r="M1236">
        <v>0</v>
      </c>
      <c r="N1236" s="2">
        <v>0</v>
      </c>
      <c r="O1236">
        <v>0</v>
      </c>
      <c r="P1236" t="s">
        <v>100</v>
      </c>
      <c r="Q1236">
        <v>0</v>
      </c>
      <c r="R1236" t="s">
        <v>145</v>
      </c>
      <c r="S1236">
        <v>0</v>
      </c>
    </row>
    <row r="1237" spans="1:19">
      <c r="A1237" t="s">
        <v>35</v>
      </c>
      <c r="B1237" t="s">
        <v>9100</v>
      </c>
      <c r="C1237">
        <f>"QZWJ019"</f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 s="2">
        <v>0</v>
      </c>
      <c r="M1237">
        <v>0</v>
      </c>
      <c r="N1237" s="2">
        <v>0</v>
      </c>
      <c r="O1237">
        <v>0</v>
      </c>
      <c r="P1237" t="s">
        <v>100</v>
      </c>
      <c r="Q1237">
        <v>0</v>
      </c>
      <c r="R1237" t="s">
        <v>145</v>
      </c>
      <c r="S1237">
        <v>0</v>
      </c>
    </row>
    <row r="1238" spans="1:19">
      <c r="A1238" t="s">
        <v>35</v>
      </c>
      <c r="B1238" t="s">
        <v>9099</v>
      </c>
      <c r="C1238">
        <f>"PT239P"</f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 s="2">
        <v>0</v>
      </c>
      <c r="M1238">
        <v>0</v>
      </c>
      <c r="N1238" s="2">
        <v>0</v>
      </c>
      <c r="O1238">
        <v>0</v>
      </c>
      <c r="P1238" t="s">
        <v>100</v>
      </c>
      <c r="Q1238">
        <v>0</v>
      </c>
      <c r="R1238" t="s">
        <v>145</v>
      </c>
      <c r="S1238">
        <v>0</v>
      </c>
    </row>
    <row r="1239" spans="1:19">
      <c r="A1239" t="s">
        <v>35</v>
      </c>
      <c r="B1239" t="s">
        <v>1118</v>
      </c>
      <c r="C1239">
        <f>"QZWJ018"</f>
        <v>0</v>
      </c>
      <c r="D1239">
        <v>2</v>
      </c>
      <c r="E1239">
        <v>0</v>
      </c>
      <c r="F1239">
        <v>0</v>
      </c>
      <c r="G1239">
        <v>0</v>
      </c>
      <c r="H1239">
        <v>2</v>
      </c>
      <c r="I1239">
        <v>0</v>
      </c>
      <c r="J1239">
        <v>0</v>
      </c>
      <c r="K1239">
        <v>0</v>
      </c>
      <c r="L1239" s="2">
        <v>0</v>
      </c>
      <c r="M1239">
        <v>0</v>
      </c>
      <c r="N1239" s="2">
        <v>0</v>
      </c>
      <c r="O1239">
        <v>0</v>
      </c>
      <c r="P1239" t="s">
        <v>100</v>
      </c>
      <c r="Q1239">
        <v>0</v>
      </c>
      <c r="R1239" t="s">
        <v>145</v>
      </c>
      <c r="S1239">
        <v>0</v>
      </c>
    </row>
    <row r="1240" spans="1:19">
      <c r="A1240" t="s">
        <v>35</v>
      </c>
      <c r="B1240" t="s">
        <v>9250</v>
      </c>
      <c r="C1240">
        <f>"WPS362"</f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 s="2">
        <v>0</v>
      </c>
      <c r="M1240">
        <v>0</v>
      </c>
      <c r="N1240" s="2">
        <v>0</v>
      </c>
      <c r="O1240">
        <v>0</v>
      </c>
      <c r="P1240" t="s">
        <v>100</v>
      </c>
      <c r="Q1240">
        <v>0</v>
      </c>
      <c r="R1240" t="s">
        <v>145</v>
      </c>
      <c r="S1240">
        <v>0</v>
      </c>
    </row>
    <row r="1241" spans="1:19">
      <c r="A1241" t="s">
        <v>35</v>
      </c>
      <c r="B1241" t="s">
        <v>9034</v>
      </c>
      <c r="C1241">
        <f>"CT050"</f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 s="2">
        <v>0</v>
      </c>
      <c r="M1241">
        <v>0</v>
      </c>
      <c r="N1241" s="2">
        <v>0</v>
      </c>
      <c r="O1241">
        <v>0</v>
      </c>
      <c r="P1241" t="s">
        <v>100</v>
      </c>
      <c r="Q1241">
        <v>0</v>
      </c>
      <c r="R1241" t="s">
        <v>145</v>
      </c>
      <c r="S1241">
        <v>0</v>
      </c>
    </row>
    <row r="1242" spans="1:19">
      <c r="A1242" t="s">
        <v>35</v>
      </c>
      <c r="B1242" t="s">
        <v>818</v>
      </c>
      <c r="C1242">
        <f>"MCW152"</f>
        <v>0</v>
      </c>
      <c r="D1242">
        <v>0</v>
      </c>
      <c r="E1242">
        <v>4</v>
      </c>
      <c r="F1242">
        <v>0</v>
      </c>
      <c r="G1242">
        <v>0</v>
      </c>
      <c r="H1242">
        <v>4</v>
      </c>
      <c r="I1242">
        <v>0</v>
      </c>
      <c r="J1242">
        <v>0</v>
      </c>
      <c r="K1242">
        <v>0</v>
      </c>
      <c r="L1242" s="2">
        <v>0</v>
      </c>
      <c r="M1242">
        <v>0</v>
      </c>
      <c r="N1242" s="2">
        <v>0</v>
      </c>
      <c r="O1242">
        <v>0</v>
      </c>
      <c r="P1242" t="s">
        <v>100</v>
      </c>
      <c r="Q1242">
        <v>0</v>
      </c>
      <c r="R1242" t="s">
        <v>145</v>
      </c>
      <c r="S1242">
        <v>0</v>
      </c>
    </row>
    <row r="1243" spans="1:19">
      <c r="A1243" t="s">
        <v>35</v>
      </c>
      <c r="B1243" t="s">
        <v>9011</v>
      </c>
      <c r="C1243">
        <f>"MCW139"</f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 s="2">
        <v>0</v>
      </c>
      <c r="M1243">
        <v>0</v>
      </c>
      <c r="N1243" s="2">
        <v>0</v>
      </c>
      <c r="O1243">
        <v>0</v>
      </c>
      <c r="P1243" t="s">
        <v>100</v>
      </c>
      <c r="Q1243">
        <v>0</v>
      </c>
      <c r="R1243" t="s">
        <v>145</v>
      </c>
      <c r="S1243">
        <v>0</v>
      </c>
    </row>
    <row r="1244" spans="1:19">
      <c r="A1244" t="s">
        <v>35</v>
      </c>
      <c r="B1244" t="s">
        <v>9056</v>
      </c>
      <c r="C1244">
        <f>"WPS196"</f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 s="2">
        <v>0</v>
      </c>
      <c r="M1244">
        <v>0</v>
      </c>
      <c r="N1244" s="2">
        <v>0</v>
      </c>
      <c r="O1244">
        <v>0</v>
      </c>
      <c r="P1244" t="s">
        <v>100</v>
      </c>
      <c r="Q1244">
        <v>0</v>
      </c>
      <c r="R1244" t="s">
        <v>145</v>
      </c>
      <c r="S1244">
        <v>0</v>
      </c>
    </row>
    <row r="1245" spans="1:19">
      <c r="A1245" t="s">
        <v>35</v>
      </c>
      <c r="B1245" t="s">
        <v>9027</v>
      </c>
      <c r="C1245">
        <f>"WPS272"</f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 s="2">
        <v>0</v>
      </c>
      <c r="M1245">
        <v>0</v>
      </c>
      <c r="N1245" s="2">
        <v>0</v>
      </c>
      <c r="O1245">
        <v>0</v>
      </c>
      <c r="P1245" t="s">
        <v>100</v>
      </c>
      <c r="Q1245">
        <v>0</v>
      </c>
      <c r="R1245" t="s">
        <v>145</v>
      </c>
      <c r="S1245">
        <v>0</v>
      </c>
    </row>
    <row r="1246" spans="1:19">
      <c r="A1246" t="s">
        <v>35</v>
      </c>
      <c r="B1246" t="s">
        <v>6571</v>
      </c>
      <c r="C1246">
        <f>"CC309XSANN"</f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 s="2">
        <v>0</v>
      </c>
      <c r="M1246">
        <v>0</v>
      </c>
      <c r="N1246" s="2">
        <v>0</v>
      </c>
      <c r="O1246">
        <v>0</v>
      </c>
      <c r="P1246" t="s">
        <v>100</v>
      </c>
      <c r="Q1246">
        <v>0</v>
      </c>
      <c r="R1246" t="s">
        <v>145</v>
      </c>
      <c r="S1246">
        <v>0</v>
      </c>
    </row>
    <row r="1247" spans="1:19">
      <c r="A1247" t="s">
        <v>35</v>
      </c>
      <c r="B1247" t="s">
        <v>6568</v>
      </c>
      <c r="C1247">
        <f>"CC309XSCRN"</f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 s="2">
        <v>0</v>
      </c>
      <c r="M1247">
        <v>0</v>
      </c>
      <c r="N1247" s="2">
        <v>0</v>
      </c>
      <c r="O1247">
        <v>0</v>
      </c>
      <c r="P1247" t="s">
        <v>100</v>
      </c>
      <c r="Q1247">
        <v>0</v>
      </c>
      <c r="R1247" t="s">
        <v>145</v>
      </c>
      <c r="S1247">
        <v>0</v>
      </c>
    </row>
    <row r="1248" spans="1:19">
      <c r="A1248" t="s">
        <v>35</v>
      </c>
      <c r="B1248" t="s">
        <v>900</v>
      </c>
      <c r="C1248">
        <f>"LS287MO"</f>
        <v>0</v>
      </c>
      <c r="D1248">
        <v>3</v>
      </c>
      <c r="E1248">
        <v>0</v>
      </c>
      <c r="F1248">
        <v>0</v>
      </c>
      <c r="G1248">
        <v>0</v>
      </c>
      <c r="H1248">
        <v>3</v>
      </c>
      <c r="I1248">
        <v>0</v>
      </c>
      <c r="J1248">
        <v>0</v>
      </c>
      <c r="K1248">
        <v>0</v>
      </c>
      <c r="L1248" s="2">
        <v>0</v>
      </c>
      <c r="M1248">
        <v>0</v>
      </c>
      <c r="N1248" s="2">
        <v>0</v>
      </c>
      <c r="O1248">
        <v>0</v>
      </c>
      <c r="P1248" t="s">
        <v>100</v>
      </c>
      <c r="Q1248">
        <v>0</v>
      </c>
      <c r="R1248" t="s">
        <v>145</v>
      </c>
      <c r="S1248">
        <v>0</v>
      </c>
    </row>
    <row r="1249" spans="1:19">
      <c r="A1249" t="s">
        <v>35</v>
      </c>
      <c r="B1249" t="s">
        <v>7188</v>
      </c>
      <c r="C1249">
        <f>"LS287NA"</f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 s="2">
        <v>0</v>
      </c>
      <c r="M1249">
        <v>0</v>
      </c>
      <c r="N1249" s="2">
        <v>0</v>
      </c>
      <c r="O1249">
        <v>0</v>
      </c>
      <c r="P1249" t="s">
        <v>100</v>
      </c>
      <c r="Q1249">
        <v>0</v>
      </c>
      <c r="R1249" t="s">
        <v>145</v>
      </c>
      <c r="S1249">
        <v>0</v>
      </c>
    </row>
    <row r="1250" spans="1:19">
      <c r="A1250" t="s">
        <v>35</v>
      </c>
      <c r="B1250" t="s">
        <v>7246</v>
      </c>
      <c r="C1250">
        <f>"23004A2"</f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 s="2">
        <v>0</v>
      </c>
      <c r="M1250">
        <v>0</v>
      </c>
      <c r="N1250" s="2">
        <v>0</v>
      </c>
      <c r="O1250">
        <v>0</v>
      </c>
      <c r="P1250" t="s">
        <v>100</v>
      </c>
      <c r="Q1250">
        <v>0</v>
      </c>
      <c r="R1250" t="s">
        <v>145</v>
      </c>
      <c r="S1250">
        <v>0</v>
      </c>
    </row>
    <row r="1251" spans="1:19">
      <c r="A1251" t="s">
        <v>35</v>
      </c>
      <c r="B1251" t="s">
        <v>9035</v>
      </c>
      <c r="C1251">
        <f>"MCW143"</f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 s="2">
        <v>0</v>
      </c>
      <c r="M1251">
        <v>0</v>
      </c>
      <c r="N1251" s="2">
        <v>0</v>
      </c>
      <c r="O1251">
        <v>0</v>
      </c>
      <c r="P1251" t="s">
        <v>100</v>
      </c>
      <c r="Q1251">
        <v>0</v>
      </c>
      <c r="R1251" t="s">
        <v>145</v>
      </c>
      <c r="S1251">
        <v>0</v>
      </c>
    </row>
    <row r="1252" spans="1:19">
      <c r="A1252" t="s">
        <v>35</v>
      </c>
      <c r="B1252" t="s">
        <v>9217</v>
      </c>
      <c r="C1252">
        <f>"CT357"</f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 s="2">
        <v>0</v>
      </c>
      <c r="M1252">
        <v>0</v>
      </c>
      <c r="N1252" s="2">
        <v>0</v>
      </c>
      <c r="O1252">
        <v>0</v>
      </c>
      <c r="P1252" t="s">
        <v>100</v>
      </c>
      <c r="Q1252">
        <v>0</v>
      </c>
      <c r="R1252" t="s">
        <v>145</v>
      </c>
      <c r="S1252">
        <v>0</v>
      </c>
    </row>
    <row r="1253" spans="1:19">
      <c r="A1253" t="s">
        <v>35</v>
      </c>
      <c r="B1253" t="s">
        <v>9216</v>
      </c>
      <c r="C1253">
        <f>"DGY06"</f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 s="2">
        <v>0</v>
      </c>
      <c r="M1253">
        <v>0</v>
      </c>
      <c r="N1253" s="2">
        <v>0</v>
      </c>
      <c r="O1253">
        <v>0</v>
      </c>
      <c r="P1253" t="s">
        <v>100</v>
      </c>
      <c r="Q1253">
        <v>0</v>
      </c>
      <c r="R1253" t="s">
        <v>145</v>
      </c>
      <c r="S1253">
        <v>0</v>
      </c>
    </row>
    <row r="1254" spans="1:19">
      <c r="A1254" t="s">
        <v>35</v>
      </c>
      <c r="B1254" t="s">
        <v>9015</v>
      </c>
      <c r="C1254">
        <f>"HDD181W"</f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 s="2">
        <v>0</v>
      </c>
      <c r="M1254">
        <v>0</v>
      </c>
      <c r="N1254" s="2">
        <v>0</v>
      </c>
      <c r="O1254">
        <v>0</v>
      </c>
      <c r="P1254" t="s">
        <v>100</v>
      </c>
      <c r="Q1254">
        <v>0</v>
      </c>
      <c r="R1254" t="s">
        <v>145</v>
      </c>
      <c r="S1254">
        <v>0</v>
      </c>
    </row>
    <row r="1255" spans="1:19">
      <c r="A1255" t="s">
        <v>35</v>
      </c>
      <c r="B1255" t="s">
        <v>9210</v>
      </c>
      <c r="C1255">
        <f>"HDD179PCC"</f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 s="2">
        <v>0</v>
      </c>
      <c r="M1255">
        <v>0</v>
      </c>
      <c r="N1255" s="2">
        <v>0</v>
      </c>
      <c r="O1255">
        <v>0</v>
      </c>
      <c r="P1255" t="s">
        <v>100</v>
      </c>
      <c r="Q1255">
        <v>0</v>
      </c>
      <c r="R1255" t="s">
        <v>145</v>
      </c>
      <c r="S1255">
        <v>0</v>
      </c>
    </row>
    <row r="1256" spans="1:19">
      <c r="A1256" t="s">
        <v>35</v>
      </c>
      <c r="B1256" t="s">
        <v>9209</v>
      </c>
      <c r="C1256">
        <f>"HDD145BL"</f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 s="2">
        <v>0</v>
      </c>
      <c r="M1256">
        <v>0</v>
      </c>
      <c r="N1256" s="2">
        <v>0</v>
      </c>
      <c r="O1256">
        <v>0</v>
      </c>
      <c r="P1256" t="s">
        <v>100</v>
      </c>
      <c r="Q1256">
        <v>0</v>
      </c>
      <c r="R1256" t="s">
        <v>145</v>
      </c>
      <c r="S1256">
        <v>0</v>
      </c>
    </row>
    <row r="1257" spans="1:19">
      <c r="A1257" t="s">
        <v>35</v>
      </c>
      <c r="B1257" t="s">
        <v>9222</v>
      </c>
      <c r="C1257">
        <f>"HDD163NA"</f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 s="2">
        <v>0</v>
      </c>
      <c r="M1257">
        <v>0</v>
      </c>
      <c r="N1257" s="2">
        <v>0</v>
      </c>
      <c r="O1257">
        <v>0</v>
      </c>
      <c r="P1257" t="s">
        <v>100</v>
      </c>
      <c r="Q1257">
        <v>0</v>
      </c>
      <c r="R1257" t="s">
        <v>145</v>
      </c>
      <c r="S1257">
        <v>0</v>
      </c>
    </row>
    <row r="1258" spans="1:19">
      <c r="A1258" t="s">
        <v>35</v>
      </c>
      <c r="B1258" t="s">
        <v>9205</v>
      </c>
      <c r="C1258">
        <f>"HDD163V"</f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 s="2">
        <v>0</v>
      </c>
      <c r="M1258">
        <v>0</v>
      </c>
      <c r="N1258" s="2">
        <v>0</v>
      </c>
      <c r="O1258">
        <v>0</v>
      </c>
      <c r="P1258" t="s">
        <v>100</v>
      </c>
      <c r="Q1258">
        <v>0</v>
      </c>
      <c r="R1258" t="s">
        <v>145</v>
      </c>
      <c r="S1258">
        <v>0</v>
      </c>
    </row>
    <row r="1259" spans="1:19">
      <c r="A1259" t="s">
        <v>35</v>
      </c>
      <c r="B1259" t="s">
        <v>6622</v>
      </c>
      <c r="C1259">
        <f>"JWZ1036XL"</f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 s="2">
        <v>0</v>
      </c>
      <c r="M1259">
        <v>0</v>
      </c>
      <c r="N1259" s="2">
        <v>0</v>
      </c>
      <c r="O1259">
        <v>0</v>
      </c>
      <c r="P1259" t="s">
        <v>100</v>
      </c>
      <c r="Q1259">
        <v>0</v>
      </c>
      <c r="R1259" t="s">
        <v>145</v>
      </c>
      <c r="S1259">
        <v>0</v>
      </c>
    </row>
    <row r="1260" spans="1:19">
      <c r="A1260" t="s">
        <v>35</v>
      </c>
      <c r="B1260" t="s">
        <v>1363</v>
      </c>
      <c r="C1260">
        <f>"JWZ1052XL"</f>
        <v>0</v>
      </c>
      <c r="D1260">
        <v>1</v>
      </c>
      <c r="E1260">
        <v>0</v>
      </c>
      <c r="F1260">
        <v>0</v>
      </c>
      <c r="G1260">
        <v>0</v>
      </c>
      <c r="H1260">
        <v>1</v>
      </c>
      <c r="I1260">
        <v>0</v>
      </c>
      <c r="J1260">
        <v>0</v>
      </c>
      <c r="K1260">
        <v>0</v>
      </c>
      <c r="L1260" s="2">
        <v>0</v>
      </c>
      <c r="M1260">
        <v>0</v>
      </c>
      <c r="N1260" s="2">
        <v>0</v>
      </c>
      <c r="O1260">
        <v>0</v>
      </c>
      <c r="P1260" t="s">
        <v>100</v>
      </c>
      <c r="Q1260">
        <v>0</v>
      </c>
      <c r="R1260" t="s">
        <v>145</v>
      </c>
      <c r="S1260">
        <v>0</v>
      </c>
    </row>
    <row r="1261" spans="1:19">
      <c r="A1261" t="s">
        <v>35</v>
      </c>
      <c r="B1261" t="s">
        <v>9197</v>
      </c>
      <c r="C1261">
        <f>"LWT0079bn"</f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 s="2">
        <v>0</v>
      </c>
      <c r="M1261">
        <v>0</v>
      </c>
      <c r="N1261" s="2">
        <v>0</v>
      </c>
      <c r="O1261">
        <v>0</v>
      </c>
      <c r="P1261" t="s">
        <v>100</v>
      </c>
      <c r="Q1261">
        <v>0</v>
      </c>
      <c r="R1261" t="s">
        <v>145</v>
      </c>
      <c r="S1261">
        <v>0</v>
      </c>
    </row>
    <row r="1262" spans="1:19">
      <c r="A1262" t="s">
        <v>35</v>
      </c>
      <c r="B1262" t="s">
        <v>9221</v>
      </c>
      <c r="C1262">
        <f>"CT023"</f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 s="2">
        <v>0</v>
      </c>
      <c r="M1262">
        <v>0</v>
      </c>
      <c r="N1262" s="2">
        <v>0</v>
      </c>
      <c r="O1262">
        <v>0</v>
      </c>
      <c r="P1262" t="s">
        <v>100</v>
      </c>
      <c r="Q1262">
        <v>0</v>
      </c>
      <c r="R1262" t="s">
        <v>145</v>
      </c>
      <c r="S1262">
        <v>0</v>
      </c>
    </row>
    <row r="1263" spans="1:19">
      <c r="A1263" t="s">
        <v>35</v>
      </c>
      <c r="B1263" t="s">
        <v>9196</v>
      </c>
      <c r="C1263">
        <f>"SDR107"</f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 s="2">
        <v>0</v>
      </c>
      <c r="M1263">
        <v>0</v>
      </c>
      <c r="N1263" s="2">
        <v>0</v>
      </c>
      <c r="O1263">
        <v>0</v>
      </c>
      <c r="P1263" t="s">
        <v>100</v>
      </c>
      <c r="Q1263">
        <v>0</v>
      </c>
      <c r="R1263" t="s">
        <v>145</v>
      </c>
      <c r="S1263">
        <v>0</v>
      </c>
    </row>
    <row r="1264" spans="1:19">
      <c r="A1264" t="s">
        <v>35</v>
      </c>
      <c r="B1264" t="s">
        <v>765</v>
      </c>
      <c r="C1264">
        <f>"SDR112A"</f>
        <v>0</v>
      </c>
      <c r="D1264">
        <v>1</v>
      </c>
      <c r="E1264">
        <v>0</v>
      </c>
      <c r="F1264">
        <v>0</v>
      </c>
      <c r="G1264">
        <v>0</v>
      </c>
      <c r="H1264">
        <v>1</v>
      </c>
      <c r="I1264">
        <v>0</v>
      </c>
      <c r="J1264">
        <v>0</v>
      </c>
      <c r="K1264">
        <v>0</v>
      </c>
      <c r="L1264" s="2">
        <v>0</v>
      </c>
      <c r="M1264">
        <v>0</v>
      </c>
      <c r="N1264" s="2">
        <v>0</v>
      </c>
      <c r="O1264">
        <v>0</v>
      </c>
      <c r="P1264" t="s">
        <v>100</v>
      </c>
      <c r="Q1264">
        <v>0</v>
      </c>
      <c r="R1264" t="s">
        <v>145</v>
      </c>
      <c r="S1264">
        <v>0</v>
      </c>
    </row>
    <row r="1265" spans="1:19">
      <c r="A1265" t="s">
        <v>35</v>
      </c>
      <c r="B1265" t="s">
        <v>9215</v>
      </c>
      <c r="C1265">
        <f>"SDR1123"</f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 s="2">
        <v>0</v>
      </c>
      <c r="M1265">
        <v>0</v>
      </c>
      <c r="N1265" s="2">
        <v>0</v>
      </c>
      <c r="O1265">
        <v>0</v>
      </c>
      <c r="P1265" t="s">
        <v>100</v>
      </c>
      <c r="Q1265">
        <v>0</v>
      </c>
      <c r="R1265" t="s">
        <v>145</v>
      </c>
      <c r="S1265">
        <v>0</v>
      </c>
    </row>
    <row r="1266" spans="1:19">
      <c r="A1266" t="s">
        <v>35</v>
      </c>
      <c r="B1266" t="s">
        <v>6567</v>
      </c>
      <c r="C1266">
        <f>"CC309XSRNN"</f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 s="2">
        <v>0</v>
      </c>
      <c r="M1266">
        <v>0</v>
      </c>
      <c r="N1266" s="2">
        <v>0</v>
      </c>
      <c r="O1266">
        <v>0</v>
      </c>
      <c r="P1266" t="s">
        <v>100</v>
      </c>
      <c r="Q1266">
        <v>0</v>
      </c>
      <c r="R1266" t="s">
        <v>145</v>
      </c>
      <c r="S1266">
        <v>0</v>
      </c>
    </row>
    <row r="1267" spans="1:19">
      <c r="A1267" t="s">
        <v>35</v>
      </c>
      <c r="B1267" t="s">
        <v>6566</v>
      </c>
      <c r="C1267">
        <f>"CC309XSRC"</f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 s="2">
        <v>0</v>
      </c>
      <c r="M1267">
        <v>0</v>
      </c>
      <c r="N1267" s="2">
        <v>0</v>
      </c>
      <c r="O1267">
        <v>0</v>
      </c>
      <c r="P1267" t="s">
        <v>100</v>
      </c>
      <c r="Q1267">
        <v>0</v>
      </c>
      <c r="R1267" t="s">
        <v>145</v>
      </c>
      <c r="S1267">
        <v>0</v>
      </c>
    </row>
    <row r="1268" spans="1:19">
      <c r="A1268" t="s">
        <v>35</v>
      </c>
      <c r="B1268" t="s">
        <v>6565</v>
      </c>
      <c r="C1268">
        <f>"CC309XSRNC"</f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 s="2">
        <v>0</v>
      </c>
      <c r="M1268">
        <v>0</v>
      </c>
      <c r="N1268" s="2">
        <v>0</v>
      </c>
      <c r="O1268">
        <v>0</v>
      </c>
      <c r="P1268" t="s">
        <v>100</v>
      </c>
      <c r="Q1268">
        <v>0</v>
      </c>
      <c r="R1268" t="s">
        <v>145</v>
      </c>
      <c r="S1268">
        <v>0</v>
      </c>
    </row>
    <row r="1269" spans="1:19">
      <c r="A1269" t="s">
        <v>35</v>
      </c>
      <c r="B1269" t="s">
        <v>6564</v>
      </c>
      <c r="C1269">
        <f>"CC309XSVNG"</f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 s="2">
        <v>0</v>
      </c>
      <c r="M1269">
        <v>0</v>
      </c>
      <c r="N1269" s="2">
        <v>0</v>
      </c>
      <c r="O1269">
        <v>0</v>
      </c>
      <c r="P1269" t="s">
        <v>100</v>
      </c>
      <c r="Q1269">
        <v>0</v>
      </c>
      <c r="R1269" t="s">
        <v>145</v>
      </c>
      <c r="S1269">
        <v>0</v>
      </c>
    </row>
    <row r="1270" spans="1:19">
      <c r="A1270" t="s">
        <v>35</v>
      </c>
      <c r="B1270" t="s">
        <v>6563</v>
      </c>
      <c r="C1270">
        <f>"JWZ1020"</f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 s="2">
        <v>0</v>
      </c>
      <c r="M1270">
        <v>0</v>
      </c>
      <c r="N1270" s="2">
        <v>0</v>
      </c>
      <c r="O1270">
        <v>0</v>
      </c>
      <c r="P1270" t="s">
        <v>100</v>
      </c>
      <c r="Q1270">
        <v>0</v>
      </c>
      <c r="R1270" t="s">
        <v>145</v>
      </c>
      <c r="S1270">
        <v>0</v>
      </c>
    </row>
    <row r="1271" spans="1:19">
      <c r="A1271" t="s">
        <v>35</v>
      </c>
      <c r="B1271" t="s">
        <v>9026</v>
      </c>
      <c r="C1271">
        <f>"CT385"</f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 s="2">
        <v>0</v>
      </c>
      <c r="M1271">
        <v>0</v>
      </c>
      <c r="N1271" s="2">
        <v>0</v>
      </c>
      <c r="O1271">
        <v>0</v>
      </c>
      <c r="P1271" t="s">
        <v>100</v>
      </c>
      <c r="Q1271">
        <v>0</v>
      </c>
      <c r="R1271" t="s">
        <v>145</v>
      </c>
      <c r="S1271">
        <v>0</v>
      </c>
    </row>
    <row r="1272" spans="1:19">
      <c r="A1272" t="s">
        <v>35</v>
      </c>
      <c r="B1272" t="s">
        <v>9025</v>
      </c>
      <c r="C1272">
        <f>"CT033"</f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 s="2">
        <v>0</v>
      </c>
      <c r="M1272">
        <v>0</v>
      </c>
      <c r="N1272" s="2">
        <v>0</v>
      </c>
      <c r="O1272">
        <v>0</v>
      </c>
      <c r="P1272" t="s">
        <v>100</v>
      </c>
      <c r="Q1272">
        <v>0</v>
      </c>
      <c r="R1272" t="s">
        <v>145</v>
      </c>
      <c r="S1272">
        <v>0</v>
      </c>
    </row>
    <row r="1273" spans="1:19">
      <c r="A1273" t="s">
        <v>35</v>
      </c>
      <c r="B1273" t="s">
        <v>1211</v>
      </c>
      <c r="C1273">
        <f>"SDR106"</f>
        <v>0</v>
      </c>
      <c r="D1273">
        <v>1</v>
      </c>
      <c r="E1273">
        <v>0</v>
      </c>
      <c r="F1273">
        <v>0</v>
      </c>
      <c r="G1273">
        <v>0</v>
      </c>
      <c r="H1273">
        <v>1</v>
      </c>
      <c r="I1273">
        <v>0</v>
      </c>
      <c r="J1273">
        <v>0</v>
      </c>
      <c r="K1273">
        <v>0</v>
      </c>
      <c r="L1273" s="2">
        <v>0</v>
      </c>
      <c r="M1273">
        <v>0</v>
      </c>
      <c r="N1273" s="2">
        <v>0</v>
      </c>
      <c r="O1273">
        <v>0</v>
      </c>
      <c r="P1273" t="s">
        <v>100</v>
      </c>
      <c r="Q1273">
        <v>0</v>
      </c>
      <c r="R1273" t="s">
        <v>145</v>
      </c>
      <c r="S1273">
        <v>0</v>
      </c>
    </row>
    <row r="1274" spans="1:19">
      <c r="A1274" t="s">
        <v>35</v>
      </c>
      <c r="B1274" t="s">
        <v>6451</v>
      </c>
      <c r="C1274">
        <f>"JWZ1003M"</f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 s="2">
        <v>0</v>
      </c>
      <c r="M1274">
        <v>0</v>
      </c>
      <c r="N1274" s="2">
        <v>0</v>
      </c>
      <c r="O1274">
        <v>0</v>
      </c>
      <c r="P1274" t="s">
        <v>100</v>
      </c>
      <c r="Q1274">
        <v>0</v>
      </c>
      <c r="R1274" t="s">
        <v>145</v>
      </c>
      <c r="S1274">
        <v>0</v>
      </c>
    </row>
    <row r="1275" spans="1:19">
      <c r="A1275" t="s">
        <v>35</v>
      </c>
      <c r="B1275" t="s">
        <v>425</v>
      </c>
      <c r="C1275">
        <f>"JWZ1025M"</f>
        <v>0</v>
      </c>
      <c r="D1275">
        <v>0</v>
      </c>
      <c r="E1275">
        <v>33</v>
      </c>
      <c r="F1275">
        <v>0</v>
      </c>
      <c r="G1275">
        <v>0</v>
      </c>
      <c r="H1275">
        <v>33</v>
      </c>
      <c r="I1275">
        <v>0</v>
      </c>
      <c r="J1275">
        <v>0</v>
      </c>
      <c r="K1275">
        <v>0</v>
      </c>
      <c r="L1275" s="2">
        <v>0</v>
      </c>
      <c r="M1275">
        <v>0</v>
      </c>
      <c r="N1275" s="2">
        <v>0</v>
      </c>
      <c r="O1275">
        <v>0</v>
      </c>
      <c r="P1275" t="s">
        <v>100</v>
      </c>
      <c r="Q1275">
        <v>0</v>
      </c>
      <c r="R1275" t="s">
        <v>145</v>
      </c>
      <c r="S1275">
        <v>0</v>
      </c>
    </row>
    <row r="1276" spans="1:19">
      <c r="A1276" t="s">
        <v>35</v>
      </c>
      <c r="B1276" t="s">
        <v>537</v>
      </c>
      <c r="C1276">
        <f>"JWZ1010M"</f>
        <v>0</v>
      </c>
      <c r="D1276">
        <v>0</v>
      </c>
      <c r="E1276">
        <v>0</v>
      </c>
      <c r="F1276">
        <v>13</v>
      </c>
      <c r="G1276">
        <v>0</v>
      </c>
      <c r="H1276">
        <v>13</v>
      </c>
      <c r="I1276">
        <v>0</v>
      </c>
      <c r="J1276">
        <v>0</v>
      </c>
      <c r="K1276">
        <v>0</v>
      </c>
      <c r="L1276" s="2">
        <v>0</v>
      </c>
      <c r="M1276">
        <v>0</v>
      </c>
      <c r="N1276" s="2">
        <v>0</v>
      </c>
      <c r="O1276">
        <v>0</v>
      </c>
      <c r="P1276" t="s">
        <v>100</v>
      </c>
      <c r="Q1276">
        <v>0</v>
      </c>
      <c r="R1276" t="s">
        <v>145</v>
      </c>
      <c r="S1276">
        <v>0</v>
      </c>
    </row>
    <row r="1277" spans="1:19">
      <c r="A1277" t="s">
        <v>35</v>
      </c>
      <c r="B1277" t="s">
        <v>6447</v>
      </c>
      <c r="C1277">
        <f>"CC309MANN"</f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 s="2">
        <v>0</v>
      </c>
      <c r="M1277">
        <v>0</v>
      </c>
      <c r="N1277" s="2">
        <v>0</v>
      </c>
      <c r="O1277">
        <v>0</v>
      </c>
      <c r="P1277" t="s">
        <v>100</v>
      </c>
      <c r="Q1277">
        <v>0</v>
      </c>
      <c r="R1277" t="s">
        <v>145</v>
      </c>
      <c r="S1277">
        <v>0</v>
      </c>
    </row>
    <row r="1278" spans="1:19">
      <c r="A1278" t="s">
        <v>35</v>
      </c>
      <c r="B1278" t="s">
        <v>6446</v>
      </c>
      <c r="C1278">
        <f>"CC309MAC"</f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 s="2">
        <v>0</v>
      </c>
      <c r="M1278">
        <v>0</v>
      </c>
      <c r="N1278" s="2">
        <v>0</v>
      </c>
      <c r="O1278">
        <v>0</v>
      </c>
      <c r="P1278" t="s">
        <v>100</v>
      </c>
      <c r="Q1278">
        <v>0</v>
      </c>
      <c r="R1278" t="s">
        <v>145</v>
      </c>
      <c r="S1278">
        <v>0</v>
      </c>
    </row>
    <row r="1279" spans="1:19">
      <c r="A1279" t="s">
        <v>35</v>
      </c>
      <c r="B1279" t="s">
        <v>6445</v>
      </c>
      <c r="C1279">
        <f>"CC309MCNN"</f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 s="2">
        <v>0</v>
      </c>
      <c r="M1279">
        <v>0</v>
      </c>
      <c r="N1279" s="2">
        <v>0</v>
      </c>
      <c r="O1279">
        <v>0</v>
      </c>
      <c r="P1279" t="s">
        <v>100</v>
      </c>
      <c r="Q1279">
        <v>0</v>
      </c>
      <c r="R1279" t="s">
        <v>145</v>
      </c>
      <c r="S1279">
        <v>0</v>
      </c>
    </row>
    <row r="1280" spans="1:19">
      <c r="A1280" t="s">
        <v>35</v>
      </c>
      <c r="B1280" t="s">
        <v>6459</v>
      </c>
      <c r="C1280">
        <f>"CC309MCRN"</f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 s="2">
        <v>0</v>
      </c>
      <c r="M1280">
        <v>0</v>
      </c>
      <c r="N1280" s="2">
        <v>0</v>
      </c>
      <c r="O1280">
        <v>0</v>
      </c>
      <c r="P1280" t="s">
        <v>100</v>
      </c>
      <c r="Q1280">
        <v>0</v>
      </c>
      <c r="R1280" t="s">
        <v>145</v>
      </c>
      <c r="S1280">
        <v>0</v>
      </c>
    </row>
    <row r="1281" spans="1:19">
      <c r="A1281" t="s">
        <v>35</v>
      </c>
      <c r="B1281" t="s">
        <v>6443</v>
      </c>
      <c r="C1281">
        <f>"JWZ1036M"</f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 s="2">
        <v>0</v>
      </c>
      <c r="M1281">
        <v>0</v>
      </c>
      <c r="N1281" s="2">
        <v>0</v>
      </c>
      <c r="O1281">
        <v>0</v>
      </c>
      <c r="P1281" t="s">
        <v>100</v>
      </c>
      <c r="Q1281">
        <v>0</v>
      </c>
      <c r="R1281" t="s">
        <v>145</v>
      </c>
      <c r="S1281">
        <v>0</v>
      </c>
    </row>
    <row r="1282" spans="1:19">
      <c r="A1282" t="s">
        <v>35</v>
      </c>
      <c r="B1282" t="s">
        <v>556</v>
      </c>
      <c r="C1282">
        <f>"JWZ1047M"</f>
        <v>0</v>
      </c>
      <c r="D1282">
        <v>0</v>
      </c>
      <c r="E1282">
        <v>0</v>
      </c>
      <c r="F1282">
        <v>12</v>
      </c>
      <c r="G1282">
        <v>0</v>
      </c>
      <c r="H1282">
        <v>12</v>
      </c>
      <c r="I1282">
        <v>0</v>
      </c>
      <c r="J1282">
        <v>0</v>
      </c>
      <c r="K1282">
        <v>0</v>
      </c>
      <c r="L1282" s="2">
        <v>0</v>
      </c>
      <c r="M1282">
        <v>0</v>
      </c>
      <c r="N1282" s="2">
        <v>0</v>
      </c>
      <c r="O1282">
        <v>0</v>
      </c>
      <c r="P1282" t="s">
        <v>100</v>
      </c>
      <c r="Q1282">
        <v>0</v>
      </c>
      <c r="R1282" t="s">
        <v>145</v>
      </c>
      <c r="S1282">
        <v>0</v>
      </c>
    </row>
    <row r="1283" spans="1:19">
      <c r="A1283" t="s">
        <v>35</v>
      </c>
      <c r="B1283" t="s">
        <v>6610</v>
      </c>
      <c r="C1283">
        <f>"JY1537"</f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 s="2">
        <v>0</v>
      </c>
      <c r="M1283">
        <v>0</v>
      </c>
      <c r="N1283" s="2">
        <v>0</v>
      </c>
      <c r="O1283">
        <v>0</v>
      </c>
      <c r="P1283" t="s">
        <v>100</v>
      </c>
      <c r="Q1283">
        <v>0</v>
      </c>
      <c r="R1283" t="s">
        <v>145</v>
      </c>
      <c r="S1283">
        <v>0</v>
      </c>
    </row>
    <row r="1284" spans="1:19">
      <c r="A1284" t="s">
        <v>35</v>
      </c>
      <c r="B1284" t="s">
        <v>6505</v>
      </c>
      <c r="C1284">
        <f>"DMWTS"</f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 s="2">
        <v>0</v>
      </c>
      <c r="M1284">
        <v>0</v>
      </c>
      <c r="N1284" s="2">
        <v>0</v>
      </c>
      <c r="O1284">
        <v>0</v>
      </c>
      <c r="P1284" t="s">
        <v>100</v>
      </c>
      <c r="Q1284">
        <v>0</v>
      </c>
      <c r="R1284" t="s">
        <v>145</v>
      </c>
      <c r="S1284">
        <v>0</v>
      </c>
    </row>
    <row r="1285" spans="1:19">
      <c r="A1285" t="s">
        <v>35</v>
      </c>
      <c r="B1285" t="s">
        <v>6457</v>
      </c>
      <c r="C1285">
        <f>"1840CL"</f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 s="2">
        <v>0</v>
      </c>
      <c r="M1285">
        <v>0</v>
      </c>
      <c r="N1285" s="2">
        <v>0</v>
      </c>
      <c r="O1285">
        <v>0</v>
      </c>
      <c r="P1285" t="s">
        <v>100</v>
      </c>
      <c r="Q1285">
        <v>0</v>
      </c>
      <c r="R1285" t="s">
        <v>145</v>
      </c>
      <c r="S1285">
        <v>0</v>
      </c>
    </row>
    <row r="1286" spans="1:19">
      <c r="A1286" t="s">
        <v>35</v>
      </c>
      <c r="B1286" t="s">
        <v>6472</v>
      </c>
      <c r="C1286">
        <f>"CC309MVNG"</f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 s="2">
        <v>0</v>
      </c>
      <c r="M1286">
        <v>0</v>
      </c>
      <c r="N1286" s="2">
        <v>0</v>
      </c>
      <c r="O1286">
        <v>0</v>
      </c>
      <c r="P1286" t="s">
        <v>100</v>
      </c>
      <c r="Q1286">
        <v>0</v>
      </c>
      <c r="R1286" t="s">
        <v>145</v>
      </c>
      <c r="S1286">
        <v>0</v>
      </c>
    </row>
    <row r="1287" spans="1:19">
      <c r="A1287" t="s">
        <v>35</v>
      </c>
      <c r="B1287" t="s">
        <v>6433</v>
      </c>
      <c r="C1287">
        <f>"DN35"</f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 s="2">
        <v>0</v>
      </c>
      <c r="M1287">
        <v>0</v>
      </c>
      <c r="N1287" s="2">
        <v>0</v>
      </c>
      <c r="O1287">
        <v>0</v>
      </c>
      <c r="P1287" t="s">
        <v>100</v>
      </c>
      <c r="Q1287">
        <v>0</v>
      </c>
      <c r="R1287" t="s">
        <v>145</v>
      </c>
      <c r="S1287">
        <v>0</v>
      </c>
    </row>
    <row r="1288" spans="1:19">
      <c r="A1288" t="s">
        <v>35</v>
      </c>
      <c r="B1288" t="s">
        <v>6432</v>
      </c>
      <c r="C1288">
        <f>"DN38"</f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 s="2">
        <v>0</v>
      </c>
      <c r="M1288">
        <v>0</v>
      </c>
      <c r="N1288" s="2">
        <v>0</v>
      </c>
      <c r="O1288">
        <v>0</v>
      </c>
      <c r="P1288" t="s">
        <v>100</v>
      </c>
      <c r="Q1288">
        <v>0</v>
      </c>
      <c r="R1288" t="s">
        <v>145</v>
      </c>
      <c r="S1288">
        <v>0</v>
      </c>
    </row>
    <row r="1289" spans="1:19">
      <c r="A1289" t="s">
        <v>35</v>
      </c>
      <c r="B1289" t="s">
        <v>1368</v>
      </c>
      <c r="C1289">
        <f>"DN32"</f>
        <v>0</v>
      </c>
      <c r="D1289">
        <v>1</v>
      </c>
      <c r="E1289">
        <v>0</v>
      </c>
      <c r="F1289">
        <v>0</v>
      </c>
      <c r="G1289">
        <v>0</v>
      </c>
      <c r="H1289">
        <v>1</v>
      </c>
      <c r="I1289">
        <v>0</v>
      </c>
      <c r="J1289">
        <v>0</v>
      </c>
      <c r="K1289">
        <v>0</v>
      </c>
      <c r="L1289" s="2">
        <v>0</v>
      </c>
      <c r="M1289">
        <v>0</v>
      </c>
      <c r="N1289" s="2">
        <v>0</v>
      </c>
      <c r="O1289">
        <v>0</v>
      </c>
      <c r="P1289" t="s">
        <v>100</v>
      </c>
      <c r="Q1289">
        <v>0</v>
      </c>
      <c r="R1289" t="s">
        <v>145</v>
      </c>
      <c r="S1289">
        <v>0</v>
      </c>
    </row>
    <row r="1290" spans="1:19">
      <c r="A1290" t="s">
        <v>35</v>
      </c>
      <c r="B1290" t="s">
        <v>6430</v>
      </c>
      <c r="C1290">
        <f>"DN10"</f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 s="2">
        <v>0</v>
      </c>
      <c r="M1290">
        <v>0</v>
      </c>
      <c r="N1290" s="2">
        <v>0</v>
      </c>
      <c r="O1290">
        <v>0</v>
      </c>
      <c r="P1290" t="s">
        <v>100</v>
      </c>
      <c r="Q1290">
        <v>0</v>
      </c>
      <c r="R1290" t="s">
        <v>145</v>
      </c>
      <c r="S1290">
        <v>0</v>
      </c>
    </row>
    <row r="1291" spans="1:19">
      <c r="A1291" t="s">
        <v>35</v>
      </c>
      <c r="B1291" t="s">
        <v>6474</v>
      </c>
      <c r="C1291">
        <f>"FPY1012"</f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 s="2">
        <v>0</v>
      </c>
      <c r="M1291">
        <v>0</v>
      </c>
      <c r="N1291" s="2">
        <v>0</v>
      </c>
      <c r="O1291">
        <v>0</v>
      </c>
      <c r="P1291" t="s">
        <v>100</v>
      </c>
      <c r="Q1291">
        <v>0</v>
      </c>
      <c r="R1291" t="s">
        <v>145</v>
      </c>
      <c r="S1291">
        <v>0</v>
      </c>
    </row>
    <row r="1292" spans="1:19">
      <c r="A1292" t="s">
        <v>35</v>
      </c>
      <c r="B1292" t="s">
        <v>6489</v>
      </c>
      <c r="C1292">
        <f>"DH08225"</f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 s="2">
        <v>0</v>
      </c>
      <c r="M1292">
        <v>0</v>
      </c>
      <c r="N1292" s="2">
        <v>0</v>
      </c>
      <c r="O1292">
        <v>0</v>
      </c>
      <c r="P1292" t="s">
        <v>100</v>
      </c>
      <c r="Q1292">
        <v>0</v>
      </c>
      <c r="R1292" t="s">
        <v>145</v>
      </c>
      <c r="S1292">
        <v>0</v>
      </c>
    </row>
    <row r="1293" spans="1:19">
      <c r="A1293" t="s">
        <v>35</v>
      </c>
      <c r="B1293" t="s">
        <v>9189</v>
      </c>
      <c r="C1293">
        <f>"JTTLA"</f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 s="2">
        <v>0</v>
      </c>
      <c r="M1293">
        <v>0</v>
      </c>
      <c r="N1293" s="2">
        <v>0</v>
      </c>
      <c r="O1293">
        <v>0</v>
      </c>
      <c r="P1293" t="s">
        <v>100</v>
      </c>
      <c r="Q1293">
        <v>0</v>
      </c>
      <c r="R1293" t="s">
        <v>145</v>
      </c>
      <c r="S1293">
        <v>0</v>
      </c>
    </row>
    <row r="1294" spans="1:19">
      <c r="A1294" t="s">
        <v>35</v>
      </c>
      <c r="B1294" t="s">
        <v>6522</v>
      </c>
      <c r="C1294">
        <f>"DMWTM"</f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 s="2">
        <v>0</v>
      </c>
      <c r="M1294">
        <v>0</v>
      </c>
      <c r="N1294" s="2">
        <v>0</v>
      </c>
      <c r="O1294">
        <v>0</v>
      </c>
      <c r="P1294" t="s">
        <v>100</v>
      </c>
      <c r="Q1294">
        <v>0</v>
      </c>
      <c r="R1294" t="s">
        <v>145</v>
      </c>
      <c r="S1294">
        <v>0</v>
      </c>
    </row>
    <row r="1295" spans="1:19">
      <c r="A1295" t="s">
        <v>35</v>
      </c>
      <c r="B1295" t="s">
        <v>8898</v>
      </c>
      <c r="C1295">
        <f>"BP2060"</f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 s="2">
        <v>0</v>
      </c>
      <c r="M1295">
        <v>0</v>
      </c>
      <c r="N1295" s="2">
        <v>0</v>
      </c>
      <c r="O1295">
        <v>0</v>
      </c>
      <c r="P1295" t="s">
        <v>100</v>
      </c>
      <c r="Q1295">
        <v>0</v>
      </c>
      <c r="R1295" t="s">
        <v>145</v>
      </c>
      <c r="S1295">
        <v>0</v>
      </c>
    </row>
    <row r="1296" spans="1:19">
      <c r="A1296" t="s">
        <v>35</v>
      </c>
      <c r="B1296" t="s">
        <v>446</v>
      </c>
      <c r="C1296">
        <f>"JWZ1001L"</f>
        <v>0</v>
      </c>
      <c r="D1296">
        <v>0</v>
      </c>
      <c r="E1296">
        <v>0</v>
      </c>
      <c r="F1296">
        <v>25</v>
      </c>
      <c r="G1296">
        <v>0</v>
      </c>
      <c r="H1296">
        <v>25</v>
      </c>
      <c r="I1296">
        <v>0</v>
      </c>
      <c r="J1296">
        <v>0</v>
      </c>
      <c r="K1296">
        <v>0</v>
      </c>
      <c r="L1296" s="2">
        <v>0</v>
      </c>
      <c r="M1296">
        <v>0</v>
      </c>
      <c r="N1296" s="2">
        <v>0</v>
      </c>
      <c r="O1296">
        <v>0</v>
      </c>
      <c r="P1296" t="s">
        <v>100</v>
      </c>
      <c r="Q1296">
        <v>0</v>
      </c>
      <c r="R1296" t="s">
        <v>145</v>
      </c>
      <c r="S1296">
        <v>0</v>
      </c>
    </row>
    <row r="1297" spans="1:19">
      <c r="A1297" t="s">
        <v>35</v>
      </c>
      <c r="B1297" t="s">
        <v>384</v>
      </c>
      <c r="C1297">
        <f>"JWZ1033L"</f>
        <v>0</v>
      </c>
      <c r="D1297">
        <v>0</v>
      </c>
      <c r="E1297">
        <v>52</v>
      </c>
      <c r="F1297">
        <v>0</v>
      </c>
      <c r="G1297">
        <v>0</v>
      </c>
      <c r="H1297">
        <v>52</v>
      </c>
      <c r="I1297">
        <v>0</v>
      </c>
      <c r="J1297">
        <v>0</v>
      </c>
      <c r="K1297">
        <v>0</v>
      </c>
      <c r="L1297" s="2">
        <v>0</v>
      </c>
      <c r="M1297">
        <v>0</v>
      </c>
      <c r="N1297" s="2">
        <v>0</v>
      </c>
      <c r="O1297">
        <v>0</v>
      </c>
      <c r="P1297" t="s">
        <v>100</v>
      </c>
      <c r="Q1297">
        <v>0</v>
      </c>
      <c r="R1297" t="s">
        <v>145</v>
      </c>
      <c r="S1297">
        <v>0</v>
      </c>
    </row>
    <row r="1298" spans="1:19">
      <c r="A1298" t="s">
        <v>35</v>
      </c>
      <c r="B1298" t="s">
        <v>6437</v>
      </c>
      <c r="C1298">
        <f>"1840CM"</f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 s="2">
        <v>0</v>
      </c>
      <c r="M1298">
        <v>0</v>
      </c>
      <c r="N1298" s="2">
        <v>0</v>
      </c>
      <c r="O1298">
        <v>0</v>
      </c>
      <c r="P1298" t="s">
        <v>100</v>
      </c>
      <c r="Q1298">
        <v>0</v>
      </c>
      <c r="R1298" t="s">
        <v>145</v>
      </c>
      <c r="S1298">
        <v>0</v>
      </c>
    </row>
    <row r="1299" spans="1:19">
      <c r="A1299" t="s">
        <v>35</v>
      </c>
      <c r="B1299" t="s">
        <v>1474</v>
      </c>
      <c r="C1299">
        <f>"1840CXS"</f>
        <v>0</v>
      </c>
      <c r="D1299">
        <v>0</v>
      </c>
      <c r="E1299">
        <v>1</v>
      </c>
      <c r="F1299">
        <v>0</v>
      </c>
      <c r="G1299">
        <v>0</v>
      </c>
      <c r="H1299">
        <v>1</v>
      </c>
      <c r="I1299">
        <v>0</v>
      </c>
      <c r="J1299">
        <v>0</v>
      </c>
      <c r="K1299">
        <v>0</v>
      </c>
      <c r="L1299" s="2">
        <v>0</v>
      </c>
      <c r="M1299">
        <v>0</v>
      </c>
      <c r="N1299" s="2">
        <v>0</v>
      </c>
      <c r="O1299">
        <v>0</v>
      </c>
      <c r="P1299" t="s">
        <v>100</v>
      </c>
      <c r="Q1299">
        <v>0</v>
      </c>
      <c r="R1299" t="s">
        <v>145</v>
      </c>
      <c r="S1299">
        <v>0</v>
      </c>
    </row>
    <row r="1300" spans="1:19">
      <c r="A1300" t="s">
        <v>35</v>
      </c>
      <c r="B1300" t="s">
        <v>494</v>
      </c>
      <c r="C1300">
        <f>"JWZ1033M"</f>
        <v>0</v>
      </c>
      <c r="D1300">
        <v>0</v>
      </c>
      <c r="E1300">
        <v>0</v>
      </c>
      <c r="F1300">
        <v>18</v>
      </c>
      <c r="G1300">
        <v>0</v>
      </c>
      <c r="H1300">
        <v>18</v>
      </c>
      <c r="I1300">
        <v>0</v>
      </c>
      <c r="J1300">
        <v>0</v>
      </c>
      <c r="K1300">
        <v>0</v>
      </c>
      <c r="L1300" s="2">
        <v>0</v>
      </c>
      <c r="M1300">
        <v>0</v>
      </c>
      <c r="N1300" s="2">
        <v>0</v>
      </c>
      <c r="O1300">
        <v>0</v>
      </c>
      <c r="P1300" t="s">
        <v>100</v>
      </c>
      <c r="Q1300">
        <v>0</v>
      </c>
      <c r="R1300" t="s">
        <v>145</v>
      </c>
      <c r="S1300">
        <v>0</v>
      </c>
    </row>
    <row r="1301" spans="1:19">
      <c r="A1301" t="s">
        <v>35</v>
      </c>
      <c r="B1301" t="s">
        <v>543</v>
      </c>
      <c r="C1301">
        <f>"JWZ1024M"</f>
        <v>0</v>
      </c>
      <c r="D1301">
        <v>0</v>
      </c>
      <c r="E1301">
        <v>0</v>
      </c>
      <c r="F1301">
        <v>13</v>
      </c>
      <c r="G1301">
        <v>0</v>
      </c>
      <c r="H1301">
        <v>13</v>
      </c>
      <c r="I1301">
        <v>0</v>
      </c>
      <c r="J1301">
        <v>0</v>
      </c>
      <c r="K1301">
        <v>0</v>
      </c>
      <c r="L1301" s="2">
        <v>0</v>
      </c>
      <c r="M1301">
        <v>0</v>
      </c>
      <c r="N1301" s="2">
        <v>0</v>
      </c>
      <c r="O1301">
        <v>0</v>
      </c>
      <c r="P1301" t="s">
        <v>100</v>
      </c>
      <c r="Q1301">
        <v>0</v>
      </c>
      <c r="R1301" t="s">
        <v>145</v>
      </c>
      <c r="S1301">
        <v>0</v>
      </c>
    </row>
    <row r="1302" spans="1:19">
      <c r="A1302" t="s">
        <v>35</v>
      </c>
      <c r="B1302" t="s">
        <v>492</v>
      </c>
      <c r="C1302">
        <f>"JWZ1027M"</f>
        <v>0</v>
      </c>
      <c r="D1302">
        <v>0</v>
      </c>
      <c r="E1302">
        <v>0</v>
      </c>
      <c r="F1302">
        <v>18</v>
      </c>
      <c r="G1302">
        <v>0</v>
      </c>
      <c r="H1302">
        <v>18</v>
      </c>
      <c r="I1302">
        <v>0</v>
      </c>
      <c r="J1302">
        <v>0</v>
      </c>
      <c r="K1302">
        <v>0</v>
      </c>
      <c r="L1302" s="2">
        <v>0</v>
      </c>
      <c r="M1302">
        <v>0</v>
      </c>
      <c r="N1302" s="2">
        <v>0</v>
      </c>
      <c r="O1302">
        <v>0</v>
      </c>
      <c r="P1302" t="s">
        <v>100</v>
      </c>
      <c r="Q1302">
        <v>0</v>
      </c>
      <c r="R1302" t="s">
        <v>145</v>
      </c>
      <c r="S1302">
        <v>0</v>
      </c>
    </row>
    <row r="1303" spans="1:19">
      <c r="A1303" t="s">
        <v>35</v>
      </c>
      <c r="B1303" t="s">
        <v>6454</v>
      </c>
      <c r="C1303">
        <f>"JWZ1016M"</f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 s="2">
        <v>0</v>
      </c>
      <c r="M1303">
        <v>0</v>
      </c>
      <c r="N1303" s="2">
        <v>0</v>
      </c>
      <c r="O1303">
        <v>0</v>
      </c>
      <c r="P1303" t="s">
        <v>100</v>
      </c>
      <c r="Q1303">
        <v>0</v>
      </c>
      <c r="R1303" t="s">
        <v>145</v>
      </c>
      <c r="S1303">
        <v>0</v>
      </c>
    </row>
    <row r="1304" spans="1:19">
      <c r="A1304" t="s">
        <v>35</v>
      </c>
      <c r="B1304" t="s">
        <v>8866</v>
      </c>
      <c r="C1304">
        <f>"NJ18L"</f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 s="2">
        <v>0</v>
      </c>
      <c r="M1304">
        <v>0</v>
      </c>
      <c r="N1304" s="2">
        <v>0</v>
      </c>
      <c r="O1304">
        <v>0</v>
      </c>
      <c r="P1304" t="s">
        <v>100</v>
      </c>
      <c r="Q1304">
        <v>0</v>
      </c>
      <c r="R1304" t="s">
        <v>145</v>
      </c>
      <c r="S1304">
        <v>0</v>
      </c>
    </row>
    <row r="1305" spans="1:19">
      <c r="A1305" t="s">
        <v>35</v>
      </c>
      <c r="B1305" t="s">
        <v>6452</v>
      </c>
      <c r="C1305">
        <f>"JWZ1018M"</f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 s="2">
        <v>0</v>
      </c>
      <c r="M1305">
        <v>0</v>
      </c>
      <c r="N1305" s="2">
        <v>0</v>
      </c>
      <c r="O1305">
        <v>0</v>
      </c>
      <c r="P1305" t="s">
        <v>100</v>
      </c>
      <c r="Q1305">
        <v>0</v>
      </c>
      <c r="R1305" t="s">
        <v>145</v>
      </c>
      <c r="S1305">
        <v>0</v>
      </c>
    </row>
    <row r="1306" spans="1:19">
      <c r="A1306" t="s">
        <v>35</v>
      </c>
      <c r="B1306" t="s">
        <v>6542</v>
      </c>
      <c r="C1306">
        <f>"CC309LCNN"</f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 s="2">
        <v>0</v>
      </c>
      <c r="M1306">
        <v>0</v>
      </c>
      <c r="N1306" s="2">
        <v>0</v>
      </c>
      <c r="O1306">
        <v>0</v>
      </c>
      <c r="P1306" t="s">
        <v>100</v>
      </c>
      <c r="Q1306">
        <v>0</v>
      </c>
      <c r="R1306" t="s">
        <v>145</v>
      </c>
      <c r="S1306">
        <v>0</v>
      </c>
    </row>
    <row r="1307" spans="1:19">
      <c r="A1307" t="s">
        <v>35</v>
      </c>
      <c r="B1307" t="s">
        <v>6541</v>
      </c>
      <c r="C1307">
        <f>"CC309LCRN"</f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 s="2">
        <v>0</v>
      </c>
      <c r="M1307">
        <v>0</v>
      </c>
      <c r="N1307" s="2">
        <v>0</v>
      </c>
      <c r="O1307">
        <v>0</v>
      </c>
      <c r="P1307" t="s">
        <v>100</v>
      </c>
      <c r="Q1307">
        <v>0</v>
      </c>
      <c r="R1307" t="s">
        <v>145</v>
      </c>
      <c r="S1307">
        <v>0</v>
      </c>
    </row>
    <row r="1308" spans="1:19">
      <c r="A1308" t="s">
        <v>35</v>
      </c>
      <c r="B1308" t="s">
        <v>6449</v>
      </c>
      <c r="C1308">
        <f>"JWZ1036L"</f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 s="2">
        <v>0</v>
      </c>
      <c r="M1308">
        <v>0</v>
      </c>
      <c r="N1308" s="2">
        <v>0</v>
      </c>
      <c r="O1308">
        <v>0</v>
      </c>
      <c r="P1308" t="s">
        <v>100</v>
      </c>
      <c r="Q1308">
        <v>0</v>
      </c>
      <c r="R1308" t="s">
        <v>145</v>
      </c>
      <c r="S1308">
        <v>0</v>
      </c>
    </row>
    <row r="1309" spans="1:19">
      <c r="A1309" t="s">
        <v>35</v>
      </c>
      <c r="B1309" t="s">
        <v>698</v>
      </c>
      <c r="C1309">
        <f>"JWZ1052L"</f>
        <v>0</v>
      </c>
      <c r="D1309">
        <v>0</v>
      </c>
      <c r="E1309">
        <v>0</v>
      </c>
      <c r="F1309">
        <v>6</v>
      </c>
      <c r="G1309">
        <v>0</v>
      </c>
      <c r="H1309">
        <v>6</v>
      </c>
      <c r="I1309">
        <v>0</v>
      </c>
      <c r="J1309">
        <v>0</v>
      </c>
      <c r="K1309">
        <v>0</v>
      </c>
      <c r="L1309" s="2">
        <v>0</v>
      </c>
      <c r="M1309">
        <v>0</v>
      </c>
      <c r="N1309" s="2">
        <v>0</v>
      </c>
      <c r="O1309">
        <v>0</v>
      </c>
      <c r="P1309" t="s">
        <v>100</v>
      </c>
      <c r="Q1309">
        <v>0</v>
      </c>
      <c r="R1309" t="s">
        <v>145</v>
      </c>
      <c r="S1309">
        <v>0</v>
      </c>
    </row>
    <row r="1310" spans="1:19">
      <c r="A1310" t="s">
        <v>35</v>
      </c>
      <c r="B1310" t="s">
        <v>6527</v>
      </c>
      <c r="C1310">
        <f>"CC309LRNN"</f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 s="2">
        <v>0</v>
      </c>
      <c r="M1310">
        <v>0</v>
      </c>
      <c r="N1310" s="2">
        <v>0</v>
      </c>
      <c r="O1310">
        <v>0</v>
      </c>
      <c r="P1310" t="s">
        <v>100</v>
      </c>
      <c r="Q1310">
        <v>0</v>
      </c>
      <c r="R1310" t="s">
        <v>145</v>
      </c>
      <c r="S1310">
        <v>0</v>
      </c>
    </row>
    <row r="1311" spans="1:19">
      <c r="A1311" t="s">
        <v>35</v>
      </c>
      <c r="B1311" t="s">
        <v>6526</v>
      </c>
      <c r="C1311">
        <f>"CC309LRC"</f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 s="2">
        <v>0</v>
      </c>
      <c r="M1311">
        <v>0</v>
      </c>
      <c r="N1311" s="2">
        <v>0</v>
      </c>
      <c r="O1311">
        <v>0</v>
      </c>
      <c r="P1311" t="s">
        <v>100</v>
      </c>
      <c r="Q1311">
        <v>0</v>
      </c>
      <c r="R1311" t="s">
        <v>145</v>
      </c>
      <c r="S1311">
        <v>0</v>
      </c>
    </row>
    <row r="1312" spans="1:19">
      <c r="A1312" t="s">
        <v>35</v>
      </c>
      <c r="B1312" t="s">
        <v>6525</v>
      </c>
      <c r="C1312">
        <f>"CC309LRNC"</f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 s="2">
        <v>0</v>
      </c>
      <c r="M1312">
        <v>0</v>
      </c>
      <c r="N1312" s="2">
        <v>0</v>
      </c>
      <c r="O1312">
        <v>0</v>
      </c>
      <c r="P1312" t="s">
        <v>100</v>
      </c>
      <c r="Q1312">
        <v>0</v>
      </c>
      <c r="R1312" t="s">
        <v>145</v>
      </c>
      <c r="S1312">
        <v>0</v>
      </c>
    </row>
    <row r="1313" spans="1:19">
      <c r="A1313" t="s">
        <v>35</v>
      </c>
      <c r="B1313" t="s">
        <v>8788</v>
      </c>
      <c r="C1313">
        <f>"NJ07A"</f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 s="2">
        <v>0</v>
      </c>
      <c r="M1313">
        <v>0</v>
      </c>
      <c r="N1313" s="2">
        <v>0</v>
      </c>
      <c r="O1313">
        <v>0</v>
      </c>
      <c r="P1313" t="s">
        <v>100</v>
      </c>
      <c r="Q1313">
        <v>0</v>
      </c>
      <c r="R1313" t="s">
        <v>145</v>
      </c>
      <c r="S1313">
        <v>0</v>
      </c>
    </row>
    <row r="1314" spans="1:19">
      <c r="A1314" t="s">
        <v>35</v>
      </c>
      <c r="B1314" t="s">
        <v>8787</v>
      </c>
      <c r="C1314">
        <f>"NJ07B"</f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 s="2">
        <v>0</v>
      </c>
      <c r="M1314">
        <v>0</v>
      </c>
      <c r="N1314" s="2">
        <v>0</v>
      </c>
      <c r="O1314">
        <v>0</v>
      </c>
      <c r="P1314" t="s">
        <v>100</v>
      </c>
      <c r="Q1314">
        <v>0</v>
      </c>
      <c r="R1314" t="s">
        <v>145</v>
      </c>
      <c r="S1314">
        <v>0</v>
      </c>
    </row>
    <row r="1315" spans="1:19">
      <c r="A1315" t="s">
        <v>35</v>
      </c>
      <c r="B1315" t="s">
        <v>6453</v>
      </c>
      <c r="C1315">
        <f>"JWZ1017M"</f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 s="2">
        <v>0</v>
      </c>
      <c r="M1315">
        <v>0</v>
      </c>
      <c r="N1315" s="2">
        <v>0</v>
      </c>
      <c r="O1315">
        <v>0</v>
      </c>
      <c r="P1315" t="s">
        <v>100</v>
      </c>
      <c r="Q1315">
        <v>0</v>
      </c>
      <c r="R1315" t="s">
        <v>145</v>
      </c>
      <c r="S1315">
        <v>0</v>
      </c>
    </row>
    <row r="1316" spans="1:19">
      <c r="A1316" t="s">
        <v>35</v>
      </c>
      <c r="B1316" t="s">
        <v>6471</v>
      </c>
      <c r="C1316">
        <f>"BF9S"</f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 s="2">
        <v>0</v>
      </c>
      <c r="M1316">
        <v>0</v>
      </c>
      <c r="N1316" s="2">
        <v>0</v>
      </c>
      <c r="O1316">
        <v>0</v>
      </c>
      <c r="P1316" t="s">
        <v>100</v>
      </c>
      <c r="Q1316">
        <v>0</v>
      </c>
      <c r="R1316" t="s">
        <v>145</v>
      </c>
      <c r="S1316">
        <v>0</v>
      </c>
    </row>
    <row r="1317" spans="1:19">
      <c r="A1317" t="s">
        <v>35</v>
      </c>
      <c r="B1317" t="s">
        <v>3332</v>
      </c>
      <c r="C1317">
        <f>"KL160KN"</f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 s="2">
        <v>0</v>
      </c>
      <c r="M1317">
        <v>0</v>
      </c>
      <c r="N1317" s="2">
        <v>0</v>
      </c>
      <c r="O1317">
        <v>0</v>
      </c>
      <c r="P1317" t="s">
        <v>100</v>
      </c>
      <c r="Q1317">
        <v>0</v>
      </c>
      <c r="R1317" t="s">
        <v>145</v>
      </c>
      <c r="S1317">
        <v>0</v>
      </c>
    </row>
    <row r="1318" spans="1:19">
      <c r="A1318" t="s">
        <v>35</v>
      </c>
      <c r="B1318" t="s">
        <v>6629</v>
      </c>
      <c r="C1318">
        <f>"JWZ1016S"</f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 s="2">
        <v>0</v>
      </c>
      <c r="M1318">
        <v>0</v>
      </c>
      <c r="N1318" s="2">
        <v>0</v>
      </c>
      <c r="O1318">
        <v>0</v>
      </c>
      <c r="P1318" t="s">
        <v>100</v>
      </c>
      <c r="Q1318">
        <v>0</v>
      </c>
      <c r="R1318" t="s">
        <v>145</v>
      </c>
      <c r="S1318">
        <v>0</v>
      </c>
    </row>
    <row r="1319" spans="1:19">
      <c r="A1319" t="s">
        <v>35</v>
      </c>
      <c r="B1319" t="s">
        <v>6628</v>
      </c>
      <c r="C1319">
        <f>"JWZ1017S"</f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 s="2">
        <v>0</v>
      </c>
      <c r="M1319">
        <v>0</v>
      </c>
      <c r="N1319" s="2">
        <v>0</v>
      </c>
      <c r="O1319">
        <v>0</v>
      </c>
      <c r="P1319" t="s">
        <v>100</v>
      </c>
      <c r="Q1319">
        <v>0</v>
      </c>
      <c r="R1319" t="s">
        <v>145</v>
      </c>
      <c r="S1319">
        <v>0</v>
      </c>
    </row>
    <row r="1320" spans="1:19">
      <c r="A1320" t="s">
        <v>35</v>
      </c>
      <c r="B1320" t="s">
        <v>6627</v>
      </c>
      <c r="C1320">
        <f>"JWZ1003S"</f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 s="2">
        <v>0</v>
      </c>
      <c r="M1320">
        <v>0</v>
      </c>
      <c r="N1320" s="2">
        <v>0</v>
      </c>
      <c r="O1320">
        <v>0</v>
      </c>
      <c r="P1320" t="s">
        <v>100</v>
      </c>
      <c r="Q1320">
        <v>0</v>
      </c>
      <c r="R1320" t="s">
        <v>145</v>
      </c>
      <c r="S1320">
        <v>0</v>
      </c>
    </row>
    <row r="1321" spans="1:19">
      <c r="A1321" t="s">
        <v>35</v>
      </c>
      <c r="B1321" t="s">
        <v>9247</v>
      </c>
      <c r="C1321">
        <f>"PT312Z"</f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 s="2">
        <v>0</v>
      </c>
      <c r="M1321">
        <v>0</v>
      </c>
      <c r="N1321" s="2">
        <v>0</v>
      </c>
      <c r="O1321">
        <v>0</v>
      </c>
      <c r="P1321" t="s">
        <v>100</v>
      </c>
      <c r="Q1321">
        <v>0</v>
      </c>
      <c r="R1321" t="s">
        <v>145</v>
      </c>
      <c r="S1321">
        <v>0</v>
      </c>
    </row>
    <row r="1322" spans="1:19">
      <c r="A1322" t="s">
        <v>35</v>
      </c>
      <c r="B1322" t="s">
        <v>1206</v>
      </c>
      <c r="C1322">
        <f>"xx45"</f>
        <v>0</v>
      </c>
      <c r="D1322">
        <v>0</v>
      </c>
      <c r="E1322">
        <v>1</v>
      </c>
      <c r="F1322">
        <v>0</v>
      </c>
      <c r="G1322">
        <v>0</v>
      </c>
      <c r="H1322">
        <v>1</v>
      </c>
      <c r="I1322">
        <v>0</v>
      </c>
      <c r="J1322">
        <v>0</v>
      </c>
      <c r="K1322">
        <v>0</v>
      </c>
      <c r="L1322" s="2">
        <v>0</v>
      </c>
      <c r="M1322">
        <v>0</v>
      </c>
      <c r="N1322" s="2">
        <v>0</v>
      </c>
      <c r="O1322">
        <v>0</v>
      </c>
      <c r="P1322" t="s">
        <v>100</v>
      </c>
      <c r="Q1322">
        <v>0</v>
      </c>
      <c r="R1322" t="s">
        <v>145</v>
      </c>
      <c r="S1322">
        <v>0</v>
      </c>
    </row>
    <row r="1323" spans="1:19">
      <c r="A1323" t="s">
        <v>35</v>
      </c>
      <c r="B1323" t="s">
        <v>9130</v>
      </c>
      <c r="C1323">
        <f>"JLDU"</f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 s="2">
        <v>0</v>
      </c>
      <c r="M1323">
        <v>0</v>
      </c>
      <c r="N1323" s="2">
        <v>0</v>
      </c>
      <c r="O1323">
        <v>0</v>
      </c>
      <c r="P1323" t="s">
        <v>100</v>
      </c>
      <c r="Q1323">
        <v>0</v>
      </c>
      <c r="R1323" t="s">
        <v>145</v>
      </c>
      <c r="S1323">
        <v>0</v>
      </c>
    </row>
    <row r="1324" spans="1:19">
      <c r="A1324" t="s">
        <v>35</v>
      </c>
      <c r="B1324" t="s">
        <v>9190</v>
      </c>
      <c r="C1324">
        <f>"JPRL"</f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 s="2">
        <v>0</v>
      </c>
      <c r="M1324">
        <v>0</v>
      </c>
      <c r="N1324" s="2">
        <v>0</v>
      </c>
      <c r="O1324">
        <v>0</v>
      </c>
      <c r="P1324" t="s">
        <v>100</v>
      </c>
      <c r="Q1324">
        <v>0</v>
      </c>
      <c r="R1324" t="s">
        <v>145</v>
      </c>
      <c r="S1324">
        <v>0</v>
      </c>
    </row>
    <row r="1325" spans="1:19">
      <c r="A1325" t="s">
        <v>35</v>
      </c>
      <c r="B1325" t="s">
        <v>9188</v>
      </c>
      <c r="C1325">
        <f>"JTTMR"</f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 s="2">
        <v>0</v>
      </c>
      <c r="M1325">
        <v>0</v>
      </c>
      <c r="N1325" s="2">
        <v>0</v>
      </c>
      <c r="O1325">
        <v>0</v>
      </c>
      <c r="P1325" t="s">
        <v>100</v>
      </c>
      <c r="Q1325">
        <v>0</v>
      </c>
      <c r="R1325" t="s">
        <v>145</v>
      </c>
      <c r="S1325">
        <v>0</v>
      </c>
    </row>
    <row r="1326" spans="1:19">
      <c r="A1326" t="s">
        <v>35</v>
      </c>
      <c r="B1326" t="s">
        <v>6625</v>
      </c>
      <c r="C1326">
        <f>"CC309SACN"</f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 s="2">
        <v>0</v>
      </c>
      <c r="M1326">
        <v>0</v>
      </c>
      <c r="N1326" s="2">
        <v>0</v>
      </c>
      <c r="O1326">
        <v>0</v>
      </c>
      <c r="P1326" t="s">
        <v>100</v>
      </c>
      <c r="Q1326">
        <v>0</v>
      </c>
      <c r="R1326" t="s">
        <v>145</v>
      </c>
      <c r="S1326">
        <v>0</v>
      </c>
    </row>
    <row r="1327" spans="1:19">
      <c r="A1327" t="s">
        <v>35</v>
      </c>
      <c r="B1327" t="s">
        <v>6623</v>
      </c>
      <c r="C1327">
        <f>"CC309SAC"</f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 s="2">
        <v>0</v>
      </c>
      <c r="M1327">
        <v>0</v>
      </c>
      <c r="N1327" s="2">
        <v>0</v>
      </c>
      <c r="O1327">
        <v>0</v>
      </c>
      <c r="P1327" t="s">
        <v>100</v>
      </c>
      <c r="Q1327">
        <v>0</v>
      </c>
      <c r="R1327" t="s">
        <v>145</v>
      </c>
      <c r="S1327">
        <v>0</v>
      </c>
    </row>
    <row r="1328" spans="1:19">
      <c r="A1328" t="s">
        <v>35</v>
      </c>
      <c r="B1328" t="s">
        <v>6638</v>
      </c>
      <c r="C1328">
        <f>"CC309SCNN"</f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 s="2">
        <v>0</v>
      </c>
      <c r="M1328">
        <v>0</v>
      </c>
      <c r="N1328" s="2">
        <v>0</v>
      </c>
      <c r="O1328">
        <v>0</v>
      </c>
      <c r="P1328" t="s">
        <v>100</v>
      </c>
      <c r="Q1328">
        <v>0</v>
      </c>
      <c r="R1328" t="s">
        <v>145</v>
      </c>
      <c r="S1328">
        <v>0</v>
      </c>
    </row>
    <row r="1329" spans="1:19">
      <c r="A1329" t="s">
        <v>35</v>
      </c>
      <c r="B1329" t="s">
        <v>6621</v>
      </c>
      <c r="C1329">
        <f>"CC309SCRN"</f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 s="2">
        <v>0</v>
      </c>
      <c r="M1329">
        <v>0</v>
      </c>
      <c r="N1329" s="2">
        <v>0</v>
      </c>
      <c r="O1329">
        <v>0</v>
      </c>
      <c r="P1329" t="s">
        <v>100</v>
      </c>
      <c r="Q1329">
        <v>0</v>
      </c>
      <c r="R1329" t="s">
        <v>145</v>
      </c>
      <c r="S1329">
        <v>0</v>
      </c>
    </row>
    <row r="1330" spans="1:19">
      <c r="A1330" t="s">
        <v>35</v>
      </c>
      <c r="B1330" t="s">
        <v>6620</v>
      </c>
      <c r="C1330">
        <f>"JWZ1036S"</f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 s="2">
        <v>0</v>
      </c>
      <c r="M1330">
        <v>0</v>
      </c>
      <c r="N1330" s="2">
        <v>0</v>
      </c>
      <c r="O1330">
        <v>0</v>
      </c>
      <c r="P1330" t="s">
        <v>100</v>
      </c>
      <c r="Q1330">
        <v>0</v>
      </c>
      <c r="R1330" t="s">
        <v>145</v>
      </c>
      <c r="S1330">
        <v>0</v>
      </c>
    </row>
    <row r="1331" spans="1:19">
      <c r="A1331" t="s">
        <v>35</v>
      </c>
      <c r="B1331" t="s">
        <v>6618</v>
      </c>
      <c r="C1331">
        <f>"jwz1058s"</f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 s="2">
        <v>0</v>
      </c>
      <c r="M1331">
        <v>0</v>
      </c>
      <c r="N1331" s="2">
        <v>0</v>
      </c>
      <c r="O1331">
        <v>0</v>
      </c>
      <c r="P1331" t="s">
        <v>100</v>
      </c>
      <c r="Q1331">
        <v>0</v>
      </c>
      <c r="R1331" t="s">
        <v>145</v>
      </c>
      <c r="S1331">
        <v>0</v>
      </c>
    </row>
    <row r="1332" spans="1:19">
      <c r="A1332" t="s">
        <v>35</v>
      </c>
      <c r="B1332" t="s">
        <v>6475</v>
      </c>
      <c r="C1332">
        <f>"XYZ01S"</f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 s="2">
        <v>0</v>
      </c>
      <c r="M1332">
        <v>0</v>
      </c>
      <c r="N1332" s="2">
        <v>0</v>
      </c>
      <c r="O1332">
        <v>0</v>
      </c>
      <c r="P1332" t="s">
        <v>100</v>
      </c>
      <c r="Q1332">
        <v>0</v>
      </c>
      <c r="R1332" t="s">
        <v>145</v>
      </c>
      <c r="S1332">
        <v>0</v>
      </c>
    </row>
    <row r="1333" spans="1:19">
      <c r="A1333" t="s">
        <v>35</v>
      </c>
      <c r="B1333" t="s">
        <v>6490</v>
      </c>
      <c r="C1333">
        <f>"XYZ01XS"</f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 s="2">
        <v>0</v>
      </c>
      <c r="M1333">
        <v>0</v>
      </c>
      <c r="N1333" s="2">
        <v>0</v>
      </c>
      <c r="O1333">
        <v>0</v>
      </c>
      <c r="P1333" t="s">
        <v>100</v>
      </c>
      <c r="Q1333">
        <v>0</v>
      </c>
      <c r="R1333" t="s">
        <v>145</v>
      </c>
      <c r="S1333">
        <v>0</v>
      </c>
    </row>
    <row r="1334" spans="1:19">
      <c r="A1334" t="s">
        <v>35</v>
      </c>
      <c r="B1334" t="s">
        <v>6473</v>
      </c>
      <c r="C1334">
        <f>"BF9L"</f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 s="2">
        <v>0</v>
      </c>
      <c r="M1334">
        <v>0</v>
      </c>
      <c r="N1334" s="2">
        <v>0</v>
      </c>
      <c r="O1334">
        <v>0</v>
      </c>
      <c r="P1334" t="s">
        <v>100</v>
      </c>
      <c r="Q1334">
        <v>0</v>
      </c>
      <c r="R1334" t="s">
        <v>145</v>
      </c>
      <c r="S1334">
        <v>0</v>
      </c>
    </row>
    <row r="1335" spans="1:19">
      <c r="A1335" t="s">
        <v>35</v>
      </c>
      <c r="B1335" t="s">
        <v>6611</v>
      </c>
      <c r="C1335">
        <f>"JY2042"</f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 s="2">
        <v>0</v>
      </c>
      <c r="M1335">
        <v>0</v>
      </c>
      <c r="N1335" s="2">
        <v>0</v>
      </c>
      <c r="O1335">
        <v>0</v>
      </c>
      <c r="P1335" t="s">
        <v>100</v>
      </c>
      <c r="Q1335">
        <v>0</v>
      </c>
      <c r="R1335" t="s">
        <v>145</v>
      </c>
      <c r="S1335">
        <v>0</v>
      </c>
    </row>
    <row r="1336" spans="1:19">
      <c r="A1336" t="s">
        <v>35</v>
      </c>
      <c r="B1336" t="s">
        <v>392</v>
      </c>
      <c r="C1336">
        <f>"JWZ1012S"</f>
        <v>0</v>
      </c>
      <c r="D1336">
        <v>0</v>
      </c>
      <c r="E1336">
        <v>47</v>
      </c>
      <c r="F1336">
        <v>0</v>
      </c>
      <c r="G1336">
        <v>0</v>
      </c>
      <c r="H1336">
        <v>47</v>
      </c>
      <c r="I1336">
        <v>0</v>
      </c>
      <c r="J1336">
        <v>0</v>
      </c>
      <c r="K1336">
        <v>0</v>
      </c>
      <c r="L1336" s="2">
        <v>0</v>
      </c>
      <c r="M1336">
        <v>0</v>
      </c>
      <c r="N1336" s="2">
        <v>0</v>
      </c>
      <c r="O1336">
        <v>0</v>
      </c>
      <c r="P1336" t="s">
        <v>100</v>
      </c>
      <c r="Q1336">
        <v>0</v>
      </c>
      <c r="R1336" t="s">
        <v>145</v>
      </c>
      <c r="S1336">
        <v>0</v>
      </c>
    </row>
    <row r="1337" spans="1:19">
      <c r="A1337" t="s">
        <v>35</v>
      </c>
      <c r="B1337" t="s">
        <v>9145</v>
      </c>
      <c r="C1337">
        <f>"XDB417"</f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 s="2">
        <v>0</v>
      </c>
      <c r="M1337">
        <v>0</v>
      </c>
      <c r="N1337" s="2">
        <v>0</v>
      </c>
      <c r="O1337">
        <v>0</v>
      </c>
      <c r="P1337" t="s">
        <v>100</v>
      </c>
      <c r="Q1337">
        <v>0</v>
      </c>
      <c r="R1337" t="s">
        <v>145</v>
      </c>
      <c r="S1337">
        <v>0</v>
      </c>
    </row>
    <row r="1338" spans="1:19">
      <c r="A1338" t="s">
        <v>35</v>
      </c>
      <c r="B1338" t="s">
        <v>9160</v>
      </c>
      <c r="C1338">
        <f>"XDB416"</f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 s="2">
        <v>0</v>
      </c>
      <c r="M1338">
        <v>0</v>
      </c>
      <c r="N1338" s="2">
        <v>0</v>
      </c>
      <c r="O1338">
        <v>0</v>
      </c>
      <c r="P1338" t="s">
        <v>100</v>
      </c>
      <c r="Q1338">
        <v>0</v>
      </c>
      <c r="R1338" t="s">
        <v>145</v>
      </c>
      <c r="S1338">
        <v>0</v>
      </c>
    </row>
    <row r="1339" spans="1:19">
      <c r="A1339" t="s">
        <v>35</v>
      </c>
      <c r="B1339" t="s">
        <v>9138</v>
      </c>
      <c r="C1339">
        <f>"5005878"</f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 s="2">
        <v>0</v>
      </c>
      <c r="M1339">
        <v>0</v>
      </c>
      <c r="N1339" s="2">
        <v>0</v>
      </c>
      <c r="O1339">
        <v>0</v>
      </c>
      <c r="P1339" t="s">
        <v>100</v>
      </c>
      <c r="Q1339">
        <v>0</v>
      </c>
      <c r="R1339" t="s">
        <v>145</v>
      </c>
      <c r="S1339">
        <v>0</v>
      </c>
    </row>
    <row r="1340" spans="1:19">
      <c r="A1340" t="s">
        <v>35</v>
      </c>
      <c r="B1340" t="s">
        <v>9136</v>
      </c>
      <c r="C1340">
        <f>"C211"</f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 s="2">
        <v>0</v>
      </c>
      <c r="M1340">
        <v>0</v>
      </c>
      <c r="N1340" s="2">
        <v>0</v>
      </c>
      <c r="O1340">
        <v>0</v>
      </c>
      <c r="P1340" t="s">
        <v>100</v>
      </c>
      <c r="Q1340">
        <v>0</v>
      </c>
      <c r="R1340" t="s">
        <v>145</v>
      </c>
      <c r="S1340">
        <v>0</v>
      </c>
    </row>
    <row r="1341" spans="1:19">
      <c r="A1341" t="s">
        <v>35</v>
      </c>
      <c r="B1341" t="s">
        <v>9162</v>
      </c>
      <c r="C1341">
        <f>"C209"</f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 s="2">
        <v>0</v>
      </c>
      <c r="M1341">
        <v>0</v>
      </c>
      <c r="N1341" s="2">
        <v>0</v>
      </c>
      <c r="O1341">
        <v>0</v>
      </c>
      <c r="P1341" t="s">
        <v>100</v>
      </c>
      <c r="Q1341">
        <v>0</v>
      </c>
      <c r="R1341" t="s">
        <v>145</v>
      </c>
      <c r="S1341">
        <v>0</v>
      </c>
    </row>
    <row r="1342" spans="1:19">
      <c r="A1342" t="s">
        <v>35</v>
      </c>
      <c r="B1342" t="s">
        <v>1226</v>
      </c>
      <c r="C1342">
        <f>"XI2"</f>
        <v>0</v>
      </c>
      <c r="D1342">
        <v>1</v>
      </c>
      <c r="E1342">
        <v>0</v>
      </c>
      <c r="F1342">
        <v>0</v>
      </c>
      <c r="G1342">
        <v>0</v>
      </c>
      <c r="H1342">
        <v>1</v>
      </c>
      <c r="I1342">
        <v>0</v>
      </c>
      <c r="J1342">
        <v>0</v>
      </c>
      <c r="K1342">
        <v>0</v>
      </c>
      <c r="L1342" s="2">
        <v>0</v>
      </c>
      <c r="M1342">
        <v>0</v>
      </c>
      <c r="N1342" s="2">
        <v>0</v>
      </c>
      <c r="O1342">
        <v>0</v>
      </c>
      <c r="P1342" t="s">
        <v>100</v>
      </c>
      <c r="Q1342">
        <v>0</v>
      </c>
      <c r="R1342" t="s">
        <v>145</v>
      </c>
      <c r="S1342">
        <v>0</v>
      </c>
    </row>
    <row r="1343" spans="1:19">
      <c r="A1343" t="s">
        <v>35</v>
      </c>
      <c r="B1343" t="s">
        <v>8791</v>
      </c>
      <c r="C1343">
        <f>"NJ20"</f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 s="2">
        <v>0</v>
      </c>
      <c r="M1343">
        <v>0</v>
      </c>
      <c r="N1343" s="2">
        <v>0</v>
      </c>
      <c r="O1343">
        <v>0</v>
      </c>
      <c r="P1343" t="s">
        <v>100</v>
      </c>
      <c r="Q1343">
        <v>0</v>
      </c>
      <c r="R1343" t="s">
        <v>145</v>
      </c>
      <c r="S1343">
        <v>0</v>
      </c>
    </row>
    <row r="1344" spans="1:19">
      <c r="A1344" t="s">
        <v>35</v>
      </c>
      <c r="B1344" t="s">
        <v>6487</v>
      </c>
      <c r="C1344">
        <f>"JW5022L"</f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 s="2">
        <v>0</v>
      </c>
      <c r="M1344">
        <v>0</v>
      </c>
      <c r="N1344" s="2">
        <v>0</v>
      </c>
      <c r="O1344">
        <v>0</v>
      </c>
      <c r="P1344" t="s">
        <v>100</v>
      </c>
      <c r="Q1344">
        <v>0</v>
      </c>
      <c r="R1344" t="s">
        <v>145</v>
      </c>
      <c r="S1344">
        <v>0</v>
      </c>
    </row>
    <row r="1345" spans="1:19">
      <c r="A1345" t="s">
        <v>35</v>
      </c>
      <c r="B1345" t="s">
        <v>6486</v>
      </c>
      <c r="C1345">
        <f>"JW5022M"</f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 s="2">
        <v>0</v>
      </c>
      <c r="M1345">
        <v>0</v>
      </c>
      <c r="N1345" s="2">
        <v>0</v>
      </c>
      <c r="O1345">
        <v>0</v>
      </c>
      <c r="P1345" t="s">
        <v>100</v>
      </c>
      <c r="Q1345">
        <v>0</v>
      </c>
      <c r="R1345" t="s">
        <v>145</v>
      </c>
      <c r="S1345">
        <v>0</v>
      </c>
    </row>
    <row r="1346" spans="1:19">
      <c r="A1346" t="s">
        <v>35</v>
      </c>
      <c r="B1346" t="s">
        <v>6626</v>
      </c>
      <c r="C1346">
        <f>"JW5022S"</f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 s="2">
        <v>0</v>
      </c>
      <c r="M1346">
        <v>0</v>
      </c>
      <c r="N1346" s="2">
        <v>0</v>
      </c>
      <c r="O1346">
        <v>0</v>
      </c>
      <c r="P1346" t="s">
        <v>100</v>
      </c>
      <c r="Q1346">
        <v>0</v>
      </c>
      <c r="R1346" t="s">
        <v>145</v>
      </c>
      <c r="S1346">
        <v>0</v>
      </c>
    </row>
    <row r="1347" spans="1:19">
      <c r="A1347" t="s">
        <v>35</v>
      </c>
      <c r="B1347" t="s">
        <v>1353</v>
      </c>
      <c r="C1347">
        <f>"BF9M"</f>
        <v>0</v>
      </c>
      <c r="D1347">
        <v>0</v>
      </c>
      <c r="E1347">
        <v>1</v>
      </c>
      <c r="F1347">
        <v>0</v>
      </c>
      <c r="G1347">
        <v>0</v>
      </c>
      <c r="H1347">
        <v>1</v>
      </c>
      <c r="I1347">
        <v>0</v>
      </c>
      <c r="J1347">
        <v>0</v>
      </c>
      <c r="K1347">
        <v>0</v>
      </c>
      <c r="L1347" s="2">
        <v>0</v>
      </c>
      <c r="M1347">
        <v>0</v>
      </c>
      <c r="N1347" s="2">
        <v>0</v>
      </c>
      <c r="O1347">
        <v>0</v>
      </c>
      <c r="P1347" t="s">
        <v>100</v>
      </c>
      <c r="Q1347">
        <v>0</v>
      </c>
      <c r="R1347" t="s">
        <v>145</v>
      </c>
      <c r="S1347">
        <v>0</v>
      </c>
    </row>
    <row r="1348" spans="1:19">
      <c r="A1348" t="s">
        <v>35</v>
      </c>
      <c r="B1348" t="s">
        <v>6484</v>
      </c>
      <c r="C1348">
        <f>"JW5022XXL"</f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 s="2">
        <v>0</v>
      </c>
      <c r="M1348">
        <v>0</v>
      </c>
      <c r="N1348" s="2">
        <v>0</v>
      </c>
      <c r="O1348">
        <v>0</v>
      </c>
      <c r="P1348" t="s">
        <v>100</v>
      </c>
      <c r="Q1348">
        <v>0</v>
      </c>
      <c r="R1348" t="s">
        <v>145</v>
      </c>
      <c r="S1348">
        <v>0</v>
      </c>
    </row>
    <row r="1349" spans="1:19">
      <c r="A1349" t="s">
        <v>35</v>
      </c>
      <c r="B1349" t="s">
        <v>6482</v>
      </c>
      <c r="C1349">
        <f>"CQ01M"</f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 s="2">
        <v>0</v>
      </c>
      <c r="M1349">
        <v>0</v>
      </c>
      <c r="N1349" s="2">
        <v>0</v>
      </c>
      <c r="O1349">
        <v>0</v>
      </c>
      <c r="P1349" t="s">
        <v>100</v>
      </c>
      <c r="Q1349">
        <v>0</v>
      </c>
      <c r="R1349" t="s">
        <v>145</v>
      </c>
      <c r="S1349">
        <v>0</v>
      </c>
    </row>
    <row r="1350" spans="1:19">
      <c r="A1350" t="s">
        <v>35</v>
      </c>
      <c r="B1350" t="s">
        <v>6481</v>
      </c>
      <c r="C1350">
        <f>"CQ01S"</f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 s="2">
        <v>0</v>
      </c>
      <c r="M1350">
        <v>0</v>
      </c>
      <c r="N1350" s="2">
        <v>0</v>
      </c>
      <c r="O1350">
        <v>0</v>
      </c>
      <c r="P1350" t="s">
        <v>100</v>
      </c>
      <c r="Q1350">
        <v>0</v>
      </c>
      <c r="R1350" t="s">
        <v>145</v>
      </c>
      <c r="S1350">
        <v>0</v>
      </c>
    </row>
    <row r="1351" spans="1:19">
      <c r="A1351" t="s">
        <v>35</v>
      </c>
      <c r="B1351" t="s">
        <v>1356</v>
      </c>
      <c r="C1351">
        <f>"191101M"</f>
        <v>0</v>
      </c>
      <c r="D1351">
        <v>1</v>
      </c>
      <c r="E1351">
        <v>0</v>
      </c>
      <c r="F1351">
        <v>0</v>
      </c>
      <c r="G1351">
        <v>0</v>
      </c>
      <c r="H1351">
        <v>1</v>
      </c>
      <c r="I1351">
        <v>0</v>
      </c>
      <c r="J1351">
        <v>0</v>
      </c>
      <c r="K1351">
        <v>0</v>
      </c>
      <c r="L1351" s="2">
        <v>0</v>
      </c>
      <c r="M1351">
        <v>0</v>
      </c>
      <c r="N1351" s="2">
        <v>0</v>
      </c>
      <c r="O1351">
        <v>0</v>
      </c>
      <c r="P1351" t="s">
        <v>100</v>
      </c>
      <c r="Q1351">
        <v>0</v>
      </c>
      <c r="R1351" t="s">
        <v>145</v>
      </c>
      <c r="S1351">
        <v>0</v>
      </c>
    </row>
    <row r="1352" spans="1:19">
      <c r="A1352" t="s">
        <v>35</v>
      </c>
      <c r="B1352" t="s">
        <v>6478</v>
      </c>
      <c r="C1352">
        <f>"191101XS"</f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 s="2">
        <v>0</v>
      </c>
      <c r="M1352">
        <v>0</v>
      </c>
      <c r="N1352" s="2">
        <v>0</v>
      </c>
      <c r="O1352">
        <v>0</v>
      </c>
      <c r="P1352" t="s">
        <v>100</v>
      </c>
      <c r="Q1352">
        <v>0</v>
      </c>
      <c r="R1352" t="s">
        <v>145</v>
      </c>
      <c r="S1352">
        <v>0</v>
      </c>
    </row>
    <row r="1353" spans="1:19">
      <c r="A1353" t="s">
        <v>35</v>
      </c>
      <c r="B1353" t="s">
        <v>6477</v>
      </c>
      <c r="C1353">
        <f>"XYZ01L"</f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 s="2">
        <v>0</v>
      </c>
      <c r="M1353">
        <v>0</v>
      </c>
      <c r="N1353" s="2">
        <v>0</v>
      </c>
      <c r="O1353">
        <v>0</v>
      </c>
      <c r="P1353" t="s">
        <v>100</v>
      </c>
      <c r="Q1353">
        <v>0</v>
      </c>
      <c r="R1353" t="s">
        <v>145</v>
      </c>
      <c r="S1353">
        <v>0</v>
      </c>
    </row>
    <row r="1354" spans="1:19">
      <c r="A1354" t="s">
        <v>35</v>
      </c>
      <c r="B1354" t="s">
        <v>6476</v>
      </c>
      <c r="C1354">
        <f>"XYZ01M"</f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 s="2">
        <v>0</v>
      </c>
      <c r="M1354">
        <v>0</v>
      </c>
      <c r="N1354" s="2">
        <v>0</v>
      </c>
      <c r="O1354">
        <v>0</v>
      </c>
      <c r="P1354" t="s">
        <v>100</v>
      </c>
      <c r="Q1354">
        <v>0</v>
      </c>
      <c r="R1354" t="s">
        <v>145</v>
      </c>
      <c r="S1354">
        <v>0</v>
      </c>
    </row>
    <row r="1355" spans="1:19">
      <c r="A1355" t="s">
        <v>35</v>
      </c>
      <c r="B1355" t="s">
        <v>6440</v>
      </c>
      <c r="C1355">
        <f>"CC309MRNN"</f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 s="2">
        <v>0</v>
      </c>
      <c r="M1355">
        <v>0</v>
      </c>
      <c r="N1355" s="2">
        <v>0</v>
      </c>
      <c r="O1355">
        <v>0</v>
      </c>
      <c r="P1355" t="s">
        <v>100</v>
      </c>
      <c r="Q1355">
        <v>0</v>
      </c>
      <c r="R1355" t="s">
        <v>145</v>
      </c>
      <c r="S1355">
        <v>0</v>
      </c>
    </row>
    <row r="1356" spans="1:19">
      <c r="A1356" t="s">
        <v>35</v>
      </c>
      <c r="B1356" t="s">
        <v>6439</v>
      </c>
      <c r="C1356">
        <f>"CC309MRC"</f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 s="2">
        <v>0</v>
      </c>
      <c r="M1356">
        <v>0</v>
      </c>
      <c r="N1356" s="2">
        <v>0</v>
      </c>
      <c r="O1356">
        <v>0</v>
      </c>
      <c r="P1356" t="s">
        <v>100</v>
      </c>
      <c r="Q1356">
        <v>0</v>
      </c>
      <c r="R1356" t="s">
        <v>145</v>
      </c>
      <c r="S1356">
        <v>0</v>
      </c>
    </row>
    <row r="1357" spans="1:19">
      <c r="A1357" t="s">
        <v>35</v>
      </c>
      <c r="B1357" t="s">
        <v>6438</v>
      </c>
      <c r="C1357">
        <f>"CC309MRNC"</f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 s="2">
        <v>0</v>
      </c>
      <c r="M1357">
        <v>0</v>
      </c>
      <c r="N1357" s="2">
        <v>0</v>
      </c>
      <c r="O1357">
        <v>0</v>
      </c>
      <c r="P1357" t="s">
        <v>100</v>
      </c>
      <c r="Q1357">
        <v>0</v>
      </c>
      <c r="R1357" t="s">
        <v>145</v>
      </c>
      <c r="S1357">
        <v>0</v>
      </c>
    </row>
    <row r="1358" spans="1:19">
      <c r="A1358" t="s">
        <v>35</v>
      </c>
      <c r="B1358" t="s">
        <v>6485</v>
      </c>
      <c r="C1358">
        <f>"JW5022XL"</f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 s="2">
        <v>0</v>
      </c>
      <c r="M1358">
        <v>0</v>
      </c>
      <c r="N1358" s="2">
        <v>0</v>
      </c>
      <c r="O1358">
        <v>0</v>
      </c>
      <c r="P1358" t="s">
        <v>100</v>
      </c>
      <c r="Q1358">
        <v>0</v>
      </c>
      <c r="R1358" t="s">
        <v>145</v>
      </c>
      <c r="S1358">
        <v>0</v>
      </c>
    </row>
    <row r="1359" spans="1:19">
      <c r="A1359" t="s">
        <v>35</v>
      </c>
      <c r="B1359" t="s">
        <v>9072</v>
      </c>
      <c r="C1359">
        <f>"XX214"</f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 s="2">
        <v>0</v>
      </c>
      <c r="M1359">
        <v>0</v>
      </c>
      <c r="N1359" s="2">
        <v>0</v>
      </c>
      <c r="O1359">
        <v>0</v>
      </c>
      <c r="P1359" t="s">
        <v>100</v>
      </c>
      <c r="Q1359">
        <v>0</v>
      </c>
      <c r="R1359" t="s">
        <v>145</v>
      </c>
      <c r="S1359">
        <v>0</v>
      </c>
    </row>
    <row r="1360" spans="1:19">
      <c r="A1360" t="s">
        <v>35</v>
      </c>
      <c r="B1360" t="s">
        <v>9071</v>
      </c>
      <c r="C1360">
        <f>"XX259"</f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 s="2">
        <v>0</v>
      </c>
      <c r="M1360">
        <v>0</v>
      </c>
      <c r="N1360" s="2">
        <v>0</v>
      </c>
      <c r="O1360">
        <v>0</v>
      </c>
      <c r="P1360" t="s">
        <v>100</v>
      </c>
      <c r="Q1360">
        <v>0</v>
      </c>
      <c r="R1360" t="s">
        <v>145</v>
      </c>
      <c r="S1360">
        <v>0</v>
      </c>
    </row>
    <row r="1361" spans="1:19">
      <c r="A1361" t="s">
        <v>35</v>
      </c>
      <c r="B1361" t="s">
        <v>9091</v>
      </c>
      <c r="C1361">
        <f>"XX210"</f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 s="2">
        <v>0</v>
      </c>
      <c r="M1361">
        <v>0</v>
      </c>
      <c r="N1361" s="2">
        <v>0</v>
      </c>
      <c r="O1361">
        <v>0</v>
      </c>
      <c r="P1361" t="s">
        <v>100</v>
      </c>
      <c r="Q1361">
        <v>0</v>
      </c>
      <c r="R1361" t="s">
        <v>145</v>
      </c>
      <c r="S1361">
        <v>0</v>
      </c>
    </row>
    <row r="1362" spans="1:19">
      <c r="A1362" t="s">
        <v>35</v>
      </c>
      <c r="B1362" t="s">
        <v>1439</v>
      </c>
      <c r="C1362">
        <f>"XX249"</f>
        <v>0</v>
      </c>
      <c r="D1362">
        <v>1</v>
      </c>
      <c r="E1362">
        <v>0</v>
      </c>
      <c r="F1362">
        <v>0</v>
      </c>
      <c r="G1362">
        <v>0</v>
      </c>
      <c r="H1362">
        <v>1</v>
      </c>
      <c r="I1362">
        <v>0</v>
      </c>
      <c r="J1362">
        <v>0</v>
      </c>
      <c r="K1362">
        <v>0</v>
      </c>
      <c r="L1362" s="2">
        <v>0</v>
      </c>
      <c r="M1362">
        <v>0</v>
      </c>
      <c r="N1362" s="2">
        <v>0</v>
      </c>
      <c r="O1362">
        <v>0</v>
      </c>
      <c r="P1362" t="s">
        <v>100</v>
      </c>
      <c r="Q1362">
        <v>0</v>
      </c>
      <c r="R1362" t="s">
        <v>145</v>
      </c>
      <c r="S1362">
        <v>0</v>
      </c>
    </row>
    <row r="1363" spans="1:19">
      <c r="A1363" t="s">
        <v>35</v>
      </c>
      <c r="B1363" t="s">
        <v>1090</v>
      </c>
      <c r="C1363">
        <f>"XX240"</f>
        <v>0</v>
      </c>
      <c r="D1363">
        <v>2</v>
      </c>
      <c r="E1363">
        <v>0</v>
      </c>
      <c r="F1363">
        <v>0</v>
      </c>
      <c r="G1363">
        <v>0</v>
      </c>
      <c r="H1363">
        <v>2</v>
      </c>
      <c r="I1363">
        <v>0</v>
      </c>
      <c r="J1363">
        <v>0</v>
      </c>
      <c r="K1363">
        <v>0</v>
      </c>
      <c r="L1363" s="2">
        <v>0</v>
      </c>
      <c r="M1363">
        <v>0</v>
      </c>
      <c r="N1363" s="2">
        <v>0</v>
      </c>
      <c r="O1363">
        <v>0</v>
      </c>
      <c r="P1363" t="s">
        <v>100</v>
      </c>
      <c r="Q1363">
        <v>0</v>
      </c>
      <c r="R1363" t="s">
        <v>145</v>
      </c>
      <c r="S1363">
        <v>0</v>
      </c>
    </row>
    <row r="1364" spans="1:19">
      <c r="A1364" t="s">
        <v>35</v>
      </c>
      <c r="B1364" t="s">
        <v>9090</v>
      </c>
      <c r="C1364">
        <f>"XX262"</f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 s="2">
        <v>0</v>
      </c>
      <c r="M1364">
        <v>0</v>
      </c>
      <c r="N1364" s="2">
        <v>0</v>
      </c>
      <c r="O1364">
        <v>0</v>
      </c>
      <c r="P1364" t="s">
        <v>100</v>
      </c>
      <c r="Q1364">
        <v>0</v>
      </c>
      <c r="R1364" t="s">
        <v>145</v>
      </c>
      <c r="S1364">
        <v>0</v>
      </c>
    </row>
    <row r="1365" spans="1:19">
      <c r="A1365" t="s">
        <v>35</v>
      </c>
      <c r="B1365" t="s">
        <v>1295</v>
      </c>
      <c r="C1365">
        <f>"XX230"</f>
        <v>0</v>
      </c>
      <c r="D1365">
        <v>1</v>
      </c>
      <c r="E1365">
        <v>0</v>
      </c>
      <c r="F1365">
        <v>0</v>
      </c>
      <c r="G1365">
        <v>0</v>
      </c>
      <c r="H1365">
        <v>1</v>
      </c>
      <c r="I1365">
        <v>0</v>
      </c>
      <c r="J1365">
        <v>0</v>
      </c>
      <c r="K1365">
        <v>0</v>
      </c>
      <c r="L1365" s="2">
        <v>0</v>
      </c>
      <c r="M1365">
        <v>0</v>
      </c>
      <c r="N1365" s="2">
        <v>0</v>
      </c>
      <c r="O1365">
        <v>0</v>
      </c>
      <c r="P1365" t="s">
        <v>100</v>
      </c>
      <c r="Q1365">
        <v>0</v>
      </c>
      <c r="R1365" t="s">
        <v>145</v>
      </c>
      <c r="S1365">
        <v>0</v>
      </c>
    </row>
    <row r="1366" spans="1:19">
      <c r="A1366" t="s">
        <v>35</v>
      </c>
      <c r="B1366" t="s">
        <v>9116</v>
      </c>
      <c r="C1366">
        <f>"XX235"</f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 s="2">
        <v>0</v>
      </c>
      <c r="M1366">
        <v>0</v>
      </c>
      <c r="N1366" s="2">
        <v>0</v>
      </c>
      <c r="O1366">
        <v>0</v>
      </c>
      <c r="P1366" t="s">
        <v>100</v>
      </c>
      <c r="Q1366">
        <v>0</v>
      </c>
      <c r="R1366" t="s">
        <v>145</v>
      </c>
      <c r="S1366">
        <v>0</v>
      </c>
    </row>
    <row r="1367" spans="1:19">
      <c r="A1367" t="s">
        <v>35</v>
      </c>
      <c r="B1367" t="s">
        <v>1190</v>
      </c>
      <c r="C1367">
        <f>"271001"</f>
        <v>0</v>
      </c>
      <c r="D1367">
        <v>1</v>
      </c>
      <c r="E1367">
        <v>0</v>
      </c>
      <c r="F1367">
        <v>0</v>
      </c>
      <c r="G1367">
        <v>0</v>
      </c>
      <c r="H1367">
        <v>1</v>
      </c>
      <c r="I1367">
        <v>0</v>
      </c>
      <c r="J1367">
        <v>0</v>
      </c>
      <c r="K1367">
        <v>0</v>
      </c>
      <c r="L1367" s="2">
        <v>0</v>
      </c>
      <c r="M1367">
        <v>0</v>
      </c>
      <c r="N1367" s="2">
        <v>0</v>
      </c>
      <c r="O1367">
        <v>0</v>
      </c>
      <c r="P1367" t="s">
        <v>100</v>
      </c>
      <c r="Q1367">
        <v>0</v>
      </c>
      <c r="R1367" t="s">
        <v>145</v>
      </c>
      <c r="S1367">
        <v>0</v>
      </c>
    </row>
    <row r="1368" spans="1:19">
      <c r="A1368" t="s">
        <v>35</v>
      </c>
      <c r="B1368" t="s">
        <v>7245</v>
      </c>
      <c r="C1368">
        <f>"23001AZ"</f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 s="2">
        <v>0</v>
      </c>
      <c r="M1368">
        <v>0</v>
      </c>
      <c r="N1368" s="2">
        <v>0</v>
      </c>
      <c r="O1368">
        <v>0</v>
      </c>
      <c r="P1368" t="s">
        <v>100</v>
      </c>
      <c r="Q1368">
        <v>0</v>
      </c>
      <c r="R1368" t="s">
        <v>145</v>
      </c>
      <c r="S1368">
        <v>0</v>
      </c>
    </row>
    <row r="1369" spans="1:19">
      <c r="A1369" t="s">
        <v>35</v>
      </c>
      <c r="B1369" t="s">
        <v>7342</v>
      </c>
      <c r="C1369">
        <f>"GSQS001SROS"</f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 s="2">
        <v>0</v>
      </c>
      <c r="M1369">
        <v>0</v>
      </c>
      <c r="N1369" s="2">
        <v>0</v>
      </c>
      <c r="O1369">
        <v>0</v>
      </c>
      <c r="P1369" t="s">
        <v>100</v>
      </c>
      <c r="Q1369">
        <v>0</v>
      </c>
      <c r="R1369" t="s">
        <v>145</v>
      </c>
      <c r="S1369">
        <v>0</v>
      </c>
    </row>
    <row r="1370" spans="1:19">
      <c r="A1370" t="s">
        <v>35</v>
      </c>
      <c r="B1370" t="s">
        <v>8429</v>
      </c>
      <c r="C1370">
        <f>"WPS288AZ"</f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 s="2">
        <v>0</v>
      </c>
      <c r="M1370">
        <v>0</v>
      </c>
      <c r="N1370" s="2">
        <v>0</v>
      </c>
      <c r="O1370">
        <v>0</v>
      </c>
      <c r="P1370" t="s">
        <v>100</v>
      </c>
      <c r="Q1370">
        <v>0</v>
      </c>
      <c r="R1370" t="s">
        <v>145</v>
      </c>
      <c r="S1370">
        <v>0</v>
      </c>
    </row>
    <row r="1371" spans="1:19">
      <c r="A1371" t="s">
        <v>35</v>
      </c>
      <c r="B1371" t="s">
        <v>8428</v>
      </c>
      <c r="C1371">
        <f>"WPS288NA"</f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 s="2">
        <v>0</v>
      </c>
      <c r="M1371">
        <v>0</v>
      </c>
      <c r="N1371" s="2">
        <v>0</v>
      </c>
      <c r="O1371">
        <v>0</v>
      </c>
      <c r="P1371" t="s">
        <v>100</v>
      </c>
      <c r="Q1371">
        <v>0</v>
      </c>
      <c r="R1371" t="s">
        <v>145</v>
      </c>
      <c r="S1371">
        <v>0</v>
      </c>
    </row>
    <row r="1372" spans="1:19">
      <c r="A1372" t="s">
        <v>35</v>
      </c>
      <c r="B1372" t="s">
        <v>8778</v>
      </c>
      <c r="C1372">
        <f>"WPS288ROS"</f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 s="2">
        <v>0</v>
      </c>
      <c r="M1372">
        <v>0</v>
      </c>
      <c r="N1372" s="2">
        <v>0</v>
      </c>
      <c r="O1372">
        <v>0</v>
      </c>
      <c r="P1372" t="s">
        <v>100</v>
      </c>
      <c r="Q1372">
        <v>0</v>
      </c>
      <c r="R1372" t="s">
        <v>145</v>
      </c>
      <c r="S1372">
        <v>0</v>
      </c>
    </row>
    <row r="1373" spans="1:19">
      <c r="A1373" t="s">
        <v>35</v>
      </c>
      <c r="B1373" t="s">
        <v>1440</v>
      </c>
      <c r="C1373">
        <f>"WO234ROS"</f>
        <v>0</v>
      </c>
      <c r="D1373">
        <v>0</v>
      </c>
      <c r="E1373">
        <v>1</v>
      </c>
      <c r="F1373">
        <v>0</v>
      </c>
      <c r="G1373">
        <v>0</v>
      </c>
      <c r="H1373">
        <v>1</v>
      </c>
      <c r="I1373">
        <v>0</v>
      </c>
      <c r="J1373">
        <v>0</v>
      </c>
      <c r="K1373">
        <v>0</v>
      </c>
      <c r="L1373" s="2">
        <v>0</v>
      </c>
      <c r="M1373">
        <v>0</v>
      </c>
      <c r="N1373" s="2">
        <v>0</v>
      </c>
      <c r="O1373">
        <v>0</v>
      </c>
      <c r="P1373" t="s">
        <v>100</v>
      </c>
      <c r="Q1373">
        <v>0</v>
      </c>
      <c r="R1373" t="s">
        <v>145</v>
      </c>
      <c r="S1373">
        <v>0</v>
      </c>
    </row>
    <row r="1374" spans="1:19">
      <c r="A1374" t="s">
        <v>35</v>
      </c>
      <c r="B1374" t="s">
        <v>9097</v>
      </c>
      <c r="C1374">
        <f>"PT312M"</f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 s="2">
        <v>0</v>
      </c>
      <c r="M1374">
        <v>0</v>
      </c>
      <c r="N1374" s="2">
        <v>0</v>
      </c>
      <c r="O1374">
        <v>0</v>
      </c>
      <c r="P1374" t="s">
        <v>100</v>
      </c>
      <c r="Q1374">
        <v>0</v>
      </c>
      <c r="R1374" t="s">
        <v>145</v>
      </c>
      <c r="S1374">
        <v>0</v>
      </c>
    </row>
    <row r="1375" spans="1:19">
      <c r="A1375" t="s">
        <v>35</v>
      </c>
      <c r="B1375" t="s">
        <v>9077</v>
      </c>
      <c r="C1375">
        <f>"PT239O"</f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 s="2">
        <v>0</v>
      </c>
      <c r="M1375">
        <v>0</v>
      </c>
      <c r="N1375" s="2">
        <v>0</v>
      </c>
      <c r="O1375">
        <v>0</v>
      </c>
      <c r="P1375" t="s">
        <v>100</v>
      </c>
      <c r="Q1375">
        <v>0</v>
      </c>
      <c r="R1375" t="s">
        <v>145</v>
      </c>
      <c r="S1375">
        <v>0</v>
      </c>
    </row>
    <row r="1376" spans="1:19">
      <c r="A1376" t="s">
        <v>35</v>
      </c>
      <c r="B1376" t="s">
        <v>9073</v>
      </c>
      <c r="C1376">
        <f>"XX244"</f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 s="2">
        <v>0</v>
      </c>
      <c r="M1376">
        <v>0</v>
      </c>
      <c r="N1376" s="2">
        <v>0</v>
      </c>
      <c r="O1376">
        <v>0</v>
      </c>
      <c r="P1376" t="s">
        <v>100</v>
      </c>
      <c r="Q1376">
        <v>0</v>
      </c>
      <c r="R1376" t="s">
        <v>145</v>
      </c>
      <c r="S1376">
        <v>0</v>
      </c>
    </row>
    <row r="1377" spans="1:19">
      <c r="A1377" t="s">
        <v>35</v>
      </c>
      <c r="B1377" t="s">
        <v>6971</v>
      </c>
      <c r="C1377">
        <f>"NCLT022LB"</f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 s="2">
        <v>0</v>
      </c>
      <c r="M1377">
        <v>0</v>
      </c>
      <c r="N1377" s="2">
        <v>0</v>
      </c>
      <c r="O1377">
        <v>0</v>
      </c>
      <c r="P1377" t="s">
        <v>100</v>
      </c>
      <c r="Q1377">
        <v>0</v>
      </c>
      <c r="R1377" t="s">
        <v>145</v>
      </c>
      <c r="S1377">
        <v>0</v>
      </c>
    </row>
    <row r="1378" spans="1:19">
      <c r="A1378" t="s">
        <v>35</v>
      </c>
      <c r="B1378" t="s">
        <v>7268</v>
      </c>
      <c r="C1378">
        <f>"LS154CE"</f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 s="2">
        <v>0</v>
      </c>
      <c r="M1378">
        <v>0</v>
      </c>
      <c r="N1378" s="2">
        <v>0</v>
      </c>
      <c r="O1378">
        <v>0</v>
      </c>
      <c r="P1378" t="s">
        <v>100</v>
      </c>
      <c r="Q1378">
        <v>0</v>
      </c>
      <c r="R1378" t="s">
        <v>145</v>
      </c>
      <c r="S1378">
        <v>0</v>
      </c>
    </row>
    <row r="1379" spans="1:19">
      <c r="A1379" t="s">
        <v>35</v>
      </c>
      <c r="B1379" t="s">
        <v>7344</v>
      </c>
      <c r="C1379">
        <f>"GSQS001SGR"</f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 s="2">
        <v>0</v>
      </c>
      <c r="M1379">
        <v>0</v>
      </c>
      <c r="N1379" s="2">
        <v>0</v>
      </c>
      <c r="O1379">
        <v>0</v>
      </c>
      <c r="P1379" t="s">
        <v>100</v>
      </c>
      <c r="Q1379">
        <v>0</v>
      </c>
      <c r="R1379" t="s">
        <v>145</v>
      </c>
      <c r="S1379">
        <v>0</v>
      </c>
    </row>
    <row r="1380" spans="1:19">
      <c r="A1380" t="s">
        <v>35</v>
      </c>
      <c r="B1380" t="s">
        <v>7341</v>
      </c>
      <c r="C1380">
        <f>"WD899"</f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 s="2">
        <v>0</v>
      </c>
      <c r="M1380">
        <v>0</v>
      </c>
      <c r="N1380" s="2">
        <v>0</v>
      </c>
      <c r="O1380">
        <v>0</v>
      </c>
      <c r="P1380" t="s">
        <v>100</v>
      </c>
      <c r="Q1380">
        <v>0</v>
      </c>
      <c r="R1380" t="s">
        <v>145</v>
      </c>
      <c r="S1380">
        <v>0</v>
      </c>
    </row>
    <row r="1381" spans="1:19">
      <c r="A1381" t="s">
        <v>35</v>
      </c>
      <c r="B1381" t="s">
        <v>7339</v>
      </c>
      <c r="C1381">
        <f>"SL21312"</f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 s="2">
        <v>0</v>
      </c>
      <c r="M1381">
        <v>0</v>
      </c>
      <c r="N1381" s="2">
        <v>0</v>
      </c>
      <c r="O1381">
        <v>0</v>
      </c>
      <c r="P1381" t="s">
        <v>100</v>
      </c>
      <c r="Q1381">
        <v>0</v>
      </c>
      <c r="R1381" t="s">
        <v>145</v>
      </c>
      <c r="S1381">
        <v>0</v>
      </c>
    </row>
    <row r="1382" spans="1:19">
      <c r="A1382" t="s">
        <v>35</v>
      </c>
      <c r="B1382" t="s">
        <v>7338</v>
      </c>
      <c r="C1382">
        <f>"SLL2138"</f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 s="2">
        <v>0</v>
      </c>
      <c r="M1382">
        <v>0</v>
      </c>
      <c r="N1382" s="2">
        <v>0</v>
      </c>
      <c r="O1382">
        <v>0</v>
      </c>
      <c r="P1382" t="s">
        <v>100</v>
      </c>
      <c r="Q1382">
        <v>0</v>
      </c>
      <c r="R1382" t="s">
        <v>145</v>
      </c>
      <c r="S1382">
        <v>0</v>
      </c>
    </row>
    <row r="1383" spans="1:19">
      <c r="A1383" t="s">
        <v>35</v>
      </c>
      <c r="B1383" t="s">
        <v>7337</v>
      </c>
      <c r="C1383">
        <f>"WD897CEL"</f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 s="2">
        <v>0</v>
      </c>
      <c r="M1383">
        <v>0</v>
      </c>
      <c r="N1383" s="2">
        <v>0</v>
      </c>
      <c r="O1383">
        <v>0</v>
      </c>
      <c r="P1383" t="s">
        <v>100</v>
      </c>
      <c r="Q1383">
        <v>0</v>
      </c>
      <c r="R1383" t="s">
        <v>145</v>
      </c>
      <c r="S1383">
        <v>0</v>
      </c>
    </row>
    <row r="1384" spans="1:19">
      <c r="A1384" t="s">
        <v>35</v>
      </c>
      <c r="B1384" t="s">
        <v>7320</v>
      </c>
      <c r="C1384">
        <f>"WD897ROJ"</f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 s="2">
        <v>0</v>
      </c>
      <c r="M1384">
        <v>0</v>
      </c>
      <c r="N1384" s="2">
        <v>0</v>
      </c>
      <c r="O1384">
        <v>0</v>
      </c>
      <c r="P1384" t="s">
        <v>100</v>
      </c>
      <c r="Q1384">
        <v>0</v>
      </c>
      <c r="R1384" t="s">
        <v>145</v>
      </c>
      <c r="S1384">
        <v>0</v>
      </c>
    </row>
    <row r="1385" spans="1:19">
      <c r="A1385" t="s">
        <v>35</v>
      </c>
      <c r="B1385" t="s">
        <v>7273</v>
      </c>
      <c r="C1385">
        <f>"LS157BL"</f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 s="2">
        <v>0</v>
      </c>
      <c r="M1385">
        <v>0</v>
      </c>
      <c r="N1385" s="2">
        <v>0</v>
      </c>
      <c r="O1385">
        <v>0</v>
      </c>
      <c r="P1385" t="s">
        <v>100</v>
      </c>
      <c r="Q1385">
        <v>0</v>
      </c>
      <c r="R1385" t="s">
        <v>145</v>
      </c>
      <c r="S1385">
        <v>0</v>
      </c>
    </row>
    <row r="1386" spans="1:19">
      <c r="A1386" t="s">
        <v>35</v>
      </c>
      <c r="B1386" t="s">
        <v>7272</v>
      </c>
      <c r="C1386">
        <f>"LS157CE"</f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 s="2">
        <v>0</v>
      </c>
      <c r="M1386">
        <v>0</v>
      </c>
      <c r="N1386" s="2">
        <v>0</v>
      </c>
      <c r="O1386">
        <v>0</v>
      </c>
      <c r="P1386" t="s">
        <v>100</v>
      </c>
      <c r="Q1386">
        <v>0</v>
      </c>
      <c r="R1386" t="s">
        <v>145</v>
      </c>
      <c r="S1386">
        <v>0</v>
      </c>
    </row>
    <row r="1387" spans="1:19">
      <c r="A1387" t="s">
        <v>35</v>
      </c>
      <c r="B1387" t="s">
        <v>7271</v>
      </c>
      <c r="C1387">
        <f>"LS157NE"</f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 s="2">
        <v>0</v>
      </c>
      <c r="M1387">
        <v>0</v>
      </c>
      <c r="N1387" s="2">
        <v>0</v>
      </c>
      <c r="O1387">
        <v>0</v>
      </c>
      <c r="P1387" t="s">
        <v>100</v>
      </c>
      <c r="Q1387">
        <v>0</v>
      </c>
      <c r="R1387" t="s">
        <v>145</v>
      </c>
      <c r="S1387">
        <v>0</v>
      </c>
    </row>
    <row r="1388" spans="1:19">
      <c r="A1388" t="s">
        <v>35</v>
      </c>
      <c r="B1388" t="s">
        <v>7270</v>
      </c>
      <c r="C1388">
        <f>"LS157ROS"</f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 s="2">
        <v>0</v>
      </c>
      <c r="M1388">
        <v>0</v>
      </c>
      <c r="N1388" s="2">
        <v>0</v>
      </c>
      <c r="O1388">
        <v>0</v>
      </c>
      <c r="P1388" t="s">
        <v>100</v>
      </c>
      <c r="Q1388">
        <v>0</v>
      </c>
      <c r="R1388" t="s">
        <v>145</v>
      </c>
      <c r="S1388">
        <v>0</v>
      </c>
    </row>
    <row r="1389" spans="1:19">
      <c r="A1389" t="s">
        <v>35</v>
      </c>
      <c r="B1389" t="s">
        <v>7255</v>
      </c>
      <c r="C1389">
        <f>"RK75"</f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 s="2">
        <v>0</v>
      </c>
      <c r="M1389">
        <v>0</v>
      </c>
      <c r="N1389" s="2">
        <v>0</v>
      </c>
      <c r="O1389">
        <v>0</v>
      </c>
      <c r="P1389" t="s">
        <v>100</v>
      </c>
      <c r="Q1389">
        <v>0</v>
      </c>
      <c r="R1389" t="s">
        <v>145</v>
      </c>
      <c r="S1389">
        <v>0</v>
      </c>
    </row>
    <row r="1390" spans="1:19">
      <c r="A1390" t="s">
        <v>35</v>
      </c>
      <c r="B1390" t="s">
        <v>7358</v>
      </c>
      <c r="C1390">
        <f>"CL02R"</f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 s="2">
        <v>0</v>
      </c>
      <c r="M1390">
        <v>0</v>
      </c>
      <c r="N1390" s="2">
        <v>0</v>
      </c>
      <c r="O1390">
        <v>0</v>
      </c>
      <c r="P1390" t="s">
        <v>100</v>
      </c>
      <c r="Q1390">
        <v>0</v>
      </c>
      <c r="R1390" t="s">
        <v>145</v>
      </c>
      <c r="S1390">
        <v>0</v>
      </c>
    </row>
    <row r="1391" spans="1:19">
      <c r="A1391" t="s">
        <v>35</v>
      </c>
      <c r="B1391" t="s">
        <v>7357</v>
      </c>
      <c r="C1391">
        <f>"CL12R"</f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 s="2">
        <v>0</v>
      </c>
      <c r="M1391">
        <v>0</v>
      </c>
      <c r="N1391" s="2">
        <v>0</v>
      </c>
      <c r="O1391">
        <v>0</v>
      </c>
      <c r="P1391" t="s">
        <v>100</v>
      </c>
      <c r="Q1391">
        <v>0</v>
      </c>
      <c r="R1391" t="s">
        <v>145</v>
      </c>
      <c r="S1391">
        <v>0</v>
      </c>
    </row>
    <row r="1392" spans="1:19">
      <c r="A1392" t="s">
        <v>35</v>
      </c>
      <c r="B1392" t="s">
        <v>7354</v>
      </c>
      <c r="C1392">
        <f>"4210CAL"</f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 s="2">
        <v>0</v>
      </c>
      <c r="M1392">
        <v>0</v>
      </c>
      <c r="N1392" s="2">
        <v>0</v>
      </c>
      <c r="O1392">
        <v>0</v>
      </c>
      <c r="P1392" t="s">
        <v>100</v>
      </c>
      <c r="Q1392">
        <v>0</v>
      </c>
      <c r="R1392" t="s">
        <v>145</v>
      </c>
      <c r="S1392">
        <v>0</v>
      </c>
    </row>
    <row r="1393" spans="1:19">
      <c r="A1393" t="s">
        <v>35</v>
      </c>
      <c r="B1393" t="s">
        <v>7352</v>
      </c>
      <c r="C1393">
        <f>"GSQS003LGR"</f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 s="2">
        <v>0</v>
      </c>
      <c r="M1393">
        <v>0</v>
      </c>
      <c r="N1393" s="2">
        <v>0</v>
      </c>
      <c r="O1393">
        <v>0</v>
      </c>
      <c r="P1393" t="s">
        <v>100</v>
      </c>
      <c r="Q1393">
        <v>0</v>
      </c>
      <c r="R1393" t="s">
        <v>145</v>
      </c>
      <c r="S1393">
        <v>0</v>
      </c>
    </row>
    <row r="1394" spans="1:19">
      <c r="A1394" t="s">
        <v>35</v>
      </c>
      <c r="B1394" t="s">
        <v>7279</v>
      </c>
      <c r="C1394">
        <f>"GSQS003LROJ"</f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 s="2">
        <v>0</v>
      </c>
      <c r="M1394">
        <v>0</v>
      </c>
      <c r="N1394" s="2">
        <v>0</v>
      </c>
      <c r="O1394">
        <v>0</v>
      </c>
      <c r="P1394" t="s">
        <v>100</v>
      </c>
      <c r="Q1394">
        <v>0</v>
      </c>
      <c r="R1394" t="s">
        <v>145</v>
      </c>
      <c r="S1394">
        <v>0</v>
      </c>
    </row>
    <row r="1395" spans="1:19">
      <c r="A1395" t="s">
        <v>35</v>
      </c>
      <c r="B1395" t="s">
        <v>7350</v>
      </c>
      <c r="C1395">
        <f>"GSQS003LROS"</f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 s="2">
        <v>0</v>
      </c>
      <c r="M1395">
        <v>0</v>
      </c>
      <c r="N1395" s="2">
        <v>0</v>
      </c>
      <c r="O1395">
        <v>0</v>
      </c>
      <c r="P1395" t="s">
        <v>100</v>
      </c>
      <c r="Q1395">
        <v>0</v>
      </c>
      <c r="R1395" t="s">
        <v>145</v>
      </c>
      <c r="S1395">
        <v>0</v>
      </c>
    </row>
    <row r="1396" spans="1:19">
      <c r="A1396" t="s">
        <v>35</v>
      </c>
      <c r="B1396" t="s">
        <v>7259</v>
      </c>
      <c r="C1396">
        <f>"ZP295"</f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 s="2">
        <v>0</v>
      </c>
      <c r="M1396">
        <v>0</v>
      </c>
      <c r="N1396" s="2">
        <v>0</v>
      </c>
      <c r="O1396">
        <v>0</v>
      </c>
      <c r="P1396" t="s">
        <v>100</v>
      </c>
      <c r="Q1396">
        <v>0</v>
      </c>
      <c r="R1396" t="s">
        <v>145</v>
      </c>
      <c r="S1396">
        <v>0</v>
      </c>
    </row>
    <row r="1397" spans="1:19">
      <c r="A1397" t="s">
        <v>35</v>
      </c>
      <c r="B1397" t="s">
        <v>7258</v>
      </c>
      <c r="C1397">
        <f>"ZP682"</f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 s="2">
        <v>0</v>
      </c>
      <c r="M1397">
        <v>0</v>
      </c>
      <c r="N1397" s="2">
        <v>0</v>
      </c>
      <c r="O1397">
        <v>0</v>
      </c>
      <c r="P1397" t="s">
        <v>100</v>
      </c>
      <c r="Q1397">
        <v>0</v>
      </c>
      <c r="R1397" t="s">
        <v>145</v>
      </c>
      <c r="S1397">
        <v>0</v>
      </c>
    </row>
    <row r="1398" spans="1:19">
      <c r="A1398" t="s">
        <v>35</v>
      </c>
      <c r="B1398" t="s">
        <v>7257</v>
      </c>
      <c r="C1398">
        <f>"ZP5110"</f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 s="2">
        <v>0</v>
      </c>
      <c r="M1398">
        <v>0</v>
      </c>
      <c r="N1398" s="2">
        <v>0</v>
      </c>
      <c r="O1398">
        <v>0</v>
      </c>
      <c r="P1398" t="s">
        <v>100</v>
      </c>
      <c r="Q1398">
        <v>0</v>
      </c>
      <c r="R1398" t="s">
        <v>145</v>
      </c>
      <c r="S1398">
        <v>0</v>
      </c>
    </row>
    <row r="1399" spans="1:19">
      <c r="A1399" t="s">
        <v>35</v>
      </c>
      <c r="B1399" t="s">
        <v>7256</v>
      </c>
      <c r="C1399">
        <f>"MF912"</f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 s="2">
        <v>0</v>
      </c>
      <c r="M1399">
        <v>0</v>
      </c>
      <c r="N1399" s="2">
        <v>0</v>
      </c>
      <c r="O1399">
        <v>0</v>
      </c>
      <c r="P1399" t="s">
        <v>100</v>
      </c>
      <c r="Q1399">
        <v>0</v>
      </c>
      <c r="R1399" t="s">
        <v>145</v>
      </c>
      <c r="S1399">
        <v>0</v>
      </c>
    </row>
    <row r="1400" spans="1:19">
      <c r="A1400" t="s">
        <v>35</v>
      </c>
      <c r="B1400" t="s">
        <v>7360</v>
      </c>
      <c r="C1400">
        <f>"CL12C"</f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 s="2">
        <v>0</v>
      </c>
      <c r="M1400">
        <v>0</v>
      </c>
      <c r="N1400" s="2">
        <v>0</v>
      </c>
      <c r="O1400">
        <v>0</v>
      </c>
      <c r="P1400" t="s">
        <v>100</v>
      </c>
      <c r="Q1400">
        <v>0</v>
      </c>
      <c r="R1400" t="s">
        <v>145</v>
      </c>
      <c r="S1400">
        <v>0</v>
      </c>
    </row>
    <row r="1401" spans="1:19">
      <c r="A1401" t="s">
        <v>35</v>
      </c>
      <c r="B1401" t="s">
        <v>6901</v>
      </c>
      <c r="C1401">
        <f>"HC1021"</f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 s="2">
        <v>0</v>
      </c>
      <c r="M1401">
        <v>0</v>
      </c>
      <c r="N1401" s="2">
        <v>0</v>
      </c>
      <c r="O1401">
        <v>0</v>
      </c>
      <c r="P1401" t="s">
        <v>100</v>
      </c>
      <c r="Q1401">
        <v>0</v>
      </c>
      <c r="R1401" t="s">
        <v>145</v>
      </c>
      <c r="S1401">
        <v>0</v>
      </c>
    </row>
    <row r="1402" spans="1:19">
      <c r="A1402" t="s">
        <v>35</v>
      </c>
      <c r="B1402" t="s">
        <v>6970</v>
      </c>
      <c r="C1402">
        <f>"NCLT022LG"</f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 s="2">
        <v>0</v>
      </c>
      <c r="M1402">
        <v>0</v>
      </c>
      <c r="N1402" s="2">
        <v>0</v>
      </c>
      <c r="O1402">
        <v>0</v>
      </c>
      <c r="P1402" t="s">
        <v>100</v>
      </c>
      <c r="Q1402">
        <v>0</v>
      </c>
      <c r="R1402" t="s">
        <v>145</v>
      </c>
      <c r="S1402">
        <v>0</v>
      </c>
    </row>
    <row r="1403" spans="1:19">
      <c r="A1403" t="s">
        <v>35</v>
      </c>
      <c r="B1403" t="s">
        <v>6966</v>
      </c>
      <c r="C1403">
        <f>"2415"</f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 s="2">
        <v>0</v>
      </c>
      <c r="M1403">
        <v>0</v>
      </c>
      <c r="N1403" s="2">
        <v>0</v>
      </c>
      <c r="O1403">
        <v>0</v>
      </c>
      <c r="P1403" t="s">
        <v>100</v>
      </c>
      <c r="Q1403">
        <v>0</v>
      </c>
      <c r="R1403" t="s">
        <v>145</v>
      </c>
      <c r="S1403">
        <v>0</v>
      </c>
    </row>
    <row r="1404" spans="1:19">
      <c r="A1404" t="s">
        <v>35</v>
      </c>
      <c r="B1404" t="s">
        <v>6965</v>
      </c>
      <c r="C1404">
        <f>"TQ2359A"</f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 s="2">
        <v>0</v>
      </c>
      <c r="M1404">
        <v>0</v>
      </c>
      <c r="N1404" s="2">
        <v>0</v>
      </c>
      <c r="O1404">
        <v>0</v>
      </c>
      <c r="P1404" t="s">
        <v>100</v>
      </c>
      <c r="Q1404">
        <v>0</v>
      </c>
      <c r="R1404" t="s">
        <v>145</v>
      </c>
      <c r="S1404">
        <v>0</v>
      </c>
    </row>
    <row r="1405" spans="1:19">
      <c r="A1405" t="s">
        <v>35</v>
      </c>
      <c r="B1405" t="s">
        <v>6964</v>
      </c>
      <c r="C1405">
        <f>"TQ2359AZ"</f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 s="2">
        <v>0</v>
      </c>
      <c r="M1405">
        <v>0</v>
      </c>
      <c r="N1405" s="2">
        <v>0</v>
      </c>
      <c r="O1405">
        <v>0</v>
      </c>
      <c r="P1405" t="s">
        <v>100</v>
      </c>
      <c r="Q1405">
        <v>0</v>
      </c>
      <c r="R1405" t="s">
        <v>145</v>
      </c>
      <c r="S1405">
        <v>0</v>
      </c>
    </row>
    <row r="1406" spans="1:19">
      <c r="A1406" t="s">
        <v>35</v>
      </c>
      <c r="B1406" t="s">
        <v>6963</v>
      </c>
      <c r="C1406">
        <f>"TQ2359R"</f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 s="2">
        <v>0</v>
      </c>
      <c r="M1406">
        <v>0</v>
      </c>
      <c r="N1406" s="2">
        <v>0</v>
      </c>
      <c r="O1406">
        <v>0</v>
      </c>
      <c r="P1406" t="s">
        <v>100</v>
      </c>
      <c r="Q1406">
        <v>0</v>
      </c>
      <c r="R1406" t="s">
        <v>145</v>
      </c>
      <c r="S1406">
        <v>0</v>
      </c>
    </row>
    <row r="1407" spans="1:19">
      <c r="A1407" t="s">
        <v>35</v>
      </c>
      <c r="B1407" t="s">
        <v>7000</v>
      </c>
      <c r="C1407">
        <f>"TQ2359V"</f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 s="2">
        <v>0</v>
      </c>
      <c r="M1407">
        <v>0</v>
      </c>
      <c r="N1407" s="2">
        <v>0</v>
      </c>
      <c r="O1407">
        <v>0</v>
      </c>
      <c r="P1407" t="s">
        <v>100</v>
      </c>
      <c r="Q1407">
        <v>0</v>
      </c>
      <c r="R1407" t="s">
        <v>145</v>
      </c>
      <c r="S1407">
        <v>0</v>
      </c>
    </row>
    <row r="1408" spans="1:19">
      <c r="A1408" t="s">
        <v>35</v>
      </c>
      <c r="B1408" t="s">
        <v>6962</v>
      </c>
      <c r="C1408">
        <f>"RJ742"</f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 s="2">
        <v>0</v>
      </c>
      <c r="M1408">
        <v>0</v>
      </c>
      <c r="N1408" s="2">
        <v>0</v>
      </c>
      <c r="O1408">
        <v>0</v>
      </c>
      <c r="P1408" t="s">
        <v>100</v>
      </c>
      <c r="Q1408">
        <v>0</v>
      </c>
      <c r="R1408" t="s">
        <v>145</v>
      </c>
      <c r="S1408">
        <v>0</v>
      </c>
    </row>
    <row r="1409" spans="1:19">
      <c r="A1409" t="s">
        <v>35</v>
      </c>
      <c r="B1409" t="s">
        <v>7090</v>
      </c>
      <c r="C1409">
        <f>"6006083"</f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 s="2">
        <v>0</v>
      </c>
      <c r="M1409">
        <v>0</v>
      </c>
      <c r="N1409" s="2">
        <v>0</v>
      </c>
      <c r="O1409">
        <v>0</v>
      </c>
      <c r="P1409" t="s">
        <v>100</v>
      </c>
      <c r="Q1409">
        <v>0</v>
      </c>
      <c r="R1409" t="s">
        <v>145</v>
      </c>
      <c r="S1409">
        <v>0</v>
      </c>
    </row>
    <row r="1410" spans="1:19">
      <c r="A1410" t="s">
        <v>35</v>
      </c>
      <c r="B1410" t="s">
        <v>7265</v>
      </c>
      <c r="C1410">
        <f>"J06"</f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 s="2">
        <v>0</v>
      </c>
      <c r="M1410">
        <v>0</v>
      </c>
      <c r="N1410" s="2">
        <v>0</v>
      </c>
      <c r="O1410">
        <v>0</v>
      </c>
      <c r="P1410" t="s">
        <v>100</v>
      </c>
      <c r="Q1410">
        <v>0</v>
      </c>
      <c r="R1410" t="s">
        <v>145</v>
      </c>
      <c r="S1410">
        <v>0</v>
      </c>
    </row>
    <row r="1411" spans="1:19">
      <c r="A1411" t="s">
        <v>35</v>
      </c>
      <c r="B1411" t="s">
        <v>7087</v>
      </c>
      <c r="C1411">
        <f>"6006086"</f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 s="2">
        <v>0</v>
      </c>
      <c r="M1411">
        <v>0</v>
      </c>
      <c r="N1411" s="2">
        <v>0</v>
      </c>
      <c r="O1411">
        <v>0</v>
      </c>
      <c r="P1411" t="s">
        <v>100</v>
      </c>
      <c r="Q1411">
        <v>0</v>
      </c>
      <c r="R1411" t="s">
        <v>145</v>
      </c>
      <c r="S1411">
        <v>0</v>
      </c>
    </row>
    <row r="1412" spans="1:19">
      <c r="A1412" t="s">
        <v>35</v>
      </c>
      <c r="B1412" t="s">
        <v>7086</v>
      </c>
      <c r="C1412">
        <f>"6006085"</f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 s="2">
        <v>0</v>
      </c>
      <c r="M1412">
        <v>0</v>
      </c>
      <c r="N1412" s="2">
        <v>0</v>
      </c>
      <c r="O1412">
        <v>0</v>
      </c>
      <c r="P1412" t="s">
        <v>100</v>
      </c>
      <c r="Q1412">
        <v>0</v>
      </c>
      <c r="R1412" t="s">
        <v>145</v>
      </c>
      <c r="S1412">
        <v>0</v>
      </c>
    </row>
    <row r="1413" spans="1:19">
      <c r="A1413" t="s">
        <v>35</v>
      </c>
      <c r="B1413" t="s">
        <v>7081</v>
      </c>
      <c r="C1413">
        <f>"6006074"</f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 s="2">
        <v>0</v>
      </c>
      <c r="M1413">
        <v>0</v>
      </c>
      <c r="N1413" s="2">
        <v>0</v>
      </c>
      <c r="O1413">
        <v>0</v>
      </c>
      <c r="P1413" t="s">
        <v>100</v>
      </c>
      <c r="Q1413">
        <v>0</v>
      </c>
      <c r="R1413" t="s">
        <v>145</v>
      </c>
      <c r="S1413">
        <v>0</v>
      </c>
    </row>
    <row r="1414" spans="1:19">
      <c r="A1414" t="s">
        <v>35</v>
      </c>
      <c r="B1414" t="s">
        <v>8399</v>
      </c>
      <c r="C1414">
        <f>"WPS287ROS"</f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 s="2">
        <v>0</v>
      </c>
      <c r="M1414">
        <v>0</v>
      </c>
      <c r="N1414" s="2">
        <v>0</v>
      </c>
      <c r="O1414">
        <v>0</v>
      </c>
      <c r="P1414" t="s">
        <v>100</v>
      </c>
      <c r="Q1414">
        <v>0</v>
      </c>
      <c r="R1414" t="s">
        <v>145</v>
      </c>
      <c r="S1414">
        <v>0</v>
      </c>
    </row>
    <row r="1415" spans="1:19">
      <c r="A1415" t="s">
        <v>35</v>
      </c>
      <c r="B1415" t="s">
        <v>8442</v>
      </c>
      <c r="C1415">
        <f>"WPS280"</f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 s="2">
        <v>0</v>
      </c>
      <c r="M1415">
        <v>0</v>
      </c>
      <c r="N1415" s="2">
        <v>0</v>
      </c>
      <c r="O1415">
        <v>0</v>
      </c>
      <c r="P1415" t="s">
        <v>100</v>
      </c>
      <c r="Q1415">
        <v>0</v>
      </c>
      <c r="R1415" t="s">
        <v>145</v>
      </c>
      <c r="S1415">
        <v>0</v>
      </c>
    </row>
    <row r="1416" spans="1:19">
      <c r="A1416" t="s">
        <v>35</v>
      </c>
      <c r="B1416" t="s">
        <v>8456</v>
      </c>
      <c r="C1416">
        <f>"WPS287"</f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 s="2">
        <v>0</v>
      </c>
      <c r="M1416">
        <v>0</v>
      </c>
      <c r="N1416" s="2">
        <v>0</v>
      </c>
      <c r="O1416">
        <v>0</v>
      </c>
      <c r="P1416" t="s">
        <v>100</v>
      </c>
      <c r="Q1416">
        <v>0</v>
      </c>
      <c r="R1416" t="s">
        <v>145</v>
      </c>
      <c r="S1416">
        <v>0</v>
      </c>
    </row>
    <row r="1417" spans="1:19">
      <c r="A1417" t="s">
        <v>35</v>
      </c>
      <c r="B1417" t="s">
        <v>321</v>
      </c>
      <c r="C1417">
        <f>"WPS145"</f>
        <v>0</v>
      </c>
      <c r="D1417">
        <v>0</v>
      </c>
      <c r="E1417">
        <v>0</v>
      </c>
      <c r="F1417">
        <v>91</v>
      </c>
      <c r="G1417">
        <v>0</v>
      </c>
      <c r="H1417">
        <v>91</v>
      </c>
      <c r="I1417">
        <v>0</v>
      </c>
      <c r="J1417">
        <v>0</v>
      </c>
      <c r="K1417">
        <v>0</v>
      </c>
      <c r="L1417" s="2">
        <v>0</v>
      </c>
      <c r="M1417">
        <v>0</v>
      </c>
      <c r="N1417" s="2">
        <v>0</v>
      </c>
      <c r="O1417">
        <v>0</v>
      </c>
      <c r="P1417" t="s">
        <v>100</v>
      </c>
      <c r="Q1417">
        <v>0</v>
      </c>
      <c r="R1417" t="s">
        <v>145</v>
      </c>
      <c r="S1417">
        <v>0</v>
      </c>
    </row>
    <row r="1418" spans="1:19">
      <c r="A1418" t="s">
        <v>35</v>
      </c>
      <c r="B1418" t="s">
        <v>8454</v>
      </c>
      <c r="C1418">
        <f>"CT0851"</f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 s="2">
        <v>0</v>
      </c>
      <c r="M1418">
        <v>0</v>
      </c>
      <c r="N1418" s="2">
        <v>0</v>
      </c>
      <c r="O1418">
        <v>0</v>
      </c>
      <c r="P1418" t="s">
        <v>100</v>
      </c>
      <c r="Q1418">
        <v>0</v>
      </c>
      <c r="R1418" t="s">
        <v>145</v>
      </c>
      <c r="S1418">
        <v>0</v>
      </c>
    </row>
    <row r="1419" spans="1:19">
      <c r="A1419" t="s">
        <v>35</v>
      </c>
      <c r="B1419" t="s">
        <v>8418</v>
      </c>
      <c r="C1419">
        <f>"CT3142"</f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 s="2">
        <v>0</v>
      </c>
      <c r="M1419">
        <v>0</v>
      </c>
      <c r="N1419" s="2">
        <v>0</v>
      </c>
      <c r="O1419">
        <v>0</v>
      </c>
      <c r="P1419" t="s">
        <v>100</v>
      </c>
      <c r="Q1419">
        <v>0</v>
      </c>
      <c r="R1419" t="s">
        <v>145</v>
      </c>
      <c r="S1419">
        <v>0</v>
      </c>
    </row>
    <row r="1420" spans="1:19">
      <c r="A1420" t="s">
        <v>35</v>
      </c>
      <c r="B1420" t="s">
        <v>8417</v>
      </c>
      <c r="C1420">
        <f>"CT036"</f>
        <v>0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 s="2">
        <v>0</v>
      </c>
      <c r="M1420">
        <v>0</v>
      </c>
      <c r="N1420" s="2">
        <v>0</v>
      </c>
      <c r="O1420">
        <v>0</v>
      </c>
      <c r="P1420" t="s">
        <v>100</v>
      </c>
      <c r="Q1420">
        <v>0</v>
      </c>
      <c r="R1420" t="s">
        <v>145</v>
      </c>
      <c r="S1420">
        <v>0</v>
      </c>
    </row>
    <row r="1421" spans="1:19">
      <c r="A1421" t="s">
        <v>35</v>
      </c>
      <c r="B1421" t="s">
        <v>7088</v>
      </c>
      <c r="C1421">
        <f>"6006081"</f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 s="2">
        <v>0</v>
      </c>
      <c r="M1421">
        <v>0</v>
      </c>
      <c r="N1421" s="2">
        <v>0</v>
      </c>
      <c r="O1421">
        <v>0</v>
      </c>
      <c r="P1421" t="s">
        <v>100</v>
      </c>
      <c r="Q1421">
        <v>0</v>
      </c>
      <c r="R1421" t="s">
        <v>145</v>
      </c>
      <c r="S1421">
        <v>0</v>
      </c>
    </row>
    <row r="1422" spans="1:19">
      <c r="A1422" t="s">
        <v>35</v>
      </c>
      <c r="B1422" t="s">
        <v>7264</v>
      </c>
      <c r="C1422">
        <f>"J11"</f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 s="2">
        <v>0</v>
      </c>
      <c r="M1422">
        <v>0</v>
      </c>
      <c r="N1422" s="2">
        <v>0</v>
      </c>
      <c r="O1422">
        <v>0</v>
      </c>
      <c r="P1422" t="s">
        <v>100</v>
      </c>
      <c r="Q1422">
        <v>0</v>
      </c>
      <c r="R1422" t="s">
        <v>145</v>
      </c>
      <c r="S1422">
        <v>0</v>
      </c>
    </row>
    <row r="1423" spans="1:19">
      <c r="A1423" t="s">
        <v>35</v>
      </c>
      <c r="B1423" t="s">
        <v>7262</v>
      </c>
      <c r="C1423">
        <f>"ZS02"</f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 s="2">
        <v>0</v>
      </c>
      <c r="M1423">
        <v>0</v>
      </c>
      <c r="N1423" s="2">
        <v>0</v>
      </c>
      <c r="O1423">
        <v>0</v>
      </c>
      <c r="P1423" t="s">
        <v>100</v>
      </c>
      <c r="Q1423">
        <v>0</v>
      </c>
      <c r="R1423" t="s">
        <v>145</v>
      </c>
      <c r="S1423">
        <v>0</v>
      </c>
    </row>
    <row r="1424" spans="1:19">
      <c r="A1424" t="s">
        <v>35</v>
      </c>
      <c r="B1424" t="s">
        <v>7261</v>
      </c>
      <c r="C1424">
        <f>"ZS01"</f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 s="2">
        <v>0</v>
      </c>
      <c r="M1424">
        <v>0</v>
      </c>
      <c r="N1424" s="2">
        <v>0</v>
      </c>
      <c r="O1424">
        <v>0</v>
      </c>
      <c r="P1424" t="s">
        <v>100</v>
      </c>
      <c r="Q1424">
        <v>0</v>
      </c>
      <c r="R1424" t="s">
        <v>145</v>
      </c>
      <c r="S1424">
        <v>0</v>
      </c>
    </row>
    <row r="1425" spans="1:19">
      <c r="A1425" t="s">
        <v>35</v>
      </c>
      <c r="B1425" t="s">
        <v>7260</v>
      </c>
      <c r="C1425">
        <f>"RH005"</f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 s="2">
        <v>0</v>
      </c>
      <c r="M1425">
        <v>0</v>
      </c>
      <c r="N1425" s="2">
        <v>0</v>
      </c>
      <c r="O1425">
        <v>0</v>
      </c>
      <c r="P1425" t="s">
        <v>100</v>
      </c>
      <c r="Q1425">
        <v>0</v>
      </c>
      <c r="R1425" t="s">
        <v>145</v>
      </c>
      <c r="S1425">
        <v>0</v>
      </c>
    </row>
    <row r="1426" spans="1:19">
      <c r="A1426" t="s">
        <v>35</v>
      </c>
      <c r="B1426" t="s">
        <v>6961</v>
      </c>
      <c r="C1426">
        <f>"LC8012"</f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 s="2">
        <v>0</v>
      </c>
      <c r="M1426">
        <v>0</v>
      </c>
      <c r="N1426" s="2">
        <v>0</v>
      </c>
      <c r="O1426">
        <v>0</v>
      </c>
      <c r="P1426" t="s">
        <v>100</v>
      </c>
      <c r="Q1426">
        <v>0</v>
      </c>
      <c r="R1426" t="s">
        <v>145</v>
      </c>
      <c r="S1426">
        <v>0</v>
      </c>
    </row>
    <row r="1427" spans="1:19">
      <c r="A1427" t="s">
        <v>35</v>
      </c>
      <c r="B1427" t="s">
        <v>6958</v>
      </c>
      <c r="C1427">
        <f>"709081032749"</f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 s="2">
        <v>0</v>
      </c>
      <c r="M1427">
        <v>0</v>
      </c>
      <c r="N1427" s="2">
        <v>0</v>
      </c>
      <c r="O1427">
        <v>0</v>
      </c>
      <c r="P1427" t="s">
        <v>100</v>
      </c>
      <c r="Q1427">
        <v>0</v>
      </c>
      <c r="R1427" t="s">
        <v>145</v>
      </c>
      <c r="S1427">
        <v>0</v>
      </c>
    </row>
    <row r="1428" spans="1:19">
      <c r="A1428" t="s">
        <v>35</v>
      </c>
      <c r="B1428" t="s">
        <v>8435</v>
      </c>
      <c r="C1428">
        <f>"ZRD2019035"</f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 s="2">
        <v>0</v>
      </c>
      <c r="M1428">
        <v>0</v>
      </c>
      <c r="N1428" s="2">
        <v>0</v>
      </c>
      <c r="O1428">
        <v>0</v>
      </c>
      <c r="P1428" t="s">
        <v>100</v>
      </c>
      <c r="Q1428">
        <v>0</v>
      </c>
      <c r="R1428" t="s">
        <v>145</v>
      </c>
      <c r="S1428">
        <v>0</v>
      </c>
    </row>
    <row r="1429" spans="1:19">
      <c r="A1429" t="s">
        <v>35</v>
      </c>
      <c r="B1429" t="s">
        <v>8434</v>
      </c>
      <c r="C1429">
        <f>"ZRD2019037"</f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 s="2">
        <v>0</v>
      </c>
      <c r="M1429">
        <v>0</v>
      </c>
      <c r="N1429" s="2">
        <v>0</v>
      </c>
      <c r="O1429">
        <v>0</v>
      </c>
      <c r="P1429" t="s">
        <v>100</v>
      </c>
      <c r="Q1429">
        <v>0</v>
      </c>
      <c r="R1429" t="s">
        <v>145</v>
      </c>
      <c r="S1429">
        <v>0</v>
      </c>
    </row>
    <row r="1430" spans="1:19">
      <c r="A1430" t="s">
        <v>35</v>
      </c>
      <c r="B1430" t="s">
        <v>8433</v>
      </c>
      <c r="C1430">
        <f>"145062"</f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 s="2">
        <v>0</v>
      </c>
      <c r="M1430">
        <v>0</v>
      </c>
      <c r="N1430" s="2">
        <v>0</v>
      </c>
      <c r="O1430">
        <v>0</v>
      </c>
      <c r="P1430" t="s">
        <v>100</v>
      </c>
      <c r="Q1430">
        <v>0</v>
      </c>
      <c r="R1430" t="s">
        <v>145</v>
      </c>
      <c r="S1430">
        <v>0</v>
      </c>
    </row>
    <row r="1431" spans="1:19">
      <c r="A1431" t="s">
        <v>35</v>
      </c>
      <c r="B1431" t="s">
        <v>8432</v>
      </c>
      <c r="C1431">
        <f>"LWT0077"</f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 s="2">
        <v>0</v>
      </c>
      <c r="M1431">
        <v>0</v>
      </c>
      <c r="N1431" s="2">
        <v>0</v>
      </c>
      <c r="O1431">
        <v>0</v>
      </c>
      <c r="P1431" t="s">
        <v>100</v>
      </c>
      <c r="Q1431">
        <v>0</v>
      </c>
      <c r="R1431" t="s">
        <v>145</v>
      </c>
      <c r="S1431">
        <v>0</v>
      </c>
    </row>
    <row r="1432" spans="1:19">
      <c r="A1432" t="s">
        <v>35</v>
      </c>
      <c r="B1432" t="s">
        <v>731</v>
      </c>
      <c r="C1432">
        <f>"11483"</f>
        <v>0</v>
      </c>
      <c r="D1432">
        <v>0</v>
      </c>
      <c r="E1432">
        <v>5</v>
      </c>
      <c r="F1432">
        <v>0</v>
      </c>
      <c r="G1432">
        <v>0</v>
      </c>
      <c r="H1432">
        <v>5</v>
      </c>
      <c r="I1432">
        <v>0</v>
      </c>
      <c r="J1432">
        <v>0</v>
      </c>
      <c r="K1432">
        <v>0</v>
      </c>
      <c r="L1432" s="2">
        <v>0</v>
      </c>
      <c r="M1432">
        <v>0</v>
      </c>
      <c r="N1432" s="2">
        <v>0</v>
      </c>
      <c r="O1432">
        <v>0</v>
      </c>
      <c r="P1432" t="s">
        <v>100</v>
      </c>
      <c r="Q1432">
        <v>0</v>
      </c>
      <c r="R1432" t="s">
        <v>145</v>
      </c>
      <c r="S1432">
        <v>0</v>
      </c>
    </row>
    <row r="1433" spans="1:19">
      <c r="A1433" t="s">
        <v>35</v>
      </c>
      <c r="B1433" t="s">
        <v>8405</v>
      </c>
      <c r="C1433">
        <f>"288001"</f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 s="2">
        <v>0</v>
      </c>
      <c r="M1433">
        <v>0</v>
      </c>
      <c r="N1433" s="2">
        <v>0</v>
      </c>
      <c r="O1433">
        <v>0</v>
      </c>
      <c r="P1433" t="s">
        <v>100</v>
      </c>
      <c r="Q1433">
        <v>0</v>
      </c>
      <c r="R1433" t="s">
        <v>145</v>
      </c>
      <c r="S1433">
        <v>0</v>
      </c>
    </row>
    <row r="1434" spans="1:19">
      <c r="A1434" t="s">
        <v>35</v>
      </c>
      <c r="B1434" t="s">
        <v>8404</v>
      </c>
      <c r="C1434">
        <f>"ZRD2018079"</f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 s="2">
        <v>0</v>
      </c>
      <c r="M1434">
        <v>0</v>
      </c>
      <c r="N1434" s="2">
        <v>0</v>
      </c>
      <c r="O1434">
        <v>0</v>
      </c>
      <c r="P1434" t="s">
        <v>100</v>
      </c>
      <c r="Q1434">
        <v>0</v>
      </c>
      <c r="R1434" t="s">
        <v>145</v>
      </c>
      <c r="S1434">
        <v>0</v>
      </c>
    </row>
    <row r="1435" spans="1:19">
      <c r="A1435" t="s">
        <v>35</v>
      </c>
      <c r="B1435" t="s">
        <v>8403</v>
      </c>
      <c r="C1435">
        <f>"PS05012"</f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 s="2">
        <v>0</v>
      </c>
      <c r="M1435">
        <v>0</v>
      </c>
      <c r="N1435" s="2">
        <v>0</v>
      </c>
      <c r="O1435">
        <v>0</v>
      </c>
      <c r="P1435" t="s">
        <v>100</v>
      </c>
      <c r="Q1435">
        <v>0</v>
      </c>
      <c r="R1435" t="s">
        <v>145</v>
      </c>
      <c r="S1435">
        <v>0</v>
      </c>
    </row>
    <row r="1436" spans="1:19">
      <c r="A1436" t="s">
        <v>35</v>
      </c>
      <c r="B1436" t="s">
        <v>8402</v>
      </c>
      <c r="C1436">
        <f>"PS06034"</f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 s="2">
        <v>0</v>
      </c>
      <c r="M1436">
        <v>0</v>
      </c>
      <c r="N1436" s="2">
        <v>0</v>
      </c>
      <c r="O1436">
        <v>0</v>
      </c>
      <c r="P1436" t="s">
        <v>100</v>
      </c>
      <c r="Q1436">
        <v>0</v>
      </c>
      <c r="R1436" t="s">
        <v>145</v>
      </c>
      <c r="S1436">
        <v>0</v>
      </c>
    </row>
    <row r="1437" spans="1:19">
      <c r="A1437" t="s">
        <v>35</v>
      </c>
      <c r="B1437" t="s">
        <v>9095</v>
      </c>
      <c r="C1437">
        <f>"ZRD2018015"</f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 s="2">
        <v>0</v>
      </c>
      <c r="M1437">
        <v>0</v>
      </c>
      <c r="N1437" s="2">
        <v>0</v>
      </c>
      <c r="O1437">
        <v>0</v>
      </c>
      <c r="P1437" t="s">
        <v>100</v>
      </c>
      <c r="Q1437">
        <v>0</v>
      </c>
      <c r="R1437" t="s">
        <v>145</v>
      </c>
      <c r="S1437">
        <v>0</v>
      </c>
    </row>
    <row r="1438" spans="1:19">
      <c r="A1438" t="s">
        <v>35</v>
      </c>
      <c r="B1438" t="s">
        <v>9093</v>
      </c>
      <c r="C1438">
        <f>"HTL50"</f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 s="2">
        <v>0</v>
      </c>
      <c r="M1438">
        <v>0</v>
      </c>
      <c r="N1438" s="2">
        <v>0</v>
      </c>
      <c r="O1438">
        <v>0</v>
      </c>
      <c r="P1438" t="s">
        <v>100</v>
      </c>
      <c r="Q1438">
        <v>0</v>
      </c>
      <c r="R1438" t="s">
        <v>145</v>
      </c>
      <c r="S1438">
        <v>0</v>
      </c>
    </row>
    <row r="1439" spans="1:19">
      <c r="A1439" t="s">
        <v>35</v>
      </c>
      <c r="B1439" t="s">
        <v>9085</v>
      </c>
      <c r="C1439">
        <f>"PT257M"</f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 s="2">
        <v>0</v>
      </c>
      <c r="M1439">
        <v>0</v>
      </c>
      <c r="N1439" s="2">
        <v>0</v>
      </c>
      <c r="O1439">
        <v>0</v>
      </c>
      <c r="P1439" t="s">
        <v>100</v>
      </c>
      <c r="Q1439">
        <v>0</v>
      </c>
      <c r="R1439" t="s">
        <v>145</v>
      </c>
      <c r="S1439">
        <v>0</v>
      </c>
    </row>
    <row r="1440" spans="1:19">
      <c r="A1440" t="s">
        <v>35</v>
      </c>
      <c r="B1440" t="s">
        <v>9084</v>
      </c>
      <c r="C1440">
        <f>"MCW129"</f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 s="2">
        <v>0</v>
      </c>
      <c r="M1440">
        <v>0</v>
      </c>
      <c r="N1440" s="2">
        <v>0</v>
      </c>
      <c r="O1440">
        <v>0</v>
      </c>
      <c r="P1440" t="s">
        <v>100</v>
      </c>
      <c r="Q1440">
        <v>0</v>
      </c>
      <c r="R1440" t="s">
        <v>145</v>
      </c>
      <c r="S1440">
        <v>0</v>
      </c>
    </row>
    <row r="1441" spans="1:19">
      <c r="A1441" t="s">
        <v>35</v>
      </c>
      <c r="B1441" t="s">
        <v>6951</v>
      </c>
      <c r="C1441">
        <f>"QSMW2360P"</f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 s="2">
        <v>0</v>
      </c>
      <c r="M1441">
        <v>0</v>
      </c>
      <c r="N1441" s="2">
        <v>0</v>
      </c>
      <c r="O1441">
        <v>0</v>
      </c>
      <c r="P1441" t="s">
        <v>100</v>
      </c>
      <c r="Q1441">
        <v>0</v>
      </c>
      <c r="R1441" t="s">
        <v>145</v>
      </c>
      <c r="S1441">
        <v>0</v>
      </c>
    </row>
    <row r="1442" spans="1:19">
      <c r="A1442" t="s">
        <v>35</v>
      </c>
      <c r="B1442" t="s">
        <v>6999</v>
      </c>
      <c r="C1442">
        <f>"395636"</f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 s="2">
        <v>0</v>
      </c>
      <c r="M1442">
        <v>0</v>
      </c>
      <c r="N1442" s="2">
        <v>0</v>
      </c>
      <c r="O1442">
        <v>0</v>
      </c>
      <c r="P1442" t="s">
        <v>100</v>
      </c>
      <c r="Q1442">
        <v>0</v>
      </c>
      <c r="R1442" t="s">
        <v>145</v>
      </c>
      <c r="S1442">
        <v>0</v>
      </c>
    </row>
    <row r="1443" spans="1:19">
      <c r="A1443" t="s">
        <v>35</v>
      </c>
      <c r="B1443" t="s">
        <v>1455</v>
      </c>
      <c r="C1443">
        <f>"W0058"</f>
        <v>0</v>
      </c>
      <c r="D1443">
        <v>1</v>
      </c>
      <c r="E1443">
        <v>0</v>
      </c>
      <c r="F1443">
        <v>0</v>
      </c>
      <c r="G1443">
        <v>0</v>
      </c>
      <c r="H1443">
        <v>1</v>
      </c>
      <c r="I1443">
        <v>0</v>
      </c>
      <c r="J1443">
        <v>0</v>
      </c>
      <c r="K1443">
        <v>0</v>
      </c>
      <c r="L1443" s="2">
        <v>0</v>
      </c>
      <c r="M1443">
        <v>0</v>
      </c>
      <c r="N1443" s="2">
        <v>0</v>
      </c>
      <c r="O1443">
        <v>0</v>
      </c>
      <c r="P1443" t="s">
        <v>100</v>
      </c>
      <c r="Q1443">
        <v>0</v>
      </c>
      <c r="R1443" t="s">
        <v>145</v>
      </c>
      <c r="S1443">
        <v>0</v>
      </c>
    </row>
    <row r="1444" spans="1:19">
      <c r="A1444" t="s">
        <v>35</v>
      </c>
      <c r="B1444" t="s">
        <v>9022</v>
      </c>
      <c r="C1444">
        <f>"HDD167V"</f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 s="2">
        <v>0</v>
      </c>
      <c r="M1444">
        <v>0</v>
      </c>
      <c r="N1444" s="2">
        <v>0</v>
      </c>
      <c r="O1444">
        <v>0</v>
      </c>
      <c r="P1444" t="s">
        <v>100</v>
      </c>
      <c r="Q1444">
        <v>0</v>
      </c>
      <c r="R1444" t="s">
        <v>145</v>
      </c>
      <c r="S1444">
        <v>0</v>
      </c>
    </row>
    <row r="1445" spans="1:19">
      <c r="A1445" t="s">
        <v>35</v>
      </c>
      <c r="B1445" t="s">
        <v>9020</v>
      </c>
      <c r="C1445">
        <f>"XX219"</f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 s="2">
        <v>0</v>
      </c>
      <c r="M1445">
        <v>0</v>
      </c>
      <c r="N1445" s="2">
        <v>0</v>
      </c>
      <c r="O1445">
        <v>0</v>
      </c>
      <c r="P1445" t="s">
        <v>100</v>
      </c>
      <c r="Q1445">
        <v>0</v>
      </c>
      <c r="R1445" t="s">
        <v>145</v>
      </c>
      <c r="S1445">
        <v>0</v>
      </c>
    </row>
    <row r="1446" spans="1:19">
      <c r="A1446" t="s">
        <v>35</v>
      </c>
      <c r="B1446" t="s">
        <v>2736</v>
      </c>
      <c r="C1446">
        <f>"HDD042SKR"</f>
        <v>0</v>
      </c>
      <c r="D1446">
        <v>0</v>
      </c>
      <c r="E1446">
        <v>0</v>
      </c>
      <c r="F1446">
        <v>1</v>
      </c>
      <c r="G1446">
        <v>0</v>
      </c>
      <c r="H1446">
        <v>1</v>
      </c>
      <c r="I1446">
        <v>0</v>
      </c>
      <c r="J1446">
        <v>0</v>
      </c>
      <c r="K1446">
        <v>0</v>
      </c>
      <c r="L1446" s="2">
        <v>0</v>
      </c>
      <c r="M1446">
        <v>0</v>
      </c>
      <c r="N1446" s="2">
        <v>0</v>
      </c>
      <c r="O1446">
        <v>0</v>
      </c>
      <c r="P1446" t="s">
        <v>11047</v>
      </c>
      <c r="Q1446">
        <v>-283</v>
      </c>
      <c r="R1446" t="s">
        <v>11159</v>
      </c>
      <c r="S1446">
        <v>0</v>
      </c>
    </row>
    <row r="1447" spans="1:19">
      <c r="A1447" t="s">
        <v>35</v>
      </c>
      <c r="B1447" t="s">
        <v>9101</v>
      </c>
      <c r="C1447">
        <f>"HDD042SSAL"</f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 s="2">
        <v>0</v>
      </c>
      <c r="M1447">
        <v>0</v>
      </c>
      <c r="N1447" s="2">
        <v>0</v>
      </c>
      <c r="O1447">
        <v>0</v>
      </c>
      <c r="P1447" t="s">
        <v>100</v>
      </c>
      <c r="Q1447">
        <v>0</v>
      </c>
      <c r="R1447" t="s">
        <v>145</v>
      </c>
      <c r="S1447">
        <v>0</v>
      </c>
    </row>
    <row r="1448" spans="1:19">
      <c r="A1448" t="s">
        <v>35</v>
      </c>
      <c r="B1448" t="s">
        <v>1205</v>
      </c>
      <c r="C1448">
        <f>"HDD072CA"</f>
        <v>0</v>
      </c>
      <c r="D1448">
        <v>1</v>
      </c>
      <c r="E1448">
        <v>0</v>
      </c>
      <c r="F1448">
        <v>0</v>
      </c>
      <c r="G1448">
        <v>0</v>
      </c>
      <c r="H1448">
        <v>1</v>
      </c>
      <c r="I1448">
        <v>0</v>
      </c>
      <c r="J1448">
        <v>0</v>
      </c>
      <c r="K1448">
        <v>0</v>
      </c>
      <c r="L1448" s="2">
        <v>0</v>
      </c>
      <c r="M1448">
        <v>0</v>
      </c>
      <c r="N1448" s="2">
        <v>0</v>
      </c>
      <c r="O1448">
        <v>0</v>
      </c>
      <c r="P1448" t="s">
        <v>100</v>
      </c>
      <c r="Q1448">
        <v>0</v>
      </c>
      <c r="R1448" t="s">
        <v>145</v>
      </c>
      <c r="S1448">
        <v>0</v>
      </c>
    </row>
    <row r="1449" spans="1:19">
      <c r="A1449" t="s">
        <v>35</v>
      </c>
      <c r="B1449" t="s">
        <v>9118</v>
      </c>
      <c r="C1449">
        <f>"HDD072CE"</f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 s="2">
        <v>0</v>
      </c>
      <c r="M1449">
        <v>0</v>
      </c>
      <c r="N1449" s="2">
        <v>0</v>
      </c>
      <c r="O1449">
        <v>0</v>
      </c>
      <c r="P1449" t="s">
        <v>100</v>
      </c>
      <c r="Q1449">
        <v>0</v>
      </c>
      <c r="R1449" t="s">
        <v>145</v>
      </c>
      <c r="S1449">
        <v>0</v>
      </c>
    </row>
    <row r="1450" spans="1:19">
      <c r="A1450" t="s">
        <v>35</v>
      </c>
      <c r="B1450" t="s">
        <v>1191</v>
      </c>
      <c r="C1450">
        <f>"XX260"</f>
        <v>0</v>
      </c>
      <c r="D1450">
        <v>0</v>
      </c>
      <c r="E1450">
        <v>1</v>
      </c>
      <c r="F1450">
        <v>0</v>
      </c>
      <c r="G1450">
        <v>0</v>
      </c>
      <c r="H1450">
        <v>1</v>
      </c>
      <c r="I1450">
        <v>0</v>
      </c>
      <c r="J1450">
        <v>0</v>
      </c>
      <c r="K1450">
        <v>0</v>
      </c>
      <c r="L1450" s="2">
        <v>0</v>
      </c>
      <c r="M1450">
        <v>0</v>
      </c>
      <c r="N1450" s="2">
        <v>0</v>
      </c>
      <c r="O1450">
        <v>0</v>
      </c>
      <c r="P1450" t="s">
        <v>100</v>
      </c>
      <c r="Q1450">
        <v>0</v>
      </c>
      <c r="R1450" t="s">
        <v>145</v>
      </c>
      <c r="S1450">
        <v>0</v>
      </c>
    </row>
    <row r="1451" spans="1:19">
      <c r="A1451" t="s">
        <v>35</v>
      </c>
      <c r="B1451" t="s">
        <v>9117</v>
      </c>
      <c r="C1451">
        <f>"xx274"</f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 s="2">
        <v>0</v>
      </c>
      <c r="M1451">
        <v>0</v>
      </c>
      <c r="N1451" s="2">
        <v>0</v>
      </c>
      <c r="O1451">
        <v>0</v>
      </c>
      <c r="P1451" t="s">
        <v>100</v>
      </c>
      <c r="Q1451">
        <v>0</v>
      </c>
      <c r="R1451" t="s">
        <v>145</v>
      </c>
      <c r="S1451">
        <v>0</v>
      </c>
    </row>
    <row r="1452" spans="1:19">
      <c r="A1452" t="s">
        <v>35</v>
      </c>
      <c r="B1452" t="s">
        <v>1187</v>
      </c>
      <c r="C1452">
        <f>"HDD017BL"</f>
        <v>0</v>
      </c>
      <c r="D1452">
        <v>1</v>
      </c>
      <c r="E1452">
        <v>0</v>
      </c>
      <c r="F1452">
        <v>0</v>
      </c>
      <c r="G1452">
        <v>0</v>
      </c>
      <c r="H1452">
        <v>1</v>
      </c>
      <c r="I1452">
        <v>0</v>
      </c>
      <c r="J1452">
        <v>0</v>
      </c>
      <c r="K1452">
        <v>0</v>
      </c>
      <c r="L1452" s="2">
        <v>0</v>
      </c>
      <c r="M1452">
        <v>0</v>
      </c>
      <c r="N1452" s="2">
        <v>0</v>
      </c>
      <c r="O1452">
        <v>0</v>
      </c>
      <c r="P1452" t="s">
        <v>100</v>
      </c>
      <c r="Q1452">
        <v>0</v>
      </c>
      <c r="R1452" t="s">
        <v>145</v>
      </c>
      <c r="S1452">
        <v>0</v>
      </c>
    </row>
    <row r="1453" spans="1:19">
      <c r="A1453" t="s">
        <v>35</v>
      </c>
      <c r="B1453" t="s">
        <v>1398</v>
      </c>
      <c r="C1453">
        <f>"LJ60"</f>
        <v>0</v>
      </c>
      <c r="D1453">
        <v>0</v>
      </c>
      <c r="E1453">
        <v>0</v>
      </c>
      <c r="F1453">
        <v>1</v>
      </c>
      <c r="G1453">
        <v>0</v>
      </c>
      <c r="H1453">
        <v>1</v>
      </c>
      <c r="I1453">
        <v>0</v>
      </c>
      <c r="J1453">
        <v>0</v>
      </c>
      <c r="K1453">
        <v>0</v>
      </c>
      <c r="L1453" s="2">
        <v>0</v>
      </c>
      <c r="M1453">
        <v>0</v>
      </c>
      <c r="N1453" s="2">
        <v>0</v>
      </c>
      <c r="O1453">
        <v>0</v>
      </c>
      <c r="P1453" t="s">
        <v>100</v>
      </c>
      <c r="Q1453">
        <v>0</v>
      </c>
      <c r="R1453" t="s">
        <v>145</v>
      </c>
      <c r="S1453">
        <v>0</v>
      </c>
    </row>
    <row r="1454" spans="1:19">
      <c r="A1454" t="s">
        <v>35</v>
      </c>
      <c r="B1454" t="s">
        <v>9033</v>
      </c>
      <c r="C1454">
        <f>"HDD017G"</f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 s="2">
        <v>0</v>
      </c>
      <c r="M1454">
        <v>0</v>
      </c>
      <c r="N1454" s="2">
        <v>0</v>
      </c>
      <c r="O1454">
        <v>0</v>
      </c>
      <c r="P1454" t="s">
        <v>100</v>
      </c>
      <c r="Q1454">
        <v>0</v>
      </c>
      <c r="R1454" t="s">
        <v>145</v>
      </c>
      <c r="S1454">
        <v>0</v>
      </c>
    </row>
    <row r="1455" spans="1:19">
      <c r="A1455" t="s">
        <v>35</v>
      </c>
      <c r="B1455" t="s">
        <v>9032</v>
      </c>
      <c r="C1455">
        <f>"HDD119M"</f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 s="2">
        <v>0</v>
      </c>
      <c r="M1455">
        <v>0</v>
      </c>
      <c r="N1455" s="2">
        <v>0</v>
      </c>
      <c r="O1455">
        <v>0</v>
      </c>
      <c r="P1455" t="s">
        <v>100</v>
      </c>
      <c r="Q1455">
        <v>0</v>
      </c>
      <c r="R1455" t="s">
        <v>145</v>
      </c>
      <c r="S1455">
        <v>0</v>
      </c>
    </row>
    <row r="1456" spans="1:19">
      <c r="A1456" t="s">
        <v>35</v>
      </c>
      <c r="B1456" t="s">
        <v>9031</v>
      </c>
      <c r="C1456">
        <f>"HDD119P"</f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 s="2">
        <v>0</v>
      </c>
      <c r="M1456">
        <v>0</v>
      </c>
      <c r="N1456" s="2">
        <v>0</v>
      </c>
      <c r="O1456">
        <v>0</v>
      </c>
      <c r="P1456" t="s">
        <v>100</v>
      </c>
      <c r="Q1456">
        <v>0</v>
      </c>
      <c r="R1456" t="s">
        <v>145</v>
      </c>
      <c r="S1456">
        <v>0</v>
      </c>
    </row>
    <row r="1457" spans="1:19">
      <c r="A1457" t="s">
        <v>35</v>
      </c>
      <c r="B1457" t="s">
        <v>9030</v>
      </c>
      <c r="C1457">
        <f>"XX261"</f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 s="2">
        <v>0</v>
      </c>
      <c r="M1457">
        <v>0</v>
      </c>
      <c r="N1457" s="2">
        <v>0</v>
      </c>
      <c r="O1457">
        <v>0</v>
      </c>
      <c r="P1457" t="s">
        <v>100</v>
      </c>
      <c r="Q1457">
        <v>0</v>
      </c>
      <c r="R1457" t="s">
        <v>145</v>
      </c>
      <c r="S1457">
        <v>0</v>
      </c>
    </row>
    <row r="1458" spans="1:19">
      <c r="A1458" t="s">
        <v>35</v>
      </c>
      <c r="B1458" t="s">
        <v>9029</v>
      </c>
      <c r="C1458">
        <f>"XX264"</f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 s="2">
        <v>0</v>
      </c>
      <c r="M1458">
        <v>0</v>
      </c>
      <c r="N1458" s="2">
        <v>0</v>
      </c>
      <c r="O1458">
        <v>0</v>
      </c>
      <c r="P1458" t="s">
        <v>100</v>
      </c>
      <c r="Q1458">
        <v>0</v>
      </c>
      <c r="R1458" t="s">
        <v>145</v>
      </c>
      <c r="S1458">
        <v>0</v>
      </c>
    </row>
    <row r="1459" spans="1:19">
      <c r="A1459" t="s">
        <v>35</v>
      </c>
      <c r="B1459" t="s">
        <v>7234</v>
      </c>
      <c r="C1459">
        <f>"TQ00191C"</f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 s="2">
        <v>0</v>
      </c>
      <c r="M1459">
        <v>0</v>
      </c>
      <c r="N1459" s="2">
        <v>0</v>
      </c>
      <c r="O1459">
        <v>0</v>
      </c>
      <c r="P1459" t="s">
        <v>100</v>
      </c>
      <c r="Q1459">
        <v>0</v>
      </c>
      <c r="R1459" t="s">
        <v>145</v>
      </c>
      <c r="S1459">
        <v>0</v>
      </c>
    </row>
    <row r="1460" spans="1:19">
      <c r="A1460" t="s">
        <v>35</v>
      </c>
      <c r="B1460" t="s">
        <v>7367</v>
      </c>
      <c r="C1460">
        <f>"ZVP1025"</f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 s="2">
        <v>0</v>
      </c>
      <c r="M1460">
        <v>0</v>
      </c>
      <c r="N1460" s="2">
        <v>0</v>
      </c>
      <c r="O1460">
        <v>0</v>
      </c>
      <c r="P1460" t="s">
        <v>100</v>
      </c>
      <c r="Q1460">
        <v>0</v>
      </c>
      <c r="R1460" t="s">
        <v>145</v>
      </c>
      <c r="S1460">
        <v>0</v>
      </c>
    </row>
    <row r="1461" spans="1:19">
      <c r="A1461" t="s">
        <v>35</v>
      </c>
      <c r="B1461" t="s">
        <v>7311</v>
      </c>
      <c r="C1461">
        <f>"62"</f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 s="2">
        <v>0</v>
      </c>
      <c r="M1461">
        <v>0</v>
      </c>
      <c r="N1461" s="2">
        <v>0</v>
      </c>
      <c r="O1461">
        <v>0</v>
      </c>
      <c r="P1461" t="s">
        <v>100</v>
      </c>
      <c r="Q1461">
        <v>0</v>
      </c>
      <c r="R1461" t="s">
        <v>145</v>
      </c>
      <c r="S1461">
        <v>0</v>
      </c>
    </row>
    <row r="1462" spans="1:19">
      <c r="A1462" t="s">
        <v>35</v>
      </c>
      <c r="B1462" t="s">
        <v>7178</v>
      </c>
      <c r="C1462">
        <f>"25570247"</f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 s="2">
        <v>0</v>
      </c>
      <c r="M1462">
        <v>0</v>
      </c>
      <c r="N1462" s="2">
        <v>0</v>
      </c>
      <c r="O1462">
        <v>0</v>
      </c>
      <c r="P1462" t="s">
        <v>100</v>
      </c>
      <c r="Q1462">
        <v>0</v>
      </c>
      <c r="R1462" t="s">
        <v>145</v>
      </c>
      <c r="S1462">
        <v>0</v>
      </c>
    </row>
    <row r="1463" spans="1:19">
      <c r="A1463" t="s">
        <v>35</v>
      </c>
      <c r="B1463" t="s">
        <v>7177</v>
      </c>
      <c r="C1463">
        <f>"25570246"</f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 s="2">
        <v>0</v>
      </c>
      <c r="M1463">
        <v>0</v>
      </c>
      <c r="N1463" s="2">
        <v>0</v>
      </c>
      <c r="O1463">
        <v>0</v>
      </c>
      <c r="P1463" t="s">
        <v>100</v>
      </c>
      <c r="Q1463">
        <v>0</v>
      </c>
      <c r="R1463" t="s">
        <v>145</v>
      </c>
      <c r="S1463">
        <v>0</v>
      </c>
    </row>
    <row r="1464" spans="1:19">
      <c r="A1464" t="s">
        <v>35</v>
      </c>
      <c r="B1464" t="s">
        <v>1119</v>
      </c>
      <c r="C1464">
        <f>"HDD017C"</f>
        <v>0</v>
      </c>
      <c r="D1464">
        <v>2</v>
      </c>
      <c r="E1464">
        <v>0</v>
      </c>
      <c r="F1464">
        <v>0</v>
      </c>
      <c r="G1464">
        <v>0</v>
      </c>
      <c r="H1464">
        <v>2</v>
      </c>
      <c r="I1464">
        <v>0</v>
      </c>
      <c r="J1464">
        <v>0</v>
      </c>
      <c r="K1464">
        <v>0</v>
      </c>
      <c r="L1464" s="2">
        <v>0</v>
      </c>
      <c r="M1464">
        <v>0</v>
      </c>
      <c r="N1464" s="2">
        <v>0</v>
      </c>
      <c r="O1464">
        <v>0</v>
      </c>
      <c r="P1464" t="s">
        <v>100</v>
      </c>
      <c r="Q1464">
        <v>0</v>
      </c>
      <c r="R1464" t="s">
        <v>145</v>
      </c>
      <c r="S1464">
        <v>0</v>
      </c>
    </row>
    <row r="1465" spans="1:19">
      <c r="A1465" t="s">
        <v>35</v>
      </c>
      <c r="B1465" t="s">
        <v>7244</v>
      </c>
      <c r="C1465">
        <f>"23005GRAZ"</f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 s="2">
        <v>0</v>
      </c>
      <c r="M1465">
        <v>0</v>
      </c>
      <c r="N1465" s="2">
        <v>0</v>
      </c>
      <c r="O1465">
        <v>0</v>
      </c>
      <c r="P1465" t="s">
        <v>100</v>
      </c>
      <c r="Q1465">
        <v>0</v>
      </c>
      <c r="R1465" t="s">
        <v>145</v>
      </c>
      <c r="S1465">
        <v>0</v>
      </c>
    </row>
    <row r="1466" spans="1:19">
      <c r="A1466" t="s">
        <v>35</v>
      </c>
      <c r="B1466" t="s">
        <v>7243</v>
      </c>
      <c r="C1466">
        <f>"23006AZ"</f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 s="2">
        <v>0</v>
      </c>
      <c r="M1466">
        <v>0</v>
      </c>
      <c r="N1466" s="2">
        <v>0</v>
      </c>
      <c r="O1466">
        <v>0</v>
      </c>
      <c r="P1466" t="s">
        <v>100</v>
      </c>
      <c r="Q1466">
        <v>0</v>
      </c>
      <c r="R1466" t="s">
        <v>145</v>
      </c>
      <c r="S1466">
        <v>0</v>
      </c>
    </row>
    <row r="1467" spans="1:19">
      <c r="A1467" t="s">
        <v>35</v>
      </c>
      <c r="B1467" t="s">
        <v>7242</v>
      </c>
      <c r="C1467">
        <f>"23006GR"</f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 s="2">
        <v>0</v>
      </c>
      <c r="M1467">
        <v>0</v>
      </c>
      <c r="N1467" s="2">
        <v>0</v>
      </c>
      <c r="O1467">
        <v>0</v>
      </c>
      <c r="P1467" t="s">
        <v>100</v>
      </c>
      <c r="Q1467">
        <v>0</v>
      </c>
      <c r="R1467" t="s">
        <v>145</v>
      </c>
      <c r="S1467">
        <v>0</v>
      </c>
    </row>
    <row r="1468" spans="1:19">
      <c r="A1468" t="s">
        <v>35</v>
      </c>
      <c r="B1468" t="s">
        <v>7148</v>
      </c>
      <c r="C1468">
        <f>"23001ROJ"</f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 s="2">
        <v>0</v>
      </c>
      <c r="M1468">
        <v>0</v>
      </c>
      <c r="N1468" s="2">
        <v>0</v>
      </c>
      <c r="O1468">
        <v>0</v>
      </c>
      <c r="P1468" t="s">
        <v>100</v>
      </c>
      <c r="Q1468">
        <v>0</v>
      </c>
      <c r="R1468" t="s">
        <v>145</v>
      </c>
      <c r="S1468">
        <v>0</v>
      </c>
    </row>
    <row r="1469" spans="1:19">
      <c r="A1469" t="s">
        <v>35</v>
      </c>
      <c r="B1469" t="s">
        <v>7238</v>
      </c>
      <c r="C1469">
        <f>"TQ00181C"</f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 s="2">
        <v>0</v>
      </c>
      <c r="M1469">
        <v>0</v>
      </c>
      <c r="N1469" s="2">
        <v>0</v>
      </c>
      <c r="O1469">
        <v>0</v>
      </c>
      <c r="P1469" t="s">
        <v>100</v>
      </c>
      <c r="Q1469">
        <v>0</v>
      </c>
      <c r="R1469" t="s">
        <v>145</v>
      </c>
      <c r="S1469">
        <v>0</v>
      </c>
    </row>
    <row r="1470" spans="1:19">
      <c r="A1470" t="s">
        <v>35</v>
      </c>
      <c r="B1470" t="s">
        <v>7236</v>
      </c>
      <c r="C1470">
        <f>"TQ00181VE"</f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 s="2">
        <v>0</v>
      </c>
      <c r="M1470">
        <v>0</v>
      </c>
      <c r="N1470" s="2">
        <v>0</v>
      </c>
      <c r="O1470">
        <v>0</v>
      </c>
      <c r="P1470" t="s">
        <v>100</v>
      </c>
      <c r="Q1470">
        <v>0</v>
      </c>
      <c r="R1470" t="s">
        <v>145</v>
      </c>
      <c r="S1470">
        <v>0</v>
      </c>
    </row>
    <row r="1471" spans="1:19">
      <c r="A1471" t="s">
        <v>35</v>
      </c>
      <c r="B1471" t="s">
        <v>7235</v>
      </c>
      <c r="C1471">
        <f>"TQ00191ROS"</f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 s="2">
        <v>0</v>
      </c>
      <c r="M1471">
        <v>0</v>
      </c>
      <c r="N1471" s="2">
        <v>0</v>
      </c>
      <c r="O1471">
        <v>0</v>
      </c>
      <c r="P1471" t="s">
        <v>100</v>
      </c>
      <c r="Q1471">
        <v>0</v>
      </c>
      <c r="R1471" t="s">
        <v>145</v>
      </c>
      <c r="S1471">
        <v>0</v>
      </c>
    </row>
    <row r="1472" spans="1:19">
      <c r="A1472" t="s">
        <v>35</v>
      </c>
      <c r="B1472" t="s">
        <v>7213</v>
      </c>
      <c r="C1472">
        <f>"RJ815"</f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 s="2">
        <v>0</v>
      </c>
      <c r="M1472">
        <v>0</v>
      </c>
      <c r="N1472" s="2">
        <v>0</v>
      </c>
      <c r="O1472">
        <v>0</v>
      </c>
      <c r="P1472" t="s">
        <v>100</v>
      </c>
      <c r="Q1472">
        <v>0</v>
      </c>
      <c r="R1472" t="s">
        <v>145</v>
      </c>
      <c r="S1472">
        <v>0</v>
      </c>
    </row>
    <row r="1473" spans="1:19">
      <c r="A1473" t="s">
        <v>35</v>
      </c>
      <c r="B1473" t="s">
        <v>7212</v>
      </c>
      <c r="C1473">
        <f>"RJ815G"</f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 s="2">
        <v>0</v>
      </c>
      <c r="M1473">
        <v>0</v>
      </c>
      <c r="N1473" s="2">
        <v>0</v>
      </c>
      <c r="O1473">
        <v>0</v>
      </c>
      <c r="P1473" t="s">
        <v>100</v>
      </c>
      <c r="Q1473">
        <v>0</v>
      </c>
      <c r="R1473" t="s">
        <v>145</v>
      </c>
      <c r="S1473">
        <v>0</v>
      </c>
    </row>
    <row r="1474" spans="1:19">
      <c r="A1474" t="s">
        <v>35</v>
      </c>
      <c r="B1474" t="s">
        <v>7211</v>
      </c>
      <c r="C1474">
        <f>"RJ815A"</f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 s="2">
        <v>0</v>
      </c>
      <c r="M1474">
        <v>0</v>
      </c>
      <c r="N1474" s="2">
        <v>0</v>
      </c>
      <c r="O1474">
        <v>0</v>
      </c>
      <c r="P1474" t="s">
        <v>100</v>
      </c>
      <c r="Q1474">
        <v>0</v>
      </c>
      <c r="R1474" t="s">
        <v>145</v>
      </c>
      <c r="S1474">
        <v>0</v>
      </c>
    </row>
    <row r="1475" spans="1:19">
      <c r="A1475" t="s">
        <v>35</v>
      </c>
      <c r="B1475" t="s">
        <v>9024</v>
      </c>
      <c r="C1475">
        <f>"HDD167AM"</f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 s="2">
        <v>0</v>
      </c>
      <c r="M1475">
        <v>0</v>
      </c>
      <c r="N1475" s="2">
        <v>0</v>
      </c>
      <c r="O1475">
        <v>0</v>
      </c>
      <c r="P1475" t="s">
        <v>100</v>
      </c>
      <c r="Q1475">
        <v>0</v>
      </c>
      <c r="R1475" t="s">
        <v>145</v>
      </c>
      <c r="S1475">
        <v>0</v>
      </c>
    </row>
    <row r="1476" spans="1:19">
      <c r="A1476" t="s">
        <v>35</v>
      </c>
      <c r="B1476" t="s">
        <v>7209</v>
      </c>
      <c r="C1476">
        <f>"RJ815R"</f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 s="2">
        <v>0</v>
      </c>
      <c r="M1476">
        <v>0</v>
      </c>
      <c r="N1476" s="2">
        <v>0</v>
      </c>
      <c r="O1476">
        <v>0</v>
      </c>
      <c r="P1476" t="s">
        <v>100</v>
      </c>
      <c r="Q1476">
        <v>0</v>
      </c>
      <c r="R1476" t="s">
        <v>145</v>
      </c>
      <c r="S1476">
        <v>0</v>
      </c>
    </row>
    <row r="1477" spans="1:19">
      <c r="A1477" t="s">
        <v>35</v>
      </c>
      <c r="B1477" t="s">
        <v>1342</v>
      </c>
      <c r="C1477">
        <f>"1009513000099"</f>
        <v>0</v>
      </c>
      <c r="D1477">
        <v>1</v>
      </c>
      <c r="E1477">
        <v>0</v>
      </c>
      <c r="F1477">
        <v>0</v>
      </c>
      <c r="G1477">
        <v>0</v>
      </c>
      <c r="H1477">
        <v>1</v>
      </c>
      <c r="I1477">
        <v>0</v>
      </c>
      <c r="J1477">
        <v>0</v>
      </c>
      <c r="K1477">
        <v>0</v>
      </c>
      <c r="L1477" s="2">
        <v>0</v>
      </c>
      <c r="M1477">
        <v>0</v>
      </c>
      <c r="N1477" s="2">
        <v>0</v>
      </c>
      <c r="O1477">
        <v>0</v>
      </c>
      <c r="P1477" t="s">
        <v>100</v>
      </c>
      <c r="Q1477">
        <v>0</v>
      </c>
      <c r="R1477" t="s">
        <v>145</v>
      </c>
      <c r="S1477">
        <v>0</v>
      </c>
    </row>
    <row r="1478" spans="1:19">
      <c r="A1478" t="s">
        <v>35</v>
      </c>
      <c r="B1478" t="s">
        <v>7230</v>
      </c>
      <c r="C1478">
        <f>"NS42"</f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 s="2">
        <v>0</v>
      </c>
      <c r="M1478">
        <v>0</v>
      </c>
      <c r="N1478" s="2">
        <v>0</v>
      </c>
      <c r="O1478">
        <v>0</v>
      </c>
      <c r="P1478" t="s">
        <v>100</v>
      </c>
      <c r="Q1478">
        <v>0</v>
      </c>
      <c r="R1478" t="s">
        <v>145</v>
      </c>
      <c r="S1478">
        <v>0</v>
      </c>
    </row>
    <row r="1479" spans="1:19">
      <c r="A1479" t="s">
        <v>35</v>
      </c>
      <c r="B1479" t="s">
        <v>7228</v>
      </c>
      <c r="C1479">
        <f>"XDB005"</f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 s="2">
        <v>0</v>
      </c>
      <c r="M1479">
        <v>0</v>
      </c>
      <c r="N1479" s="2">
        <v>0</v>
      </c>
      <c r="O1479">
        <v>0</v>
      </c>
      <c r="P1479" t="s">
        <v>100</v>
      </c>
      <c r="Q1479">
        <v>0</v>
      </c>
      <c r="R1479" t="s">
        <v>145</v>
      </c>
      <c r="S1479">
        <v>0</v>
      </c>
    </row>
    <row r="1480" spans="1:19">
      <c r="A1480" t="s">
        <v>35</v>
      </c>
      <c r="B1480" t="s">
        <v>7170</v>
      </c>
      <c r="C1480">
        <f>"LS245"</f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 s="2">
        <v>0</v>
      </c>
      <c r="M1480">
        <v>0</v>
      </c>
      <c r="N1480" s="2">
        <v>0</v>
      </c>
      <c r="O1480">
        <v>0</v>
      </c>
      <c r="P1480" t="s">
        <v>100</v>
      </c>
      <c r="Q1480">
        <v>0</v>
      </c>
      <c r="R1480" t="s">
        <v>145</v>
      </c>
      <c r="S1480">
        <v>0</v>
      </c>
    </row>
    <row r="1481" spans="1:19">
      <c r="A1481" t="s">
        <v>35</v>
      </c>
      <c r="B1481" t="s">
        <v>7181</v>
      </c>
      <c r="C1481">
        <f>"LS245MOR"</f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 s="2">
        <v>0</v>
      </c>
      <c r="M1481">
        <v>0</v>
      </c>
      <c r="N1481" s="2">
        <v>0</v>
      </c>
      <c r="O1481">
        <v>0</v>
      </c>
      <c r="P1481" t="s">
        <v>100</v>
      </c>
      <c r="Q1481">
        <v>0</v>
      </c>
      <c r="R1481" t="s">
        <v>145</v>
      </c>
      <c r="S1481">
        <v>0</v>
      </c>
    </row>
    <row r="1482" spans="1:19">
      <c r="A1482" t="s">
        <v>35</v>
      </c>
      <c r="B1482" t="s">
        <v>9110</v>
      </c>
      <c r="C1482">
        <f>"PT255G"</f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 s="2">
        <v>0</v>
      </c>
      <c r="M1482">
        <v>0</v>
      </c>
      <c r="N1482" s="2">
        <v>0</v>
      </c>
      <c r="O1482">
        <v>0</v>
      </c>
      <c r="P1482" t="s">
        <v>100</v>
      </c>
      <c r="Q1482">
        <v>0</v>
      </c>
      <c r="R1482" t="s">
        <v>145</v>
      </c>
      <c r="S1482">
        <v>0</v>
      </c>
    </row>
    <row r="1483" spans="1:19">
      <c r="A1483" t="s">
        <v>35</v>
      </c>
      <c r="B1483" t="s">
        <v>9109</v>
      </c>
      <c r="C1483">
        <f>"PT255N"</f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 s="2">
        <v>0</v>
      </c>
      <c r="M1483">
        <v>0</v>
      </c>
      <c r="N1483" s="2">
        <v>0</v>
      </c>
      <c r="O1483">
        <v>0</v>
      </c>
      <c r="P1483" t="s">
        <v>100</v>
      </c>
      <c r="Q1483">
        <v>0</v>
      </c>
      <c r="R1483" t="s">
        <v>145</v>
      </c>
      <c r="S1483">
        <v>0</v>
      </c>
    </row>
    <row r="1484" spans="1:19">
      <c r="A1484" t="s">
        <v>35</v>
      </c>
      <c r="B1484" t="s">
        <v>9108</v>
      </c>
      <c r="C1484">
        <f>"HDD164CA"</f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 s="2">
        <v>0</v>
      </c>
      <c r="M1484">
        <v>0</v>
      </c>
      <c r="N1484" s="2">
        <v>0</v>
      </c>
      <c r="O1484">
        <v>0</v>
      </c>
      <c r="P1484" t="s">
        <v>100</v>
      </c>
      <c r="Q1484">
        <v>0</v>
      </c>
      <c r="R1484" t="s">
        <v>145</v>
      </c>
      <c r="S1484">
        <v>0</v>
      </c>
    </row>
    <row r="1485" spans="1:19">
      <c r="A1485" t="s">
        <v>35</v>
      </c>
      <c r="B1485" t="s">
        <v>1186</v>
      </c>
      <c r="C1485">
        <f>"HDD164N"</f>
        <v>0</v>
      </c>
      <c r="D1485">
        <v>0</v>
      </c>
      <c r="E1485">
        <v>0</v>
      </c>
      <c r="F1485">
        <v>1</v>
      </c>
      <c r="G1485">
        <v>0</v>
      </c>
      <c r="H1485">
        <v>1</v>
      </c>
      <c r="I1485">
        <v>0</v>
      </c>
      <c r="J1485">
        <v>0</v>
      </c>
      <c r="K1485">
        <v>0</v>
      </c>
      <c r="L1485" s="2">
        <v>0</v>
      </c>
      <c r="M1485">
        <v>0</v>
      </c>
      <c r="N1485" s="2">
        <v>0</v>
      </c>
      <c r="O1485">
        <v>0</v>
      </c>
      <c r="P1485" t="s">
        <v>100</v>
      </c>
      <c r="Q1485">
        <v>0</v>
      </c>
      <c r="R1485" t="s">
        <v>145</v>
      </c>
      <c r="S1485">
        <v>0</v>
      </c>
    </row>
    <row r="1486" spans="1:19">
      <c r="A1486" t="s">
        <v>35</v>
      </c>
      <c r="B1486" t="s">
        <v>7210</v>
      </c>
      <c r="C1486">
        <f>"RJ815C"</f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 s="2">
        <v>0</v>
      </c>
      <c r="M1486">
        <v>0</v>
      </c>
      <c r="N1486" s="2">
        <v>0</v>
      </c>
      <c r="O1486">
        <v>0</v>
      </c>
      <c r="P1486" t="s">
        <v>100</v>
      </c>
      <c r="Q1486">
        <v>0</v>
      </c>
      <c r="R1486" t="s">
        <v>145</v>
      </c>
      <c r="S1486">
        <v>0</v>
      </c>
    </row>
    <row r="1487" spans="1:19">
      <c r="A1487" t="s">
        <v>35</v>
      </c>
      <c r="B1487" t="s">
        <v>7322</v>
      </c>
      <c r="C1487">
        <f>"NT038ZIGZAG"</f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 s="2">
        <v>0</v>
      </c>
      <c r="M1487">
        <v>0</v>
      </c>
      <c r="N1487" s="2">
        <v>0</v>
      </c>
      <c r="O1487">
        <v>0</v>
      </c>
      <c r="P1487" t="s">
        <v>100</v>
      </c>
      <c r="Q1487">
        <v>0</v>
      </c>
      <c r="R1487" t="s">
        <v>145</v>
      </c>
      <c r="S1487">
        <v>0</v>
      </c>
    </row>
    <row r="1488" spans="1:19">
      <c r="A1488" t="s">
        <v>35</v>
      </c>
      <c r="B1488" t="s">
        <v>7336</v>
      </c>
      <c r="C1488">
        <f>"BT031ROJC"</f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 s="2">
        <v>0</v>
      </c>
      <c r="M1488">
        <v>0</v>
      </c>
      <c r="N1488" s="2">
        <v>0</v>
      </c>
      <c r="O1488">
        <v>0</v>
      </c>
      <c r="P1488" t="s">
        <v>100</v>
      </c>
      <c r="Q1488">
        <v>0</v>
      </c>
      <c r="R1488" t="s">
        <v>145</v>
      </c>
      <c r="S1488">
        <v>0</v>
      </c>
    </row>
    <row r="1489" spans="1:19">
      <c r="A1489" t="s">
        <v>35</v>
      </c>
      <c r="B1489" t="s">
        <v>7319</v>
      </c>
      <c r="C1489">
        <f>"BT031ROS"</f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 s="2">
        <v>0</v>
      </c>
      <c r="M1489">
        <v>0</v>
      </c>
      <c r="N1489" s="2">
        <v>0</v>
      </c>
      <c r="O1489">
        <v>0</v>
      </c>
      <c r="P1489" t="s">
        <v>100</v>
      </c>
      <c r="Q1489">
        <v>0</v>
      </c>
      <c r="R1489" t="s">
        <v>145</v>
      </c>
      <c r="S1489">
        <v>0</v>
      </c>
    </row>
    <row r="1490" spans="1:19">
      <c r="A1490" t="s">
        <v>35</v>
      </c>
      <c r="B1490" t="s">
        <v>7318</v>
      </c>
      <c r="C1490">
        <f>"JH2"</f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 s="2">
        <v>0</v>
      </c>
      <c r="M1490">
        <v>0</v>
      </c>
      <c r="N1490" s="2">
        <v>0</v>
      </c>
      <c r="O1490">
        <v>0</v>
      </c>
      <c r="P1490" t="s">
        <v>100</v>
      </c>
      <c r="Q1490">
        <v>0</v>
      </c>
      <c r="R1490" t="s">
        <v>145</v>
      </c>
      <c r="S1490">
        <v>0</v>
      </c>
    </row>
    <row r="1491" spans="1:19">
      <c r="A1491" t="s">
        <v>35</v>
      </c>
      <c r="B1491" t="s">
        <v>7317</v>
      </c>
      <c r="C1491">
        <f>"ZVP1028"</f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 s="2">
        <v>0</v>
      </c>
      <c r="M1491">
        <v>0</v>
      </c>
      <c r="N1491" s="2">
        <v>0</v>
      </c>
      <c r="O1491">
        <v>0</v>
      </c>
      <c r="P1491" t="s">
        <v>100</v>
      </c>
      <c r="Q1491">
        <v>0</v>
      </c>
      <c r="R1491" t="s">
        <v>145</v>
      </c>
      <c r="S1491">
        <v>0</v>
      </c>
    </row>
    <row r="1492" spans="1:19">
      <c r="A1492" t="s">
        <v>35</v>
      </c>
      <c r="B1492" t="s">
        <v>7348</v>
      </c>
      <c r="C1492">
        <f>"GSQS002MGR"</f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 s="2">
        <v>0</v>
      </c>
      <c r="M1492">
        <v>0</v>
      </c>
      <c r="N1492" s="2">
        <v>0</v>
      </c>
      <c r="O1492">
        <v>0</v>
      </c>
      <c r="P1492" t="s">
        <v>100</v>
      </c>
      <c r="Q1492">
        <v>0</v>
      </c>
      <c r="R1492" t="s">
        <v>145</v>
      </c>
      <c r="S1492">
        <v>0</v>
      </c>
    </row>
    <row r="1493" spans="1:19">
      <c r="A1493" t="s">
        <v>35</v>
      </c>
      <c r="B1493" t="s">
        <v>7347</v>
      </c>
      <c r="C1493">
        <f>"GSQS002MROJ"</f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 s="2">
        <v>0</v>
      </c>
      <c r="M1493">
        <v>0</v>
      </c>
      <c r="N1493" s="2">
        <v>0</v>
      </c>
      <c r="O1493">
        <v>0</v>
      </c>
      <c r="P1493" t="s">
        <v>100</v>
      </c>
      <c r="Q1493">
        <v>0</v>
      </c>
      <c r="R1493" t="s">
        <v>145</v>
      </c>
      <c r="S1493">
        <v>0</v>
      </c>
    </row>
    <row r="1494" spans="1:19">
      <c r="A1494" t="s">
        <v>35</v>
      </c>
      <c r="B1494" t="s">
        <v>7346</v>
      </c>
      <c r="C1494">
        <f>"GSQS002MROS"</f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 s="2">
        <v>0</v>
      </c>
      <c r="M1494">
        <v>0</v>
      </c>
      <c r="N1494" s="2">
        <v>0</v>
      </c>
      <c r="O1494">
        <v>0</v>
      </c>
      <c r="P1494" t="s">
        <v>100</v>
      </c>
      <c r="Q1494">
        <v>0</v>
      </c>
      <c r="R1494" t="s">
        <v>145</v>
      </c>
      <c r="S1494">
        <v>0</v>
      </c>
    </row>
    <row r="1495" spans="1:19">
      <c r="A1495" t="s">
        <v>35</v>
      </c>
      <c r="B1495" t="s">
        <v>1189</v>
      </c>
      <c r="C1495">
        <f>"JW17085"</f>
        <v>0</v>
      </c>
      <c r="D1495">
        <v>0</v>
      </c>
      <c r="E1495">
        <v>0</v>
      </c>
      <c r="F1495">
        <v>1</v>
      </c>
      <c r="G1495">
        <v>0</v>
      </c>
      <c r="H1495">
        <v>1</v>
      </c>
      <c r="I1495">
        <v>0</v>
      </c>
      <c r="J1495">
        <v>0</v>
      </c>
      <c r="K1495">
        <v>0</v>
      </c>
      <c r="L1495" s="2">
        <v>0</v>
      </c>
      <c r="M1495">
        <v>0</v>
      </c>
      <c r="N1495" s="2">
        <v>0</v>
      </c>
      <c r="O1495">
        <v>0</v>
      </c>
      <c r="P1495" t="s">
        <v>100</v>
      </c>
      <c r="Q1495">
        <v>0</v>
      </c>
      <c r="R1495" t="s">
        <v>145</v>
      </c>
      <c r="S1495">
        <v>0</v>
      </c>
    </row>
    <row r="1496" spans="1:19">
      <c r="A1496" t="s">
        <v>35</v>
      </c>
      <c r="B1496" t="s">
        <v>7176</v>
      </c>
      <c r="C1496">
        <f>"HC0108"</f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 s="2">
        <v>0</v>
      </c>
      <c r="M1496">
        <v>0</v>
      </c>
      <c r="N1496" s="2">
        <v>0</v>
      </c>
      <c r="O1496">
        <v>0</v>
      </c>
      <c r="P1496" t="s">
        <v>100</v>
      </c>
      <c r="Q1496">
        <v>0</v>
      </c>
      <c r="R1496" t="s">
        <v>145</v>
      </c>
      <c r="S1496">
        <v>0</v>
      </c>
    </row>
    <row r="1497" spans="1:19">
      <c r="A1497" t="s">
        <v>35</v>
      </c>
      <c r="B1497" t="s">
        <v>1091</v>
      </c>
      <c r="C1497">
        <f>"JW17083V"</f>
        <v>0</v>
      </c>
      <c r="D1497">
        <v>0</v>
      </c>
      <c r="E1497">
        <v>2</v>
      </c>
      <c r="F1497">
        <v>0</v>
      </c>
      <c r="G1497">
        <v>0</v>
      </c>
      <c r="H1497">
        <v>2</v>
      </c>
      <c r="I1497">
        <v>0</v>
      </c>
      <c r="J1497">
        <v>0</v>
      </c>
      <c r="K1497">
        <v>0</v>
      </c>
      <c r="L1497" s="2">
        <v>0</v>
      </c>
      <c r="M1497">
        <v>0</v>
      </c>
      <c r="N1497" s="2">
        <v>0</v>
      </c>
      <c r="O1497">
        <v>0</v>
      </c>
      <c r="P1497" t="s">
        <v>100</v>
      </c>
      <c r="Q1497">
        <v>0</v>
      </c>
      <c r="R1497" t="s">
        <v>145</v>
      </c>
      <c r="S1497">
        <v>0</v>
      </c>
    </row>
    <row r="1498" spans="1:19">
      <c r="A1498" t="s">
        <v>35</v>
      </c>
      <c r="B1498" t="s">
        <v>9098</v>
      </c>
      <c r="C1498">
        <f>"QZWJ001"</f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 s="2">
        <v>0</v>
      </c>
      <c r="M1498">
        <v>0</v>
      </c>
      <c r="N1498" s="2">
        <v>0</v>
      </c>
      <c r="O1498">
        <v>0</v>
      </c>
      <c r="P1498" t="s">
        <v>100</v>
      </c>
      <c r="Q1498">
        <v>0</v>
      </c>
      <c r="R1498" t="s">
        <v>145</v>
      </c>
      <c r="S1498">
        <v>0</v>
      </c>
    </row>
    <row r="1499" spans="1:19">
      <c r="A1499" t="s">
        <v>35</v>
      </c>
      <c r="B1499" t="s">
        <v>9081</v>
      </c>
      <c r="C1499">
        <f>"YJ2610N"</f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 s="2">
        <v>0</v>
      </c>
      <c r="M1499">
        <v>0</v>
      </c>
      <c r="N1499" s="2">
        <v>0</v>
      </c>
      <c r="O1499">
        <v>0</v>
      </c>
      <c r="P1499" t="s">
        <v>100</v>
      </c>
      <c r="Q1499">
        <v>0</v>
      </c>
      <c r="R1499" t="s">
        <v>145</v>
      </c>
      <c r="S1499">
        <v>0</v>
      </c>
    </row>
    <row r="1500" spans="1:19">
      <c r="A1500" t="s">
        <v>35</v>
      </c>
      <c r="B1500" t="s">
        <v>9080</v>
      </c>
      <c r="C1500">
        <f>"YJ2610A"</f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 s="2">
        <v>0</v>
      </c>
      <c r="M1500">
        <v>0</v>
      </c>
      <c r="N1500" s="2">
        <v>0</v>
      </c>
      <c r="O1500">
        <v>0</v>
      </c>
      <c r="P1500" t="s">
        <v>100</v>
      </c>
      <c r="Q1500">
        <v>0</v>
      </c>
      <c r="R1500" t="s">
        <v>145</v>
      </c>
      <c r="S1500">
        <v>0</v>
      </c>
    </row>
    <row r="1501" spans="1:19">
      <c r="A1501" t="s">
        <v>35</v>
      </c>
      <c r="B1501" t="s">
        <v>9079</v>
      </c>
      <c r="C1501">
        <f>"QZWJ022"</f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 s="2">
        <v>0</v>
      </c>
      <c r="M1501">
        <v>0</v>
      </c>
      <c r="N1501" s="2">
        <v>0</v>
      </c>
      <c r="O1501">
        <v>0</v>
      </c>
      <c r="P1501" t="s">
        <v>100</v>
      </c>
      <c r="Q1501">
        <v>0</v>
      </c>
      <c r="R1501" t="s">
        <v>145</v>
      </c>
      <c r="S1501">
        <v>0</v>
      </c>
    </row>
    <row r="1502" spans="1:19">
      <c r="A1502" t="s">
        <v>35</v>
      </c>
      <c r="B1502" t="s">
        <v>9078</v>
      </c>
      <c r="C1502">
        <f>"PCC012"</f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 s="2">
        <v>0</v>
      </c>
      <c r="M1502">
        <v>0</v>
      </c>
      <c r="N1502" s="2">
        <v>0</v>
      </c>
      <c r="O1502">
        <v>0</v>
      </c>
      <c r="P1502" t="s">
        <v>100</v>
      </c>
      <c r="Q1502">
        <v>0</v>
      </c>
      <c r="R1502" t="s">
        <v>145</v>
      </c>
      <c r="S1502">
        <v>0</v>
      </c>
    </row>
    <row r="1503" spans="1:19">
      <c r="A1503" t="s">
        <v>35</v>
      </c>
      <c r="B1503" t="s">
        <v>9104</v>
      </c>
      <c r="C1503">
        <f>"MCW138"</f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 s="2">
        <v>0</v>
      </c>
      <c r="M1503">
        <v>0</v>
      </c>
      <c r="N1503" s="2">
        <v>0</v>
      </c>
      <c r="O1503">
        <v>0</v>
      </c>
      <c r="P1503" t="s">
        <v>100</v>
      </c>
      <c r="Q1503">
        <v>0</v>
      </c>
      <c r="R1503" t="s">
        <v>145</v>
      </c>
      <c r="S1503">
        <v>0</v>
      </c>
    </row>
    <row r="1504" spans="1:19">
      <c r="A1504" t="s">
        <v>35</v>
      </c>
      <c r="B1504" t="s">
        <v>9103</v>
      </c>
      <c r="C1504">
        <f>"MCW103"</f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 s="2">
        <v>0</v>
      </c>
      <c r="M1504">
        <v>0</v>
      </c>
      <c r="N1504" s="2">
        <v>0</v>
      </c>
      <c r="O1504">
        <v>0</v>
      </c>
      <c r="P1504" t="s">
        <v>100</v>
      </c>
      <c r="Q1504">
        <v>0</v>
      </c>
      <c r="R1504" t="s">
        <v>145</v>
      </c>
      <c r="S1504">
        <v>0</v>
      </c>
    </row>
    <row r="1505" spans="1:19">
      <c r="A1505" t="s">
        <v>35</v>
      </c>
      <c r="B1505" t="s">
        <v>9102</v>
      </c>
      <c r="C1505">
        <f>"XX212"</f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 s="2">
        <v>0</v>
      </c>
      <c r="M1505">
        <v>0</v>
      </c>
      <c r="N1505" s="2">
        <v>0</v>
      </c>
      <c r="O1505">
        <v>0</v>
      </c>
      <c r="P1505" t="s">
        <v>100</v>
      </c>
      <c r="Q1505">
        <v>0</v>
      </c>
      <c r="R1505" t="s">
        <v>145</v>
      </c>
      <c r="S1505">
        <v>0</v>
      </c>
    </row>
    <row r="1506" spans="1:19">
      <c r="A1506" t="s">
        <v>35</v>
      </c>
      <c r="B1506" t="s">
        <v>7310</v>
      </c>
      <c r="C1506">
        <f>"WF4001"</f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 s="2">
        <v>0</v>
      </c>
      <c r="M1506">
        <v>0</v>
      </c>
      <c r="N1506" s="2">
        <v>0</v>
      </c>
      <c r="O1506">
        <v>0</v>
      </c>
      <c r="P1506" t="s">
        <v>100</v>
      </c>
      <c r="Q1506">
        <v>0</v>
      </c>
      <c r="R1506" t="s">
        <v>145</v>
      </c>
      <c r="S1506">
        <v>0</v>
      </c>
    </row>
    <row r="1507" spans="1:19">
      <c r="A1507" t="s">
        <v>35</v>
      </c>
      <c r="B1507" t="s">
        <v>1188</v>
      </c>
      <c r="C1507">
        <f>"JW17083A"</f>
        <v>0</v>
      </c>
      <c r="D1507">
        <v>1</v>
      </c>
      <c r="E1507">
        <v>0</v>
      </c>
      <c r="F1507">
        <v>0</v>
      </c>
      <c r="G1507">
        <v>0</v>
      </c>
      <c r="H1507">
        <v>1</v>
      </c>
      <c r="I1507">
        <v>0</v>
      </c>
      <c r="J1507">
        <v>0</v>
      </c>
      <c r="K1507">
        <v>0</v>
      </c>
      <c r="L1507" s="2">
        <v>0</v>
      </c>
      <c r="M1507">
        <v>0</v>
      </c>
      <c r="N1507" s="2">
        <v>0</v>
      </c>
      <c r="O1507">
        <v>0</v>
      </c>
      <c r="P1507" t="s">
        <v>100</v>
      </c>
      <c r="Q1507">
        <v>0</v>
      </c>
      <c r="R1507" t="s">
        <v>145</v>
      </c>
      <c r="S1507">
        <v>0</v>
      </c>
    </row>
    <row r="1508" spans="1:19">
      <c r="A1508" t="s">
        <v>35</v>
      </c>
      <c r="B1508" t="s">
        <v>7174</v>
      </c>
      <c r="C1508">
        <f>"B040S"</f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 s="2">
        <v>0</v>
      </c>
      <c r="M1508">
        <v>0</v>
      </c>
      <c r="N1508" s="2">
        <v>0</v>
      </c>
      <c r="O1508">
        <v>0</v>
      </c>
      <c r="P1508" t="s">
        <v>100</v>
      </c>
      <c r="Q1508">
        <v>0</v>
      </c>
      <c r="R1508" t="s">
        <v>145</v>
      </c>
      <c r="S1508">
        <v>0</v>
      </c>
    </row>
    <row r="1509" spans="1:19">
      <c r="A1509" t="s">
        <v>35</v>
      </c>
      <c r="B1509" t="s">
        <v>7173</v>
      </c>
      <c r="C1509">
        <f>"NT002A"</f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 s="2">
        <v>0</v>
      </c>
      <c r="M1509">
        <v>0</v>
      </c>
      <c r="N1509" s="2">
        <v>0</v>
      </c>
      <c r="O1509">
        <v>0</v>
      </c>
      <c r="P1509" t="s">
        <v>100</v>
      </c>
      <c r="Q1509">
        <v>0</v>
      </c>
      <c r="R1509" t="s">
        <v>145</v>
      </c>
      <c r="S1509">
        <v>0</v>
      </c>
    </row>
    <row r="1510" spans="1:19">
      <c r="A1510" t="s">
        <v>35</v>
      </c>
      <c r="B1510" t="s">
        <v>7172</v>
      </c>
      <c r="C1510">
        <f>"NT002RA"</f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 s="2">
        <v>0</v>
      </c>
      <c r="M1510">
        <v>0</v>
      </c>
      <c r="N1510" s="2">
        <v>0</v>
      </c>
      <c r="O1510">
        <v>0</v>
      </c>
      <c r="P1510" t="s">
        <v>100</v>
      </c>
      <c r="Q1510">
        <v>0</v>
      </c>
      <c r="R1510" t="s">
        <v>145</v>
      </c>
      <c r="S1510">
        <v>0</v>
      </c>
    </row>
    <row r="1511" spans="1:19">
      <c r="A1511" t="s">
        <v>35</v>
      </c>
      <c r="B1511" t="s">
        <v>1399</v>
      </c>
      <c r="C1511">
        <f>"NT002R"</f>
        <v>0</v>
      </c>
      <c r="D1511">
        <v>0</v>
      </c>
      <c r="E1511">
        <v>0</v>
      </c>
      <c r="F1511">
        <v>1</v>
      </c>
      <c r="G1511">
        <v>0</v>
      </c>
      <c r="H1511">
        <v>1</v>
      </c>
      <c r="I1511">
        <v>0</v>
      </c>
      <c r="J1511">
        <v>0</v>
      </c>
      <c r="K1511">
        <v>0</v>
      </c>
      <c r="L1511" s="2">
        <v>0</v>
      </c>
      <c r="M1511">
        <v>0</v>
      </c>
      <c r="N1511" s="2">
        <v>0</v>
      </c>
      <c r="O1511">
        <v>0</v>
      </c>
      <c r="P1511" t="s">
        <v>100</v>
      </c>
      <c r="Q1511">
        <v>0</v>
      </c>
      <c r="R1511" t="s">
        <v>145</v>
      </c>
      <c r="S1511">
        <v>0</v>
      </c>
    </row>
    <row r="1512" spans="1:19">
      <c r="A1512" t="s">
        <v>35</v>
      </c>
      <c r="B1512" t="s">
        <v>7171</v>
      </c>
      <c r="C1512">
        <f>"NT002V"</f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 s="2">
        <v>0</v>
      </c>
      <c r="M1512">
        <v>0</v>
      </c>
      <c r="N1512" s="2">
        <v>0</v>
      </c>
      <c r="O1512">
        <v>0</v>
      </c>
      <c r="P1512" t="s">
        <v>100</v>
      </c>
      <c r="Q1512">
        <v>0</v>
      </c>
      <c r="R1512" t="s">
        <v>145</v>
      </c>
      <c r="S1512">
        <v>0</v>
      </c>
    </row>
    <row r="1513" spans="1:19">
      <c r="A1513" t="s">
        <v>35</v>
      </c>
      <c r="B1513" t="s">
        <v>7186</v>
      </c>
      <c r="C1513">
        <f>"NT038AIRIS"</f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 s="2">
        <v>0</v>
      </c>
      <c r="M1513">
        <v>0</v>
      </c>
      <c r="N1513" s="2">
        <v>0</v>
      </c>
      <c r="O1513">
        <v>0</v>
      </c>
      <c r="P1513" t="s">
        <v>100</v>
      </c>
      <c r="Q1513">
        <v>0</v>
      </c>
      <c r="R1513" t="s">
        <v>145</v>
      </c>
      <c r="S1513">
        <v>0</v>
      </c>
    </row>
    <row r="1514" spans="1:19">
      <c r="A1514" t="s">
        <v>35</v>
      </c>
      <c r="B1514" t="s">
        <v>7169</v>
      </c>
      <c r="C1514">
        <f>"NT038AZMARI"</f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 s="2">
        <v>0</v>
      </c>
      <c r="M1514">
        <v>0</v>
      </c>
      <c r="N1514" s="2">
        <v>0</v>
      </c>
      <c r="O1514">
        <v>0</v>
      </c>
      <c r="P1514" t="s">
        <v>100</v>
      </c>
      <c r="Q1514">
        <v>0</v>
      </c>
      <c r="R1514" t="s">
        <v>145</v>
      </c>
      <c r="S1514">
        <v>0</v>
      </c>
    </row>
    <row r="1515" spans="1:19">
      <c r="A1515" t="s">
        <v>35</v>
      </c>
      <c r="B1515" t="s">
        <v>7168</v>
      </c>
      <c r="C1515">
        <f>"NT038BEIBUR"</f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 s="2">
        <v>0</v>
      </c>
      <c r="M1515">
        <v>0</v>
      </c>
      <c r="N1515" s="2">
        <v>0</v>
      </c>
      <c r="O1515">
        <v>0</v>
      </c>
      <c r="P1515" t="s">
        <v>100</v>
      </c>
      <c r="Q1515">
        <v>0</v>
      </c>
      <c r="R1515" t="s">
        <v>145</v>
      </c>
      <c r="S1515">
        <v>0</v>
      </c>
    </row>
    <row r="1516" spans="1:19">
      <c r="A1516" t="s">
        <v>35</v>
      </c>
      <c r="B1516" t="s">
        <v>7166</v>
      </c>
      <c r="C1516">
        <f>"NT038BESO"</f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 s="2">
        <v>0</v>
      </c>
      <c r="M1516">
        <v>0</v>
      </c>
      <c r="N1516" s="2">
        <v>0</v>
      </c>
      <c r="O1516">
        <v>0</v>
      </c>
      <c r="P1516" t="s">
        <v>100</v>
      </c>
      <c r="Q1516">
        <v>0</v>
      </c>
      <c r="R1516" t="s">
        <v>145</v>
      </c>
      <c r="S1516">
        <v>0</v>
      </c>
    </row>
    <row r="1517" spans="1:19">
      <c r="A1517" t="s">
        <v>35</v>
      </c>
      <c r="B1517" t="s">
        <v>1397</v>
      </c>
      <c r="C1517">
        <f>"NT038BUR"</f>
        <v>0</v>
      </c>
      <c r="D1517">
        <v>0</v>
      </c>
      <c r="E1517">
        <v>0</v>
      </c>
      <c r="F1517">
        <v>1</v>
      </c>
      <c r="G1517">
        <v>0</v>
      </c>
      <c r="H1517">
        <v>1</v>
      </c>
      <c r="I1517">
        <v>0</v>
      </c>
      <c r="J1517">
        <v>0</v>
      </c>
      <c r="K1517">
        <v>0</v>
      </c>
      <c r="L1517" s="2">
        <v>0</v>
      </c>
      <c r="M1517">
        <v>0</v>
      </c>
      <c r="N1517" s="2">
        <v>0</v>
      </c>
      <c r="O1517">
        <v>0</v>
      </c>
      <c r="P1517" t="s">
        <v>100</v>
      </c>
      <c r="Q1517">
        <v>0</v>
      </c>
      <c r="R1517" t="s">
        <v>145</v>
      </c>
      <c r="S1517">
        <v>0</v>
      </c>
    </row>
    <row r="1518" spans="1:19">
      <c r="A1518" t="s">
        <v>35</v>
      </c>
      <c r="B1518" t="s">
        <v>7324</v>
      </c>
      <c r="C1518">
        <f>"NT038ROJ"</f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 s="2">
        <v>0</v>
      </c>
      <c r="M1518">
        <v>0</v>
      </c>
      <c r="N1518" s="2">
        <v>0</v>
      </c>
      <c r="O1518">
        <v>0</v>
      </c>
      <c r="P1518" t="s">
        <v>100</v>
      </c>
      <c r="Q1518">
        <v>0</v>
      </c>
      <c r="R1518" t="s">
        <v>145</v>
      </c>
      <c r="S1518">
        <v>0</v>
      </c>
    </row>
    <row r="1519" spans="1:19">
      <c r="A1519" t="s">
        <v>35</v>
      </c>
      <c r="B1519" t="s">
        <v>1398</v>
      </c>
      <c r="C1519">
        <f>"LJ100"</f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 s="2">
        <v>0</v>
      </c>
      <c r="M1519">
        <v>0</v>
      </c>
      <c r="N1519" s="2">
        <v>0</v>
      </c>
      <c r="O1519">
        <v>0</v>
      </c>
      <c r="P1519" t="s">
        <v>100</v>
      </c>
      <c r="Q1519">
        <v>0</v>
      </c>
      <c r="R1519" t="s">
        <v>145</v>
      </c>
      <c r="S1519">
        <v>0</v>
      </c>
    </row>
    <row r="1520" spans="1:19">
      <c r="A1520" t="s">
        <v>35</v>
      </c>
      <c r="B1520" t="s">
        <v>7309</v>
      </c>
      <c r="C1520">
        <f>"KF8601"</f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 s="2">
        <v>0</v>
      </c>
      <c r="M1520">
        <v>0</v>
      </c>
      <c r="N1520" s="2">
        <v>0</v>
      </c>
      <c r="O1520">
        <v>0</v>
      </c>
      <c r="P1520" t="s">
        <v>100</v>
      </c>
      <c r="Q1520">
        <v>0</v>
      </c>
      <c r="R1520" t="s">
        <v>145</v>
      </c>
      <c r="S1520">
        <v>0</v>
      </c>
    </row>
    <row r="1521" spans="1:19">
      <c r="A1521" t="s">
        <v>35</v>
      </c>
      <c r="B1521" t="s">
        <v>7307</v>
      </c>
      <c r="C1521">
        <f>"VMT0111"</f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 s="2">
        <v>0</v>
      </c>
      <c r="M1521">
        <v>0</v>
      </c>
      <c r="N1521" s="2">
        <v>0</v>
      </c>
      <c r="O1521">
        <v>0</v>
      </c>
      <c r="P1521" t="s">
        <v>100</v>
      </c>
      <c r="Q1521">
        <v>0</v>
      </c>
      <c r="R1521" t="s">
        <v>145</v>
      </c>
      <c r="S1521">
        <v>0</v>
      </c>
    </row>
    <row r="1522" spans="1:19">
      <c r="A1522" t="s">
        <v>35</v>
      </c>
      <c r="B1522" t="s">
        <v>1122</v>
      </c>
      <c r="C1522">
        <f>"VMT071"</f>
        <v>0</v>
      </c>
      <c r="D1522">
        <v>0</v>
      </c>
      <c r="E1522">
        <v>0</v>
      </c>
      <c r="F1522">
        <v>2</v>
      </c>
      <c r="G1522">
        <v>0</v>
      </c>
      <c r="H1522">
        <v>2</v>
      </c>
      <c r="I1522">
        <v>0</v>
      </c>
      <c r="J1522">
        <v>0</v>
      </c>
      <c r="K1522">
        <v>0</v>
      </c>
      <c r="L1522" s="2">
        <v>0</v>
      </c>
      <c r="M1522">
        <v>0</v>
      </c>
      <c r="N1522" s="2">
        <v>0</v>
      </c>
      <c r="O1522">
        <v>0</v>
      </c>
      <c r="P1522" t="s">
        <v>100</v>
      </c>
      <c r="Q1522">
        <v>0</v>
      </c>
      <c r="R1522" t="s">
        <v>145</v>
      </c>
      <c r="S1522">
        <v>0</v>
      </c>
    </row>
    <row r="1523" spans="1:19">
      <c r="A1523" t="s">
        <v>35</v>
      </c>
      <c r="B1523" t="s">
        <v>7278</v>
      </c>
      <c r="C1523">
        <f>"SPS019CEL"</f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 s="2">
        <v>0</v>
      </c>
      <c r="M1523">
        <v>0</v>
      </c>
      <c r="N1523" s="2">
        <v>0</v>
      </c>
      <c r="O1523">
        <v>0</v>
      </c>
      <c r="P1523" t="s">
        <v>100</v>
      </c>
      <c r="Q1523">
        <v>0</v>
      </c>
      <c r="R1523" t="s">
        <v>145</v>
      </c>
      <c r="S1523">
        <v>0</v>
      </c>
    </row>
    <row r="1524" spans="1:19">
      <c r="A1524" t="s">
        <v>35</v>
      </c>
      <c r="B1524" t="s">
        <v>7364</v>
      </c>
      <c r="C1524">
        <f>"SPS019NE"</f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 s="2">
        <v>0</v>
      </c>
      <c r="M1524">
        <v>0</v>
      </c>
      <c r="N1524" s="2">
        <v>0</v>
      </c>
      <c r="O1524">
        <v>0</v>
      </c>
      <c r="P1524" t="s">
        <v>100</v>
      </c>
      <c r="Q1524">
        <v>0</v>
      </c>
      <c r="R1524" t="s">
        <v>145</v>
      </c>
      <c r="S1524">
        <v>0</v>
      </c>
    </row>
    <row r="1525" spans="1:19">
      <c r="A1525" t="s">
        <v>35</v>
      </c>
      <c r="B1525" t="s">
        <v>1396</v>
      </c>
      <c r="C1525">
        <f>"MDD1000AZ"</f>
        <v>0</v>
      </c>
      <c r="D1525">
        <v>0</v>
      </c>
      <c r="E1525">
        <v>1</v>
      </c>
      <c r="F1525">
        <v>0</v>
      </c>
      <c r="G1525">
        <v>0</v>
      </c>
      <c r="H1525">
        <v>1</v>
      </c>
      <c r="I1525">
        <v>0</v>
      </c>
      <c r="J1525">
        <v>0</v>
      </c>
      <c r="K1525">
        <v>0</v>
      </c>
      <c r="L1525" s="2">
        <v>0</v>
      </c>
      <c r="M1525">
        <v>0</v>
      </c>
      <c r="N1525" s="2">
        <v>0</v>
      </c>
      <c r="O1525">
        <v>0</v>
      </c>
      <c r="P1525" t="s">
        <v>100</v>
      </c>
      <c r="Q1525">
        <v>0</v>
      </c>
      <c r="R1525" t="s">
        <v>145</v>
      </c>
      <c r="S1525">
        <v>0</v>
      </c>
    </row>
    <row r="1526" spans="1:19">
      <c r="A1526" t="s">
        <v>35</v>
      </c>
      <c r="B1526" t="s">
        <v>7361</v>
      </c>
      <c r="C1526">
        <f>"MDD300NA"</f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 s="2">
        <v>0</v>
      </c>
      <c r="M1526">
        <v>0</v>
      </c>
      <c r="N1526" s="2">
        <v>0</v>
      </c>
      <c r="O1526">
        <v>0</v>
      </c>
      <c r="P1526" t="s">
        <v>100</v>
      </c>
      <c r="Q1526">
        <v>0</v>
      </c>
      <c r="R1526" t="s">
        <v>145</v>
      </c>
      <c r="S1526">
        <v>0</v>
      </c>
    </row>
    <row r="1527" spans="1:19">
      <c r="A1527" t="s">
        <v>35</v>
      </c>
      <c r="B1527" t="s">
        <v>7327</v>
      </c>
      <c r="C1527">
        <f>"NT038NEPUN"</f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 s="2">
        <v>0</v>
      </c>
      <c r="M1527">
        <v>0</v>
      </c>
      <c r="N1527" s="2">
        <v>0</v>
      </c>
      <c r="O1527">
        <v>0</v>
      </c>
      <c r="P1527" t="s">
        <v>100</v>
      </c>
      <c r="Q1527">
        <v>0</v>
      </c>
      <c r="R1527" t="s">
        <v>145</v>
      </c>
      <c r="S1527">
        <v>0</v>
      </c>
    </row>
    <row r="1528" spans="1:19">
      <c r="A1528" t="s">
        <v>35</v>
      </c>
      <c r="B1528" t="s">
        <v>7325</v>
      </c>
      <c r="C1528">
        <f>"NT038PUNAMROJ"</f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 s="2">
        <v>0</v>
      </c>
      <c r="M1528">
        <v>0</v>
      </c>
      <c r="N1528" s="2">
        <v>0</v>
      </c>
      <c r="O1528">
        <v>0</v>
      </c>
      <c r="P1528" t="s">
        <v>100</v>
      </c>
      <c r="Q1528">
        <v>0</v>
      </c>
      <c r="R1528" t="s">
        <v>145</v>
      </c>
      <c r="S1528">
        <v>0</v>
      </c>
    </row>
    <row r="1529" spans="1:19">
      <c r="A1529" t="s">
        <v>35</v>
      </c>
      <c r="B1529" t="s">
        <v>7164</v>
      </c>
      <c r="C1529">
        <f>"NT038CUAD"</f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 s="2">
        <v>0</v>
      </c>
      <c r="M1529">
        <v>0</v>
      </c>
      <c r="N1529" s="2">
        <v>0</v>
      </c>
      <c r="O1529">
        <v>0</v>
      </c>
      <c r="P1529" t="s">
        <v>100</v>
      </c>
      <c r="Q1529">
        <v>0</v>
      </c>
      <c r="R1529" t="s">
        <v>145</v>
      </c>
      <c r="S1529">
        <v>0</v>
      </c>
    </row>
    <row r="1530" spans="1:19">
      <c r="A1530" t="s">
        <v>35</v>
      </c>
      <c r="B1530" t="s">
        <v>6111</v>
      </c>
      <c r="C1530">
        <f>"HC0102"</f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 s="2">
        <v>0</v>
      </c>
      <c r="M1530">
        <v>0</v>
      </c>
      <c r="N1530" s="2">
        <v>0</v>
      </c>
      <c r="O1530">
        <v>0</v>
      </c>
      <c r="P1530" t="s">
        <v>100</v>
      </c>
      <c r="Q1530">
        <v>0</v>
      </c>
      <c r="R1530" t="s">
        <v>145</v>
      </c>
      <c r="S1530">
        <v>0</v>
      </c>
    </row>
    <row r="1531" spans="1:19">
      <c r="A1531" t="s">
        <v>35</v>
      </c>
      <c r="B1531" t="s">
        <v>4741</v>
      </c>
      <c r="C1531">
        <f>"PP129CB"</f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 s="2">
        <v>0</v>
      </c>
      <c r="M1531">
        <v>0</v>
      </c>
      <c r="N1531" s="2">
        <v>0</v>
      </c>
      <c r="O1531">
        <v>0</v>
      </c>
      <c r="P1531" t="s">
        <v>100</v>
      </c>
      <c r="Q1531">
        <v>0</v>
      </c>
      <c r="R1531" t="s">
        <v>145</v>
      </c>
      <c r="S1531">
        <v>0</v>
      </c>
    </row>
    <row r="1532" spans="1:19">
      <c r="A1532" t="s">
        <v>35</v>
      </c>
      <c r="B1532" t="s">
        <v>4740</v>
      </c>
      <c r="C1532">
        <f>"PP129CC"</f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 s="2">
        <v>0</v>
      </c>
      <c r="M1532">
        <v>0</v>
      </c>
      <c r="N1532" s="2">
        <v>0</v>
      </c>
      <c r="O1532">
        <v>0</v>
      </c>
      <c r="P1532" t="s">
        <v>100</v>
      </c>
      <c r="Q1532">
        <v>0</v>
      </c>
      <c r="R1532" t="s">
        <v>145</v>
      </c>
      <c r="S1532">
        <v>0</v>
      </c>
    </row>
    <row r="1533" spans="1:19">
      <c r="A1533" t="s">
        <v>35</v>
      </c>
      <c r="B1533" t="s">
        <v>4739</v>
      </c>
      <c r="C1533">
        <f>"PP180CG"</f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 s="2">
        <v>0</v>
      </c>
      <c r="M1533">
        <v>0</v>
      </c>
      <c r="N1533" s="2">
        <v>0</v>
      </c>
      <c r="O1533">
        <v>0</v>
      </c>
      <c r="P1533" t="s">
        <v>100</v>
      </c>
      <c r="Q1533">
        <v>0</v>
      </c>
      <c r="R1533" t="s">
        <v>145</v>
      </c>
      <c r="S1533">
        <v>0</v>
      </c>
    </row>
    <row r="1534" spans="1:19">
      <c r="A1534" t="s">
        <v>35</v>
      </c>
      <c r="B1534" t="s">
        <v>4738</v>
      </c>
      <c r="C1534">
        <f>"PP160CC"</f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 s="2">
        <v>0</v>
      </c>
      <c r="M1534">
        <v>0</v>
      </c>
      <c r="N1534" s="2">
        <v>0</v>
      </c>
      <c r="O1534">
        <v>0</v>
      </c>
      <c r="P1534" t="s">
        <v>100</v>
      </c>
      <c r="Q1534">
        <v>0</v>
      </c>
      <c r="R1534" t="s">
        <v>145</v>
      </c>
      <c r="S1534">
        <v>0</v>
      </c>
    </row>
    <row r="1535" spans="1:19">
      <c r="A1535" t="s">
        <v>35</v>
      </c>
      <c r="B1535" t="s">
        <v>6045</v>
      </c>
      <c r="C1535">
        <f>"54105"</f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 s="2">
        <v>0</v>
      </c>
      <c r="M1535">
        <v>0</v>
      </c>
      <c r="N1535" s="2">
        <v>0</v>
      </c>
      <c r="O1535">
        <v>0</v>
      </c>
      <c r="P1535" t="s">
        <v>100</v>
      </c>
      <c r="Q1535">
        <v>0</v>
      </c>
      <c r="R1535" t="s">
        <v>145</v>
      </c>
      <c r="S1535">
        <v>0</v>
      </c>
    </row>
    <row r="1536" spans="1:19">
      <c r="A1536" t="s">
        <v>35</v>
      </c>
      <c r="B1536" t="s">
        <v>5958</v>
      </c>
      <c r="C1536">
        <f>"2401"</f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 s="2">
        <v>0</v>
      </c>
      <c r="M1536">
        <v>0</v>
      </c>
      <c r="N1536" s="2">
        <v>0</v>
      </c>
      <c r="O1536">
        <v>0</v>
      </c>
      <c r="P1536" t="s">
        <v>100</v>
      </c>
      <c r="Q1536">
        <v>0</v>
      </c>
      <c r="R1536" t="s">
        <v>145</v>
      </c>
      <c r="S1536">
        <v>0</v>
      </c>
    </row>
    <row r="1537" spans="1:19">
      <c r="A1537" t="s">
        <v>35</v>
      </c>
      <c r="B1537" t="s">
        <v>6039</v>
      </c>
      <c r="C1537">
        <f>"ZEM"</f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 s="2">
        <v>0</v>
      </c>
      <c r="M1537">
        <v>0</v>
      </c>
      <c r="N1537" s="2">
        <v>0</v>
      </c>
      <c r="O1537">
        <v>0</v>
      </c>
      <c r="P1537" t="s">
        <v>100</v>
      </c>
      <c r="Q1537">
        <v>0</v>
      </c>
      <c r="R1537" t="s">
        <v>145</v>
      </c>
      <c r="S1537">
        <v>0</v>
      </c>
    </row>
    <row r="1538" spans="1:19">
      <c r="A1538" t="s">
        <v>35</v>
      </c>
      <c r="B1538" t="s">
        <v>6464</v>
      </c>
      <c r="C1538">
        <f>"HH088LN"</f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 s="2">
        <v>0</v>
      </c>
      <c r="M1538">
        <v>0</v>
      </c>
      <c r="N1538" s="2">
        <v>0</v>
      </c>
      <c r="O1538">
        <v>0</v>
      </c>
      <c r="P1538" t="s">
        <v>100</v>
      </c>
      <c r="Q1538">
        <v>0</v>
      </c>
      <c r="R1538" t="s">
        <v>145</v>
      </c>
      <c r="S1538">
        <v>0</v>
      </c>
    </row>
    <row r="1539" spans="1:19">
      <c r="A1539" t="s">
        <v>35</v>
      </c>
      <c r="B1539" t="s">
        <v>7370</v>
      </c>
      <c r="C1539">
        <f>"P08G"</f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 s="2">
        <v>0</v>
      </c>
      <c r="M1539">
        <v>0</v>
      </c>
      <c r="N1539" s="2">
        <v>0</v>
      </c>
      <c r="O1539">
        <v>0</v>
      </c>
      <c r="P1539" t="s">
        <v>100</v>
      </c>
      <c r="Q1539">
        <v>0</v>
      </c>
      <c r="R1539" t="s">
        <v>145</v>
      </c>
      <c r="S1539">
        <v>0</v>
      </c>
    </row>
    <row r="1540" spans="1:19">
      <c r="A1540" t="s">
        <v>35</v>
      </c>
      <c r="B1540" t="s">
        <v>6461</v>
      </c>
      <c r="C1540">
        <f>"HH088XLN"</f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 s="2">
        <v>0</v>
      </c>
      <c r="M1540">
        <v>0</v>
      </c>
      <c r="N1540" s="2">
        <v>0</v>
      </c>
      <c r="O1540">
        <v>0</v>
      </c>
      <c r="P1540" t="s">
        <v>100</v>
      </c>
      <c r="Q1540">
        <v>0</v>
      </c>
      <c r="R1540" t="s">
        <v>145</v>
      </c>
      <c r="S1540">
        <v>0</v>
      </c>
    </row>
    <row r="1541" spans="1:19">
      <c r="A1541" t="s">
        <v>35</v>
      </c>
      <c r="B1541" t="s">
        <v>6636</v>
      </c>
      <c r="C1541">
        <f>"HH088MR"</f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 s="2">
        <v>0</v>
      </c>
      <c r="M1541">
        <v>0</v>
      </c>
      <c r="N1541" s="2">
        <v>0</v>
      </c>
      <c r="O1541">
        <v>0</v>
      </c>
      <c r="P1541" t="s">
        <v>100</v>
      </c>
      <c r="Q1541">
        <v>0</v>
      </c>
      <c r="R1541" t="s">
        <v>145</v>
      </c>
      <c r="S1541">
        <v>0</v>
      </c>
    </row>
    <row r="1542" spans="1:19">
      <c r="A1542" t="s">
        <v>35</v>
      </c>
      <c r="B1542" t="s">
        <v>7329</v>
      </c>
      <c r="C1542">
        <f>"HH088XLR"</f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 s="2">
        <v>0</v>
      </c>
      <c r="M1542">
        <v>0</v>
      </c>
      <c r="N1542" s="2">
        <v>0</v>
      </c>
      <c r="O1542">
        <v>0</v>
      </c>
      <c r="P1542" t="s">
        <v>100</v>
      </c>
      <c r="Q1542">
        <v>0</v>
      </c>
      <c r="R1542" t="s">
        <v>145</v>
      </c>
      <c r="S1542">
        <v>0</v>
      </c>
    </row>
    <row r="1543" spans="1:19">
      <c r="A1543" t="s">
        <v>35</v>
      </c>
      <c r="B1543" t="s">
        <v>6018</v>
      </c>
      <c r="C1543">
        <f>"25390131"</f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 s="2">
        <v>0</v>
      </c>
      <c r="M1543">
        <v>0</v>
      </c>
      <c r="N1543" s="2">
        <v>0</v>
      </c>
      <c r="O1543">
        <v>0</v>
      </c>
      <c r="P1543" t="s">
        <v>100</v>
      </c>
      <c r="Q1543">
        <v>0</v>
      </c>
      <c r="R1543" t="s">
        <v>145</v>
      </c>
      <c r="S1543">
        <v>0</v>
      </c>
    </row>
    <row r="1544" spans="1:19">
      <c r="A1544" t="s">
        <v>35</v>
      </c>
      <c r="B1544" t="s">
        <v>5967</v>
      </c>
      <c r="C1544">
        <f>"A79L1"</f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 s="2">
        <v>0</v>
      </c>
      <c r="M1544">
        <v>0</v>
      </c>
      <c r="N1544" s="2">
        <v>0</v>
      </c>
      <c r="O1544">
        <v>0</v>
      </c>
      <c r="P1544" t="s">
        <v>100</v>
      </c>
      <c r="Q1544">
        <v>0</v>
      </c>
      <c r="R1544" t="s">
        <v>145</v>
      </c>
      <c r="S1544">
        <v>0</v>
      </c>
    </row>
    <row r="1545" spans="1:19">
      <c r="A1545" t="s">
        <v>35</v>
      </c>
      <c r="B1545" t="s">
        <v>5965</v>
      </c>
      <c r="C1545">
        <f>"YP59LA"</f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 s="2">
        <v>0</v>
      </c>
      <c r="M1545">
        <v>0</v>
      </c>
      <c r="N1545" s="2">
        <v>0</v>
      </c>
      <c r="O1545">
        <v>0</v>
      </c>
      <c r="P1545" t="s">
        <v>100</v>
      </c>
      <c r="Q1545">
        <v>0</v>
      </c>
      <c r="R1545" t="s">
        <v>145</v>
      </c>
      <c r="S1545">
        <v>0</v>
      </c>
    </row>
    <row r="1546" spans="1:19">
      <c r="A1546" t="s">
        <v>35</v>
      </c>
      <c r="B1546" t="s">
        <v>5963</v>
      </c>
      <c r="C1546">
        <f>"YP59SA"</f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 s="2">
        <v>0</v>
      </c>
      <c r="M1546">
        <v>0</v>
      </c>
      <c r="N1546" s="2">
        <v>0</v>
      </c>
      <c r="O1546">
        <v>0</v>
      </c>
      <c r="P1546" t="s">
        <v>100</v>
      </c>
      <c r="Q1546">
        <v>0</v>
      </c>
      <c r="R1546" t="s">
        <v>145</v>
      </c>
      <c r="S1546">
        <v>0</v>
      </c>
    </row>
    <row r="1547" spans="1:19">
      <c r="A1547" t="s">
        <v>35</v>
      </c>
      <c r="B1547" t="s">
        <v>5956</v>
      </c>
      <c r="C1547">
        <f>"C612"</f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 s="2">
        <v>0</v>
      </c>
      <c r="M1547">
        <v>0</v>
      </c>
      <c r="N1547" s="2">
        <v>0</v>
      </c>
      <c r="O1547">
        <v>0</v>
      </c>
      <c r="P1547" t="s">
        <v>100</v>
      </c>
      <c r="Q1547">
        <v>0</v>
      </c>
      <c r="R1547" t="s">
        <v>145</v>
      </c>
      <c r="S1547">
        <v>0</v>
      </c>
    </row>
    <row r="1548" spans="1:19">
      <c r="A1548" t="s">
        <v>35</v>
      </c>
      <c r="B1548" t="s">
        <v>6129</v>
      </c>
      <c r="C1548">
        <f>"ZD06"</f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 s="2">
        <v>0</v>
      </c>
      <c r="M1548">
        <v>0</v>
      </c>
      <c r="N1548" s="2">
        <v>0</v>
      </c>
      <c r="O1548">
        <v>0</v>
      </c>
      <c r="P1548" t="s">
        <v>100</v>
      </c>
      <c r="Q1548">
        <v>0</v>
      </c>
      <c r="R1548" t="s">
        <v>145</v>
      </c>
      <c r="S1548">
        <v>0</v>
      </c>
    </row>
    <row r="1549" spans="1:19">
      <c r="A1549" t="s">
        <v>35</v>
      </c>
      <c r="B1549" t="s">
        <v>6154</v>
      </c>
      <c r="C1549">
        <f>"WPS284"</f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 s="2">
        <v>0</v>
      </c>
      <c r="M1549">
        <v>0</v>
      </c>
      <c r="N1549" s="2">
        <v>0</v>
      </c>
      <c r="O1549">
        <v>0</v>
      </c>
      <c r="P1549" t="s">
        <v>100</v>
      </c>
      <c r="Q1549">
        <v>0</v>
      </c>
      <c r="R1549" t="s">
        <v>145</v>
      </c>
      <c r="S1549">
        <v>0</v>
      </c>
    </row>
    <row r="1550" spans="1:19">
      <c r="A1550" t="s">
        <v>35</v>
      </c>
      <c r="B1550" t="s">
        <v>6463</v>
      </c>
      <c r="C1550">
        <f>"HH088MN"</f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 s="2">
        <v>0</v>
      </c>
      <c r="M1550">
        <v>0</v>
      </c>
      <c r="N1550" s="2">
        <v>0</v>
      </c>
      <c r="O1550">
        <v>0</v>
      </c>
      <c r="P1550" t="s">
        <v>100</v>
      </c>
      <c r="Q1550">
        <v>0</v>
      </c>
      <c r="R1550" t="s">
        <v>145</v>
      </c>
      <c r="S1550">
        <v>0</v>
      </c>
    </row>
    <row r="1551" spans="1:19">
      <c r="A1551" t="s">
        <v>35</v>
      </c>
      <c r="B1551" t="s">
        <v>4776</v>
      </c>
      <c r="C1551">
        <f>"JW0127R"</f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 s="2">
        <v>0</v>
      </c>
      <c r="M1551">
        <v>0</v>
      </c>
      <c r="N1551" s="2">
        <v>0</v>
      </c>
      <c r="O1551">
        <v>0</v>
      </c>
      <c r="P1551" t="s">
        <v>100</v>
      </c>
      <c r="Q1551">
        <v>0</v>
      </c>
      <c r="R1551" t="s">
        <v>145</v>
      </c>
      <c r="S1551">
        <v>0</v>
      </c>
    </row>
    <row r="1552" spans="1:19">
      <c r="A1552" t="s">
        <v>35</v>
      </c>
      <c r="B1552" t="s">
        <v>4773</v>
      </c>
      <c r="C1552">
        <f>"JW0128N"</f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 s="2">
        <v>0</v>
      </c>
      <c r="M1552">
        <v>0</v>
      </c>
      <c r="N1552" s="2">
        <v>0</v>
      </c>
      <c r="O1552">
        <v>0</v>
      </c>
      <c r="P1552" t="s">
        <v>100</v>
      </c>
      <c r="Q1552">
        <v>0</v>
      </c>
      <c r="R1552" t="s">
        <v>145</v>
      </c>
      <c r="S1552">
        <v>0</v>
      </c>
    </row>
    <row r="1553" spans="1:19">
      <c r="A1553" t="s">
        <v>35</v>
      </c>
      <c r="B1553" t="s">
        <v>4772</v>
      </c>
      <c r="C1553">
        <f>"JW0128R"</f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 s="2">
        <v>0</v>
      </c>
      <c r="M1553">
        <v>0</v>
      </c>
      <c r="N1553" s="2">
        <v>0</v>
      </c>
      <c r="O1553">
        <v>0</v>
      </c>
      <c r="P1553" t="s">
        <v>100</v>
      </c>
      <c r="Q1553">
        <v>0</v>
      </c>
      <c r="R1553" t="s">
        <v>145</v>
      </c>
      <c r="S1553">
        <v>0</v>
      </c>
    </row>
    <row r="1554" spans="1:19">
      <c r="A1554" t="s">
        <v>35</v>
      </c>
      <c r="B1554" t="s">
        <v>4768</v>
      </c>
      <c r="C1554">
        <f>"JW0129R"</f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 s="2">
        <v>0</v>
      </c>
      <c r="M1554">
        <v>0</v>
      </c>
      <c r="N1554" s="2">
        <v>0</v>
      </c>
      <c r="O1554">
        <v>0</v>
      </c>
      <c r="P1554" t="s">
        <v>100</v>
      </c>
      <c r="Q1554">
        <v>0</v>
      </c>
      <c r="R1554" t="s">
        <v>145</v>
      </c>
      <c r="S1554">
        <v>0</v>
      </c>
    </row>
    <row r="1555" spans="1:19">
      <c r="A1555" t="s">
        <v>35</v>
      </c>
      <c r="B1555" t="s">
        <v>7157</v>
      </c>
      <c r="C1555">
        <f>"LV09092XL"</f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 s="2">
        <v>0</v>
      </c>
      <c r="M1555">
        <v>0</v>
      </c>
      <c r="N1555" s="2">
        <v>0</v>
      </c>
      <c r="O1555">
        <v>0</v>
      </c>
      <c r="P1555" t="s">
        <v>100</v>
      </c>
      <c r="Q1555">
        <v>0</v>
      </c>
      <c r="R1555" t="s">
        <v>145</v>
      </c>
      <c r="S1555">
        <v>0</v>
      </c>
    </row>
    <row r="1556" spans="1:19">
      <c r="A1556" t="s">
        <v>35</v>
      </c>
      <c r="B1556" t="s">
        <v>7263</v>
      </c>
      <c r="C1556">
        <f>"HH088MAR"</f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 s="2">
        <v>0</v>
      </c>
      <c r="M1556">
        <v>0</v>
      </c>
      <c r="N1556" s="2">
        <v>0</v>
      </c>
      <c r="O1556">
        <v>0</v>
      </c>
      <c r="P1556" t="s">
        <v>100</v>
      </c>
      <c r="Q1556">
        <v>0</v>
      </c>
      <c r="R1556" t="s">
        <v>145</v>
      </c>
      <c r="S1556">
        <v>0</v>
      </c>
    </row>
    <row r="1557" spans="1:19">
      <c r="A1557" t="s">
        <v>35</v>
      </c>
      <c r="B1557" t="s">
        <v>7331</v>
      </c>
      <c r="C1557">
        <f>"HH088LAC"</f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 s="2">
        <v>0</v>
      </c>
      <c r="M1557">
        <v>0</v>
      </c>
      <c r="N1557" s="2">
        <v>0</v>
      </c>
      <c r="O1557">
        <v>0</v>
      </c>
      <c r="P1557" t="s">
        <v>100</v>
      </c>
      <c r="Q1557">
        <v>0</v>
      </c>
      <c r="R1557" t="s">
        <v>145</v>
      </c>
      <c r="S1557">
        <v>0</v>
      </c>
    </row>
    <row r="1558" spans="1:19">
      <c r="A1558" t="s">
        <v>35</v>
      </c>
      <c r="B1558" t="s">
        <v>9546</v>
      </c>
      <c r="C1558">
        <f>"HH088MAC"</f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 s="2">
        <v>0</v>
      </c>
      <c r="M1558">
        <v>0</v>
      </c>
      <c r="N1558" s="2">
        <v>0</v>
      </c>
      <c r="O1558">
        <v>0</v>
      </c>
      <c r="P1558" t="s">
        <v>100</v>
      </c>
      <c r="Q1558">
        <v>0</v>
      </c>
      <c r="R1558" t="s">
        <v>145</v>
      </c>
      <c r="S1558">
        <v>0</v>
      </c>
    </row>
    <row r="1559" spans="1:19">
      <c r="A1559" t="s">
        <v>35</v>
      </c>
      <c r="B1559" t="s">
        <v>4759</v>
      </c>
      <c r="C1559">
        <f>"WIN50"</f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 s="2">
        <v>0</v>
      </c>
      <c r="M1559">
        <v>0</v>
      </c>
      <c r="N1559" s="2">
        <v>0</v>
      </c>
      <c r="O1559">
        <v>0</v>
      </c>
      <c r="P1559" t="s">
        <v>100</v>
      </c>
      <c r="Q1559">
        <v>0</v>
      </c>
      <c r="R1559" t="s">
        <v>145</v>
      </c>
      <c r="S1559">
        <v>0</v>
      </c>
    </row>
    <row r="1560" spans="1:19">
      <c r="A1560" t="s">
        <v>35</v>
      </c>
      <c r="B1560" t="s">
        <v>4758</v>
      </c>
      <c r="C1560">
        <f>"WIN85ROS"</f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 s="2">
        <v>0</v>
      </c>
      <c r="M1560">
        <v>0</v>
      </c>
      <c r="N1560" s="2">
        <v>0</v>
      </c>
      <c r="O1560">
        <v>0</v>
      </c>
      <c r="P1560" t="s">
        <v>100</v>
      </c>
      <c r="Q1560">
        <v>0</v>
      </c>
      <c r="R1560" t="s">
        <v>145</v>
      </c>
      <c r="S1560">
        <v>0</v>
      </c>
    </row>
    <row r="1561" spans="1:19">
      <c r="A1561" t="s">
        <v>35</v>
      </c>
      <c r="B1561" t="s">
        <v>6112</v>
      </c>
      <c r="C1561">
        <f>"HC1022"</f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 s="2">
        <v>0</v>
      </c>
      <c r="M1561">
        <v>0</v>
      </c>
      <c r="N1561" s="2">
        <v>0</v>
      </c>
      <c r="O1561">
        <v>0</v>
      </c>
      <c r="P1561" t="s">
        <v>100</v>
      </c>
      <c r="Q1561">
        <v>0</v>
      </c>
      <c r="R1561" t="s">
        <v>145</v>
      </c>
      <c r="S1561">
        <v>0</v>
      </c>
    </row>
    <row r="1562" spans="1:19">
      <c r="A1562" t="s">
        <v>35</v>
      </c>
      <c r="B1562" t="s">
        <v>4751</v>
      </c>
      <c r="C1562">
        <f>"WIN85"</f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 s="2">
        <v>0</v>
      </c>
      <c r="M1562">
        <v>0</v>
      </c>
      <c r="N1562" s="2">
        <v>0</v>
      </c>
      <c r="O1562">
        <v>0</v>
      </c>
      <c r="P1562" t="s">
        <v>100</v>
      </c>
      <c r="Q1562">
        <v>0</v>
      </c>
      <c r="R1562" t="s">
        <v>145</v>
      </c>
      <c r="S1562">
        <v>0</v>
      </c>
    </row>
    <row r="1563" spans="1:19">
      <c r="A1563" t="s">
        <v>35</v>
      </c>
      <c r="B1563" t="s">
        <v>4750</v>
      </c>
      <c r="C1563">
        <f>"WIN86"</f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 s="2">
        <v>0</v>
      </c>
      <c r="M1563">
        <v>0</v>
      </c>
      <c r="N1563" s="2">
        <v>0</v>
      </c>
      <c r="O1563">
        <v>0</v>
      </c>
      <c r="P1563" t="s">
        <v>100</v>
      </c>
      <c r="Q1563">
        <v>0</v>
      </c>
      <c r="R1563" t="s">
        <v>145</v>
      </c>
      <c r="S1563">
        <v>0</v>
      </c>
    </row>
    <row r="1564" spans="1:19">
      <c r="A1564" t="s">
        <v>35</v>
      </c>
      <c r="B1564" t="s">
        <v>4749</v>
      </c>
      <c r="C1564">
        <f>"WIN87"</f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 s="2">
        <v>0</v>
      </c>
      <c r="M1564">
        <v>0</v>
      </c>
      <c r="N1564" s="2">
        <v>0</v>
      </c>
      <c r="O1564">
        <v>0</v>
      </c>
      <c r="P1564" t="s">
        <v>100</v>
      </c>
      <c r="Q1564">
        <v>0</v>
      </c>
      <c r="R1564" t="s">
        <v>145</v>
      </c>
      <c r="S1564">
        <v>0</v>
      </c>
    </row>
    <row r="1565" spans="1:19">
      <c r="A1565" t="s">
        <v>35</v>
      </c>
      <c r="B1565" t="s">
        <v>6145</v>
      </c>
      <c r="C1565">
        <f>"NSD13"</f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 s="2">
        <v>0</v>
      </c>
      <c r="M1565">
        <v>0</v>
      </c>
      <c r="N1565" s="2">
        <v>0</v>
      </c>
      <c r="O1565">
        <v>0</v>
      </c>
      <c r="P1565" t="s">
        <v>100</v>
      </c>
      <c r="Q1565">
        <v>0</v>
      </c>
      <c r="R1565" t="s">
        <v>145</v>
      </c>
      <c r="S1565">
        <v>0</v>
      </c>
    </row>
    <row r="1566" spans="1:19">
      <c r="A1566" t="s">
        <v>35</v>
      </c>
      <c r="B1566" t="s">
        <v>6167</v>
      </c>
      <c r="C1566">
        <f>"2391"</f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 s="2">
        <v>0</v>
      </c>
      <c r="M1566">
        <v>0</v>
      </c>
      <c r="N1566" s="2">
        <v>0</v>
      </c>
      <c r="O1566">
        <v>0</v>
      </c>
      <c r="P1566" t="s">
        <v>100</v>
      </c>
      <c r="Q1566">
        <v>0</v>
      </c>
      <c r="R1566" t="s">
        <v>145</v>
      </c>
      <c r="S1566">
        <v>0</v>
      </c>
    </row>
    <row r="1567" spans="1:19">
      <c r="A1567" t="s">
        <v>35</v>
      </c>
      <c r="B1567" t="s">
        <v>6110</v>
      </c>
      <c r="C1567">
        <f>"i09017"</f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 s="2">
        <v>0</v>
      </c>
      <c r="M1567">
        <v>0</v>
      </c>
      <c r="N1567" s="2">
        <v>0</v>
      </c>
      <c r="O1567">
        <v>0</v>
      </c>
      <c r="P1567" t="s">
        <v>100</v>
      </c>
      <c r="Q1567">
        <v>0</v>
      </c>
      <c r="R1567" t="s">
        <v>145</v>
      </c>
      <c r="S1567">
        <v>0</v>
      </c>
    </row>
    <row r="1568" spans="1:19">
      <c r="A1568" t="s">
        <v>35</v>
      </c>
      <c r="B1568" t="s">
        <v>6110</v>
      </c>
      <c r="C1568">
        <f>"I090017"</f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 s="2">
        <v>0</v>
      </c>
      <c r="M1568">
        <v>0</v>
      </c>
      <c r="N1568" s="2">
        <v>0</v>
      </c>
      <c r="O1568">
        <v>0</v>
      </c>
      <c r="P1568" t="s">
        <v>100</v>
      </c>
      <c r="Q1568">
        <v>0</v>
      </c>
      <c r="R1568" t="s">
        <v>145</v>
      </c>
      <c r="S1568">
        <v>0</v>
      </c>
    </row>
    <row r="1569" spans="1:19">
      <c r="A1569" t="s">
        <v>35</v>
      </c>
      <c r="B1569" t="s">
        <v>6113</v>
      </c>
      <c r="C1569">
        <f>"HC0107"</f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 s="2">
        <v>0</v>
      </c>
      <c r="M1569">
        <v>0</v>
      </c>
      <c r="N1569" s="2">
        <v>0</v>
      </c>
      <c r="O1569">
        <v>0</v>
      </c>
      <c r="P1569" t="s">
        <v>100</v>
      </c>
      <c r="Q1569">
        <v>0</v>
      </c>
      <c r="R1569" t="s">
        <v>145</v>
      </c>
      <c r="S1569">
        <v>0</v>
      </c>
    </row>
    <row r="1570" spans="1:19">
      <c r="A1570" t="s">
        <v>35</v>
      </c>
      <c r="B1570" t="s">
        <v>6586</v>
      </c>
      <c r="C1570">
        <f>"HH088MAM"</f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 s="2">
        <v>0</v>
      </c>
      <c r="M1570">
        <v>0</v>
      </c>
      <c r="N1570" s="2">
        <v>0</v>
      </c>
      <c r="O1570">
        <v>0</v>
      </c>
      <c r="P1570" t="s">
        <v>100</v>
      </c>
      <c r="Q1570">
        <v>0</v>
      </c>
      <c r="R1570" t="s">
        <v>145</v>
      </c>
      <c r="S1570">
        <v>0</v>
      </c>
    </row>
    <row r="1571" spans="1:19">
      <c r="A1571" t="s">
        <v>35</v>
      </c>
      <c r="B1571" t="s">
        <v>6582</v>
      </c>
      <c r="C1571">
        <f>"HH088LC"</f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 s="2">
        <v>0</v>
      </c>
      <c r="M1571">
        <v>0</v>
      </c>
      <c r="N1571" s="2">
        <v>0</v>
      </c>
      <c r="O1571">
        <v>0</v>
      </c>
      <c r="P1571" t="s">
        <v>100</v>
      </c>
      <c r="Q1571">
        <v>0</v>
      </c>
      <c r="R1571" t="s">
        <v>145</v>
      </c>
      <c r="S1571">
        <v>0</v>
      </c>
    </row>
    <row r="1572" spans="1:19">
      <c r="A1572" t="s">
        <v>35</v>
      </c>
      <c r="B1572" t="s">
        <v>4755</v>
      </c>
      <c r="C1572">
        <f>"WIN87CS"</f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 s="2">
        <v>0</v>
      </c>
      <c r="M1572">
        <v>0</v>
      </c>
      <c r="N1572" s="2">
        <v>0</v>
      </c>
      <c r="O1572">
        <v>0</v>
      </c>
      <c r="P1572" t="s">
        <v>100</v>
      </c>
      <c r="Q1572">
        <v>0</v>
      </c>
      <c r="R1572" t="s">
        <v>145</v>
      </c>
      <c r="S1572">
        <v>0</v>
      </c>
    </row>
    <row r="1573" spans="1:19">
      <c r="A1573" t="s">
        <v>35</v>
      </c>
      <c r="B1573" t="s">
        <v>6538</v>
      </c>
      <c r="C1573">
        <f>"FB511MG"</f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 s="2">
        <v>0</v>
      </c>
      <c r="M1573">
        <v>0</v>
      </c>
      <c r="N1573" s="2">
        <v>0</v>
      </c>
      <c r="O1573">
        <v>0</v>
      </c>
      <c r="P1573" t="s">
        <v>100</v>
      </c>
      <c r="Q1573">
        <v>0</v>
      </c>
      <c r="R1573" t="s">
        <v>145</v>
      </c>
      <c r="S1573">
        <v>0</v>
      </c>
    </row>
    <row r="1574" spans="1:19">
      <c r="A1574" t="s">
        <v>35</v>
      </c>
      <c r="B1574" t="s">
        <v>6537</v>
      </c>
      <c r="C1574">
        <f>"FB511MN"</f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 s="2">
        <v>0</v>
      </c>
      <c r="M1574">
        <v>0</v>
      </c>
      <c r="N1574" s="2">
        <v>0</v>
      </c>
      <c r="O1574">
        <v>0</v>
      </c>
      <c r="P1574" t="s">
        <v>100</v>
      </c>
      <c r="Q1574">
        <v>0</v>
      </c>
      <c r="R1574" t="s">
        <v>145</v>
      </c>
      <c r="S1574">
        <v>0</v>
      </c>
    </row>
    <row r="1575" spans="1:19">
      <c r="A1575" t="s">
        <v>35</v>
      </c>
      <c r="B1575" t="s">
        <v>6349</v>
      </c>
      <c r="C1575">
        <f>"HC1025"</f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 s="2">
        <v>0</v>
      </c>
      <c r="M1575">
        <v>0</v>
      </c>
      <c r="N1575" s="2">
        <v>0</v>
      </c>
      <c r="O1575">
        <v>0</v>
      </c>
      <c r="P1575" t="s">
        <v>100</v>
      </c>
      <c r="Q1575">
        <v>0</v>
      </c>
      <c r="R1575" t="s">
        <v>145</v>
      </c>
      <c r="S1575">
        <v>0</v>
      </c>
    </row>
    <row r="1576" spans="1:19">
      <c r="A1576" t="s">
        <v>35</v>
      </c>
      <c r="B1576" t="s">
        <v>6348</v>
      </c>
      <c r="C1576">
        <f>"HC1024"</f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 s="2">
        <v>0</v>
      </c>
      <c r="M1576">
        <v>0</v>
      </c>
      <c r="N1576" s="2">
        <v>0</v>
      </c>
      <c r="O1576">
        <v>0</v>
      </c>
      <c r="P1576" t="s">
        <v>100</v>
      </c>
      <c r="Q1576">
        <v>0</v>
      </c>
      <c r="R1576" t="s">
        <v>145</v>
      </c>
      <c r="S1576">
        <v>0</v>
      </c>
    </row>
    <row r="1577" spans="1:19">
      <c r="A1577" t="s">
        <v>35</v>
      </c>
      <c r="B1577" t="s">
        <v>6347</v>
      </c>
      <c r="C1577">
        <f>"HC0106"</f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 s="2">
        <v>0</v>
      </c>
      <c r="M1577">
        <v>0</v>
      </c>
      <c r="N1577" s="2">
        <v>0</v>
      </c>
      <c r="O1577">
        <v>0</v>
      </c>
      <c r="P1577" t="s">
        <v>100</v>
      </c>
      <c r="Q1577">
        <v>0</v>
      </c>
      <c r="R1577" t="s">
        <v>145</v>
      </c>
      <c r="S1577">
        <v>0</v>
      </c>
    </row>
    <row r="1578" spans="1:19">
      <c r="A1578" t="s">
        <v>35</v>
      </c>
      <c r="B1578" t="s">
        <v>6321</v>
      </c>
      <c r="C1578">
        <f>"25395707"</f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 s="2">
        <v>0</v>
      </c>
      <c r="M1578">
        <v>0</v>
      </c>
      <c r="N1578" s="2">
        <v>0</v>
      </c>
      <c r="O1578">
        <v>0</v>
      </c>
      <c r="P1578" t="s">
        <v>100</v>
      </c>
      <c r="Q1578">
        <v>0</v>
      </c>
      <c r="R1578" t="s">
        <v>145</v>
      </c>
      <c r="S1578">
        <v>0</v>
      </c>
    </row>
    <row r="1579" spans="1:19">
      <c r="A1579" t="s">
        <v>35</v>
      </c>
      <c r="B1579" t="s">
        <v>6320</v>
      </c>
      <c r="C1579">
        <f>"25395710"</f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 s="2">
        <v>0</v>
      </c>
      <c r="M1579">
        <v>0</v>
      </c>
      <c r="N1579" s="2">
        <v>0</v>
      </c>
      <c r="O1579">
        <v>0</v>
      </c>
      <c r="P1579" t="s">
        <v>100</v>
      </c>
      <c r="Q1579">
        <v>0</v>
      </c>
      <c r="R1579" t="s">
        <v>145</v>
      </c>
      <c r="S1579">
        <v>0</v>
      </c>
    </row>
    <row r="1580" spans="1:19">
      <c r="A1580" t="s">
        <v>35</v>
      </c>
      <c r="B1580" t="s">
        <v>8008</v>
      </c>
      <c r="C1580">
        <f>"FB511SN"</f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 s="2">
        <v>0</v>
      </c>
      <c r="M1580">
        <v>0</v>
      </c>
      <c r="N1580" s="2">
        <v>0</v>
      </c>
      <c r="O1580">
        <v>0</v>
      </c>
      <c r="P1580" t="s">
        <v>100</v>
      </c>
      <c r="Q1580">
        <v>0</v>
      </c>
      <c r="R1580" t="s">
        <v>145</v>
      </c>
      <c r="S1580">
        <v>0</v>
      </c>
    </row>
    <row r="1581" spans="1:19">
      <c r="A1581" t="s">
        <v>35</v>
      </c>
      <c r="B1581" t="s">
        <v>6530</v>
      </c>
      <c r="C1581">
        <f>"HP152LCC"</f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 s="2">
        <v>0</v>
      </c>
      <c r="M1581">
        <v>0</v>
      </c>
      <c r="N1581" s="2">
        <v>0</v>
      </c>
      <c r="O1581">
        <v>0</v>
      </c>
      <c r="P1581" t="s">
        <v>100</v>
      </c>
      <c r="Q1581">
        <v>0</v>
      </c>
      <c r="R1581" t="s">
        <v>145</v>
      </c>
      <c r="S1581">
        <v>0</v>
      </c>
    </row>
    <row r="1582" spans="1:19">
      <c r="A1582" t="s">
        <v>35</v>
      </c>
      <c r="B1582" t="s">
        <v>6145</v>
      </c>
      <c r="C1582">
        <f>"NSD11"</f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 s="2">
        <v>0</v>
      </c>
      <c r="M1582">
        <v>0</v>
      </c>
      <c r="N1582" s="2">
        <v>0</v>
      </c>
      <c r="O1582">
        <v>0</v>
      </c>
      <c r="P1582" t="s">
        <v>100</v>
      </c>
      <c r="Q1582">
        <v>0</v>
      </c>
      <c r="R1582" t="s">
        <v>145</v>
      </c>
      <c r="S1582">
        <v>0</v>
      </c>
    </row>
    <row r="1583" spans="1:19">
      <c r="A1583" t="s">
        <v>35</v>
      </c>
      <c r="B1583" t="s">
        <v>6530</v>
      </c>
      <c r="C1583">
        <f>"HP152LN"</f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 s="2">
        <v>0</v>
      </c>
      <c r="M1583">
        <v>0</v>
      </c>
      <c r="N1583" s="2">
        <v>0</v>
      </c>
      <c r="O1583">
        <v>0</v>
      </c>
      <c r="P1583" t="s">
        <v>100</v>
      </c>
      <c r="Q1583">
        <v>0</v>
      </c>
      <c r="R1583" t="s">
        <v>145</v>
      </c>
      <c r="S1583">
        <v>0</v>
      </c>
    </row>
    <row r="1584" spans="1:19">
      <c r="A1584" t="s">
        <v>35</v>
      </c>
      <c r="B1584" t="s">
        <v>6530</v>
      </c>
      <c r="C1584">
        <f>"HP152LR"</f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 s="2">
        <v>0</v>
      </c>
      <c r="M1584">
        <v>0</v>
      </c>
      <c r="N1584" s="2">
        <v>0</v>
      </c>
      <c r="O1584">
        <v>0</v>
      </c>
      <c r="P1584" t="s">
        <v>100</v>
      </c>
      <c r="Q1584">
        <v>0</v>
      </c>
      <c r="R1584" t="s">
        <v>145</v>
      </c>
      <c r="S1584">
        <v>0</v>
      </c>
    </row>
    <row r="1585" spans="1:19">
      <c r="A1585" t="s">
        <v>35</v>
      </c>
      <c r="B1585" t="s">
        <v>2303</v>
      </c>
      <c r="C1585">
        <f>"HP152MCA"</f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 s="2">
        <v>0</v>
      </c>
      <c r="M1585">
        <v>0</v>
      </c>
      <c r="N1585" s="2">
        <v>0</v>
      </c>
      <c r="O1585">
        <v>0</v>
      </c>
      <c r="P1585" t="s">
        <v>100</v>
      </c>
      <c r="Q1585">
        <v>0</v>
      </c>
      <c r="R1585" t="s">
        <v>145</v>
      </c>
      <c r="S1585">
        <v>0</v>
      </c>
    </row>
    <row r="1586" spans="1:19">
      <c r="A1586" t="s">
        <v>35</v>
      </c>
      <c r="B1586" t="s">
        <v>2303</v>
      </c>
      <c r="C1586">
        <f>"HP152CC"</f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 s="2">
        <v>0</v>
      </c>
      <c r="M1586">
        <v>0</v>
      </c>
      <c r="N1586" s="2">
        <v>0</v>
      </c>
      <c r="O1586">
        <v>0</v>
      </c>
      <c r="P1586" t="s">
        <v>100</v>
      </c>
      <c r="Q1586">
        <v>0</v>
      </c>
      <c r="R1586" t="s">
        <v>145</v>
      </c>
      <c r="S1586">
        <v>0</v>
      </c>
    </row>
    <row r="1587" spans="1:19">
      <c r="A1587" t="s">
        <v>35</v>
      </c>
      <c r="B1587" t="s">
        <v>2303</v>
      </c>
      <c r="C1587">
        <f>"HP152MCV"</f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 s="2">
        <v>0</v>
      </c>
      <c r="M1587">
        <v>0</v>
      </c>
      <c r="N1587" s="2">
        <v>0</v>
      </c>
      <c r="O1587">
        <v>0</v>
      </c>
      <c r="P1587" t="s">
        <v>100</v>
      </c>
      <c r="Q1587">
        <v>0</v>
      </c>
      <c r="R1587" t="s">
        <v>145</v>
      </c>
      <c r="S1587">
        <v>0</v>
      </c>
    </row>
    <row r="1588" spans="1:19">
      <c r="A1588" t="s">
        <v>35</v>
      </c>
      <c r="B1588" t="s">
        <v>2303</v>
      </c>
      <c r="C1588">
        <f>"HP152MG"</f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 s="2">
        <v>0</v>
      </c>
      <c r="M1588">
        <v>0</v>
      </c>
      <c r="N1588" s="2">
        <v>0</v>
      </c>
      <c r="O1588">
        <v>0</v>
      </c>
      <c r="P1588" t="s">
        <v>100</v>
      </c>
      <c r="Q1588">
        <v>0</v>
      </c>
      <c r="R1588" t="s">
        <v>145</v>
      </c>
      <c r="S1588">
        <v>0</v>
      </c>
    </row>
    <row r="1589" spans="1:19">
      <c r="A1589" t="s">
        <v>35</v>
      </c>
      <c r="B1589" t="s">
        <v>6319</v>
      </c>
      <c r="C1589">
        <f>"25395709"</f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 s="2">
        <v>0</v>
      </c>
      <c r="M1589">
        <v>0</v>
      </c>
      <c r="N1589" s="2">
        <v>0</v>
      </c>
      <c r="O1589">
        <v>0</v>
      </c>
      <c r="P1589" t="s">
        <v>100</v>
      </c>
      <c r="Q1589">
        <v>0</v>
      </c>
      <c r="R1589" t="s">
        <v>145</v>
      </c>
      <c r="S1589">
        <v>0</v>
      </c>
    </row>
    <row r="1590" spans="1:19">
      <c r="A1590" t="s">
        <v>35</v>
      </c>
      <c r="B1590" t="s">
        <v>1379</v>
      </c>
      <c r="C1590">
        <f>"25395708"</f>
        <v>0</v>
      </c>
      <c r="D1590">
        <v>0</v>
      </c>
      <c r="E1590">
        <v>1</v>
      </c>
      <c r="F1590">
        <v>0</v>
      </c>
      <c r="G1590">
        <v>0</v>
      </c>
      <c r="H1590">
        <v>1</v>
      </c>
      <c r="I1590">
        <v>0</v>
      </c>
      <c r="J1590">
        <v>0</v>
      </c>
      <c r="K1590">
        <v>0</v>
      </c>
      <c r="L1590" s="2">
        <v>0</v>
      </c>
      <c r="M1590">
        <v>0</v>
      </c>
      <c r="N1590" s="2">
        <v>0</v>
      </c>
      <c r="O1590">
        <v>0</v>
      </c>
      <c r="P1590" t="s">
        <v>100</v>
      </c>
      <c r="Q1590">
        <v>0</v>
      </c>
      <c r="R1590" t="s">
        <v>145</v>
      </c>
      <c r="S1590">
        <v>0</v>
      </c>
    </row>
    <row r="1591" spans="1:19">
      <c r="A1591" t="s">
        <v>35</v>
      </c>
      <c r="B1591" t="s">
        <v>6318</v>
      </c>
      <c r="C1591">
        <f>"25395729"</f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 s="2">
        <v>0</v>
      </c>
      <c r="M1591">
        <v>0</v>
      </c>
      <c r="N1591" s="2">
        <v>0</v>
      </c>
      <c r="O1591">
        <v>0</v>
      </c>
      <c r="P1591" t="s">
        <v>100</v>
      </c>
      <c r="Q1591">
        <v>0</v>
      </c>
      <c r="R1591" t="s">
        <v>145</v>
      </c>
      <c r="S1591">
        <v>0</v>
      </c>
    </row>
    <row r="1592" spans="1:19">
      <c r="A1592" t="s">
        <v>35</v>
      </c>
      <c r="B1592" t="s">
        <v>6344</v>
      </c>
      <c r="C1592">
        <f>"25395730"</f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 s="2">
        <v>0</v>
      </c>
      <c r="M1592">
        <v>0</v>
      </c>
      <c r="N1592" s="2">
        <v>0</v>
      </c>
      <c r="O1592">
        <v>0</v>
      </c>
      <c r="P1592" t="s">
        <v>100</v>
      </c>
      <c r="Q1592">
        <v>0</v>
      </c>
      <c r="R1592" t="s">
        <v>145</v>
      </c>
      <c r="S1592">
        <v>0</v>
      </c>
    </row>
    <row r="1593" spans="1:19">
      <c r="A1593" t="s">
        <v>35</v>
      </c>
      <c r="B1593" t="s">
        <v>6530</v>
      </c>
      <c r="C1593">
        <f>"HP152LG"</f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 s="2">
        <v>0</v>
      </c>
      <c r="M1593">
        <v>0</v>
      </c>
      <c r="N1593" s="2">
        <v>0</v>
      </c>
      <c r="O1593">
        <v>0</v>
      </c>
      <c r="P1593" t="s">
        <v>100</v>
      </c>
      <c r="Q1593">
        <v>0</v>
      </c>
      <c r="R1593" t="s">
        <v>145</v>
      </c>
      <c r="S1593">
        <v>0</v>
      </c>
    </row>
    <row r="1594" spans="1:19">
      <c r="A1594" t="s">
        <v>35</v>
      </c>
      <c r="B1594" t="s">
        <v>6341</v>
      </c>
      <c r="C1594">
        <f>"SGP"</f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 s="2">
        <v>0</v>
      </c>
      <c r="M1594">
        <v>0</v>
      </c>
      <c r="N1594" s="2">
        <v>0</v>
      </c>
      <c r="O1594">
        <v>0</v>
      </c>
      <c r="P1594" t="s">
        <v>100</v>
      </c>
      <c r="Q1594">
        <v>0</v>
      </c>
      <c r="R1594" t="s">
        <v>145</v>
      </c>
      <c r="S1594">
        <v>0</v>
      </c>
    </row>
    <row r="1595" spans="1:19">
      <c r="A1595" t="s">
        <v>35</v>
      </c>
      <c r="B1595" t="s">
        <v>6033</v>
      </c>
      <c r="C1595">
        <f>"MS010"</f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 s="2">
        <v>0</v>
      </c>
      <c r="M1595">
        <v>0</v>
      </c>
      <c r="N1595" s="2">
        <v>0</v>
      </c>
      <c r="O1595">
        <v>0</v>
      </c>
      <c r="P1595" t="s">
        <v>100</v>
      </c>
      <c r="Q1595">
        <v>0</v>
      </c>
      <c r="R1595" t="s">
        <v>145</v>
      </c>
      <c r="S1595">
        <v>0</v>
      </c>
    </row>
    <row r="1596" spans="1:19">
      <c r="A1596" t="s">
        <v>35</v>
      </c>
      <c r="B1596" t="s">
        <v>6057</v>
      </c>
      <c r="C1596">
        <f>"3007"</f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 s="2">
        <v>0</v>
      </c>
      <c r="M1596">
        <v>0</v>
      </c>
      <c r="N1596" s="2">
        <v>0</v>
      </c>
      <c r="O1596">
        <v>0</v>
      </c>
      <c r="P1596" t="s">
        <v>100</v>
      </c>
      <c r="Q1596">
        <v>0</v>
      </c>
      <c r="R1596" t="s">
        <v>145</v>
      </c>
      <c r="S1596">
        <v>0</v>
      </c>
    </row>
    <row r="1597" spans="1:19">
      <c r="A1597" t="s">
        <v>35</v>
      </c>
      <c r="B1597" t="s">
        <v>6056</v>
      </c>
      <c r="C1597">
        <f>"3008"</f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 s="2">
        <v>0</v>
      </c>
      <c r="M1597">
        <v>0</v>
      </c>
      <c r="N1597" s="2">
        <v>0</v>
      </c>
      <c r="O1597">
        <v>0</v>
      </c>
      <c r="P1597" t="s">
        <v>100</v>
      </c>
      <c r="Q1597">
        <v>0</v>
      </c>
      <c r="R1597" t="s">
        <v>145</v>
      </c>
      <c r="S1597">
        <v>0</v>
      </c>
    </row>
    <row r="1598" spans="1:19">
      <c r="A1598" t="s">
        <v>35</v>
      </c>
      <c r="B1598" t="s">
        <v>6531</v>
      </c>
      <c r="C1598">
        <f>"HH088MBN"</f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 s="2">
        <v>0</v>
      </c>
      <c r="M1598">
        <v>0</v>
      </c>
      <c r="N1598" s="2">
        <v>0</v>
      </c>
      <c r="O1598">
        <v>0</v>
      </c>
      <c r="P1598" t="s">
        <v>100</v>
      </c>
      <c r="Q1598">
        <v>0</v>
      </c>
      <c r="R1598" t="s">
        <v>145</v>
      </c>
      <c r="S1598">
        <v>0</v>
      </c>
    </row>
    <row r="1599" spans="1:19">
      <c r="A1599" t="s">
        <v>35</v>
      </c>
      <c r="B1599" t="s">
        <v>6466</v>
      </c>
      <c r="C1599">
        <f>"HH088LCA"</f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 s="2">
        <v>0</v>
      </c>
      <c r="M1599">
        <v>0</v>
      </c>
      <c r="N1599" s="2">
        <v>0</v>
      </c>
      <c r="O1599">
        <v>0</v>
      </c>
      <c r="P1599" t="s">
        <v>100</v>
      </c>
      <c r="Q1599">
        <v>0</v>
      </c>
      <c r="R1599" t="s">
        <v>145</v>
      </c>
      <c r="S1599">
        <v>0</v>
      </c>
    </row>
    <row r="1600" spans="1:19">
      <c r="A1600" t="s">
        <v>35</v>
      </c>
      <c r="B1600" t="s">
        <v>6802</v>
      </c>
      <c r="C1600">
        <f>"HH088MCA"</f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 s="2">
        <v>0</v>
      </c>
      <c r="M1600">
        <v>0</v>
      </c>
      <c r="N1600" s="2">
        <v>0</v>
      </c>
      <c r="O1600">
        <v>0</v>
      </c>
      <c r="P1600" t="s">
        <v>100</v>
      </c>
      <c r="Q1600">
        <v>0</v>
      </c>
      <c r="R1600" t="s">
        <v>145</v>
      </c>
      <c r="S1600">
        <v>0</v>
      </c>
    </row>
    <row r="1601" spans="1:19">
      <c r="A1601" t="s">
        <v>35</v>
      </c>
      <c r="B1601" t="s">
        <v>1481</v>
      </c>
      <c r="C1601">
        <f>"SPG01"</f>
        <v>0</v>
      </c>
      <c r="D1601">
        <v>1</v>
      </c>
      <c r="E1601">
        <v>0</v>
      </c>
      <c r="F1601">
        <v>0</v>
      </c>
      <c r="G1601">
        <v>0</v>
      </c>
      <c r="H1601">
        <v>1</v>
      </c>
      <c r="I1601">
        <v>0</v>
      </c>
      <c r="J1601">
        <v>0</v>
      </c>
      <c r="K1601">
        <v>0</v>
      </c>
      <c r="L1601" s="2">
        <v>0</v>
      </c>
      <c r="M1601">
        <v>0</v>
      </c>
      <c r="N1601" s="2">
        <v>0</v>
      </c>
      <c r="O1601">
        <v>0</v>
      </c>
      <c r="P1601" t="s">
        <v>100</v>
      </c>
      <c r="Q1601">
        <v>0</v>
      </c>
      <c r="R1601" t="s">
        <v>145</v>
      </c>
      <c r="S1601">
        <v>0</v>
      </c>
    </row>
    <row r="1602" spans="1:19">
      <c r="A1602" t="s">
        <v>35</v>
      </c>
      <c r="B1602" t="s">
        <v>1480</v>
      </c>
      <c r="C1602">
        <f>"SPG03"</f>
        <v>0</v>
      </c>
      <c r="D1602">
        <v>1</v>
      </c>
      <c r="E1602">
        <v>0</v>
      </c>
      <c r="F1602">
        <v>0</v>
      </c>
      <c r="G1602">
        <v>0</v>
      </c>
      <c r="H1602">
        <v>1</v>
      </c>
      <c r="I1602">
        <v>0</v>
      </c>
      <c r="J1602">
        <v>0</v>
      </c>
      <c r="K1602">
        <v>0</v>
      </c>
      <c r="L1602" s="2">
        <v>0</v>
      </c>
      <c r="M1602">
        <v>0</v>
      </c>
      <c r="N1602" s="2">
        <v>0</v>
      </c>
      <c r="O1602">
        <v>0</v>
      </c>
      <c r="P1602" t="s">
        <v>100</v>
      </c>
      <c r="Q1602">
        <v>0</v>
      </c>
      <c r="R1602" t="s">
        <v>145</v>
      </c>
      <c r="S1602">
        <v>0</v>
      </c>
    </row>
    <row r="1603" spans="1:19">
      <c r="A1603" t="s">
        <v>35</v>
      </c>
      <c r="B1603" t="s">
        <v>1023</v>
      </c>
      <c r="C1603">
        <f>"SPG05"</f>
        <v>0</v>
      </c>
      <c r="D1603">
        <v>0</v>
      </c>
      <c r="E1603">
        <v>2</v>
      </c>
      <c r="F1603">
        <v>0</v>
      </c>
      <c r="G1603">
        <v>0</v>
      </c>
      <c r="H1603">
        <v>2</v>
      </c>
      <c r="I1603">
        <v>0</v>
      </c>
      <c r="J1603">
        <v>0</v>
      </c>
      <c r="K1603">
        <v>0</v>
      </c>
      <c r="L1603" s="2">
        <v>0</v>
      </c>
      <c r="M1603">
        <v>0</v>
      </c>
      <c r="N1603" s="2">
        <v>0</v>
      </c>
      <c r="O1603">
        <v>0</v>
      </c>
      <c r="P1603" t="s">
        <v>100</v>
      </c>
      <c r="Q1603">
        <v>0</v>
      </c>
      <c r="R1603" t="s">
        <v>145</v>
      </c>
      <c r="S1603">
        <v>0</v>
      </c>
    </row>
    <row r="1604" spans="1:19">
      <c r="A1604" t="s">
        <v>35</v>
      </c>
      <c r="B1604" t="s">
        <v>6539</v>
      </c>
      <c r="C1604">
        <f>"FB511LV"</f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 s="2">
        <v>0</v>
      </c>
      <c r="M1604">
        <v>0</v>
      </c>
      <c r="N1604" s="2">
        <v>0</v>
      </c>
      <c r="O1604">
        <v>0</v>
      </c>
      <c r="P1604" t="s">
        <v>100</v>
      </c>
      <c r="Q1604">
        <v>0</v>
      </c>
      <c r="R1604" t="s">
        <v>145</v>
      </c>
      <c r="S1604">
        <v>0</v>
      </c>
    </row>
    <row r="1605" spans="1:19">
      <c r="A1605" t="s">
        <v>35</v>
      </c>
      <c r="B1605" t="s">
        <v>1057</v>
      </c>
      <c r="C1605">
        <f>"SPG02"</f>
        <v>0</v>
      </c>
      <c r="D1605">
        <v>2</v>
      </c>
      <c r="E1605">
        <v>0</v>
      </c>
      <c r="F1605">
        <v>0</v>
      </c>
      <c r="G1605">
        <v>0</v>
      </c>
      <c r="H1605">
        <v>2</v>
      </c>
      <c r="I1605">
        <v>0</v>
      </c>
      <c r="J1605">
        <v>0</v>
      </c>
      <c r="K1605">
        <v>0</v>
      </c>
      <c r="L1605" s="2">
        <v>0</v>
      </c>
      <c r="M1605">
        <v>0</v>
      </c>
      <c r="N1605" s="2">
        <v>0</v>
      </c>
      <c r="O1605">
        <v>0</v>
      </c>
      <c r="P1605" t="s">
        <v>100</v>
      </c>
      <c r="Q1605">
        <v>0</v>
      </c>
      <c r="R1605" t="s">
        <v>145</v>
      </c>
      <c r="S1605">
        <v>0</v>
      </c>
    </row>
    <row r="1606" spans="1:19">
      <c r="A1606" t="s">
        <v>35</v>
      </c>
      <c r="B1606" t="s">
        <v>852</v>
      </c>
      <c r="C1606">
        <f>"SPP04"</f>
        <v>0</v>
      </c>
      <c r="D1606">
        <v>0</v>
      </c>
      <c r="E1606">
        <v>4</v>
      </c>
      <c r="F1606">
        <v>0</v>
      </c>
      <c r="G1606">
        <v>0</v>
      </c>
      <c r="H1606">
        <v>4</v>
      </c>
      <c r="I1606">
        <v>0</v>
      </c>
      <c r="J1606">
        <v>0</v>
      </c>
      <c r="K1606">
        <v>0</v>
      </c>
      <c r="L1606" s="2">
        <v>0</v>
      </c>
      <c r="M1606">
        <v>0</v>
      </c>
      <c r="N1606" s="2">
        <v>0</v>
      </c>
      <c r="O1606">
        <v>0</v>
      </c>
      <c r="P1606" t="s">
        <v>100</v>
      </c>
      <c r="Q1606">
        <v>0</v>
      </c>
      <c r="R1606" t="s">
        <v>145</v>
      </c>
      <c r="S1606">
        <v>0</v>
      </c>
    </row>
    <row r="1607" spans="1:19">
      <c r="A1607" t="s">
        <v>35</v>
      </c>
      <c r="B1607" t="s">
        <v>6363</v>
      </c>
      <c r="C1607">
        <f>"PAS220-SN"</f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 s="2">
        <v>0</v>
      </c>
      <c r="M1607">
        <v>0</v>
      </c>
      <c r="N1607" s="2">
        <v>0</v>
      </c>
      <c r="O1607">
        <v>0</v>
      </c>
      <c r="P1607" t="s">
        <v>100</v>
      </c>
      <c r="Q1607">
        <v>0</v>
      </c>
      <c r="R1607" t="s">
        <v>145</v>
      </c>
      <c r="S1607">
        <v>0</v>
      </c>
    </row>
    <row r="1608" spans="1:19">
      <c r="A1608" t="s">
        <v>35</v>
      </c>
      <c r="B1608" t="s">
        <v>6362</v>
      </c>
      <c r="C1608">
        <f>"PAS220LAZ"</f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 s="2">
        <v>0</v>
      </c>
      <c r="M1608">
        <v>0</v>
      </c>
      <c r="N1608" s="2">
        <v>0</v>
      </c>
      <c r="O1608">
        <v>0</v>
      </c>
      <c r="P1608" t="s">
        <v>100</v>
      </c>
      <c r="Q1608">
        <v>0</v>
      </c>
      <c r="R1608" t="s">
        <v>145</v>
      </c>
      <c r="S1608">
        <v>0</v>
      </c>
    </row>
    <row r="1609" spans="1:19">
      <c r="A1609" t="s">
        <v>35</v>
      </c>
      <c r="B1609" t="s">
        <v>6361</v>
      </c>
      <c r="C1609">
        <f>"PAS220LR"</f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 s="2">
        <v>0</v>
      </c>
      <c r="M1609">
        <v>0</v>
      </c>
      <c r="N1609" s="2">
        <v>0</v>
      </c>
      <c r="O1609">
        <v>0</v>
      </c>
      <c r="P1609" t="s">
        <v>100</v>
      </c>
      <c r="Q1609">
        <v>0</v>
      </c>
      <c r="R1609" t="s">
        <v>145</v>
      </c>
      <c r="S1609">
        <v>0</v>
      </c>
    </row>
    <row r="1610" spans="1:19">
      <c r="A1610" t="s">
        <v>35</v>
      </c>
      <c r="B1610" t="s">
        <v>6360</v>
      </c>
      <c r="C1610">
        <f>"SG260"</f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 s="2">
        <v>0</v>
      </c>
      <c r="M1610">
        <v>0</v>
      </c>
      <c r="N1610" s="2">
        <v>0</v>
      </c>
      <c r="O1610">
        <v>0</v>
      </c>
      <c r="P1610" t="s">
        <v>100</v>
      </c>
      <c r="Q1610">
        <v>0</v>
      </c>
      <c r="R1610" t="s">
        <v>145</v>
      </c>
      <c r="S1610">
        <v>0</v>
      </c>
    </row>
    <row r="1611" spans="1:19">
      <c r="A1611" t="s">
        <v>35</v>
      </c>
      <c r="B1611" t="s">
        <v>6359</v>
      </c>
      <c r="C1611">
        <f>"CM02"</f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 s="2">
        <v>0</v>
      </c>
      <c r="M1611">
        <v>0</v>
      </c>
      <c r="N1611" s="2">
        <v>0</v>
      </c>
      <c r="O1611">
        <v>0</v>
      </c>
      <c r="P1611" t="s">
        <v>100</v>
      </c>
      <c r="Q1611">
        <v>0</v>
      </c>
      <c r="R1611" t="s">
        <v>145</v>
      </c>
      <c r="S1611">
        <v>0</v>
      </c>
    </row>
    <row r="1612" spans="1:19">
      <c r="A1612" t="s">
        <v>35</v>
      </c>
      <c r="B1612" t="s">
        <v>6357</v>
      </c>
      <c r="C1612">
        <f>"HC1023"</f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 s="2">
        <v>0</v>
      </c>
      <c r="M1612">
        <v>0</v>
      </c>
      <c r="N1612" s="2">
        <v>0</v>
      </c>
      <c r="O1612">
        <v>0</v>
      </c>
      <c r="P1612" t="s">
        <v>100</v>
      </c>
      <c r="Q1612">
        <v>0</v>
      </c>
      <c r="R1612" t="s">
        <v>145</v>
      </c>
      <c r="S1612">
        <v>0</v>
      </c>
    </row>
    <row r="1613" spans="1:19">
      <c r="A1613" t="s">
        <v>35</v>
      </c>
      <c r="B1613" t="s">
        <v>6800</v>
      </c>
      <c r="C1613">
        <f>"HH088XLCA"</f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 s="2">
        <v>0</v>
      </c>
      <c r="M1613">
        <v>0</v>
      </c>
      <c r="N1613" s="2">
        <v>0</v>
      </c>
      <c r="O1613">
        <v>0</v>
      </c>
      <c r="P1613" t="s">
        <v>100</v>
      </c>
      <c r="Q1613">
        <v>0</v>
      </c>
      <c r="R1613" t="s">
        <v>145</v>
      </c>
      <c r="S1613">
        <v>0</v>
      </c>
    </row>
    <row r="1614" spans="1:19">
      <c r="A1614" t="s">
        <v>35</v>
      </c>
      <c r="B1614" t="s">
        <v>6633</v>
      </c>
      <c r="C1614">
        <f>"FB511LG"</f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 s="2">
        <v>0</v>
      </c>
      <c r="M1614">
        <v>0</v>
      </c>
      <c r="N1614" s="2">
        <v>0</v>
      </c>
      <c r="O1614">
        <v>0</v>
      </c>
      <c r="P1614" t="s">
        <v>100</v>
      </c>
      <c r="Q1614">
        <v>0</v>
      </c>
      <c r="R1614" t="s">
        <v>145</v>
      </c>
      <c r="S1614">
        <v>0</v>
      </c>
    </row>
    <row r="1615" spans="1:19">
      <c r="A1615" t="s">
        <v>35</v>
      </c>
      <c r="B1615" t="s">
        <v>6054</v>
      </c>
      <c r="C1615">
        <f>"SPG06"</f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 s="2">
        <v>0</v>
      </c>
      <c r="M1615">
        <v>0</v>
      </c>
      <c r="N1615" s="2">
        <v>0</v>
      </c>
      <c r="O1615">
        <v>0</v>
      </c>
      <c r="P1615" t="s">
        <v>100</v>
      </c>
      <c r="Q1615">
        <v>0</v>
      </c>
      <c r="R1615" t="s">
        <v>145</v>
      </c>
      <c r="S1615">
        <v>0</v>
      </c>
    </row>
    <row r="1616" spans="1:19">
      <c r="A1616" t="s">
        <v>35</v>
      </c>
      <c r="B1616" t="s">
        <v>4892</v>
      </c>
      <c r="C1616">
        <f>"LL313M"</f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 s="2">
        <v>0</v>
      </c>
      <c r="M1616">
        <v>0</v>
      </c>
      <c r="N1616" s="2">
        <v>0</v>
      </c>
      <c r="O1616">
        <v>0</v>
      </c>
      <c r="P1616" t="s">
        <v>100</v>
      </c>
      <c r="Q1616">
        <v>0</v>
      </c>
      <c r="R1616" t="s">
        <v>145</v>
      </c>
      <c r="S1616">
        <v>0</v>
      </c>
    </row>
    <row r="1617" spans="1:19">
      <c r="A1617" t="s">
        <v>35</v>
      </c>
      <c r="B1617" t="s">
        <v>4937</v>
      </c>
      <c r="C1617">
        <f>"DW110N"</f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 s="2">
        <v>0</v>
      </c>
      <c r="M1617">
        <v>0</v>
      </c>
      <c r="N1617" s="2">
        <v>0</v>
      </c>
      <c r="O1617">
        <v>0</v>
      </c>
      <c r="P1617" t="s">
        <v>100</v>
      </c>
      <c r="Q1617">
        <v>0</v>
      </c>
      <c r="R1617" t="s">
        <v>145</v>
      </c>
      <c r="S1617">
        <v>0</v>
      </c>
    </row>
    <row r="1618" spans="1:19">
      <c r="A1618" t="s">
        <v>35</v>
      </c>
      <c r="B1618" t="s">
        <v>4936</v>
      </c>
      <c r="C1618">
        <f>"DW110R"</f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 s="2">
        <v>0</v>
      </c>
      <c r="M1618">
        <v>0</v>
      </c>
      <c r="N1618" s="2">
        <v>0</v>
      </c>
      <c r="O1618">
        <v>0</v>
      </c>
      <c r="P1618" t="s">
        <v>100</v>
      </c>
      <c r="Q1618">
        <v>0</v>
      </c>
      <c r="R1618" t="s">
        <v>145</v>
      </c>
      <c r="S1618">
        <v>0</v>
      </c>
    </row>
    <row r="1619" spans="1:19">
      <c r="A1619" t="s">
        <v>35</v>
      </c>
      <c r="B1619" t="s">
        <v>4935</v>
      </c>
      <c r="C1619">
        <f>"SLL2066"</f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 s="2">
        <v>0</v>
      </c>
      <c r="M1619">
        <v>0</v>
      </c>
      <c r="N1619" s="2">
        <v>0</v>
      </c>
      <c r="O1619">
        <v>0</v>
      </c>
      <c r="P1619" t="s">
        <v>100</v>
      </c>
      <c r="Q1619">
        <v>0</v>
      </c>
      <c r="R1619" t="s">
        <v>145</v>
      </c>
      <c r="S1619">
        <v>0</v>
      </c>
    </row>
    <row r="1620" spans="1:19">
      <c r="A1620" t="s">
        <v>35</v>
      </c>
      <c r="B1620" t="s">
        <v>4842</v>
      </c>
      <c r="C1620">
        <f>"SLL20610"</f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 s="2">
        <v>0</v>
      </c>
      <c r="M1620">
        <v>0</v>
      </c>
      <c r="N1620" s="2">
        <v>0</v>
      </c>
      <c r="O1620">
        <v>0</v>
      </c>
      <c r="P1620" t="s">
        <v>100</v>
      </c>
      <c r="Q1620">
        <v>0</v>
      </c>
      <c r="R1620" t="s">
        <v>145</v>
      </c>
      <c r="S1620">
        <v>0</v>
      </c>
    </row>
    <row r="1621" spans="1:19">
      <c r="A1621" t="s">
        <v>35</v>
      </c>
      <c r="B1621" t="s">
        <v>4869</v>
      </c>
      <c r="C1621">
        <f>"WD554"</f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 s="2">
        <v>0</v>
      </c>
      <c r="M1621">
        <v>0</v>
      </c>
      <c r="N1621" s="2">
        <v>0</v>
      </c>
      <c r="O1621">
        <v>0</v>
      </c>
      <c r="P1621" t="s">
        <v>100</v>
      </c>
      <c r="Q1621">
        <v>0</v>
      </c>
      <c r="R1621" t="s">
        <v>145</v>
      </c>
      <c r="S1621">
        <v>0</v>
      </c>
    </row>
    <row r="1622" spans="1:19">
      <c r="A1622" t="s">
        <v>35</v>
      </c>
      <c r="B1622" t="s">
        <v>9493</v>
      </c>
      <c r="C1622">
        <f>"HH095XLFU"</f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 s="2">
        <v>0</v>
      </c>
      <c r="M1622">
        <v>0</v>
      </c>
      <c r="N1622" s="2">
        <v>0</v>
      </c>
      <c r="O1622">
        <v>0</v>
      </c>
      <c r="P1622" t="s">
        <v>100</v>
      </c>
      <c r="Q1622">
        <v>0</v>
      </c>
      <c r="R1622" t="s">
        <v>145</v>
      </c>
      <c r="S1622">
        <v>0</v>
      </c>
    </row>
    <row r="1623" spans="1:19">
      <c r="A1623" t="s">
        <v>35</v>
      </c>
      <c r="B1623" t="s">
        <v>9492</v>
      </c>
      <c r="C1623">
        <f>"HH095XLMO"</f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 s="2">
        <v>0</v>
      </c>
      <c r="M1623">
        <v>0</v>
      </c>
      <c r="N1623" s="2">
        <v>0</v>
      </c>
      <c r="O1623">
        <v>0</v>
      </c>
      <c r="P1623" t="s">
        <v>100</v>
      </c>
      <c r="Q1623">
        <v>0</v>
      </c>
      <c r="R1623" t="s">
        <v>145</v>
      </c>
      <c r="S1623">
        <v>0</v>
      </c>
    </row>
    <row r="1624" spans="1:19">
      <c r="A1624" t="s">
        <v>35</v>
      </c>
      <c r="B1624" t="s">
        <v>9506</v>
      </c>
      <c r="C1624">
        <f>"HH095XLNE"</f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 s="2">
        <v>0</v>
      </c>
      <c r="M1624">
        <v>0</v>
      </c>
      <c r="N1624" s="2">
        <v>0</v>
      </c>
      <c r="O1624">
        <v>0</v>
      </c>
      <c r="P1624" t="s">
        <v>100</v>
      </c>
      <c r="Q1624">
        <v>0</v>
      </c>
      <c r="R1624" t="s">
        <v>145</v>
      </c>
      <c r="S1624">
        <v>0</v>
      </c>
    </row>
    <row r="1625" spans="1:19">
      <c r="A1625" t="s">
        <v>35</v>
      </c>
      <c r="B1625" t="s">
        <v>4720</v>
      </c>
      <c r="C1625">
        <f>"JW9013"</f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 s="2">
        <v>0</v>
      </c>
      <c r="M1625">
        <v>0</v>
      </c>
      <c r="N1625" s="2">
        <v>0</v>
      </c>
      <c r="O1625">
        <v>0</v>
      </c>
      <c r="P1625" t="s">
        <v>100</v>
      </c>
      <c r="Q1625">
        <v>0</v>
      </c>
      <c r="R1625" t="s">
        <v>145</v>
      </c>
      <c r="S1625">
        <v>0</v>
      </c>
    </row>
    <row r="1626" spans="1:19">
      <c r="A1626" t="s">
        <v>35</v>
      </c>
      <c r="B1626" t="s">
        <v>9634</v>
      </c>
      <c r="C1626">
        <f>"HH095XSROJ"</f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 s="2">
        <v>0</v>
      </c>
      <c r="M1626">
        <v>0</v>
      </c>
      <c r="N1626" s="2">
        <v>0</v>
      </c>
      <c r="O1626">
        <v>0</v>
      </c>
      <c r="P1626" t="s">
        <v>100</v>
      </c>
      <c r="Q1626">
        <v>0</v>
      </c>
      <c r="R1626" t="s">
        <v>145</v>
      </c>
      <c r="S1626">
        <v>0</v>
      </c>
    </row>
    <row r="1627" spans="1:19">
      <c r="A1627" t="s">
        <v>35</v>
      </c>
      <c r="B1627" t="s">
        <v>9662</v>
      </c>
      <c r="C1627">
        <f>"HH095XSROS"</f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 s="2">
        <v>0</v>
      </c>
      <c r="M1627">
        <v>0</v>
      </c>
      <c r="N1627" s="2">
        <v>0</v>
      </c>
      <c r="O1627">
        <v>0</v>
      </c>
      <c r="P1627" t="s">
        <v>100</v>
      </c>
      <c r="Q1627">
        <v>0</v>
      </c>
      <c r="R1627" t="s">
        <v>145</v>
      </c>
      <c r="S1627">
        <v>0</v>
      </c>
    </row>
    <row r="1628" spans="1:19">
      <c r="A1628" t="s">
        <v>35</v>
      </c>
      <c r="B1628" t="s">
        <v>9659</v>
      </c>
      <c r="C1628">
        <f>"HH095XXLFU"</f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 s="2">
        <v>0</v>
      </c>
      <c r="M1628">
        <v>0</v>
      </c>
      <c r="N1628" s="2">
        <v>0</v>
      </c>
      <c r="O1628">
        <v>0</v>
      </c>
      <c r="P1628" t="s">
        <v>100</v>
      </c>
      <c r="Q1628">
        <v>0</v>
      </c>
      <c r="R1628" t="s">
        <v>145</v>
      </c>
      <c r="S1628">
        <v>0</v>
      </c>
    </row>
    <row r="1629" spans="1:19">
      <c r="A1629" t="s">
        <v>35</v>
      </c>
      <c r="B1629" t="s">
        <v>9591</v>
      </c>
      <c r="C1629">
        <f>"HH095XXLMO"</f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 s="2">
        <v>0</v>
      </c>
      <c r="M1629">
        <v>0</v>
      </c>
      <c r="N1629" s="2">
        <v>0</v>
      </c>
      <c r="O1629">
        <v>0</v>
      </c>
      <c r="P1629" t="s">
        <v>100</v>
      </c>
      <c r="Q1629">
        <v>0</v>
      </c>
      <c r="R1629" t="s">
        <v>145</v>
      </c>
      <c r="S1629">
        <v>0</v>
      </c>
    </row>
    <row r="1630" spans="1:19">
      <c r="A1630" t="s">
        <v>35</v>
      </c>
      <c r="B1630" t="s">
        <v>4868</v>
      </c>
      <c r="C1630">
        <f>"WD109"</f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 s="2">
        <v>0</v>
      </c>
      <c r="M1630">
        <v>0</v>
      </c>
      <c r="N1630" s="2">
        <v>0</v>
      </c>
      <c r="O1630">
        <v>0</v>
      </c>
      <c r="P1630" t="s">
        <v>100</v>
      </c>
      <c r="Q1630">
        <v>0</v>
      </c>
      <c r="R1630" t="s">
        <v>145</v>
      </c>
      <c r="S1630">
        <v>0</v>
      </c>
    </row>
    <row r="1631" spans="1:19">
      <c r="A1631" t="s">
        <v>35</v>
      </c>
      <c r="B1631" t="s">
        <v>4864</v>
      </c>
      <c r="C1631">
        <f>"PPXLD8"</f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 s="2">
        <v>0</v>
      </c>
      <c r="M1631">
        <v>0</v>
      </c>
      <c r="N1631" s="2">
        <v>0</v>
      </c>
      <c r="O1631">
        <v>0</v>
      </c>
      <c r="P1631" t="s">
        <v>100</v>
      </c>
      <c r="Q1631">
        <v>0</v>
      </c>
      <c r="R1631" t="s">
        <v>145</v>
      </c>
      <c r="S1631">
        <v>0</v>
      </c>
    </row>
    <row r="1632" spans="1:19">
      <c r="A1632" t="s">
        <v>35</v>
      </c>
      <c r="B1632" t="s">
        <v>4851</v>
      </c>
      <c r="C1632">
        <f>"WD859"</f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 s="2">
        <v>0</v>
      </c>
      <c r="M1632">
        <v>0</v>
      </c>
      <c r="N1632" s="2">
        <v>0</v>
      </c>
      <c r="O1632">
        <v>0</v>
      </c>
      <c r="P1632" t="s">
        <v>100</v>
      </c>
      <c r="Q1632">
        <v>0</v>
      </c>
      <c r="R1632" t="s">
        <v>145</v>
      </c>
      <c r="S1632">
        <v>0</v>
      </c>
    </row>
    <row r="1633" spans="1:19">
      <c r="A1633" t="s">
        <v>35</v>
      </c>
      <c r="B1633" t="s">
        <v>4959</v>
      </c>
      <c r="C1633">
        <f>"109062"</f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 s="2">
        <v>0</v>
      </c>
      <c r="M1633">
        <v>0</v>
      </c>
      <c r="N1633" s="2">
        <v>0</v>
      </c>
      <c r="O1633">
        <v>0</v>
      </c>
      <c r="P1633" t="s">
        <v>100</v>
      </c>
      <c r="Q1633">
        <v>0</v>
      </c>
      <c r="R1633" t="s">
        <v>145</v>
      </c>
      <c r="S1633">
        <v>0</v>
      </c>
    </row>
    <row r="1634" spans="1:19">
      <c r="A1634" t="s">
        <v>35</v>
      </c>
      <c r="B1634" t="s">
        <v>4959</v>
      </c>
      <c r="C1634">
        <f>"109061"</f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 s="2">
        <v>0</v>
      </c>
      <c r="M1634">
        <v>0</v>
      </c>
      <c r="N1634" s="2">
        <v>0</v>
      </c>
      <c r="O1634">
        <v>0</v>
      </c>
      <c r="P1634" t="s">
        <v>100</v>
      </c>
      <c r="Q1634">
        <v>0</v>
      </c>
      <c r="R1634" t="s">
        <v>145</v>
      </c>
      <c r="S1634">
        <v>0</v>
      </c>
    </row>
    <row r="1635" spans="1:19">
      <c r="A1635" t="s">
        <v>35</v>
      </c>
      <c r="B1635" t="s">
        <v>4947</v>
      </c>
      <c r="C1635">
        <f>"T2088"</f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 s="2">
        <v>0</v>
      </c>
      <c r="M1635">
        <v>0</v>
      </c>
      <c r="N1635" s="2">
        <v>0</v>
      </c>
      <c r="O1635">
        <v>0</v>
      </c>
      <c r="P1635" t="s">
        <v>100</v>
      </c>
      <c r="Q1635">
        <v>0</v>
      </c>
      <c r="R1635" t="s">
        <v>145</v>
      </c>
      <c r="S1635">
        <v>0</v>
      </c>
    </row>
    <row r="1636" spans="1:19">
      <c r="A1636" t="s">
        <v>35</v>
      </c>
      <c r="B1636" t="s">
        <v>9486</v>
      </c>
      <c r="C1636">
        <f>"HH095XSFU"</f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 s="2">
        <v>0</v>
      </c>
      <c r="M1636">
        <v>0</v>
      </c>
      <c r="N1636" s="2">
        <v>0</v>
      </c>
      <c r="O1636">
        <v>0</v>
      </c>
      <c r="P1636" t="s">
        <v>100</v>
      </c>
      <c r="Q1636">
        <v>0</v>
      </c>
      <c r="R1636" t="s">
        <v>145</v>
      </c>
      <c r="S1636">
        <v>0</v>
      </c>
    </row>
    <row r="1637" spans="1:19">
      <c r="A1637" t="s">
        <v>35</v>
      </c>
      <c r="B1637" t="s">
        <v>9294</v>
      </c>
      <c r="C1637">
        <f>"HH095LROJ"</f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 s="2">
        <v>0</v>
      </c>
      <c r="M1637">
        <v>0</v>
      </c>
      <c r="N1637" s="2">
        <v>0</v>
      </c>
      <c r="O1637">
        <v>0</v>
      </c>
      <c r="P1637" t="s">
        <v>100</v>
      </c>
      <c r="Q1637">
        <v>0</v>
      </c>
      <c r="R1637" t="s">
        <v>145</v>
      </c>
      <c r="S1637">
        <v>0</v>
      </c>
    </row>
    <row r="1638" spans="1:19">
      <c r="A1638" t="s">
        <v>35</v>
      </c>
      <c r="B1638" t="s">
        <v>9658</v>
      </c>
      <c r="C1638">
        <f>"HH095LV"</f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 s="2">
        <v>0</v>
      </c>
      <c r="M1638">
        <v>0</v>
      </c>
      <c r="N1638" s="2">
        <v>0</v>
      </c>
      <c r="O1638">
        <v>0</v>
      </c>
      <c r="P1638" t="s">
        <v>100</v>
      </c>
      <c r="Q1638">
        <v>0</v>
      </c>
      <c r="R1638" t="s">
        <v>145</v>
      </c>
      <c r="S1638">
        <v>0</v>
      </c>
    </row>
    <row r="1639" spans="1:19">
      <c r="A1639" t="s">
        <v>35</v>
      </c>
      <c r="B1639" t="s">
        <v>4885</v>
      </c>
      <c r="C1639">
        <f>"LS171N"</f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 s="2">
        <v>0</v>
      </c>
      <c r="M1639">
        <v>0</v>
      </c>
      <c r="N1639" s="2">
        <v>0</v>
      </c>
      <c r="O1639">
        <v>0</v>
      </c>
      <c r="P1639" t="s">
        <v>100</v>
      </c>
      <c r="Q1639">
        <v>0</v>
      </c>
      <c r="R1639" t="s">
        <v>145</v>
      </c>
      <c r="S1639">
        <v>0</v>
      </c>
    </row>
    <row r="1640" spans="1:19">
      <c r="A1640" t="s">
        <v>35</v>
      </c>
      <c r="B1640" t="s">
        <v>4883</v>
      </c>
      <c r="C1640">
        <f>"LS172N"</f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 s="2">
        <v>0</v>
      </c>
      <c r="M1640">
        <v>0</v>
      </c>
      <c r="N1640" s="2">
        <v>0</v>
      </c>
      <c r="O1640">
        <v>0</v>
      </c>
      <c r="P1640" t="s">
        <v>100</v>
      </c>
      <c r="Q1640">
        <v>0</v>
      </c>
      <c r="R1640" t="s">
        <v>145</v>
      </c>
      <c r="S1640">
        <v>0</v>
      </c>
    </row>
    <row r="1641" spans="1:19">
      <c r="A1641" t="s">
        <v>35</v>
      </c>
      <c r="B1641" t="s">
        <v>1416</v>
      </c>
      <c r="C1641">
        <f>"LS172VL"</f>
        <v>0</v>
      </c>
      <c r="D1641">
        <v>1</v>
      </c>
      <c r="E1641">
        <v>0</v>
      </c>
      <c r="F1641">
        <v>0</v>
      </c>
      <c r="G1641">
        <v>0</v>
      </c>
      <c r="H1641">
        <v>1</v>
      </c>
      <c r="I1641">
        <v>0</v>
      </c>
      <c r="J1641">
        <v>0</v>
      </c>
      <c r="K1641">
        <v>0</v>
      </c>
      <c r="L1641" s="2">
        <v>0</v>
      </c>
      <c r="M1641">
        <v>0</v>
      </c>
      <c r="N1641" s="2">
        <v>0</v>
      </c>
      <c r="O1641">
        <v>0</v>
      </c>
      <c r="P1641" t="s">
        <v>100</v>
      </c>
      <c r="Q1641">
        <v>0</v>
      </c>
      <c r="R1641" t="s">
        <v>145</v>
      </c>
      <c r="S1641">
        <v>0</v>
      </c>
    </row>
    <row r="1642" spans="1:19">
      <c r="A1642" t="s">
        <v>35</v>
      </c>
      <c r="B1642" t="s">
        <v>4881</v>
      </c>
      <c r="C1642">
        <f>"WIN40B"</f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 s="2">
        <v>0</v>
      </c>
      <c r="M1642">
        <v>0</v>
      </c>
      <c r="N1642" s="2">
        <v>0</v>
      </c>
      <c r="O1642">
        <v>0</v>
      </c>
      <c r="P1642" t="s">
        <v>100</v>
      </c>
      <c r="Q1642">
        <v>0</v>
      </c>
      <c r="R1642" t="s">
        <v>145</v>
      </c>
      <c r="S1642">
        <v>0</v>
      </c>
    </row>
    <row r="1643" spans="1:19">
      <c r="A1643" t="s">
        <v>35</v>
      </c>
      <c r="B1643" t="s">
        <v>4880</v>
      </c>
      <c r="C1643">
        <f>"WIN40RA"</f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 s="2">
        <v>0</v>
      </c>
      <c r="M1643">
        <v>0</v>
      </c>
      <c r="N1643" s="2">
        <v>0</v>
      </c>
      <c r="O1643">
        <v>0</v>
      </c>
      <c r="P1643" t="s">
        <v>100</v>
      </c>
      <c r="Q1643">
        <v>0</v>
      </c>
      <c r="R1643" t="s">
        <v>145</v>
      </c>
      <c r="S1643">
        <v>0</v>
      </c>
    </row>
    <row r="1644" spans="1:19">
      <c r="A1644" t="s">
        <v>35</v>
      </c>
      <c r="B1644" t="s">
        <v>4879</v>
      </c>
      <c r="C1644">
        <f>"LS173VL"</f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 s="2">
        <v>0</v>
      </c>
      <c r="M1644">
        <v>0</v>
      </c>
      <c r="N1644" s="2">
        <v>0</v>
      </c>
      <c r="O1644">
        <v>0</v>
      </c>
      <c r="P1644" t="s">
        <v>100</v>
      </c>
      <c r="Q1644">
        <v>0</v>
      </c>
      <c r="R1644" t="s">
        <v>145</v>
      </c>
      <c r="S1644">
        <v>0</v>
      </c>
    </row>
    <row r="1645" spans="1:19">
      <c r="A1645" t="s">
        <v>35</v>
      </c>
      <c r="B1645" t="s">
        <v>4901</v>
      </c>
      <c r="C1645">
        <f>"PQ113NEG"</f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 s="2">
        <v>0</v>
      </c>
      <c r="M1645">
        <v>0</v>
      </c>
      <c r="N1645" s="2">
        <v>0</v>
      </c>
      <c r="O1645">
        <v>0</v>
      </c>
      <c r="P1645" t="s">
        <v>100</v>
      </c>
      <c r="Q1645">
        <v>0</v>
      </c>
      <c r="R1645" t="s">
        <v>145</v>
      </c>
      <c r="S1645">
        <v>0</v>
      </c>
    </row>
    <row r="1646" spans="1:19">
      <c r="A1646" t="s">
        <v>35</v>
      </c>
      <c r="B1646" t="s">
        <v>9657</v>
      </c>
      <c r="C1646">
        <f>"HH095MCE"</f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 s="2">
        <v>0</v>
      </c>
      <c r="M1646">
        <v>0</v>
      </c>
      <c r="N1646" s="2">
        <v>0</v>
      </c>
      <c r="O1646">
        <v>0</v>
      </c>
      <c r="P1646" t="s">
        <v>100</v>
      </c>
      <c r="Q1646">
        <v>0</v>
      </c>
      <c r="R1646" t="s">
        <v>145</v>
      </c>
      <c r="S1646">
        <v>0</v>
      </c>
    </row>
    <row r="1647" spans="1:19">
      <c r="A1647" t="s">
        <v>35</v>
      </c>
      <c r="B1647" t="s">
        <v>1006</v>
      </c>
      <c r="C1647">
        <f>"LL313LNA"</f>
        <v>0</v>
      </c>
      <c r="D1647">
        <v>0</v>
      </c>
      <c r="E1647">
        <v>0</v>
      </c>
      <c r="F1647">
        <v>2</v>
      </c>
      <c r="G1647">
        <v>0</v>
      </c>
      <c r="H1647">
        <v>2</v>
      </c>
      <c r="I1647">
        <v>0</v>
      </c>
      <c r="J1647">
        <v>0</v>
      </c>
      <c r="K1647">
        <v>0</v>
      </c>
      <c r="L1647" s="2">
        <v>0</v>
      </c>
      <c r="M1647">
        <v>0</v>
      </c>
      <c r="N1647" s="2">
        <v>0</v>
      </c>
      <c r="O1647">
        <v>0</v>
      </c>
      <c r="P1647" t="s">
        <v>100</v>
      </c>
      <c r="Q1647">
        <v>0</v>
      </c>
      <c r="R1647" t="s">
        <v>145</v>
      </c>
      <c r="S1647">
        <v>0</v>
      </c>
    </row>
    <row r="1648" spans="1:19">
      <c r="A1648" t="s">
        <v>35</v>
      </c>
      <c r="B1648" t="s">
        <v>9713</v>
      </c>
      <c r="C1648">
        <f>"HH095MROS"</f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 s="2">
        <v>0</v>
      </c>
      <c r="M1648">
        <v>0</v>
      </c>
      <c r="N1648" s="2">
        <v>0</v>
      </c>
      <c r="O1648">
        <v>0</v>
      </c>
      <c r="P1648" t="s">
        <v>100</v>
      </c>
      <c r="Q1648">
        <v>0</v>
      </c>
      <c r="R1648" t="s">
        <v>145</v>
      </c>
      <c r="S1648">
        <v>0</v>
      </c>
    </row>
    <row r="1649" spans="1:19">
      <c r="A1649" t="s">
        <v>35</v>
      </c>
      <c r="B1649" t="s">
        <v>9450</v>
      </c>
      <c r="C1649">
        <f>"HH095SFU"</f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 s="2">
        <v>0</v>
      </c>
      <c r="M1649">
        <v>0</v>
      </c>
      <c r="N1649" s="2">
        <v>0</v>
      </c>
      <c r="O1649">
        <v>0</v>
      </c>
      <c r="P1649" t="s">
        <v>100</v>
      </c>
      <c r="Q1649">
        <v>0</v>
      </c>
      <c r="R1649" t="s">
        <v>145</v>
      </c>
      <c r="S1649">
        <v>0</v>
      </c>
    </row>
    <row r="1650" spans="1:19">
      <c r="A1650" t="s">
        <v>35</v>
      </c>
      <c r="B1650" t="s">
        <v>9449</v>
      </c>
      <c r="C1650">
        <f>"HH095SMO"</f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 s="2">
        <v>0</v>
      </c>
      <c r="M1650">
        <v>0</v>
      </c>
      <c r="N1650" s="2">
        <v>0</v>
      </c>
      <c r="O1650">
        <v>0</v>
      </c>
      <c r="P1650" t="s">
        <v>100</v>
      </c>
      <c r="Q1650">
        <v>0</v>
      </c>
      <c r="R1650" t="s">
        <v>145</v>
      </c>
      <c r="S1650">
        <v>0</v>
      </c>
    </row>
    <row r="1651" spans="1:19">
      <c r="A1651" t="s">
        <v>35</v>
      </c>
      <c r="B1651" t="s">
        <v>9603</v>
      </c>
      <c r="C1651">
        <f>"HH095SNE"</f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 s="2">
        <v>0</v>
      </c>
      <c r="M1651">
        <v>0</v>
      </c>
      <c r="N1651" s="2">
        <v>0</v>
      </c>
      <c r="O1651">
        <v>0</v>
      </c>
      <c r="P1651" t="s">
        <v>100</v>
      </c>
      <c r="Q1651">
        <v>0</v>
      </c>
      <c r="R1651" t="s">
        <v>145</v>
      </c>
      <c r="S1651">
        <v>0</v>
      </c>
    </row>
    <row r="1652" spans="1:19">
      <c r="A1652" t="s">
        <v>35</v>
      </c>
      <c r="B1652" t="s">
        <v>9602</v>
      </c>
      <c r="C1652">
        <f>"HH095SROJ"</f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 s="2">
        <v>0</v>
      </c>
      <c r="M1652">
        <v>0</v>
      </c>
      <c r="N1652" s="2">
        <v>0</v>
      </c>
      <c r="O1652">
        <v>0</v>
      </c>
      <c r="P1652" t="s">
        <v>100</v>
      </c>
      <c r="Q1652">
        <v>0</v>
      </c>
      <c r="R1652" t="s">
        <v>145</v>
      </c>
      <c r="S1652">
        <v>0</v>
      </c>
    </row>
    <row r="1653" spans="1:19">
      <c r="A1653" t="s">
        <v>35</v>
      </c>
      <c r="B1653" t="s">
        <v>9601</v>
      </c>
      <c r="C1653">
        <f>"HH095SROS"</f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 s="2">
        <v>0</v>
      </c>
      <c r="M1653">
        <v>0</v>
      </c>
      <c r="N1653" s="2">
        <v>0</v>
      </c>
      <c r="O1653">
        <v>0</v>
      </c>
      <c r="P1653" t="s">
        <v>100</v>
      </c>
      <c r="Q1653">
        <v>0</v>
      </c>
      <c r="R1653" t="s">
        <v>145</v>
      </c>
      <c r="S1653">
        <v>0</v>
      </c>
    </row>
    <row r="1654" spans="1:19">
      <c r="A1654" t="s">
        <v>35</v>
      </c>
      <c r="B1654" t="s">
        <v>4897</v>
      </c>
      <c r="C1654">
        <f>"SL21312FUC"</f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 s="2">
        <v>0</v>
      </c>
      <c r="M1654">
        <v>0</v>
      </c>
      <c r="N1654" s="2">
        <v>0</v>
      </c>
      <c r="O1654">
        <v>0</v>
      </c>
      <c r="P1654" t="s">
        <v>100</v>
      </c>
      <c r="Q1654">
        <v>0</v>
      </c>
      <c r="R1654" t="s">
        <v>145</v>
      </c>
      <c r="S1654">
        <v>0</v>
      </c>
    </row>
    <row r="1655" spans="1:19">
      <c r="A1655" t="s">
        <v>35</v>
      </c>
      <c r="B1655" t="s">
        <v>4896</v>
      </c>
      <c r="C1655">
        <f>"SL21312NE"</f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 s="2">
        <v>0</v>
      </c>
      <c r="M1655">
        <v>0</v>
      </c>
      <c r="N1655" s="2">
        <v>0</v>
      </c>
      <c r="O1655">
        <v>0</v>
      </c>
      <c r="P1655" t="s">
        <v>100</v>
      </c>
      <c r="Q1655">
        <v>0</v>
      </c>
      <c r="R1655" t="s">
        <v>145</v>
      </c>
      <c r="S1655">
        <v>0</v>
      </c>
    </row>
    <row r="1656" spans="1:19">
      <c r="A1656" t="s">
        <v>35</v>
      </c>
      <c r="B1656" t="s">
        <v>4894</v>
      </c>
      <c r="C1656">
        <f>"LL313L"</f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 s="2">
        <v>0</v>
      </c>
      <c r="M1656">
        <v>0</v>
      </c>
      <c r="N1656" s="2">
        <v>0</v>
      </c>
      <c r="O1656">
        <v>0</v>
      </c>
      <c r="P1656" t="s">
        <v>100</v>
      </c>
      <c r="Q1656">
        <v>0</v>
      </c>
      <c r="R1656" t="s">
        <v>145</v>
      </c>
      <c r="S1656">
        <v>0</v>
      </c>
    </row>
    <row r="1657" spans="1:19">
      <c r="A1657" t="s">
        <v>35</v>
      </c>
      <c r="B1657" t="s">
        <v>4893</v>
      </c>
      <c r="C1657">
        <f>"LL313LAN"</f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 s="2">
        <v>0</v>
      </c>
      <c r="M1657">
        <v>0</v>
      </c>
      <c r="N1657" s="2">
        <v>0</v>
      </c>
      <c r="O1657">
        <v>0</v>
      </c>
      <c r="P1657" t="s">
        <v>100</v>
      </c>
      <c r="Q1657">
        <v>0</v>
      </c>
      <c r="R1657" t="s">
        <v>145</v>
      </c>
      <c r="S1657">
        <v>0</v>
      </c>
    </row>
    <row r="1658" spans="1:19">
      <c r="A1658" t="s">
        <v>35</v>
      </c>
      <c r="B1658" t="s">
        <v>9702</v>
      </c>
      <c r="C1658">
        <f>"HH095MFU"</f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 s="2">
        <v>0</v>
      </c>
      <c r="M1658">
        <v>0</v>
      </c>
      <c r="N1658" s="2">
        <v>0</v>
      </c>
      <c r="O1658">
        <v>0</v>
      </c>
      <c r="P1658" t="s">
        <v>100</v>
      </c>
      <c r="Q1658">
        <v>0</v>
      </c>
      <c r="R1658" t="s">
        <v>145</v>
      </c>
      <c r="S1658">
        <v>0</v>
      </c>
    </row>
    <row r="1659" spans="1:19">
      <c r="A1659" t="s">
        <v>35</v>
      </c>
      <c r="B1659" t="s">
        <v>4903</v>
      </c>
      <c r="C1659">
        <f>"DW012"</f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 s="2">
        <v>0</v>
      </c>
      <c r="M1659">
        <v>0</v>
      </c>
      <c r="N1659" s="2">
        <v>0</v>
      </c>
      <c r="O1659">
        <v>0</v>
      </c>
      <c r="P1659" t="s">
        <v>100</v>
      </c>
      <c r="Q1659">
        <v>0</v>
      </c>
      <c r="R1659" t="s">
        <v>145</v>
      </c>
      <c r="S1659">
        <v>0</v>
      </c>
    </row>
    <row r="1660" spans="1:19">
      <c r="A1660" t="s">
        <v>35</v>
      </c>
      <c r="B1660" t="s">
        <v>4934</v>
      </c>
      <c r="C1660">
        <f>"DW008"</f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 s="2">
        <v>0</v>
      </c>
      <c r="M1660">
        <v>0</v>
      </c>
      <c r="N1660" s="2">
        <v>0</v>
      </c>
      <c r="O1660">
        <v>0</v>
      </c>
      <c r="P1660" t="s">
        <v>100</v>
      </c>
      <c r="Q1660">
        <v>0</v>
      </c>
      <c r="R1660" t="s">
        <v>145</v>
      </c>
      <c r="S1660">
        <v>0</v>
      </c>
    </row>
    <row r="1661" spans="1:19">
      <c r="A1661" t="s">
        <v>35</v>
      </c>
      <c r="B1661" t="s">
        <v>4960</v>
      </c>
      <c r="C1661">
        <f>"LN012"</f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 s="2">
        <v>0</v>
      </c>
      <c r="M1661">
        <v>0</v>
      </c>
      <c r="N1661" s="2">
        <v>0</v>
      </c>
      <c r="O1661">
        <v>0</v>
      </c>
      <c r="P1661" t="s">
        <v>100</v>
      </c>
      <c r="Q1661">
        <v>0</v>
      </c>
      <c r="R1661" t="s">
        <v>145</v>
      </c>
      <c r="S1661">
        <v>0</v>
      </c>
    </row>
    <row r="1662" spans="1:19">
      <c r="A1662" t="s">
        <v>35</v>
      </c>
      <c r="B1662" t="s">
        <v>4960</v>
      </c>
      <c r="C1662">
        <f>"TC150"</f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 s="2">
        <v>0</v>
      </c>
      <c r="M1662">
        <v>0</v>
      </c>
      <c r="N1662" s="2">
        <v>0</v>
      </c>
      <c r="O1662">
        <v>0</v>
      </c>
      <c r="P1662" t="s">
        <v>100</v>
      </c>
      <c r="Q1662">
        <v>0</v>
      </c>
      <c r="R1662" t="s">
        <v>145</v>
      </c>
      <c r="S1662">
        <v>0</v>
      </c>
    </row>
    <row r="1663" spans="1:19">
      <c r="A1663" t="s">
        <v>35</v>
      </c>
      <c r="B1663" t="s">
        <v>4959</v>
      </c>
      <c r="C1663">
        <f>"109065"</f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 s="2">
        <v>0</v>
      </c>
      <c r="M1663">
        <v>0</v>
      </c>
      <c r="N1663" s="2">
        <v>0</v>
      </c>
      <c r="O1663">
        <v>0</v>
      </c>
      <c r="P1663" t="s">
        <v>100</v>
      </c>
      <c r="Q1663">
        <v>0</v>
      </c>
      <c r="R1663" t="s">
        <v>145</v>
      </c>
      <c r="S1663">
        <v>0</v>
      </c>
    </row>
    <row r="1664" spans="1:19">
      <c r="A1664" t="s">
        <v>35</v>
      </c>
      <c r="B1664" t="s">
        <v>4856</v>
      </c>
      <c r="C1664">
        <f>"WIN49AZ"</f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 s="2">
        <v>0</v>
      </c>
      <c r="M1664">
        <v>0</v>
      </c>
      <c r="N1664" s="2">
        <v>0</v>
      </c>
      <c r="O1664">
        <v>0</v>
      </c>
      <c r="P1664" t="s">
        <v>100</v>
      </c>
      <c r="Q1664">
        <v>0</v>
      </c>
      <c r="R1664" t="s">
        <v>145</v>
      </c>
      <c r="S1664">
        <v>0</v>
      </c>
    </row>
    <row r="1665" spans="1:19">
      <c r="A1665" t="s">
        <v>35</v>
      </c>
      <c r="B1665" t="s">
        <v>4932</v>
      </c>
      <c r="C1665">
        <f>"WIN49NAR"</f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 s="2">
        <v>0</v>
      </c>
      <c r="M1665">
        <v>0</v>
      </c>
      <c r="N1665" s="2">
        <v>0</v>
      </c>
      <c r="O1665">
        <v>0</v>
      </c>
      <c r="P1665" t="s">
        <v>100</v>
      </c>
      <c r="Q1665">
        <v>0</v>
      </c>
      <c r="R1665" t="s">
        <v>145</v>
      </c>
      <c r="S1665">
        <v>0</v>
      </c>
    </row>
    <row r="1666" spans="1:19">
      <c r="A1666" t="s">
        <v>35</v>
      </c>
      <c r="B1666" t="s">
        <v>4929</v>
      </c>
      <c r="C1666">
        <f>"WIN50NAR"</f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 s="2">
        <v>0</v>
      </c>
      <c r="M1666">
        <v>0</v>
      </c>
      <c r="N1666" s="2">
        <v>0</v>
      </c>
      <c r="O1666">
        <v>0</v>
      </c>
      <c r="P1666" t="s">
        <v>100</v>
      </c>
      <c r="Q1666">
        <v>0</v>
      </c>
      <c r="R1666" t="s">
        <v>145</v>
      </c>
      <c r="S1666">
        <v>0</v>
      </c>
    </row>
    <row r="1667" spans="1:19">
      <c r="A1667" t="s">
        <v>35</v>
      </c>
      <c r="B1667" t="s">
        <v>6993</v>
      </c>
      <c r="C1667">
        <f>"H15XLROS"</f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 s="2">
        <v>0</v>
      </c>
      <c r="M1667">
        <v>0</v>
      </c>
      <c r="N1667" s="2">
        <v>0</v>
      </c>
      <c r="O1667">
        <v>0</v>
      </c>
      <c r="P1667" t="s">
        <v>100</v>
      </c>
      <c r="Q1667">
        <v>0</v>
      </c>
      <c r="R1667" t="s">
        <v>145</v>
      </c>
      <c r="S1667">
        <v>0</v>
      </c>
    </row>
    <row r="1668" spans="1:19">
      <c r="A1668" t="s">
        <v>35</v>
      </c>
      <c r="B1668" t="s">
        <v>9580</v>
      </c>
      <c r="C1668">
        <f>"PD20011S"</f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 s="2">
        <v>0</v>
      </c>
      <c r="M1668">
        <v>0</v>
      </c>
      <c r="N1668" s="2">
        <v>0</v>
      </c>
      <c r="O1668">
        <v>0</v>
      </c>
      <c r="P1668" t="s">
        <v>100</v>
      </c>
      <c r="Q1668">
        <v>0</v>
      </c>
      <c r="R1668" t="s">
        <v>145</v>
      </c>
      <c r="S1668">
        <v>0</v>
      </c>
    </row>
    <row r="1669" spans="1:19">
      <c r="A1669" t="s">
        <v>35</v>
      </c>
      <c r="B1669" t="s">
        <v>9588</v>
      </c>
      <c r="C1669">
        <f>"HH095XXLROS"</f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 s="2">
        <v>0</v>
      </c>
      <c r="M1669">
        <v>0</v>
      </c>
      <c r="N1669" s="2">
        <v>0</v>
      </c>
      <c r="O1669">
        <v>0</v>
      </c>
      <c r="P1669" t="s">
        <v>100</v>
      </c>
      <c r="Q1669">
        <v>0</v>
      </c>
      <c r="R1669" t="s">
        <v>145</v>
      </c>
      <c r="S1669">
        <v>0</v>
      </c>
    </row>
    <row r="1670" spans="1:19">
      <c r="A1670" t="s">
        <v>35</v>
      </c>
      <c r="B1670" t="s">
        <v>8292</v>
      </c>
      <c r="C1670">
        <f>"H014XL"</f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 s="2">
        <v>0</v>
      </c>
      <c r="M1670">
        <v>0</v>
      </c>
      <c r="N1670" s="2">
        <v>0</v>
      </c>
      <c r="O1670">
        <v>0</v>
      </c>
      <c r="P1670" t="s">
        <v>100</v>
      </c>
      <c r="Q1670">
        <v>0</v>
      </c>
      <c r="R1670" t="s">
        <v>145</v>
      </c>
      <c r="S1670">
        <v>0</v>
      </c>
    </row>
    <row r="1671" spans="1:19">
      <c r="A1671" t="s">
        <v>35</v>
      </c>
      <c r="B1671" t="s">
        <v>9567</v>
      </c>
      <c r="C1671">
        <f>"LV09092L"</f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 s="2">
        <v>0</v>
      </c>
      <c r="M1671">
        <v>0</v>
      </c>
      <c r="N1671" s="2">
        <v>0</v>
      </c>
      <c r="O1671">
        <v>0</v>
      </c>
      <c r="P1671" t="s">
        <v>100</v>
      </c>
      <c r="Q1671">
        <v>0</v>
      </c>
      <c r="R1671" t="s">
        <v>145</v>
      </c>
      <c r="S1671">
        <v>0</v>
      </c>
    </row>
    <row r="1672" spans="1:19">
      <c r="A1672" t="s">
        <v>35</v>
      </c>
      <c r="B1672" t="s">
        <v>9566</v>
      </c>
      <c r="C1672">
        <f>"LV09092M"</f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 s="2">
        <v>0</v>
      </c>
      <c r="M1672">
        <v>0</v>
      </c>
      <c r="N1672" s="2">
        <v>0</v>
      </c>
      <c r="O1672">
        <v>0</v>
      </c>
      <c r="P1672" t="s">
        <v>100</v>
      </c>
      <c r="Q1672">
        <v>0</v>
      </c>
      <c r="R1672" t="s">
        <v>145</v>
      </c>
      <c r="S1672">
        <v>0</v>
      </c>
    </row>
    <row r="1673" spans="1:19">
      <c r="A1673" t="s">
        <v>35</v>
      </c>
      <c r="B1673" t="s">
        <v>7158</v>
      </c>
      <c r="C1673">
        <f>"LV09092S"</f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 s="2">
        <v>0</v>
      </c>
      <c r="M1673">
        <v>0</v>
      </c>
      <c r="N1673" s="2">
        <v>0</v>
      </c>
      <c r="O1673">
        <v>0</v>
      </c>
      <c r="P1673" t="s">
        <v>100</v>
      </c>
      <c r="Q1673">
        <v>0</v>
      </c>
      <c r="R1673" t="s">
        <v>145</v>
      </c>
      <c r="S1673">
        <v>0</v>
      </c>
    </row>
    <row r="1674" spans="1:19">
      <c r="A1674" t="s">
        <v>35</v>
      </c>
      <c r="B1674" t="s">
        <v>4924</v>
      </c>
      <c r="C1674">
        <f>"JWL1033M"</f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 s="2">
        <v>0</v>
      </c>
      <c r="M1674">
        <v>0</v>
      </c>
      <c r="N1674" s="2">
        <v>0</v>
      </c>
      <c r="O1674">
        <v>0</v>
      </c>
      <c r="P1674" t="s">
        <v>100</v>
      </c>
      <c r="Q1674">
        <v>0</v>
      </c>
      <c r="R1674" t="s">
        <v>145</v>
      </c>
      <c r="S1674">
        <v>0</v>
      </c>
    </row>
    <row r="1675" spans="1:19">
      <c r="A1675" t="s">
        <v>35</v>
      </c>
      <c r="B1675" t="s">
        <v>4919</v>
      </c>
      <c r="C1675">
        <f>"DFZTL1AMO"</f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 s="2">
        <v>0</v>
      </c>
      <c r="M1675">
        <v>0</v>
      </c>
      <c r="N1675" s="2">
        <v>0</v>
      </c>
      <c r="O1675">
        <v>0</v>
      </c>
      <c r="P1675" t="s">
        <v>100</v>
      </c>
      <c r="Q1675">
        <v>0</v>
      </c>
      <c r="R1675" t="s">
        <v>145</v>
      </c>
      <c r="S1675">
        <v>0</v>
      </c>
    </row>
    <row r="1676" spans="1:19">
      <c r="A1676" t="s">
        <v>35</v>
      </c>
      <c r="B1676" t="s">
        <v>4918</v>
      </c>
      <c r="C1676">
        <f>"DFZTL1CROJ"</f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 s="2">
        <v>0</v>
      </c>
      <c r="M1676">
        <v>0</v>
      </c>
      <c r="N1676" s="2">
        <v>0</v>
      </c>
      <c r="O1676">
        <v>0</v>
      </c>
      <c r="P1676" t="s">
        <v>100</v>
      </c>
      <c r="Q1676">
        <v>0</v>
      </c>
      <c r="R1676" t="s">
        <v>145</v>
      </c>
      <c r="S1676">
        <v>0</v>
      </c>
    </row>
    <row r="1677" spans="1:19">
      <c r="A1677" t="s">
        <v>35</v>
      </c>
      <c r="B1677" t="s">
        <v>4915</v>
      </c>
      <c r="C1677">
        <f>"190882320126"</f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 s="2">
        <v>0</v>
      </c>
      <c r="M1677">
        <v>0</v>
      </c>
      <c r="N1677" s="2">
        <v>0</v>
      </c>
      <c r="O1677">
        <v>0</v>
      </c>
      <c r="P1677" t="s">
        <v>100</v>
      </c>
      <c r="Q1677">
        <v>0</v>
      </c>
      <c r="R1677" t="s">
        <v>145</v>
      </c>
      <c r="S1677">
        <v>0</v>
      </c>
    </row>
    <row r="1678" spans="1:19">
      <c r="A1678" t="s">
        <v>35</v>
      </c>
      <c r="B1678" t="s">
        <v>1417</v>
      </c>
      <c r="C1678">
        <f>"ZS006ALNE"</f>
        <v>0</v>
      </c>
      <c r="D1678">
        <v>1</v>
      </c>
      <c r="E1678">
        <v>0</v>
      </c>
      <c r="F1678">
        <v>0</v>
      </c>
      <c r="G1678">
        <v>0</v>
      </c>
      <c r="H1678">
        <v>1</v>
      </c>
      <c r="I1678">
        <v>0</v>
      </c>
      <c r="J1678">
        <v>0</v>
      </c>
      <c r="K1678">
        <v>0</v>
      </c>
      <c r="L1678" s="2">
        <v>0</v>
      </c>
      <c r="M1678">
        <v>0</v>
      </c>
      <c r="N1678" s="2">
        <v>0</v>
      </c>
      <c r="O1678">
        <v>0</v>
      </c>
      <c r="P1678" t="s">
        <v>100</v>
      </c>
      <c r="Q1678">
        <v>0</v>
      </c>
      <c r="R1678" t="s">
        <v>145</v>
      </c>
      <c r="S1678">
        <v>0</v>
      </c>
    </row>
    <row r="1679" spans="1:19">
      <c r="A1679" t="s">
        <v>35</v>
      </c>
      <c r="B1679" t="s">
        <v>4724</v>
      </c>
      <c r="C1679">
        <f>"NC4020"</f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 s="2">
        <v>0</v>
      </c>
      <c r="M1679">
        <v>0</v>
      </c>
      <c r="N1679" s="2">
        <v>0</v>
      </c>
      <c r="O1679">
        <v>0</v>
      </c>
      <c r="P1679" t="s">
        <v>100</v>
      </c>
      <c r="Q1679">
        <v>0</v>
      </c>
      <c r="R1679" t="s">
        <v>145</v>
      </c>
      <c r="S1679">
        <v>0</v>
      </c>
    </row>
    <row r="1680" spans="1:19">
      <c r="A1680" t="s">
        <v>35</v>
      </c>
      <c r="B1680" t="s">
        <v>7033</v>
      </c>
      <c r="C1680">
        <f>"H014S"</f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 s="2">
        <v>0</v>
      </c>
      <c r="M1680">
        <v>0</v>
      </c>
      <c r="N1680" s="2">
        <v>0</v>
      </c>
      <c r="O1680">
        <v>0</v>
      </c>
      <c r="P1680" t="s">
        <v>100</v>
      </c>
      <c r="Q1680">
        <v>0</v>
      </c>
      <c r="R1680" t="s">
        <v>145</v>
      </c>
      <c r="S1680">
        <v>0</v>
      </c>
    </row>
    <row r="1681" spans="1:19">
      <c r="A1681" t="s">
        <v>35</v>
      </c>
      <c r="B1681" t="s">
        <v>9587</v>
      </c>
      <c r="C1681">
        <f>"HH095XXLV"</f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 s="2">
        <v>0</v>
      </c>
      <c r="M1681">
        <v>0</v>
      </c>
      <c r="N1681" s="2">
        <v>0</v>
      </c>
      <c r="O1681">
        <v>0</v>
      </c>
      <c r="P1681" t="s">
        <v>100</v>
      </c>
      <c r="Q1681">
        <v>0</v>
      </c>
      <c r="R1681" t="s">
        <v>145</v>
      </c>
      <c r="S1681">
        <v>0</v>
      </c>
    </row>
    <row r="1682" spans="1:19">
      <c r="A1682" t="s">
        <v>35</v>
      </c>
      <c r="B1682" t="s">
        <v>9585</v>
      </c>
      <c r="C1682">
        <f>"HH095XXSFU"</f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 s="2">
        <v>0</v>
      </c>
      <c r="M1682">
        <v>0</v>
      </c>
      <c r="N1682" s="2">
        <v>0</v>
      </c>
      <c r="O1682">
        <v>0</v>
      </c>
      <c r="P1682" t="s">
        <v>100</v>
      </c>
      <c r="Q1682">
        <v>0</v>
      </c>
      <c r="R1682" t="s">
        <v>145</v>
      </c>
      <c r="S1682">
        <v>0</v>
      </c>
    </row>
    <row r="1683" spans="1:19">
      <c r="A1683" t="s">
        <v>35</v>
      </c>
      <c r="B1683" t="s">
        <v>9584</v>
      </c>
      <c r="C1683">
        <f>"HH095XXSMO"</f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 s="2">
        <v>0</v>
      </c>
      <c r="M1683">
        <v>0</v>
      </c>
      <c r="N1683" s="2">
        <v>0</v>
      </c>
      <c r="O1683">
        <v>0</v>
      </c>
      <c r="P1683" t="s">
        <v>100</v>
      </c>
      <c r="Q1683">
        <v>0</v>
      </c>
      <c r="R1683" t="s">
        <v>145</v>
      </c>
      <c r="S1683">
        <v>0</v>
      </c>
    </row>
    <row r="1684" spans="1:19">
      <c r="A1684" t="s">
        <v>35</v>
      </c>
      <c r="B1684" t="s">
        <v>9711</v>
      </c>
      <c r="C1684">
        <f>"HH095XXSNE"</f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 s="2">
        <v>0</v>
      </c>
      <c r="M1684">
        <v>0</v>
      </c>
      <c r="N1684" s="2">
        <v>0</v>
      </c>
      <c r="O1684">
        <v>0</v>
      </c>
      <c r="P1684" t="s">
        <v>100</v>
      </c>
      <c r="Q1684">
        <v>0</v>
      </c>
      <c r="R1684" t="s">
        <v>145</v>
      </c>
      <c r="S1684">
        <v>0</v>
      </c>
    </row>
    <row r="1685" spans="1:19">
      <c r="A1685" t="s">
        <v>35</v>
      </c>
      <c r="B1685" t="s">
        <v>9709</v>
      </c>
      <c r="C1685">
        <f>"HH095XXSROS"</f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 s="2">
        <v>0</v>
      </c>
      <c r="M1685">
        <v>0</v>
      </c>
      <c r="N1685" s="2">
        <v>0</v>
      </c>
      <c r="O1685">
        <v>0</v>
      </c>
      <c r="P1685" t="s">
        <v>100</v>
      </c>
      <c r="Q1685">
        <v>0</v>
      </c>
      <c r="R1685" t="s">
        <v>145</v>
      </c>
      <c r="S1685">
        <v>0</v>
      </c>
    </row>
    <row r="1686" spans="1:19">
      <c r="A1686" t="s">
        <v>35</v>
      </c>
      <c r="B1686" t="s">
        <v>9498</v>
      </c>
      <c r="C1686">
        <f>"HH095XXSV"</f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 s="2">
        <v>0</v>
      </c>
      <c r="M1686">
        <v>0</v>
      </c>
      <c r="N1686" s="2">
        <v>0</v>
      </c>
      <c r="O1686">
        <v>0</v>
      </c>
      <c r="P1686" t="s">
        <v>100</v>
      </c>
      <c r="Q1686">
        <v>0</v>
      </c>
      <c r="R1686" t="s">
        <v>145</v>
      </c>
      <c r="S1686">
        <v>0</v>
      </c>
    </row>
    <row r="1687" spans="1:19">
      <c r="A1687" t="s">
        <v>35</v>
      </c>
      <c r="B1687" t="s">
        <v>4944</v>
      </c>
      <c r="C1687">
        <f>"LL202CE"</f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 s="2">
        <v>0</v>
      </c>
      <c r="M1687">
        <v>0</v>
      </c>
      <c r="N1687" s="2">
        <v>0</v>
      </c>
      <c r="O1687">
        <v>0</v>
      </c>
      <c r="P1687" t="s">
        <v>100</v>
      </c>
      <c r="Q1687">
        <v>0</v>
      </c>
      <c r="R1687" t="s">
        <v>145</v>
      </c>
      <c r="S1687">
        <v>0</v>
      </c>
    </row>
    <row r="1688" spans="1:19">
      <c r="A1688" t="s">
        <v>35</v>
      </c>
      <c r="B1688" t="s">
        <v>4943</v>
      </c>
      <c r="C1688">
        <f>"LL202ROS"</f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 s="2">
        <v>0</v>
      </c>
      <c r="M1688">
        <v>0</v>
      </c>
      <c r="N1688" s="2">
        <v>0</v>
      </c>
      <c r="O1688">
        <v>0</v>
      </c>
      <c r="P1688" t="s">
        <v>100</v>
      </c>
      <c r="Q1688">
        <v>0</v>
      </c>
      <c r="R1688" t="s">
        <v>145</v>
      </c>
      <c r="S1688">
        <v>0</v>
      </c>
    </row>
    <row r="1689" spans="1:19">
      <c r="A1689" t="s">
        <v>35</v>
      </c>
      <c r="B1689" t="s">
        <v>4942</v>
      </c>
      <c r="C1689">
        <f>"LL202V"</f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 s="2">
        <v>0</v>
      </c>
      <c r="M1689">
        <v>0</v>
      </c>
      <c r="N1689" s="2">
        <v>0</v>
      </c>
      <c r="O1689">
        <v>0</v>
      </c>
      <c r="P1689" t="s">
        <v>100</v>
      </c>
      <c r="Q1689">
        <v>0</v>
      </c>
      <c r="R1689" t="s">
        <v>145</v>
      </c>
      <c r="S1689">
        <v>0</v>
      </c>
    </row>
    <row r="1690" spans="1:19">
      <c r="A1690" t="s">
        <v>35</v>
      </c>
      <c r="B1690" t="s">
        <v>4940</v>
      </c>
      <c r="C1690">
        <f>"7406160000288"</f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 s="2">
        <v>0</v>
      </c>
      <c r="M1690">
        <v>0</v>
      </c>
      <c r="N1690" s="2">
        <v>0</v>
      </c>
      <c r="O1690">
        <v>0</v>
      </c>
      <c r="P1690" t="s">
        <v>100</v>
      </c>
      <c r="Q1690">
        <v>0</v>
      </c>
      <c r="R1690" t="s">
        <v>145</v>
      </c>
      <c r="S1690">
        <v>0</v>
      </c>
    </row>
    <row r="1691" spans="1:19">
      <c r="A1691" t="s">
        <v>35</v>
      </c>
      <c r="B1691" t="s">
        <v>4904</v>
      </c>
      <c r="C1691">
        <f>"SLL21025"</f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 s="2">
        <v>0</v>
      </c>
      <c r="M1691">
        <v>0</v>
      </c>
      <c r="N1691" s="2">
        <v>0</v>
      </c>
      <c r="O1691">
        <v>0</v>
      </c>
      <c r="P1691" t="s">
        <v>100</v>
      </c>
      <c r="Q1691">
        <v>0</v>
      </c>
      <c r="R1691" t="s">
        <v>145</v>
      </c>
      <c r="S1691">
        <v>0</v>
      </c>
    </row>
    <row r="1692" spans="1:19">
      <c r="A1692" t="s">
        <v>35</v>
      </c>
      <c r="B1692" t="s">
        <v>9564</v>
      </c>
      <c r="C1692">
        <f>"DM40060M"</f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 s="2">
        <v>0</v>
      </c>
      <c r="M1692">
        <v>0</v>
      </c>
      <c r="N1692" s="2">
        <v>0</v>
      </c>
      <c r="O1692">
        <v>0</v>
      </c>
      <c r="P1692" t="s">
        <v>100</v>
      </c>
      <c r="Q1692">
        <v>0</v>
      </c>
      <c r="R1692" t="s">
        <v>145</v>
      </c>
      <c r="S1692">
        <v>0</v>
      </c>
    </row>
    <row r="1693" spans="1:19">
      <c r="A1693" t="s">
        <v>35</v>
      </c>
      <c r="B1693" t="s">
        <v>9563</v>
      </c>
      <c r="C1693">
        <f>"DM40060S"</f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 s="2">
        <v>0</v>
      </c>
      <c r="M1693">
        <v>0</v>
      </c>
      <c r="N1693" s="2">
        <v>0</v>
      </c>
      <c r="O1693">
        <v>0</v>
      </c>
      <c r="P1693" t="s">
        <v>100</v>
      </c>
      <c r="Q1693">
        <v>0</v>
      </c>
      <c r="R1693" t="s">
        <v>145</v>
      </c>
      <c r="S1693">
        <v>0</v>
      </c>
    </row>
    <row r="1694" spans="1:19">
      <c r="A1694" t="s">
        <v>35</v>
      </c>
      <c r="B1694" t="s">
        <v>9560</v>
      </c>
      <c r="C1694">
        <f>"PD20011L"</f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 s="2">
        <v>0</v>
      </c>
      <c r="M1694">
        <v>0</v>
      </c>
      <c r="N1694" s="2">
        <v>0</v>
      </c>
      <c r="O1694">
        <v>0</v>
      </c>
      <c r="P1694" t="s">
        <v>100</v>
      </c>
      <c r="Q1694">
        <v>0</v>
      </c>
      <c r="R1694" t="s">
        <v>145</v>
      </c>
      <c r="S1694">
        <v>0</v>
      </c>
    </row>
    <row r="1695" spans="1:19">
      <c r="A1695" t="s">
        <v>35</v>
      </c>
      <c r="B1695" t="s">
        <v>9548</v>
      </c>
      <c r="C1695">
        <f>"PD20011M"</f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 s="2">
        <v>0</v>
      </c>
      <c r="M1695">
        <v>0</v>
      </c>
      <c r="N1695" s="2">
        <v>0</v>
      </c>
      <c r="O1695">
        <v>0</v>
      </c>
      <c r="P1695" t="s">
        <v>100</v>
      </c>
      <c r="Q1695">
        <v>0</v>
      </c>
      <c r="R1695" t="s">
        <v>145</v>
      </c>
      <c r="S1695">
        <v>0</v>
      </c>
    </row>
    <row r="1696" spans="1:19">
      <c r="A1696" t="s">
        <v>35</v>
      </c>
      <c r="B1696" t="s">
        <v>9594</v>
      </c>
      <c r="C1696">
        <f>"JW9025"</f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 s="2">
        <v>0</v>
      </c>
      <c r="M1696">
        <v>0</v>
      </c>
      <c r="N1696" s="2">
        <v>0</v>
      </c>
      <c r="O1696">
        <v>0</v>
      </c>
      <c r="P1696" t="s">
        <v>100</v>
      </c>
      <c r="Q1696">
        <v>0</v>
      </c>
      <c r="R1696" t="s">
        <v>145</v>
      </c>
      <c r="S1696">
        <v>0</v>
      </c>
    </row>
    <row r="1697" spans="1:19">
      <c r="A1697" t="s">
        <v>35</v>
      </c>
      <c r="B1697" t="s">
        <v>9593</v>
      </c>
      <c r="C1697">
        <f>"JW9024"</f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 s="2">
        <v>0</v>
      </c>
      <c r="M1697">
        <v>0</v>
      </c>
      <c r="N1697" s="2">
        <v>0</v>
      </c>
      <c r="O1697">
        <v>0</v>
      </c>
      <c r="P1697" t="s">
        <v>100</v>
      </c>
      <c r="Q1697">
        <v>0</v>
      </c>
      <c r="R1697" t="s">
        <v>145</v>
      </c>
      <c r="S1697">
        <v>0</v>
      </c>
    </row>
    <row r="1698" spans="1:19">
      <c r="A1698" t="s">
        <v>35</v>
      </c>
      <c r="B1698" t="s">
        <v>9592</v>
      </c>
      <c r="C1698">
        <f>"H015L"</f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 s="2">
        <v>0</v>
      </c>
      <c r="M1698">
        <v>0</v>
      </c>
      <c r="N1698" s="2">
        <v>0</v>
      </c>
      <c r="O1698">
        <v>0</v>
      </c>
      <c r="P1698" t="s">
        <v>100</v>
      </c>
      <c r="Q1698">
        <v>0</v>
      </c>
      <c r="R1698" t="s">
        <v>145</v>
      </c>
      <c r="S1698">
        <v>0</v>
      </c>
    </row>
    <row r="1699" spans="1:19">
      <c r="A1699" t="s">
        <v>35</v>
      </c>
      <c r="B1699" t="s">
        <v>4912</v>
      </c>
      <c r="C1699">
        <f>"ZS006AMNE"</f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 s="2">
        <v>0</v>
      </c>
      <c r="M1699">
        <v>0</v>
      </c>
      <c r="N1699" s="2">
        <v>0</v>
      </c>
      <c r="O1699">
        <v>0</v>
      </c>
      <c r="P1699" t="s">
        <v>100</v>
      </c>
      <c r="Q1699">
        <v>0</v>
      </c>
      <c r="R1699" t="s">
        <v>145</v>
      </c>
      <c r="S1699">
        <v>0</v>
      </c>
    </row>
    <row r="1700" spans="1:19">
      <c r="A1700" t="s">
        <v>35</v>
      </c>
      <c r="B1700" t="s">
        <v>4909</v>
      </c>
      <c r="C1700">
        <f>"WD01215"</f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 s="2">
        <v>0</v>
      </c>
      <c r="M1700">
        <v>0</v>
      </c>
      <c r="N1700" s="2">
        <v>0</v>
      </c>
      <c r="O1700">
        <v>0</v>
      </c>
      <c r="P1700" t="s">
        <v>100</v>
      </c>
      <c r="Q1700">
        <v>0</v>
      </c>
      <c r="R1700" t="s">
        <v>145</v>
      </c>
      <c r="S1700">
        <v>0</v>
      </c>
    </row>
    <row r="1701" spans="1:19">
      <c r="A1701" t="s">
        <v>35</v>
      </c>
      <c r="B1701" t="s">
        <v>4905</v>
      </c>
      <c r="C1701">
        <f>"SLL21015"</f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 s="2">
        <v>0</v>
      </c>
      <c r="M1701">
        <v>0</v>
      </c>
      <c r="N1701" s="2">
        <v>0</v>
      </c>
      <c r="O1701">
        <v>0</v>
      </c>
      <c r="P1701" t="s">
        <v>100</v>
      </c>
      <c r="Q1701">
        <v>0</v>
      </c>
      <c r="R1701" t="s">
        <v>145</v>
      </c>
      <c r="S1701">
        <v>0</v>
      </c>
    </row>
    <row r="1702" spans="1:19">
      <c r="A1702" t="s">
        <v>35</v>
      </c>
      <c r="B1702" t="s">
        <v>4938</v>
      </c>
      <c r="C1702">
        <f>"DW110"</f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 s="2">
        <v>0</v>
      </c>
      <c r="M1702">
        <v>0</v>
      </c>
      <c r="N1702" s="2">
        <v>0</v>
      </c>
      <c r="O1702">
        <v>0</v>
      </c>
      <c r="P1702" t="s">
        <v>100</v>
      </c>
      <c r="Q1702">
        <v>0</v>
      </c>
      <c r="R1702" t="s">
        <v>145</v>
      </c>
      <c r="S1702">
        <v>0</v>
      </c>
    </row>
    <row r="1703" spans="1:19">
      <c r="A1703" t="s">
        <v>35</v>
      </c>
      <c r="B1703" t="s">
        <v>6557</v>
      </c>
      <c r="C1703">
        <f>"PT015XLA"</f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 s="2">
        <v>0</v>
      </c>
      <c r="M1703">
        <v>0</v>
      </c>
      <c r="N1703" s="2">
        <v>0</v>
      </c>
      <c r="O1703">
        <v>0</v>
      </c>
      <c r="P1703" t="s">
        <v>100</v>
      </c>
      <c r="Q1703">
        <v>0</v>
      </c>
      <c r="R1703" t="s">
        <v>145</v>
      </c>
      <c r="S1703">
        <v>0</v>
      </c>
    </row>
    <row r="1704" spans="1:19">
      <c r="A1704" t="s">
        <v>35</v>
      </c>
      <c r="B1704" t="s">
        <v>6556</v>
      </c>
      <c r="C1704">
        <f>"PT015XLCCEL"</f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 s="2">
        <v>0</v>
      </c>
      <c r="M1704">
        <v>0</v>
      </c>
      <c r="N1704" s="2">
        <v>0</v>
      </c>
      <c r="O1704">
        <v>0</v>
      </c>
      <c r="P1704" t="s">
        <v>100</v>
      </c>
      <c r="Q1704">
        <v>0</v>
      </c>
      <c r="R1704" t="s">
        <v>145</v>
      </c>
      <c r="S1704">
        <v>0</v>
      </c>
    </row>
    <row r="1705" spans="1:19">
      <c r="A1705" t="s">
        <v>35</v>
      </c>
      <c r="B1705" t="s">
        <v>7392</v>
      </c>
      <c r="C1705">
        <f>"PT015XLDROJ"</f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 s="2">
        <v>0</v>
      </c>
      <c r="M1705">
        <v>0</v>
      </c>
      <c r="N1705" s="2">
        <v>0</v>
      </c>
      <c r="O1705">
        <v>0</v>
      </c>
      <c r="P1705" t="s">
        <v>100</v>
      </c>
      <c r="Q1705">
        <v>0</v>
      </c>
      <c r="R1705" t="s">
        <v>145</v>
      </c>
      <c r="S1705">
        <v>0</v>
      </c>
    </row>
    <row r="1706" spans="1:19">
      <c r="A1706" t="s">
        <v>35</v>
      </c>
      <c r="B1706" t="s">
        <v>7391</v>
      </c>
      <c r="C1706">
        <f>"PT015XLFA"</f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 s="2">
        <v>0</v>
      </c>
      <c r="M1706">
        <v>0</v>
      </c>
      <c r="N1706" s="2">
        <v>0</v>
      </c>
      <c r="O1706">
        <v>0</v>
      </c>
      <c r="P1706" t="s">
        <v>100</v>
      </c>
      <c r="Q1706">
        <v>0</v>
      </c>
      <c r="R1706" t="s">
        <v>145</v>
      </c>
      <c r="S1706">
        <v>0</v>
      </c>
    </row>
    <row r="1707" spans="1:19">
      <c r="A1707" t="s">
        <v>35</v>
      </c>
      <c r="B1707" t="s">
        <v>7588</v>
      </c>
      <c r="C1707">
        <f>"PT015XLFNEG"</f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 s="2">
        <v>0</v>
      </c>
      <c r="M1707">
        <v>0</v>
      </c>
      <c r="N1707" s="2">
        <v>0</v>
      </c>
      <c r="O1707">
        <v>0</v>
      </c>
      <c r="P1707" t="s">
        <v>100</v>
      </c>
      <c r="Q1707">
        <v>0</v>
      </c>
      <c r="R1707" t="s">
        <v>145</v>
      </c>
      <c r="S1707">
        <v>0</v>
      </c>
    </row>
    <row r="1708" spans="1:19">
      <c r="A1708" t="s">
        <v>35</v>
      </c>
      <c r="B1708" t="s">
        <v>7572</v>
      </c>
      <c r="C1708">
        <f>"PT015XLMI"</f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 s="2">
        <v>0</v>
      </c>
      <c r="M1708">
        <v>0</v>
      </c>
      <c r="N1708" s="2">
        <v>0</v>
      </c>
      <c r="O1708">
        <v>0</v>
      </c>
      <c r="P1708" t="s">
        <v>100</v>
      </c>
      <c r="Q1708">
        <v>0</v>
      </c>
      <c r="R1708" t="s">
        <v>145</v>
      </c>
      <c r="S1708">
        <v>0</v>
      </c>
    </row>
    <row r="1709" spans="1:19">
      <c r="A1709" t="s">
        <v>35</v>
      </c>
      <c r="B1709" t="s">
        <v>7571</v>
      </c>
      <c r="C1709">
        <f>"PT015XLNEG"</f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 s="2">
        <v>0</v>
      </c>
      <c r="M1709">
        <v>0</v>
      </c>
      <c r="N1709" s="2">
        <v>0</v>
      </c>
      <c r="O1709">
        <v>0</v>
      </c>
      <c r="P1709" t="s">
        <v>100</v>
      </c>
      <c r="Q1709">
        <v>0</v>
      </c>
      <c r="R1709" t="s">
        <v>145</v>
      </c>
      <c r="S1709">
        <v>0</v>
      </c>
    </row>
    <row r="1710" spans="1:19">
      <c r="A1710" t="s">
        <v>35</v>
      </c>
      <c r="B1710" t="s">
        <v>1415</v>
      </c>
      <c r="C1710">
        <f>"PS1034"</f>
        <v>0</v>
      </c>
      <c r="D1710">
        <v>0</v>
      </c>
      <c r="E1710">
        <v>1</v>
      </c>
      <c r="F1710">
        <v>0</v>
      </c>
      <c r="G1710">
        <v>0</v>
      </c>
      <c r="H1710">
        <v>1</v>
      </c>
      <c r="I1710">
        <v>0</v>
      </c>
      <c r="J1710">
        <v>0</v>
      </c>
      <c r="K1710">
        <v>0</v>
      </c>
      <c r="L1710" s="2">
        <v>0</v>
      </c>
      <c r="M1710">
        <v>0</v>
      </c>
      <c r="N1710" s="2">
        <v>0</v>
      </c>
      <c r="O1710">
        <v>0</v>
      </c>
      <c r="P1710" t="s">
        <v>100</v>
      </c>
      <c r="Q1710">
        <v>0</v>
      </c>
      <c r="R1710" t="s">
        <v>145</v>
      </c>
      <c r="S1710">
        <v>0</v>
      </c>
    </row>
    <row r="1711" spans="1:19">
      <c r="A1711" t="s">
        <v>35</v>
      </c>
      <c r="B1711" t="s">
        <v>5692</v>
      </c>
      <c r="C1711">
        <f>"EZ3001C"</f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 s="2">
        <v>0</v>
      </c>
      <c r="M1711">
        <v>0</v>
      </c>
      <c r="N1711" s="2">
        <v>0</v>
      </c>
      <c r="O1711">
        <v>0</v>
      </c>
      <c r="P1711" t="s">
        <v>100</v>
      </c>
      <c r="Q1711">
        <v>0</v>
      </c>
      <c r="R1711" t="s">
        <v>145</v>
      </c>
      <c r="S1711">
        <v>0</v>
      </c>
    </row>
    <row r="1712" spans="1:19">
      <c r="A1712" t="s">
        <v>35</v>
      </c>
      <c r="B1712" t="s">
        <v>6363</v>
      </c>
      <c r="C1712">
        <f>"PAS220MAZ"</f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 s="2">
        <v>0</v>
      </c>
      <c r="M1712">
        <v>0</v>
      </c>
      <c r="N1712" s="2">
        <v>0</v>
      </c>
      <c r="O1712">
        <v>0</v>
      </c>
      <c r="P1712" t="s">
        <v>100</v>
      </c>
      <c r="Q1712">
        <v>0</v>
      </c>
      <c r="R1712" t="s">
        <v>145</v>
      </c>
      <c r="S1712">
        <v>0</v>
      </c>
    </row>
    <row r="1713" spans="1:19">
      <c r="A1713" t="s">
        <v>35</v>
      </c>
      <c r="B1713" t="s">
        <v>5588</v>
      </c>
      <c r="C1713">
        <f>"X046"</f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 s="2">
        <v>0</v>
      </c>
      <c r="M1713">
        <v>0</v>
      </c>
      <c r="N1713" s="2">
        <v>0</v>
      </c>
      <c r="O1713">
        <v>0</v>
      </c>
      <c r="P1713" t="s">
        <v>100</v>
      </c>
      <c r="Q1713">
        <v>0</v>
      </c>
      <c r="R1713" t="s">
        <v>145</v>
      </c>
      <c r="S1713">
        <v>0</v>
      </c>
    </row>
    <row r="1714" spans="1:19">
      <c r="A1714" t="s">
        <v>35</v>
      </c>
      <c r="B1714" t="s">
        <v>7561</v>
      </c>
      <c r="C1714">
        <f>"PT015XXLCCEL"</f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 s="2">
        <v>0</v>
      </c>
      <c r="M1714">
        <v>0</v>
      </c>
      <c r="N1714" s="2">
        <v>0</v>
      </c>
      <c r="O1714">
        <v>0</v>
      </c>
      <c r="P1714" t="s">
        <v>100</v>
      </c>
      <c r="Q1714">
        <v>0</v>
      </c>
      <c r="R1714" t="s">
        <v>145</v>
      </c>
      <c r="S1714">
        <v>0</v>
      </c>
    </row>
    <row r="1715" spans="1:19">
      <c r="A1715" t="s">
        <v>35</v>
      </c>
      <c r="B1715" t="s">
        <v>7560</v>
      </c>
      <c r="C1715">
        <f>"PT015XXLCMOR"</f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 s="2">
        <v>0</v>
      </c>
      <c r="M1715">
        <v>0</v>
      </c>
      <c r="N1715" s="2">
        <v>0</v>
      </c>
      <c r="O1715">
        <v>0</v>
      </c>
      <c r="P1715" t="s">
        <v>100</v>
      </c>
      <c r="Q1715">
        <v>0</v>
      </c>
      <c r="R1715" t="s">
        <v>145</v>
      </c>
      <c r="S1715">
        <v>0</v>
      </c>
    </row>
    <row r="1716" spans="1:19">
      <c r="A1716" t="s">
        <v>35</v>
      </c>
      <c r="B1716" t="s">
        <v>7222</v>
      </c>
      <c r="C1716">
        <f>"PT015XXLDROJ"</f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 s="2">
        <v>0</v>
      </c>
      <c r="M1716">
        <v>0</v>
      </c>
      <c r="N1716" s="2">
        <v>0</v>
      </c>
      <c r="O1716">
        <v>0</v>
      </c>
      <c r="P1716" t="s">
        <v>100</v>
      </c>
      <c r="Q1716">
        <v>0</v>
      </c>
      <c r="R1716" t="s">
        <v>145</v>
      </c>
      <c r="S1716">
        <v>0</v>
      </c>
    </row>
    <row r="1717" spans="1:19">
      <c r="A1717" t="s">
        <v>35</v>
      </c>
      <c r="B1717" t="s">
        <v>7219</v>
      </c>
      <c r="C1717">
        <f>"PT015XXLFNEG"</f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 s="2">
        <v>0</v>
      </c>
      <c r="M1717">
        <v>0</v>
      </c>
      <c r="N1717" s="2">
        <v>0</v>
      </c>
      <c r="O1717">
        <v>0</v>
      </c>
      <c r="P1717" t="s">
        <v>100</v>
      </c>
      <c r="Q1717">
        <v>0</v>
      </c>
      <c r="R1717" t="s">
        <v>145</v>
      </c>
      <c r="S1717">
        <v>0</v>
      </c>
    </row>
    <row r="1718" spans="1:19">
      <c r="A1718" t="s">
        <v>35</v>
      </c>
      <c r="B1718" t="s">
        <v>5512</v>
      </c>
      <c r="C1718">
        <f>"N6503"</f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 s="2">
        <v>0</v>
      </c>
      <c r="M1718">
        <v>0</v>
      </c>
      <c r="N1718" s="2">
        <v>0</v>
      </c>
      <c r="O1718">
        <v>0</v>
      </c>
      <c r="P1718" t="s">
        <v>100</v>
      </c>
      <c r="Q1718">
        <v>0</v>
      </c>
      <c r="R1718" t="s">
        <v>145</v>
      </c>
      <c r="S1718">
        <v>0</v>
      </c>
    </row>
    <row r="1719" spans="1:19">
      <c r="A1719" t="s">
        <v>35</v>
      </c>
      <c r="B1719" t="s">
        <v>5511</v>
      </c>
      <c r="C1719">
        <f>"TF1011"</f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 s="2">
        <v>0</v>
      </c>
      <c r="M1719">
        <v>0</v>
      </c>
      <c r="N1719" s="2">
        <v>0</v>
      </c>
      <c r="O1719">
        <v>0</v>
      </c>
      <c r="P1719" t="s">
        <v>100</v>
      </c>
      <c r="Q1719">
        <v>0</v>
      </c>
      <c r="R1719" t="s">
        <v>145</v>
      </c>
      <c r="S1719">
        <v>0</v>
      </c>
    </row>
    <row r="1720" spans="1:19">
      <c r="A1720" t="s">
        <v>35</v>
      </c>
      <c r="B1720" t="s">
        <v>1069</v>
      </c>
      <c r="C1720">
        <f>"TF1031"</f>
        <v>0</v>
      </c>
      <c r="D1720">
        <v>2</v>
      </c>
      <c r="E1720">
        <v>0</v>
      </c>
      <c r="F1720">
        <v>0</v>
      </c>
      <c r="G1720">
        <v>0</v>
      </c>
      <c r="H1720">
        <v>2</v>
      </c>
      <c r="I1720">
        <v>0</v>
      </c>
      <c r="J1720">
        <v>0</v>
      </c>
      <c r="K1720">
        <v>0</v>
      </c>
      <c r="L1720" s="2">
        <v>0</v>
      </c>
      <c r="M1720">
        <v>0</v>
      </c>
      <c r="N1720" s="2">
        <v>0</v>
      </c>
      <c r="O1720">
        <v>0</v>
      </c>
      <c r="P1720" t="s">
        <v>100</v>
      </c>
      <c r="Q1720">
        <v>0</v>
      </c>
      <c r="R1720" t="s">
        <v>145</v>
      </c>
      <c r="S1720">
        <v>0</v>
      </c>
    </row>
    <row r="1721" spans="1:19">
      <c r="A1721" t="s">
        <v>35</v>
      </c>
      <c r="B1721" t="s">
        <v>5489</v>
      </c>
      <c r="C1721">
        <f>"REDG"</f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 s="2">
        <v>0</v>
      </c>
      <c r="M1721">
        <v>0</v>
      </c>
      <c r="N1721" s="2">
        <v>0</v>
      </c>
      <c r="O1721">
        <v>0</v>
      </c>
      <c r="P1721" t="s">
        <v>100</v>
      </c>
      <c r="Q1721">
        <v>0</v>
      </c>
      <c r="R1721" t="s">
        <v>145</v>
      </c>
      <c r="S1721">
        <v>0</v>
      </c>
    </row>
    <row r="1722" spans="1:19">
      <c r="A1722" t="s">
        <v>35</v>
      </c>
      <c r="B1722" t="s">
        <v>5665</v>
      </c>
      <c r="C1722">
        <f>"ANS21"</f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 s="2">
        <v>0</v>
      </c>
      <c r="M1722">
        <v>0</v>
      </c>
      <c r="N1722" s="2">
        <v>0</v>
      </c>
      <c r="O1722">
        <v>0</v>
      </c>
      <c r="P1722" t="s">
        <v>100</v>
      </c>
      <c r="Q1722">
        <v>0</v>
      </c>
      <c r="R1722" t="s">
        <v>145</v>
      </c>
      <c r="S1722">
        <v>0</v>
      </c>
    </row>
    <row r="1723" spans="1:19">
      <c r="A1723" t="s">
        <v>35</v>
      </c>
      <c r="B1723" t="s">
        <v>5679</v>
      </c>
      <c r="C1723">
        <f>"RK38"</f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 s="2">
        <v>0</v>
      </c>
      <c r="M1723">
        <v>0</v>
      </c>
      <c r="N1723" s="2">
        <v>0</v>
      </c>
      <c r="O1723">
        <v>0</v>
      </c>
      <c r="P1723" t="s">
        <v>100</v>
      </c>
      <c r="Q1723">
        <v>0</v>
      </c>
      <c r="R1723" t="s">
        <v>145</v>
      </c>
      <c r="S1723">
        <v>0</v>
      </c>
    </row>
    <row r="1724" spans="1:19">
      <c r="A1724" t="s">
        <v>35</v>
      </c>
      <c r="B1724" t="s">
        <v>5631</v>
      </c>
      <c r="C1724">
        <f>"1065501200000"</f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 s="2">
        <v>0</v>
      </c>
      <c r="M1724">
        <v>0</v>
      </c>
      <c r="N1724" s="2">
        <v>0</v>
      </c>
      <c r="O1724">
        <v>0</v>
      </c>
      <c r="P1724" t="s">
        <v>100</v>
      </c>
      <c r="Q1724">
        <v>0</v>
      </c>
      <c r="R1724" t="s">
        <v>145</v>
      </c>
      <c r="S1724">
        <v>0</v>
      </c>
    </row>
    <row r="1725" spans="1:19">
      <c r="A1725" t="s">
        <v>35</v>
      </c>
      <c r="B1725" t="s">
        <v>6210</v>
      </c>
      <c r="C1725">
        <f>"WPS191"</f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 s="2">
        <v>0</v>
      </c>
      <c r="M1725">
        <v>0</v>
      </c>
      <c r="N1725" s="2">
        <v>0</v>
      </c>
      <c r="O1725">
        <v>0</v>
      </c>
      <c r="P1725" t="s">
        <v>100</v>
      </c>
      <c r="Q1725">
        <v>0</v>
      </c>
      <c r="R1725" t="s">
        <v>145</v>
      </c>
      <c r="S1725">
        <v>0</v>
      </c>
    </row>
    <row r="1726" spans="1:19">
      <c r="A1726" t="s">
        <v>35</v>
      </c>
      <c r="B1726" t="s">
        <v>7569</v>
      </c>
      <c r="C1726">
        <f>"PT015LFMOR"</f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 s="2">
        <v>0</v>
      </c>
      <c r="M1726">
        <v>0</v>
      </c>
      <c r="N1726" s="2">
        <v>0</v>
      </c>
      <c r="O1726">
        <v>0</v>
      </c>
      <c r="P1726" t="s">
        <v>100</v>
      </c>
      <c r="Q1726">
        <v>0</v>
      </c>
      <c r="R1726" t="s">
        <v>145</v>
      </c>
      <c r="S1726">
        <v>0</v>
      </c>
    </row>
    <row r="1727" spans="1:19">
      <c r="A1727" t="s">
        <v>35</v>
      </c>
      <c r="B1727" t="s">
        <v>7568</v>
      </c>
      <c r="C1727">
        <f>"PT015LFNEG"</f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 s="2">
        <v>0</v>
      </c>
      <c r="M1727">
        <v>0</v>
      </c>
      <c r="N1727" s="2">
        <v>0</v>
      </c>
      <c r="O1727">
        <v>0</v>
      </c>
      <c r="P1727" t="s">
        <v>100</v>
      </c>
      <c r="Q1727">
        <v>0</v>
      </c>
      <c r="R1727" t="s">
        <v>145</v>
      </c>
      <c r="S1727">
        <v>0</v>
      </c>
    </row>
    <row r="1728" spans="1:19">
      <c r="A1728" t="s">
        <v>35</v>
      </c>
      <c r="B1728" t="s">
        <v>7567</v>
      </c>
      <c r="C1728">
        <f>"PT015LN"</f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 s="2">
        <v>0</v>
      </c>
      <c r="M1728">
        <v>0</v>
      </c>
      <c r="N1728" s="2">
        <v>0</v>
      </c>
      <c r="O1728">
        <v>0</v>
      </c>
      <c r="P1728" t="s">
        <v>100</v>
      </c>
      <c r="Q1728">
        <v>0</v>
      </c>
      <c r="R1728" t="s">
        <v>145</v>
      </c>
      <c r="S1728">
        <v>0</v>
      </c>
    </row>
    <row r="1729" spans="1:19">
      <c r="A1729" t="s">
        <v>35</v>
      </c>
      <c r="B1729" t="s">
        <v>7566</v>
      </c>
      <c r="C1729">
        <f>"PT015LROJ"</f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 s="2">
        <v>0</v>
      </c>
      <c r="M1729">
        <v>0</v>
      </c>
      <c r="N1729" s="2">
        <v>0</v>
      </c>
      <c r="O1729">
        <v>0</v>
      </c>
      <c r="P1729" t="s">
        <v>100</v>
      </c>
      <c r="Q1729">
        <v>0</v>
      </c>
      <c r="R1729" t="s">
        <v>145</v>
      </c>
      <c r="S1729">
        <v>0</v>
      </c>
    </row>
    <row r="1730" spans="1:19">
      <c r="A1730" t="s">
        <v>35</v>
      </c>
      <c r="B1730" t="s">
        <v>7565</v>
      </c>
      <c r="C1730">
        <f>"PT015MAZ"</f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 s="2">
        <v>0</v>
      </c>
      <c r="M1730">
        <v>0</v>
      </c>
      <c r="N1730" s="2">
        <v>0</v>
      </c>
      <c r="O1730">
        <v>0</v>
      </c>
      <c r="P1730" t="s">
        <v>100</v>
      </c>
      <c r="Q1730">
        <v>0</v>
      </c>
      <c r="R1730" t="s">
        <v>145</v>
      </c>
      <c r="S1730">
        <v>0</v>
      </c>
    </row>
    <row r="1731" spans="1:19">
      <c r="A1731" t="s">
        <v>35</v>
      </c>
      <c r="B1731" t="s">
        <v>7563</v>
      </c>
      <c r="C1731">
        <f>"PT015MDROJ"</f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 s="2">
        <v>0</v>
      </c>
      <c r="M1731">
        <v>0</v>
      </c>
      <c r="N1731" s="2">
        <v>0</v>
      </c>
      <c r="O1731">
        <v>0</v>
      </c>
      <c r="P1731" t="s">
        <v>100</v>
      </c>
      <c r="Q1731">
        <v>0</v>
      </c>
      <c r="R1731" t="s">
        <v>145</v>
      </c>
      <c r="S1731">
        <v>0</v>
      </c>
    </row>
    <row r="1732" spans="1:19">
      <c r="A1732" t="s">
        <v>35</v>
      </c>
      <c r="B1732" t="s">
        <v>7463</v>
      </c>
      <c r="C1732">
        <f>"PT015MFMOR"</f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 s="2">
        <v>0</v>
      </c>
      <c r="M1732">
        <v>0</v>
      </c>
      <c r="N1732" s="2">
        <v>0</v>
      </c>
      <c r="O1732">
        <v>0</v>
      </c>
      <c r="P1732" t="s">
        <v>100</v>
      </c>
      <c r="Q1732">
        <v>0</v>
      </c>
      <c r="R1732" t="s">
        <v>145</v>
      </c>
      <c r="S1732">
        <v>0</v>
      </c>
    </row>
    <row r="1733" spans="1:19">
      <c r="A1733" t="s">
        <v>35</v>
      </c>
      <c r="B1733" t="s">
        <v>7462</v>
      </c>
      <c r="C1733">
        <f>"PT015MFNEG"</f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 s="2">
        <v>0</v>
      </c>
      <c r="M1733">
        <v>0</v>
      </c>
      <c r="N1733" s="2">
        <v>0</v>
      </c>
      <c r="O1733">
        <v>0</v>
      </c>
      <c r="P1733" t="s">
        <v>100</v>
      </c>
      <c r="Q1733">
        <v>0</v>
      </c>
      <c r="R1733" t="s">
        <v>145</v>
      </c>
      <c r="S1733">
        <v>0</v>
      </c>
    </row>
    <row r="1734" spans="1:19">
      <c r="A1734" t="s">
        <v>35</v>
      </c>
      <c r="B1734" t="s">
        <v>7152</v>
      </c>
      <c r="C1734">
        <f>"PT015SN"</f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 s="2">
        <v>0</v>
      </c>
      <c r="M1734">
        <v>0</v>
      </c>
      <c r="N1734" s="2">
        <v>0</v>
      </c>
      <c r="O1734">
        <v>0</v>
      </c>
      <c r="P1734" t="s">
        <v>100</v>
      </c>
      <c r="Q1734">
        <v>0</v>
      </c>
      <c r="R1734" t="s">
        <v>145</v>
      </c>
      <c r="S1734">
        <v>0</v>
      </c>
    </row>
    <row r="1735" spans="1:19">
      <c r="A1735" t="s">
        <v>35</v>
      </c>
      <c r="B1735" t="s">
        <v>7406</v>
      </c>
      <c r="C1735">
        <f>"PT015MNEG"</f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 s="2">
        <v>0</v>
      </c>
      <c r="M1735">
        <v>0</v>
      </c>
      <c r="N1735" s="2">
        <v>0</v>
      </c>
      <c r="O1735">
        <v>0</v>
      </c>
      <c r="P1735" t="s">
        <v>100</v>
      </c>
      <c r="Q1735">
        <v>0</v>
      </c>
      <c r="R1735" t="s">
        <v>145</v>
      </c>
      <c r="S1735">
        <v>0</v>
      </c>
    </row>
    <row r="1736" spans="1:19">
      <c r="A1736" t="s">
        <v>35</v>
      </c>
      <c r="B1736" t="s">
        <v>7405</v>
      </c>
      <c r="C1736">
        <f>"PT015MROJ"</f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 s="2">
        <v>0</v>
      </c>
      <c r="M1736">
        <v>0</v>
      </c>
      <c r="N1736" s="2">
        <v>0</v>
      </c>
      <c r="O1736">
        <v>0</v>
      </c>
      <c r="P1736" t="s">
        <v>100</v>
      </c>
      <c r="Q1736">
        <v>0</v>
      </c>
      <c r="R1736" t="s">
        <v>145</v>
      </c>
      <c r="S1736">
        <v>0</v>
      </c>
    </row>
    <row r="1737" spans="1:19">
      <c r="A1737" t="s">
        <v>35</v>
      </c>
      <c r="B1737" t="s">
        <v>7403</v>
      </c>
      <c r="C1737">
        <f>"PT015SCC"</f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 s="2">
        <v>0</v>
      </c>
      <c r="M1737">
        <v>0</v>
      </c>
      <c r="N1737" s="2">
        <v>0</v>
      </c>
      <c r="O1737">
        <v>0</v>
      </c>
      <c r="P1737" t="s">
        <v>100</v>
      </c>
      <c r="Q1737">
        <v>0</v>
      </c>
      <c r="R1737" t="s">
        <v>145</v>
      </c>
      <c r="S1737">
        <v>0</v>
      </c>
    </row>
    <row r="1738" spans="1:19">
      <c r="A1738" t="s">
        <v>35</v>
      </c>
      <c r="B1738" t="s">
        <v>7218</v>
      </c>
      <c r="C1738">
        <f>"PT015SDR"</f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 s="2">
        <v>0</v>
      </c>
      <c r="M1738">
        <v>0</v>
      </c>
      <c r="N1738" s="2">
        <v>0</v>
      </c>
      <c r="O1738">
        <v>0</v>
      </c>
      <c r="P1738" t="s">
        <v>100</v>
      </c>
      <c r="Q1738">
        <v>0</v>
      </c>
      <c r="R1738" t="s">
        <v>145</v>
      </c>
      <c r="S1738">
        <v>0</v>
      </c>
    </row>
    <row r="1739" spans="1:19">
      <c r="A1739" t="s">
        <v>35</v>
      </c>
      <c r="B1739" t="s">
        <v>7400</v>
      </c>
      <c r="C1739">
        <f>"FB517XLA"</f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 s="2">
        <v>0</v>
      </c>
      <c r="M1739">
        <v>0</v>
      </c>
      <c r="N1739" s="2">
        <v>0</v>
      </c>
      <c r="O1739">
        <v>0</v>
      </c>
      <c r="P1739" t="s">
        <v>100</v>
      </c>
      <c r="Q1739">
        <v>0</v>
      </c>
      <c r="R1739" t="s">
        <v>145</v>
      </c>
      <c r="S1739">
        <v>0</v>
      </c>
    </row>
    <row r="1740" spans="1:19">
      <c r="A1740" t="s">
        <v>35</v>
      </c>
      <c r="B1740" t="s">
        <v>7399</v>
      </c>
      <c r="C1740">
        <f>"FB517XLM"</f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 s="2">
        <v>0</v>
      </c>
      <c r="M1740">
        <v>0</v>
      </c>
      <c r="N1740" s="2">
        <v>0</v>
      </c>
      <c r="O1740">
        <v>0</v>
      </c>
      <c r="P1740" t="s">
        <v>100</v>
      </c>
      <c r="Q1740">
        <v>0</v>
      </c>
      <c r="R1740" t="s">
        <v>145</v>
      </c>
      <c r="S1740">
        <v>0</v>
      </c>
    </row>
    <row r="1741" spans="1:19">
      <c r="A1741" t="s">
        <v>35</v>
      </c>
      <c r="B1741" t="s">
        <v>7397</v>
      </c>
      <c r="C1741">
        <f>"FB517XLVM"</f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 s="2">
        <v>0</v>
      </c>
      <c r="M1741">
        <v>0</v>
      </c>
      <c r="N1741" s="2">
        <v>0</v>
      </c>
      <c r="O1741">
        <v>0</v>
      </c>
      <c r="P1741" t="s">
        <v>100</v>
      </c>
      <c r="Q1741">
        <v>0</v>
      </c>
      <c r="R1741" t="s">
        <v>145</v>
      </c>
      <c r="S1741">
        <v>0</v>
      </c>
    </row>
    <row r="1742" spans="1:19">
      <c r="A1742" t="s">
        <v>35</v>
      </c>
      <c r="B1742" t="s">
        <v>7201</v>
      </c>
      <c r="C1742">
        <f>"PT015SFM"</f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 s="2">
        <v>0</v>
      </c>
      <c r="M1742">
        <v>0</v>
      </c>
      <c r="N1742" s="2">
        <v>0</v>
      </c>
      <c r="O1742">
        <v>0</v>
      </c>
      <c r="P1742" t="s">
        <v>100</v>
      </c>
      <c r="Q1742">
        <v>0</v>
      </c>
      <c r="R1742" t="s">
        <v>145</v>
      </c>
      <c r="S1742">
        <v>0</v>
      </c>
    </row>
    <row r="1743" spans="1:19">
      <c r="A1743" t="s">
        <v>35</v>
      </c>
      <c r="B1743" t="s">
        <v>7154</v>
      </c>
      <c r="C1743">
        <f>"PT015SFN"</f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 s="2">
        <v>0</v>
      </c>
      <c r="M1743">
        <v>0</v>
      </c>
      <c r="N1743" s="2">
        <v>0</v>
      </c>
      <c r="O1743">
        <v>0</v>
      </c>
      <c r="P1743" t="s">
        <v>100</v>
      </c>
      <c r="Q1743">
        <v>0</v>
      </c>
      <c r="R1743" t="s">
        <v>145</v>
      </c>
      <c r="S1743">
        <v>0</v>
      </c>
    </row>
    <row r="1744" spans="1:19">
      <c r="A1744" t="s">
        <v>35</v>
      </c>
      <c r="B1744" t="s">
        <v>7153</v>
      </c>
      <c r="C1744">
        <f>"PT015SMI"</f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 s="2">
        <v>0</v>
      </c>
      <c r="M1744">
        <v>0</v>
      </c>
      <c r="N1744" s="2">
        <v>0</v>
      </c>
      <c r="O1744">
        <v>0</v>
      </c>
      <c r="P1744" t="s">
        <v>100</v>
      </c>
      <c r="Q1744">
        <v>0</v>
      </c>
      <c r="R1744" t="s">
        <v>145</v>
      </c>
      <c r="S1744">
        <v>0</v>
      </c>
    </row>
    <row r="1745" spans="1:19">
      <c r="A1745" t="s">
        <v>35</v>
      </c>
      <c r="B1745" t="s">
        <v>7461</v>
      </c>
      <c r="C1745">
        <f>"PT015MMI"</f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 s="2">
        <v>0</v>
      </c>
      <c r="M1745">
        <v>0</v>
      </c>
      <c r="N1745" s="2">
        <v>0</v>
      </c>
      <c r="O1745">
        <v>0</v>
      </c>
      <c r="P1745" t="s">
        <v>100</v>
      </c>
      <c r="Q1745">
        <v>0</v>
      </c>
      <c r="R1745" t="s">
        <v>145</v>
      </c>
      <c r="S1745">
        <v>0</v>
      </c>
    </row>
    <row r="1746" spans="1:19">
      <c r="A1746" t="s">
        <v>35</v>
      </c>
      <c r="B1746" t="s">
        <v>5510</v>
      </c>
      <c r="C1746">
        <f>"PP150CB"</f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 s="2">
        <v>0</v>
      </c>
      <c r="M1746">
        <v>0</v>
      </c>
      <c r="N1746" s="2">
        <v>0</v>
      </c>
      <c r="O1746">
        <v>0</v>
      </c>
      <c r="P1746" t="s">
        <v>100</v>
      </c>
      <c r="Q1746">
        <v>0</v>
      </c>
      <c r="R1746" t="s">
        <v>145</v>
      </c>
      <c r="S1746">
        <v>0</v>
      </c>
    </row>
    <row r="1747" spans="1:19">
      <c r="A1747" t="s">
        <v>35</v>
      </c>
      <c r="B1747" t="s">
        <v>5467</v>
      </c>
      <c r="C1747">
        <f>"9501A"</f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 s="2">
        <v>0</v>
      </c>
      <c r="M1747">
        <v>0</v>
      </c>
      <c r="N1747" s="2">
        <v>0</v>
      </c>
      <c r="O1747">
        <v>0</v>
      </c>
      <c r="P1747" t="s">
        <v>100</v>
      </c>
      <c r="Q1747">
        <v>0</v>
      </c>
      <c r="R1747" t="s">
        <v>145</v>
      </c>
      <c r="S1747">
        <v>0</v>
      </c>
    </row>
    <row r="1748" spans="1:19">
      <c r="A1748" t="s">
        <v>35</v>
      </c>
      <c r="B1748" t="s">
        <v>5514</v>
      </c>
      <c r="C1748">
        <f>"3030EMBE"</f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 s="2">
        <v>0</v>
      </c>
      <c r="M1748">
        <v>0</v>
      </c>
      <c r="N1748" s="2">
        <v>0</v>
      </c>
      <c r="O1748">
        <v>0</v>
      </c>
      <c r="P1748" t="s">
        <v>100</v>
      </c>
      <c r="Q1748">
        <v>0</v>
      </c>
      <c r="R1748" t="s">
        <v>145</v>
      </c>
      <c r="S1748">
        <v>0</v>
      </c>
    </row>
    <row r="1749" spans="1:19">
      <c r="A1749" t="s">
        <v>35</v>
      </c>
      <c r="B1749" t="s">
        <v>9007</v>
      </c>
      <c r="C1749">
        <f>"3030EMMOS"</f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 s="2">
        <v>0</v>
      </c>
      <c r="M1749">
        <v>0</v>
      </c>
      <c r="N1749" s="2">
        <v>0</v>
      </c>
      <c r="O1749">
        <v>0</v>
      </c>
      <c r="P1749" t="s">
        <v>100</v>
      </c>
      <c r="Q1749">
        <v>0</v>
      </c>
      <c r="R1749" t="s">
        <v>145</v>
      </c>
      <c r="S1749">
        <v>0</v>
      </c>
    </row>
    <row r="1750" spans="1:19">
      <c r="A1750" t="s">
        <v>35</v>
      </c>
      <c r="B1750" t="s">
        <v>9051</v>
      </c>
      <c r="C1750">
        <f>"JU1"</f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 s="2">
        <v>0</v>
      </c>
      <c r="M1750">
        <v>0</v>
      </c>
      <c r="N1750" s="2">
        <v>0</v>
      </c>
      <c r="O1750">
        <v>0</v>
      </c>
      <c r="P1750" t="s">
        <v>100</v>
      </c>
      <c r="Q1750">
        <v>0</v>
      </c>
      <c r="R1750" t="s">
        <v>145</v>
      </c>
      <c r="S1750">
        <v>0</v>
      </c>
    </row>
    <row r="1751" spans="1:19">
      <c r="A1751" t="s">
        <v>35</v>
      </c>
      <c r="B1751" t="s">
        <v>9066</v>
      </c>
      <c r="C1751">
        <f>"MI2"</f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 s="2">
        <v>0</v>
      </c>
      <c r="M1751">
        <v>0</v>
      </c>
      <c r="N1751" s="2">
        <v>0</v>
      </c>
      <c r="O1751">
        <v>0</v>
      </c>
      <c r="P1751" t="s">
        <v>100</v>
      </c>
      <c r="Q1751">
        <v>0</v>
      </c>
      <c r="R1751" t="s">
        <v>145</v>
      </c>
      <c r="S1751">
        <v>0</v>
      </c>
    </row>
    <row r="1752" spans="1:19">
      <c r="A1752" t="s">
        <v>35</v>
      </c>
      <c r="B1752" t="s">
        <v>2978</v>
      </c>
      <c r="C1752">
        <f>"MI1"</f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 s="2">
        <v>0</v>
      </c>
      <c r="M1752">
        <v>0</v>
      </c>
      <c r="N1752" s="2">
        <v>0</v>
      </c>
      <c r="O1752">
        <v>0</v>
      </c>
      <c r="P1752" t="s">
        <v>100</v>
      </c>
      <c r="Q1752">
        <v>0</v>
      </c>
      <c r="R1752" t="s">
        <v>145</v>
      </c>
      <c r="S1752">
        <v>0</v>
      </c>
    </row>
    <row r="1753" spans="1:19">
      <c r="A1753" t="s">
        <v>35</v>
      </c>
      <c r="B1753" t="s">
        <v>1274</v>
      </c>
      <c r="C1753">
        <f>"3113C"</f>
        <v>0</v>
      </c>
      <c r="D1753">
        <v>0</v>
      </c>
      <c r="E1753">
        <v>1</v>
      </c>
      <c r="F1753">
        <v>0</v>
      </c>
      <c r="G1753">
        <v>0</v>
      </c>
      <c r="H1753">
        <v>1</v>
      </c>
      <c r="I1753">
        <v>0</v>
      </c>
      <c r="J1753">
        <v>0</v>
      </c>
      <c r="K1753">
        <v>0</v>
      </c>
      <c r="L1753" s="2">
        <v>0</v>
      </c>
      <c r="M1753">
        <v>0</v>
      </c>
      <c r="N1753" s="2">
        <v>0</v>
      </c>
      <c r="O1753">
        <v>0</v>
      </c>
      <c r="P1753" t="s">
        <v>100</v>
      </c>
      <c r="Q1753">
        <v>0</v>
      </c>
      <c r="R1753" t="s">
        <v>145</v>
      </c>
      <c r="S1753">
        <v>0</v>
      </c>
    </row>
    <row r="1754" spans="1:19">
      <c r="A1754" t="s">
        <v>35</v>
      </c>
      <c r="B1754" t="s">
        <v>2874</v>
      </c>
      <c r="C1754">
        <f>"DHO3A"</f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 s="2">
        <v>0</v>
      </c>
      <c r="M1754">
        <v>0</v>
      </c>
      <c r="N1754" s="2">
        <v>0</v>
      </c>
      <c r="O1754">
        <v>0</v>
      </c>
      <c r="P1754" t="s">
        <v>100</v>
      </c>
      <c r="Q1754">
        <v>0</v>
      </c>
      <c r="R1754" t="s">
        <v>145</v>
      </c>
      <c r="S1754">
        <v>0</v>
      </c>
    </row>
    <row r="1755" spans="1:19">
      <c r="A1755" t="s">
        <v>35</v>
      </c>
      <c r="B1755" t="s">
        <v>1350</v>
      </c>
      <c r="C1755">
        <f>"KF8828"</f>
        <v>0</v>
      </c>
      <c r="D1755">
        <v>0</v>
      </c>
      <c r="E1755">
        <v>0</v>
      </c>
      <c r="F1755">
        <v>1</v>
      </c>
      <c r="G1755">
        <v>0</v>
      </c>
      <c r="H1755">
        <v>1</v>
      </c>
      <c r="I1755">
        <v>0</v>
      </c>
      <c r="J1755">
        <v>0</v>
      </c>
      <c r="K1755">
        <v>0</v>
      </c>
      <c r="L1755" s="2">
        <v>0</v>
      </c>
      <c r="M1755">
        <v>0</v>
      </c>
      <c r="N1755" s="2">
        <v>0</v>
      </c>
      <c r="O1755">
        <v>0</v>
      </c>
      <c r="P1755" t="s">
        <v>100</v>
      </c>
      <c r="Q1755">
        <v>0</v>
      </c>
      <c r="R1755" t="s">
        <v>145</v>
      </c>
      <c r="S1755">
        <v>0</v>
      </c>
    </row>
    <row r="1756" spans="1:19">
      <c r="A1756" t="s">
        <v>35</v>
      </c>
      <c r="B1756" t="s">
        <v>5670</v>
      </c>
      <c r="C1756">
        <f>"DHO3G"</f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 s="2">
        <v>0</v>
      </c>
      <c r="M1756">
        <v>0</v>
      </c>
      <c r="N1756" s="2">
        <v>0</v>
      </c>
      <c r="O1756">
        <v>0</v>
      </c>
      <c r="P1756" t="s">
        <v>100</v>
      </c>
      <c r="Q1756">
        <v>0</v>
      </c>
      <c r="R1756" t="s">
        <v>145</v>
      </c>
      <c r="S1756">
        <v>0</v>
      </c>
    </row>
    <row r="1757" spans="1:19">
      <c r="A1757" t="s">
        <v>35</v>
      </c>
      <c r="B1757" t="s">
        <v>9835</v>
      </c>
      <c r="C1757">
        <f>"HC280"</f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 s="2">
        <v>0</v>
      </c>
      <c r="M1757">
        <v>0</v>
      </c>
      <c r="N1757" s="2">
        <v>0</v>
      </c>
      <c r="O1757">
        <v>0</v>
      </c>
      <c r="P1757" t="s">
        <v>100</v>
      </c>
      <c r="Q1757">
        <v>0</v>
      </c>
      <c r="R1757" t="s">
        <v>145</v>
      </c>
      <c r="S1757">
        <v>0</v>
      </c>
    </row>
    <row r="1758" spans="1:19">
      <c r="A1758" t="s">
        <v>35</v>
      </c>
      <c r="B1758" t="s">
        <v>2783</v>
      </c>
      <c r="C1758">
        <f>"RJ507"</f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 s="2">
        <v>0</v>
      </c>
      <c r="M1758">
        <v>0</v>
      </c>
      <c r="N1758" s="2">
        <v>0</v>
      </c>
      <c r="O1758">
        <v>0</v>
      </c>
      <c r="P1758" t="s">
        <v>100</v>
      </c>
      <c r="Q1758">
        <v>0</v>
      </c>
      <c r="R1758" t="s">
        <v>145</v>
      </c>
      <c r="S1758">
        <v>0</v>
      </c>
    </row>
    <row r="1759" spans="1:19">
      <c r="A1759" t="s">
        <v>35</v>
      </c>
      <c r="B1759" t="s">
        <v>2745</v>
      </c>
      <c r="C1759">
        <f>"HDDZ73"</f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 s="2">
        <v>0</v>
      </c>
      <c r="M1759">
        <v>0</v>
      </c>
      <c r="N1759" s="2">
        <v>0</v>
      </c>
      <c r="O1759">
        <v>0</v>
      </c>
      <c r="P1759" t="s">
        <v>100</v>
      </c>
      <c r="Q1759">
        <v>0</v>
      </c>
      <c r="R1759" t="s">
        <v>145</v>
      </c>
      <c r="S1759">
        <v>0</v>
      </c>
    </row>
    <row r="1760" spans="1:19">
      <c r="A1760" t="s">
        <v>35</v>
      </c>
      <c r="B1760" t="s">
        <v>2738</v>
      </c>
      <c r="C1760">
        <f>"HDDZ82"</f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 s="2">
        <v>0</v>
      </c>
      <c r="M1760">
        <v>0</v>
      </c>
      <c r="N1760" s="2">
        <v>0</v>
      </c>
      <c r="O1760">
        <v>0</v>
      </c>
      <c r="P1760" t="s">
        <v>100</v>
      </c>
      <c r="Q1760">
        <v>0</v>
      </c>
      <c r="R1760" t="s">
        <v>145</v>
      </c>
      <c r="S1760">
        <v>0</v>
      </c>
    </row>
    <row r="1761" spans="1:19">
      <c r="A1761" t="s">
        <v>35</v>
      </c>
      <c r="B1761" t="s">
        <v>2865</v>
      </c>
      <c r="C1761">
        <f>"HDDZ80"</f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 s="2">
        <v>0</v>
      </c>
      <c r="M1761">
        <v>0</v>
      </c>
      <c r="N1761" s="2">
        <v>0</v>
      </c>
      <c r="O1761">
        <v>0</v>
      </c>
      <c r="P1761" t="s">
        <v>100</v>
      </c>
      <c r="Q1761">
        <v>0</v>
      </c>
      <c r="R1761" t="s">
        <v>145</v>
      </c>
      <c r="S1761">
        <v>0</v>
      </c>
    </row>
    <row r="1762" spans="1:19">
      <c r="A1762" t="s">
        <v>35</v>
      </c>
      <c r="B1762" t="s">
        <v>2868</v>
      </c>
      <c r="C1762">
        <f>"HDDZ81"</f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 s="2">
        <v>0</v>
      </c>
      <c r="M1762">
        <v>0</v>
      </c>
      <c r="N1762" s="2">
        <v>0</v>
      </c>
      <c r="O1762">
        <v>0</v>
      </c>
      <c r="P1762" t="s">
        <v>100</v>
      </c>
      <c r="Q1762">
        <v>0</v>
      </c>
      <c r="R1762" t="s">
        <v>145</v>
      </c>
      <c r="S1762">
        <v>0</v>
      </c>
    </row>
    <row r="1763" spans="1:19">
      <c r="A1763" t="s">
        <v>35</v>
      </c>
      <c r="B1763" t="s">
        <v>2871</v>
      </c>
      <c r="C1763">
        <f>"HDDZ75"</f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 s="2">
        <v>0</v>
      </c>
      <c r="M1763">
        <v>0</v>
      </c>
      <c r="N1763" s="2">
        <v>0</v>
      </c>
      <c r="O1763">
        <v>0</v>
      </c>
      <c r="P1763" t="s">
        <v>100</v>
      </c>
      <c r="Q1763">
        <v>0</v>
      </c>
      <c r="R1763" t="s">
        <v>145</v>
      </c>
      <c r="S1763">
        <v>0</v>
      </c>
    </row>
    <row r="1764" spans="1:19">
      <c r="A1764" t="s">
        <v>35</v>
      </c>
      <c r="B1764" t="s">
        <v>5460</v>
      </c>
      <c r="C1764">
        <f>"KF8015CB"</f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 s="2">
        <v>0</v>
      </c>
      <c r="M1764">
        <v>0</v>
      </c>
      <c r="N1764" s="2">
        <v>0</v>
      </c>
      <c r="O1764">
        <v>0</v>
      </c>
      <c r="P1764" t="s">
        <v>100</v>
      </c>
      <c r="Q1764">
        <v>0</v>
      </c>
      <c r="R1764" t="s">
        <v>145</v>
      </c>
      <c r="S1764">
        <v>0</v>
      </c>
    </row>
    <row r="1765" spans="1:19">
      <c r="A1765" t="s">
        <v>35</v>
      </c>
      <c r="B1765" t="s">
        <v>5459</v>
      </c>
      <c r="C1765">
        <f>"KF8219BN"</f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 s="2">
        <v>0</v>
      </c>
      <c r="M1765">
        <v>0</v>
      </c>
      <c r="N1765" s="2">
        <v>0</v>
      </c>
      <c r="O1765">
        <v>0</v>
      </c>
      <c r="P1765" t="s">
        <v>100</v>
      </c>
      <c r="Q1765">
        <v>0</v>
      </c>
      <c r="R1765" t="s">
        <v>145</v>
      </c>
      <c r="S1765">
        <v>0</v>
      </c>
    </row>
    <row r="1766" spans="1:19">
      <c r="A1766" t="s">
        <v>35</v>
      </c>
      <c r="B1766" t="s">
        <v>2876</v>
      </c>
      <c r="C1766">
        <f>"DHO3C"</f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 s="2">
        <v>0</v>
      </c>
      <c r="M1766">
        <v>0</v>
      </c>
      <c r="N1766" s="2">
        <v>0</v>
      </c>
      <c r="O1766">
        <v>0</v>
      </c>
      <c r="P1766" t="s">
        <v>100</v>
      </c>
      <c r="Q1766">
        <v>0</v>
      </c>
      <c r="R1766" t="s">
        <v>145</v>
      </c>
      <c r="S1766">
        <v>0</v>
      </c>
    </row>
    <row r="1767" spans="1:19">
      <c r="A1767" t="s">
        <v>35</v>
      </c>
      <c r="B1767" t="s">
        <v>5690</v>
      </c>
      <c r="C1767">
        <f>"HF4"</f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 s="2">
        <v>0</v>
      </c>
      <c r="M1767">
        <v>0</v>
      </c>
      <c r="N1767" s="2">
        <v>0</v>
      </c>
      <c r="O1767">
        <v>0</v>
      </c>
      <c r="P1767" t="s">
        <v>100</v>
      </c>
      <c r="Q1767">
        <v>0</v>
      </c>
      <c r="R1767" t="s">
        <v>145</v>
      </c>
      <c r="S1767">
        <v>0</v>
      </c>
    </row>
    <row r="1768" spans="1:19">
      <c r="A1768" t="s">
        <v>35</v>
      </c>
      <c r="B1768" t="s">
        <v>5466</v>
      </c>
      <c r="C1768">
        <f>"Q950137"</f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 s="2">
        <v>0</v>
      </c>
      <c r="M1768">
        <v>0</v>
      </c>
      <c r="N1768" s="2">
        <v>0</v>
      </c>
      <c r="O1768">
        <v>0</v>
      </c>
      <c r="P1768" t="s">
        <v>100</v>
      </c>
      <c r="Q1768">
        <v>0</v>
      </c>
      <c r="R1768" t="s">
        <v>145</v>
      </c>
      <c r="S1768">
        <v>0</v>
      </c>
    </row>
    <row r="1769" spans="1:19">
      <c r="A1769" t="s">
        <v>35</v>
      </c>
      <c r="B1769" t="s">
        <v>5465</v>
      </c>
      <c r="C1769">
        <f>"88xl"</f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 s="2">
        <v>0</v>
      </c>
      <c r="M1769">
        <v>0</v>
      </c>
      <c r="N1769" s="2">
        <v>0</v>
      </c>
      <c r="O1769">
        <v>0</v>
      </c>
      <c r="P1769" t="s">
        <v>100</v>
      </c>
      <c r="Q1769">
        <v>0</v>
      </c>
      <c r="R1769" t="s">
        <v>145</v>
      </c>
      <c r="S1769">
        <v>0</v>
      </c>
    </row>
    <row r="1770" spans="1:19">
      <c r="A1770" t="s">
        <v>35</v>
      </c>
      <c r="B1770" t="s">
        <v>5464</v>
      </c>
      <c r="C1770">
        <f>"88M"</f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 s="2">
        <v>0</v>
      </c>
      <c r="M1770">
        <v>0</v>
      </c>
      <c r="N1770" s="2">
        <v>0</v>
      </c>
      <c r="O1770">
        <v>0</v>
      </c>
      <c r="P1770" t="s">
        <v>100</v>
      </c>
      <c r="Q1770">
        <v>0</v>
      </c>
      <c r="R1770" t="s">
        <v>145</v>
      </c>
      <c r="S1770">
        <v>0</v>
      </c>
    </row>
    <row r="1771" spans="1:19">
      <c r="A1771" t="s">
        <v>35</v>
      </c>
      <c r="B1771" t="s">
        <v>5463</v>
      </c>
      <c r="C1771">
        <f>"9502A"</f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 s="2">
        <v>0</v>
      </c>
      <c r="M1771">
        <v>0</v>
      </c>
      <c r="N1771" s="2">
        <v>0</v>
      </c>
      <c r="O1771">
        <v>0</v>
      </c>
      <c r="P1771" t="s">
        <v>100</v>
      </c>
      <c r="Q1771">
        <v>0</v>
      </c>
      <c r="R1771" t="s">
        <v>145</v>
      </c>
      <c r="S1771">
        <v>0</v>
      </c>
    </row>
    <row r="1772" spans="1:19">
      <c r="A1772" t="s">
        <v>35</v>
      </c>
      <c r="B1772" t="s">
        <v>5462</v>
      </c>
      <c r="C1772">
        <f>"Q950229"</f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 s="2">
        <v>0</v>
      </c>
      <c r="M1772">
        <v>0</v>
      </c>
      <c r="N1772" s="2">
        <v>0</v>
      </c>
      <c r="O1772">
        <v>0</v>
      </c>
      <c r="P1772" t="s">
        <v>100</v>
      </c>
      <c r="Q1772">
        <v>0</v>
      </c>
      <c r="R1772" t="s">
        <v>145</v>
      </c>
      <c r="S1772">
        <v>0</v>
      </c>
    </row>
    <row r="1773" spans="1:19">
      <c r="A1773" t="s">
        <v>35</v>
      </c>
      <c r="B1773" t="s">
        <v>5488</v>
      </c>
      <c r="C1773">
        <f>"Q9202"</f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 s="2">
        <v>0</v>
      </c>
      <c r="M1773">
        <v>0</v>
      </c>
      <c r="N1773" s="2">
        <v>0</v>
      </c>
      <c r="O1773">
        <v>0</v>
      </c>
      <c r="P1773" t="s">
        <v>100</v>
      </c>
      <c r="Q1773">
        <v>0</v>
      </c>
      <c r="R1773" t="s">
        <v>145</v>
      </c>
      <c r="S1773">
        <v>0</v>
      </c>
    </row>
    <row r="1774" spans="1:19">
      <c r="A1774" t="s">
        <v>35</v>
      </c>
      <c r="B1774" t="s">
        <v>5487</v>
      </c>
      <c r="C1774">
        <f>"Q9201"</f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 s="2">
        <v>0</v>
      </c>
      <c r="M1774">
        <v>0</v>
      </c>
      <c r="N1774" s="2">
        <v>0</v>
      </c>
      <c r="O1774">
        <v>0</v>
      </c>
      <c r="P1774" t="s">
        <v>100</v>
      </c>
      <c r="Q1774">
        <v>0</v>
      </c>
      <c r="R1774" t="s">
        <v>145</v>
      </c>
      <c r="S1774">
        <v>0</v>
      </c>
    </row>
    <row r="1775" spans="1:19">
      <c r="A1775" t="s">
        <v>35</v>
      </c>
      <c r="B1775" t="s">
        <v>5486</v>
      </c>
      <c r="C1775">
        <f>"88S"</f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 s="2">
        <v>0</v>
      </c>
      <c r="M1775">
        <v>0</v>
      </c>
      <c r="N1775" s="2">
        <v>0</v>
      </c>
      <c r="O1775">
        <v>0</v>
      </c>
      <c r="P1775" t="s">
        <v>100</v>
      </c>
      <c r="Q1775">
        <v>0</v>
      </c>
      <c r="R1775" t="s">
        <v>145</v>
      </c>
      <c r="S1775">
        <v>0</v>
      </c>
    </row>
    <row r="1776" spans="1:19">
      <c r="A1776" t="s">
        <v>35</v>
      </c>
      <c r="B1776" t="s">
        <v>5457</v>
      </c>
      <c r="C1776">
        <f>"9503A"</f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 s="2">
        <v>0</v>
      </c>
      <c r="M1776">
        <v>0</v>
      </c>
      <c r="N1776" s="2">
        <v>0</v>
      </c>
      <c r="O1776">
        <v>0</v>
      </c>
      <c r="P1776" t="s">
        <v>100</v>
      </c>
      <c r="Q1776">
        <v>0</v>
      </c>
      <c r="R1776" t="s">
        <v>145</v>
      </c>
      <c r="S1776">
        <v>0</v>
      </c>
    </row>
    <row r="1777" spans="1:19">
      <c r="A1777" t="s">
        <v>35</v>
      </c>
      <c r="B1777" t="s">
        <v>5474</v>
      </c>
      <c r="C1777">
        <f>"23HT6"</f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 s="2">
        <v>0</v>
      </c>
      <c r="M1777">
        <v>0</v>
      </c>
      <c r="N1777" s="2">
        <v>0</v>
      </c>
      <c r="O1777">
        <v>0</v>
      </c>
      <c r="P1777" t="s">
        <v>100</v>
      </c>
      <c r="Q1777">
        <v>0</v>
      </c>
      <c r="R1777" t="s">
        <v>145</v>
      </c>
      <c r="S1777">
        <v>0</v>
      </c>
    </row>
    <row r="1778" spans="1:19">
      <c r="A1778" t="s">
        <v>35</v>
      </c>
      <c r="B1778" t="s">
        <v>5455</v>
      </c>
      <c r="C1778">
        <f>"Q9440"</f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 s="2">
        <v>0</v>
      </c>
      <c r="M1778">
        <v>0</v>
      </c>
      <c r="N1778" s="2">
        <v>0</v>
      </c>
      <c r="O1778">
        <v>0</v>
      </c>
      <c r="P1778" t="s">
        <v>100</v>
      </c>
      <c r="Q1778">
        <v>0</v>
      </c>
      <c r="R1778" t="s">
        <v>145</v>
      </c>
      <c r="S1778">
        <v>0</v>
      </c>
    </row>
    <row r="1779" spans="1:19">
      <c r="A1779" t="s">
        <v>35</v>
      </c>
      <c r="B1779" t="s">
        <v>5454</v>
      </c>
      <c r="C1779">
        <f>"Q942039"</f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 s="2">
        <v>0</v>
      </c>
      <c r="M1779">
        <v>0</v>
      </c>
      <c r="N1779" s="2">
        <v>0</v>
      </c>
      <c r="O1779">
        <v>0</v>
      </c>
      <c r="P1779" t="s">
        <v>100</v>
      </c>
      <c r="Q1779">
        <v>0</v>
      </c>
      <c r="R1779" t="s">
        <v>145</v>
      </c>
      <c r="S1779">
        <v>0</v>
      </c>
    </row>
    <row r="1780" spans="1:19">
      <c r="A1780" t="s">
        <v>35</v>
      </c>
      <c r="B1780" t="s">
        <v>9382</v>
      </c>
      <c r="C1780">
        <f>"PT015XSMI"</f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 s="2">
        <v>0</v>
      </c>
      <c r="M1780">
        <v>0</v>
      </c>
      <c r="N1780" s="2">
        <v>0</v>
      </c>
      <c r="O1780">
        <v>0</v>
      </c>
      <c r="P1780" t="s">
        <v>100</v>
      </c>
      <c r="Q1780">
        <v>0</v>
      </c>
      <c r="R1780" t="s">
        <v>145</v>
      </c>
      <c r="S1780">
        <v>0</v>
      </c>
    </row>
    <row r="1781" spans="1:19">
      <c r="A1781" t="s">
        <v>35</v>
      </c>
      <c r="B1781" t="s">
        <v>9381</v>
      </c>
      <c r="C1781">
        <f>"PT015XSM"</f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 s="2">
        <v>0</v>
      </c>
      <c r="M1781">
        <v>0</v>
      </c>
      <c r="N1781" s="2">
        <v>0</v>
      </c>
      <c r="O1781">
        <v>0</v>
      </c>
      <c r="P1781" t="s">
        <v>100</v>
      </c>
      <c r="Q1781">
        <v>0</v>
      </c>
      <c r="R1781" t="s">
        <v>145</v>
      </c>
      <c r="S1781">
        <v>0</v>
      </c>
    </row>
    <row r="1782" spans="1:19">
      <c r="A1782" t="s">
        <v>35</v>
      </c>
      <c r="B1782" t="s">
        <v>9224</v>
      </c>
      <c r="C1782">
        <f>"YE93643"</f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 s="2">
        <v>0</v>
      </c>
      <c r="M1782">
        <v>0</v>
      </c>
      <c r="N1782" s="2">
        <v>0</v>
      </c>
      <c r="O1782">
        <v>0</v>
      </c>
      <c r="P1782" t="s">
        <v>100</v>
      </c>
      <c r="Q1782">
        <v>0</v>
      </c>
      <c r="R1782" t="s">
        <v>145</v>
      </c>
      <c r="S1782">
        <v>0</v>
      </c>
    </row>
    <row r="1783" spans="1:19">
      <c r="A1783" t="s">
        <v>35</v>
      </c>
      <c r="B1783" t="s">
        <v>5481</v>
      </c>
      <c r="C1783">
        <f>"23HT5"</f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 s="2">
        <v>0</v>
      </c>
      <c r="M1783">
        <v>0</v>
      </c>
      <c r="N1783" s="2">
        <v>0</v>
      </c>
      <c r="O1783">
        <v>0</v>
      </c>
      <c r="P1783" t="s">
        <v>100</v>
      </c>
      <c r="Q1783">
        <v>0</v>
      </c>
      <c r="R1783" t="s">
        <v>145</v>
      </c>
      <c r="S1783">
        <v>0</v>
      </c>
    </row>
    <row r="1784" spans="1:19">
      <c r="A1784" t="s">
        <v>35</v>
      </c>
      <c r="B1784" t="s">
        <v>5480</v>
      </c>
      <c r="C1784">
        <f>"KF8069C"</f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 s="2">
        <v>0</v>
      </c>
      <c r="M1784">
        <v>0</v>
      </c>
      <c r="N1784" s="2">
        <v>0</v>
      </c>
      <c r="O1784">
        <v>0</v>
      </c>
      <c r="P1784" t="s">
        <v>100</v>
      </c>
      <c r="Q1784">
        <v>0</v>
      </c>
      <c r="R1784" t="s">
        <v>145</v>
      </c>
      <c r="S1784">
        <v>0</v>
      </c>
    </row>
    <row r="1785" spans="1:19">
      <c r="A1785" t="s">
        <v>35</v>
      </c>
      <c r="B1785" t="s">
        <v>5479</v>
      </c>
      <c r="C1785">
        <f>"KF8069V"</f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 s="2">
        <v>0</v>
      </c>
      <c r="M1785">
        <v>0</v>
      </c>
      <c r="N1785" s="2">
        <v>0</v>
      </c>
      <c r="O1785">
        <v>0</v>
      </c>
      <c r="P1785" t="s">
        <v>100</v>
      </c>
      <c r="Q1785">
        <v>0</v>
      </c>
      <c r="R1785" t="s">
        <v>145</v>
      </c>
      <c r="S1785">
        <v>0</v>
      </c>
    </row>
    <row r="1786" spans="1:19">
      <c r="A1786" t="s">
        <v>35</v>
      </c>
      <c r="B1786" t="s">
        <v>5477</v>
      </c>
      <c r="C1786">
        <f>"KF8043AZU"</f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 s="2">
        <v>0</v>
      </c>
      <c r="M1786">
        <v>0</v>
      </c>
      <c r="N1786" s="2">
        <v>0</v>
      </c>
      <c r="O1786">
        <v>0</v>
      </c>
      <c r="P1786" t="s">
        <v>100</v>
      </c>
      <c r="Q1786">
        <v>0</v>
      </c>
      <c r="R1786" t="s">
        <v>145</v>
      </c>
      <c r="S1786">
        <v>0</v>
      </c>
    </row>
    <row r="1787" spans="1:19">
      <c r="A1787" t="s">
        <v>35</v>
      </c>
      <c r="B1787" t="s">
        <v>5476</v>
      </c>
      <c r="C1787">
        <f>"KF8043CAF"</f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 s="2">
        <v>0</v>
      </c>
      <c r="M1787">
        <v>0</v>
      </c>
      <c r="N1787" s="2">
        <v>0</v>
      </c>
      <c r="O1787">
        <v>0</v>
      </c>
      <c r="P1787" t="s">
        <v>100</v>
      </c>
      <c r="Q1787">
        <v>0</v>
      </c>
      <c r="R1787" t="s">
        <v>145</v>
      </c>
      <c r="S1787">
        <v>0</v>
      </c>
    </row>
    <row r="1788" spans="1:19">
      <c r="A1788" t="s">
        <v>35</v>
      </c>
      <c r="B1788" t="s">
        <v>1351</v>
      </c>
      <c r="C1788">
        <f>"9403B"</f>
        <v>0</v>
      </c>
      <c r="D1788">
        <v>1</v>
      </c>
      <c r="E1788">
        <v>0</v>
      </c>
      <c r="F1788">
        <v>0</v>
      </c>
      <c r="G1788">
        <v>0</v>
      </c>
      <c r="H1788">
        <v>1</v>
      </c>
      <c r="I1788">
        <v>0</v>
      </c>
      <c r="J1788">
        <v>0</v>
      </c>
      <c r="K1788">
        <v>0</v>
      </c>
      <c r="L1788" s="2">
        <v>0</v>
      </c>
      <c r="M1788">
        <v>0</v>
      </c>
      <c r="N1788" s="2">
        <v>0</v>
      </c>
      <c r="O1788">
        <v>0</v>
      </c>
      <c r="P1788" t="s">
        <v>100</v>
      </c>
      <c r="Q1788">
        <v>0</v>
      </c>
      <c r="R1788" t="s">
        <v>145</v>
      </c>
      <c r="S1788">
        <v>0</v>
      </c>
    </row>
    <row r="1789" spans="1:19">
      <c r="A1789" t="s">
        <v>35</v>
      </c>
      <c r="B1789" t="s">
        <v>6412</v>
      </c>
      <c r="C1789">
        <f>"25002025"</f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 s="2">
        <v>0</v>
      </c>
      <c r="M1789">
        <v>0</v>
      </c>
      <c r="N1789" s="2">
        <v>0</v>
      </c>
      <c r="O1789">
        <v>0</v>
      </c>
      <c r="P1789" t="s">
        <v>100</v>
      </c>
      <c r="Q1789">
        <v>0</v>
      </c>
      <c r="R1789" t="s">
        <v>145</v>
      </c>
      <c r="S1789">
        <v>0</v>
      </c>
    </row>
    <row r="1790" spans="1:19">
      <c r="A1790" t="s">
        <v>35</v>
      </c>
      <c r="B1790" t="s">
        <v>6411</v>
      </c>
      <c r="C1790">
        <f>"25002024"</f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 s="2">
        <v>0</v>
      </c>
      <c r="M1790">
        <v>0</v>
      </c>
      <c r="N1790" s="2">
        <v>0</v>
      </c>
      <c r="O1790">
        <v>0</v>
      </c>
      <c r="P1790" t="s">
        <v>100</v>
      </c>
      <c r="Q1790">
        <v>0</v>
      </c>
      <c r="R1790" t="s">
        <v>145</v>
      </c>
      <c r="S1790">
        <v>0</v>
      </c>
    </row>
    <row r="1791" spans="1:19">
      <c r="A1791" t="s">
        <v>35</v>
      </c>
      <c r="B1791" t="s">
        <v>6410</v>
      </c>
      <c r="C1791">
        <f>"25002279"</f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 s="2">
        <v>0</v>
      </c>
      <c r="M1791">
        <v>0</v>
      </c>
      <c r="N1791" s="2">
        <v>0</v>
      </c>
      <c r="O1791">
        <v>0</v>
      </c>
      <c r="P1791" t="s">
        <v>100</v>
      </c>
      <c r="Q1791">
        <v>0</v>
      </c>
      <c r="R1791" t="s">
        <v>145</v>
      </c>
      <c r="S1791">
        <v>0</v>
      </c>
    </row>
    <row r="1792" spans="1:19">
      <c r="A1792" t="s">
        <v>35</v>
      </c>
      <c r="B1792" t="s">
        <v>6408</v>
      </c>
      <c r="C1792">
        <f>"25023099"</f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 s="2">
        <v>0</v>
      </c>
      <c r="M1792">
        <v>0</v>
      </c>
      <c r="N1792" s="2">
        <v>0</v>
      </c>
      <c r="O1792">
        <v>0</v>
      </c>
      <c r="P1792" t="s">
        <v>100</v>
      </c>
      <c r="Q1792">
        <v>0</v>
      </c>
      <c r="R1792" t="s">
        <v>145</v>
      </c>
      <c r="S1792">
        <v>0</v>
      </c>
    </row>
    <row r="1793" spans="1:19">
      <c r="A1793" t="s">
        <v>35</v>
      </c>
      <c r="B1793" t="s">
        <v>6407</v>
      </c>
      <c r="C1793">
        <f>"25023082"</f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 s="2">
        <v>0</v>
      </c>
      <c r="M1793">
        <v>0</v>
      </c>
      <c r="N1793" s="2">
        <v>0</v>
      </c>
      <c r="O1793">
        <v>0</v>
      </c>
      <c r="P1793" t="s">
        <v>100</v>
      </c>
      <c r="Q1793">
        <v>0</v>
      </c>
      <c r="R1793" t="s">
        <v>145</v>
      </c>
      <c r="S1793">
        <v>0</v>
      </c>
    </row>
    <row r="1794" spans="1:19">
      <c r="A1794" t="s">
        <v>35</v>
      </c>
      <c r="B1794" t="s">
        <v>6406</v>
      </c>
      <c r="C1794">
        <f>"25023075"</f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 s="2">
        <v>0</v>
      </c>
      <c r="M1794">
        <v>0</v>
      </c>
      <c r="N1794" s="2">
        <v>0</v>
      </c>
      <c r="O1794">
        <v>0</v>
      </c>
      <c r="P1794" t="s">
        <v>100</v>
      </c>
      <c r="Q1794">
        <v>0</v>
      </c>
      <c r="R1794" t="s">
        <v>145</v>
      </c>
      <c r="S1794">
        <v>0</v>
      </c>
    </row>
    <row r="1795" spans="1:19">
      <c r="A1795" t="s">
        <v>35</v>
      </c>
      <c r="B1795" t="s">
        <v>6405</v>
      </c>
      <c r="C1795">
        <f>"25002498"</f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 s="2">
        <v>0</v>
      </c>
      <c r="M1795">
        <v>0</v>
      </c>
      <c r="N1795" s="2">
        <v>0</v>
      </c>
      <c r="O1795">
        <v>0</v>
      </c>
      <c r="P1795" t="s">
        <v>100</v>
      </c>
      <c r="Q1795">
        <v>0</v>
      </c>
      <c r="R1795" t="s">
        <v>145</v>
      </c>
      <c r="S1795">
        <v>0</v>
      </c>
    </row>
    <row r="1796" spans="1:19">
      <c r="A1796" t="s">
        <v>35</v>
      </c>
      <c r="B1796" t="s">
        <v>6404</v>
      </c>
      <c r="C1796">
        <f>"25002059"</f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 s="2">
        <v>0</v>
      </c>
      <c r="M1796">
        <v>0</v>
      </c>
      <c r="N1796" s="2">
        <v>0</v>
      </c>
      <c r="O1796">
        <v>0</v>
      </c>
      <c r="P1796" t="s">
        <v>100</v>
      </c>
      <c r="Q1796">
        <v>0</v>
      </c>
      <c r="R1796" t="s">
        <v>145</v>
      </c>
      <c r="S1796">
        <v>0</v>
      </c>
    </row>
    <row r="1797" spans="1:19">
      <c r="A1797" t="s">
        <v>35</v>
      </c>
      <c r="B1797" t="s">
        <v>2303</v>
      </c>
      <c r="C1797">
        <f>"HP152MN"</f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 s="2">
        <v>0</v>
      </c>
      <c r="M1797">
        <v>0</v>
      </c>
      <c r="N1797" s="2">
        <v>0</v>
      </c>
      <c r="O1797">
        <v>0</v>
      </c>
      <c r="P1797" t="s">
        <v>100</v>
      </c>
      <c r="Q1797">
        <v>0</v>
      </c>
      <c r="R1797" t="s">
        <v>145</v>
      </c>
      <c r="S1797">
        <v>0</v>
      </c>
    </row>
    <row r="1798" spans="1:19">
      <c r="A1798" t="s">
        <v>35</v>
      </c>
      <c r="B1798" t="s">
        <v>1400</v>
      </c>
      <c r="C1798">
        <f>"SAC1"</f>
        <v>0</v>
      </c>
      <c r="D1798">
        <v>0</v>
      </c>
      <c r="E1798">
        <v>1</v>
      </c>
      <c r="F1798">
        <v>0</v>
      </c>
      <c r="G1798">
        <v>0</v>
      </c>
      <c r="H1798">
        <v>1</v>
      </c>
      <c r="I1798">
        <v>0</v>
      </c>
      <c r="J1798">
        <v>0</v>
      </c>
      <c r="K1798">
        <v>0</v>
      </c>
      <c r="L1798" s="2">
        <v>0</v>
      </c>
      <c r="M1798">
        <v>0</v>
      </c>
      <c r="N1798" s="2">
        <v>0</v>
      </c>
      <c r="O1798">
        <v>0</v>
      </c>
      <c r="P1798" t="s">
        <v>100</v>
      </c>
      <c r="Q1798">
        <v>0</v>
      </c>
      <c r="R1798" t="s">
        <v>145</v>
      </c>
      <c r="S1798">
        <v>0</v>
      </c>
    </row>
    <row r="1799" spans="1:19">
      <c r="A1799" t="s">
        <v>35</v>
      </c>
      <c r="B1799" t="s">
        <v>7861</v>
      </c>
      <c r="C1799">
        <f>"18372XS"</f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 s="2">
        <v>0</v>
      </c>
      <c r="M1799">
        <v>0</v>
      </c>
      <c r="N1799" s="2">
        <v>0</v>
      </c>
      <c r="O1799">
        <v>0</v>
      </c>
      <c r="P1799" t="s">
        <v>100</v>
      </c>
      <c r="Q1799">
        <v>0</v>
      </c>
      <c r="R1799" t="s">
        <v>145</v>
      </c>
      <c r="S1799">
        <v>0</v>
      </c>
    </row>
    <row r="1800" spans="1:19">
      <c r="A1800" t="s">
        <v>35</v>
      </c>
      <c r="B1800" t="s">
        <v>7860</v>
      </c>
      <c r="C1800">
        <f>"Q5AL"</f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 s="2">
        <v>0</v>
      </c>
      <c r="M1800">
        <v>0</v>
      </c>
      <c r="N1800" s="2">
        <v>0</v>
      </c>
      <c r="O1800">
        <v>0</v>
      </c>
      <c r="P1800" t="s">
        <v>100</v>
      </c>
      <c r="Q1800">
        <v>0</v>
      </c>
      <c r="R1800" t="s">
        <v>145</v>
      </c>
      <c r="S1800">
        <v>0</v>
      </c>
    </row>
    <row r="1801" spans="1:19">
      <c r="A1801" t="s">
        <v>35</v>
      </c>
      <c r="B1801" t="s">
        <v>7813</v>
      </c>
      <c r="C1801">
        <f>"Q5ALCH"</f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 s="2">
        <v>0</v>
      </c>
      <c r="M1801">
        <v>0</v>
      </c>
      <c r="N1801" s="2">
        <v>0</v>
      </c>
      <c r="O1801">
        <v>0</v>
      </c>
      <c r="P1801" t="s">
        <v>100</v>
      </c>
      <c r="Q1801">
        <v>0</v>
      </c>
      <c r="R1801" t="s">
        <v>145</v>
      </c>
      <c r="S1801">
        <v>0</v>
      </c>
    </row>
    <row r="1802" spans="1:19">
      <c r="A1802" t="s">
        <v>35</v>
      </c>
      <c r="B1802" t="s">
        <v>7911</v>
      </c>
      <c r="C1802">
        <f>"Q5AM"</f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 s="2">
        <v>0</v>
      </c>
      <c r="M1802">
        <v>0</v>
      </c>
      <c r="N1802" s="2">
        <v>0</v>
      </c>
      <c r="O1802">
        <v>0</v>
      </c>
      <c r="P1802" t="s">
        <v>100</v>
      </c>
      <c r="Q1802">
        <v>0</v>
      </c>
      <c r="R1802" t="s">
        <v>145</v>
      </c>
      <c r="S1802">
        <v>0</v>
      </c>
    </row>
    <row r="1803" spans="1:19">
      <c r="A1803" t="s">
        <v>35</v>
      </c>
      <c r="B1803" t="s">
        <v>7909</v>
      </c>
      <c r="C1803">
        <f>"Q5AMCH"</f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 s="2">
        <v>0</v>
      </c>
      <c r="M1803">
        <v>0</v>
      </c>
      <c r="N1803" s="2">
        <v>0</v>
      </c>
      <c r="O1803">
        <v>0</v>
      </c>
      <c r="P1803" t="s">
        <v>100</v>
      </c>
      <c r="Q1803">
        <v>0</v>
      </c>
      <c r="R1803" t="s">
        <v>145</v>
      </c>
      <c r="S1803">
        <v>0</v>
      </c>
    </row>
    <row r="1804" spans="1:19">
      <c r="A1804" t="s">
        <v>35</v>
      </c>
      <c r="B1804" t="s">
        <v>8206</v>
      </c>
      <c r="C1804">
        <f>"Q5AS"</f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 s="2">
        <v>0</v>
      </c>
      <c r="M1804">
        <v>0</v>
      </c>
      <c r="N1804" s="2">
        <v>0</v>
      </c>
      <c r="O1804">
        <v>0</v>
      </c>
      <c r="P1804" t="s">
        <v>100</v>
      </c>
      <c r="Q1804">
        <v>0</v>
      </c>
      <c r="R1804" t="s">
        <v>145</v>
      </c>
      <c r="S1804">
        <v>0</v>
      </c>
    </row>
    <row r="1805" spans="1:19">
      <c r="A1805" t="s">
        <v>35</v>
      </c>
      <c r="B1805" t="s">
        <v>8205</v>
      </c>
      <c r="C1805">
        <f>"Q5ASAR"</f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 s="2">
        <v>0</v>
      </c>
      <c r="M1805">
        <v>0</v>
      </c>
      <c r="N1805" s="2">
        <v>0</v>
      </c>
      <c r="O1805">
        <v>0</v>
      </c>
      <c r="P1805" t="s">
        <v>100</v>
      </c>
      <c r="Q1805">
        <v>0</v>
      </c>
      <c r="R1805" t="s">
        <v>145</v>
      </c>
      <c r="S1805">
        <v>0</v>
      </c>
    </row>
    <row r="1806" spans="1:19">
      <c r="A1806" t="s">
        <v>35</v>
      </c>
      <c r="B1806" t="s">
        <v>6226</v>
      </c>
      <c r="C1806">
        <f>"SPC"</f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 s="2">
        <v>0</v>
      </c>
      <c r="M1806">
        <v>0</v>
      </c>
      <c r="N1806" s="2">
        <v>0</v>
      </c>
      <c r="O1806">
        <v>0</v>
      </c>
      <c r="P1806" t="s">
        <v>100</v>
      </c>
      <c r="Q1806">
        <v>0</v>
      </c>
      <c r="R1806" t="s">
        <v>145</v>
      </c>
      <c r="S1806">
        <v>0</v>
      </c>
    </row>
    <row r="1807" spans="1:19">
      <c r="A1807" t="s">
        <v>35</v>
      </c>
      <c r="B1807" t="s">
        <v>1390</v>
      </c>
      <c r="C1807">
        <f>"2580"</f>
        <v>0</v>
      </c>
      <c r="D1807">
        <v>0</v>
      </c>
      <c r="E1807">
        <v>1</v>
      </c>
      <c r="F1807">
        <v>0</v>
      </c>
      <c r="G1807">
        <v>0</v>
      </c>
      <c r="H1807">
        <v>1</v>
      </c>
      <c r="I1807">
        <v>0</v>
      </c>
      <c r="J1807">
        <v>0</v>
      </c>
      <c r="K1807">
        <v>0</v>
      </c>
      <c r="L1807" s="2">
        <v>0</v>
      </c>
      <c r="M1807">
        <v>0</v>
      </c>
      <c r="N1807" s="2">
        <v>0</v>
      </c>
      <c r="O1807">
        <v>0</v>
      </c>
      <c r="P1807" t="s">
        <v>100</v>
      </c>
      <c r="Q1807">
        <v>0</v>
      </c>
      <c r="R1807" t="s">
        <v>145</v>
      </c>
      <c r="S1807">
        <v>0</v>
      </c>
    </row>
    <row r="1808" spans="1:19">
      <c r="A1808" t="s">
        <v>35</v>
      </c>
      <c r="B1808" t="s">
        <v>6371</v>
      </c>
      <c r="C1808">
        <f>"SK3026"</f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 s="2">
        <v>0</v>
      </c>
      <c r="M1808">
        <v>0</v>
      </c>
      <c r="N1808" s="2">
        <v>0</v>
      </c>
      <c r="O1808">
        <v>0</v>
      </c>
      <c r="P1808" t="s">
        <v>100</v>
      </c>
      <c r="Q1808">
        <v>0</v>
      </c>
      <c r="R1808" t="s">
        <v>145</v>
      </c>
      <c r="S1808">
        <v>0</v>
      </c>
    </row>
    <row r="1809" spans="1:19">
      <c r="A1809" t="s">
        <v>35</v>
      </c>
      <c r="B1809" t="s">
        <v>6793</v>
      </c>
      <c r="C1809">
        <f>"HP152SC"</f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 s="2">
        <v>0</v>
      </c>
      <c r="M1809">
        <v>0</v>
      </c>
      <c r="N1809" s="2">
        <v>0</v>
      </c>
      <c r="O1809">
        <v>0</v>
      </c>
      <c r="P1809" t="s">
        <v>100</v>
      </c>
      <c r="Q1809">
        <v>0</v>
      </c>
      <c r="R1809" t="s">
        <v>145</v>
      </c>
      <c r="S1809">
        <v>0</v>
      </c>
    </row>
    <row r="1810" spans="1:19">
      <c r="A1810" t="s">
        <v>35</v>
      </c>
      <c r="B1810" t="s">
        <v>6793</v>
      </c>
      <c r="C1810">
        <f>"HP152SCA"</f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 s="2">
        <v>0</v>
      </c>
      <c r="M1810">
        <v>0</v>
      </c>
      <c r="N1810" s="2">
        <v>0</v>
      </c>
      <c r="O1810">
        <v>0</v>
      </c>
      <c r="P1810" t="s">
        <v>100</v>
      </c>
      <c r="Q1810">
        <v>0</v>
      </c>
      <c r="R1810" t="s">
        <v>145</v>
      </c>
      <c r="S1810">
        <v>0</v>
      </c>
    </row>
    <row r="1811" spans="1:19">
      <c r="A1811" t="s">
        <v>35</v>
      </c>
      <c r="B1811" t="s">
        <v>6793</v>
      </c>
      <c r="C1811">
        <f>"HP152SG"</f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 s="2">
        <v>0</v>
      </c>
      <c r="M1811">
        <v>0</v>
      </c>
      <c r="N1811" s="2">
        <v>0</v>
      </c>
      <c r="O1811">
        <v>0</v>
      </c>
      <c r="P1811" t="s">
        <v>100</v>
      </c>
      <c r="Q1811">
        <v>0</v>
      </c>
      <c r="R1811" t="s">
        <v>145</v>
      </c>
      <c r="S1811">
        <v>0</v>
      </c>
    </row>
    <row r="1812" spans="1:19">
      <c r="A1812" t="s">
        <v>35</v>
      </c>
      <c r="B1812" t="s">
        <v>2447</v>
      </c>
      <c r="C1812">
        <f>"HP152XLCC"</f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 s="2">
        <v>0</v>
      </c>
      <c r="M1812">
        <v>0</v>
      </c>
      <c r="N1812" s="2">
        <v>0</v>
      </c>
      <c r="O1812">
        <v>0</v>
      </c>
      <c r="P1812" t="s">
        <v>100</v>
      </c>
      <c r="Q1812">
        <v>0</v>
      </c>
      <c r="R1812" t="s">
        <v>145</v>
      </c>
      <c r="S1812">
        <v>0</v>
      </c>
    </row>
    <row r="1813" spans="1:19">
      <c r="A1813" t="s">
        <v>35</v>
      </c>
      <c r="B1813" t="s">
        <v>2447</v>
      </c>
      <c r="C1813">
        <f>"HP152XLCV"</f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 s="2">
        <v>0</v>
      </c>
      <c r="M1813">
        <v>0</v>
      </c>
      <c r="N1813" s="2">
        <v>0</v>
      </c>
      <c r="O1813">
        <v>0</v>
      </c>
      <c r="P1813" t="s">
        <v>100</v>
      </c>
      <c r="Q1813">
        <v>0</v>
      </c>
      <c r="R1813" t="s">
        <v>145</v>
      </c>
      <c r="S1813">
        <v>0</v>
      </c>
    </row>
    <row r="1814" spans="1:19">
      <c r="A1814" t="s">
        <v>35</v>
      </c>
      <c r="B1814" t="s">
        <v>2447</v>
      </c>
      <c r="C1814">
        <f>"HP152XLG"</f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 s="2">
        <v>0</v>
      </c>
      <c r="M1814">
        <v>0</v>
      </c>
      <c r="N1814" s="2">
        <v>0</v>
      </c>
      <c r="O1814">
        <v>0</v>
      </c>
      <c r="P1814" t="s">
        <v>100</v>
      </c>
      <c r="Q1814">
        <v>0</v>
      </c>
      <c r="R1814" t="s">
        <v>145</v>
      </c>
      <c r="S1814">
        <v>0</v>
      </c>
    </row>
    <row r="1815" spans="1:19">
      <c r="A1815" t="s">
        <v>35</v>
      </c>
      <c r="B1815" t="s">
        <v>6403</v>
      </c>
      <c r="C1815">
        <f>"25002058"</f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 s="2">
        <v>0</v>
      </c>
      <c r="M1815">
        <v>0</v>
      </c>
      <c r="N1815" s="2">
        <v>0</v>
      </c>
      <c r="O1815">
        <v>0</v>
      </c>
      <c r="P1815" t="s">
        <v>100</v>
      </c>
      <c r="Q1815">
        <v>0</v>
      </c>
      <c r="R1815" t="s">
        <v>145</v>
      </c>
      <c r="S1815">
        <v>0</v>
      </c>
    </row>
    <row r="1816" spans="1:19">
      <c r="A1816" t="s">
        <v>35</v>
      </c>
      <c r="B1816" t="s">
        <v>1076</v>
      </c>
      <c r="C1816">
        <f>"06715"</f>
        <v>0</v>
      </c>
      <c r="D1816">
        <v>0</v>
      </c>
      <c r="E1816">
        <v>2</v>
      </c>
      <c r="F1816">
        <v>0</v>
      </c>
      <c r="G1816">
        <v>0</v>
      </c>
      <c r="H1816">
        <v>2</v>
      </c>
      <c r="I1816">
        <v>0</v>
      </c>
      <c r="J1816">
        <v>0</v>
      </c>
      <c r="K1816">
        <v>0</v>
      </c>
      <c r="L1816" s="2">
        <v>0</v>
      </c>
      <c r="M1816">
        <v>0</v>
      </c>
      <c r="N1816" s="2">
        <v>0</v>
      </c>
      <c r="O1816">
        <v>0</v>
      </c>
      <c r="P1816" t="s">
        <v>100</v>
      </c>
      <c r="Q1816">
        <v>0</v>
      </c>
      <c r="R1816" t="s">
        <v>145</v>
      </c>
      <c r="S1816">
        <v>0</v>
      </c>
    </row>
    <row r="1817" spans="1:19">
      <c r="A1817" t="s">
        <v>35</v>
      </c>
      <c r="B1817" t="s">
        <v>6333</v>
      </c>
      <c r="C1817">
        <f>"07622"</f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 s="2">
        <v>0</v>
      </c>
      <c r="M1817">
        <v>0</v>
      </c>
      <c r="N1817" s="2">
        <v>0</v>
      </c>
      <c r="O1817">
        <v>0</v>
      </c>
      <c r="P1817" t="s">
        <v>100</v>
      </c>
      <c r="Q1817">
        <v>0</v>
      </c>
      <c r="R1817" t="s">
        <v>145</v>
      </c>
      <c r="S1817">
        <v>0</v>
      </c>
    </row>
    <row r="1818" spans="1:19">
      <c r="A1818" t="s">
        <v>35</v>
      </c>
      <c r="B1818" t="s">
        <v>6353</v>
      </c>
      <c r="C1818">
        <f>"WO228"</f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 s="2">
        <v>0</v>
      </c>
      <c r="M1818">
        <v>0</v>
      </c>
      <c r="N1818" s="2">
        <v>0</v>
      </c>
      <c r="O1818">
        <v>0</v>
      </c>
      <c r="P1818" t="s">
        <v>100</v>
      </c>
      <c r="Q1818">
        <v>0</v>
      </c>
      <c r="R1818" t="s">
        <v>145</v>
      </c>
      <c r="S1818">
        <v>0</v>
      </c>
    </row>
    <row r="1819" spans="1:19">
      <c r="A1819" t="s">
        <v>35</v>
      </c>
      <c r="B1819" t="s">
        <v>6328</v>
      </c>
      <c r="C1819">
        <f>"DR122B"</f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 s="2">
        <v>0</v>
      </c>
      <c r="M1819">
        <v>0</v>
      </c>
      <c r="N1819" s="2">
        <v>0</v>
      </c>
      <c r="O1819">
        <v>0</v>
      </c>
      <c r="P1819" t="s">
        <v>100</v>
      </c>
      <c r="Q1819">
        <v>0</v>
      </c>
      <c r="R1819" t="s">
        <v>145</v>
      </c>
      <c r="S1819">
        <v>0</v>
      </c>
    </row>
    <row r="1820" spans="1:19">
      <c r="A1820" t="s">
        <v>35</v>
      </c>
      <c r="B1820" t="s">
        <v>6329</v>
      </c>
      <c r="C1820">
        <f>"25002026"</f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 s="2">
        <v>0</v>
      </c>
      <c r="M1820">
        <v>0</v>
      </c>
      <c r="N1820" s="2">
        <v>0</v>
      </c>
      <c r="O1820">
        <v>0</v>
      </c>
      <c r="P1820" t="s">
        <v>100</v>
      </c>
      <c r="Q1820">
        <v>0</v>
      </c>
      <c r="R1820" t="s">
        <v>145</v>
      </c>
      <c r="S1820">
        <v>0</v>
      </c>
    </row>
    <row r="1821" spans="1:19">
      <c r="A1821" t="s">
        <v>35</v>
      </c>
      <c r="B1821" t="s">
        <v>6326</v>
      </c>
      <c r="C1821">
        <f>"25395779"</f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 s="2">
        <v>0</v>
      </c>
      <c r="M1821">
        <v>0</v>
      </c>
      <c r="N1821" s="2">
        <v>0</v>
      </c>
      <c r="O1821">
        <v>0</v>
      </c>
      <c r="P1821" t="s">
        <v>100</v>
      </c>
      <c r="Q1821">
        <v>0</v>
      </c>
      <c r="R1821" t="s">
        <v>145</v>
      </c>
      <c r="S1821">
        <v>0</v>
      </c>
    </row>
    <row r="1822" spans="1:19">
      <c r="A1822" t="s">
        <v>35</v>
      </c>
      <c r="B1822" t="s">
        <v>6325</v>
      </c>
      <c r="C1822">
        <f>"25395782"</f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 s="2">
        <v>0</v>
      </c>
      <c r="M1822">
        <v>0</v>
      </c>
      <c r="N1822" s="2">
        <v>0</v>
      </c>
      <c r="O1822">
        <v>0</v>
      </c>
      <c r="P1822" t="s">
        <v>100</v>
      </c>
      <c r="Q1822">
        <v>0</v>
      </c>
      <c r="R1822" t="s">
        <v>145</v>
      </c>
      <c r="S1822">
        <v>0</v>
      </c>
    </row>
    <row r="1823" spans="1:19">
      <c r="A1823" t="s">
        <v>35</v>
      </c>
      <c r="B1823" t="s">
        <v>6324</v>
      </c>
      <c r="C1823">
        <f>"25395781"</f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 s="2">
        <v>0</v>
      </c>
      <c r="M1823">
        <v>0</v>
      </c>
      <c r="N1823" s="2">
        <v>0</v>
      </c>
      <c r="O1823">
        <v>0</v>
      </c>
      <c r="P1823" t="s">
        <v>100</v>
      </c>
      <c r="Q1823">
        <v>0</v>
      </c>
      <c r="R1823" t="s">
        <v>145</v>
      </c>
      <c r="S1823">
        <v>0</v>
      </c>
    </row>
    <row r="1824" spans="1:19">
      <c r="A1824" t="s">
        <v>35</v>
      </c>
      <c r="B1824" t="s">
        <v>6339</v>
      </c>
      <c r="C1824">
        <f>"25395780"</f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 s="2">
        <v>0</v>
      </c>
      <c r="M1824">
        <v>0</v>
      </c>
      <c r="N1824" s="2">
        <v>0</v>
      </c>
      <c r="O1824">
        <v>0</v>
      </c>
      <c r="P1824" t="s">
        <v>100</v>
      </c>
      <c r="Q1824">
        <v>0</v>
      </c>
      <c r="R1824" t="s">
        <v>145</v>
      </c>
      <c r="S1824">
        <v>0</v>
      </c>
    </row>
    <row r="1825" spans="1:19">
      <c r="A1825" t="s">
        <v>35</v>
      </c>
      <c r="B1825" t="s">
        <v>6322</v>
      </c>
      <c r="C1825">
        <f>"25395806"</f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 s="2">
        <v>0</v>
      </c>
      <c r="M1825">
        <v>0</v>
      </c>
      <c r="N1825" s="2">
        <v>0</v>
      </c>
      <c r="O1825">
        <v>0</v>
      </c>
      <c r="P1825" t="s">
        <v>100</v>
      </c>
      <c r="Q1825">
        <v>0</v>
      </c>
      <c r="R1825" t="s">
        <v>145</v>
      </c>
      <c r="S1825">
        <v>0</v>
      </c>
    </row>
    <row r="1826" spans="1:19">
      <c r="A1826" t="s">
        <v>35</v>
      </c>
      <c r="B1826" t="s">
        <v>7905</v>
      </c>
      <c r="C1826">
        <f>"FB011MA"</f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 s="2">
        <v>0</v>
      </c>
      <c r="M1826">
        <v>0</v>
      </c>
      <c r="N1826" s="2">
        <v>0</v>
      </c>
      <c r="O1826">
        <v>0</v>
      </c>
      <c r="P1826" t="s">
        <v>100</v>
      </c>
      <c r="Q1826">
        <v>0</v>
      </c>
      <c r="R1826" t="s">
        <v>145</v>
      </c>
      <c r="S1826">
        <v>0</v>
      </c>
    </row>
    <row r="1827" spans="1:19">
      <c r="A1827" t="s">
        <v>35</v>
      </c>
      <c r="B1827" t="s">
        <v>6420</v>
      </c>
      <c r="C1827">
        <f>"SK3023"</f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 s="2">
        <v>0</v>
      </c>
      <c r="M1827">
        <v>0</v>
      </c>
      <c r="N1827" s="2">
        <v>0</v>
      </c>
      <c r="O1827">
        <v>0</v>
      </c>
      <c r="P1827" t="s">
        <v>100</v>
      </c>
      <c r="Q1827">
        <v>0</v>
      </c>
      <c r="R1827" t="s">
        <v>145</v>
      </c>
      <c r="S1827">
        <v>0</v>
      </c>
    </row>
    <row r="1828" spans="1:19">
      <c r="A1828" t="s">
        <v>35</v>
      </c>
      <c r="B1828" t="s">
        <v>6417</v>
      </c>
      <c r="C1828">
        <f>"25395961"</f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 s="2">
        <v>0</v>
      </c>
      <c r="M1828">
        <v>0</v>
      </c>
      <c r="N1828" s="2">
        <v>0</v>
      </c>
      <c r="O1828">
        <v>0</v>
      </c>
      <c r="P1828" t="s">
        <v>100</v>
      </c>
      <c r="Q1828">
        <v>0</v>
      </c>
      <c r="R1828" t="s">
        <v>145</v>
      </c>
      <c r="S1828">
        <v>0</v>
      </c>
    </row>
    <row r="1829" spans="1:19">
      <c r="A1829" t="s">
        <v>35</v>
      </c>
      <c r="B1829" t="s">
        <v>6416</v>
      </c>
      <c r="C1829">
        <f>"25395960"</f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 s="2">
        <v>0</v>
      </c>
      <c r="M1829">
        <v>0</v>
      </c>
      <c r="N1829" s="2">
        <v>0</v>
      </c>
      <c r="O1829">
        <v>0</v>
      </c>
      <c r="P1829" t="s">
        <v>100</v>
      </c>
      <c r="Q1829">
        <v>0</v>
      </c>
      <c r="R1829" t="s">
        <v>145</v>
      </c>
      <c r="S1829">
        <v>0</v>
      </c>
    </row>
    <row r="1830" spans="1:19">
      <c r="A1830" t="s">
        <v>35</v>
      </c>
      <c r="B1830" t="s">
        <v>6415</v>
      </c>
      <c r="C1830">
        <f>"25395959"</f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 s="2">
        <v>0</v>
      </c>
      <c r="M1830">
        <v>0</v>
      </c>
      <c r="N1830" s="2">
        <v>0</v>
      </c>
      <c r="O1830">
        <v>0</v>
      </c>
      <c r="P1830" t="s">
        <v>100</v>
      </c>
      <c r="Q1830">
        <v>0</v>
      </c>
      <c r="R1830" t="s">
        <v>145</v>
      </c>
      <c r="S1830">
        <v>0</v>
      </c>
    </row>
    <row r="1831" spans="1:19">
      <c r="A1831" t="s">
        <v>35</v>
      </c>
      <c r="B1831" t="s">
        <v>6327</v>
      </c>
      <c r="C1831">
        <f>"DR123B"</f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 s="2">
        <v>0</v>
      </c>
      <c r="M1831">
        <v>0</v>
      </c>
      <c r="N1831" s="2">
        <v>0</v>
      </c>
      <c r="O1831">
        <v>0</v>
      </c>
      <c r="P1831" t="s">
        <v>100</v>
      </c>
      <c r="Q1831">
        <v>0</v>
      </c>
      <c r="R1831" t="s">
        <v>145</v>
      </c>
      <c r="S1831">
        <v>0</v>
      </c>
    </row>
    <row r="1832" spans="1:19">
      <c r="A1832" t="s">
        <v>35</v>
      </c>
      <c r="B1832" t="s">
        <v>7464</v>
      </c>
      <c r="C1832">
        <f>"FB517LRN"</f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 s="2">
        <v>0</v>
      </c>
      <c r="M1832">
        <v>0</v>
      </c>
      <c r="N1832" s="2">
        <v>0</v>
      </c>
      <c r="O1832">
        <v>0</v>
      </c>
      <c r="P1832" t="s">
        <v>100</v>
      </c>
      <c r="Q1832">
        <v>0</v>
      </c>
      <c r="R1832" t="s">
        <v>145</v>
      </c>
      <c r="S1832">
        <v>0</v>
      </c>
    </row>
    <row r="1833" spans="1:19">
      <c r="A1833" t="s">
        <v>35</v>
      </c>
      <c r="B1833" t="s">
        <v>7904</v>
      </c>
      <c r="C1833">
        <f>"FB517LVM"</f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 s="2">
        <v>0</v>
      </c>
      <c r="M1833">
        <v>0</v>
      </c>
      <c r="N1833" s="2">
        <v>0</v>
      </c>
      <c r="O1833">
        <v>0</v>
      </c>
      <c r="P1833" t="s">
        <v>100</v>
      </c>
      <c r="Q1833">
        <v>0</v>
      </c>
      <c r="R1833" t="s">
        <v>145</v>
      </c>
      <c r="S1833">
        <v>0</v>
      </c>
    </row>
    <row r="1834" spans="1:19">
      <c r="A1834" t="s">
        <v>35</v>
      </c>
      <c r="B1834" t="s">
        <v>7915</v>
      </c>
      <c r="C1834">
        <f>"FB517MA"</f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 s="2">
        <v>0</v>
      </c>
      <c r="M1834">
        <v>0</v>
      </c>
      <c r="N1834" s="2">
        <v>0</v>
      </c>
      <c r="O1834">
        <v>0</v>
      </c>
      <c r="P1834" t="s">
        <v>100</v>
      </c>
      <c r="Q1834">
        <v>0</v>
      </c>
      <c r="R1834" t="s">
        <v>145</v>
      </c>
      <c r="S1834">
        <v>0</v>
      </c>
    </row>
    <row r="1835" spans="1:19">
      <c r="A1835" t="s">
        <v>35</v>
      </c>
      <c r="B1835" t="s">
        <v>7914</v>
      </c>
      <c r="C1835">
        <f>"FB517MM"</f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 s="2">
        <v>0</v>
      </c>
      <c r="M1835">
        <v>0</v>
      </c>
      <c r="N1835" s="2">
        <v>0</v>
      </c>
      <c r="O1835">
        <v>0</v>
      </c>
      <c r="P1835" t="s">
        <v>100</v>
      </c>
      <c r="Q1835">
        <v>0</v>
      </c>
      <c r="R1835" t="s">
        <v>145</v>
      </c>
      <c r="S1835">
        <v>0</v>
      </c>
    </row>
    <row r="1836" spans="1:19">
      <c r="A1836" t="s">
        <v>35</v>
      </c>
      <c r="B1836" t="s">
        <v>8209</v>
      </c>
      <c r="C1836">
        <f>"FB517MRN"</f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 s="2">
        <v>0</v>
      </c>
      <c r="M1836">
        <v>0</v>
      </c>
      <c r="N1836" s="2">
        <v>0</v>
      </c>
      <c r="O1836">
        <v>0</v>
      </c>
      <c r="P1836" t="s">
        <v>100</v>
      </c>
      <c r="Q1836">
        <v>0</v>
      </c>
      <c r="R1836" t="s">
        <v>145</v>
      </c>
      <c r="S1836">
        <v>0</v>
      </c>
    </row>
    <row r="1837" spans="1:19">
      <c r="A1837" t="s">
        <v>35</v>
      </c>
      <c r="B1837" t="s">
        <v>8208</v>
      </c>
      <c r="C1837">
        <f>"FB517MVM"</f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 s="2">
        <v>0</v>
      </c>
      <c r="M1837">
        <v>0</v>
      </c>
      <c r="N1837" s="2">
        <v>0</v>
      </c>
      <c r="O1837">
        <v>0</v>
      </c>
      <c r="P1837" t="s">
        <v>100</v>
      </c>
      <c r="Q1837">
        <v>0</v>
      </c>
      <c r="R1837" t="s">
        <v>145</v>
      </c>
      <c r="S1837">
        <v>0</v>
      </c>
    </row>
    <row r="1838" spans="1:19">
      <c r="A1838" t="s">
        <v>35</v>
      </c>
      <c r="B1838" t="s">
        <v>8207</v>
      </c>
      <c r="C1838">
        <f>"FB517SA"</f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 s="2">
        <v>0</v>
      </c>
      <c r="M1838">
        <v>0</v>
      </c>
      <c r="N1838" s="2">
        <v>0</v>
      </c>
      <c r="O1838">
        <v>0</v>
      </c>
      <c r="P1838" t="s">
        <v>100</v>
      </c>
      <c r="Q1838">
        <v>0</v>
      </c>
      <c r="R1838" t="s">
        <v>145</v>
      </c>
      <c r="S1838">
        <v>0</v>
      </c>
    </row>
    <row r="1839" spans="1:19">
      <c r="A1839" t="s">
        <v>35</v>
      </c>
      <c r="B1839" t="s">
        <v>1201</v>
      </c>
      <c r="C1839">
        <f>"FB517SM"</f>
        <v>0</v>
      </c>
      <c r="D1839">
        <v>0</v>
      </c>
      <c r="E1839">
        <v>1</v>
      </c>
      <c r="F1839">
        <v>0</v>
      </c>
      <c r="G1839">
        <v>0</v>
      </c>
      <c r="H1839">
        <v>1</v>
      </c>
      <c r="I1839">
        <v>0</v>
      </c>
      <c r="J1839">
        <v>0</v>
      </c>
      <c r="K1839">
        <v>0</v>
      </c>
      <c r="L1839" s="2">
        <v>0</v>
      </c>
      <c r="M1839">
        <v>0</v>
      </c>
      <c r="N1839" s="2">
        <v>0</v>
      </c>
      <c r="O1839">
        <v>0</v>
      </c>
      <c r="P1839" t="s">
        <v>100</v>
      </c>
      <c r="Q1839">
        <v>0</v>
      </c>
      <c r="R1839" t="s">
        <v>145</v>
      </c>
      <c r="S1839">
        <v>0</v>
      </c>
    </row>
    <row r="1840" spans="1:19">
      <c r="A1840" t="s">
        <v>35</v>
      </c>
      <c r="B1840" t="s">
        <v>7402</v>
      </c>
      <c r="C1840">
        <f>"FB517SRN"</f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 s="2">
        <v>0</v>
      </c>
      <c r="M1840">
        <v>0</v>
      </c>
      <c r="N1840" s="2">
        <v>0</v>
      </c>
      <c r="O1840">
        <v>0</v>
      </c>
      <c r="P1840" t="s">
        <v>100</v>
      </c>
      <c r="Q1840">
        <v>0</v>
      </c>
      <c r="R1840" t="s">
        <v>145</v>
      </c>
      <c r="S1840">
        <v>0</v>
      </c>
    </row>
    <row r="1841" spans="1:19">
      <c r="A1841" t="s">
        <v>35</v>
      </c>
      <c r="B1841" t="s">
        <v>7401</v>
      </c>
      <c r="C1841">
        <f>"FB517SVM"</f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 s="2">
        <v>0</v>
      </c>
      <c r="M1841">
        <v>0</v>
      </c>
      <c r="N1841" s="2">
        <v>0</v>
      </c>
      <c r="O1841">
        <v>0</v>
      </c>
      <c r="P1841" t="s">
        <v>100</v>
      </c>
      <c r="Q1841">
        <v>0</v>
      </c>
      <c r="R1841" t="s">
        <v>145</v>
      </c>
      <c r="S1841">
        <v>0</v>
      </c>
    </row>
    <row r="1842" spans="1:19">
      <c r="A1842" t="s">
        <v>35</v>
      </c>
      <c r="B1842" t="s">
        <v>6370</v>
      </c>
      <c r="C1842">
        <f>"SK3024"</f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 s="2">
        <v>0</v>
      </c>
      <c r="M1842">
        <v>0</v>
      </c>
      <c r="N1842" s="2">
        <v>0</v>
      </c>
      <c r="O1842">
        <v>0</v>
      </c>
      <c r="P1842" t="s">
        <v>100</v>
      </c>
      <c r="Q1842">
        <v>0</v>
      </c>
      <c r="R1842" t="s">
        <v>145</v>
      </c>
      <c r="S1842">
        <v>0</v>
      </c>
    </row>
    <row r="1843" spans="1:19">
      <c r="A1843" t="s">
        <v>35</v>
      </c>
      <c r="B1843" t="s">
        <v>7395</v>
      </c>
      <c r="C1843">
        <f>"YXU1M"</f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 s="2">
        <v>0</v>
      </c>
      <c r="M1843">
        <v>0</v>
      </c>
      <c r="N1843" s="2">
        <v>0</v>
      </c>
      <c r="O1843">
        <v>0</v>
      </c>
      <c r="P1843" t="s">
        <v>100</v>
      </c>
      <c r="Q1843">
        <v>0</v>
      </c>
      <c r="R1843" t="s">
        <v>145</v>
      </c>
      <c r="S1843">
        <v>0</v>
      </c>
    </row>
    <row r="1844" spans="1:19">
      <c r="A1844" t="s">
        <v>35</v>
      </c>
      <c r="B1844" t="s">
        <v>7533</v>
      </c>
      <c r="C1844">
        <f>"PT015LA"</f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 s="2">
        <v>0</v>
      </c>
      <c r="M1844">
        <v>0</v>
      </c>
      <c r="N1844" s="2">
        <v>0</v>
      </c>
      <c r="O1844">
        <v>0</v>
      </c>
      <c r="P1844" t="s">
        <v>100</v>
      </c>
      <c r="Q1844">
        <v>0</v>
      </c>
      <c r="R1844" t="s">
        <v>145</v>
      </c>
      <c r="S1844">
        <v>0</v>
      </c>
    </row>
    <row r="1845" spans="1:19">
      <c r="A1845" t="s">
        <v>35</v>
      </c>
      <c r="B1845" t="s">
        <v>7532</v>
      </c>
      <c r="C1845">
        <f>"PT015LCCEL"</f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 s="2">
        <v>0</v>
      </c>
      <c r="M1845">
        <v>0</v>
      </c>
      <c r="N1845" s="2">
        <v>0</v>
      </c>
      <c r="O1845">
        <v>0</v>
      </c>
      <c r="P1845" t="s">
        <v>100</v>
      </c>
      <c r="Q1845">
        <v>0</v>
      </c>
      <c r="R1845" t="s">
        <v>145</v>
      </c>
      <c r="S1845">
        <v>0</v>
      </c>
    </row>
    <row r="1846" spans="1:19">
      <c r="A1846" t="s">
        <v>35</v>
      </c>
      <c r="B1846" t="s">
        <v>1230</v>
      </c>
      <c r="C1846">
        <f>"PT015LCCUA"</f>
        <v>0</v>
      </c>
      <c r="D1846">
        <v>0</v>
      </c>
      <c r="E1846">
        <v>0</v>
      </c>
      <c r="F1846">
        <v>1</v>
      </c>
      <c r="G1846">
        <v>0</v>
      </c>
      <c r="H1846">
        <v>1</v>
      </c>
      <c r="I1846">
        <v>0</v>
      </c>
      <c r="J1846">
        <v>0</v>
      </c>
      <c r="K1846">
        <v>0</v>
      </c>
      <c r="L1846" s="2">
        <v>0</v>
      </c>
      <c r="M1846">
        <v>0</v>
      </c>
      <c r="N1846" s="2">
        <v>0</v>
      </c>
      <c r="O1846">
        <v>0</v>
      </c>
      <c r="P1846" t="s">
        <v>100</v>
      </c>
      <c r="Q1846">
        <v>0</v>
      </c>
      <c r="R1846" t="s">
        <v>145</v>
      </c>
      <c r="S1846">
        <v>0</v>
      </c>
    </row>
    <row r="1847" spans="1:19">
      <c r="A1847" t="s">
        <v>35</v>
      </c>
      <c r="B1847" t="s">
        <v>7570</v>
      </c>
      <c r="C1847">
        <f>"PT015LDROJ"</f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 s="2">
        <v>0</v>
      </c>
      <c r="M1847">
        <v>0</v>
      </c>
      <c r="N1847" s="2">
        <v>0</v>
      </c>
      <c r="O1847">
        <v>0</v>
      </c>
      <c r="P1847" t="s">
        <v>100</v>
      </c>
      <c r="Q1847">
        <v>0</v>
      </c>
      <c r="R1847" t="s">
        <v>145</v>
      </c>
      <c r="S1847">
        <v>0</v>
      </c>
    </row>
    <row r="1848" spans="1:19">
      <c r="A1848" t="s">
        <v>35</v>
      </c>
      <c r="B1848" t="s">
        <v>5615</v>
      </c>
      <c r="C1848">
        <f>"TP590"</f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 s="2">
        <v>0</v>
      </c>
      <c r="M1848">
        <v>0</v>
      </c>
      <c r="N1848" s="2">
        <v>0</v>
      </c>
      <c r="O1848">
        <v>0</v>
      </c>
      <c r="P1848" t="s">
        <v>100</v>
      </c>
      <c r="Q1848">
        <v>0</v>
      </c>
      <c r="R1848" t="s">
        <v>145</v>
      </c>
      <c r="S1848">
        <v>0</v>
      </c>
    </row>
    <row r="1849" spans="1:19">
      <c r="A1849" t="s">
        <v>35</v>
      </c>
      <c r="B1849" t="s">
        <v>5614</v>
      </c>
      <c r="C1849">
        <f>"PD60047L"</f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 s="2">
        <v>0</v>
      </c>
      <c r="M1849">
        <v>0</v>
      </c>
      <c r="N1849" s="2">
        <v>0</v>
      </c>
      <c r="O1849">
        <v>0</v>
      </c>
      <c r="P1849" t="s">
        <v>100</v>
      </c>
      <c r="Q1849">
        <v>0</v>
      </c>
      <c r="R1849" t="s">
        <v>145</v>
      </c>
      <c r="S1849">
        <v>0</v>
      </c>
    </row>
    <row r="1850" spans="1:19">
      <c r="A1850" t="s">
        <v>35</v>
      </c>
      <c r="B1850" t="s">
        <v>5613</v>
      </c>
      <c r="C1850">
        <f>"PD60047M"</f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 s="2">
        <v>0</v>
      </c>
      <c r="M1850">
        <v>0</v>
      </c>
      <c r="N1850" s="2">
        <v>0</v>
      </c>
      <c r="O1850">
        <v>0</v>
      </c>
      <c r="P1850" t="s">
        <v>100</v>
      </c>
      <c r="Q1850">
        <v>0</v>
      </c>
      <c r="R1850" t="s">
        <v>145</v>
      </c>
      <c r="S1850">
        <v>0</v>
      </c>
    </row>
    <row r="1851" spans="1:19">
      <c r="A1851" t="s">
        <v>35</v>
      </c>
      <c r="B1851" t="s">
        <v>5612</v>
      </c>
      <c r="C1851">
        <f>"PD60047S"</f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 s="2">
        <v>0</v>
      </c>
      <c r="M1851">
        <v>0</v>
      </c>
      <c r="N1851" s="2">
        <v>0</v>
      </c>
      <c r="O1851">
        <v>0</v>
      </c>
      <c r="P1851" t="s">
        <v>100</v>
      </c>
      <c r="Q1851">
        <v>0</v>
      </c>
      <c r="R1851" t="s">
        <v>145</v>
      </c>
      <c r="S1851">
        <v>0</v>
      </c>
    </row>
    <row r="1852" spans="1:19">
      <c r="A1852" t="s">
        <v>35</v>
      </c>
      <c r="B1852" t="s">
        <v>5636</v>
      </c>
      <c r="C1852">
        <f>"SEP40"</f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 s="2">
        <v>0</v>
      </c>
      <c r="M1852">
        <v>0</v>
      </c>
      <c r="N1852" s="2">
        <v>0</v>
      </c>
      <c r="O1852">
        <v>0</v>
      </c>
      <c r="P1852" t="s">
        <v>100</v>
      </c>
      <c r="Q1852">
        <v>0</v>
      </c>
      <c r="R1852" t="s">
        <v>145</v>
      </c>
      <c r="S1852">
        <v>0</v>
      </c>
    </row>
    <row r="1853" spans="1:19">
      <c r="A1853" t="s">
        <v>35</v>
      </c>
      <c r="B1853" t="s">
        <v>6296</v>
      </c>
      <c r="C1853">
        <f>"AJ20"</f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 s="2">
        <v>0</v>
      </c>
      <c r="M1853">
        <v>0</v>
      </c>
      <c r="N1853" s="2">
        <v>0</v>
      </c>
      <c r="O1853">
        <v>0</v>
      </c>
      <c r="P1853" t="s">
        <v>100</v>
      </c>
      <c r="Q1853">
        <v>0</v>
      </c>
      <c r="R1853" t="s">
        <v>145</v>
      </c>
      <c r="S1853">
        <v>0</v>
      </c>
    </row>
    <row r="1854" spans="1:19">
      <c r="A1854" t="s">
        <v>35</v>
      </c>
      <c r="B1854" t="s">
        <v>1392</v>
      </c>
      <c r="C1854">
        <f>"SK3021"</f>
        <v>0</v>
      </c>
      <c r="D1854">
        <v>0</v>
      </c>
      <c r="E1854">
        <v>0</v>
      </c>
      <c r="F1854">
        <v>1</v>
      </c>
      <c r="G1854">
        <v>0</v>
      </c>
      <c r="H1854">
        <v>1</v>
      </c>
      <c r="I1854">
        <v>0</v>
      </c>
      <c r="J1854">
        <v>0</v>
      </c>
      <c r="K1854">
        <v>0</v>
      </c>
      <c r="L1854" s="2">
        <v>0</v>
      </c>
      <c r="M1854">
        <v>0</v>
      </c>
      <c r="N1854" s="2">
        <v>0</v>
      </c>
      <c r="O1854">
        <v>0</v>
      </c>
      <c r="P1854" t="s">
        <v>100</v>
      </c>
      <c r="Q1854">
        <v>0</v>
      </c>
      <c r="R1854" t="s">
        <v>145</v>
      </c>
      <c r="S1854">
        <v>0</v>
      </c>
    </row>
    <row r="1855" spans="1:19">
      <c r="A1855" t="s">
        <v>35</v>
      </c>
      <c r="B1855" t="s">
        <v>6399</v>
      </c>
      <c r="C1855">
        <f>"SK3053"</f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 s="2">
        <v>0</v>
      </c>
      <c r="M1855">
        <v>0</v>
      </c>
      <c r="N1855" s="2">
        <v>0</v>
      </c>
      <c r="O1855">
        <v>0</v>
      </c>
      <c r="P1855" t="s">
        <v>100</v>
      </c>
      <c r="Q1855">
        <v>0</v>
      </c>
      <c r="R1855" t="s">
        <v>145</v>
      </c>
      <c r="S1855">
        <v>0</v>
      </c>
    </row>
    <row r="1856" spans="1:19">
      <c r="A1856" t="s">
        <v>35</v>
      </c>
      <c r="B1856" t="s">
        <v>6383</v>
      </c>
      <c r="C1856">
        <f>"SK3027"</f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 s="2">
        <v>0</v>
      </c>
      <c r="M1856">
        <v>0</v>
      </c>
      <c r="N1856" s="2">
        <v>0</v>
      </c>
      <c r="O1856">
        <v>0</v>
      </c>
      <c r="P1856" t="s">
        <v>100</v>
      </c>
      <c r="Q1856">
        <v>0</v>
      </c>
      <c r="R1856" t="s">
        <v>145</v>
      </c>
      <c r="S1856">
        <v>0</v>
      </c>
    </row>
    <row r="1857" spans="1:19">
      <c r="A1857" t="s">
        <v>35</v>
      </c>
      <c r="B1857" t="s">
        <v>2447</v>
      </c>
      <c r="C1857">
        <f>"HP152XLN"</f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 s="2">
        <v>0</v>
      </c>
      <c r="M1857">
        <v>0</v>
      </c>
      <c r="N1857" s="2">
        <v>0</v>
      </c>
      <c r="O1857">
        <v>0</v>
      </c>
      <c r="P1857" t="s">
        <v>100</v>
      </c>
      <c r="Q1857">
        <v>0</v>
      </c>
      <c r="R1857" t="s">
        <v>145</v>
      </c>
      <c r="S1857">
        <v>0</v>
      </c>
    </row>
    <row r="1858" spans="1:19">
      <c r="A1858" t="s">
        <v>35</v>
      </c>
      <c r="B1858" t="s">
        <v>6308</v>
      </c>
      <c r="C1858">
        <f>"LN460"</f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 s="2">
        <v>0</v>
      </c>
      <c r="M1858">
        <v>0</v>
      </c>
      <c r="N1858" s="2">
        <v>0</v>
      </c>
      <c r="O1858">
        <v>0</v>
      </c>
      <c r="P1858" t="s">
        <v>100</v>
      </c>
      <c r="Q1858">
        <v>0</v>
      </c>
      <c r="R1858" t="s">
        <v>145</v>
      </c>
      <c r="S1858">
        <v>0</v>
      </c>
    </row>
    <row r="1859" spans="1:19">
      <c r="A1859" t="s">
        <v>35</v>
      </c>
      <c r="B1859" t="s">
        <v>6291</v>
      </c>
      <c r="C1859">
        <f>"FP1107"</f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 s="2">
        <v>0</v>
      </c>
      <c r="M1859">
        <v>0</v>
      </c>
      <c r="N1859" s="2">
        <v>0</v>
      </c>
      <c r="O1859">
        <v>0</v>
      </c>
      <c r="P1859" t="s">
        <v>100</v>
      </c>
      <c r="Q1859">
        <v>0</v>
      </c>
      <c r="R1859" t="s">
        <v>145</v>
      </c>
      <c r="S1859">
        <v>0</v>
      </c>
    </row>
    <row r="1860" spans="1:19">
      <c r="A1860" t="s">
        <v>35</v>
      </c>
      <c r="B1860" t="s">
        <v>1408</v>
      </c>
      <c r="C1860">
        <f>"10220"</f>
        <v>0</v>
      </c>
      <c r="D1860">
        <v>0</v>
      </c>
      <c r="E1860">
        <v>1</v>
      </c>
      <c r="F1860">
        <v>0</v>
      </c>
      <c r="G1860">
        <v>0</v>
      </c>
      <c r="H1860">
        <v>1</v>
      </c>
      <c r="I1860">
        <v>0</v>
      </c>
      <c r="J1860">
        <v>0</v>
      </c>
      <c r="K1860">
        <v>0</v>
      </c>
      <c r="L1860" s="2">
        <v>0</v>
      </c>
      <c r="M1860">
        <v>0</v>
      </c>
      <c r="N1860" s="2">
        <v>0</v>
      </c>
      <c r="O1860">
        <v>0</v>
      </c>
      <c r="P1860" t="s">
        <v>100</v>
      </c>
      <c r="Q1860">
        <v>0</v>
      </c>
      <c r="R1860" t="s">
        <v>145</v>
      </c>
      <c r="S1860">
        <v>0</v>
      </c>
    </row>
    <row r="1861" spans="1:19">
      <c r="A1861" t="s">
        <v>35</v>
      </c>
      <c r="B1861" t="s">
        <v>6198</v>
      </c>
      <c r="C1861">
        <f>"6008WH"</f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 s="2">
        <v>0</v>
      </c>
      <c r="M1861">
        <v>0</v>
      </c>
      <c r="N1861" s="2">
        <v>0</v>
      </c>
      <c r="O1861">
        <v>0</v>
      </c>
      <c r="P1861" t="s">
        <v>100</v>
      </c>
      <c r="Q1861">
        <v>0</v>
      </c>
      <c r="R1861" t="s">
        <v>145</v>
      </c>
      <c r="S1861">
        <v>0</v>
      </c>
    </row>
    <row r="1862" spans="1:19">
      <c r="A1862" t="s">
        <v>35</v>
      </c>
      <c r="B1862" t="s">
        <v>6281</v>
      </c>
      <c r="C1862">
        <f>"ANS12"</f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 s="2">
        <v>0</v>
      </c>
      <c r="M1862">
        <v>0</v>
      </c>
      <c r="N1862" s="2">
        <v>0</v>
      </c>
      <c r="O1862">
        <v>0</v>
      </c>
      <c r="P1862" t="s">
        <v>100</v>
      </c>
      <c r="Q1862">
        <v>0</v>
      </c>
      <c r="R1862" t="s">
        <v>145</v>
      </c>
      <c r="S1862">
        <v>0</v>
      </c>
    </row>
    <row r="1863" spans="1:19">
      <c r="A1863" t="s">
        <v>35</v>
      </c>
      <c r="B1863" t="s">
        <v>6280</v>
      </c>
      <c r="C1863">
        <f>"ANS13"</f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 s="2">
        <v>0</v>
      </c>
      <c r="M1863">
        <v>0</v>
      </c>
      <c r="N1863" s="2">
        <v>0</v>
      </c>
      <c r="O1863">
        <v>0</v>
      </c>
      <c r="P1863" t="s">
        <v>100</v>
      </c>
      <c r="Q1863">
        <v>0</v>
      </c>
      <c r="R1863" t="s">
        <v>145</v>
      </c>
      <c r="S1863">
        <v>0</v>
      </c>
    </row>
    <row r="1864" spans="1:19">
      <c r="A1864" t="s">
        <v>35</v>
      </c>
      <c r="B1864" t="s">
        <v>7512</v>
      </c>
      <c r="C1864">
        <f>"FB517LA"</f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 s="2">
        <v>0</v>
      </c>
      <c r="M1864">
        <v>0</v>
      </c>
      <c r="N1864" s="2">
        <v>0</v>
      </c>
      <c r="O1864">
        <v>0</v>
      </c>
      <c r="P1864" t="s">
        <v>100</v>
      </c>
      <c r="Q1864">
        <v>0</v>
      </c>
      <c r="R1864" t="s">
        <v>145</v>
      </c>
      <c r="S1864">
        <v>0</v>
      </c>
    </row>
    <row r="1865" spans="1:19">
      <c r="A1865" t="s">
        <v>35</v>
      </c>
      <c r="B1865" t="s">
        <v>6261</v>
      </c>
      <c r="C1865">
        <f>"ANS26"</f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 s="2">
        <v>0</v>
      </c>
      <c r="M1865">
        <v>0</v>
      </c>
      <c r="N1865" s="2">
        <v>0</v>
      </c>
      <c r="O1865">
        <v>0</v>
      </c>
      <c r="P1865" t="s">
        <v>100</v>
      </c>
      <c r="Q1865">
        <v>0</v>
      </c>
      <c r="R1865" t="s">
        <v>145</v>
      </c>
      <c r="S1865">
        <v>0</v>
      </c>
    </row>
    <row r="1866" spans="1:19">
      <c r="A1866" t="s">
        <v>35</v>
      </c>
      <c r="B1866" t="s">
        <v>6207</v>
      </c>
      <c r="C1866">
        <f>"2300ER"</f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 s="2">
        <v>0</v>
      </c>
      <c r="M1866">
        <v>0</v>
      </c>
      <c r="N1866" s="2">
        <v>0</v>
      </c>
      <c r="O1866">
        <v>0</v>
      </c>
      <c r="P1866" t="s">
        <v>100</v>
      </c>
      <c r="Q1866">
        <v>0</v>
      </c>
      <c r="R1866" t="s">
        <v>145</v>
      </c>
      <c r="S1866">
        <v>0</v>
      </c>
    </row>
    <row r="1867" spans="1:19">
      <c r="A1867" t="s">
        <v>35</v>
      </c>
      <c r="B1867" t="s">
        <v>6206</v>
      </c>
      <c r="C1867">
        <f>"SHP"</f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 s="2">
        <v>0</v>
      </c>
      <c r="M1867">
        <v>0</v>
      </c>
      <c r="N1867" s="2">
        <v>0</v>
      </c>
      <c r="O1867">
        <v>0</v>
      </c>
      <c r="P1867" t="s">
        <v>100</v>
      </c>
      <c r="Q1867">
        <v>0</v>
      </c>
      <c r="R1867" t="s">
        <v>145</v>
      </c>
      <c r="S1867">
        <v>0</v>
      </c>
    </row>
    <row r="1868" spans="1:19">
      <c r="A1868" t="s">
        <v>35</v>
      </c>
      <c r="B1868" t="s">
        <v>8202</v>
      </c>
      <c r="C1868">
        <f>"Q5AXL"</f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 s="2">
        <v>0</v>
      </c>
      <c r="M1868">
        <v>0</v>
      </c>
      <c r="N1868" s="2">
        <v>0</v>
      </c>
      <c r="O1868">
        <v>0</v>
      </c>
      <c r="P1868" t="s">
        <v>100</v>
      </c>
      <c r="Q1868">
        <v>0</v>
      </c>
      <c r="R1868" t="s">
        <v>145</v>
      </c>
      <c r="S1868">
        <v>0</v>
      </c>
    </row>
    <row r="1869" spans="1:19">
      <c r="A1869" t="s">
        <v>35</v>
      </c>
      <c r="B1869" t="s">
        <v>7900</v>
      </c>
      <c r="C1869">
        <f>"Q5AXXL"</f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 s="2">
        <v>0</v>
      </c>
      <c r="M1869">
        <v>0</v>
      </c>
      <c r="N1869" s="2">
        <v>0</v>
      </c>
      <c r="O1869">
        <v>0</v>
      </c>
      <c r="P1869" t="s">
        <v>100</v>
      </c>
      <c r="Q1869">
        <v>0</v>
      </c>
      <c r="R1869" t="s">
        <v>145</v>
      </c>
      <c r="S1869">
        <v>0</v>
      </c>
    </row>
    <row r="1870" spans="1:19">
      <c r="A1870" t="s">
        <v>35</v>
      </c>
      <c r="B1870" t="s">
        <v>7531</v>
      </c>
      <c r="C1870">
        <f>"Q5AXXLR"</f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 s="2">
        <v>0</v>
      </c>
      <c r="M1870">
        <v>0</v>
      </c>
      <c r="N1870" s="2">
        <v>0</v>
      </c>
      <c r="O1870">
        <v>0</v>
      </c>
      <c r="P1870" t="s">
        <v>100</v>
      </c>
      <c r="Q1870">
        <v>0</v>
      </c>
      <c r="R1870" t="s">
        <v>145</v>
      </c>
      <c r="S1870">
        <v>0</v>
      </c>
    </row>
    <row r="1871" spans="1:19">
      <c r="A1871" t="s">
        <v>35</v>
      </c>
      <c r="B1871" t="s">
        <v>7865</v>
      </c>
      <c r="C1871">
        <f>"1837L"</f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 s="2">
        <v>0</v>
      </c>
      <c r="M1871">
        <v>0</v>
      </c>
      <c r="N1871" s="2">
        <v>0</v>
      </c>
      <c r="O1871">
        <v>0</v>
      </c>
      <c r="P1871" t="s">
        <v>100</v>
      </c>
      <c r="Q1871">
        <v>0</v>
      </c>
      <c r="R1871" t="s">
        <v>145</v>
      </c>
      <c r="S1871">
        <v>0</v>
      </c>
    </row>
    <row r="1872" spans="1:19">
      <c r="A1872" t="s">
        <v>35</v>
      </c>
      <c r="B1872" t="s">
        <v>7864</v>
      </c>
      <c r="C1872">
        <f>"1837M"</f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 s="2">
        <v>0</v>
      </c>
      <c r="M1872">
        <v>0</v>
      </c>
      <c r="N1872" s="2">
        <v>0</v>
      </c>
      <c r="O1872">
        <v>0</v>
      </c>
      <c r="P1872" t="s">
        <v>100</v>
      </c>
      <c r="Q1872">
        <v>0</v>
      </c>
      <c r="R1872" t="s">
        <v>145</v>
      </c>
      <c r="S1872">
        <v>0</v>
      </c>
    </row>
    <row r="1873" spans="1:19">
      <c r="A1873" t="s">
        <v>35</v>
      </c>
      <c r="B1873" t="s">
        <v>7862</v>
      </c>
      <c r="C1873">
        <f>"1837XS"</f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 s="2">
        <v>0</v>
      </c>
      <c r="M1873">
        <v>0</v>
      </c>
      <c r="N1873" s="2">
        <v>0</v>
      </c>
      <c r="O1873">
        <v>0</v>
      </c>
      <c r="P1873" t="s">
        <v>100</v>
      </c>
      <c r="Q1873">
        <v>0</v>
      </c>
      <c r="R1873" t="s">
        <v>145</v>
      </c>
      <c r="S1873">
        <v>0</v>
      </c>
    </row>
    <row r="1874" spans="1:19">
      <c r="A1874" t="s">
        <v>35</v>
      </c>
      <c r="B1874" t="s">
        <v>7528</v>
      </c>
      <c r="C1874">
        <f>"hh088xstc"</f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 s="2">
        <v>0</v>
      </c>
      <c r="M1874">
        <v>0</v>
      </c>
      <c r="N1874" s="2">
        <v>0</v>
      </c>
      <c r="O1874">
        <v>0</v>
      </c>
      <c r="P1874" t="s">
        <v>100</v>
      </c>
      <c r="Q1874">
        <v>0</v>
      </c>
      <c r="R1874" t="s">
        <v>145</v>
      </c>
      <c r="S1874">
        <v>0</v>
      </c>
    </row>
    <row r="1875" spans="1:19">
      <c r="A1875" t="s">
        <v>35</v>
      </c>
      <c r="B1875" t="s">
        <v>6279</v>
      </c>
      <c r="C1875">
        <f>"ANS14"</f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 s="2">
        <v>0</v>
      </c>
      <c r="M1875">
        <v>0</v>
      </c>
      <c r="N1875" s="2">
        <v>0</v>
      </c>
      <c r="O1875">
        <v>0</v>
      </c>
      <c r="P1875" t="s">
        <v>100</v>
      </c>
      <c r="Q1875">
        <v>0</v>
      </c>
      <c r="R1875" t="s">
        <v>145</v>
      </c>
      <c r="S1875">
        <v>0</v>
      </c>
    </row>
    <row r="1876" spans="1:19">
      <c r="A1876" t="s">
        <v>35</v>
      </c>
      <c r="B1876" t="s">
        <v>5046</v>
      </c>
      <c r="C1876">
        <f>"10134"</f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 s="2">
        <v>0</v>
      </c>
      <c r="M1876">
        <v>0</v>
      </c>
      <c r="N1876" s="2">
        <v>0</v>
      </c>
      <c r="O1876">
        <v>0</v>
      </c>
      <c r="P1876" t="s">
        <v>100</v>
      </c>
      <c r="Q1876">
        <v>0</v>
      </c>
      <c r="R1876" t="s">
        <v>145</v>
      </c>
      <c r="S1876">
        <v>0</v>
      </c>
    </row>
    <row r="1877" spans="1:19">
      <c r="A1877" t="s">
        <v>35</v>
      </c>
      <c r="B1877" t="s">
        <v>5045</v>
      </c>
      <c r="C1877">
        <f>"10776"</f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 s="2">
        <v>0</v>
      </c>
      <c r="M1877">
        <v>0</v>
      </c>
      <c r="N1877" s="2">
        <v>0</v>
      </c>
      <c r="O1877">
        <v>0</v>
      </c>
      <c r="P1877" t="s">
        <v>100</v>
      </c>
      <c r="Q1877">
        <v>0</v>
      </c>
      <c r="R1877" t="s">
        <v>145</v>
      </c>
      <c r="S1877">
        <v>0</v>
      </c>
    </row>
    <row r="1878" spans="1:19">
      <c r="A1878" t="s">
        <v>35</v>
      </c>
      <c r="B1878" t="s">
        <v>5029</v>
      </c>
      <c r="C1878">
        <f>"25395905"</f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 s="2">
        <v>0</v>
      </c>
      <c r="M1878">
        <v>0</v>
      </c>
      <c r="N1878" s="2">
        <v>0</v>
      </c>
      <c r="O1878">
        <v>0</v>
      </c>
      <c r="P1878" t="s">
        <v>100</v>
      </c>
      <c r="Q1878">
        <v>0</v>
      </c>
      <c r="R1878" t="s">
        <v>145</v>
      </c>
      <c r="S1878">
        <v>0</v>
      </c>
    </row>
    <row r="1879" spans="1:19">
      <c r="A1879" t="s">
        <v>35</v>
      </c>
      <c r="B1879" t="s">
        <v>5355</v>
      </c>
      <c r="C1879">
        <f>"VVHRXL"</f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 s="2">
        <v>0</v>
      </c>
      <c r="M1879">
        <v>0</v>
      </c>
      <c r="N1879" s="2">
        <v>0</v>
      </c>
      <c r="O1879">
        <v>0</v>
      </c>
      <c r="P1879" t="s">
        <v>100</v>
      </c>
      <c r="Q1879">
        <v>0</v>
      </c>
      <c r="R1879" t="s">
        <v>145</v>
      </c>
      <c r="S1879">
        <v>0</v>
      </c>
    </row>
    <row r="1880" spans="1:19">
      <c r="A1880" t="s">
        <v>35</v>
      </c>
      <c r="B1880" t="s">
        <v>1304</v>
      </c>
      <c r="C1880">
        <f>"XQ69XL"</f>
        <v>0</v>
      </c>
      <c r="D1880">
        <v>1</v>
      </c>
      <c r="E1880">
        <v>0</v>
      </c>
      <c r="F1880">
        <v>0</v>
      </c>
      <c r="G1880">
        <v>0</v>
      </c>
      <c r="H1880">
        <v>1</v>
      </c>
      <c r="I1880">
        <v>0</v>
      </c>
      <c r="J1880">
        <v>0</v>
      </c>
      <c r="K1880">
        <v>0</v>
      </c>
      <c r="L1880" s="2">
        <v>0</v>
      </c>
      <c r="M1880">
        <v>0</v>
      </c>
      <c r="N1880" s="2">
        <v>0</v>
      </c>
      <c r="O1880">
        <v>0</v>
      </c>
      <c r="P1880" t="s">
        <v>100</v>
      </c>
      <c r="Q1880">
        <v>0</v>
      </c>
      <c r="R1880" t="s">
        <v>145</v>
      </c>
      <c r="S1880">
        <v>0</v>
      </c>
    </row>
    <row r="1881" spans="1:19">
      <c r="A1881" t="s">
        <v>35</v>
      </c>
      <c r="B1881" t="s">
        <v>3820</v>
      </c>
      <c r="C1881">
        <f>"LYC03019R"</f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 s="2">
        <v>0</v>
      </c>
      <c r="M1881">
        <v>0</v>
      </c>
      <c r="N1881" s="2">
        <v>0</v>
      </c>
      <c r="O1881">
        <v>0</v>
      </c>
      <c r="P1881" t="s">
        <v>100</v>
      </c>
      <c r="Q1881">
        <v>0</v>
      </c>
      <c r="R1881" t="s">
        <v>145</v>
      </c>
      <c r="S1881">
        <v>0</v>
      </c>
    </row>
    <row r="1882" spans="1:19">
      <c r="A1882" t="s">
        <v>35</v>
      </c>
      <c r="B1882" t="s">
        <v>3818</v>
      </c>
      <c r="C1882">
        <f>"8615"</f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 s="2">
        <v>0</v>
      </c>
      <c r="M1882">
        <v>0</v>
      </c>
      <c r="N1882" s="2">
        <v>0</v>
      </c>
      <c r="O1882">
        <v>0</v>
      </c>
      <c r="P1882" t="s">
        <v>100</v>
      </c>
      <c r="Q1882">
        <v>0</v>
      </c>
      <c r="R1882" t="s">
        <v>145</v>
      </c>
      <c r="S1882">
        <v>0</v>
      </c>
    </row>
    <row r="1883" spans="1:19">
      <c r="A1883" t="s">
        <v>35</v>
      </c>
      <c r="B1883" t="s">
        <v>8947</v>
      </c>
      <c r="C1883">
        <f>"T120"</f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 s="2">
        <v>0</v>
      </c>
      <c r="M1883">
        <v>0</v>
      </c>
      <c r="N1883" s="2">
        <v>0</v>
      </c>
      <c r="O1883">
        <v>0</v>
      </c>
      <c r="P1883" t="s">
        <v>100</v>
      </c>
      <c r="Q1883">
        <v>0</v>
      </c>
      <c r="R1883" t="s">
        <v>145</v>
      </c>
      <c r="S1883">
        <v>0</v>
      </c>
    </row>
    <row r="1884" spans="1:19">
      <c r="A1884" t="s">
        <v>35</v>
      </c>
      <c r="B1884" t="s">
        <v>3956</v>
      </c>
      <c r="C1884">
        <f>"WD05240"</f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 s="2">
        <v>0</v>
      </c>
      <c r="M1884">
        <v>0</v>
      </c>
      <c r="N1884" s="2">
        <v>0</v>
      </c>
      <c r="O1884">
        <v>0</v>
      </c>
      <c r="P1884" t="s">
        <v>100</v>
      </c>
      <c r="Q1884">
        <v>0</v>
      </c>
      <c r="R1884" t="s">
        <v>145</v>
      </c>
      <c r="S1884">
        <v>0</v>
      </c>
    </row>
    <row r="1885" spans="1:19">
      <c r="A1885" t="s">
        <v>35</v>
      </c>
      <c r="B1885" t="s">
        <v>9478</v>
      </c>
      <c r="C1885">
        <f>"HH095LFU"</f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 s="2">
        <v>0</v>
      </c>
      <c r="M1885">
        <v>0</v>
      </c>
      <c r="N1885" s="2">
        <v>0</v>
      </c>
      <c r="O1885">
        <v>0</v>
      </c>
      <c r="P1885" t="s">
        <v>100</v>
      </c>
      <c r="Q1885">
        <v>0</v>
      </c>
      <c r="R1885" t="s">
        <v>145</v>
      </c>
      <c r="S1885">
        <v>0</v>
      </c>
    </row>
    <row r="1886" spans="1:19">
      <c r="A1886" t="s">
        <v>35</v>
      </c>
      <c r="B1886" t="s">
        <v>1073</v>
      </c>
      <c r="C1886">
        <f>"MSPB01A"</f>
        <v>0</v>
      </c>
      <c r="D1886">
        <v>2</v>
      </c>
      <c r="E1886">
        <v>0</v>
      </c>
      <c r="F1886">
        <v>0</v>
      </c>
      <c r="G1886">
        <v>0</v>
      </c>
      <c r="H1886">
        <v>2</v>
      </c>
      <c r="I1886">
        <v>0</v>
      </c>
      <c r="J1886">
        <v>0</v>
      </c>
      <c r="K1886">
        <v>0</v>
      </c>
      <c r="L1886" s="2">
        <v>0</v>
      </c>
      <c r="M1886">
        <v>0</v>
      </c>
      <c r="N1886" s="2">
        <v>0</v>
      </c>
      <c r="O1886">
        <v>0</v>
      </c>
      <c r="P1886" t="s">
        <v>100</v>
      </c>
      <c r="Q1886">
        <v>0</v>
      </c>
      <c r="R1886" t="s">
        <v>145</v>
      </c>
      <c r="S1886">
        <v>0</v>
      </c>
    </row>
    <row r="1887" spans="1:19">
      <c r="A1887" t="s">
        <v>35</v>
      </c>
      <c r="B1887" t="s">
        <v>3957</v>
      </c>
      <c r="C1887">
        <f>"MSPB01G"</f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 s="2">
        <v>0</v>
      </c>
      <c r="M1887">
        <v>0</v>
      </c>
      <c r="N1887" s="2">
        <v>0</v>
      </c>
      <c r="O1887">
        <v>0</v>
      </c>
      <c r="P1887" t="s">
        <v>100</v>
      </c>
      <c r="Q1887">
        <v>0</v>
      </c>
      <c r="R1887" t="s">
        <v>145</v>
      </c>
      <c r="S1887">
        <v>0</v>
      </c>
    </row>
    <row r="1888" spans="1:19">
      <c r="A1888" t="s">
        <v>35</v>
      </c>
      <c r="B1888" t="s">
        <v>8958</v>
      </c>
      <c r="C1888">
        <f>"FB870LCEL"</f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 s="2">
        <v>0</v>
      </c>
      <c r="M1888">
        <v>0</v>
      </c>
      <c r="N1888" s="2">
        <v>0</v>
      </c>
      <c r="O1888">
        <v>0</v>
      </c>
      <c r="P1888" t="s">
        <v>100</v>
      </c>
      <c r="Q1888">
        <v>0</v>
      </c>
      <c r="R1888" t="s">
        <v>145</v>
      </c>
      <c r="S1888">
        <v>0</v>
      </c>
    </row>
    <row r="1889" spans="1:19">
      <c r="A1889" t="s">
        <v>35</v>
      </c>
      <c r="B1889" t="s">
        <v>8957</v>
      </c>
      <c r="C1889">
        <f>"FB870VE"</f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 s="2">
        <v>0</v>
      </c>
      <c r="M1889">
        <v>0</v>
      </c>
      <c r="N1889" s="2">
        <v>0</v>
      </c>
      <c r="O1889">
        <v>0</v>
      </c>
      <c r="P1889" t="s">
        <v>100</v>
      </c>
      <c r="Q1889">
        <v>0</v>
      </c>
      <c r="R1889" t="s">
        <v>145</v>
      </c>
      <c r="S1889">
        <v>0</v>
      </c>
    </row>
    <row r="1890" spans="1:19">
      <c r="A1890" t="s">
        <v>35</v>
      </c>
      <c r="B1890" t="s">
        <v>8957</v>
      </c>
      <c r="C1890">
        <f>"FB870LVE"</f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 s="2">
        <v>0</v>
      </c>
      <c r="M1890">
        <v>0</v>
      </c>
      <c r="N1890" s="2">
        <v>0</v>
      </c>
      <c r="O1890">
        <v>0</v>
      </c>
      <c r="P1890" t="s">
        <v>100</v>
      </c>
      <c r="Q1890">
        <v>0</v>
      </c>
      <c r="R1890" t="s">
        <v>145</v>
      </c>
      <c r="S1890">
        <v>0</v>
      </c>
    </row>
    <row r="1891" spans="1:19">
      <c r="A1891" t="s">
        <v>35</v>
      </c>
      <c r="B1891" t="s">
        <v>9235</v>
      </c>
      <c r="C1891">
        <f>"FB870MAM"</f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 s="2">
        <v>0</v>
      </c>
      <c r="M1891">
        <v>0</v>
      </c>
      <c r="N1891" s="2">
        <v>0</v>
      </c>
      <c r="O1891">
        <v>0</v>
      </c>
      <c r="P1891" t="s">
        <v>100</v>
      </c>
      <c r="Q1891">
        <v>0</v>
      </c>
      <c r="R1891" t="s">
        <v>145</v>
      </c>
      <c r="S1891">
        <v>0</v>
      </c>
    </row>
    <row r="1892" spans="1:19">
      <c r="A1892" t="s">
        <v>35</v>
      </c>
      <c r="B1892" t="s">
        <v>9233</v>
      </c>
      <c r="C1892">
        <f>"FB870MCEL"</f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 s="2">
        <v>0</v>
      </c>
      <c r="M1892">
        <v>0</v>
      </c>
      <c r="N1892" s="2">
        <v>0</v>
      </c>
      <c r="O1892">
        <v>0</v>
      </c>
      <c r="P1892" t="s">
        <v>100</v>
      </c>
      <c r="Q1892">
        <v>0</v>
      </c>
      <c r="R1892" t="s">
        <v>145</v>
      </c>
      <c r="S1892">
        <v>0</v>
      </c>
    </row>
    <row r="1893" spans="1:19">
      <c r="A1893" t="s">
        <v>35</v>
      </c>
      <c r="B1893" t="s">
        <v>9232</v>
      </c>
      <c r="C1893">
        <f>"FB870MV"</f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 s="2">
        <v>0</v>
      </c>
      <c r="M1893">
        <v>0</v>
      </c>
      <c r="N1893" s="2">
        <v>0</v>
      </c>
      <c r="O1893">
        <v>0</v>
      </c>
      <c r="P1893" t="s">
        <v>100</v>
      </c>
      <c r="Q1893">
        <v>0</v>
      </c>
      <c r="R1893" t="s">
        <v>145</v>
      </c>
      <c r="S1893">
        <v>0</v>
      </c>
    </row>
    <row r="1894" spans="1:19">
      <c r="A1894" t="s">
        <v>35</v>
      </c>
      <c r="B1894" t="s">
        <v>9231</v>
      </c>
      <c r="C1894">
        <f>"FB870SA"</f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 s="2">
        <v>0</v>
      </c>
      <c r="M1894">
        <v>0</v>
      </c>
      <c r="N1894" s="2">
        <v>0</v>
      </c>
      <c r="O1894">
        <v>0</v>
      </c>
      <c r="P1894" t="s">
        <v>100</v>
      </c>
      <c r="Q1894">
        <v>0</v>
      </c>
      <c r="R1894" t="s">
        <v>145</v>
      </c>
      <c r="S1894">
        <v>0</v>
      </c>
    </row>
    <row r="1895" spans="1:19">
      <c r="A1895" t="s">
        <v>35</v>
      </c>
      <c r="B1895" t="s">
        <v>9230</v>
      </c>
      <c r="C1895">
        <f>"FB870SB"</f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 s="2">
        <v>0</v>
      </c>
      <c r="M1895">
        <v>0</v>
      </c>
      <c r="N1895" s="2">
        <v>0</v>
      </c>
      <c r="O1895">
        <v>0</v>
      </c>
      <c r="P1895" t="s">
        <v>100</v>
      </c>
      <c r="Q1895">
        <v>0</v>
      </c>
      <c r="R1895" t="s">
        <v>145</v>
      </c>
      <c r="S1895">
        <v>0</v>
      </c>
    </row>
    <row r="1896" spans="1:19">
      <c r="A1896" t="s">
        <v>35</v>
      </c>
      <c r="B1896" t="s">
        <v>3958</v>
      </c>
      <c r="C1896">
        <f>"MSP001V"</f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 s="2">
        <v>0</v>
      </c>
      <c r="M1896">
        <v>0</v>
      </c>
      <c r="N1896" s="2">
        <v>0</v>
      </c>
      <c r="O1896">
        <v>0</v>
      </c>
      <c r="P1896" t="s">
        <v>100</v>
      </c>
      <c r="Q1896">
        <v>0</v>
      </c>
      <c r="R1896" t="s">
        <v>145</v>
      </c>
      <c r="S1896">
        <v>0</v>
      </c>
    </row>
    <row r="1897" spans="1:19">
      <c r="A1897" t="s">
        <v>35</v>
      </c>
      <c r="B1897" t="s">
        <v>5025</v>
      </c>
      <c r="C1897">
        <f>"25395878"</f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 s="2">
        <v>0</v>
      </c>
      <c r="M1897">
        <v>0</v>
      </c>
      <c r="N1897" s="2">
        <v>0</v>
      </c>
      <c r="O1897">
        <v>0</v>
      </c>
      <c r="P1897" t="s">
        <v>100</v>
      </c>
      <c r="Q1897">
        <v>0</v>
      </c>
      <c r="R1897" t="s">
        <v>145</v>
      </c>
      <c r="S1897">
        <v>0</v>
      </c>
    </row>
    <row r="1898" spans="1:19">
      <c r="A1898" t="s">
        <v>35</v>
      </c>
      <c r="B1898" t="s">
        <v>5024</v>
      </c>
      <c r="C1898">
        <f>"25395877"</f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 s="2">
        <v>0</v>
      </c>
      <c r="M1898">
        <v>0</v>
      </c>
      <c r="N1898" s="2">
        <v>0</v>
      </c>
      <c r="O1898">
        <v>0</v>
      </c>
      <c r="P1898" t="s">
        <v>100</v>
      </c>
      <c r="Q1898">
        <v>0</v>
      </c>
      <c r="R1898" t="s">
        <v>145</v>
      </c>
      <c r="S1898">
        <v>0</v>
      </c>
    </row>
    <row r="1899" spans="1:19">
      <c r="A1899" t="s">
        <v>35</v>
      </c>
      <c r="B1899" t="s">
        <v>4969</v>
      </c>
      <c r="C1899">
        <f>"1881SGM"</f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 s="2">
        <v>0</v>
      </c>
      <c r="M1899">
        <v>0</v>
      </c>
      <c r="N1899" s="2">
        <v>0</v>
      </c>
      <c r="O1899">
        <v>0</v>
      </c>
      <c r="P1899" t="s">
        <v>100</v>
      </c>
      <c r="Q1899">
        <v>0</v>
      </c>
      <c r="R1899" t="s">
        <v>145</v>
      </c>
      <c r="S1899">
        <v>0</v>
      </c>
    </row>
    <row r="1900" spans="1:19">
      <c r="A1900" t="s">
        <v>35</v>
      </c>
      <c r="B1900" t="s">
        <v>554</v>
      </c>
      <c r="C1900">
        <f>"100003"</f>
        <v>0</v>
      </c>
      <c r="D1900">
        <v>0</v>
      </c>
      <c r="E1900">
        <v>12</v>
      </c>
      <c r="F1900">
        <v>0</v>
      </c>
      <c r="G1900">
        <v>0</v>
      </c>
      <c r="H1900">
        <v>12</v>
      </c>
      <c r="I1900">
        <v>0</v>
      </c>
      <c r="J1900">
        <v>0</v>
      </c>
      <c r="K1900">
        <v>0</v>
      </c>
      <c r="L1900" s="2">
        <v>0</v>
      </c>
      <c r="M1900">
        <v>0</v>
      </c>
      <c r="N1900" s="2">
        <v>0</v>
      </c>
      <c r="O1900">
        <v>0</v>
      </c>
      <c r="P1900" t="s">
        <v>100</v>
      </c>
      <c r="Q1900">
        <v>0</v>
      </c>
      <c r="R1900" t="s">
        <v>145</v>
      </c>
      <c r="S1900">
        <v>0</v>
      </c>
    </row>
    <row r="1901" spans="1:19">
      <c r="A1901" t="s">
        <v>35</v>
      </c>
      <c r="B1901" t="s">
        <v>1181</v>
      </c>
      <c r="C1901">
        <f>"23HT25"</f>
        <v>0</v>
      </c>
      <c r="D1901">
        <v>1</v>
      </c>
      <c r="E1901">
        <v>0</v>
      </c>
      <c r="F1901">
        <v>0</v>
      </c>
      <c r="G1901">
        <v>0</v>
      </c>
      <c r="H1901">
        <v>1</v>
      </c>
      <c r="I1901">
        <v>0</v>
      </c>
      <c r="J1901">
        <v>0</v>
      </c>
      <c r="K1901">
        <v>0</v>
      </c>
      <c r="L1901" s="2">
        <v>0</v>
      </c>
      <c r="M1901">
        <v>0</v>
      </c>
      <c r="N1901" s="2">
        <v>0</v>
      </c>
      <c r="O1901">
        <v>0</v>
      </c>
      <c r="P1901" t="s">
        <v>100</v>
      </c>
      <c r="Q1901">
        <v>0</v>
      </c>
      <c r="R1901" t="s">
        <v>145</v>
      </c>
      <c r="S1901">
        <v>0</v>
      </c>
    </row>
    <row r="1902" spans="1:19">
      <c r="A1902" t="s">
        <v>35</v>
      </c>
      <c r="B1902" t="s">
        <v>3690</v>
      </c>
      <c r="C1902">
        <f>"AGMROS"</f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 s="2">
        <v>0</v>
      </c>
      <c r="M1902">
        <v>0</v>
      </c>
      <c r="N1902" s="2">
        <v>0</v>
      </c>
      <c r="O1902">
        <v>0</v>
      </c>
      <c r="P1902" t="s">
        <v>100</v>
      </c>
      <c r="Q1902">
        <v>0</v>
      </c>
      <c r="R1902" t="s">
        <v>145</v>
      </c>
      <c r="S1902">
        <v>0</v>
      </c>
    </row>
    <row r="1903" spans="1:19">
      <c r="A1903" t="s">
        <v>35</v>
      </c>
      <c r="B1903" t="s">
        <v>3563</v>
      </c>
      <c r="C1903">
        <f>"MSP002GRIS"</f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 s="2">
        <v>0</v>
      </c>
      <c r="M1903">
        <v>0</v>
      </c>
      <c r="N1903" s="2">
        <v>0</v>
      </c>
      <c r="O1903">
        <v>0</v>
      </c>
      <c r="P1903" t="s">
        <v>100</v>
      </c>
      <c r="Q1903">
        <v>0</v>
      </c>
      <c r="R1903" t="s">
        <v>145</v>
      </c>
      <c r="S1903">
        <v>0</v>
      </c>
    </row>
    <row r="1904" spans="1:19">
      <c r="A1904" t="s">
        <v>35</v>
      </c>
      <c r="B1904" t="s">
        <v>3960</v>
      </c>
      <c r="C1904">
        <f>"MSP001A"</f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 s="2">
        <v>0</v>
      </c>
      <c r="M1904">
        <v>0</v>
      </c>
      <c r="N1904" s="2">
        <v>0</v>
      </c>
      <c r="O1904">
        <v>0</v>
      </c>
      <c r="P1904" t="s">
        <v>100</v>
      </c>
      <c r="Q1904">
        <v>0</v>
      </c>
      <c r="R1904" t="s">
        <v>145</v>
      </c>
      <c r="S1904">
        <v>0</v>
      </c>
    </row>
    <row r="1905" spans="1:19">
      <c r="A1905" t="s">
        <v>35</v>
      </c>
      <c r="B1905" t="s">
        <v>3959</v>
      </c>
      <c r="C1905">
        <f>"MSP001M"</f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 s="2">
        <v>0</v>
      </c>
      <c r="M1905">
        <v>0</v>
      </c>
      <c r="N1905" s="2">
        <v>0</v>
      </c>
      <c r="O1905">
        <v>0</v>
      </c>
      <c r="P1905" t="s">
        <v>100</v>
      </c>
      <c r="Q1905">
        <v>0</v>
      </c>
      <c r="R1905" t="s">
        <v>145</v>
      </c>
      <c r="S1905">
        <v>0</v>
      </c>
    </row>
    <row r="1906" spans="1:19">
      <c r="A1906" t="s">
        <v>35</v>
      </c>
      <c r="B1906" t="s">
        <v>2866</v>
      </c>
      <c r="C1906">
        <f>"ARECC20"</f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 s="2">
        <v>0</v>
      </c>
      <c r="M1906">
        <v>0</v>
      </c>
      <c r="N1906" s="2">
        <v>0</v>
      </c>
      <c r="O1906">
        <v>0</v>
      </c>
      <c r="P1906" t="s">
        <v>100</v>
      </c>
      <c r="Q1906">
        <v>0</v>
      </c>
      <c r="R1906" t="s">
        <v>145</v>
      </c>
      <c r="S1906">
        <v>0</v>
      </c>
    </row>
    <row r="1907" spans="1:19">
      <c r="A1907" t="s">
        <v>35</v>
      </c>
      <c r="B1907" t="s">
        <v>5047</v>
      </c>
      <c r="C1907">
        <f>"10127"</f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 s="2">
        <v>0</v>
      </c>
      <c r="M1907">
        <v>0</v>
      </c>
      <c r="N1907" s="2">
        <v>0</v>
      </c>
      <c r="O1907">
        <v>0</v>
      </c>
      <c r="P1907" t="s">
        <v>100</v>
      </c>
      <c r="Q1907">
        <v>0</v>
      </c>
      <c r="R1907" t="s">
        <v>145</v>
      </c>
      <c r="S1907">
        <v>0</v>
      </c>
    </row>
    <row r="1908" spans="1:19">
      <c r="A1908" t="s">
        <v>35</v>
      </c>
      <c r="B1908" t="s">
        <v>4323</v>
      </c>
      <c r="C1908">
        <f>"LSAL"</f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 s="2">
        <v>0</v>
      </c>
      <c r="M1908">
        <v>0</v>
      </c>
      <c r="N1908" s="2">
        <v>0</v>
      </c>
      <c r="O1908">
        <v>0</v>
      </c>
      <c r="P1908" t="s">
        <v>100</v>
      </c>
      <c r="Q1908">
        <v>0</v>
      </c>
      <c r="R1908" t="s">
        <v>145</v>
      </c>
      <c r="S1908">
        <v>0</v>
      </c>
    </row>
    <row r="1909" spans="1:19">
      <c r="A1909" t="s">
        <v>35</v>
      </c>
      <c r="B1909" t="s">
        <v>3912</v>
      </c>
      <c r="C1909">
        <f>"MSPB09CEL"</f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 s="2">
        <v>0</v>
      </c>
      <c r="M1909">
        <v>0</v>
      </c>
      <c r="N1909" s="2">
        <v>0</v>
      </c>
      <c r="O1909">
        <v>0</v>
      </c>
      <c r="P1909" t="s">
        <v>100</v>
      </c>
      <c r="Q1909">
        <v>0</v>
      </c>
      <c r="R1909" t="s">
        <v>145</v>
      </c>
      <c r="S1909">
        <v>0</v>
      </c>
    </row>
    <row r="1910" spans="1:19">
      <c r="A1910" t="s">
        <v>35</v>
      </c>
      <c r="B1910" t="s">
        <v>3911</v>
      </c>
      <c r="C1910">
        <f>"MSPB09VE"</f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 s="2">
        <v>0</v>
      </c>
      <c r="M1910">
        <v>0</v>
      </c>
      <c r="N1910" s="2">
        <v>0</v>
      </c>
      <c r="O1910">
        <v>0</v>
      </c>
      <c r="P1910" t="s">
        <v>100</v>
      </c>
      <c r="Q1910">
        <v>0</v>
      </c>
      <c r="R1910" t="s">
        <v>145</v>
      </c>
      <c r="S1910">
        <v>0</v>
      </c>
    </row>
    <row r="1911" spans="1:19">
      <c r="A1911" t="s">
        <v>35</v>
      </c>
      <c r="B1911" t="s">
        <v>3822</v>
      </c>
      <c r="C1911">
        <f>"MSPB09ROS"</f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 s="2">
        <v>0</v>
      </c>
      <c r="M1911">
        <v>0</v>
      </c>
      <c r="N1911" s="2">
        <v>0</v>
      </c>
      <c r="O1911">
        <v>0</v>
      </c>
      <c r="P1911" t="s">
        <v>100</v>
      </c>
      <c r="Q1911">
        <v>0</v>
      </c>
      <c r="R1911" t="s">
        <v>145</v>
      </c>
      <c r="S1911">
        <v>0</v>
      </c>
    </row>
    <row r="1912" spans="1:19">
      <c r="A1912" t="s">
        <v>35</v>
      </c>
      <c r="B1912" t="s">
        <v>3821</v>
      </c>
      <c r="C1912">
        <f>"LYC03019G"</f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 s="2">
        <v>0</v>
      </c>
      <c r="M1912">
        <v>0</v>
      </c>
      <c r="N1912" s="2">
        <v>0</v>
      </c>
      <c r="O1912">
        <v>0</v>
      </c>
      <c r="P1912" t="s">
        <v>100</v>
      </c>
      <c r="Q1912">
        <v>0</v>
      </c>
      <c r="R1912" t="s">
        <v>145</v>
      </c>
      <c r="S1912">
        <v>0</v>
      </c>
    </row>
    <row r="1913" spans="1:19">
      <c r="A1913" t="s">
        <v>35</v>
      </c>
      <c r="B1913" t="s">
        <v>5349</v>
      </c>
      <c r="C1913">
        <f>"VLXL"</f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 s="2">
        <v>0</v>
      </c>
      <c r="M1913">
        <v>0</v>
      </c>
      <c r="N1913" s="2">
        <v>0</v>
      </c>
      <c r="O1913">
        <v>0</v>
      </c>
      <c r="P1913" t="s">
        <v>100</v>
      </c>
      <c r="Q1913">
        <v>0</v>
      </c>
      <c r="R1913" t="s">
        <v>145</v>
      </c>
      <c r="S1913">
        <v>0</v>
      </c>
    </row>
    <row r="1914" spans="1:19">
      <c r="A1914" t="s">
        <v>35</v>
      </c>
      <c r="B1914" t="s">
        <v>5348</v>
      </c>
      <c r="C1914">
        <f>"VSM"</f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 s="2">
        <v>0</v>
      </c>
      <c r="M1914">
        <v>0</v>
      </c>
      <c r="N1914" s="2">
        <v>0</v>
      </c>
      <c r="O1914">
        <v>0</v>
      </c>
      <c r="P1914" t="s">
        <v>100</v>
      </c>
      <c r="Q1914">
        <v>0</v>
      </c>
      <c r="R1914" t="s">
        <v>145</v>
      </c>
      <c r="S1914">
        <v>0</v>
      </c>
    </row>
    <row r="1915" spans="1:19">
      <c r="A1915" t="s">
        <v>35</v>
      </c>
      <c r="B1915" t="s">
        <v>5347</v>
      </c>
      <c r="C1915">
        <f>"VXS"</f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 s="2">
        <v>0</v>
      </c>
      <c r="M1915">
        <v>0</v>
      </c>
      <c r="N1915" s="2">
        <v>0</v>
      </c>
      <c r="O1915">
        <v>0</v>
      </c>
      <c r="P1915" t="s">
        <v>100</v>
      </c>
      <c r="Q1915">
        <v>0</v>
      </c>
      <c r="R1915" t="s">
        <v>145</v>
      </c>
      <c r="S1915">
        <v>0</v>
      </c>
    </row>
    <row r="1916" spans="1:19">
      <c r="A1916" t="s">
        <v>35</v>
      </c>
      <c r="B1916" t="s">
        <v>881</v>
      </c>
      <c r="C1916">
        <f>"10103"</f>
        <v>0</v>
      </c>
      <c r="D1916">
        <v>0</v>
      </c>
      <c r="E1916">
        <v>3</v>
      </c>
      <c r="F1916">
        <v>0</v>
      </c>
      <c r="G1916">
        <v>0</v>
      </c>
      <c r="H1916">
        <v>3</v>
      </c>
      <c r="I1916">
        <v>0</v>
      </c>
      <c r="J1916">
        <v>0</v>
      </c>
      <c r="K1916">
        <v>0</v>
      </c>
      <c r="L1916" s="2">
        <v>0</v>
      </c>
      <c r="M1916">
        <v>0</v>
      </c>
      <c r="N1916" s="2">
        <v>0</v>
      </c>
      <c r="O1916">
        <v>0</v>
      </c>
      <c r="P1916" t="s">
        <v>100</v>
      </c>
      <c r="Q1916">
        <v>0</v>
      </c>
      <c r="R1916" t="s">
        <v>145</v>
      </c>
      <c r="S1916">
        <v>0</v>
      </c>
    </row>
    <row r="1917" spans="1:19">
      <c r="A1917" t="s">
        <v>35</v>
      </c>
      <c r="B1917" t="s">
        <v>5048</v>
      </c>
      <c r="C1917">
        <f>"10783"</f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 s="2">
        <v>0</v>
      </c>
      <c r="M1917">
        <v>0</v>
      </c>
      <c r="N1917" s="2">
        <v>0</v>
      </c>
      <c r="O1917">
        <v>0</v>
      </c>
      <c r="P1917" t="s">
        <v>100</v>
      </c>
      <c r="Q1917">
        <v>0</v>
      </c>
      <c r="R1917" t="s">
        <v>145</v>
      </c>
      <c r="S1917">
        <v>0</v>
      </c>
    </row>
    <row r="1918" spans="1:19">
      <c r="A1918" t="s">
        <v>35</v>
      </c>
      <c r="B1918" t="s">
        <v>4153</v>
      </c>
      <c r="C1918">
        <f>"ARECC20LAV"</f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 s="2">
        <v>0</v>
      </c>
      <c r="M1918">
        <v>0</v>
      </c>
      <c r="N1918" s="2">
        <v>0</v>
      </c>
      <c r="O1918">
        <v>0</v>
      </c>
      <c r="P1918" t="s">
        <v>100</v>
      </c>
      <c r="Q1918">
        <v>0</v>
      </c>
      <c r="R1918" t="s">
        <v>145</v>
      </c>
      <c r="S1918">
        <v>0</v>
      </c>
    </row>
    <row r="1919" spans="1:19">
      <c r="A1919" t="s">
        <v>35</v>
      </c>
      <c r="B1919" t="s">
        <v>5243</v>
      </c>
      <c r="C1919">
        <f>"CT1262"</f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 s="2">
        <v>0</v>
      </c>
      <c r="M1919">
        <v>0</v>
      </c>
      <c r="N1919" s="2">
        <v>0</v>
      </c>
      <c r="O1919">
        <v>0</v>
      </c>
      <c r="P1919" t="s">
        <v>100</v>
      </c>
      <c r="Q1919">
        <v>0</v>
      </c>
      <c r="R1919" t="s">
        <v>145</v>
      </c>
      <c r="S1919">
        <v>0</v>
      </c>
    </row>
    <row r="1920" spans="1:19">
      <c r="A1920" t="s">
        <v>35</v>
      </c>
      <c r="B1920" t="s">
        <v>5242</v>
      </c>
      <c r="C1920">
        <f>"TC2025"</f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 s="2">
        <v>0</v>
      </c>
      <c r="M1920">
        <v>0</v>
      </c>
      <c r="N1920" s="2">
        <v>0</v>
      </c>
      <c r="O1920">
        <v>0</v>
      </c>
      <c r="P1920" t="s">
        <v>100</v>
      </c>
      <c r="Q1920">
        <v>0</v>
      </c>
      <c r="R1920" t="s">
        <v>145</v>
      </c>
      <c r="S1920">
        <v>0</v>
      </c>
    </row>
    <row r="1921" spans="1:19">
      <c r="A1921" t="s">
        <v>35</v>
      </c>
      <c r="B1921" t="s">
        <v>5241</v>
      </c>
      <c r="C1921">
        <f>"CT273"</f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 s="2">
        <v>0</v>
      </c>
      <c r="M1921">
        <v>0</v>
      </c>
      <c r="N1921" s="2">
        <v>0</v>
      </c>
      <c r="O1921">
        <v>0</v>
      </c>
      <c r="P1921" t="s">
        <v>100</v>
      </c>
      <c r="Q1921">
        <v>0</v>
      </c>
      <c r="R1921" t="s">
        <v>145</v>
      </c>
      <c r="S1921">
        <v>0</v>
      </c>
    </row>
    <row r="1922" spans="1:19">
      <c r="A1922" t="s">
        <v>35</v>
      </c>
      <c r="B1922" t="s">
        <v>5240</v>
      </c>
      <c r="C1922">
        <f>"WPS076"</f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 s="2">
        <v>0</v>
      </c>
      <c r="M1922">
        <v>0</v>
      </c>
      <c r="N1922" s="2">
        <v>0</v>
      </c>
      <c r="O1922">
        <v>0</v>
      </c>
      <c r="P1922" t="s">
        <v>100</v>
      </c>
      <c r="Q1922">
        <v>0</v>
      </c>
      <c r="R1922" t="s">
        <v>145</v>
      </c>
      <c r="S1922">
        <v>0</v>
      </c>
    </row>
    <row r="1923" spans="1:19">
      <c r="A1923" t="s">
        <v>35</v>
      </c>
      <c r="B1923" t="s">
        <v>5239</v>
      </c>
      <c r="C1923">
        <f>"CT388"</f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 s="2">
        <v>0</v>
      </c>
      <c r="M1923">
        <v>0</v>
      </c>
      <c r="N1923" s="2">
        <v>0</v>
      </c>
      <c r="O1923">
        <v>0</v>
      </c>
      <c r="P1923" t="s">
        <v>100</v>
      </c>
      <c r="Q1923">
        <v>0</v>
      </c>
      <c r="R1923" t="s">
        <v>145</v>
      </c>
      <c r="S1923">
        <v>0</v>
      </c>
    </row>
    <row r="1924" spans="1:19">
      <c r="A1924" t="s">
        <v>35</v>
      </c>
      <c r="B1924" t="s">
        <v>9124</v>
      </c>
      <c r="C1924">
        <f>"CWB015SROJ"</f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 s="2">
        <v>0</v>
      </c>
      <c r="M1924">
        <v>0</v>
      </c>
      <c r="N1924" s="2">
        <v>0</v>
      </c>
      <c r="O1924">
        <v>0</v>
      </c>
      <c r="P1924" t="s">
        <v>100</v>
      </c>
      <c r="Q1924">
        <v>0</v>
      </c>
      <c r="R1924" t="s">
        <v>145</v>
      </c>
      <c r="S1924">
        <v>0</v>
      </c>
    </row>
    <row r="1925" spans="1:19">
      <c r="A1925" t="s">
        <v>35</v>
      </c>
      <c r="B1925" t="s">
        <v>9123</v>
      </c>
      <c r="C1925">
        <f>"CWB015XLAZ"</f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 s="2">
        <v>0</v>
      </c>
      <c r="M1925">
        <v>0</v>
      </c>
      <c r="N1925" s="2">
        <v>0</v>
      </c>
      <c r="O1925">
        <v>0</v>
      </c>
      <c r="P1925" t="s">
        <v>100</v>
      </c>
      <c r="Q1925">
        <v>0</v>
      </c>
      <c r="R1925" t="s">
        <v>145</v>
      </c>
      <c r="S1925">
        <v>0</v>
      </c>
    </row>
    <row r="1926" spans="1:19">
      <c r="A1926" t="s">
        <v>35</v>
      </c>
      <c r="B1926" t="s">
        <v>9120</v>
      </c>
      <c r="C1926">
        <f>"6326L"</f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 s="2">
        <v>0</v>
      </c>
      <c r="M1926">
        <v>0</v>
      </c>
      <c r="N1926" s="2">
        <v>0</v>
      </c>
      <c r="O1926">
        <v>0</v>
      </c>
      <c r="P1926" t="s">
        <v>100</v>
      </c>
      <c r="Q1926">
        <v>0</v>
      </c>
      <c r="R1926" t="s">
        <v>145</v>
      </c>
      <c r="S1926">
        <v>0</v>
      </c>
    </row>
    <row r="1927" spans="1:19">
      <c r="A1927" t="s">
        <v>35</v>
      </c>
      <c r="B1927" t="s">
        <v>9149</v>
      </c>
      <c r="C1927">
        <f>"6326M"</f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 s="2">
        <v>0</v>
      </c>
      <c r="M1927">
        <v>0</v>
      </c>
      <c r="N1927" s="2">
        <v>0</v>
      </c>
      <c r="O1927">
        <v>0</v>
      </c>
      <c r="P1927" t="s">
        <v>100</v>
      </c>
      <c r="Q1927">
        <v>0</v>
      </c>
      <c r="R1927" t="s">
        <v>145</v>
      </c>
      <c r="S1927">
        <v>0</v>
      </c>
    </row>
    <row r="1928" spans="1:19">
      <c r="A1928" t="s">
        <v>35</v>
      </c>
      <c r="B1928" t="s">
        <v>9153</v>
      </c>
      <c r="C1928">
        <f>"FB870SCEL"</f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 s="2">
        <v>0</v>
      </c>
      <c r="M1928">
        <v>0</v>
      </c>
      <c r="N1928" s="2">
        <v>0</v>
      </c>
      <c r="O1928">
        <v>0</v>
      </c>
      <c r="P1928" t="s">
        <v>100</v>
      </c>
      <c r="Q1928">
        <v>0</v>
      </c>
      <c r="R1928" t="s">
        <v>145</v>
      </c>
      <c r="S1928">
        <v>0</v>
      </c>
    </row>
    <row r="1929" spans="1:19">
      <c r="A1929" t="s">
        <v>35</v>
      </c>
      <c r="B1929" t="s">
        <v>9052</v>
      </c>
      <c r="C1929">
        <f>"6326S"</f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 s="2">
        <v>0</v>
      </c>
      <c r="M1929">
        <v>0</v>
      </c>
      <c r="N1929" s="2">
        <v>0</v>
      </c>
      <c r="O1929">
        <v>0</v>
      </c>
      <c r="P1929" t="s">
        <v>100</v>
      </c>
      <c r="Q1929">
        <v>0</v>
      </c>
      <c r="R1929" t="s">
        <v>145</v>
      </c>
      <c r="S1929">
        <v>0</v>
      </c>
    </row>
    <row r="1930" spans="1:19">
      <c r="A1930" t="s">
        <v>35</v>
      </c>
      <c r="B1930" t="s">
        <v>8494</v>
      </c>
      <c r="C1930">
        <f>"6326XL"</f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 s="2">
        <v>0</v>
      </c>
      <c r="M1930">
        <v>0</v>
      </c>
      <c r="N1930" s="2">
        <v>0</v>
      </c>
      <c r="O1930">
        <v>0</v>
      </c>
      <c r="P1930" t="s">
        <v>100</v>
      </c>
      <c r="Q1930">
        <v>0</v>
      </c>
      <c r="R1930" t="s">
        <v>145</v>
      </c>
      <c r="S1930">
        <v>0</v>
      </c>
    </row>
    <row r="1931" spans="1:19">
      <c r="A1931" t="s">
        <v>35</v>
      </c>
      <c r="B1931" t="s">
        <v>5238</v>
      </c>
      <c r="C1931">
        <f>"CT181"</f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 s="2">
        <v>0</v>
      </c>
      <c r="M1931">
        <v>0</v>
      </c>
      <c r="N1931" s="2">
        <v>0</v>
      </c>
      <c r="O1931">
        <v>0</v>
      </c>
      <c r="P1931" t="s">
        <v>100</v>
      </c>
      <c r="Q1931">
        <v>0</v>
      </c>
      <c r="R1931" t="s">
        <v>145</v>
      </c>
      <c r="S1931">
        <v>0</v>
      </c>
    </row>
    <row r="1932" spans="1:19">
      <c r="A1932" t="s">
        <v>35</v>
      </c>
      <c r="B1932" t="s">
        <v>5408</v>
      </c>
      <c r="C1932">
        <f>"WPS075"</f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 s="2">
        <v>0</v>
      </c>
      <c r="M1932">
        <v>0</v>
      </c>
      <c r="N1932" s="2">
        <v>0</v>
      </c>
      <c r="O1932">
        <v>0</v>
      </c>
      <c r="P1932" t="s">
        <v>100</v>
      </c>
      <c r="Q1932">
        <v>0</v>
      </c>
      <c r="R1932" t="s">
        <v>145</v>
      </c>
      <c r="S1932">
        <v>0</v>
      </c>
    </row>
    <row r="1933" spans="1:19">
      <c r="A1933" t="s">
        <v>35</v>
      </c>
      <c r="B1933" t="s">
        <v>1290</v>
      </c>
      <c r="C1933">
        <f>"CT129"</f>
        <v>0</v>
      </c>
      <c r="D1933">
        <v>1</v>
      </c>
      <c r="E1933">
        <v>0</v>
      </c>
      <c r="F1933">
        <v>0</v>
      </c>
      <c r="G1933">
        <v>0</v>
      </c>
      <c r="H1933">
        <v>1</v>
      </c>
      <c r="I1933">
        <v>0</v>
      </c>
      <c r="J1933">
        <v>0</v>
      </c>
      <c r="K1933">
        <v>0</v>
      </c>
      <c r="L1933" s="2">
        <v>0</v>
      </c>
      <c r="M1933">
        <v>0</v>
      </c>
      <c r="N1933" s="2">
        <v>0</v>
      </c>
      <c r="O1933">
        <v>0</v>
      </c>
      <c r="P1933" t="s">
        <v>100</v>
      </c>
      <c r="Q1933">
        <v>0</v>
      </c>
      <c r="R1933" t="s">
        <v>145</v>
      </c>
      <c r="S1933">
        <v>0</v>
      </c>
    </row>
    <row r="1934" spans="1:19">
      <c r="A1934" t="s">
        <v>35</v>
      </c>
      <c r="B1934" t="s">
        <v>5423</v>
      </c>
      <c r="C1934">
        <f>"CT133"</f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 s="2">
        <v>0</v>
      </c>
      <c r="M1934">
        <v>0</v>
      </c>
      <c r="N1934" s="2">
        <v>0</v>
      </c>
      <c r="O1934">
        <v>0</v>
      </c>
      <c r="P1934" t="s">
        <v>100</v>
      </c>
      <c r="Q1934">
        <v>0</v>
      </c>
      <c r="R1934" t="s">
        <v>145</v>
      </c>
      <c r="S1934">
        <v>0</v>
      </c>
    </row>
    <row r="1935" spans="1:19">
      <c r="A1935" t="s">
        <v>35</v>
      </c>
      <c r="B1935" t="s">
        <v>1007</v>
      </c>
      <c r="C1935">
        <f>"TC0018LILA"</f>
        <v>0</v>
      </c>
      <c r="D1935">
        <v>2</v>
      </c>
      <c r="E1935">
        <v>0</v>
      </c>
      <c r="F1935">
        <v>0</v>
      </c>
      <c r="G1935">
        <v>0</v>
      </c>
      <c r="H1935">
        <v>2</v>
      </c>
      <c r="I1935">
        <v>0</v>
      </c>
      <c r="J1935">
        <v>0</v>
      </c>
      <c r="K1935">
        <v>0</v>
      </c>
      <c r="L1935" s="2">
        <v>0</v>
      </c>
      <c r="M1935">
        <v>0</v>
      </c>
      <c r="N1935" s="2">
        <v>0</v>
      </c>
      <c r="O1935">
        <v>0</v>
      </c>
      <c r="P1935" t="s">
        <v>100</v>
      </c>
      <c r="Q1935">
        <v>0</v>
      </c>
      <c r="R1935" t="s">
        <v>145</v>
      </c>
      <c r="S1935">
        <v>0</v>
      </c>
    </row>
    <row r="1936" spans="1:19">
      <c r="A1936" t="s">
        <v>35</v>
      </c>
      <c r="B1936" t="s">
        <v>5262</v>
      </c>
      <c r="C1936">
        <f>"TC0018VE"</f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 s="2">
        <v>0</v>
      </c>
      <c r="M1936">
        <v>0</v>
      </c>
      <c r="N1936" s="2">
        <v>0</v>
      </c>
      <c r="O1936">
        <v>0</v>
      </c>
      <c r="P1936" t="s">
        <v>100</v>
      </c>
      <c r="Q1936">
        <v>0</v>
      </c>
      <c r="R1936" t="s">
        <v>145</v>
      </c>
      <c r="S1936">
        <v>0</v>
      </c>
    </row>
    <row r="1937" spans="1:19">
      <c r="A1937" t="s">
        <v>35</v>
      </c>
      <c r="B1937" t="s">
        <v>1292</v>
      </c>
      <c r="C1937">
        <f>"TC0057AM"</f>
        <v>0</v>
      </c>
      <c r="D1937">
        <v>0</v>
      </c>
      <c r="E1937">
        <v>0</v>
      </c>
      <c r="F1937">
        <v>1</v>
      </c>
      <c r="G1937">
        <v>0</v>
      </c>
      <c r="H1937">
        <v>1</v>
      </c>
      <c r="I1937">
        <v>0</v>
      </c>
      <c r="J1937">
        <v>0</v>
      </c>
      <c r="K1937">
        <v>0</v>
      </c>
      <c r="L1937" s="2">
        <v>0</v>
      </c>
      <c r="M1937">
        <v>0</v>
      </c>
      <c r="N1937" s="2">
        <v>0</v>
      </c>
      <c r="O1937">
        <v>0</v>
      </c>
      <c r="P1937" t="s">
        <v>100</v>
      </c>
      <c r="Q1937">
        <v>0</v>
      </c>
      <c r="R1937" t="s">
        <v>145</v>
      </c>
      <c r="S1937">
        <v>0</v>
      </c>
    </row>
    <row r="1938" spans="1:19">
      <c r="A1938" t="s">
        <v>35</v>
      </c>
      <c r="B1938" t="s">
        <v>5260</v>
      </c>
      <c r="C1938">
        <f>"TC0057AZ"</f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 s="2">
        <v>0</v>
      </c>
      <c r="M1938">
        <v>0</v>
      </c>
      <c r="N1938" s="2">
        <v>0</v>
      </c>
      <c r="O1938">
        <v>0</v>
      </c>
      <c r="P1938" t="s">
        <v>100</v>
      </c>
      <c r="Q1938">
        <v>0</v>
      </c>
      <c r="R1938" t="s">
        <v>145</v>
      </c>
      <c r="S1938">
        <v>0</v>
      </c>
    </row>
    <row r="1939" spans="1:19">
      <c r="A1939" t="s">
        <v>35</v>
      </c>
      <c r="B1939" t="s">
        <v>9148</v>
      </c>
      <c r="C1939">
        <f>"JW0109"</f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 s="2">
        <v>0</v>
      </c>
      <c r="M1939">
        <v>0</v>
      </c>
      <c r="N1939" s="2">
        <v>0</v>
      </c>
      <c r="O1939">
        <v>0</v>
      </c>
      <c r="P1939" t="s">
        <v>100</v>
      </c>
      <c r="Q1939">
        <v>0</v>
      </c>
      <c r="R1939" t="s">
        <v>145</v>
      </c>
      <c r="S1939">
        <v>0</v>
      </c>
    </row>
    <row r="1940" spans="1:19">
      <c r="A1940" t="s">
        <v>35</v>
      </c>
      <c r="B1940" t="s">
        <v>5425</v>
      </c>
      <c r="C1940">
        <f>"VVHBXS"</f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 s="2">
        <v>0</v>
      </c>
      <c r="M1940">
        <v>0</v>
      </c>
      <c r="N1940" s="2">
        <v>0</v>
      </c>
      <c r="O1940">
        <v>0</v>
      </c>
      <c r="P1940" t="s">
        <v>100</v>
      </c>
      <c r="Q1940">
        <v>0</v>
      </c>
      <c r="R1940" t="s">
        <v>145</v>
      </c>
      <c r="S1940">
        <v>0</v>
      </c>
    </row>
    <row r="1941" spans="1:19">
      <c r="A1941" t="s">
        <v>35</v>
      </c>
      <c r="B1941" t="s">
        <v>5407</v>
      </c>
      <c r="C1941">
        <f>"VFPM"</f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 s="2">
        <v>0</v>
      </c>
      <c r="M1941">
        <v>0</v>
      </c>
      <c r="N1941" s="2">
        <v>0</v>
      </c>
      <c r="O1941">
        <v>0</v>
      </c>
      <c r="P1941" t="s">
        <v>100</v>
      </c>
      <c r="Q1941">
        <v>0</v>
      </c>
      <c r="R1941" t="s">
        <v>145</v>
      </c>
      <c r="S1941">
        <v>0</v>
      </c>
    </row>
    <row r="1942" spans="1:19">
      <c r="A1942" t="s">
        <v>35</v>
      </c>
      <c r="B1942" t="s">
        <v>5360</v>
      </c>
      <c r="C1942">
        <f>"VFPS"</f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 s="2">
        <v>0</v>
      </c>
      <c r="M1942">
        <v>0</v>
      </c>
      <c r="N1942" s="2">
        <v>0</v>
      </c>
      <c r="O1942">
        <v>0</v>
      </c>
      <c r="P1942" t="s">
        <v>100</v>
      </c>
      <c r="Q1942">
        <v>0</v>
      </c>
      <c r="R1942" t="s">
        <v>145</v>
      </c>
      <c r="S1942">
        <v>0</v>
      </c>
    </row>
    <row r="1943" spans="1:19">
      <c r="A1943" t="s">
        <v>35</v>
      </c>
      <c r="B1943" t="s">
        <v>5359</v>
      </c>
      <c r="C1943">
        <f>"VFPXL"</f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 s="2">
        <v>0</v>
      </c>
      <c r="M1943">
        <v>0</v>
      </c>
      <c r="N1943" s="2">
        <v>0</v>
      </c>
      <c r="O1943">
        <v>0</v>
      </c>
      <c r="P1943" t="s">
        <v>100</v>
      </c>
      <c r="Q1943">
        <v>0</v>
      </c>
      <c r="R1943" t="s">
        <v>145</v>
      </c>
      <c r="S1943">
        <v>0</v>
      </c>
    </row>
    <row r="1944" spans="1:19">
      <c r="A1944" t="s">
        <v>35</v>
      </c>
      <c r="B1944" t="s">
        <v>5358</v>
      </c>
      <c r="C1944">
        <f>"VFPXS"</f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 s="2">
        <v>0</v>
      </c>
      <c r="M1944">
        <v>0</v>
      </c>
      <c r="N1944" s="2">
        <v>0</v>
      </c>
      <c r="O1944">
        <v>0</v>
      </c>
      <c r="P1944" t="s">
        <v>100</v>
      </c>
      <c r="Q1944">
        <v>0</v>
      </c>
      <c r="R1944" t="s">
        <v>145</v>
      </c>
      <c r="S1944">
        <v>0</v>
      </c>
    </row>
    <row r="1945" spans="1:19">
      <c r="A1945" t="s">
        <v>35</v>
      </c>
      <c r="B1945" t="s">
        <v>5357</v>
      </c>
      <c r="C1945">
        <f>"VHTUR"</f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 s="2">
        <v>0</v>
      </c>
      <c r="M1945">
        <v>0</v>
      </c>
      <c r="N1945" s="2">
        <v>0</v>
      </c>
      <c r="O1945">
        <v>0</v>
      </c>
      <c r="P1945" t="s">
        <v>100</v>
      </c>
      <c r="Q1945">
        <v>0</v>
      </c>
      <c r="R1945" t="s">
        <v>145</v>
      </c>
      <c r="S1945">
        <v>0</v>
      </c>
    </row>
    <row r="1946" spans="1:19">
      <c r="A1946" t="s">
        <v>35</v>
      </c>
      <c r="B1946" t="s">
        <v>5356</v>
      </c>
      <c r="C1946">
        <f>"VVHRS"</f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 s="2">
        <v>0</v>
      </c>
      <c r="M1946">
        <v>0</v>
      </c>
      <c r="N1946" s="2">
        <v>0</v>
      </c>
      <c r="O1946">
        <v>0</v>
      </c>
      <c r="P1946" t="s">
        <v>100</v>
      </c>
      <c r="Q1946">
        <v>0</v>
      </c>
      <c r="R1946" t="s">
        <v>145</v>
      </c>
      <c r="S1946">
        <v>0</v>
      </c>
    </row>
    <row r="1947" spans="1:19">
      <c r="A1947" t="s">
        <v>35</v>
      </c>
      <c r="B1947" t="s">
        <v>5405</v>
      </c>
      <c r="C1947">
        <f>"YTSC004"</f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 s="2">
        <v>0</v>
      </c>
      <c r="M1947">
        <v>0</v>
      </c>
      <c r="N1947" s="2">
        <v>0</v>
      </c>
      <c r="O1947">
        <v>0</v>
      </c>
      <c r="P1947" t="s">
        <v>100</v>
      </c>
      <c r="Q1947">
        <v>0</v>
      </c>
      <c r="R1947" t="s">
        <v>145</v>
      </c>
      <c r="S1947">
        <v>0</v>
      </c>
    </row>
    <row r="1948" spans="1:19">
      <c r="A1948" t="s">
        <v>35</v>
      </c>
      <c r="B1948" t="s">
        <v>5402</v>
      </c>
      <c r="C1948">
        <f>"SA0110AZ"</f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 s="2">
        <v>0</v>
      </c>
      <c r="M1948">
        <v>0</v>
      </c>
      <c r="N1948" s="2">
        <v>0</v>
      </c>
      <c r="O1948">
        <v>0</v>
      </c>
      <c r="P1948" t="s">
        <v>100</v>
      </c>
      <c r="Q1948">
        <v>0</v>
      </c>
      <c r="R1948" t="s">
        <v>145</v>
      </c>
      <c r="S1948">
        <v>0</v>
      </c>
    </row>
    <row r="1949" spans="1:19">
      <c r="A1949" t="s">
        <v>35</v>
      </c>
      <c r="B1949" t="s">
        <v>5448</v>
      </c>
      <c r="C1949">
        <f>"SA015BL"</f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 s="2">
        <v>0</v>
      </c>
      <c r="M1949">
        <v>0</v>
      </c>
      <c r="N1949" s="2">
        <v>0</v>
      </c>
      <c r="O1949">
        <v>0</v>
      </c>
      <c r="P1949" t="s">
        <v>100</v>
      </c>
      <c r="Q1949">
        <v>0</v>
      </c>
      <c r="R1949" t="s">
        <v>145</v>
      </c>
      <c r="S1949">
        <v>0</v>
      </c>
    </row>
    <row r="1950" spans="1:19">
      <c r="A1950" t="s">
        <v>35</v>
      </c>
      <c r="B1950" t="s">
        <v>8975</v>
      </c>
      <c r="C1950">
        <f>"FB870LB"</f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 s="2">
        <v>0</v>
      </c>
      <c r="M1950">
        <v>0</v>
      </c>
      <c r="N1950" s="2">
        <v>0</v>
      </c>
      <c r="O1950">
        <v>0</v>
      </c>
      <c r="P1950" t="s">
        <v>100</v>
      </c>
      <c r="Q1950">
        <v>0</v>
      </c>
      <c r="R1950" t="s">
        <v>145</v>
      </c>
      <c r="S1950">
        <v>0</v>
      </c>
    </row>
    <row r="1951" spans="1:19">
      <c r="A1951" t="s">
        <v>35</v>
      </c>
      <c r="B1951" t="s">
        <v>9151</v>
      </c>
      <c r="C1951">
        <f>"FB870XSA"</f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 s="2">
        <v>0</v>
      </c>
      <c r="M1951">
        <v>0</v>
      </c>
      <c r="N1951" s="2">
        <v>0</v>
      </c>
      <c r="O1951">
        <v>0</v>
      </c>
      <c r="P1951" t="s">
        <v>100</v>
      </c>
      <c r="Q1951">
        <v>0</v>
      </c>
      <c r="R1951" t="s">
        <v>145</v>
      </c>
      <c r="S1951">
        <v>0</v>
      </c>
    </row>
    <row r="1952" spans="1:19">
      <c r="A1952" t="s">
        <v>35</v>
      </c>
      <c r="B1952" t="s">
        <v>1155</v>
      </c>
      <c r="C1952">
        <f>"FB870XSBE"</f>
        <v>0</v>
      </c>
      <c r="D1952">
        <v>0</v>
      </c>
      <c r="E1952">
        <v>1</v>
      </c>
      <c r="F1952">
        <v>0</v>
      </c>
      <c r="G1952">
        <v>0</v>
      </c>
      <c r="H1952">
        <v>1</v>
      </c>
      <c r="I1952">
        <v>0</v>
      </c>
      <c r="J1952">
        <v>0</v>
      </c>
      <c r="K1952">
        <v>0</v>
      </c>
      <c r="L1952" s="2">
        <v>0</v>
      </c>
      <c r="M1952">
        <v>0</v>
      </c>
      <c r="N1952" s="2">
        <v>0</v>
      </c>
      <c r="O1952">
        <v>0</v>
      </c>
      <c r="P1952" t="s">
        <v>100</v>
      </c>
      <c r="Q1952">
        <v>0</v>
      </c>
      <c r="R1952" t="s">
        <v>145</v>
      </c>
      <c r="S1952">
        <v>0</v>
      </c>
    </row>
    <row r="1953" spans="1:19">
      <c r="A1953" t="s">
        <v>35</v>
      </c>
      <c r="B1953" t="s">
        <v>8946</v>
      </c>
      <c r="C1953">
        <f>"FB870XSCEL"</f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 s="2">
        <v>0</v>
      </c>
      <c r="M1953">
        <v>0</v>
      </c>
      <c r="N1953" s="2">
        <v>0</v>
      </c>
      <c r="O1953">
        <v>0</v>
      </c>
      <c r="P1953" t="s">
        <v>100</v>
      </c>
      <c r="Q1953">
        <v>0</v>
      </c>
      <c r="R1953" t="s">
        <v>145</v>
      </c>
      <c r="S1953">
        <v>0</v>
      </c>
    </row>
    <row r="1954" spans="1:19">
      <c r="A1954" t="s">
        <v>35</v>
      </c>
      <c r="B1954" t="s">
        <v>8945</v>
      </c>
      <c r="C1954">
        <f>"FB870XSV"</f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 s="2">
        <v>0</v>
      </c>
      <c r="M1954">
        <v>0</v>
      </c>
      <c r="N1954" s="2">
        <v>0</v>
      </c>
      <c r="O1954">
        <v>0</v>
      </c>
      <c r="P1954" t="s">
        <v>100</v>
      </c>
      <c r="Q1954">
        <v>0</v>
      </c>
      <c r="R1954" t="s">
        <v>145</v>
      </c>
      <c r="S1954">
        <v>0</v>
      </c>
    </row>
    <row r="1955" spans="1:19">
      <c r="A1955" t="s">
        <v>35</v>
      </c>
      <c r="B1955" t="s">
        <v>5445</v>
      </c>
      <c r="C1955">
        <f>"SA0175BL"</f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 s="2">
        <v>0</v>
      </c>
      <c r="M1955">
        <v>0</v>
      </c>
      <c r="N1955" s="2">
        <v>0</v>
      </c>
      <c r="O1955">
        <v>0</v>
      </c>
      <c r="P1955" t="s">
        <v>100</v>
      </c>
      <c r="Q1955">
        <v>0</v>
      </c>
      <c r="R1955" t="s">
        <v>145</v>
      </c>
      <c r="S1955">
        <v>0</v>
      </c>
    </row>
    <row r="1956" spans="1:19">
      <c r="A1956" t="s">
        <v>35</v>
      </c>
      <c r="B1956" t="s">
        <v>5444</v>
      </c>
      <c r="C1956">
        <f>"SA0175ROJ"</f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 s="2">
        <v>0</v>
      </c>
      <c r="M1956">
        <v>0</v>
      </c>
      <c r="N1956" s="2">
        <v>0</v>
      </c>
      <c r="O1956">
        <v>0</v>
      </c>
      <c r="P1956" t="s">
        <v>100</v>
      </c>
      <c r="Q1956">
        <v>0</v>
      </c>
      <c r="R1956" t="s">
        <v>145</v>
      </c>
      <c r="S1956">
        <v>0</v>
      </c>
    </row>
    <row r="1957" spans="1:19">
      <c r="A1957" t="s">
        <v>35</v>
      </c>
      <c r="B1957" t="s">
        <v>5431</v>
      </c>
      <c r="C1957">
        <f>"VHTUA"</f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 s="2">
        <v>0</v>
      </c>
      <c r="M1957">
        <v>0</v>
      </c>
      <c r="N1957" s="2">
        <v>0</v>
      </c>
      <c r="O1957">
        <v>0</v>
      </c>
      <c r="P1957" t="s">
        <v>100</v>
      </c>
      <c r="Q1957">
        <v>0</v>
      </c>
      <c r="R1957" t="s">
        <v>145</v>
      </c>
      <c r="S1957">
        <v>0</v>
      </c>
    </row>
    <row r="1958" spans="1:19">
      <c r="A1958" t="s">
        <v>35</v>
      </c>
      <c r="B1958" t="s">
        <v>5430</v>
      </c>
      <c r="C1958">
        <f>"VVHAL"</f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 s="2">
        <v>0</v>
      </c>
      <c r="M1958">
        <v>0</v>
      </c>
      <c r="N1958" s="2">
        <v>0</v>
      </c>
      <c r="O1958">
        <v>0</v>
      </c>
      <c r="P1958" t="s">
        <v>100</v>
      </c>
      <c r="Q1958">
        <v>0</v>
      </c>
      <c r="R1958" t="s">
        <v>145</v>
      </c>
      <c r="S1958">
        <v>0</v>
      </c>
    </row>
    <row r="1959" spans="1:19">
      <c r="A1959" t="s">
        <v>35</v>
      </c>
      <c r="B1959" t="s">
        <v>5429</v>
      </c>
      <c r="C1959">
        <f>"VVHAM"</f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 s="2">
        <v>0</v>
      </c>
      <c r="M1959">
        <v>0</v>
      </c>
      <c r="N1959" s="2">
        <v>0</v>
      </c>
      <c r="O1959">
        <v>0</v>
      </c>
      <c r="P1959" t="s">
        <v>100</v>
      </c>
      <c r="Q1959">
        <v>0</v>
      </c>
      <c r="R1959" t="s">
        <v>145</v>
      </c>
      <c r="S1959">
        <v>0</v>
      </c>
    </row>
    <row r="1960" spans="1:19">
      <c r="A1960" t="s">
        <v>35</v>
      </c>
      <c r="B1960" t="s">
        <v>5428</v>
      </c>
      <c r="C1960">
        <f>"VVHAS"</f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 s="2">
        <v>0</v>
      </c>
      <c r="M1960">
        <v>0</v>
      </c>
      <c r="N1960" s="2">
        <v>0</v>
      </c>
      <c r="O1960">
        <v>0</v>
      </c>
      <c r="P1960" t="s">
        <v>100</v>
      </c>
      <c r="Q1960">
        <v>0</v>
      </c>
      <c r="R1960" t="s">
        <v>145</v>
      </c>
      <c r="S1960">
        <v>0</v>
      </c>
    </row>
    <row r="1961" spans="1:19">
      <c r="A1961" t="s">
        <v>35</v>
      </c>
      <c r="B1961" t="s">
        <v>5447</v>
      </c>
      <c r="C1961">
        <f>"SA015ROJ"</f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 s="2">
        <v>0</v>
      </c>
      <c r="M1961">
        <v>0</v>
      </c>
      <c r="N1961" s="2">
        <v>0</v>
      </c>
      <c r="O1961">
        <v>0</v>
      </c>
      <c r="P1961" t="s">
        <v>100</v>
      </c>
      <c r="Q1961">
        <v>0</v>
      </c>
      <c r="R1961" t="s">
        <v>145</v>
      </c>
      <c r="S1961">
        <v>0</v>
      </c>
    </row>
    <row r="1962" spans="1:19">
      <c r="A1962" t="s">
        <v>35</v>
      </c>
      <c r="B1962" t="s">
        <v>5189</v>
      </c>
      <c r="C1962">
        <f>"1840AM"</f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 s="2">
        <v>0</v>
      </c>
      <c r="M1962">
        <v>0</v>
      </c>
      <c r="N1962" s="2">
        <v>0</v>
      </c>
      <c r="O1962">
        <v>0</v>
      </c>
      <c r="P1962" t="s">
        <v>100</v>
      </c>
      <c r="Q1962">
        <v>0</v>
      </c>
      <c r="R1962" t="s">
        <v>145</v>
      </c>
      <c r="S1962">
        <v>0</v>
      </c>
    </row>
    <row r="1963" spans="1:19">
      <c r="A1963" t="s">
        <v>35</v>
      </c>
      <c r="B1963" t="s">
        <v>5380</v>
      </c>
      <c r="C1963">
        <f>"B109323LA"</f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 s="2">
        <v>0</v>
      </c>
      <c r="M1963">
        <v>0</v>
      </c>
      <c r="N1963" s="2">
        <v>0</v>
      </c>
      <c r="O1963">
        <v>0</v>
      </c>
      <c r="P1963" t="s">
        <v>100</v>
      </c>
      <c r="Q1963">
        <v>0</v>
      </c>
      <c r="R1963" t="s">
        <v>145</v>
      </c>
      <c r="S1963">
        <v>0</v>
      </c>
    </row>
    <row r="1964" spans="1:19">
      <c r="A1964" t="s">
        <v>35</v>
      </c>
      <c r="B1964" t="s">
        <v>5378</v>
      </c>
      <c r="C1964">
        <f>"B109323LR"</f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 s="2">
        <v>0</v>
      </c>
      <c r="M1964">
        <v>0</v>
      </c>
      <c r="N1964" s="2">
        <v>0</v>
      </c>
      <c r="O1964">
        <v>0</v>
      </c>
      <c r="P1964" t="s">
        <v>100</v>
      </c>
      <c r="Q1964">
        <v>0</v>
      </c>
      <c r="R1964" t="s">
        <v>145</v>
      </c>
      <c r="S1964">
        <v>0</v>
      </c>
    </row>
    <row r="1965" spans="1:19">
      <c r="A1965" t="s">
        <v>35</v>
      </c>
      <c r="B1965" t="s">
        <v>5091</v>
      </c>
      <c r="C1965">
        <f>"B109323MA"</f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 s="2">
        <v>0</v>
      </c>
      <c r="M1965">
        <v>0</v>
      </c>
      <c r="N1965" s="2">
        <v>0</v>
      </c>
      <c r="O1965">
        <v>0</v>
      </c>
      <c r="P1965" t="s">
        <v>100</v>
      </c>
      <c r="Q1965">
        <v>0</v>
      </c>
      <c r="R1965" t="s">
        <v>145</v>
      </c>
      <c r="S1965">
        <v>0</v>
      </c>
    </row>
    <row r="1966" spans="1:19">
      <c r="A1966" t="s">
        <v>35</v>
      </c>
      <c r="B1966" t="s">
        <v>5089</v>
      </c>
      <c r="C1966">
        <f>"B109323MR"</f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 s="2">
        <v>0</v>
      </c>
      <c r="M1966">
        <v>0</v>
      </c>
      <c r="N1966" s="2">
        <v>0</v>
      </c>
      <c r="O1966">
        <v>0</v>
      </c>
      <c r="P1966" t="s">
        <v>100</v>
      </c>
      <c r="Q1966">
        <v>0</v>
      </c>
      <c r="R1966" t="s">
        <v>145</v>
      </c>
      <c r="S1966">
        <v>0</v>
      </c>
    </row>
    <row r="1967" spans="1:19">
      <c r="A1967" t="s">
        <v>35</v>
      </c>
      <c r="B1967" t="s">
        <v>5372</v>
      </c>
      <c r="C1967">
        <f>"B109323SA"</f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 s="2">
        <v>0</v>
      </c>
      <c r="M1967">
        <v>0</v>
      </c>
      <c r="N1967" s="2">
        <v>0</v>
      </c>
      <c r="O1967">
        <v>0</v>
      </c>
      <c r="P1967" t="s">
        <v>100</v>
      </c>
      <c r="Q1967">
        <v>0</v>
      </c>
      <c r="R1967" t="s">
        <v>145</v>
      </c>
      <c r="S1967">
        <v>0</v>
      </c>
    </row>
    <row r="1968" spans="1:19">
      <c r="A1968" t="s">
        <v>35</v>
      </c>
      <c r="B1968" t="s">
        <v>5085</v>
      </c>
      <c r="C1968">
        <f>"10837"</f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 s="2">
        <v>0</v>
      </c>
      <c r="M1968">
        <v>0</v>
      </c>
      <c r="N1968" s="2">
        <v>0</v>
      </c>
      <c r="O1968">
        <v>0</v>
      </c>
      <c r="P1968" t="s">
        <v>100</v>
      </c>
      <c r="Q1968">
        <v>0</v>
      </c>
      <c r="R1968" t="s">
        <v>145</v>
      </c>
      <c r="S1968">
        <v>0</v>
      </c>
    </row>
    <row r="1969" spans="1:19">
      <c r="A1969" t="s">
        <v>35</v>
      </c>
      <c r="B1969" t="s">
        <v>5084</v>
      </c>
      <c r="C1969">
        <f>"10844"</f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 s="2">
        <v>0</v>
      </c>
      <c r="M1969">
        <v>0</v>
      </c>
      <c r="N1969" s="2">
        <v>0</v>
      </c>
      <c r="O1969">
        <v>0</v>
      </c>
      <c r="P1969" t="s">
        <v>100</v>
      </c>
      <c r="Q1969">
        <v>0</v>
      </c>
      <c r="R1969" t="s">
        <v>145</v>
      </c>
      <c r="S1969">
        <v>0</v>
      </c>
    </row>
    <row r="1970" spans="1:19">
      <c r="A1970" t="s">
        <v>35</v>
      </c>
      <c r="B1970" t="s">
        <v>5129</v>
      </c>
      <c r="C1970">
        <f>"W2003"</f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 s="2">
        <v>0</v>
      </c>
      <c r="M1970">
        <v>0</v>
      </c>
      <c r="N1970" s="2">
        <v>0</v>
      </c>
      <c r="O1970">
        <v>0</v>
      </c>
      <c r="P1970" t="s">
        <v>100</v>
      </c>
      <c r="Q1970">
        <v>0</v>
      </c>
      <c r="R1970" t="s">
        <v>145</v>
      </c>
      <c r="S1970">
        <v>0</v>
      </c>
    </row>
    <row r="1971" spans="1:19">
      <c r="A1971" t="s">
        <v>35</v>
      </c>
      <c r="B1971" t="s">
        <v>5026</v>
      </c>
      <c r="C1971">
        <f>"25395870"</f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 s="2">
        <v>0</v>
      </c>
      <c r="M1971">
        <v>0</v>
      </c>
      <c r="N1971" s="2">
        <v>0</v>
      </c>
      <c r="O1971">
        <v>0</v>
      </c>
      <c r="P1971" t="s">
        <v>100</v>
      </c>
      <c r="Q1971">
        <v>0</v>
      </c>
      <c r="R1971" t="s">
        <v>145</v>
      </c>
      <c r="S1971">
        <v>0</v>
      </c>
    </row>
    <row r="1972" spans="1:19">
      <c r="A1972" t="s">
        <v>35</v>
      </c>
      <c r="B1972" t="s">
        <v>4995</v>
      </c>
      <c r="C1972">
        <f>"1837PBXXS"</f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 s="2">
        <v>0</v>
      </c>
      <c r="M1972">
        <v>0</v>
      </c>
      <c r="N1972" s="2">
        <v>0</v>
      </c>
      <c r="O1972">
        <v>0</v>
      </c>
      <c r="P1972" t="s">
        <v>100</v>
      </c>
      <c r="Q1972">
        <v>0</v>
      </c>
      <c r="R1972" t="s">
        <v>145</v>
      </c>
      <c r="S1972">
        <v>0</v>
      </c>
    </row>
    <row r="1973" spans="1:19">
      <c r="A1973" t="s">
        <v>35</v>
      </c>
      <c r="B1973" t="s">
        <v>5098</v>
      </c>
      <c r="C1973">
        <f>"1837XSL"</f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 s="2">
        <v>0</v>
      </c>
      <c r="M1973">
        <v>0</v>
      </c>
      <c r="N1973" s="2">
        <v>0</v>
      </c>
      <c r="O1973">
        <v>0</v>
      </c>
      <c r="P1973" t="s">
        <v>100</v>
      </c>
      <c r="Q1973">
        <v>0</v>
      </c>
      <c r="R1973" t="s">
        <v>145</v>
      </c>
      <c r="S1973">
        <v>0</v>
      </c>
    </row>
    <row r="1974" spans="1:19">
      <c r="A1974" t="s">
        <v>35</v>
      </c>
      <c r="B1974" t="s">
        <v>5175</v>
      </c>
      <c r="C1974">
        <f>"1837XXSL"</f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 s="2">
        <v>0</v>
      </c>
      <c r="M1974">
        <v>0</v>
      </c>
      <c r="N1974" s="2">
        <v>0</v>
      </c>
      <c r="O1974">
        <v>0</v>
      </c>
      <c r="P1974" t="s">
        <v>100</v>
      </c>
      <c r="Q1974">
        <v>0</v>
      </c>
      <c r="R1974" t="s">
        <v>145</v>
      </c>
      <c r="S1974">
        <v>0</v>
      </c>
    </row>
    <row r="1975" spans="1:19">
      <c r="A1975" t="s">
        <v>35</v>
      </c>
      <c r="B1975" t="s">
        <v>5419</v>
      </c>
      <c r="C1975">
        <f>"B109323XLC"</f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 s="2">
        <v>0</v>
      </c>
      <c r="M1975">
        <v>0</v>
      </c>
      <c r="N1975" s="2">
        <v>0</v>
      </c>
      <c r="O1975">
        <v>0</v>
      </c>
      <c r="P1975" t="s">
        <v>100</v>
      </c>
      <c r="Q1975">
        <v>0</v>
      </c>
      <c r="R1975" t="s">
        <v>145</v>
      </c>
      <c r="S1975">
        <v>0</v>
      </c>
    </row>
    <row r="1976" spans="1:19">
      <c r="A1976" t="s">
        <v>35</v>
      </c>
      <c r="B1976" t="s">
        <v>5942</v>
      </c>
      <c r="C1976">
        <f>"C501"</f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 s="2">
        <v>0</v>
      </c>
      <c r="M1976">
        <v>0</v>
      </c>
      <c r="N1976" s="2">
        <v>0</v>
      </c>
      <c r="O1976">
        <v>0</v>
      </c>
      <c r="P1976" t="s">
        <v>100</v>
      </c>
      <c r="Q1976">
        <v>0</v>
      </c>
      <c r="R1976" t="s">
        <v>145</v>
      </c>
      <c r="S1976">
        <v>0</v>
      </c>
    </row>
    <row r="1977" spans="1:19">
      <c r="A1977" t="s">
        <v>35</v>
      </c>
      <c r="B1977" t="s">
        <v>1193</v>
      </c>
      <c r="C1977">
        <f>"JN001"</f>
        <v>0</v>
      </c>
      <c r="D1977">
        <v>0</v>
      </c>
      <c r="E1977">
        <v>1</v>
      </c>
      <c r="F1977">
        <v>0</v>
      </c>
      <c r="G1977">
        <v>0</v>
      </c>
      <c r="H1977">
        <v>1</v>
      </c>
      <c r="I1977">
        <v>0</v>
      </c>
      <c r="J1977">
        <v>0</v>
      </c>
      <c r="K1977">
        <v>0</v>
      </c>
      <c r="L1977" s="2">
        <v>0</v>
      </c>
      <c r="M1977">
        <v>0</v>
      </c>
      <c r="N1977" s="2">
        <v>0</v>
      </c>
      <c r="O1977">
        <v>0</v>
      </c>
      <c r="P1977" t="s">
        <v>100</v>
      </c>
      <c r="Q1977">
        <v>0</v>
      </c>
      <c r="R1977" t="s">
        <v>145</v>
      </c>
      <c r="S1977">
        <v>0</v>
      </c>
    </row>
    <row r="1978" spans="1:19">
      <c r="A1978" t="s">
        <v>35</v>
      </c>
      <c r="B1978" t="s">
        <v>1192</v>
      </c>
      <c r="C1978">
        <f>"HDWXD002"</f>
        <v>0</v>
      </c>
      <c r="D1978">
        <v>0</v>
      </c>
      <c r="E1978">
        <v>1</v>
      </c>
      <c r="F1978">
        <v>0</v>
      </c>
      <c r="G1978">
        <v>0</v>
      </c>
      <c r="H1978">
        <v>1</v>
      </c>
      <c r="I1978">
        <v>0</v>
      </c>
      <c r="J1978">
        <v>0</v>
      </c>
      <c r="K1978">
        <v>0</v>
      </c>
      <c r="L1978" s="2">
        <v>0</v>
      </c>
      <c r="M1978">
        <v>0</v>
      </c>
      <c r="N1978" s="2">
        <v>0</v>
      </c>
      <c r="O1978">
        <v>0</v>
      </c>
      <c r="P1978" t="s">
        <v>100</v>
      </c>
      <c r="Q1978">
        <v>0</v>
      </c>
      <c r="R1978" t="s">
        <v>145</v>
      </c>
      <c r="S1978">
        <v>0</v>
      </c>
    </row>
    <row r="1979" spans="1:19">
      <c r="A1979" t="s">
        <v>35</v>
      </c>
      <c r="B1979" t="s">
        <v>5700</v>
      </c>
      <c r="C1979">
        <f>"YT012A"</f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 s="2">
        <v>0</v>
      </c>
      <c r="M1979">
        <v>0</v>
      </c>
      <c r="N1979" s="2">
        <v>0</v>
      </c>
      <c r="O1979">
        <v>0</v>
      </c>
      <c r="P1979" t="s">
        <v>100</v>
      </c>
      <c r="Q1979">
        <v>0</v>
      </c>
      <c r="R1979" t="s">
        <v>145</v>
      </c>
      <c r="S1979">
        <v>0</v>
      </c>
    </row>
    <row r="1980" spans="1:19">
      <c r="A1980" t="s">
        <v>35</v>
      </c>
      <c r="B1980" t="s">
        <v>5173</v>
      </c>
      <c r="C1980">
        <f>"1837PM"</f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 s="2">
        <v>0</v>
      </c>
      <c r="M1980">
        <v>0</v>
      </c>
      <c r="N1980" s="2">
        <v>0</v>
      </c>
      <c r="O1980">
        <v>0</v>
      </c>
      <c r="P1980" t="s">
        <v>100</v>
      </c>
      <c r="Q1980">
        <v>0</v>
      </c>
      <c r="R1980" t="s">
        <v>145</v>
      </c>
      <c r="S1980">
        <v>0</v>
      </c>
    </row>
    <row r="1981" spans="1:19">
      <c r="A1981" t="s">
        <v>35</v>
      </c>
      <c r="B1981" t="s">
        <v>5172</v>
      </c>
      <c r="C1981">
        <f>"1837PS"</f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 s="2">
        <v>0</v>
      </c>
      <c r="M1981">
        <v>0</v>
      </c>
      <c r="N1981" s="2">
        <v>0</v>
      </c>
      <c r="O1981">
        <v>0</v>
      </c>
      <c r="P1981" t="s">
        <v>100</v>
      </c>
      <c r="Q1981">
        <v>0</v>
      </c>
      <c r="R1981" t="s">
        <v>145</v>
      </c>
      <c r="S1981">
        <v>0</v>
      </c>
    </row>
    <row r="1982" spans="1:19">
      <c r="A1982" t="s">
        <v>35</v>
      </c>
      <c r="B1982" t="s">
        <v>4997</v>
      </c>
      <c r="C1982">
        <f>"1837PBS"</f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 s="2">
        <v>0</v>
      </c>
      <c r="M1982">
        <v>0</v>
      </c>
      <c r="N1982" s="2">
        <v>0</v>
      </c>
      <c r="O1982">
        <v>0</v>
      </c>
      <c r="P1982" t="s">
        <v>100</v>
      </c>
      <c r="Q1982">
        <v>0</v>
      </c>
      <c r="R1982" t="s">
        <v>145</v>
      </c>
      <c r="S1982">
        <v>0</v>
      </c>
    </row>
    <row r="1983" spans="1:19">
      <c r="A1983" t="s">
        <v>35</v>
      </c>
      <c r="B1983" t="s">
        <v>7635</v>
      </c>
      <c r="C1983">
        <f>"PT015LFA"</f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 s="2">
        <v>0</v>
      </c>
      <c r="M1983">
        <v>0</v>
      </c>
      <c r="N1983" s="2">
        <v>0</v>
      </c>
      <c r="O1983">
        <v>0</v>
      </c>
      <c r="P1983" t="s">
        <v>100</v>
      </c>
      <c r="Q1983">
        <v>0</v>
      </c>
      <c r="R1983" t="s">
        <v>145</v>
      </c>
      <c r="S1983">
        <v>0</v>
      </c>
    </row>
    <row r="1984" spans="1:19">
      <c r="A1984" t="s">
        <v>35</v>
      </c>
      <c r="B1984" t="s">
        <v>9846</v>
      </c>
      <c r="C1984">
        <f>"HC0150"</f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 s="2">
        <v>0</v>
      </c>
      <c r="M1984">
        <v>0</v>
      </c>
      <c r="N1984" s="2">
        <v>0</v>
      </c>
      <c r="O1984">
        <v>0</v>
      </c>
      <c r="P1984" t="s">
        <v>100</v>
      </c>
      <c r="Q1984">
        <v>0</v>
      </c>
      <c r="R1984" t="s">
        <v>145</v>
      </c>
      <c r="S1984">
        <v>0</v>
      </c>
    </row>
    <row r="1985" spans="1:19">
      <c r="A1985" t="s">
        <v>35</v>
      </c>
      <c r="B1985" t="s">
        <v>7631</v>
      </c>
      <c r="C1985">
        <f>"041C"</f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 s="2">
        <v>0</v>
      </c>
      <c r="M1985">
        <v>0</v>
      </c>
      <c r="N1985" s="2">
        <v>0</v>
      </c>
      <c r="O1985">
        <v>0</v>
      </c>
      <c r="P1985" t="s">
        <v>100</v>
      </c>
      <c r="Q1985">
        <v>0</v>
      </c>
      <c r="R1985" t="s">
        <v>145</v>
      </c>
      <c r="S1985">
        <v>0</v>
      </c>
    </row>
    <row r="1986" spans="1:19">
      <c r="A1986" t="s">
        <v>35</v>
      </c>
      <c r="B1986" t="s">
        <v>5139</v>
      </c>
      <c r="C1986">
        <f>"04874"</f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 s="2">
        <v>0</v>
      </c>
      <c r="M1986">
        <v>0</v>
      </c>
      <c r="N1986" s="2">
        <v>0</v>
      </c>
      <c r="O1986">
        <v>0</v>
      </c>
      <c r="P1986" t="s">
        <v>100</v>
      </c>
      <c r="Q1986">
        <v>0</v>
      </c>
      <c r="R1986" t="s">
        <v>145</v>
      </c>
      <c r="S1986">
        <v>0</v>
      </c>
    </row>
    <row r="1987" spans="1:19">
      <c r="A1987" t="s">
        <v>35</v>
      </c>
      <c r="B1987" t="s">
        <v>5138</v>
      </c>
      <c r="C1987">
        <f>"01132"</f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 s="2">
        <v>0</v>
      </c>
      <c r="M1987">
        <v>0</v>
      </c>
      <c r="N1987" s="2">
        <v>0</v>
      </c>
      <c r="O1987">
        <v>0</v>
      </c>
      <c r="P1987" t="s">
        <v>100</v>
      </c>
      <c r="Q1987">
        <v>0</v>
      </c>
      <c r="R1987" t="s">
        <v>145</v>
      </c>
      <c r="S1987">
        <v>0</v>
      </c>
    </row>
    <row r="1988" spans="1:19">
      <c r="A1988" t="s">
        <v>35</v>
      </c>
      <c r="B1988" t="s">
        <v>5137</v>
      </c>
      <c r="C1988">
        <f>"01156"</f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 s="2">
        <v>0</v>
      </c>
      <c r="M1988">
        <v>0</v>
      </c>
      <c r="N1988" s="2">
        <v>0</v>
      </c>
      <c r="O1988">
        <v>0</v>
      </c>
      <c r="P1988" t="s">
        <v>100</v>
      </c>
      <c r="Q1988">
        <v>0</v>
      </c>
      <c r="R1988" t="s">
        <v>145</v>
      </c>
      <c r="S1988">
        <v>0</v>
      </c>
    </row>
    <row r="1989" spans="1:19">
      <c r="A1989" t="s">
        <v>35</v>
      </c>
      <c r="B1989" t="s">
        <v>5136</v>
      </c>
      <c r="C1989">
        <f>"01149"</f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 s="2">
        <v>0</v>
      </c>
      <c r="M1989">
        <v>0</v>
      </c>
      <c r="N1989" s="2">
        <v>0</v>
      </c>
      <c r="O1989">
        <v>0</v>
      </c>
      <c r="P1989" t="s">
        <v>100</v>
      </c>
      <c r="Q1989">
        <v>0</v>
      </c>
      <c r="R1989" t="s">
        <v>145</v>
      </c>
      <c r="S1989">
        <v>0</v>
      </c>
    </row>
    <row r="1990" spans="1:19">
      <c r="A1990" t="s">
        <v>35</v>
      </c>
      <c r="B1990" t="s">
        <v>5135</v>
      </c>
      <c r="C1990">
        <f>"SDR212"</f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 s="2">
        <v>0</v>
      </c>
      <c r="M1990">
        <v>0</v>
      </c>
      <c r="N1990" s="2">
        <v>0</v>
      </c>
      <c r="O1990">
        <v>0</v>
      </c>
      <c r="P1990" t="s">
        <v>100</v>
      </c>
      <c r="Q1990">
        <v>0</v>
      </c>
      <c r="R1990" t="s">
        <v>145</v>
      </c>
      <c r="S1990">
        <v>0</v>
      </c>
    </row>
    <row r="1991" spans="1:19">
      <c r="A1991" t="s">
        <v>35</v>
      </c>
      <c r="B1991" t="s">
        <v>1389</v>
      </c>
      <c r="C1991">
        <f>"SDR213"</f>
        <v>0</v>
      </c>
      <c r="D1991">
        <v>1</v>
      </c>
      <c r="E1991">
        <v>0</v>
      </c>
      <c r="F1991">
        <v>0</v>
      </c>
      <c r="G1991">
        <v>0</v>
      </c>
      <c r="H1991">
        <v>1</v>
      </c>
      <c r="I1991">
        <v>0</v>
      </c>
      <c r="J1991">
        <v>0</v>
      </c>
      <c r="K1991">
        <v>0</v>
      </c>
      <c r="L1991" s="2">
        <v>0</v>
      </c>
      <c r="M1991">
        <v>0</v>
      </c>
      <c r="N1991" s="2">
        <v>0</v>
      </c>
      <c r="O1991">
        <v>0</v>
      </c>
      <c r="P1991" t="s">
        <v>100</v>
      </c>
      <c r="Q1991">
        <v>0</v>
      </c>
      <c r="R1991" t="s">
        <v>145</v>
      </c>
      <c r="S1991">
        <v>0</v>
      </c>
    </row>
    <row r="1992" spans="1:19">
      <c r="A1992" t="s">
        <v>35</v>
      </c>
      <c r="B1992" t="s">
        <v>1264</v>
      </c>
      <c r="C1992">
        <f>"SDR211"</f>
        <v>0</v>
      </c>
      <c r="D1992">
        <v>0</v>
      </c>
      <c r="E1992">
        <v>1</v>
      </c>
      <c r="F1992">
        <v>0</v>
      </c>
      <c r="G1992">
        <v>0</v>
      </c>
      <c r="H1992">
        <v>1</v>
      </c>
      <c r="I1992">
        <v>0</v>
      </c>
      <c r="J1992">
        <v>0</v>
      </c>
      <c r="K1992">
        <v>0</v>
      </c>
      <c r="L1992" s="2">
        <v>0</v>
      </c>
      <c r="M1992">
        <v>0</v>
      </c>
      <c r="N1992" s="2">
        <v>0</v>
      </c>
      <c r="O1992">
        <v>0</v>
      </c>
      <c r="P1992" t="s">
        <v>100</v>
      </c>
      <c r="Q1992">
        <v>0</v>
      </c>
      <c r="R1992" t="s">
        <v>145</v>
      </c>
      <c r="S1992">
        <v>0</v>
      </c>
    </row>
    <row r="1993" spans="1:19">
      <c r="A1993" t="s">
        <v>35</v>
      </c>
      <c r="B1993" t="s">
        <v>5192</v>
      </c>
      <c r="C1993">
        <f>"1812LLSILVER"</f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 s="2">
        <v>0</v>
      </c>
      <c r="M1993">
        <v>0</v>
      </c>
      <c r="N1993" s="2">
        <v>0</v>
      </c>
      <c r="O1993">
        <v>0</v>
      </c>
      <c r="P1993" t="s">
        <v>100</v>
      </c>
      <c r="Q1993">
        <v>0</v>
      </c>
      <c r="R1993" t="s">
        <v>145</v>
      </c>
      <c r="S1993">
        <v>0</v>
      </c>
    </row>
    <row r="1994" spans="1:19">
      <c r="A1994" t="s">
        <v>35</v>
      </c>
      <c r="B1994" t="s">
        <v>1000</v>
      </c>
      <c r="C1994">
        <f>"X1341LROS"</f>
        <v>0</v>
      </c>
      <c r="D1994">
        <v>2</v>
      </c>
      <c r="E1994">
        <v>0</v>
      </c>
      <c r="F1994">
        <v>0</v>
      </c>
      <c r="G1994">
        <v>0</v>
      </c>
      <c r="H1994">
        <v>2</v>
      </c>
      <c r="I1994">
        <v>0</v>
      </c>
      <c r="J1994">
        <v>0</v>
      </c>
      <c r="K1994">
        <v>0</v>
      </c>
      <c r="L1994" s="2">
        <v>0</v>
      </c>
      <c r="M1994">
        <v>0</v>
      </c>
      <c r="N1994" s="2">
        <v>0</v>
      </c>
      <c r="O1994">
        <v>0</v>
      </c>
      <c r="P1994" t="s">
        <v>100</v>
      </c>
      <c r="Q1994">
        <v>0</v>
      </c>
      <c r="R1994" t="s">
        <v>145</v>
      </c>
      <c r="S1994">
        <v>0</v>
      </c>
    </row>
    <row r="1995" spans="1:19">
      <c r="A1995" t="s">
        <v>35</v>
      </c>
      <c r="B1995" t="s">
        <v>5127</v>
      </c>
      <c r="C1995">
        <f>"X1341MROS"</f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 s="2">
        <v>0</v>
      </c>
      <c r="M1995">
        <v>0</v>
      </c>
      <c r="N1995" s="2">
        <v>0</v>
      </c>
      <c r="O1995">
        <v>0</v>
      </c>
      <c r="P1995" t="s">
        <v>100</v>
      </c>
      <c r="Q1995">
        <v>0</v>
      </c>
      <c r="R1995" t="s">
        <v>145</v>
      </c>
      <c r="S1995">
        <v>0</v>
      </c>
    </row>
    <row r="1996" spans="1:19">
      <c r="A1996" t="s">
        <v>35</v>
      </c>
      <c r="B1996" t="s">
        <v>7627</v>
      </c>
      <c r="C1996">
        <f>"X1341MV"</f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 s="2">
        <v>0</v>
      </c>
      <c r="M1996">
        <v>0</v>
      </c>
      <c r="N1996" s="2">
        <v>0</v>
      </c>
      <c r="O1996">
        <v>0</v>
      </c>
      <c r="P1996" t="s">
        <v>100</v>
      </c>
      <c r="Q1996">
        <v>0</v>
      </c>
      <c r="R1996" t="s">
        <v>145</v>
      </c>
      <c r="S1996">
        <v>0</v>
      </c>
    </row>
    <row r="1997" spans="1:19">
      <c r="A1997" t="s">
        <v>35</v>
      </c>
      <c r="B1997" t="s">
        <v>1266</v>
      </c>
      <c r="C1997">
        <f>"X1341XLROS"</f>
        <v>0</v>
      </c>
      <c r="D1997">
        <v>1</v>
      </c>
      <c r="E1997">
        <v>0</v>
      </c>
      <c r="F1997">
        <v>0</v>
      </c>
      <c r="G1997">
        <v>0</v>
      </c>
      <c r="H1997">
        <v>1</v>
      </c>
      <c r="I1997">
        <v>0</v>
      </c>
      <c r="J1997">
        <v>0</v>
      </c>
      <c r="K1997">
        <v>0</v>
      </c>
      <c r="L1997" s="2">
        <v>0</v>
      </c>
      <c r="M1997">
        <v>0</v>
      </c>
      <c r="N1997" s="2">
        <v>0</v>
      </c>
      <c r="O1997">
        <v>0</v>
      </c>
      <c r="P1997" t="s">
        <v>100</v>
      </c>
      <c r="Q1997">
        <v>0</v>
      </c>
      <c r="R1997" t="s">
        <v>145</v>
      </c>
      <c r="S1997">
        <v>0</v>
      </c>
    </row>
    <row r="1998" spans="1:19">
      <c r="A1998" t="s">
        <v>35</v>
      </c>
      <c r="B1998" t="s">
        <v>7626</v>
      </c>
      <c r="C1998">
        <f>"ZHP"</f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 s="2">
        <v>0</v>
      </c>
      <c r="M1998">
        <v>0</v>
      </c>
      <c r="N1998" s="2">
        <v>0</v>
      </c>
      <c r="O1998">
        <v>0</v>
      </c>
      <c r="P1998" t="s">
        <v>100</v>
      </c>
      <c r="Q1998">
        <v>0</v>
      </c>
      <c r="R1998" t="s">
        <v>145</v>
      </c>
      <c r="S1998">
        <v>0</v>
      </c>
    </row>
    <row r="1999" spans="1:19">
      <c r="A1999" t="s">
        <v>35</v>
      </c>
      <c r="B1999" t="s">
        <v>5161</v>
      </c>
      <c r="C1999">
        <f>"LV09092TPWL"</f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 s="2">
        <v>0</v>
      </c>
      <c r="M1999">
        <v>0</v>
      </c>
      <c r="N1999" s="2">
        <v>0</v>
      </c>
      <c r="O1999">
        <v>0</v>
      </c>
      <c r="P1999" t="s">
        <v>100</v>
      </c>
      <c r="Q1999">
        <v>0</v>
      </c>
      <c r="R1999" t="s">
        <v>145</v>
      </c>
      <c r="S1999">
        <v>0</v>
      </c>
    </row>
    <row r="2000" spans="1:19">
      <c r="A2000" t="s">
        <v>35</v>
      </c>
      <c r="B2000" t="s">
        <v>5176</v>
      </c>
      <c r="C2000">
        <f>"LV09092TPWM"</f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 s="2">
        <v>0</v>
      </c>
      <c r="M2000">
        <v>0</v>
      </c>
      <c r="N2000" s="2">
        <v>0</v>
      </c>
      <c r="O2000">
        <v>0</v>
      </c>
      <c r="P2000" t="s">
        <v>100</v>
      </c>
      <c r="Q2000">
        <v>0</v>
      </c>
      <c r="R2000" t="s">
        <v>145</v>
      </c>
      <c r="S2000">
        <v>0</v>
      </c>
    </row>
    <row r="2001" spans="1:19">
      <c r="A2001" t="s">
        <v>35</v>
      </c>
      <c r="B2001" t="s">
        <v>5153</v>
      </c>
      <c r="C2001">
        <f>"1812CBLUEL"</f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 s="2">
        <v>0</v>
      </c>
      <c r="M2001">
        <v>0</v>
      </c>
      <c r="N2001" s="2">
        <v>0</v>
      </c>
      <c r="O2001">
        <v>0</v>
      </c>
      <c r="P2001" t="s">
        <v>100</v>
      </c>
      <c r="Q2001">
        <v>0</v>
      </c>
      <c r="R2001" t="s">
        <v>145</v>
      </c>
      <c r="S2001">
        <v>0</v>
      </c>
    </row>
    <row r="2002" spans="1:19">
      <c r="A2002" t="s">
        <v>35</v>
      </c>
      <c r="B2002" t="s">
        <v>5152</v>
      </c>
      <c r="C2002">
        <f>"1812CBLUEM"</f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 s="2">
        <v>0</v>
      </c>
      <c r="M2002">
        <v>0</v>
      </c>
      <c r="N2002" s="2">
        <v>0</v>
      </c>
      <c r="O2002">
        <v>0</v>
      </c>
      <c r="P2002" t="s">
        <v>100</v>
      </c>
      <c r="Q2002">
        <v>0</v>
      </c>
      <c r="R2002" t="s">
        <v>145</v>
      </c>
      <c r="S2002">
        <v>0</v>
      </c>
    </row>
    <row r="2003" spans="1:19">
      <c r="A2003" t="s">
        <v>35</v>
      </c>
      <c r="B2003" t="s">
        <v>5150</v>
      </c>
      <c r="C2003">
        <f>"1812CREDL"</f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 s="2">
        <v>0</v>
      </c>
      <c r="M2003">
        <v>0</v>
      </c>
      <c r="N2003" s="2">
        <v>0</v>
      </c>
      <c r="O2003">
        <v>0</v>
      </c>
      <c r="P2003" t="s">
        <v>100</v>
      </c>
      <c r="Q2003">
        <v>0</v>
      </c>
      <c r="R2003" t="s">
        <v>145</v>
      </c>
      <c r="S2003">
        <v>0</v>
      </c>
    </row>
    <row r="2004" spans="1:19">
      <c r="A2004" t="s">
        <v>35</v>
      </c>
      <c r="B2004" t="s">
        <v>5116</v>
      </c>
      <c r="C2004">
        <f>"X1341S"</f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 s="2">
        <v>0</v>
      </c>
      <c r="M2004">
        <v>0</v>
      </c>
      <c r="N2004" s="2">
        <v>0</v>
      </c>
      <c r="O2004">
        <v>0</v>
      </c>
      <c r="P2004" t="s">
        <v>100</v>
      </c>
      <c r="Q2004">
        <v>0</v>
      </c>
      <c r="R2004" t="s">
        <v>145</v>
      </c>
      <c r="S2004">
        <v>0</v>
      </c>
    </row>
    <row r="2005" spans="1:19">
      <c r="A2005" t="s">
        <v>35</v>
      </c>
      <c r="B2005" t="s">
        <v>5007</v>
      </c>
      <c r="C2005">
        <f>"1837BCS"</f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 s="2">
        <v>0</v>
      </c>
      <c r="M2005">
        <v>0</v>
      </c>
      <c r="N2005" s="2">
        <v>0</v>
      </c>
      <c r="O2005">
        <v>0</v>
      </c>
      <c r="P2005" t="s">
        <v>100</v>
      </c>
      <c r="Q2005">
        <v>0</v>
      </c>
      <c r="R2005" t="s">
        <v>145</v>
      </c>
      <c r="S2005">
        <v>0</v>
      </c>
    </row>
    <row r="2006" spans="1:19">
      <c r="A2006" t="s">
        <v>35</v>
      </c>
      <c r="B2006" t="s">
        <v>5022</v>
      </c>
      <c r="C2006">
        <f>"1837BCXS"</f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 s="2">
        <v>0</v>
      </c>
      <c r="M2006">
        <v>0</v>
      </c>
      <c r="N2006" s="2">
        <v>0</v>
      </c>
      <c r="O2006">
        <v>0</v>
      </c>
      <c r="P2006" t="s">
        <v>100</v>
      </c>
      <c r="Q2006">
        <v>0</v>
      </c>
      <c r="R2006" t="s">
        <v>145</v>
      </c>
      <c r="S2006">
        <v>0</v>
      </c>
    </row>
    <row r="2007" spans="1:19">
      <c r="A2007" t="s">
        <v>35</v>
      </c>
      <c r="B2007" t="s">
        <v>5005</v>
      </c>
      <c r="C2007">
        <f>"1837BCXXS"</f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 s="2">
        <v>0</v>
      </c>
      <c r="M2007">
        <v>0</v>
      </c>
      <c r="N2007" s="2">
        <v>0</v>
      </c>
      <c r="O2007">
        <v>0</v>
      </c>
      <c r="P2007" t="s">
        <v>100</v>
      </c>
      <c r="Q2007">
        <v>0</v>
      </c>
      <c r="R2007" t="s">
        <v>145</v>
      </c>
      <c r="S2007">
        <v>0</v>
      </c>
    </row>
    <row r="2008" spans="1:19">
      <c r="A2008" t="s">
        <v>35</v>
      </c>
      <c r="B2008" t="s">
        <v>5742</v>
      </c>
      <c r="C2008">
        <f>"ZCM10A"</f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 s="2">
        <v>0</v>
      </c>
      <c r="M2008">
        <v>0</v>
      </c>
      <c r="N2008" s="2">
        <v>0</v>
      </c>
      <c r="O2008">
        <v>0</v>
      </c>
      <c r="P2008" t="s">
        <v>100</v>
      </c>
      <c r="Q2008">
        <v>0</v>
      </c>
      <c r="R2008" t="s">
        <v>145</v>
      </c>
      <c r="S2008">
        <v>0</v>
      </c>
    </row>
    <row r="2009" spans="1:19">
      <c r="A2009" t="s">
        <v>35</v>
      </c>
      <c r="B2009" t="s">
        <v>4322</v>
      </c>
      <c r="C2009">
        <f>"LS8L"</f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 s="2">
        <v>0</v>
      </c>
      <c r="M2009">
        <v>0</v>
      </c>
      <c r="N2009" s="2">
        <v>0</v>
      </c>
      <c r="O2009">
        <v>0</v>
      </c>
      <c r="P2009" t="s">
        <v>100</v>
      </c>
      <c r="Q2009">
        <v>0</v>
      </c>
      <c r="R2009" t="s">
        <v>145</v>
      </c>
      <c r="S2009">
        <v>0</v>
      </c>
    </row>
    <row r="2010" spans="1:19">
      <c r="A2010" t="s">
        <v>35</v>
      </c>
      <c r="B2010" t="s">
        <v>4321</v>
      </c>
      <c r="C2010">
        <f>"LSAM"</f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 s="2">
        <v>0</v>
      </c>
      <c r="M2010">
        <v>0</v>
      </c>
      <c r="N2010" s="2">
        <v>0</v>
      </c>
      <c r="O2010">
        <v>0</v>
      </c>
      <c r="P2010" t="s">
        <v>100</v>
      </c>
      <c r="Q2010">
        <v>0</v>
      </c>
      <c r="R2010" t="s">
        <v>145</v>
      </c>
      <c r="S2010">
        <v>0</v>
      </c>
    </row>
    <row r="2011" spans="1:19">
      <c r="A2011" t="s">
        <v>35</v>
      </c>
      <c r="B2011" t="s">
        <v>4376</v>
      </c>
      <c r="C2011">
        <f>"LS8M"</f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 s="2">
        <v>0</v>
      </c>
      <c r="M2011">
        <v>0</v>
      </c>
      <c r="N2011" s="2">
        <v>0</v>
      </c>
      <c r="O2011">
        <v>0</v>
      </c>
      <c r="P2011" t="s">
        <v>100</v>
      </c>
      <c r="Q2011">
        <v>0</v>
      </c>
      <c r="R2011" t="s">
        <v>145</v>
      </c>
      <c r="S2011">
        <v>0</v>
      </c>
    </row>
    <row r="2012" spans="1:19">
      <c r="A2012" t="s">
        <v>35</v>
      </c>
      <c r="B2012" t="s">
        <v>4375</v>
      </c>
      <c r="C2012">
        <f>"LS4N"</f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 s="2">
        <v>0</v>
      </c>
      <c r="M2012">
        <v>0</v>
      </c>
      <c r="N2012" s="2">
        <v>0</v>
      </c>
      <c r="O2012">
        <v>0</v>
      </c>
      <c r="P2012" t="s">
        <v>100</v>
      </c>
      <c r="Q2012">
        <v>0</v>
      </c>
      <c r="R2012" t="s">
        <v>145</v>
      </c>
      <c r="S2012">
        <v>0</v>
      </c>
    </row>
    <row r="2013" spans="1:19">
      <c r="A2013" t="s">
        <v>35</v>
      </c>
      <c r="B2013" t="s">
        <v>4374</v>
      </c>
      <c r="C2013">
        <f>"LS8N"</f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 s="2">
        <v>0</v>
      </c>
      <c r="M2013">
        <v>0</v>
      </c>
      <c r="N2013" s="2">
        <v>0</v>
      </c>
      <c r="O2013">
        <v>0</v>
      </c>
      <c r="P2013" t="s">
        <v>100</v>
      </c>
      <c r="Q2013">
        <v>0</v>
      </c>
      <c r="R2013" t="s">
        <v>145</v>
      </c>
      <c r="S2013">
        <v>0</v>
      </c>
    </row>
    <row r="2014" spans="1:19">
      <c r="A2014" t="s">
        <v>35</v>
      </c>
      <c r="B2014" t="s">
        <v>4264</v>
      </c>
      <c r="C2014">
        <f>"LS4R"</f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 s="2">
        <v>0</v>
      </c>
      <c r="M2014">
        <v>0</v>
      </c>
      <c r="N2014" s="2">
        <v>0</v>
      </c>
      <c r="O2014">
        <v>0</v>
      </c>
      <c r="P2014" t="s">
        <v>100</v>
      </c>
      <c r="Q2014">
        <v>0</v>
      </c>
      <c r="R2014" t="s">
        <v>145</v>
      </c>
      <c r="S2014">
        <v>0</v>
      </c>
    </row>
    <row r="2015" spans="1:19">
      <c r="A2015" t="s">
        <v>35</v>
      </c>
      <c r="B2015" t="s">
        <v>5171</v>
      </c>
      <c r="C2015">
        <f>"1837PXS"</f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 s="2">
        <v>0</v>
      </c>
      <c r="M2015">
        <v>0</v>
      </c>
      <c r="N2015" s="2">
        <v>0</v>
      </c>
      <c r="O2015">
        <v>0</v>
      </c>
      <c r="P2015" t="s">
        <v>100</v>
      </c>
      <c r="Q2015">
        <v>0</v>
      </c>
      <c r="R2015" t="s">
        <v>145</v>
      </c>
      <c r="S2015">
        <v>0</v>
      </c>
    </row>
    <row r="2016" spans="1:19">
      <c r="A2016" t="s">
        <v>35</v>
      </c>
      <c r="B2016" t="s">
        <v>1285</v>
      </c>
      <c r="C2016">
        <f>"ARCG"</f>
        <v>0</v>
      </c>
      <c r="D2016">
        <v>0</v>
      </c>
      <c r="E2016">
        <v>0</v>
      </c>
      <c r="F2016">
        <v>1</v>
      </c>
      <c r="G2016">
        <v>0</v>
      </c>
      <c r="H2016">
        <v>1</v>
      </c>
      <c r="I2016">
        <v>0</v>
      </c>
      <c r="J2016">
        <v>0</v>
      </c>
      <c r="K2016">
        <v>0</v>
      </c>
      <c r="L2016" s="2">
        <v>0</v>
      </c>
      <c r="M2016">
        <v>0</v>
      </c>
      <c r="N2016" s="2">
        <v>0</v>
      </c>
      <c r="O2016">
        <v>0</v>
      </c>
      <c r="P2016" t="s">
        <v>100</v>
      </c>
      <c r="Q2016">
        <v>0</v>
      </c>
      <c r="R2016" t="s">
        <v>145</v>
      </c>
      <c r="S2016">
        <v>0</v>
      </c>
    </row>
    <row r="2017" spans="1:19">
      <c r="A2017" t="s">
        <v>35</v>
      </c>
      <c r="B2017" t="s">
        <v>3560</v>
      </c>
      <c r="C2017">
        <f>"SILI32"</f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 s="2">
        <v>0</v>
      </c>
      <c r="M2017">
        <v>0</v>
      </c>
      <c r="N2017" s="2">
        <v>0</v>
      </c>
      <c r="O2017">
        <v>0</v>
      </c>
      <c r="P2017" t="s">
        <v>100</v>
      </c>
      <c r="Q2017">
        <v>0</v>
      </c>
      <c r="R2017" t="s">
        <v>145</v>
      </c>
      <c r="S2017">
        <v>0</v>
      </c>
    </row>
    <row r="2018" spans="1:19">
      <c r="A2018" t="s">
        <v>35</v>
      </c>
      <c r="B2018" t="s">
        <v>3559</v>
      </c>
      <c r="C2018">
        <f>"ATC15"</f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 s="2">
        <v>0</v>
      </c>
      <c r="M2018">
        <v>0</v>
      </c>
      <c r="N2018" s="2">
        <v>0</v>
      </c>
      <c r="O2018">
        <v>0</v>
      </c>
      <c r="P2018" t="s">
        <v>100</v>
      </c>
      <c r="Q2018">
        <v>0</v>
      </c>
      <c r="R2018" t="s">
        <v>145</v>
      </c>
      <c r="S2018">
        <v>0</v>
      </c>
    </row>
    <row r="2019" spans="1:19">
      <c r="A2019" t="s">
        <v>35</v>
      </c>
      <c r="B2019" t="s">
        <v>3558</v>
      </c>
      <c r="C2019">
        <f>"ATCB"</f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 s="2">
        <v>0</v>
      </c>
      <c r="M2019">
        <v>0</v>
      </c>
      <c r="N2019" s="2">
        <v>0</v>
      </c>
      <c r="O2019">
        <v>0</v>
      </c>
      <c r="P2019" t="s">
        <v>100</v>
      </c>
      <c r="Q2019">
        <v>0</v>
      </c>
      <c r="R2019" t="s">
        <v>145</v>
      </c>
      <c r="S2019">
        <v>0</v>
      </c>
    </row>
    <row r="2020" spans="1:19">
      <c r="A2020" t="s">
        <v>35</v>
      </c>
      <c r="B2020" t="s">
        <v>1767</v>
      </c>
      <c r="C2020">
        <f>"100002"</f>
        <v>0</v>
      </c>
      <c r="D2020">
        <v>0</v>
      </c>
      <c r="E2020">
        <v>2</v>
      </c>
      <c r="F2020">
        <v>6</v>
      </c>
      <c r="G2020">
        <v>2</v>
      </c>
      <c r="H2020">
        <v>10</v>
      </c>
      <c r="I2020">
        <v>2</v>
      </c>
      <c r="J2020">
        <v>5</v>
      </c>
      <c r="K2020">
        <v>24.769</v>
      </c>
      <c r="L2020" s="2">
        <v>5</v>
      </c>
      <c r="M2020">
        <v>0</v>
      </c>
      <c r="N2020" s="2">
        <v>0</v>
      </c>
      <c r="O2020">
        <v>0</v>
      </c>
      <c r="P2020" t="s">
        <v>11048</v>
      </c>
      <c r="Q2020">
        <v>7.723</v>
      </c>
      <c r="R2020" t="s">
        <v>11183</v>
      </c>
      <c r="S2020">
        <v>0</v>
      </c>
    </row>
    <row r="2021" spans="1:19">
      <c r="A2021" t="s">
        <v>35</v>
      </c>
      <c r="B2021" t="s">
        <v>5725</v>
      </c>
      <c r="C2021">
        <f>"BY5631V"</f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 s="2">
        <v>0</v>
      </c>
      <c r="M2021">
        <v>0</v>
      </c>
      <c r="N2021" s="2">
        <v>0</v>
      </c>
      <c r="O2021">
        <v>0</v>
      </c>
      <c r="P2021" t="s">
        <v>100</v>
      </c>
      <c r="Q2021">
        <v>0</v>
      </c>
      <c r="R2021" t="s">
        <v>145</v>
      </c>
      <c r="S2021">
        <v>0</v>
      </c>
    </row>
    <row r="2022" spans="1:19">
      <c r="A2022" t="s">
        <v>35</v>
      </c>
      <c r="B2022" t="s">
        <v>5724</v>
      </c>
      <c r="C2022">
        <f>"BY5632A"</f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 s="2">
        <v>0</v>
      </c>
      <c r="M2022">
        <v>0</v>
      </c>
      <c r="N2022" s="2">
        <v>0</v>
      </c>
      <c r="O2022">
        <v>0</v>
      </c>
      <c r="P2022" t="s">
        <v>100</v>
      </c>
      <c r="Q2022">
        <v>0</v>
      </c>
      <c r="R2022" t="s">
        <v>145</v>
      </c>
      <c r="S2022">
        <v>0</v>
      </c>
    </row>
    <row r="2023" spans="1:19">
      <c r="A2023" t="s">
        <v>35</v>
      </c>
      <c r="B2023" t="s">
        <v>3180</v>
      </c>
      <c r="C2023">
        <f>"1756818496422"</f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 s="2">
        <v>0</v>
      </c>
      <c r="M2023">
        <v>0</v>
      </c>
      <c r="N2023" s="2">
        <v>0</v>
      </c>
      <c r="O2023">
        <v>0</v>
      </c>
      <c r="P2023" t="s">
        <v>100</v>
      </c>
      <c r="Q2023">
        <v>0</v>
      </c>
      <c r="R2023" t="s">
        <v>145</v>
      </c>
      <c r="S2023">
        <v>0</v>
      </c>
    </row>
    <row r="2024" spans="1:19">
      <c r="A2024" t="s">
        <v>35</v>
      </c>
      <c r="B2024" t="s">
        <v>3179</v>
      </c>
      <c r="C2024">
        <f>"DM2045"</f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 s="2">
        <v>0</v>
      </c>
      <c r="M2024">
        <v>0</v>
      </c>
      <c r="N2024" s="2">
        <v>0</v>
      </c>
      <c r="O2024">
        <v>0</v>
      </c>
      <c r="P2024" t="s">
        <v>100</v>
      </c>
      <c r="Q2024">
        <v>0</v>
      </c>
      <c r="R2024" t="s">
        <v>145</v>
      </c>
      <c r="S2024">
        <v>0</v>
      </c>
    </row>
    <row r="2025" spans="1:19">
      <c r="A2025" t="s">
        <v>35</v>
      </c>
      <c r="B2025" t="s">
        <v>5028</v>
      </c>
      <c r="C2025">
        <f>"25395868"</f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 s="2">
        <v>0</v>
      </c>
      <c r="M2025">
        <v>0</v>
      </c>
      <c r="N2025" s="2">
        <v>0</v>
      </c>
      <c r="O2025">
        <v>0</v>
      </c>
      <c r="P2025" t="s">
        <v>100</v>
      </c>
      <c r="Q2025">
        <v>0</v>
      </c>
      <c r="R2025" t="s">
        <v>145</v>
      </c>
      <c r="S2025">
        <v>0</v>
      </c>
    </row>
    <row r="2026" spans="1:19">
      <c r="A2026" t="s">
        <v>35</v>
      </c>
      <c r="B2026" t="s">
        <v>4263</v>
      </c>
      <c r="C2026">
        <f>"LS8R"</f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 s="2">
        <v>0</v>
      </c>
      <c r="M2026">
        <v>0</v>
      </c>
      <c r="N2026" s="2">
        <v>0</v>
      </c>
      <c r="O2026">
        <v>0</v>
      </c>
      <c r="P2026" t="s">
        <v>100</v>
      </c>
      <c r="Q2026">
        <v>0</v>
      </c>
      <c r="R2026" t="s">
        <v>145</v>
      </c>
      <c r="S2026">
        <v>0</v>
      </c>
    </row>
    <row r="2027" spans="1:19">
      <c r="A2027" t="s">
        <v>35</v>
      </c>
      <c r="B2027" t="s">
        <v>5170</v>
      </c>
      <c r="C2027">
        <f>"1837PXXS"</f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 s="2">
        <v>0</v>
      </c>
      <c r="M2027">
        <v>0</v>
      </c>
      <c r="N2027" s="2">
        <v>0</v>
      </c>
      <c r="O2027">
        <v>0</v>
      </c>
      <c r="P2027" t="s">
        <v>100</v>
      </c>
      <c r="Q2027">
        <v>0</v>
      </c>
      <c r="R2027" t="s">
        <v>145</v>
      </c>
      <c r="S2027">
        <v>0</v>
      </c>
    </row>
    <row r="2028" spans="1:19">
      <c r="A2028" t="s">
        <v>35</v>
      </c>
      <c r="B2028" t="s">
        <v>5169</v>
      </c>
      <c r="C2028">
        <f>"LV09092TBL"</f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 s="2">
        <v>0</v>
      </c>
      <c r="M2028">
        <v>0</v>
      </c>
      <c r="N2028" s="2">
        <v>0</v>
      </c>
      <c r="O2028">
        <v>0</v>
      </c>
      <c r="P2028" t="s">
        <v>100</v>
      </c>
      <c r="Q2028">
        <v>0</v>
      </c>
      <c r="R2028" t="s">
        <v>145</v>
      </c>
      <c r="S2028">
        <v>0</v>
      </c>
    </row>
    <row r="2029" spans="1:19">
      <c r="A2029" t="s">
        <v>35</v>
      </c>
      <c r="B2029" t="s">
        <v>5168</v>
      </c>
      <c r="C2029">
        <f>"LV09092TBM"</f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 s="2">
        <v>0</v>
      </c>
      <c r="M2029">
        <v>0</v>
      </c>
      <c r="N2029" s="2">
        <v>0</v>
      </c>
      <c r="O2029">
        <v>0</v>
      </c>
      <c r="P2029" t="s">
        <v>100</v>
      </c>
      <c r="Q2029">
        <v>0</v>
      </c>
      <c r="R2029" t="s">
        <v>145</v>
      </c>
      <c r="S2029">
        <v>0</v>
      </c>
    </row>
    <row r="2030" spans="1:19">
      <c r="A2030" t="s">
        <v>35</v>
      </c>
      <c r="B2030" t="s">
        <v>5167</v>
      </c>
      <c r="C2030">
        <f>"LV09092TBS"</f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 s="2">
        <v>0</v>
      </c>
      <c r="M2030">
        <v>0</v>
      </c>
      <c r="N2030" s="2">
        <v>0</v>
      </c>
      <c r="O2030">
        <v>0</v>
      </c>
      <c r="P2030" t="s">
        <v>100</v>
      </c>
      <c r="Q2030">
        <v>0</v>
      </c>
      <c r="R2030" t="s">
        <v>145</v>
      </c>
      <c r="S2030">
        <v>0</v>
      </c>
    </row>
    <row r="2031" spans="1:19">
      <c r="A2031" t="s">
        <v>35</v>
      </c>
      <c r="B2031" t="s">
        <v>5757</v>
      </c>
      <c r="C2031">
        <f>"ZCM10N"</f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 s="2">
        <v>0</v>
      </c>
      <c r="M2031">
        <v>0</v>
      </c>
      <c r="N2031" s="2">
        <v>0</v>
      </c>
      <c r="O2031">
        <v>0</v>
      </c>
      <c r="P2031" t="s">
        <v>100</v>
      </c>
      <c r="Q2031">
        <v>0</v>
      </c>
      <c r="R2031" t="s">
        <v>145</v>
      </c>
      <c r="S2031">
        <v>0</v>
      </c>
    </row>
    <row r="2032" spans="1:19">
      <c r="A2032" t="s">
        <v>35</v>
      </c>
      <c r="B2032" t="s">
        <v>5913</v>
      </c>
      <c r="C2032">
        <f>"9001163C"</f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 s="2">
        <v>0</v>
      </c>
      <c r="M2032">
        <v>0</v>
      </c>
      <c r="N2032" s="2">
        <v>0</v>
      </c>
      <c r="O2032">
        <v>0</v>
      </c>
      <c r="P2032" t="s">
        <v>100</v>
      </c>
      <c r="Q2032">
        <v>0</v>
      </c>
      <c r="R2032" t="s">
        <v>145</v>
      </c>
      <c r="S2032">
        <v>0</v>
      </c>
    </row>
    <row r="2033" spans="1:19">
      <c r="A2033" t="s">
        <v>35</v>
      </c>
      <c r="B2033" t="s">
        <v>5912</v>
      </c>
      <c r="C2033">
        <f>"9001163G"</f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 s="2">
        <v>0</v>
      </c>
      <c r="M2033">
        <v>0</v>
      </c>
      <c r="N2033" s="2">
        <v>0</v>
      </c>
      <c r="O2033">
        <v>0</v>
      </c>
      <c r="P2033" t="s">
        <v>100</v>
      </c>
      <c r="Q2033">
        <v>0</v>
      </c>
      <c r="R2033" t="s">
        <v>145</v>
      </c>
      <c r="S2033">
        <v>0</v>
      </c>
    </row>
    <row r="2034" spans="1:19">
      <c r="A2034" t="s">
        <v>35</v>
      </c>
      <c r="B2034" t="s">
        <v>1210</v>
      </c>
      <c r="C2034">
        <f>"9001161C"</f>
        <v>0</v>
      </c>
      <c r="D2034">
        <v>0</v>
      </c>
      <c r="E2034">
        <v>0</v>
      </c>
      <c r="F2034">
        <v>1</v>
      </c>
      <c r="G2034">
        <v>0</v>
      </c>
      <c r="H2034">
        <v>1</v>
      </c>
      <c r="I2034">
        <v>0</v>
      </c>
      <c r="J2034">
        <v>0</v>
      </c>
      <c r="K2034">
        <v>0</v>
      </c>
      <c r="L2034" s="2">
        <v>0</v>
      </c>
      <c r="M2034">
        <v>0</v>
      </c>
      <c r="N2034" s="2">
        <v>0</v>
      </c>
      <c r="O2034">
        <v>0</v>
      </c>
      <c r="P2034" t="s">
        <v>100</v>
      </c>
      <c r="Q2034">
        <v>0</v>
      </c>
      <c r="R2034" t="s">
        <v>145</v>
      </c>
      <c r="S2034">
        <v>0</v>
      </c>
    </row>
    <row r="2035" spans="1:19">
      <c r="A2035" t="s">
        <v>35</v>
      </c>
      <c r="B2035" t="s">
        <v>5004</v>
      </c>
      <c r="C2035">
        <f>"1837RRS"</f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 s="2">
        <v>0</v>
      </c>
      <c r="M2035">
        <v>0</v>
      </c>
      <c r="N2035" s="2">
        <v>0</v>
      </c>
      <c r="O2035">
        <v>0</v>
      </c>
      <c r="P2035" t="s">
        <v>100</v>
      </c>
      <c r="Q2035">
        <v>0</v>
      </c>
      <c r="R2035" t="s">
        <v>145</v>
      </c>
      <c r="S2035">
        <v>0</v>
      </c>
    </row>
    <row r="2036" spans="1:19">
      <c r="A2036" t="s">
        <v>35</v>
      </c>
      <c r="B2036" t="s">
        <v>5003</v>
      </c>
      <c r="C2036">
        <f>"1837RRL"</f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 s="2">
        <v>0</v>
      </c>
      <c r="M2036">
        <v>0</v>
      </c>
      <c r="N2036" s="2">
        <v>0</v>
      </c>
      <c r="O2036">
        <v>0</v>
      </c>
      <c r="P2036" t="s">
        <v>100</v>
      </c>
      <c r="Q2036">
        <v>0</v>
      </c>
      <c r="R2036" t="s">
        <v>145</v>
      </c>
      <c r="S2036">
        <v>0</v>
      </c>
    </row>
    <row r="2037" spans="1:19">
      <c r="A2037" t="s">
        <v>35</v>
      </c>
      <c r="B2037" t="s">
        <v>5008</v>
      </c>
      <c r="C2037">
        <f>"1837BCM"</f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 s="2">
        <v>0</v>
      </c>
      <c r="M2037">
        <v>0</v>
      </c>
      <c r="N2037" s="2">
        <v>0</v>
      </c>
      <c r="O2037">
        <v>0</v>
      </c>
      <c r="P2037" t="s">
        <v>100</v>
      </c>
      <c r="Q2037">
        <v>0</v>
      </c>
      <c r="R2037" t="s">
        <v>145</v>
      </c>
      <c r="S2037">
        <v>0</v>
      </c>
    </row>
    <row r="2038" spans="1:19">
      <c r="A2038" t="s">
        <v>35</v>
      </c>
      <c r="B2038" t="s">
        <v>5001</v>
      </c>
      <c r="C2038">
        <f>"1837RRXS"</f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 s="2">
        <v>0</v>
      </c>
      <c r="M2038">
        <v>0</v>
      </c>
      <c r="N2038" s="2">
        <v>0</v>
      </c>
      <c r="O2038">
        <v>0</v>
      </c>
      <c r="P2038" t="s">
        <v>100</v>
      </c>
      <c r="Q2038">
        <v>0</v>
      </c>
      <c r="R2038" t="s">
        <v>145</v>
      </c>
      <c r="S2038">
        <v>0</v>
      </c>
    </row>
    <row r="2039" spans="1:19">
      <c r="A2039" t="s">
        <v>35</v>
      </c>
      <c r="B2039" t="s">
        <v>5000</v>
      </c>
      <c r="C2039">
        <f>"1837RRXXS"</f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 s="2">
        <v>0</v>
      </c>
      <c r="M2039">
        <v>0</v>
      </c>
      <c r="N2039" s="2">
        <v>0</v>
      </c>
      <c r="O2039">
        <v>0</v>
      </c>
      <c r="P2039" t="s">
        <v>100</v>
      </c>
      <c r="Q2039">
        <v>0</v>
      </c>
      <c r="R2039" t="s">
        <v>145</v>
      </c>
      <c r="S2039">
        <v>0</v>
      </c>
    </row>
    <row r="2040" spans="1:19">
      <c r="A2040" t="s">
        <v>35</v>
      </c>
      <c r="B2040" t="s">
        <v>3178</v>
      </c>
      <c r="C2040">
        <f>"LM018"</f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 s="2">
        <v>0</v>
      </c>
      <c r="M2040">
        <v>0</v>
      </c>
      <c r="N2040" s="2">
        <v>0</v>
      </c>
      <c r="O2040">
        <v>0</v>
      </c>
      <c r="P2040" t="s">
        <v>100</v>
      </c>
      <c r="Q2040">
        <v>0</v>
      </c>
      <c r="R2040" t="s">
        <v>145</v>
      </c>
      <c r="S2040">
        <v>0</v>
      </c>
    </row>
    <row r="2041" spans="1:19">
      <c r="A2041" t="s">
        <v>35</v>
      </c>
      <c r="B2041" t="s">
        <v>3176</v>
      </c>
      <c r="C2041">
        <f>"LM018N"</f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 s="2">
        <v>0</v>
      </c>
      <c r="M2041">
        <v>0</v>
      </c>
      <c r="N2041" s="2">
        <v>0</v>
      </c>
      <c r="O2041">
        <v>0</v>
      </c>
      <c r="P2041" t="s">
        <v>100</v>
      </c>
      <c r="Q2041">
        <v>0</v>
      </c>
      <c r="R2041" t="s">
        <v>145</v>
      </c>
      <c r="S2041">
        <v>0</v>
      </c>
    </row>
    <row r="2042" spans="1:19">
      <c r="A2042" t="s">
        <v>35</v>
      </c>
      <c r="B2042" t="s">
        <v>5722</v>
      </c>
      <c r="C2042">
        <f>"2127"</f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 s="2">
        <v>0</v>
      </c>
      <c r="M2042">
        <v>0</v>
      </c>
      <c r="N2042" s="2">
        <v>0</v>
      </c>
      <c r="O2042">
        <v>0</v>
      </c>
      <c r="P2042" t="s">
        <v>100</v>
      </c>
      <c r="Q2042">
        <v>0</v>
      </c>
      <c r="R2042" t="s">
        <v>145</v>
      </c>
      <c r="S2042">
        <v>0</v>
      </c>
    </row>
    <row r="2043" spans="1:19">
      <c r="A2043" t="s">
        <v>35</v>
      </c>
      <c r="B2043" t="s">
        <v>3406</v>
      </c>
      <c r="C2043">
        <f>"X070"</f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 s="2">
        <v>0</v>
      </c>
      <c r="M2043">
        <v>0</v>
      </c>
      <c r="N2043" s="2">
        <v>0</v>
      </c>
      <c r="O2043">
        <v>0</v>
      </c>
      <c r="P2043" t="s">
        <v>100</v>
      </c>
      <c r="Q2043">
        <v>0</v>
      </c>
      <c r="R2043" t="s">
        <v>145</v>
      </c>
      <c r="S2043">
        <v>0</v>
      </c>
    </row>
    <row r="2044" spans="1:19">
      <c r="A2044" t="s">
        <v>35</v>
      </c>
      <c r="B2044" t="s">
        <v>2867</v>
      </c>
      <c r="C2044">
        <f>"ARECC10"</f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 s="2">
        <v>0</v>
      </c>
      <c r="M2044">
        <v>0</v>
      </c>
      <c r="N2044" s="2">
        <v>0</v>
      </c>
      <c r="O2044">
        <v>0</v>
      </c>
      <c r="P2044" t="s">
        <v>100</v>
      </c>
      <c r="Q2044">
        <v>0</v>
      </c>
      <c r="R2044" t="s">
        <v>145</v>
      </c>
      <c r="S2044">
        <v>0</v>
      </c>
    </row>
    <row r="2045" spans="1:19">
      <c r="A2045" t="s">
        <v>35</v>
      </c>
      <c r="B2045" t="s">
        <v>5012</v>
      </c>
      <c r="C2045">
        <f>"1837SAM"</f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 s="2">
        <v>0</v>
      </c>
      <c r="M2045">
        <v>0</v>
      </c>
      <c r="N2045" s="2">
        <v>0</v>
      </c>
      <c r="O2045">
        <v>0</v>
      </c>
      <c r="P2045" t="s">
        <v>100</v>
      </c>
      <c r="Q2045">
        <v>0</v>
      </c>
      <c r="R2045" t="s">
        <v>145</v>
      </c>
      <c r="S2045">
        <v>0</v>
      </c>
    </row>
    <row r="2046" spans="1:19">
      <c r="A2046" t="s">
        <v>35</v>
      </c>
      <c r="B2046" t="s">
        <v>5011</v>
      </c>
      <c r="C2046">
        <f>"1837XSAM"</f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 s="2">
        <v>0</v>
      </c>
      <c r="M2046">
        <v>0</v>
      </c>
      <c r="N2046" s="2">
        <v>0</v>
      </c>
      <c r="O2046">
        <v>0</v>
      </c>
      <c r="P2046" t="s">
        <v>100</v>
      </c>
      <c r="Q2046">
        <v>0</v>
      </c>
      <c r="R2046" t="s">
        <v>145</v>
      </c>
      <c r="S2046">
        <v>0</v>
      </c>
    </row>
    <row r="2047" spans="1:19">
      <c r="A2047" t="s">
        <v>35</v>
      </c>
      <c r="B2047" t="s">
        <v>5010</v>
      </c>
      <c r="C2047">
        <f>"1837XXSAM"</f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 s="2">
        <v>0</v>
      </c>
      <c r="M2047">
        <v>0</v>
      </c>
      <c r="N2047" s="2">
        <v>0</v>
      </c>
      <c r="O2047">
        <v>0</v>
      </c>
      <c r="P2047" t="s">
        <v>100</v>
      </c>
      <c r="Q2047">
        <v>0</v>
      </c>
      <c r="R2047" t="s">
        <v>145</v>
      </c>
      <c r="S2047">
        <v>0</v>
      </c>
    </row>
    <row r="2048" spans="1:19">
      <c r="A2048" t="s">
        <v>35</v>
      </c>
      <c r="B2048" t="s">
        <v>5002</v>
      </c>
      <c r="C2048">
        <f>"1837RRM"</f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 s="2">
        <v>0</v>
      </c>
      <c r="M2048">
        <v>0</v>
      </c>
      <c r="N2048" s="2">
        <v>0</v>
      </c>
      <c r="O2048">
        <v>0</v>
      </c>
      <c r="P2048" t="s">
        <v>100</v>
      </c>
      <c r="Q2048">
        <v>0</v>
      </c>
      <c r="R2048" t="s">
        <v>145</v>
      </c>
      <c r="S2048">
        <v>0</v>
      </c>
    </row>
    <row r="2049" spans="1:19">
      <c r="A2049" t="s">
        <v>35</v>
      </c>
      <c r="B2049" t="s">
        <v>9866</v>
      </c>
      <c r="C2049">
        <f>"EK3004"</f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 s="2">
        <v>0</v>
      </c>
      <c r="M2049">
        <v>0</v>
      </c>
      <c r="N2049" s="2">
        <v>0</v>
      </c>
      <c r="O2049">
        <v>0</v>
      </c>
      <c r="P2049" t="s">
        <v>100</v>
      </c>
      <c r="Q2049">
        <v>0</v>
      </c>
      <c r="R2049" t="s">
        <v>145</v>
      </c>
      <c r="S2049">
        <v>0</v>
      </c>
    </row>
    <row r="2050" spans="1:19">
      <c r="A2050" t="s">
        <v>35</v>
      </c>
      <c r="B2050" t="s">
        <v>10015</v>
      </c>
      <c r="C2050">
        <f>"WD06320"</f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 s="2">
        <v>0</v>
      </c>
      <c r="M2050">
        <v>0</v>
      </c>
      <c r="N2050" s="2">
        <v>0</v>
      </c>
      <c r="O2050">
        <v>0</v>
      </c>
      <c r="P2050" t="s">
        <v>100</v>
      </c>
      <c r="Q2050">
        <v>0</v>
      </c>
      <c r="R2050" t="s">
        <v>145</v>
      </c>
      <c r="S2050">
        <v>0</v>
      </c>
    </row>
    <row r="2051" spans="1:19">
      <c r="A2051" t="s">
        <v>35</v>
      </c>
      <c r="B2051" t="s">
        <v>10014</v>
      </c>
      <c r="C2051">
        <f>"WD06315"</f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 s="2">
        <v>0</v>
      </c>
      <c r="M2051">
        <v>0</v>
      </c>
      <c r="N2051" s="2">
        <v>0</v>
      </c>
      <c r="O2051">
        <v>0</v>
      </c>
      <c r="P2051" t="s">
        <v>100</v>
      </c>
      <c r="Q2051">
        <v>0</v>
      </c>
      <c r="R2051" t="s">
        <v>145</v>
      </c>
      <c r="S2051">
        <v>0</v>
      </c>
    </row>
    <row r="2052" spans="1:19">
      <c r="A2052" t="s">
        <v>35</v>
      </c>
      <c r="B2052" t="s">
        <v>10013</v>
      </c>
      <c r="C2052">
        <f>"WD06310"</f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 s="2">
        <v>0</v>
      </c>
      <c r="M2052">
        <v>0</v>
      </c>
      <c r="N2052" s="2">
        <v>0</v>
      </c>
      <c r="O2052">
        <v>0</v>
      </c>
      <c r="P2052" t="s">
        <v>100</v>
      </c>
      <c r="Q2052">
        <v>0</v>
      </c>
      <c r="R2052" t="s">
        <v>145</v>
      </c>
      <c r="S2052">
        <v>0</v>
      </c>
    </row>
    <row r="2053" spans="1:19">
      <c r="A2053" t="s">
        <v>35</v>
      </c>
      <c r="B2053" t="s">
        <v>10012</v>
      </c>
      <c r="C2053">
        <f>"WD06325"</f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 s="2">
        <v>0</v>
      </c>
      <c r="M2053">
        <v>0</v>
      </c>
      <c r="N2053" s="2">
        <v>0</v>
      </c>
      <c r="O2053">
        <v>0</v>
      </c>
      <c r="P2053" t="s">
        <v>100</v>
      </c>
      <c r="Q2053">
        <v>0</v>
      </c>
      <c r="R2053" t="s">
        <v>145</v>
      </c>
      <c r="S2053">
        <v>0</v>
      </c>
    </row>
    <row r="2054" spans="1:19">
      <c r="A2054" t="s">
        <v>35</v>
      </c>
      <c r="B2054" t="s">
        <v>4523</v>
      </c>
      <c r="C2054">
        <f>"JET10"</f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 s="2">
        <v>0</v>
      </c>
      <c r="M2054">
        <v>0</v>
      </c>
      <c r="N2054" s="2">
        <v>0</v>
      </c>
      <c r="O2054">
        <v>0</v>
      </c>
      <c r="P2054" t="s">
        <v>100</v>
      </c>
      <c r="Q2054">
        <v>0</v>
      </c>
      <c r="R2054" t="s">
        <v>145</v>
      </c>
      <c r="S2054">
        <v>0</v>
      </c>
    </row>
    <row r="2055" spans="1:19">
      <c r="A2055" t="s">
        <v>35</v>
      </c>
      <c r="B2055" t="s">
        <v>4519</v>
      </c>
      <c r="C2055">
        <f>"1090GR"</f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 s="2">
        <v>0</v>
      </c>
      <c r="M2055">
        <v>0</v>
      </c>
      <c r="N2055" s="2">
        <v>0</v>
      </c>
      <c r="O2055">
        <v>0</v>
      </c>
      <c r="P2055" t="s">
        <v>100</v>
      </c>
      <c r="Q2055">
        <v>0</v>
      </c>
      <c r="R2055" t="s">
        <v>145</v>
      </c>
      <c r="S2055">
        <v>0</v>
      </c>
    </row>
    <row r="2056" spans="1:19">
      <c r="A2056" t="s">
        <v>35</v>
      </c>
      <c r="B2056" t="s">
        <v>4518</v>
      </c>
      <c r="C2056">
        <f>"XDB406CEO"</f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 s="2">
        <v>0</v>
      </c>
      <c r="M2056">
        <v>0</v>
      </c>
      <c r="N2056" s="2">
        <v>0</v>
      </c>
      <c r="O2056">
        <v>0</v>
      </c>
      <c r="P2056" t="s">
        <v>100</v>
      </c>
      <c r="Q2056">
        <v>0</v>
      </c>
      <c r="R2056" t="s">
        <v>145</v>
      </c>
      <c r="S2056">
        <v>0</v>
      </c>
    </row>
    <row r="2057" spans="1:19">
      <c r="A2057" t="s">
        <v>35</v>
      </c>
      <c r="B2057" t="s">
        <v>4517</v>
      </c>
      <c r="C2057">
        <f>"XDB406RO"</f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 s="2">
        <v>0</v>
      </c>
      <c r="M2057">
        <v>0</v>
      </c>
      <c r="N2057" s="2">
        <v>0</v>
      </c>
      <c r="O2057">
        <v>0</v>
      </c>
      <c r="P2057" t="s">
        <v>100</v>
      </c>
      <c r="Q2057">
        <v>0</v>
      </c>
      <c r="R2057" t="s">
        <v>145</v>
      </c>
      <c r="S2057">
        <v>0</v>
      </c>
    </row>
    <row r="2058" spans="1:19">
      <c r="A2058" t="s">
        <v>35</v>
      </c>
      <c r="B2058" t="s">
        <v>5259</v>
      </c>
      <c r="C2058">
        <f>"TC0057NA"</f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 s="2">
        <v>0</v>
      </c>
      <c r="M2058">
        <v>0</v>
      </c>
      <c r="N2058" s="2">
        <v>0</v>
      </c>
      <c r="O2058">
        <v>0</v>
      </c>
      <c r="P2058" t="s">
        <v>100</v>
      </c>
      <c r="Q2058">
        <v>0</v>
      </c>
      <c r="R2058" t="s">
        <v>145</v>
      </c>
      <c r="S2058">
        <v>0</v>
      </c>
    </row>
    <row r="2059" spans="1:19">
      <c r="A2059" t="s">
        <v>35</v>
      </c>
      <c r="B2059" t="s">
        <v>4515</v>
      </c>
      <c r="C2059">
        <f>"XDB407VE"</f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 s="2">
        <v>0</v>
      </c>
      <c r="M2059">
        <v>0</v>
      </c>
      <c r="N2059" s="2">
        <v>0</v>
      </c>
      <c r="O2059">
        <v>0</v>
      </c>
      <c r="P2059" t="s">
        <v>100</v>
      </c>
      <c r="Q2059">
        <v>0</v>
      </c>
      <c r="R2059" t="s">
        <v>145</v>
      </c>
      <c r="S2059">
        <v>0</v>
      </c>
    </row>
    <row r="2060" spans="1:19">
      <c r="A2060" t="s">
        <v>35</v>
      </c>
      <c r="B2060" t="s">
        <v>4544</v>
      </c>
      <c r="C2060">
        <f>"1816V"</f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 s="2">
        <v>0</v>
      </c>
      <c r="M2060">
        <v>0</v>
      </c>
      <c r="N2060" s="2">
        <v>0</v>
      </c>
      <c r="O2060">
        <v>0</v>
      </c>
      <c r="P2060" t="s">
        <v>100</v>
      </c>
      <c r="Q2060">
        <v>0</v>
      </c>
      <c r="R2060" t="s">
        <v>145</v>
      </c>
      <c r="S2060">
        <v>0</v>
      </c>
    </row>
    <row r="2061" spans="1:19">
      <c r="A2061" t="s">
        <v>35</v>
      </c>
      <c r="B2061" t="s">
        <v>10027</v>
      </c>
      <c r="C2061">
        <f>"hp111xs"</f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 s="2">
        <v>0</v>
      </c>
      <c r="M2061">
        <v>0</v>
      </c>
      <c r="N2061" s="2">
        <v>0</v>
      </c>
      <c r="O2061">
        <v>0</v>
      </c>
      <c r="P2061" t="s">
        <v>100</v>
      </c>
      <c r="Q2061">
        <v>0</v>
      </c>
      <c r="R2061" t="s">
        <v>145</v>
      </c>
      <c r="S2061">
        <v>0</v>
      </c>
    </row>
    <row r="2062" spans="1:19">
      <c r="A2062" t="s">
        <v>35</v>
      </c>
      <c r="B2062" t="s">
        <v>10026</v>
      </c>
      <c r="C2062">
        <f>"H60015LCEL"</f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 s="2">
        <v>0</v>
      </c>
      <c r="M2062">
        <v>0</v>
      </c>
      <c r="N2062" s="2">
        <v>0</v>
      </c>
      <c r="O2062">
        <v>0</v>
      </c>
      <c r="P2062" t="s">
        <v>100</v>
      </c>
      <c r="Q2062">
        <v>0</v>
      </c>
      <c r="R2062" t="s">
        <v>145</v>
      </c>
      <c r="S2062">
        <v>0</v>
      </c>
    </row>
    <row r="2063" spans="1:19">
      <c r="A2063" t="s">
        <v>35</v>
      </c>
      <c r="B2063" t="s">
        <v>10022</v>
      </c>
      <c r="C2063">
        <f>"H60015MCEL"</f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 s="2">
        <v>0</v>
      </c>
      <c r="M2063">
        <v>0</v>
      </c>
      <c r="N2063" s="2">
        <v>0</v>
      </c>
      <c r="O2063">
        <v>0</v>
      </c>
      <c r="P2063" t="s">
        <v>100</v>
      </c>
      <c r="Q2063">
        <v>0</v>
      </c>
      <c r="R2063" t="s">
        <v>145</v>
      </c>
      <c r="S2063">
        <v>0</v>
      </c>
    </row>
    <row r="2064" spans="1:19">
      <c r="A2064" t="s">
        <v>35</v>
      </c>
      <c r="B2064" t="s">
        <v>10067</v>
      </c>
      <c r="C2064">
        <f>"H60015MGR"</f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 s="2">
        <v>0</v>
      </c>
      <c r="M2064">
        <v>0</v>
      </c>
      <c r="N2064" s="2">
        <v>0</v>
      </c>
      <c r="O2064">
        <v>0</v>
      </c>
      <c r="P2064" t="s">
        <v>100</v>
      </c>
      <c r="Q2064">
        <v>0</v>
      </c>
      <c r="R2064" t="s">
        <v>145</v>
      </c>
      <c r="S2064">
        <v>0</v>
      </c>
    </row>
    <row r="2065" spans="1:19">
      <c r="A2065" t="s">
        <v>35</v>
      </c>
      <c r="B2065" t="s">
        <v>10082</v>
      </c>
      <c r="C2065">
        <f>"H60015MROJ"</f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 s="2">
        <v>0</v>
      </c>
      <c r="M2065">
        <v>0</v>
      </c>
      <c r="N2065" s="2">
        <v>0</v>
      </c>
      <c r="O2065">
        <v>0</v>
      </c>
      <c r="P2065" t="s">
        <v>100</v>
      </c>
      <c r="Q2065">
        <v>0</v>
      </c>
      <c r="R2065" t="s">
        <v>145</v>
      </c>
      <c r="S2065">
        <v>0</v>
      </c>
    </row>
    <row r="2066" spans="1:19">
      <c r="A2066" t="s">
        <v>35</v>
      </c>
      <c r="B2066" t="s">
        <v>4507</v>
      </c>
      <c r="C2066">
        <f>"THT1"</f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 s="2">
        <v>0</v>
      </c>
      <c r="M2066">
        <v>0</v>
      </c>
      <c r="N2066" s="2">
        <v>0</v>
      </c>
      <c r="O2066">
        <v>0</v>
      </c>
      <c r="P2066" t="s">
        <v>100</v>
      </c>
      <c r="Q2066">
        <v>0</v>
      </c>
      <c r="R2066" t="s">
        <v>145</v>
      </c>
      <c r="S2066">
        <v>0</v>
      </c>
    </row>
    <row r="2067" spans="1:19">
      <c r="A2067" t="s">
        <v>35</v>
      </c>
      <c r="B2067" t="s">
        <v>4506</v>
      </c>
      <c r="C2067">
        <f>"THT2"</f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 s="2">
        <v>0</v>
      </c>
      <c r="M2067">
        <v>0</v>
      </c>
      <c r="N2067" s="2">
        <v>0</v>
      </c>
      <c r="O2067">
        <v>0</v>
      </c>
      <c r="P2067" t="s">
        <v>100</v>
      </c>
      <c r="Q2067">
        <v>0</v>
      </c>
      <c r="R2067" t="s">
        <v>145</v>
      </c>
      <c r="S2067">
        <v>0</v>
      </c>
    </row>
    <row r="2068" spans="1:19">
      <c r="A2068" t="s">
        <v>35</v>
      </c>
      <c r="B2068" t="s">
        <v>4505</v>
      </c>
      <c r="C2068">
        <f>"THT3"</f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 s="2">
        <v>0</v>
      </c>
      <c r="M2068">
        <v>0</v>
      </c>
      <c r="N2068" s="2">
        <v>0</v>
      </c>
      <c r="O2068">
        <v>0</v>
      </c>
      <c r="P2068" t="s">
        <v>100</v>
      </c>
      <c r="Q2068">
        <v>0</v>
      </c>
      <c r="R2068" t="s">
        <v>145</v>
      </c>
      <c r="S2068">
        <v>0</v>
      </c>
    </row>
    <row r="2069" spans="1:19">
      <c r="A2069" t="s">
        <v>35</v>
      </c>
      <c r="B2069" t="s">
        <v>4516</v>
      </c>
      <c r="C2069">
        <f>"XDB407ROJ"</f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 s="2">
        <v>0</v>
      </c>
      <c r="M2069">
        <v>0</v>
      </c>
      <c r="N2069" s="2">
        <v>0</v>
      </c>
      <c r="O2069">
        <v>0</v>
      </c>
      <c r="P2069" t="s">
        <v>100</v>
      </c>
      <c r="Q2069">
        <v>0</v>
      </c>
      <c r="R2069" t="s">
        <v>145</v>
      </c>
      <c r="S2069">
        <v>0</v>
      </c>
    </row>
    <row r="2070" spans="1:19">
      <c r="A2070" t="s">
        <v>35</v>
      </c>
      <c r="B2070" t="s">
        <v>1454</v>
      </c>
      <c r="C2070">
        <f>"1039MEMO"</f>
        <v>0</v>
      </c>
      <c r="D2070">
        <v>0</v>
      </c>
      <c r="E2070">
        <v>1</v>
      </c>
      <c r="F2070">
        <v>0</v>
      </c>
      <c r="G2070">
        <v>0</v>
      </c>
      <c r="H2070">
        <v>1</v>
      </c>
      <c r="I2070">
        <v>0</v>
      </c>
      <c r="J2070">
        <v>0</v>
      </c>
      <c r="K2070">
        <v>0</v>
      </c>
      <c r="L2070" s="2">
        <v>0</v>
      </c>
      <c r="M2070">
        <v>0</v>
      </c>
      <c r="N2070" s="2">
        <v>0</v>
      </c>
      <c r="O2070">
        <v>0</v>
      </c>
      <c r="P2070" t="s">
        <v>100</v>
      </c>
      <c r="Q2070">
        <v>0</v>
      </c>
      <c r="R2070" t="s">
        <v>145</v>
      </c>
      <c r="S2070">
        <v>0</v>
      </c>
    </row>
    <row r="2071" spans="1:19">
      <c r="A2071" t="s">
        <v>35</v>
      </c>
      <c r="B2071" t="s">
        <v>1453</v>
      </c>
      <c r="C2071">
        <f>"1039MEVE"</f>
        <v>0</v>
      </c>
      <c r="D2071">
        <v>0</v>
      </c>
      <c r="E2071">
        <v>0</v>
      </c>
      <c r="F2071">
        <v>1</v>
      </c>
      <c r="G2071">
        <v>0</v>
      </c>
      <c r="H2071">
        <v>1</v>
      </c>
      <c r="I2071">
        <v>0</v>
      </c>
      <c r="J2071">
        <v>0</v>
      </c>
      <c r="K2071">
        <v>0</v>
      </c>
      <c r="L2071" s="2">
        <v>0</v>
      </c>
      <c r="M2071">
        <v>0</v>
      </c>
      <c r="N2071" s="2">
        <v>0</v>
      </c>
      <c r="O2071">
        <v>0</v>
      </c>
      <c r="P2071" t="s">
        <v>100</v>
      </c>
      <c r="Q2071">
        <v>0</v>
      </c>
      <c r="R2071" t="s">
        <v>145</v>
      </c>
      <c r="S2071">
        <v>0</v>
      </c>
    </row>
    <row r="2072" spans="1:19">
      <c r="A2072" t="s">
        <v>35</v>
      </c>
      <c r="B2072" t="s">
        <v>1018</v>
      </c>
      <c r="C2072">
        <f>"XDB450B"</f>
        <v>0</v>
      </c>
      <c r="D2072">
        <v>2</v>
      </c>
      <c r="E2072">
        <v>0</v>
      </c>
      <c r="F2072">
        <v>0</v>
      </c>
      <c r="G2072">
        <v>0</v>
      </c>
      <c r="H2072">
        <v>2</v>
      </c>
      <c r="I2072">
        <v>0</v>
      </c>
      <c r="J2072">
        <v>0</v>
      </c>
      <c r="K2072">
        <v>0</v>
      </c>
      <c r="L2072" s="2">
        <v>0</v>
      </c>
      <c r="M2072">
        <v>0</v>
      </c>
      <c r="N2072" s="2">
        <v>0</v>
      </c>
      <c r="O2072">
        <v>0</v>
      </c>
      <c r="P2072" t="s">
        <v>100</v>
      </c>
      <c r="Q2072">
        <v>0</v>
      </c>
      <c r="R2072" t="s">
        <v>145</v>
      </c>
      <c r="S2072">
        <v>0</v>
      </c>
    </row>
    <row r="2073" spans="1:19">
      <c r="A2073" t="s">
        <v>35</v>
      </c>
      <c r="B2073" t="s">
        <v>1020</v>
      </c>
      <c r="C2073">
        <f>"XDB450F"</f>
        <v>0</v>
      </c>
      <c r="D2073">
        <v>2</v>
      </c>
      <c r="E2073">
        <v>0</v>
      </c>
      <c r="F2073">
        <v>0</v>
      </c>
      <c r="G2073">
        <v>0</v>
      </c>
      <c r="H2073">
        <v>2</v>
      </c>
      <c r="I2073">
        <v>0</v>
      </c>
      <c r="J2073">
        <v>0</v>
      </c>
      <c r="K2073">
        <v>0</v>
      </c>
      <c r="L2073" s="2">
        <v>0</v>
      </c>
      <c r="M2073">
        <v>0</v>
      </c>
      <c r="N2073" s="2">
        <v>0</v>
      </c>
      <c r="O2073">
        <v>0</v>
      </c>
      <c r="P2073" t="s">
        <v>100</v>
      </c>
      <c r="Q2073">
        <v>0</v>
      </c>
      <c r="R2073" t="s">
        <v>145</v>
      </c>
      <c r="S2073">
        <v>0</v>
      </c>
    </row>
    <row r="2074" spans="1:19">
      <c r="A2074" t="s">
        <v>35</v>
      </c>
      <c r="B2074" t="s">
        <v>8616</v>
      </c>
      <c r="C2074">
        <f>"FB857MA"</f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 s="2">
        <v>0</v>
      </c>
      <c r="M2074">
        <v>0</v>
      </c>
      <c r="N2074" s="2">
        <v>0</v>
      </c>
      <c r="O2074">
        <v>0</v>
      </c>
      <c r="P2074" t="s">
        <v>100</v>
      </c>
      <c r="Q2074">
        <v>0</v>
      </c>
      <c r="R2074" t="s">
        <v>145</v>
      </c>
      <c r="S2074">
        <v>0</v>
      </c>
    </row>
    <row r="2075" spans="1:19">
      <c r="A2075" t="s">
        <v>35</v>
      </c>
      <c r="B2075" t="s">
        <v>8749</v>
      </c>
      <c r="C2075">
        <f>"FB857MR"</f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 s="2">
        <v>0</v>
      </c>
      <c r="M2075">
        <v>0</v>
      </c>
      <c r="N2075" s="2">
        <v>0</v>
      </c>
      <c r="O2075">
        <v>0</v>
      </c>
      <c r="P2075" t="s">
        <v>100</v>
      </c>
      <c r="Q2075">
        <v>0</v>
      </c>
      <c r="R2075" t="s">
        <v>145</v>
      </c>
      <c r="S2075">
        <v>0</v>
      </c>
    </row>
    <row r="2076" spans="1:19">
      <c r="A2076" t="s">
        <v>35</v>
      </c>
      <c r="B2076" t="s">
        <v>4514</v>
      </c>
      <c r="C2076">
        <f>"1042EMAM"</f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 s="2">
        <v>0</v>
      </c>
      <c r="M2076">
        <v>0</v>
      </c>
      <c r="N2076" s="2">
        <v>0</v>
      </c>
      <c r="O2076">
        <v>0</v>
      </c>
      <c r="P2076" t="s">
        <v>100</v>
      </c>
      <c r="Q2076">
        <v>0</v>
      </c>
      <c r="R2076" t="s">
        <v>145</v>
      </c>
      <c r="S2076">
        <v>0</v>
      </c>
    </row>
    <row r="2077" spans="1:19">
      <c r="A2077" t="s">
        <v>35</v>
      </c>
      <c r="B2077" t="s">
        <v>4511</v>
      </c>
      <c r="C2077">
        <f>"1042EMRO"</f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 s="2">
        <v>0</v>
      </c>
      <c r="M2077">
        <v>0</v>
      </c>
      <c r="N2077" s="2">
        <v>0</v>
      </c>
      <c r="O2077">
        <v>0</v>
      </c>
      <c r="P2077" t="s">
        <v>100</v>
      </c>
      <c r="Q2077">
        <v>0</v>
      </c>
      <c r="R2077" t="s">
        <v>145</v>
      </c>
      <c r="S2077">
        <v>0</v>
      </c>
    </row>
    <row r="2078" spans="1:19">
      <c r="A2078" t="s">
        <v>35</v>
      </c>
      <c r="B2078" t="s">
        <v>4510</v>
      </c>
      <c r="C2078">
        <f>"1042EMVEL"</f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 s="2">
        <v>0</v>
      </c>
      <c r="M2078">
        <v>0</v>
      </c>
      <c r="N2078" s="2">
        <v>0</v>
      </c>
      <c r="O2078">
        <v>0</v>
      </c>
      <c r="P2078" t="s">
        <v>100</v>
      </c>
      <c r="Q2078">
        <v>0</v>
      </c>
      <c r="R2078" t="s">
        <v>145</v>
      </c>
      <c r="S2078">
        <v>0</v>
      </c>
    </row>
    <row r="2079" spans="1:19">
      <c r="A2079" t="s">
        <v>35</v>
      </c>
      <c r="B2079" t="s">
        <v>9828</v>
      </c>
      <c r="C2079">
        <f>"EK3003NE"</f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 s="2">
        <v>0</v>
      </c>
      <c r="M2079">
        <v>0</v>
      </c>
      <c r="N2079" s="2">
        <v>0</v>
      </c>
      <c r="O2079">
        <v>0</v>
      </c>
      <c r="P2079" t="s">
        <v>100</v>
      </c>
      <c r="Q2079">
        <v>0</v>
      </c>
      <c r="R2079" t="s">
        <v>145</v>
      </c>
      <c r="S2079">
        <v>0</v>
      </c>
    </row>
    <row r="2080" spans="1:19">
      <c r="A2080" t="s">
        <v>35</v>
      </c>
      <c r="B2080" t="s">
        <v>4483</v>
      </c>
      <c r="C2080">
        <f>"PD10023S"</f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 s="2">
        <v>0</v>
      </c>
      <c r="M2080">
        <v>0</v>
      </c>
      <c r="N2080" s="2">
        <v>0</v>
      </c>
      <c r="O2080">
        <v>0</v>
      </c>
      <c r="P2080" t="s">
        <v>100</v>
      </c>
      <c r="Q2080">
        <v>0</v>
      </c>
      <c r="R2080" t="s">
        <v>145</v>
      </c>
      <c r="S2080">
        <v>0</v>
      </c>
    </row>
    <row r="2081" spans="1:19">
      <c r="A2081" t="s">
        <v>35</v>
      </c>
      <c r="B2081" t="s">
        <v>9930</v>
      </c>
      <c r="C2081">
        <f>"HH337MNA"</f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 s="2">
        <v>0</v>
      </c>
      <c r="M2081">
        <v>0</v>
      </c>
      <c r="N2081" s="2">
        <v>0</v>
      </c>
      <c r="O2081">
        <v>0</v>
      </c>
      <c r="P2081" t="s">
        <v>100</v>
      </c>
      <c r="Q2081">
        <v>0</v>
      </c>
      <c r="R2081" t="s">
        <v>145</v>
      </c>
      <c r="S2081">
        <v>0</v>
      </c>
    </row>
    <row r="2082" spans="1:19">
      <c r="A2082" t="s">
        <v>35</v>
      </c>
      <c r="B2082" t="s">
        <v>1431</v>
      </c>
      <c r="C2082">
        <f>"HH337MVE"</f>
        <v>0</v>
      </c>
      <c r="D2082">
        <v>0</v>
      </c>
      <c r="E2082">
        <v>1</v>
      </c>
      <c r="F2082">
        <v>0</v>
      </c>
      <c r="G2082">
        <v>0</v>
      </c>
      <c r="H2082">
        <v>1</v>
      </c>
      <c r="I2082">
        <v>0</v>
      </c>
      <c r="J2082">
        <v>0</v>
      </c>
      <c r="K2082">
        <v>0</v>
      </c>
      <c r="L2082" s="2">
        <v>0</v>
      </c>
      <c r="M2082">
        <v>0</v>
      </c>
      <c r="N2082" s="2">
        <v>0</v>
      </c>
      <c r="O2082">
        <v>0</v>
      </c>
      <c r="P2082" t="s">
        <v>100</v>
      </c>
      <c r="Q2082">
        <v>0</v>
      </c>
      <c r="R2082" t="s">
        <v>145</v>
      </c>
      <c r="S2082">
        <v>0</v>
      </c>
    </row>
    <row r="2083" spans="1:19">
      <c r="A2083" t="s">
        <v>35</v>
      </c>
      <c r="B2083" t="s">
        <v>1487</v>
      </c>
      <c r="C2083">
        <f>"HH337SMO"</f>
        <v>0</v>
      </c>
      <c r="D2083">
        <v>0</v>
      </c>
      <c r="E2083">
        <v>0</v>
      </c>
      <c r="F2083">
        <v>1</v>
      </c>
      <c r="G2083">
        <v>0</v>
      </c>
      <c r="H2083">
        <v>1</v>
      </c>
      <c r="I2083">
        <v>0</v>
      </c>
      <c r="J2083">
        <v>0</v>
      </c>
      <c r="K2083">
        <v>0</v>
      </c>
      <c r="L2083" s="2">
        <v>0</v>
      </c>
      <c r="M2083">
        <v>0</v>
      </c>
      <c r="N2083" s="2">
        <v>0</v>
      </c>
      <c r="O2083">
        <v>0</v>
      </c>
      <c r="P2083" t="s">
        <v>100</v>
      </c>
      <c r="Q2083">
        <v>0</v>
      </c>
      <c r="R2083" t="s">
        <v>145</v>
      </c>
      <c r="S2083">
        <v>0</v>
      </c>
    </row>
    <row r="2084" spans="1:19">
      <c r="A2084" t="s">
        <v>35</v>
      </c>
      <c r="B2084" t="s">
        <v>1486</v>
      </c>
      <c r="C2084">
        <f>"HH337XLMO"</f>
        <v>0</v>
      </c>
      <c r="D2084">
        <v>1</v>
      </c>
      <c r="E2084">
        <v>0</v>
      </c>
      <c r="F2084">
        <v>0</v>
      </c>
      <c r="G2084">
        <v>0</v>
      </c>
      <c r="H2084">
        <v>1</v>
      </c>
      <c r="I2084">
        <v>0</v>
      </c>
      <c r="J2084">
        <v>0</v>
      </c>
      <c r="K2084">
        <v>0</v>
      </c>
      <c r="L2084" s="2">
        <v>0</v>
      </c>
      <c r="M2084">
        <v>0</v>
      </c>
      <c r="N2084" s="2">
        <v>0</v>
      </c>
      <c r="O2084">
        <v>0</v>
      </c>
      <c r="P2084" t="s">
        <v>100</v>
      </c>
      <c r="Q2084">
        <v>0</v>
      </c>
      <c r="R2084" t="s">
        <v>145</v>
      </c>
      <c r="S2084">
        <v>0</v>
      </c>
    </row>
    <row r="2085" spans="1:19">
      <c r="A2085" t="s">
        <v>35</v>
      </c>
      <c r="B2085" t="s">
        <v>1473</v>
      </c>
      <c r="C2085">
        <f>"HH337XLNA"</f>
        <v>0</v>
      </c>
      <c r="D2085">
        <v>1</v>
      </c>
      <c r="E2085">
        <v>0</v>
      </c>
      <c r="F2085">
        <v>0</v>
      </c>
      <c r="G2085">
        <v>0</v>
      </c>
      <c r="H2085">
        <v>1</v>
      </c>
      <c r="I2085">
        <v>0</v>
      </c>
      <c r="J2085">
        <v>0</v>
      </c>
      <c r="K2085">
        <v>0</v>
      </c>
      <c r="L2085" s="2">
        <v>0</v>
      </c>
      <c r="M2085">
        <v>0</v>
      </c>
      <c r="N2085" s="2">
        <v>0</v>
      </c>
      <c r="O2085">
        <v>0</v>
      </c>
      <c r="P2085" t="s">
        <v>100</v>
      </c>
      <c r="Q2085">
        <v>0</v>
      </c>
      <c r="R2085" t="s">
        <v>145</v>
      </c>
      <c r="S2085">
        <v>0</v>
      </c>
    </row>
    <row r="2086" spans="1:19">
      <c r="A2086" t="s">
        <v>35</v>
      </c>
      <c r="B2086" t="s">
        <v>1502</v>
      </c>
      <c r="C2086">
        <f>"HH337XSROS"</f>
        <v>0</v>
      </c>
      <c r="D2086">
        <v>1</v>
      </c>
      <c r="E2086">
        <v>0</v>
      </c>
      <c r="F2086">
        <v>0</v>
      </c>
      <c r="G2086">
        <v>0</v>
      </c>
      <c r="H2086">
        <v>1</v>
      </c>
      <c r="I2086">
        <v>0</v>
      </c>
      <c r="J2086">
        <v>0</v>
      </c>
      <c r="K2086">
        <v>0</v>
      </c>
      <c r="L2086" s="2">
        <v>0</v>
      </c>
      <c r="M2086">
        <v>0</v>
      </c>
      <c r="N2086" s="2">
        <v>0</v>
      </c>
      <c r="O2086">
        <v>0</v>
      </c>
      <c r="P2086" t="s">
        <v>100</v>
      </c>
      <c r="Q2086">
        <v>0</v>
      </c>
      <c r="R2086" t="s">
        <v>145</v>
      </c>
      <c r="S2086">
        <v>0</v>
      </c>
    </row>
    <row r="2087" spans="1:19">
      <c r="A2087" t="s">
        <v>35</v>
      </c>
      <c r="B2087" t="s">
        <v>9749</v>
      </c>
      <c r="C2087">
        <f>"1854M"</f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 s="2">
        <v>0</v>
      </c>
      <c r="M2087">
        <v>0</v>
      </c>
      <c r="N2087" s="2">
        <v>0</v>
      </c>
      <c r="O2087">
        <v>0</v>
      </c>
      <c r="P2087" t="s">
        <v>100</v>
      </c>
      <c r="Q2087">
        <v>0</v>
      </c>
      <c r="R2087" t="s">
        <v>145</v>
      </c>
      <c r="S2087">
        <v>0</v>
      </c>
    </row>
    <row r="2088" spans="1:19">
      <c r="A2088" t="s">
        <v>35</v>
      </c>
      <c r="B2088" t="s">
        <v>1461</v>
      </c>
      <c r="C2088">
        <f>"DGA4L"</f>
        <v>0</v>
      </c>
      <c r="D2088">
        <v>1</v>
      </c>
      <c r="E2088">
        <v>0</v>
      </c>
      <c r="F2088">
        <v>0</v>
      </c>
      <c r="G2088">
        <v>0</v>
      </c>
      <c r="H2088">
        <v>1</v>
      </c>
      <c r="I2088">
        <v>0</v>
      </c>
      <c r="J2088">
        <v>0</v>
      </c>
      <c r="K2088">
        <v>0</v>
      </c>
      <c r="L2088" s="2">
        <v>0</v>
      </c>
      <c r="M2088">
        <v>0</v>
      </c>
      <c r="N2088" s="2">
        <v>0</v>
      </c>
      <c r="O2088">
        <v>0</v>
      </c>
      <c r="P2088" t="s">
        <v>100</v>
      </c>
      <c r="Q2088">
        <v>0</v>
      </c>
      <c r="R2088" t="s">
        <v>145</v>
      </c>
      <c r="S2088">
        <v>0</v>
      </c>
    </row>
    <row r="2089" spans="1:19">
      <c r="A2089" t="s">
        <v>35</v>
      </c>
      <c r="B2089" t="s">
        <v>1004</v>
      </c>
      <c r="C2089">
        <f>"DGA4S"</f>
        <v>0</v>
      </c>
      <c r="D2089">
        <v>0</v>
      </c>
      <c r="E2089">
        <v>2</v>
      </c>
      <c r="F2089">
        <v>0</v>
      </c>
      <c r="G2089">
        <v>0</v>
      </c>
      <c r="H2089">
        <v>2</v>
      </c>
      <c r="I2089">
        <v>0</v>
      </c>
      <c r="J2089">
        <v>0</v>
      </c>
      <c r="K2089">
        <v>0</v>
      </c>
      <c r="L2089" s="2">
        <v>0</v>
      </c>
      <c r="M2089">
        <v>0</v>
      </c>
      <c r="N2089" s="2">
        <v>0</v>
      </c>
      <c r="O2089">
        <v>0</v>
      </c>
      <c r="P2089" t="s">
        <v>100</v>
      </c>
      <c r="Q2089">
        <v>0</v>
      </c>
      <c r="R2089" t="s">
        <v>145</v>
      </c>
      <c r="S2089">
        <v>0</v>
      </c>
    </row>
    <row r="2090" spans="1:19">
      <c r="A2090" t="s">
        <v>35</v>
      </c>
      <c r="B2090" t="s">
        <v>4484</v>
      </c>
      <c r="C2090">
        <f>"PD10023M"</f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 s="2">
        <v>0</v>
      </c>
      <c r="M2090">
        <v>0</v>
      </c>
      <c r="N2090" s="2">
        <v>0</v>
      </c>
      <c r="O2090">
        <v>0</v>
      </c>
      <c r="P2090" t="s">
        <v>100</v>
      </c>
      <c r="Q2090">
        <v>0</v>
      </c>
      <c r="R2090" t="s">
        <v>145</v>
      </c>
      <c r="S2090">
        <v>0</v>
      </c>
    </row>
    <row r="2091" spans="1:19">
      <c r="A2091" t="s">
        <v>35</v>
      </c>
      <c r="B2091" t="s">
        <v>1509</v>
      </c>
      <c r="C2091">
        <f>"HH337LNA"</f>
        <v>0</v>
      </c>
      <c r="D2091">
        <v>1</v>
      </c>
      <c r="E2091">
        <v>0</v>
      </c>
      <c r="F2091">
        <v>0</v>
      </c>
      <c r="G2091">
        <v>0</v>
      </c>
      <c r="H2091">
        <v>1</v>
      </c>
      <c r="I2091">
        <v>0</v>
      </c>
      <c r="J2091">
        <v>0</v>
      </c>
      <c r="K2091">
        <v>0</v>
      </c>
      <c r="L2091" s="2">
        <v>0</v>
      </c>
      <c r="M2091">
        <v>0</v>
      </c>
      <c r="N2091" s="2">
        <v>0</v>
      </c>
      <c r="O2091">
        <v>0</v>
      </c>
      <c r="P2091" t="s">
        <v>100</v>
      </c>
      <c r="Q2091">
        <v>0</v>
      </c>
      <c r="R2091" t="s">
        <v>145</v>
      </c>
      <c r="S2091">
        <v>0</v>
      </c>
    </row>
    <row r="2092" spans="1:19">
      <c r="A2092" t="s">
        <v>35</v>
      </c>
      <c r="B2092" t="s">
        <v>10028</v>
      </c>
      <c r="C2092">
        <f>"DN83"</f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 s="2">
        <v>0</v>
      </c>
      <c r="M2092">
        <v>0</v>
      </c>
      <c r="N2092" s="2">
        <v>0</v>
      </c>
      <c r="O2092">
        <v>0</v>
      </c>
      <c r="P2092" t="s">
        <v>100</v>
      </c>
      <c r="Q2092">
        <v>0</v>
      </c>
      <c r="R2092" t="s">
        <v>145</v>
      </c>
      <c r="S2092">
        <v>0</v>
      </c>
    </row>
    <row r="2093" spans="1:19">
      <c r="A2093" t="s">
        <v>35</v>
      </c>
      <c r="B2093" t="s">
        <v>9438</v>
      </c>
      <c r="C2093">
        <f>"SP02315"</f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 s="2">
        <v>0</v>
      </c>
      <c r="M2093">
        <v>0</v>
      </c>
      <c r="N2093" s="2">
        <v>0</v>
      </c>
      <c r="O2093">
        <v>0</v>
      </c>
      <c r="P2093" t="s">
        <v>100</v>
      </c>
      <c r="Q2093">
        <v>0</v>
      </c>
      <c r="R2093" t="s">
        <v>145</v>
      </c>
      <c r="S2093">
        <v>0</v>
      </c>
    </row>
    <row r="2094" spans="1:19">
      <c r="A2094" t="s">
        <v>35</v>
      </c>
      <c r="B2094" t="s">
        <v>9436</v>
      </c>
      <c r="C2094">
        <f>"WD118361"</f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 s="2">
        <v>0</v>
      </c>
      <c r="M2094">
        <v>0</v>
      </c>
      <c r="N2094" s="2">
        <v>0</v>
      </c>
      <c r="O2094">
        <v>0</v>
      </c>
      <c r="P2094" t="s">
        <v>100</v>
      </c>
      <c r="Q2094">
        <v>0</v>
      </c>
      <c r="R2094" t="s">
        <v>145</v>
      </c>
      <c r="S2094">
        <v>0</v>
      </c>
    </row>
    <row r="2095" spans="1:19">
      <c r="A2095" t="s">
        <v>35</v>
      </c>
      <c r="B2095" t="s">
        <v>9432</v>
      </c>
      <c r="C2095">
        <f>"HH309LCE"</f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 s="2">
        <v>0</v>
      </c>
      <c r="M2095">
        <v>0</v>
      </c>
      <c r="N2095" s="2">
        <v>0</v>
      </c>
      <c r="O2095">
        <v>0</v>
      </c>
      <c r="P2095" t="s">
        <v>100</v>
      </c>
      <c r="Q2095">
        <v>0</v>
      </c>
      <c r="R2095" t="s">
        <v>145</v>
      </c>
      <c r="S2095">
        <v>0</v>
      </c>
    </row>
    <row r="2096" spans="1:19">
      <c r="A2096" t="s">
        <v>35</v>
      </c>
      <c r="B2096" t="s">
        <v>10081</v>
      </c>
      <c r="C2096">
        <f>"HH309LMO"</f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 s="2">
        <v>0</v>
      </c>
      <c r="M2096">
        <v>0</v>
      </c>
      <c r="N2096" s="2">
        <v>0</v>
      </c>
      <c r="O2096">
        <v>0</v>
      </c>
      <c r="P2096" t="s">
        <v>100</v>
      </c>
      <c r="Q2096">
        <v>0</v>
      </c>
      <c r="R2096" t="s">
        <v>145</v>
      </c>
      <c r="S2096">
        <v>0</v>
      </c>
    </row>
    <row r="2097" spans="1:19">
      <c r="A2097" t="s">
        <v>35</v>
      </c>
      <c r="B2097" t="s">
        <v>10080</v>
      </c>
      <c r="C2097">
        <f>"HH309LNA"</f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 s="2">
        <v>0</v>
      </c>
      <c r="M2097">
        <v>0</v>
      </c>
      <c r="N2097" s="2">
        <v>0</v>
      </c>
      <c r="O2097">
        <v>0</v>
      </c>
      <c r="P2097" t="s">
        <v>100</v>
      </c>
      <c r="Q2097">
        <v>0</v>
      </c>
      <c r="R2097" t="s">
        <v>145</v>
      </c>
      <c r="S2097">
        <v>0</v>
      </c>
    </row>
    <row r="2098" spans="1:19">
      <c r="A2098" t="s">
        <v>35</v>
      </c>
      <c r="B2098" t="s">
        <v>9463</v>
      </c>
      <c r="C2098">
        <f>"HH309MCE"</f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 s="2">
        <v>0</v>
      </c>
      <c r="M2098">
        <v>0</v>
      </c>
      <c r="N2098" s="2">
        <v>0</v>
      </c>
      <c r="O2098">
        <v>0</v>
      </c>
      <c r="P2098" t="s">
        <v>100</v>
      </c>
      <c r="Q2098">
        <v>0</v>
      </c>
      <c r="R2098" t="s">
        <v>145</v>
      </c>
      <c r="S2098">
        <v>0</v>
      </c>
    </row>
    <row r="2099" spans="1:19">
      <c r="A2099" t="s">
        <v>35</v>
      </c>
      <c r="B2099" t="s">
        <v>9462</v>
      </c>
      <c r="C2099">
        <f>"HH309MGR"</f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 s="2">
        <v>0</v>
      </c>
      <c r="M2099">
        <v>0</v>
      </c>
      <c r="N2099" s="2">
        <v>0</v>
      </c>
      <c r="O2099">
        <v>0</v>
      </c>
      <c r="P2099" t="s">
        <v>100</v>
      </c>
      <c r="Q2099">
        <v>0</v>
      </c>
      <c r="R2099" t="s">
        <v>145</v>
      </c>
      <c r="S2099">
        <v>0</v>
      </c>
    </row>
    <row r="2100" spans="1:19">
      <c r="A2100" t="s">
        <v>35</v>
      </c>
      <c r="B2100" t="s">
        <v>9461</v>
      </c>
      <c r="C2100">
        <f>"HH309MO"</f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 s="2">
        <v>0</v>
      </c>
      <c r="M2100">
        <v>0</v>
      </c>
      <c r="N2100" s="2">
        <v>0</v>
      </c>
      <c r="O2100">
        <v>0</v>
      </c>
      <c r="P2100" t="s">
        <v>100</v>
      </c>
      <c r="Q2100">
        <v>0</v>
      </c>
      <c r="R2100" t="s">
        <v>145</v>
      </c>
      <c r="S2100">
        <v>0</v>
      </c>
    </row>
    <row r="2101" spans="1:19">
      <c r="A2101" t="s">
        <v>35</v>
      </c>
      <c r="B2101" t="s">
        <v>9460</v>
      </c>
      <c r="C2101">
        <f>"HH309MNA"</f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 s="2">
        <v>0</v>
      </c>
      <c r="M2101">
        <v>0</v>
      </c>
      <c r="N2101" s="2">
        <v>0</v>
      </c>
      <c r="O2101">
        <v>0</v>
      </c>
      <c r="P2101" t="s">
        <v>100</v>
      </c>
      <c r="Q2101">
        <v>0</v>
      </c>
      <c r="R2101" t="s">
        <v>145</v>
      </c>
      <c r="S2101">
        <v>0</v>
      </c>
    </row>
    <row r="2102" spans="1:19">
      <c r="A2102" t="s">
        <v>35</v>
      </c>
      <c r="B2102" t="s">
        <v>4522</v>
      </c>
      <c r="C2102">
        <f>"THCPS"</f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 s="2">
        <v>0</v>
      </c>
      <c r="M2102">
        <v>0</v>
      </c>
      <c r="N2102" s="2">
        <v>0</v>
      </c>
      <c r="O2102">
        <v>0</v>
      </c>
      <c r="P2102" t="s">
        <v>100</v>
      </c>
      <c r="Q2102">
        <v>0</v>
      </c>
      <c r="R2102" t="s">
        <v>145</v>
      </c>
      <c r="S2102">
        <v>0</v>
      </c>
    </row>
    <row r="2103" spans="1:19">
      <c r="A2103" t="s">
        <v>35</v>
      </c>
      <c r="B2103" t="s">
        <v>10017</v>
      </c>
      <c r="C2103">
        <f>"H60015XLCEL"</f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 s="2">
        <v>0</v>
      </c>
      <c r="M2103">
        <v>0</v>
      </c>
      <c r="N2103" s="2">
        <v>0</v>
      </c>
      <c r="O2103">
        <v>0</v>
      </c>
      <c r="P2103" t="s">
        <v>100</v>
      </c>
      <c r="Q2103">
        <v>0</v>
      </c>
      <c r="R2103" t="s">
        <v>145</v>
      </c>
      <c r="S2103">
        <v>0</v>
      </c>
    </row>
    <row r="2104" spans="1:19">
      <c r="A2104" t="s">
        <v>35</v>
      </c>
      <c r="B2104" t="s">
        <v>10016</v>
      </c>
      <c r="C2104">
        <f>"H60015XLGR"</f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 s="2">
        <v>0</v>
      </c>
      <c r="M2104">
        <v>0</v>
      </c>
      <c r="N2104" s="2">
        <v>0</v>
      </c>
      <c r="O2104">
        <v>0</v>
      </c>
      <c r="P2104" t="s">
        <v>100</v>
      </c>
      <c r="Q2104">
        <v>0</v>
      </c>
      <c r="R2104" t="s">
        <v>145</v>
      </c>
      <c r="S2104">
        <v>0</v>
      </c>
    </row>
    <row r="2105" spans="1:19">
      <c r="A2105" t="s">
        <v>35</v>
      </c>
      <c r="B2105" t="s">
        <v>9443</v>
      </c>
      <c r="C2105">
        <f>"H60015XLROS"</f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 s="2">
        <v>0</v>
      </c>
      <c r="M2105">
        <v>0</v>
      </c>
      <c r="N2105" s="2">
        <v>0</v>
      </c>
      <c r="O2105">
        <v>0</v>
      </c>
      <c r="P2105" t="s">
        <v>100</v>
      </c>
      <c r="Q2105">
        <v>0</v>
      </c>
      <c r="R2105" t="s">
        <v>145</v>
      </c>
      <c r="S2105">
        <v>0</v>
      </c>
    </row>
    <row r="2106" spans="1:19">
      <c r="A2106" t="s">
        <v>35</v>
      </c>
      <c r="B2106" t="s">
        <v>4891</v>
      </c>
      <c r="C2106">
        <f>"LL313MAN"</f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 s="2">
        <v>0</v>
      </c>
      <c r="M2106">
        <v>0</v>
      </c>
      <c r="N2106" s="2">
        <v>0</v>
      </c>
      <c r="O2106">
        <v>0</v>
      </c>
      <c r="P2106" t="s">
        <v>100</v>
      </c>
      <c r="Q2106">
        <v>0</v>
      </c>
      <c r="R2106" t="s">
        <v>145</v>
      </c>
      <c r="S2106">
        <v>0</v>
      </c>
    </row>
    <row r="2107" spans="1:19">
      <c r="A2107" t="s">
        <v>35</v>
      </c>
      <c r="B2107" t="s">
        <v>4889</v>
      </c>
      <c r="C2107">
        <f>"LL313MVM"</f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 s="2">
        <v>0</v>
      </c>
      <c r="M2107">
        <v>0</v>
      </c>
      <c r="N2107" s="2">
        <v>0</v>
      </c>
      <c r="O2107">
        <v>0</v>
      </c>
      <c r="P2107" t="s">
        <v>100</v>
      </c>
      <c r="Q2107">
        <v>0</v>
      </c>
      <c r="R2107" t="s">
        <v>145</v>
      </c>
      <c r="S2107">
        <v>0</v>
      </c>
    </row>
    <row r="2108" spans="1:19">
      <c r="A2108" t="s">
        <v>35</v>
      </c>
      <c r="B2108" t="s">
        <v>9289</v>
      </c>
      <c r="C2108">
        <f>"HH309SMO"</f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 s="2">
        <v>0</v>
      </c>
      <c r="M2108">
        <v>0</v>
      </c>
      <c r="N2108" s="2">
        <v>0</v>
      </c>
      <c r="O2108">
        <v>0</v>
      </c>
      <c r="P2108" t="s">
        <v>100</v>
      </c>
      <c r="Q2108">
        <v>0</v>
      </c>
      <c r="R2108" t="s">
        <v>145</v>
      </c>
      <c r="S2108">
        <v>0</v>
      </c>
    </row>
    <row r="2109" spans="1:19">
      <c r="A2109" t="s">
        <v>35</v>
      </c>
      <c r="B2109" t="s">
        <v>9287</v>
      </c>
      <c r="C2109">
        <f>"HH309SROS"</f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 s="2">
        <v>0</v>
      </c>
      <c r="M2109">
        <v>0</v>
      </c>
      <c r="N2109" s="2">
        <v>0</v>
      </c>
      <c r="O2109">
        <v>0</v>
      </c>
      <c r="P2109" t="s">
        <v>100</v>
      </c>
      <c r="Q2109">
        <v>0</v>
      </c>
      <c r="R2109" t="s">
        <v>145</v>
      </c>
      <c r="S2109">
        <v>0</v>
      </c>
    </row>
    <row r="2110" spans="1:19">
      <c r="A2110" t="s">
        <v>35</v>
      </c>
      <c r="B2110" t="s">
        <v>9655</v>
      </c>
      <c r="C2110">
        <f>"SW003L"</f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 s="2">
        <v>0</v>
      </c>
      <c r="M2110">
        <v>0</v>
      </c>
      <c r="N2110" s="2">
        <v>0</v>
      </c>
      <c r="O2110">
        <v>0</v>
      </c>
      <c r="P2110" t="s">
        <v>100</v>
      </c>
      <c r="Q2110">
        <v>0</v>
      </c>
      <c r="R2110" t="s">
        <v>145</v>
      </c>
      <c r="S2110">
        <v>0</v>
      </c>
    </row>
    <row r="2111" spans="1:19">
      <c r="A2111" t="s">
        <v>35</v>
      </c>
      <c r="B2111" t="s">
        <v>9654</v>
      </c>
      <c r="C2111">
        <f>"SW003M"</f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 s="2">
        <v>0</v>
      </c>
      <c r="M2111">
        <v>0</v>
      </c>
      <c r="N2111" s="2">
        <v>0</v>
      </c>
      <c r="O2111">
        <v>0</v>
      </c>
      <c r="P2111" t="s">
        <v>100</v>
      </c>
      <c r="Q2111">
        <v>0</v>
      </c>
      <c r="R2111" t="s">
        <v>145</v>
      </c>
      <c r="S2111">
        <v>0</v>
      </c>
    </row>
    <row r="2112" spans="1:19">
      <c r="A2112" t="s">
        <v>35</v>
      </c>
      <c r="B2112" t="s">
        <v>9637</v>
      </c>
      <c r="C2112">
        <f>"SW003XL"</f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 s="2">
        <v>0</v>
      </c>
      <c r="M2112">
        <v>0</v>
      </c>
      <c r="N2112" s="2">
        <v>0</v>
      </c>
      <c r="O2112">
        <v>0</v>
      </c>
      <c r="P2112" t="s">
        <v>100</v>
      </c>
      <c r="Q2112">
        <v>0</v>
      </c>
      <c r="R2112" t="s">
        <v>145</v>
      </c>
      <c r="S2112">
        <v>0</v>
      </c>
    </row>
    <row r="2113" spans="1:19">
      <c r="A2113" t="s">
        <v>35</v>
      </c>
      <c r="B2113" t="s">
        <v>9824</v>
      </c>
      <c r="C2113">
        <f>"H60015SGR"</f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 s="2">
        <v>0</v>
      </c>
      <c r="M2113">
        <v>0</v>
      </c>
      <c r="N2113" s="2">
        <v>0</v>
      </c>
      <c r="O2113">
        <v>0</v>
      </c>
      <c r="P2113" t="s">
        <v>100</v>
      </c>
      <c r="Q2113">
        <v>0</v>
      </c>
      <c r="R2113" t="s">
        <v>145</v>
      </c>
      <c r="S2113">
        <v>0</v>
      </c>
    </row>
    <row r="2114" spans="1:19">
      <c r="A2114" t="s">
        <v>35</v>
      </c>
      <c r="B2114" t="s">
        <v>4498</v>
      </c>
      <c r="C2114">
        <f>"THCPXS"</f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 s="2">
        <v>0</v>
      </c>
      <c r="M2114">
        <v>0</v>
      </c>
      <c r="N2114" s="2">
        <v>0</v>
      </c>
      <c r="O2114">
        <v>0</v>
      </c>
      <c r="P2114" t="s">
        <v>100</v>
      </c>
      <c r="Q2114">
        <v>0</v>
      </c>
      <c r="R2114" t="s">
        <v>145</v>
      </c>
      <c r="S2114">
        <v>0</v>
      </c>
    </row>
    <row r="2115" spans="1:19">
      <c r="A2115" t="s">
        <v>35</v>
      </c>
      <c r="B2115" t="s">
        <v>4496</v>
      </c>
      <c r="C2115">
        <f>"THMV"</f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 s="2">
        <v>0</v>
      </c>
      <c r="M2115">
        <v>0</v>
      </c>
      <c r="N2115" s="2">
        <v>0</v>
      </c>
      <c r="O2115">
        <v>0</v>
      </c>
      <c r="P2115" t="s">
        <v>100</v>
      </c>
      <c r="Q2115">
        <v>0</v>
      </c>
      <c r="R2115" t="s">
        <v>145</v>
      </c>
      <c r="S2115">
        <v>0</v>
      </c>
    </row>
    <row r="2116" spans="1:19">
      <c r="A2116" t="s">
        <v>35</v>
      </c>
      <c r="B2116" t="s">
        <v>4495</v>
      </c>
      <c r="C2116">
        <f>"THSV"</f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 s="2">
        <v>0</v>
      </c>
      <c r="M2116">
        <v>0</v>
      </c>
      <c r="N2116" s="2">
        <v>0</v>
      </c>
      <c r="O2116">
        <v>0</v>
      </c>
      <c r="P2116" t="s">
        <v>100</v>
      </c>
      <c r="Q2116">
        <v>0</v>
      </c>
      <c r="R2116" t="s">
        <v>145</v>
      </c>
      <c r="S2116">
        <v>0</v>
      </c>
    </row>
    <row r="2117" spans="1:19">
      <c r="A2117" t="s">
        <v>35</v>
      </c>
      <c r="B2117" t="s">
        <v>4493</v>
      </c>
      <c r="C2117">
        <f>"THXSV"</f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 s="2">
        <v>0</v>
      </c>
      <c r="M2117">
        <v>0</v>
      </c>
      <c r="N2117" s="2">
        <v>0</v>
      </c>
      <c r="O2117">
        <v>0</v>
      </c>
      <c r="P2117" t="s">
        <v>100</v>
      </c>
      <c r="Q2117">
        <v>0</v>
      </c>
      <c r="R2117" t="s">
        <v>145</v>
      </c>
      <c r="S2117">
        <v>0</v>
      </c>
    </row>
    <row r="2118" spans="1:19">
      <c r="A2118" t="s">
        <v>35</v>
      </c>
      <c r="B2118" t="s">
        <v>9399</v>
      </c>
      <c r="C2118">
        <f>"FPL980"</f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 s="2">
        <v>0</v>
      </c>
      <c r="M2118">
        <v>0</v>
      </c>
      <c r="N2118" s="2">
        <v>0</v>
      </c>
      <c r="O2118">
        <v>0</v>
      </c>
      <c r="P2118" t="s">
        <v>100</v>
      </c>
      <c r="Q2118">
        <v>0</v>
      </c>
      <c r="R2118" t="s">
        <v>145</v>
      </c>
      <c r="S2118">
        <v>0</v>
      </c>
    </row>
    <row r="2119" spans="1:19">
      <c r="A2119" t="s">
        <v>35</v>
      </c>
      <c r="B2119" t="s">
        <v>9398</v>
      </c>
      <c r="C2119">
        <f>"FPL981"</f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 s="2">
        <v>0</v>
      </c>
      <c r="M2119">
        <v>0</v>
      </c>
      <c r="N2119" s="2">
        <v>0</v>
      </c>
      <c r="O2119">
        <v>0</v>
      </c>
      <c r="P2119" t="s">
        <v>100</v>
      </c>
      <c r="Q2119">
        <v>0</v>
      </c>
      <c r="R2119" t="s">
        <v>145</v>
      </c>
      <c r="S2119">
        <v>0</v>
      </c>
    </row>
    <row r="2120" spans="1:19">
      <c r="A2120" t="s">
        <v>35</v>
      </c>
      <c r="B2120" t="s">
        <v>9395</v>
      </c>
      <c r="C2120">
        <f>"DN09"</f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 s="2">
        <v>0</v>
      </c>
      <c r="M2120">
        <v>0</v>
      </c>
      <c r="N2120" s="2">
        <v>0</v>
      </c>
      <c r="O2120">
        <v>0</v>
      </c>
      <c r="P2120" t="s">
        <v>100</v>
      </c>
      <c r="Q2120">
        <v>0</v>
      </c>
      <c r="R2120" t="s">
        <v>145</v>
      </c>
      <c r="S2120">
        <v>0</v>
      </c>
    </row>
    <row r="2121" spans="1:19">
      <c r="A2121" t="s">
        <v>35</v>
      </c>
      <c r="B2121" t="s">
        <v>9380</v>
      </c>
      <c r="C2121">
        <f>"DN08"</f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 s="2">
        <v>0</v>
      </c>
      <c r="M2121">
        <v>0</v>
      </c>
      <c r="N2121" s="2">
        <v>0</v>
      </c>
      <c r="O2121">
        <v>0</v>
      </c>
      <c r="P2121" t="s">
        <v>100</v>
      </c>
      <c r="Q2121">
        <v>0</v>
      </c>
      <c r="R2121" t="s">
        <v>145</v>
      </c>
      <c r="S2121">
        <v>0</v>
      </c>
    </row>
    <row r="2122" spans="1:19">
      <c r="A2122" t="s">
        <v>35</v>
      </c>
      <c r="B2122" t="s">
        <v>10006</v>
      </c>
      <c r="C2122">
        <f>"DN01"</f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 s="2">
        <v>0</v>
      </c>
      <c r="M2122">
        <v>0</v>
      </c>
      <c r="N2122" s="2">
        <v>0</v>
      </c>
      <c r="O2122">
        <v>0</v>
      </c>
      <c r="P2122" t="s">
        <v>100</v>
      </c>
      <c r="Q2122">
        <v>0</v>
      </c>
      <c r="R2122" t="s">
        <v>145</v>
      </c>
      <c r="S2122">
        <v>0</v>
      </c>
    </row>
    <row r="2123" spans="1:19">
      <c r="A2123" t="s">
        <v>35</v>
      </c>
      <c r="B2123" t="s">
        <v>10021</v>
      </c>
      <c r="C2123">
        <f>"153312"</f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 s="2">
        <v>0</v>
      </c>
      <c r="M2123">
        <v>0</v>
      </c>
      <c r="N2123" s="2">
        <v>0</v>
      </c>
      <c r="O2123">
        <v>0</v>
      </c>
      <c r="P2123" t="s">
        <v>100</v>
      </c>
      <c r="Q2123">
        <v>0</v>
      </c>
      <c r="R2123" t="s">
        <v>145</v>
      </c>
      <c r="S2123">
        <v>0</v>
      </c>
    </row>
    <row r="2124" spans="1:19">
      <c r="A2124" t="s">
        <v>35</v>
      </c>
      <c r="B2124" t="s">
        <v>4545</v>
      </c>
      <c r="C2124">
        <f>"LS196A"</f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 s="2">
        <v>0</v>
      </c>
      <c r="M2124">
        <v>0</v>
      </c>
      <c r="N2124" s="2">
        <v>0</v>
      </c>
      <c r="O2124">
        <v>0</v>
      </c>
      <c r="P2124" t="s">
        <v>100</v>
      </c>
      <c r="Q2124">
        <v>0</v>
      </c>
      <c r="R2124" t="s">
        <v>145</v>
      </c>
      <c r="S2124">
        <v>0</v>
      </c>
    </row>
    <row r="2125" spans="1:19">
      <c r="A2125" t="s">
        <v>35</v>
      </c>
      <c r="B2125" t="s">
        <v>1450</v>
      </c>
      <c r="C2125">
        <f>"WD023AZNE"</f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 s="2">
        <v>0</v>
      </c>
      <c r="M2125">
        <v>0</v>
      </c>
      <c r="N2125" s="2">
        <v>0</v>
      </c>
      <c r="O2125">
        <v>0</v>
      </c>
      <c r="P2125" t="s">
        <v>100</v>
      </c>
      <c r="Q2125">
        <v>0</v>
      </c>
      <c r="R2125" t="s">
        <v>145</v>
      </c>
      <c r="S2125">
        <v>0</v>
      </c>
    </row>
    <row r="2126" spans="1:19">
      <c r="A2126" t="s">
        <v>35</v>
      </c>
      <c r="B2126" t="s">
        <v>1450</v>
      </c>
      <c r="C2126">
        <f>"WD023ROJN"</f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 s="2">
        <v>0</v>
      </c>
      <c r="M2126">
        <v>0</v>
      </c>
      <c r="N2126" s="2">
        <v>0</v>
      </c>
      <c r="O2126">
        <v>0</v>
      </c>
      <c r="P2126" t="s">
        <v>100</v>
      </c>
      <c r="Q2126">
        <v>0</v>
      </c>
      <c r="R2126" t="s">
        <v>145</v>
      </c>
      <c r="S2126">
        <v>0</v>
      </c>
    </row>
    <row r="2127" spans="1:19">
      <c r="A2127" t="s">
        <v>35</v>
      </c>
      <c r="B2127" t="s">
        <v>4564</v>
      </c>
      <c r="C2127">
        <f>"WD236AZNE"</f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 s="2">
        <v>0</v>
      </c>
      <c r="M2127">
        <v>0</v>
      </c>
      <c r="N2127" s="2">
        <v>0</v>
      </c>
      <c r="O2127">
        <v>0</v>
      </c>
      <c r="P2127" t="s">
        <v>100</v>
      </c>
      <c r="Q2127">
        <v>0</v>
      </c>
      <c r="R2127" t="s">
        <v>145</v>
      </c>
      <c r="S2127">
        <v>0</v>
      </c>
    </row>
    <row r="2128" spans="1:19">
      <c r="A2128" t="s">
        <v>35</v>
      </c>
      <c r="B2128" t="s">
        <v>4564</v>
      </c>
      <c r="C2128">
        <f>"WD236ROJN"</f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 s="2">
        <v>0</v>
      </c>
      <c r="M2128">
        <v>0</v>
      </c>
      <c r="N2128" s="2">
        <v>0</v>
      </c>
      <c r="O2128">
        <v>0</v>
      </c>
      <c r="P2128" t="s">
        <v>100</v>
      </c>
      <c r="Q2128">
        <v>0</v>
      </c>
      <c r="R2128" t="s">
        <v>145</v>
      </c>
      <c r="S2128">
        <v>0</v>
      </c>
    </row>
    <row r="2129" spans="1:19">
      <c r="A2129" t="s">
        <v>35</v>
      </c>
      <c r="B2129" t="s">
        <v>4564</v>
      </c>
      <c r="C2129">
        <f>"WD236VEMU"</f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 s="2">
        <v>0</v>
      </c>
      <c r="M2129">
        <v>0</v>
      </c>
      <c r="N2129" s="2">
        <v>0</v>
      </c>
      <c r="O2129">
        <v>0</v>
      </c>
      <c r="P2129" t="s">
        <v>100</v>
      </c>
      <c r="Q2129">
        <v>0</v>
      </c>
      <c r="R2129" t="s">
        <v>145</v>
      </c>
      <c r="S2129">
        <v>0</v>
      </c>
    </row>
    <row r="2130" spans="1:19">
      <c r="A2130" t="s">
        <v>35</v>
      </c>
      <c r="B2130" t="s">
        <v>4563</v>
      </c>
      <c r="C2130">
        <f>"WD315"</f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 s="2">
        <v>0</v>
      </c>
      <c r="M2130">
        <v>0</v>
      </c>
      <c r="N2130" s="2">
        <v>0</v>
      </c>
      <c r="O2130">
        <v>0</v>
      </c>
      <c r="P2130" t="s">
        <v>100</v>
      </c>
      <c r="Q2130">
        <v>0</v>
      </c>
      <c r="R2130" t="s">
        <v>145</v>
      </c>
      <c r="S2130">
        <v>0</v>
      </c>
    </row>
    <row r="2131" spans="1:19">
      <c r="A2131" t="s">
        <v>35</v>
      </c>
      <c r="B2131" t="s">
        <v>4560</v>
      </c>
      <c r="C2131">
        <f>"LV09015"</f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 s="2">
        <v>0</v>
      </c>
      <c r="M2131">
        <v>0</v>
      </c>
      <c r="N2131" s="2">
        <v>0</v>
      </c>
      <c r="O2131">
        <v>0</v>
      </c>
      <c r="P2131" t="s">
        <v>100</v>
      </c>
      <c r="Q2131">
        <v>0</v>
      </c>
      <c r="R2131" t="s">
        <v>145</v>
      </c>
      <c r="S2131">
        <v>0</v>
      </c>
    </row>
    <row r="2132" spans="1:19">
      <c r="A2132" t="s">
        <v>35</v>
      </c>
      <c r="B2132" t="s">
        <v>4559</v>
      </c>
      <c r="C2132">
        <f>"LV09020"</f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 s="2">
        <v>0</v>
      </c>
      <c r="M2132">
        <v>0</v>
      </c>
      <c r="N2132" s="2">
        <v>0</v>
      </c>
      <c r="O2132">
        <v>0</v>
      </c>
      <c r="P2132" t="s">
        <v>100</v>
      </c>
      <c r="Q2132">
        <v>0</v>
      </c>
      <c r="R2132" t="s">
        <v>145</v>
      </c>
      <c r="S2132">
        <v>0</v>
      </c>
    </row>
    <row r="2133" spans="1:19">
      <c r="A2133" t="s">
        <v>35</v>
      </c>
      <c r="B2133" t="s">
        <v>4550</v>
      </c>
      <c r="C2133">
        <f>"JW9013N"</f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 s="2">
        <v>0</v>
      </c>
      <c r="M2133">
        <v>0</v>
      </c>
      <c r="N2133" s="2">
        <v>0</v>
      </c>
      <c r="O2133">
        <v>0</v>
      </c>
      <c r="P2133" t="s">
        <v>100</v>
      </c>
      <c r="Q2133">
        <v>0</v>
      </c>
      <c r="R2133" t="s">
        <v>145</v>
      </c>
      <c r="S2133">
        <v>0</v>
      </c>
    </row>
    <row r="2134" spans="1:19">
      <c r="A2134" t="s">
        <v>35</v>
      </c>
      <c r="B2134" t="s">
        <v>4877</v>
      </c>
      <c r="C2134">
        <f>"LS196"</f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 s="2">
        <v>0</v>
      </c>
      <c r="M2134">
        <v>0</v>
      </c>
      <c r="N2134" s="2">
        <v>0</v>
      </c>
      <c r="O2134">
        <v>0</v>
      </c>
      <c r="P2134" t="s">
        <v>100</v>
      </c>
      <c r="Q2134">
        <v>0</v>
      </c>
      <c r="R2134" t="s">
        <v>145</v>
      </c>
      <c r="S2134">
        <v>0</v>
      </c>
    </row>
    <row r="2135" spans="1:19">
      <c r="A2135" t="s">
        <v>35</v>
      </c>
      <c r="B2135" t="s">
        <v>1450</v>
      </c>
      <c r="C2135">
        <f>"WD023"</f>
        <v>0</v>
      </c>
      <c r="D2135">
        <v>1</v>
      </c>
      <c r="E2135">
        <v>0</v>
      </c>
      <c r="F2135">
        <v>0</v>
      </c>
      <c r="G2135">
        <v>0</v>
      </c>
      <c r="H2135">
        <v>1</v>
      </c>
      <c r="I2135">
        <v>0</v>
      </c>
      <c r="J2135">
        <v>0</v>
      </c>
      <c r="K2135">
        <v>0</v>
      </c>
      <c r="L2135" s="2">
        <v>0</v>
      </c>
      <c r="M2135">
        <v>0</v>
      </c>
      <c r="N2135" s="2">
        <v>0</v>
      </c>
      <c r="O2135">
        <v>0</v>
      </c>
      <c r="P2135" t="s">
        <v>100</v>
      </c>
      <c r="Q2135">
        <v>0</v>
      </c>
      <c r="R2135" t="s">
        <v>145</v>
      </c>
      <c r="S2135">
        <v>0</v>
      </c>
    </row>
    <row r="2136" spans="1:19">
      <c r="A2136" t="s">
        <v>35</v>
      </c>
      <c r="B2136" t="s">
        <v>5236</v>
      </c>
      <c r="C2136">
        <f>"CBT15"</f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 s="2">
        <v>0</v>
      </c>
      <c r="M2136">
        <v>0</v>
      </c>
      <c r="N2136" s="2">
        <v>0</v>
      </c>
      <c r="O2136">
        <v>0</v>
      </c>
      <c r="P2136" t="s">
        <v>100</v>
      </c>
      <c r="Q2136">
        <v>0</v>
      </c>
      <c r="R2136" t="s">
        <v>145</v>
      </c>
      <c r="S2136">
        <v>0</v>
      </c>
    </row>
    <row r="2137" spans="1:19">
      <c r="A2137" t="s">
        <v>35</v>
      </c>
      <c r="B2137" t="s">
        <v>5235</v>
      </c>
      <c r="C2137">
        <f>"CT137"</f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 s="2">
        <v>0</v>
      </c>
      <c r="M2137">
        <v>0</v>
      </c>
      <c r="N2137" s="2">
        <v>0</v>
      </c>
      <c r="O2137">
        <v>0</v>
      </c>
      <c r="P2137" t="s">
        <v>100</v>
      </c>
      <c r="Q2137">
        <v>0</v>
      </c>
      <c r="R2137" t="s">
        <v>145</v>
      </c>
      <c r="S2137">
        <v>0</v>
      </c>
    </row>
    <row r="2138" spans="1:19">
      <c r="A2138" t="s">
        <v>35</v>
      </c>
      <c r="B2138" t="s">
        <v>5233</v>
      </c>
      <c r="C2138">
        <f>"MCW160"</f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 s="2">
        <v>0</v>
      </c>
      <c r="M2138">
        <v>0</v>
      </c>
      <c r="N2138" s="2">
        <v>0</v>
      </c>
      <c r="O2138">
        <v>0</v>
      </c>
      <c r="P2138" t="s">
        <v>100</v>
      </c>
      <c r="Q2138">
        <v>0</v>
      </c>
      <c r="R2138" t="s">
        <v>145</v>
      </c>
      <c r="S2138">
        <v>0</v>
      </c>
    </row>
    <row r="2139" spans="1:19">
      <c r="A2139" t="s">
        <v>35</v>
      </c>
      <c r="B2139" t="s">
        <v>5232</v>
      </c>
      <c r="C2139">
        <f>"MCW161"</f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 s="2">
        <v>0</v>
      </c>
      <c r="M2139">
        <v>0</v>
      </c>
      <c r="N2139" s="2">
        <v>0</v>
      </c>
      <c r="O2139">
        <v>0</v>
      </c>
      <c r="P2139" t="s">
        <v>100</v>
      </c>
      <c r="Q2139">
        <v>0</v>
      </c>
      <c r="R2139" t="s">
        <v>145</v>
      </c>
      <c r="S2139">
        <v>0</v>
      </c>
    </row>
    <row r="2140" spans="1:19">
      <c r="A2140" t="s">
        <v>35</v>
      </c>
      <c r="B2140" t="s">
        <v>8756</v>
      </c>
      <c r="C2140">
        <f>"92804CM"</f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 s="2">
        <v>0</v>
      </c>
      <c r="M2140">
        <v>0</v>
      </c>
      <c r="N2140" s="2">
        <v>0</v>
      </c>
      <c r="O2140">
        <v>0</v>
      </c>
      <c r="P2140" t="s">
        <v>100</v>
      </c>
      <c r="Q2140">
        <v>0</v>
      </c>
      <c r="R2140" t="s">
        <v>145</v>
      </c>
      <c r="S2140">
        <v>0</v>
      </c>
    </row>
    <row r="2141" spans="1:19">
      <c r="A2141" t="s">
        <v>35</v>
      </c>
      <c r="B2141" t="s">
        <v>5230</v>
      </c>
      <c r="C2141">
        <f>"TC0029AZ"</f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 s="2">
        <v>0</v>
      </c>
      <c r="M2141">
        <v>0</v>
      </c>
      <c r="N2141" s="2">
        <v>0</v>
      </c>
      <c r="O2141">
        <v>0</v>
      </c>
      <c r="P2141" t="s">
        <v>100</v>
      </c>
      <c r="Q2141">
        <v>0</v>
      </c>
      <c r="R2141" t="s">
        <v>145</v>
      </c>
      <c r="S2141">
        <v>0</v>
      </c>
    </row>
    <row r="2142" spans="1:19">
      <c r="A2142" t="s">
        <v>35</v>
      </c>
      <c r="B2142" t="s">
        <v>5225</v>
      </c>
      <c r="C2142">
        <f>"288045"</f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 s="2">
        <v>0</v>
      </c>
      <c r="M2142">
        <v>0</v>
      </c>
      <c r="N2142" s="2">
        <v>0</v>
      </c>
      <c r="O2142">
        <v>0</v>
      </c>
      <c r="P2142" t="s">
        <v>100</v>
      </c>
      <c r="Q2142">
        <v>0</v>
      </c>
      <c r="R2142" t="s">
        <v>145</v>
      </c>
      <c r="S2142">
        <v>0</v>
      </c>
    </row>
    <row r="2143" spans="1:19">
      <c r="A2143" t="s">
        <v>35</v>
      </c>
      <c r="B2143" t="s">
        <v>5224</v>
      </c>
      <c r="C2143">
        <f>"1880417"</f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 s="2">
        <v>0</v>
      </c>
      <c r="M2143">
        <v>0</v>
      </c>
      <c r="N2143" s="2">
        <v>0</v>
      </c>
      <c r="O2143">
        <v>0</v>
      </c>
      <c r="P2143" t="s">
        <v>100</v>
      </c>
      <c r="Q2143">
        <v>0</v>
      </c>
      <c r="R2143" t="s">
        <v>145</v>
      </c>
      <c r="S2143">
        <v>0</v>
      </c>
    </row>
    <row r="2144" spans="1:19">
      <c r="A2144" t="s">
        <v>35</v>
      </c>
      <c r="B2144" t="s">
        <v>5223</v>
      </c>
      <c r="C2144">
        <f>"188046"</f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 s="2">
        <v>0</v>
      </c>
      <c r="M2144">
        <v>0</v>
      </c>
      <c r="N2144" s="2">
        <v>0</v>
      </c>
      <c r="O2144">
        <v>0</v>
      </c>
      <c r="P2144" t="s">
        <v>100</v>
      </c>
      <c r="Q2144">
        <v>0</v>
      </c>
      <c r="R2144" t="s">
        <v>145</v>
      </c>
      <c r="S2144">
        <v>0</v>
      </c>
    </row>
    <row r="2145" spans="1:19">
      <c r="A2145" t="s">
        <v>35</v>
      </c>
      <c r="B2145" t="s">
        <v>4669</v>
      </c>
      <c r="C2145">
        <f>"1039MECE"</f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 s="2">
        <v>0</v>
      </c>
      <c r="M2145">
        <v>0</v>
      </c>
      <c r="N2145" s="2">
        <v>0</v>
      </c>
      <c r="O2145">
        <v>0</v>
      </c>
      <c r="P2145" t="s">
        <v>100</v>
      </c>
      <c r="Q2145">
        <v>0</v>
      </c>
      <c r="R2145" t="s">
        <v>145</v>
      </c>
      <c r="S2145">
        <v>0</v>
      </c>
    </row>
    <row r="2146" spans="1:19">
      <c r="A2146" t="s">
        <v>35</v>
      </c>
      <c r="B2146" t="s">
        <v>5220</v>
      </c>
      <c r="C2146">
        <f>"CT140"</f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 s="2">
        <v>0</v>
      </c>
      <c r="M2146">
        <v>0</v>
      </c>
      <c r="N2146" s="2">
        <v>0</v>
      </c>
      <c r="O2146">
        <v>0</v>
      </c>
      <c r="P2146" t="s">
        <v>100</v>
      </c>
      <c r="Q2146">
        <v>0</v>
      </c>
      <c r="R2146" t="s">
        <v>145</v>
      </c>
      <c r="S2146">
        <v>0</v>
      </c>
    </row>
    <row r="2147" spans="1:19">
      <c r="A2147" t="s">
        <v>35</v>
      </c>
      <c r="B2147" t="s">
        <v>1293</v>
      </c>
      <c r="C2147">
        <f>"CT140CEL"</f>
        <v>0</v>
      </c>
      <c r="D2147">
        <v>0</v>
      </c>
      <c r="E2147">
        <v>0</v>
      </c>
      <c r="F2147">
        <v>1</v>
      </c>
      <c r="G2147">
        <v>0</v>
      </c>
      <c r="H2147">
        <v>1</v>
      </c>
      <c r="I2147">
        <v>0</v>
      </c>
      <c r="J2147">
        <v>0</v>
      </c>
      <c r="K2147">
        <v>0</v>
      </c>
      <c r="L2147" s="2">
        <v>0</v>
      </c>
      <c r="M2147">
        <v>0</v>
      </c>
      <c r="N2147" s="2">
        <v>0</v>
      </c>
      <c r="O2147">
        <v>0</v>
      </c>
      <c r="P2147" t="s">
        <v>100</v>
      </c>
      <c r="Q2147">
        <v>0</v>
      </c>
      <c r="R2147" t="s">
        <v>145</v>
      </c>
      <c r="S2147">
        <v>0</v>
      </c>
    </row>
    <row r="2148" spans="1:19">
      <c r="A2148" t="s">
        <v>35</v>
      </c>
      <c r="B2148" t="s">
        <v>8288</v>
      </c>
      <c r="C2148">
        <f>"ABT1GRROS"</f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 s="2">
        <v>0</v>
      </c>
      <c r="M2148">
        <v>0</v>
      </c>
      <c r="N2148" s="2">
        <v>0</v>
      </c>
      <c r="O2148">
        <v>0</v>
      </c>
      <c r="P2148" t="s">
        <v>100</v>
      </c>
      <c r="Q2148">
        <v>0</v>
      </c>
      <c r="R2148" t="s">
        <v>145</v>
      </c>
      <c r="S2148">
        <v>0</v>
      </c>
    </row>
    <row r="2149" spans="1:19">
      <c r="A2149" t="s">
        <v>35</v>
      </c>
      <c r="B2149" t="s">
        <v>4599</v>
      </c>
      <c r="C2149">
        <f>"W2000"</f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 s="2">
        <v>0</v>
      </c>
      <c r="M2149">
        <v>0</v>
      </c>
      <c r="N2149" s="2">
        <v>0</v>
      </c>
      <c r="O2149">
        <v>0</v>
      </c>
      <c r="P2149" t="s">
        <v>100</v>
      </c>
      <c r="Q2149">
        <v>0</v>
      </c>
      <c r="R2149" t="s">
        <v>145</v>
      </c>
      <c r="S2149">
        <v>0</v>
      </c>
    </row>
    <row r="2150" spans="1:19">
      <c r="A2150" t="s">
        <v>35</v>
      </c>
      <c r="B2150" t="s">
        <v>4633</v>
      </c>
      <c r="C2150">
        <f>"CT225"</f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 s="2">
        <v>0</v>
      </c>
      <c r="M2150">
        <v>0</v>
      </c>
      <c r="N2150" s="2">
        <v>0</v>
      </c>
      <c r="O2150">
        <v>0</v>
      </c>
      <c r="P2150" t="s">
        <v>100</v>
      </c>
      <c r="Q2150">
        <v>0</v>
      </c>
      <c r="R2150" t="s">
        <v>145</v>
      </c>
      <c r="S2150">
        <v>0</v>
      </c>
    </row>
    <row r="2151" spans="1:19">
      <c r="A2151" t="s">
        <v>35</v>
      </c>
      <c r="B2151" t="s">
        <v>4630</v>
      </c>
      <c r="C2151">
        <f>"CP101"</f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 s="2">
        <v>0</v>
      </c>
      <c r="M2151">
        <v>0</v>
      </c>
      <c r="N2151" s="2">
        <v>0</v>
      </c>
      <c r="O2151">
        <v>0</v>
      </c>
      <c r="P2151" t="s">
        <v>100</v>
      </c>
      <c r="Q2151">
        <v>0</v>
      </c>
      <c r="R2151" t="s">
        <v>145</v>
      </c>
      <c r="S2151">
        <v>0</v>
      </c>
    </row>
    <row r="2152" spans="1:19">
      <c r="A2152" t="s">
        <v>35</v>
      </c>
      <c r="B2152" t="s">
        <v>5297</v>
      </c>
      <c r="C2152">
        <f>"25390067"</f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 s="2">
        <v>0</v>
      </c>
      <c r="M2152">
        <v>0</v>
      </c>
      <c r="N2152" s="2">
        <v>0</v>
      </c>
      <c r="O2152">
        <v>0</v>
      </c>
      <c r="P2152" t="s">
        <v>100</v>
      </c>
      <c r="Q2152">
        <v>0</v>
      </c>
      <c r="R2152" t="s">
        <v>145</v>
      </c>
      <c r="S2152">
        <v>0</v>
      </c>
    </row>
    <row r="2153" spans="1:19">
      <c r="A2153" t="s">
        <v>35</v>
      </c>
      <c r="B2153" t="s">
        <v>8752</v>
      </c>
      <c r="C2153">
        <f>"92804NM"</f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 s="2">
        <v>0</v>
      </c>
      <c r="M2153">
        <v>0</v>
      </c>
      <c r="N2153" s="2">
        <v>0</v>
      </c>
      <c r="O2153">
        <v>0</v>
      </c>
      <c r="P2153" t="s">
        <v>100</v>
      </c>
      <c r="Q2153">
        <v>0</v>
      </c>
      <c r="R2153" t="s">
        <v>145</v>
      </c>
      <c r="S2153">
        <v>0</v>
      </c>
    </row>
    <row r="2154" spans="1:19">
      <c r="A2154" t="s">
        <v>35</v>
      </c>
      <c r="B2154" t="s">
        <v>8287</v>
      </c>
      <c r="C2154">
        <f>"92804RM"</f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 s="2">
        <v>0</v>
      </c>
      <c r="M2154">
        <v>0</v>
      </c>
      <c r="N2154" s="2">
        <v>0</v>
      </c>
      <c r="O2154">
        <v>0</v>
      </c>
      <c r="P2154" t="s">
        <v>100</v>
      </c>
      <c r="Q2154">
        <v>0</v>
      </c>
      <c r="R2154" t="s">
        <v>145</v>
      </c>
      <c r="S2154">
        <v>0</v>
      </c>
    </row>
    <row r="2155" spans="1:19">
      <c r="A2155" t="s">
        <v>35</v>
      </c>
      <c r="B2155" t="s">
        <v>1438</v>
      </c>
      <c r="C2155">
        <f>"92804RS"</f>
        <v>0</v>
      </c>
      <c r="D2155">
        <v>0</v>
      </c>
      <c r="E2155">
        <v>0</v>
      </c>
      <c r="F2155">
        <v>1</v>
      </c>
      <c r="G2155">
        <v>0</v>
      </c>
      <c r="H2155">
        <v>1</v>
      </c>
      <c r="I2155">
        <v>0</v>
      </c>
      <c r="J2155">
        <v>0</v>
      </c>
      <c r="K2155">
        <v>0</v>
      </c>
      <c r="L2155" s="2">
        <v>0</v>
      </c>
      <c r="M2155">
        <v>0</v>
      </c>
      <c r="N2155" s="2">
        <v>0</v>
      </c>
      <c r="O2155">
        <v>0</v>
      </c>
      <c r="P2155" t="s">
        <v>100</v>
      </c>
      <c r="Q2155">
        <v>0</v>
      </c>
      <c r="R2155" t="s">
        <v>145</v>
      </c>
      <c r="S2155">
        <v>0</v>
      </c>
    </row>
    <row r="2156" spans="1:19">
      <c r="A2156" t="s">
        <v>35</v>
      </c>
      <c r="B2156" t="s">
        <v>5237</v>
      </c>
      <c r="C2156">
        <f>"188044"</f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 s="2">
        <v>0</v>
      </c>
      <c r="M2156">
        <v>0</v>
      </c>
      <c r="N2156" s="2">
        <v>0</v>
      </c>
      <c r="O2156">
        <v>0</v>
      </c>
      <c r="P2156" t="s">
        <v>100</v>
      </c>
      <c r="Q2156">
        <v>0</v>
      </c>
      <c r="R2156" t="s">
        <v>145</v>
      </c>
      <c r="S2156">
        <v>0</v>
      </c>
    </row>
    <row r="2157" spans="1:19">
      <c r="A2157" t="s">
        <v>35</v>
      </c>
      <c r="B2157" t="s">
        <v>5257</v>
      </c>
      <c r="C2157">
        <f>"CT145"</f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 s="2">
        <v>0</v>
      </c>
      <c r="M2157">
        <v>0</v>
      </c>
      <c r="N2157" s="2">
        <v>0</v>
      </c>
      <c r="O2157">
        <v>0</v>
      </c>
      <c r="P2157" t="s">
        <v>100</v>
      </c>
      <c r="Q2157">
        <v>0</v>
      </c>
      <c r="R2157" t="s">
        <v>145</v>
      </c>
      <c r="S2157">
        <v>0</v>
      </c>
    </row>
    <row r="2158" spans="1:19">
      <c r="A2158" t="s">
        <v>35</v>
      </c>
      <c r="B2158" t="s">
        <v>5256</v>
      </c>
      <c r="C2158">
        <f>"CT1161"</f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 s="2">
        <v>0</v>
      </c>
      <c r="M2158">
        <v>0</v>
      </c>
      <c r="N2158" s="2">
        <v>0</v>
      </c>
      <c r="O2158">
        <v>0</v>
      </c>
      <c r="P2158" t="s">
        <v>100</v>
      </c>
      <c r="Q2158">
        <v>0</v>
      </c>
      <c r="R2158" t="s">
        <v>145</v>
      </c>
      <c r="S2158">
        <v>0</v>
      </c>
    </row>
    <row r="2159" spans="1:19">
      <c r="A2159" t="s">
        <v>35</v>
      </c>
      <c r="B2159" t="s">
        <v>5254</v>
      </c>
      <c r="C2159">
        <f>"WPS002"</f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 s="2">
        <v>0</v>
      </c>
      <c r="M2159">
        <v>0</v>
      </c>
      <c r="N2159" s="2">
        <v>0</v>
      </c>
      <c r="O2159">
        <v>0</v>
      </c>
      <c r="P2159" t="s">
        <v>100</v>
      </c>
      <c r="Q2159">
        <v>0</v>
      </c>
      <c r="R2159" t="s">
        <v>145</v>
      </c>
      <c r="S2159">
        <v>0</v>
      </c>
    </row>
    <row r="2160" spans="1:19">
      <c r="A2160" t="s">
        <v>35</v>
      </c>
      <c r="B2160" t="s">
        <v>5253</v>
      </c>
      <c r="C2160">
        <f>"WPS013"</f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 s="2">
        <v>0</v>
      </c>
      <c r="M2160">
        <v>0</v>
      </c>
      <c r="N2160" s="2">
        <v>0</v>
      </c>
      <c r="O2160">
        <v>0</v>
      </c>
      <c r="P2160" t="s">
        <v>100</v>
      </c>
      <c r="Q2160">
        <v>0</v>
      </c>
      <c r="R2160" t="s">
        <v>145</v>
      </c>
      <c r="S2160">
        <v>0</v>
      </c>
    </row>
    <row r="2161" spans="1:19">
      <c r="A2161" t="s">
        <v>35</v>
      </c>
      <c r="B2161" t="s">
        <v>9069</v>
      </c>
      <c r="C2161">
        <f>"FB526XLROMP"</f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 s="2">
        <v>0</v>
      </c>
      <c r="M2161">
        <v>0</v>
      </c>
      <c r="N2161" s="2">
        <v>0</v>
      </c>
      <c r="O2161">
        <v>0</v>
      </c>
      <c r="P2161" t="s">
        <v>100</v>
      </c>
      <c r="Q2161">
        <v>0</v>
      </c>
      <c r="R2161" t="s">
        <v>145</v>
      </c>
      <c r="S2161">
        <v>0</v>
      </c>
    </row>
    <row r="2162" spans="1:19">
      <c r="A2162" t="s">
        <v>35</v>
      </c>
      <c r="B2162" t="s">
        <v>8291</v>
      </c>
      <c r="C2162">
        <f>"ABT2GRROS"</f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 s="2">
        <v>0</v>
      </c>
      <c r="M2162">
        <v>0</v>
      </c>
      <c r="N2162" s="2">
        <v>0</v>
      </c>
      <c r="O2162">
        <v>0</v>
      </c>
      <c r="P2162" t="s">
        <v>100</v>
      </c>
      <c r="Q2162">
        <v>0</v>
      </c>
      <c r="R2162" t="s">
        <v>145</v>
      </c>
      <c r="S2162">
        <v>0</v>
      </c>
    </row>
    <row r="2163" spans="1:19">
      <c r="A2163" t="s">
        <v>35</v>
      </c>
      <c r="B2163" t="s">
        <v>5248</v>
      </c>
      <c r="C2163">
        <f>"TC2042AZ"</f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 s="2">
        <v>0</v>
      </c>
      <c r="M2163">
        <v>0</v>
      </c>
      <c r="N2163" s="2">
        <v>0</v>
      </c>
      <c r="O2163">
        <v>0</v>
      </c>
      <c r="P2163" t="s">
        <v>100</v>
      </c>
      <c r="Q2163">
        <v>0</v>
      </c>
      <c r="R2163" t="s">
        <v>145</v>
      </c>
      <c r="S2163">
        <v>0</v>
      </c>
    </row>
    <row r="2164" spans="1:19">
      <c r="A2164" t="s">
        <v>35</v>
      </c>
      <c r="B2164" t="s">
        <v>5247</v>
      </c>
      <c r="C2164">
        <f>"TC2042FUC"</f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 s="2">
        <v>0</v>
      </c>
      <c r="M2164">
        <v>0</v>
      </c>
      <c r="N2164" s="2">
        <v>0</v>
      </c>
      <c r="O2164">
        <v>0</v>
      </c>
      <c r="P2164" t="s">
        <v>100</v>
      </c>
      <c r="Q2164">
        <v>0</v>
      </c>
      <c r="R2164" t="s">
        <v>145</v>
      </c>
      <c r="S2164">
        <v>0</v>
      </c>
    </row>
    <row r="2165" spans="1:19">
      <c r="A2165" t="s">
        <v>35</v>
      </c>
      <c r="B2165" t="s">
        <v>5245</v>
      </c>
      <c r="C2165">
        <f>"TC2042NE"</f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 s="2">
        <v>0</v>
      </c>
      <c r="M2165">
        <v>0</v>
      </c>
      <c r="N2165" s="2">
        <v>0</v>
      </c>
      <c r="O2165">
        <v>0</v>
      </c>
      <c r="P2165" t="s">
        <v>100</v>
      </c>
      <c r="Q2165">
        <v>0</v>
      </c>
      <c r="R2165" t="s">
        <v>145</v>
      </c>
      <c r="S2165">
        <v>0</v>
      </c>
    </row>
    <row r="2166" spans="1:19">
      <c r="A2166" t="s">
        <v>35</v>
      </c>
      <c r="B2166" t="s">
        <v>320</v>
      </c>
      <c r="C2166">
        <f>"BL816M"</f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 s="2">
        <v>0</v>
      </c>
      <c r="M2166">
        <v>0</v>
      </c>
      <c r="N2166" s="2">
        <v>0</v>
      </c>
      <c r="O2166">
        <v>0</v>
      </c>
      <c r="P2166" t="s">
        <v>100</v>
      </c>
      <c r="Q2166">
        <v>0</v>
      </c>
      <c r="R2166" t="s">
        <v>145</v>
      </c>
      <c r="S2166">
        <v>0</v>
      </c>
    </row>
    <row r="2167" spans="1:19">
      <c r="A2167" t="s">
        <v>35</v>
      </c>
      <c r="B2167" t="s">
        <v>5311</v>
      </c>
      <c r="C2167">
        <f>"PT287V"</f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 s="2">
        <v>0</v>
      </c>
      <c r="M2167">
        <v>0</v>
      </c>
      <c r="N2167" s="2">
        <v>0</v>
      </c>
      <c r="O2167">
        <v>0</v>
      </c>
      <c r="P2167" t="s">
        <v>100</v>
      </c>
      <c r="Q2167">
        <v>0</v>
      </c>
      <c r="R2167" t="s">
        <v>145</v>
      </c>
      <c r="S2167">
        <v>0</v>
      </c>
    </row>
    <row r="2168" spans="1:19">
      <c r="A2168" t="s">
        <v>35</v>
      </c>
      <c r="B2168" t="s">
        <v>8677</v>
      </c>
      <c r="C2168">
        <f>"DB821ML"</f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 s="2">
        <v>0</v>
      </c>
      <c r="M2168">
        <v>0</v>
      </c>
      <c r="N2168" s="2">
        <v>0</v>
      </c>
      <c r="O2168">
        <v>0</v>
      </c>
      <c r="P2168" t="s">
        <v>100</v>
      </c>
      <c r="Q2168">
        <v>0</v>
      </c>
      <c r="R2168" t="s">
        <v>145</v>
      </c>
      <c r="S2168">
        <v>0</v>
      </c>
    </row>
    <row r="2169" spans="1:19">
      <c r="A2169" t="s">
        <v>35</v>
      </c>
      <c r="B2169" t="s">
        <v>8673</v>
      </c>
      <c r="C2169">
        <f>"DB821RL"</f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 s="2">
        <v>0</v>
      </c>
      <c r="M2169">
        <v>0</v>
      </c>
      <c r="N2169" s="2">
        <v>0</v>
      </c>
      <c r="O2169">
        <v>0</v>
      </c>
      <c r="P2169" t="s">
        <v>100</v>
      </c>
      <c r="Q2169">
        <v>0</v>
      </c>
      <c r="R2169" t="s">
        <v>145</v>
      </c>
      <c r="S2169">
        <v>0</v>
      </c>
    </row>
    <row r="2170" spans="1:19">
      <c r="A2170" t="s">
        <v>35</v>
      </c>
      <c r="B2170" t="s">
        <v>5219</v>
      </c>
      <c r="C2170">
        <f>"CT140VE"</f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 s="2">
        <v>0</v>
      </c>
      <c r="M2170">
        <v>0</v>
      </c>
      <c r="N2170" s="2">
        <v>0</v>
      </c>
      <c r="O2170">
        <v>0</v>
      </c>
      <c r="P2170" t="s">
        <v>100</v>
      </c>
      <c r="Q2170">
        <v>0</v>
      </c>
      <c r="R2170" t="s">
        <v>145</v>
      </c>
      <c r="S2170">
        <v>0</v>
      </c>
    </row>
    <row r="2171" spans="1:19">
      <c r="A2171" t="s">
        <v>35</v>
      </c>
      <c r="B2171" t="s">
        <v>5215</v>
      </c>
      <c r="C2171">
        <f>"MCW149"</f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 s="2">
        <v>0</v>
      </c>
      <c r="M2171">
        <v>0</v>
      </c>
      <c r="N2171" s="2">
        <v>0</v>
      </c>
      <c r="O2171">
        <v>0</v>
      </c>
      <c r="P2171" t="s">
        <v>100</v>
      </c>
      <c r="Q2171">
        <v>0</v>
      </c>
      <c r="R2171" t="s">
        <v>145</v>
      </c>
      <c r="S2171">
        <v>0</v>
      </c>
    </row>
    <row r="2172" spans="1:19">
      <c r="A2172" t="s">
        <v>35</v>
      </c>
      <c r="B2172" t="s">
        <v>5214</v>
      </c>
      <c r="C2172">
        <f>"CT178"</f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 s="2">
        <v>0</v>
      </c>
      <c r="M2172">
        <v>0</v>
      </c>
      <c r="N2172" s="2">
        <v>0</v>
      </c>
      <c r="O2172">
        <v>0</v>
      </c>
      <c r="P2172" t="s">
        <v>100</v>
      </c>
      <c r="Q2172">
        <v>0</v>
      </c>
      <c r="R2172" t="s">
        <v>145</v>
      </c>
      <c r="S2172">
        <v>0</v>
      </c>
    </row>
    <row r="2173" spans="1:19">
      <c r="A2173" t="s">
        <v>35</v>
      </c>
      <c r="B2173" t="s">
        <v>937</v>
      </c>
      <c r="C2173">
        <f>"TC2001PEZ"</f>
        <v>0</v>
      </c>
      <c r="D2173">
        <v>3</v>
      </c>
      <c r="E2173">
        <v>0</v>
      </c>
      <c r="F2173">
        <v>0</v>
      </c>
      <c r="G2173">
        <v>0</v>
      </c>
      <c r="H2173">
        <v>3</v>
      </c>
      <c r="I2173">
        <v>0</v>
      </c>
      <c r="J2173">
        <v>0</v>
      </c>
      <c r="K2173">
        <v>0</v>
      </c>
      <c r="L2173" s="2">
        <v>0</v>
      </c>
      <c r="M2173">
        <v>0</v>
      </c>
      <c r="N2173" s="2">
        <v>0</v>
      </c>
      <c r="O2173">
        <v>0</v>
      </c>
      <c r="P2173" t="s">
        <v>100</v>
      </c>
      <c r="Q2173">
        <v>0</v>
      </c>
      <c r="R2173" t="s">
        <v>145</v>
      </c>
      <c r="S2173">
        <v>0</v>
      </c>
    </row>
    <row r="2174" spans="1:19">
      <c r="A2174" t="s">
        <v>35</v>
      </c>
      <c r="B2174" t="s">
        <v>5211</v>
      </c>
      <c r="C2174">
        <f>"CT481"</f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 s="2">
        <v>0</v>
      </c>
      <c r="M2174">
        <v>0</v>
      </c>
      <c r="N2174" s="2">
        <v>0</v>
      </c>
      <c r="O2174">
        <v>0</v>
      </c>
      <c r="P2174" t="s">
        <v>100</v>
      </c>
      <c r="Q2174">
        <v>0</v>
      </c>
      <c r="R2174" t="s">
        <v>145</v>
      </c>
      <c r="S2174">
        <v>0</v>
      </c>
    </row>
    <row r="2175" spans="1:19">
      <c r="A2175" t="s">
        <v>35</v>
      </c>
      <c r="B2175" t="s">
        <v>5210</v>
      </c>
      <c r="C2175">
        <f>"WPS008"</f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 s="2">
        <v>0</v>
      </c>
      <c r="M2175">
        <v>0</v>
      </c>
      <c r="N2175" s="2">
        <v>0</v>
      </c>
      <c r="O2175">
        <v>0</v>
      </c>
      <c r="P2175" t="s">
        <v>100</v>
      </c>
      <c r="Q2175">
        <v>0</v>
      </c>
      <c r="R2175" t="s">
        <v>145</v>
      </c>
      <c r="S2175">
        <v>0</v>
      </c>
    </row>
    <row r="2176" spans="1:19">
      <c r="A2176" t="s">
        <v>35</v>
      </c>
      <c r="B2176" t="s">
        <v>5265</v>
      </c>
      <c r="C2176">
        <f>"CT124"</f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 s="2">
        <v>0</v>
      </c>
      <c r="M2176">
        <v>0</v>
      </c>
      <c r="N2176" s="2">
        <v>0</v>
      </c>
      <c r="O2176">
        <v>0</v>
      </c>
      <c r="P2176" t="s">
        <v>100</v>
      </c>
      <c r="Q2176">
        <v>0</v>
      </c>
      <c r="R2176" t="s">
        <v>145</v>
      </c>
      <c r="S2176">
        <v>0</v>
      </c>
    </row>
    <row r="2177" spans="1:19">
      <c r="A2177" t="s">
        <v>35</v>
      </c>
      <c r="B2177" t="s">
        <v>5264</v>
      </c>
      <c r="C2177">
        <f>"CT128"</f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 s="2">
        <v>0</v>
      </c>
      <c r="M2177">
        <v>0</v>
      </c>
      <c r="N2177" s="2">
        <v>0</v>
      </c>
      <c r="O2177">
        <v>0</v>
      </c>
      <c r="P2177" t="s">
        <v>100</v>
      </c>
      <c r="Q2177">
        <v>0</v>
      </c>
      <c r="R2177" t="s">
        <v>145</v>
      </c>
      <c r="S2177">
        <v>0</v>
      </c>
    </row>
    <row r="2178" spans="1:19">
      <c r="A2178" t="s">
        <v>35</v>
      </c>
      <c r="B2178" t="s">
        <v>8498</v>
      </c>
      <c r="C2178">
        <f>"DN123"</f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 s="2">
        <v>0</v>
      </c>
      <c r="M2178">
        <v>0</v>
      </c>
      <c r="N2178" s="2">
        <v>0</v>
      </c>
      <c r="O2178">
        <v>0</v>
      </c>
      <c r="P2178" t="s">
        <v>100</v>
      </c>
      <c r="Q2178">
        <v>0</v>
      </c>
      <c r="R2178" t="s">
        <v>145</v>
      </c>
      <c r="S2178">
        <v>0</v>
      </c>
    </row>
    <row r="2179" spans="1:19">
      <c r="A2179" t="s">
        <v>35</v>
      </c>
      <c r="B2179" t="s">
        <v>8568</v>
      </c>
      <c r="C2179">
        <f>"FB857SA"</f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 s="2">
        <v>0</v>
      </c>
      <c r="M2179">
        <v>0</v>
      </c>
      <c r="N2179" s="2">
        <v>0</v>
      </c>
      <c r="O2179">
        <v>0</v>
      </c>
      <c r="P2179" t="s">
        <v>100</v>
      </c>
      <c r="Q2179">
        <v>0</v>
      </c>
      <c r="R2179" t="s">
        <v>145</v>
      </c>
      <c r="S2179">
        <v>0</v>
      </c>
    </row>
    <row r="2180" spans="1:19">
      <c r="A2180" t="s">
        <v>35</v>
      </c>
      <c r="B2180" t="s">
        <v>8567</v>
      </c>
      <c r="C2180">
        <f>"FB857SROJ"</f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 s="2">
        <v>0</v>
      </c>
      <c r="M2180">
        <v>0</v>
      </c>
      <c r="N2180" s="2">
        <v>0</v>
      </c>
      <c r="O2180">
        <v>0</v>
      </c>
      <c r="P2180" t="s">
        <v>100</v>
      </c>
      <c r="Q2180">
        <v>0</v>
      </c>
      <c r="R2180" t="s">
        <v>145</v>
      </c>
      <c r="S2180">
        <v>0</v>
      </c>
    </row>
    <row r="2181" spans="1:19">
      <c r="A2181" t="s">
        <v>35</v>
      </c>
      <c r="B2181" t="s">
        <v>8566</v>
      </c>
      <c r="C2181">
        <f>"FB857SRO"</f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 s="2">
        <v>0</v>
      </c>
      <c r="M2181">
        <v>0</v>
      </c>
      <c r="N2181" s="2">
        <v>0</v>
      </c>
      <c r="O2181">
        <v>0</v>
      </c>
      <c r="P2181" t="s">
        <v>100</v>
      </c>
      <c r="Q2181">
        <v>0</v>
      </c>
      <c r="R2181" t="s">
        <v>145</v>
      </c>
      <c r="S2181">
        <v>0</v>
      </c>
    </row>
    <row r="2182" spans="1:19">
      <c r="A2182" t="s">
        <v>35</v>
      </c>
      <c r="B2182" t="s">
        <v>9936</v>
      </c>
      <c r="C2182">
        <f>"FB857SC"</f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 s="2">
        <v>0</v>
      </c>
      <c r="M2182">
        <v>0</v>
      </c>
      <c r="N2182" s="2">
        <v>0</v>
      </c>
      <c r="O2182">
        <v>0</v>
      </c>
      <c r="P2182" t="s">
        <v>100</v>
      </c>
      <c r="Q2182">
        <v>0</v>
      </c>
      <c r="R2182" t="s">
        <v>145</v>
      </c>
      <c r="S2182">
        <v>0</v>
      </c>
    </row>
    <row r="2183" spans="1:19">
      <c r="A2183" t="s">
        <v>35</v>
      </c>
      <c r="B2183" t="s">
        <v>9935</v>
      </c>
      <c r="C2183">
        <f>"FB857XSA"</f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 s="2">
        <v>0</v>
      </c>
      <c r="M2183">
        <v>0</v>
      </c>
      <c r="N2183" s="2">
        <v>0</v>
      </c>
      <c r="O2183">
        <v>0</v>
      </c>
      <c r="P2183" t="s">
        <v>100</v>
      </c>
      <c r="Q2183">
        <v>0</v>
      </c>
      <c r="R2183" t="s">
        <v>145</v>
      </c>
      <c r="S2183">
        <v>0</v>
      </c>
    </row>
    <row r="2184" spans="1:19">
      <c r="A2184" t="s">
        <v>35</v>
      </c>
      <c r="B2184" t="s">
        <v>9933</v>
      </c>
      <c r="C2184">
        <f>"FB857XSRO"</f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 s="2">
        <v>0</v>
      </c>
      <c r="M2184">
        <v>0</v>
      </c>
      <c r="N2184" s="2">
        <v>0</v>
      </c>
      <c r="O2184">
        <v>0</v>
      </c>
      <c r="P2184" t="s">
        <v>100</v>
      </c>
      <c r="Q2184">
        <v>0</v>
      </c>
      <c r="R2184" t="s">
        <v>145</v>
      </c>
      <c r="S2184">
        <v>0</v>
      </c>
    </row>
    <row r="2185" spans="1:19">
      <c r="A2185" t="s">
        <v>35</v>
      </c>
      <c r="B2185" t="s">
        <v>9932</v>
      </c>
      <c r="C2185">
        <f>"FB857XSV"</f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 s="2">
        <v>0</v>
      </c>
      <c r="M2185">
        <v>0</v>
      </c>
      <c r="N2185" s="2">
        <v>0</v>
      </c>
      <c r="O2185">
        <v>0</v>
      </c>
      <c r="P2185" t="s">
        <v>100</v>
      </c>
      <c r="Q2185">
        <v>0</v>
      </c>
      <c r="R2185" t="s">
        <v>145</v>
      </c>
      <c r="S2185">
        <v>0</v>
      </c>
    </row>
    <row r="2186" spans="1:19">
      <c r="A2186" t="s">
        <v>35</v>
      </c>
      <c r="B2186" t="s">
        <v>4716</v>
      </c>
      <c r="C2186">
        <f>"XGH2"</f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 s="2">
        <v>0</v>
      </c>
      <c r="M2186">
        <v>0</v>
      </c>
      <c r="N2186" s="2">
        <v>0</v>
      </c>
      <c r="O2186">
        <v>0</v>
      </c>
      <c r="P2186" t="s">
        <v>100</v>
      </c>
      <c r="Q2186">
        <v>0</v>
      </c>
      <c r="R2186" t="s">
        <v>145</v>
      </c>
      <c r="S2186">
        <v>0</v>
      </c>
    </row>
    <row r="2187" spans="1:19">
      <c r="A2187" t="s">
        <v>35</v>
      </c>
      <c r="B2187" t="s">
        <v>4715</v>
      </c>
      <c r="C2187">
        <f>"XGH1"</f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 s="2">
        <v>0</v>
      </c>
      <c r="M2187">
        <v>0</v>
      </c>
      <c r="N2187" s="2">
        <v>0</v>
      </c>
      <c r="O2187">
        <v>0</v>
      </c>
      <c r="P2187" t="s">
        <v>100</v>
      </c>
      <c r="Q2187">
        <v>0</v>
      </c>
      <c r="R2187" t="s">
        <v>145</v>
      </c>
      <c r="S2187">
        <v>0</v>
      </c>
    </row>
    <row r="2188" spans="1:19">
      <c r="A2188" t="s">
        <v>35</v>
      </c>
      <c r="B2188" t="s">
        <v>4713</v>
      </c>
      <c r="C2188">
        <f>"608XL"</f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 s="2">
        <v>0</v>
      </c>
      <c r="M2188">
        <v>0</v>
      </c>
      <c r="N2188" s="2">
        <v>0</v>
      </c>
      <c r="O2188">
        <v>0</v>
      </c>
      <c r="P2188" t="s">
        <v>100</v>
      </c>
      <c r="Q2188">
        <v>0</v>
      </c>
      <c r="R2188" t="s">
        <v>145</v>
      </c>
      <c r="S2188">
        <v>0</v>
      </c>
    </row>
    <row r="2189" spans="1:19">
      <c r="A2189" t="s">
        <v>35</v>
      </c>
      <c r="B2189" t="s">
        <v>8562</v>
      </c>
      <c r="C2189">
        <f>"AMP1S"</f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 s="2">
        <v>0</v>
      </c>
      <c r="M2189">
        <v>0</v>
      </c>
      <c r="N2189" s="2">
        <v>0</v>
      </c>
      <c r="O2189">
        <v>0</v>
      </c>
      <c r="P2189" t="s">
        <v>100</v>
      </c>
      <c r="Q2189">
        <v>0</v>
      </c>
      <c r="R2189" t="s">
        <v>145</v>
      </c>
      <c r="S2189">
        <v>0</v>
      </c>
    </row>
    <row r="2190" spans="1:19">
      <c r="A2190" t="s">
        <v>35</v>
      </c>
      <c r="B2190" t="s">
        <v>4709</v>
      </c>
      <c r="C2190">
        <f>"608L"</f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 s="2">
        <v>0</v>
      </c>
      <c r="M2190">
        <v>0</v>
      </c>
      <c r="N2190" s="2">
        <v>0</v>
      </c>
      <c r="O2190">
        <v>0</v>
      </c>
      <c r="P2190" t="s">
        <v>100</v>
      </c>
      <c r="Q2190">
        <v>0</v>
      </c>
      <c r="R2190" t="s">
        <v>145</v>
      </c>
      <c r="S2190">
        <v>0</v>
      </c>
    </row>
    <row r="2191" spans="1:19">
      <c r="A2191" t="s">
        <v>35</v>
      </c>
      <c r="B2191" t="s">
        <v>4708</v>
      </c>
      <c r="C2191">
        <f>"608M"</f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 s="2">
        <v>0</v>
      </c>
      <c r="M2191">
        <v>0</v>
      </c>
      <c r="N2191" s="2">
        <v>0</v>
      </c>
      <c r="O2191">
        <v>0</v>
      </c>
      <c r="P2191" t="s">
        <v>100</v>
      </c>
      <c r="Q2191">
        <v>0</v>
      </c>
      <c r="R2191" t="s">
        <v>145</v>
      </c>
      <c r="S2191">
        <v>0</v>
      </c>
    </row>
    <row r="2192" spans="1:19">
      <c r="A2192" t="s">
        <v>35</v>
      </c>
      <c r="B2192" t="s">
        <v>9854</v>
      </c>
      <c r="C2192">
        <f>"1854S"</f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 s="2">
        <v>0</v>
      </c>
      <c r="M2192">
        <v>0</v>
      </c>
      <c r="N2192" s="2">
        <v>0</v>
      </c>
      <c r="O2192">
        <v>0</v>
      </c>
      <c r="P2192" t="s">
        <v>100</v>
      </c>
      <c r="Q2192">
        <v>0</v>
      </c>
      <c r="R2192" t="s">
        <v>145</v>
      </c>
      <c r="S2192">
        <v>0</v>
      </c>
    </row>
    <row r="2193" spans="1:19">
      <c r="A2193" t="s">
        <v>35</v>
      </c>
      <c r="B2193" t="s">
        <v>9928</v>
      </c>
      <c r="C2193">
        <f>"1854XS"</f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 s="2">
        <v>0</v>
      </c>
      <c r="M2193">
        <v>0</v>
      </c>
      <c r="N2193" s="2">
        <v>0</v>
      </c>
      <c r="O2193">
        <v>0</v>
      </c>
      <c r="P2193" t="s">
        <v>100</v>
      </c>
      <c r="Q2193">
        <v>0</v>
      </c>
      <c r="R2193" t="s">
        <v>145</v>
      </c>
      <c r="S2193">
        <v>0</v>
      </c>
    </row>
    <row r="2194" spans="1:19">
      <c r="A2194" t="s">
        <v>35</v>
      </c>
      <c r="B2194" t="s">
        <v>9927</v>
      </c>
      <c r="C2194">
        <f>"1854XXS"</f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 s="2">
        <v>0</v>
      </c>
      <c r="M2194">
        <v>0</v>
      </c>
      <c r="N2194" s="2">
        <v>0</v>
      </c>
      <c r="O2194">
        <v>0</v>
      </c>
      <c r="P2194" t="s">
        <v>100</v>
      </c>
      <c r="Q2194">
        <v>0</v>
      </c>
      <c r="R2194" t="s">
        <v>145</v>
      </c>
      <c r="S2194">
        <v>0</v>
      </c>
    </row>
    <row r="2195" spans="1:19">
      <c r="A2195" t="s">
        <v>35</v>
      </c>
      <c r="B2195" t="s">
        <v>9923</v>
      </c>
      <c r="C2195">
        <f>"EK3001"</f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 s="2">
        <v>0</v>
      </c>
      <c r="M2195">
        <v>0</v>
      </c>
      <c r="N2195" s="2">
        <v>0</v>
      </c>
      <c r="O2195">
        <v>0</v>
      </c>
      <c r="P2195" t="s">
        <v>100</v>
      </c>
      <c r="Q2195">
        <v>0</v>
      </c>
      <c r="R2195" t="s">
        <v>145</v>
      </c>
      <c r="S2195">
        <v>0</v>
      </c>
    </row>
    <row r="2196" spans="1:19">
      <c r="A2196" t="s">
        <v>35</v>
      </c>
      <c r="B2196" t="s">
        <v>8615</v>
      </c>
      <c r="C2196">
        <f>"EK3001AZ"</f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 s="2">
        <v>0</v>
      </c>
      <c r="M2196">
        <v>0</v>
      </c>
      <c r="N2196" s="2">
        <v>0</v>
      </c>
      <c r="O2196">
        <v>0</v>
      </c>
      <c r="P2196" t="s">
        <v>100</v>
      </c>
      <c r="Q2196">
        <v>0</v>
      </c>
      <c r="R2196" t="s">
        <v>145</v>
      </c>
      <c r="S2196">
        <v>0</v>
      </c>
    </row>
    <row r="2197" spans="1:19">
      <c r="A2197" t="s">
        <v>35</v>
      </c>
      <c r="B2197" t="s">
        <v>1049</v>
      </c>
      <c r="C2197">
        <f>"1040MIEL"</f>
        <v>0</v>
      </c>
      <c r="D2197">
        <v>0</v>
      </c>
      <c r="E2197">
        <v>0</v>
      </c>
      <c r="F2197">
        <v>2</v>
      </c>
      <c r="G2197">
        <v>0</v>
      </c>
      <c r="H2197">
        <v>2</v>
      </c>
      <c r="I2197">
        <v>0</v>
      </c>
      <c r="J2197">
        <v>0</v>
      </c>
      <c r="K2197">
        <v>0</v>
      </c>
      <c r="L2197" s="2">
        <v>0</v>
      </c>
      <c r="M2197">
        <v>0</v>
      </c>
      <c r="N2197" s="2">
        <v>0</v>
      </c>
      <c r="O2197">
        <v>0</v>
      </c>
      <c r="P2197" t="s">
        <v>100</v>
      </c>
      <c r="Q2197">
        <v>0</v>
      </c>
      <c r="R2197" t="s">
        <v>145</v>
      </c>
      <c r="S2197">
        <v>0</v>
      </c>
    </row>
    <row r="2198" spans="1:19">
      <c r="A2198" t="s">
        <v>35</v>
      </c>
      <c r="B2198" t="s">
        <v>4687</v>
      </c>
      <c r="C2198">
        <f>"1040MEVE"</f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 s="2">
        <v>0</v>
      </c>
      <c r="M2198">
        <v>0</v>
      </c>
      <c r="N2198" s="2">
        <v>0</v>
      </c>
      <c r="O2198">
        <v>0</v>
      </c>
      <c r="P2198" t="s">
        <v>100</v>
      </c>
      <c r="Q2198">
        <v>0</v>
      </c>
      <c r="R2198" t="s">
        <v>145</v>
      </c>
      <c r="S2198">
        <v>0</v>
      </c>
    </row>
    <row r="2199" spans="1:19">
      <c r="A2199" t="s">
        <v>35</v>
      </c>
      <c r="B2199" t="s">
        <v>1052</v>
      </c>
      <c r="C2199">
        <f>"1039MEAM"</f>
        <v>0</v>
      </c>
      <c r="D2199">
        <v>2</v>
      </c>
      <c r="E2199">
        <v>0</v>
      </c>
      <c r="F2199">
        <v>0</v>
      </c>
      <c r="G2199">
        <v>0</v>
      </c>
      <c r="H2199">
        <v>2</v>
      </c>
      <c r="I2199">
        <v>0</v>
      </c>
      <c r="J2199">
        <v>0</v>
      </c>
      <c r="K2199">
        <v>0</v>
      </c>
      <c r="L2199" s="2">
        <v>0</v>
      </c>
      <c r="M2199">
        <v>0</v>
      </c>
      <c r="N2199" s="2">
        <v>0</v>
      </c>
      <c r="O2199">
        <v>0</v>
      </c>
      <c r="P2199" t="s">
        <v>100</v>
      </c>
      <c r="Q2199">
        <v>0</v>
      </c>
      <c r="R2199" t="s">
        <v>145</v>
      </c>
      <c r="S2199">
        <v>0</v>
      </c>
    </row>
    <row r="2200" spans="1:19">
      <c r="A2200" t="s">
        <v>35</v>
      </c>
      <c r="B2200" t="s">
        <v>4712</v>
      </c>
      <c r="C2200">
        <f>"608XXL"</f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 s="2">
        <v>0</v>
      </c>
      <c r="M2200">
        <v>0</v>
      </c>
      <c r="N2200" s="2">
        <v>0</v>
      </c>
      <c r="O2200">
        <v>0</v>
      </c>
      <c r="P2200" t="s">
        <v>100</v>
      </c>
      <c r="Q2200">
        <v>0</v>
      </c>
      <c r="R2200" t="s">
        <v>145</v>
      </c>
      <c r="S2200">
        <v>0</v>
      </c>
    </row>
    <row r="2201" spans="1:19">
      <c r="A2201" t="s">
        <v>35</v>
      </c>
      <c r="B2201" t="s">
        <v>8562</v>
      </c>
      <c r="C2201">
        <f>"AMP1XS"</f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 s="2">
        <v>0</v>
      </c>
      <c r="M2201">
        <v>0</v>
      </c>
      <c r="N2201" s="2">
        <v>0</v>
      </c>
      <c r="O2201">
        <v>0</v>
      </c>
      <c r="P2201" t="s">
        <v>100</v>
      </c>
      <c r="Q2201">
        <v>0</v>
      </c>
      <c r="R2201" t="s">
        <v>145</v>
      </c>
      <c r="S2201">
        <v>0</v>
      </c>
    </row>
    <row r="2202" spans="1:19">
      <c r="A2202" t="s">
        <v>35</v>
      </c>
      <c r="B2202" t="s">
        <v>8561</v>
      </c>
      <c r="C2202">
        <f>"HH011L"</f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 s="2">
        <v>0</v>
      </c>
      <c r="M2202">
        <v>0</v>
      </c>
      <c r="N2202" s="2">
        <v>0</v>
      </c>
      <c r="O2202">
        <v>0</v>
      </c>
      <c r="P2202" t="s">
        <v>100</v>
      </c>
      <c r="Q2202">
        <v>0</v>
      </c>
      <c r="R2202" t="s">
        <v>145</v>
      </c>
      <c r="S2202">
        <v>0</v>
      </c>
    </row>
    <row r="2203" spans="1:19">
      <c r="A2203" t="s">
        <v>35</v>
      </c>
      <c r="B2203" t="s">
        <v>8560</v>
      </c>
      <c r="C2203">
        <f>"HH011M"</f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 s="2">
        <v>0</v>
      </c>
      <c r="M2203">
        <v>0</v>
      </c>
      <c r="N2203" s="2">
        <v>0</v>
      </c>
      <c r="O2203">
        <v>0</v>
      </c>
      <c r="P2203" t="s">
        <v>100</v>
      </c>
      <c r="Q2203">
        <v>0</v>
      </c>
      <c r="R2203" t="s">
        <v>145</v>
      </c>
      <c r="S2203">
        <v>0</v>
      </c>
    </row>
    <row r="2204" spans="1:19">
      <c r="A2204" t="s">
        <v>35</v>
      </c>
      <c r="B2204" t="s">
        <v>5294</v>
      </c>
      <c r="C2204">
        <f>"25390068"</f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 s="2">
        <v>0</v>
      </c>
      <c r="M2204">
        <v>0</v>
      </c>
      <c r="N2204" s="2">
        <v>0</v>
      </c>
      <c r="O2204">
        <v>0</v>
      </c>
      <c r="P2204" t="s">
        <v>100</v>
      </c>
      <c r="Q2204">
        <v>0</v>
      </c>
      <c r="R2204" t="s">
        <v>145</v>
      </c>
      <c r="S2204">
        <v>0</v>
      </c>
    </row>
    <row r="2205" spans="1:19">
      <c r="A2205" t="s">
        <v>35</v>
      </c>
      <c r="B2205" t="s">
        <v>5293</v>
      </c>
      <c r="C2205">
        <f>"25390082"</f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 s="2">
        <v>0</v>
      </c>
      <c r="M2205">
        <v>0</v>
      </c>
      <c r="N2205" s="2">
        <v>0</v>
      </c>
      <c r="O2205">
        <v>0</v>
      </c>
      <c r="P2205" t="s">
        <v>100</v>
      </c>
      <c r="Q2205">
        <v>0</v>
      </c>
      <c r="R2205" t="s">
        <v>145</v>
      </c>
      <c r="S2205">
        <v>0</v>
      </c>
    </row>
    <row r="2206" spans="1:19">
      <c r="A2206" t="s">
        <v>35</v>
      </c>
      <c r="B2206" t="s">
        <v>5271</v>
      </c>
      <c r="C2206">
        <f>"UOCK"</f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 s="2">
        <v>0</v>
      </c>
      <c r="M2206">
        <v>0</v>
      </c>
      <c r="N2206" s="2">
        <v>0</v>
      </c>
      <c r="O2206">
        <v>0</v>
      </c>
      <c r="P2206" t="s">
        <v>100</v>
      </c>
      <c r="Q2206">
        <v>0</v>
      </c>
      <c r="R2206" t="s">
        <v>145</v>
      </c>
      <c r="S2206">
        <v>0</v>
      </c>
    </row>
    <row r="2207" spans="1:19">
      <c r="A2207" t="s">
        <v>35</v>
      </c>
      <c r="B2207" t="s">
        <v>5270</v>
      </c>
      <c r="C2207">
        <f>"UOKPG"</f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 s="2">
        <v>0</v>
      </c>
      <c r="M2207">
        <v>0</v>
      </c>
      <c r="N2207" s="2">
        <v>0</v>
      </c>
      <c r="O2207">
        <v>0</v>
      </c>
      <c r="P2207" t="s">
        <v>100</v>
      </c>
      <c r="Q2207">
        <v>0</v>
      </c>
      <c r="R2207" t="s">
        <v>145</v>
      </c>
      <c r="S2207">
        <v>0</v>
      </c>
    </row>
    <row r="2208" spans="1:19">
      <c r="A2208" t="s">
        <v>35</v>
      </c>
      <c r="B2208" t="s">
        <v>5318</v>
      </c>
      <c r="C2208">
        <f>"UOPAA"</f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 s="2">
        <v>0</v>
      </c>
      <c r="M2208">
        <v>0</v>
      </c>
      <c r="N2208" s="2">
        <v>0</v>
      </c>
      <c r="O2208">
        <v>0</v>
      </c>
      <c r="P2208" t="s">
        <v>100</v>
      </c>
      <c r="Q2208">
        <v>0</v>
      </c>
      <c r="R2208" t="s">
        <v>145</v>
      </c>
      <c r="S2208">
        <v>0</v>
      </c>
    </row>
    <row r="2209" spans="1:19">
      <c r="A2209" t="s">
        <v>35</v>
      </c>
      <c r="B2209" t="s">
        <v>4707</v>
      </c>
      <c r="C2209">
        <f>"608S"</f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 s="2">
        <v>0</v>
      </c>
      <c r="M2209">
        <v>0</v>
      </c>
      <c r="N2209" s="2">
        <v>0</v>
      </c>
      <c r="O2209">
        <v>0</v>
      </c>
      <c r="P2209" t="s">
        <v>100</v>
      </c>
      <c r="Q2209">
        <v>0</v>
      </c>
      <c r="R2209" t="s">
        <v>145</v>
      </c>
      <c r="S2209">
        <v>0</v>
      </c>
    </row>
    <row r="2210" spans="1:19">
      <c r="A2210" t="s">
        <v>35</v>
      </c>
      <c r="B2210" t="s">
        <v>4706</v>
      </c>
      <c r="C2210">
        <f>"1055FA"</f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 s="2">
        <v>0</v>
      </c>
      <c r="M2210">
        <v>0</v>
      </c>
      <c r="N2210" s="2">
        <v>0</v>
      </c>
      <c r="O2210">
        <v>0</v>
      </c>
      <c r="P2210" t="s">
        <v>100</v>
      </c>
      <c r="Q2210">
        <v>0</v>
      </c>
      <c r="R2210" t="s">
        <v>145</v>
      </c>
      <c r="S2210">
        <v>0</v>
      </c>
    </row>
    <row r="2211" spans="1:19">
      <c r="A2211" t="s">
        <v>35</v>
      </c>
      <c r="B2211" t="s">
        <v>857</v>
      </c>
      <c r="C2211">
        <f>"TF1012"</f>
        <v>0</v>
      </c>
      <c r="D2211">
        <v>0</v>
      </c>
      <c r="E2211">
        <v>4</v>
      </c>
      <c r="F2211">
        <v>0</v>
      </c>
      <c r="G2211">
        <v>0</v>
      </c>
      <c r="H2211">
        <v>4</v>
      </c>
      <c r="I2211">
        <v>0</v>
      </c>
      <c r="J2211">
        <v>0</v>
      </c>
      <c r="K2211">
        <v>0</v>
      </c>
      <c r="L2211" s="2">
        <v>0</v>
      </c>
      <c r="M2211">
        <v>0</v>
      </c>
      <c r="N2211" s="2">
        <v>0</v>
      </c>
      <c r="O2211">
        <v>0</v>
      </c>
      <c r="P2211" t="s">
        <v>100</v>
      </c>
      <c r="Q2211">
        <v>0</v>
      </c>
      <c r="R2211" t="s">
        <v>145</v>
      </c>
      <c r="S2211">
        <v>0</v>
      </c>
    </row>
    <row r="2212" spans="1:19">
      <c r="A2212" t="s">
        <v>35</v>
      </c>
      <c r="B2212" t="s">
        <v>4704</v>
      </c>
      <c r="C2212">
        <f>"1055FN"</f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 s="2">
        <v>0</v>
      </c>
      <c r="M2212">
        <v>0</v>
      </c>
      <c r="N2212" s="2">
        <v>0</v>
      </c>
      <c r="O2212">
        <v>0</v>
      </c>
      <c r="P2212" t="s">
        <v>100</v>
      </c>
      <c r="Q2212">
        <v>0</v>
      </c>
      <c r="R2212" t="s">
        <v>145</v>
      </c>
      <c r="S2212">
        <v>0</v>
      </c>
    </row>
    <row r="2213" spans="1:19">
      <c r="A2213" t="s">
        <v>35</v>
      </c>
      <c r="B2213" t="s">
        <v>4703</v>
      </c>
      <c r="C2213">
        <f>"XGH3"</f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 s="2">
        <v>0</v>
      </c>
      <c r="M2213">
        <v>0</v>
      </c>
      <c r="N2213" s="2">
        <v>0</v>
      </c>
      <c r="O2213">
        <v>0</v>
      </c>
      <c r="P2213" t="s">
        <v>100</v>
      </c>
      <c r="Q2213">
        <v>0</v>
      </c>
      <c r="R2213" t="s">
        <v>145</v>
      </c>
      <c r="S2213">
        <v>0</v>
      </c>
    </row>
    <row r="2214" spans="1:19">
      <c r="A2214" t="s">
        <v>35</v>
      </c>
      <c r="B2214" t="s">
        <v>4718</v>
      </c>
      <c r="C2214">
        <f>"KC2203"</f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 s="2">
        <v>0</v>
      </c>
      <c r="M2214">
        <v>0</v>
      </c>
      <c r="N2214" s="2">
        <v>0</v>
      </c>
      <c r="O2214">
        <v>0</v>
      </c>
      <c r="P2214" t="s">
        <v>100</v>
      </c>
      <c r="Q2214">
        <v>0</v>
      </c>
      <c r="R2214" t="s">
        <v>145</v>
      </c>
      <c r="S2214">
        <v>0</v>
      </c>
    </row>
    <row r="2215" spans="1:19">
      <c r="A2215" t="s">
        <v>35</v>
      </c>
      <c r="B2215" t="s">
        <v>8559</v>
      </c>
      <c r="C2215">
        <f>"HH011S"</f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 s="2">
        <v>0</v>
      </c>
      <c r="M2215">
        <v>0</v>
      </c>
      <c r="N2215" s="2">
        <v>0</v>
      </c>
      <c r="O2215">
        <v>0</v>
      </c>
      <c r="P2215" t="s">
        <v>100</v>
      </c>
      <c r="Q2215">
        <v>0</v>
      </c>
      <c r="R2215" t="s">
        <v>145</v>
      </c>
      <c r="S2215">
        <v>0</v>
      </c>
    </row>
    <row r="2216" spans="1:19">
      <c r="A2216" t="s">
        <v>35</v>
      </c>
      <c r="B2216" t="s">
        <v>8759</v>
      </c>
      <c r="C2216">
        <f>"AFA4"</f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 s="2">
        <v>0</v>
      </c>
      <c r="M2216">
        <v>0</v>
      </c>
      <c r="N2216" s="2">
        <v>0</v>
      </c>
      <c r="O2216">
        <v>0</v>
      </c>
      <c r="P2216" t="s">
        <v>100</v>
      </c>
      <c r="Q2216">
        <v>0</v>
      </c>
      <c r="R2216" t="s">
        <v>145</v>
      </c>
      <c r="S2216">
        <v>0</v>
      </c>
    </row>
    <row r="2217" spans="1:19">
      <c r="A2217" t="s">
        <v>35</v>
      </c>
      <c r="B2217" t="s">
        <v>8622</v>
      </c>
      <c r="C2217">
        <f>"4000111"</f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 s="2">
        <v>0</v>
      </c>
      <c r="M2217">
        <v>0</v>
      </c>
      <c r="N2217" s="2">
        <v>0</v>
      </c>
      <c r="O2217">
        <v>0</v>
      </c>
      <c r="P2217" t="s">
        <v>100</v>
      </c>
      <c r="Q2217">
        <v>0</v>
      </c>
      <c r="R2217" t="s">
        <v>145</v>
      </c>
      <c r="S2217">
        <v>0</v>
      </c>
    </row>
    <row r="2218" spans="1:19">
      <c r="A2218" t="s">
        <v>35</v>
      </c>
      <c r="B2218" t="s">
        <v>4619</v>
      </c>
      <c r="C2218">
        <f>"TT1C"</f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 s="2">
        <v>0</v>
      </c>
      <c r="M2218">
        <v>0</v>
      </c>
      <c r="N2218" s="2">
        <v>0</v>
      </c>
      <c r="O2218">
        <v>0</v>
      </c>
      <c r="P2218" t="s">
        <v>100</v>
      </c>
      <c r="Q2218">
        <v>0</v>
      </c>
      <c r="R2218" t="s">
        <v>145</v>
      </c>
      <c r="S2218">
        <v>0</v>
      </c>
    </row>
    <row r="2219" spans="1:19">
      <c r="A2219" t="s">
        <v>35</v>
      </c>
      <c r="B2219" t="s">
        <v>4617</v>
      </c>
      <c r="C2219">
        <f>"HC0113"</f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 s="2">
        <v>0</v>
      </c>
      <c r="M2219">
        <v>0</v>
      </c>
      <c r="N2219" s="2">
        <v>0</v>
      </c>
      <c r="O2219">
        <v>0</v>
      </c>
      <c r="P2219" t="s">
        <v>100</v>
      </c>
      <c r="Q2219">
        <v>0</v>
      </c>
      <c r="R2219" t="s">
        <v>145</v>
      </c>
      <c r="S2219">
        <v>0</v>
      </c>
    </row>
    <row r="2220" spans="1:19">
      <c r="A2220" t="s">
        <v>35</v>
      </c>
      <c r="B2220" t="s">
        <v>4616</v>
      </c>
      <c r="C2220">
        <f>"HC0104"</f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 s="2">
        <v>0</v>
      </c>
      <c r="M2220">
        <v>0</v>
      </c>
      <c r="N2220" s="2">
        <v>0</v>
      </c>
      <c r="O2220">
        <v>0</v>
      </c>
      <c r="P2220" t="s">
        <v>100</v>
      </c>
      <c r="Q2220">
        <v>0</v>
      </c>
      <c r="R2220" t="s">
        <v>145</v>
      </c>
      <c r="S2220">
        <v>0</v>
      </c>
    </row>
    <row r="2221" spans="1:19">
      <c r="A2221" t="s">
        <v>35</v>
      </c>
      <c r="B2221" t="s">
        <v>4614</v>
      </c>
      <c r="C2221">
        <f>"ZRD2018041"</f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 s="2">
        <v>0</v>
      </c>
      <c r="M2221">
        <v>0</v>
      </c>
      <c r="N2221" s="2">
        <v>0</v>
      </c>
      <c r="O2221">
        <v>0</v>
      </c>
      <c r="P2221" t="s">
        <v>100</v>
      </c>
      <c r="Q2221">
        <v>0</v>
      </c>
      <c r="R2221" t="s">
        <v>145</v>
      </c>
      <c r="S2221">
        <v>0</v>
      </c>
    </row>
    <row r="2222" spans="1:19">
      <c r="A2222" t="s">
        <v>35</v>
      </c>
      <c r="B2222" t="s">
        <v>4705</v>
      </c>
      <c r="C2222">
        <f>"1055FB"</f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 s="2">
        <v>0</v>
      </c>
      <c r="M2222">
        <v>0</v>
      </c>
      <c r="N2222" s="2">
        <v>0</v>
      </c>
      <c r="O2222">
        <v>0</v>
      </c>
      <c r="P2222" t="s">
        <v>100</v>
      </c>
      <c r="Q2222">
        <v>0</v>
      </c>
      <c r="R2222" t="s">
        <v>145</v>
      </c>
      <c r="S2222">
        <v>0</v>
      </c>
    </row>
    <row r="2223" spans="1:19">
      <c r="A2223" t="s">
        <v>35</v>
      </c>
      <c r="B2223" t="s">
        <v>7756</v>
      </c>
      <c r="C2223">
        <f>"187A54XLROS"</f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 s="2">
        <v>0</v>
      </c>
      <c r="M2223">
        <v>0</v>
      </c>
      <c r="N2223" s="2">
        <v>0</v>
      </c>
      <c r="O2223">
        <v>0</v>
      </c>
      <c r="P2223" t="s">
        <v>100</v>
      </c>
      <c r="Q2223">
        <v>0</v>
      </c>
      <c r="R2223" t="s">
        <v>145</v>
      </c>
      <c r="S2223">
        <v>0</v>
      </c>
    </row>
    <row r="2224" spans="1:19">
      <c r="A2224" t="s">
        <v>35</v>
      </c>
      <c r="B2224" t="s">
        <v>7700</v>
      </c>
      <c r="C2224">
        <f>"FB6733XLG"</f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 s="2">
        <v>0</v>
      </c>
      <c r="M2224">
        <v>0</v>
      </c>
      <c r="N2224" s="2">
        <v>0</v>
      </c>
      <c r="O2224">
        <v>0</v>
      </c>
      <c r="P2224" t="s">
        <v>100</v>
      </c>
      <c r="Q2224">
        <v>0</v>
      </c>
      <c r="R2224" t="s">
        <v>145</v>
      </c>
      <c r="S2224">
        <v>0</v>
      </c>
    </row>
    <row r="2225" spans="1:19">
      <c r="A2225" t="s">
        <v>35</v>
      </c>
      <c r="B2225" t="s">
        <v>3098</v>
      </c>
      <c r="C2225">
        <f>"TQ1351C"</f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 s="2">
        <v>0</v>
      </c>
      <c r="M2225">
        <v>0</v>
      </c>
      <c r="N2225" s="2">
        <v>0</v>
      </c>
      <c r="O2225">
        <v>0</v>
      </c>
      <c r="P2225" t="s">
        <v>100</v>
      </c>
      <c r="Q2225">
        <v>0</v>
      </c>
      <c r="R2225" t="s">
        <v>145</v>
      </c>
      <c r="S2225">
        <v>0</v>
      </c>
    </row>
    <row r="2226" spans="1:19">
      <c r="A2226" t="s">
        <v>35</v>
      </c>
      <c r="B2226" t="s">
        <v>3097</v>
      </c>
      <c r="C2226">
        <f>"TQ1351ROS"</f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 s="2">
        <v>0</v>
      </c>
      <c r="M2226">
        <v>0</v>
      </c>
      <c r="N2226" s="2">
        <v>0</v>
      </c>
      <c r="O2226">
        <v>0</v>
      </c>
      <c r="P2226" t="s">
        <v>100</v>
      </c>
      <c r="Q2226">
        <v>0</v>
      </c>
      <c r="R2226" t="s">
        <v>145</v>
      </c>
      <c r="S2226">
        <v>0</v>
      </c>
    </row>
    <row r="2227" spans="1:19">
      <c r="A2227" t="s">
        <v>35</v>
      </c>
      <c r="B2227" t="s">
        <v>3096</v>
      </c>
      <c r="C2227">
        <f>"TQ1351V"</f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 s="2">
        <v>0</v>
      </c>
      <c r="M2227">
        <v>0</v>
      </c>
      <c r="N2227" s="2">
        <v>0</v>
      </c>
      <c r="O2227">
        <v>0</v>
      </c>
      <c r="P2227" t="s">
        <v>100</v>
      </c>
      <c r="Q2227">
        <v>0</v>
      </c>
      <c r="R2227" t="s">
        <v>145</v>
      </c>
      <c r="S2227">
        <v>0</v>
      </c>
    </row>
    <row r="2228" spans="1:19">
      <c r="A2228" t="s">
        <v>35</v>
      </c>
      <c r="B2228" t="s">
        <v>3095</v>
      </c>
      <c r="C2228">
        <f>"DR101"</f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 s="2">
        <v>0</v>
      </c>
      <c r="M2228">
        <v>0</v>
      </c>
      <c r="N2228" s="2">
        <v>0</v>
      </c>
      <c r="O2228">
        <v>0</v>
      </c>
      <c r="P2228" t="s">
        <v>100</v>
      </c>
      <c r="Q2228">
        <v>0</v>
      </c>
      <c r="R2228" t="s">
        <v>145</v>
      </c>
      <c r="S2228">
        <v>0</v>
      </c>
    </row>
    <row r="2229" spans="1:19">
      <c r="A2229" t="s">
        <v>35</v>
      </c>
      <c r="B2229" t="s">
        <v>3094</v>
      </c>
      <c r="C2229">
        <f>"CW385CM"</f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 s="2">
        <v>0</v>
      </c>
      <c r="M2229">
        <v>0</v>
      </c>
      <c r="N2229" s="2">
        <v>0</v>
      </c>
      <c r="O2229">
        <v>0</v>
      </c>
      <c r="P2229" t="s">
        <v>100</v>
      </c>
      <c r="Q2229">
        <v>0</v>
      </c>
      <c r="R2229" t="s">
        <v>145</v>
      </c>
      <c r="S2229">
        <v>0</v>
      </c>
    </row>
    <row r="2230" spans="1:19">
      <c r="A2230" t="s">
        <v>35</v>
      </c>
      <c r="B2230" t="s">
        <v>3094</v>
      </c>
      <c r="C2230">
        <f>"75793605355"</f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 s="2">
        <v>0</v>
      </c>
      <c r="M2230">
        <v>0</v>
      </c>
      <c r="N2230" s="2">
        <v>0</v>
      </c>
      <c r="O2230">
        <v>0</v>
      </c>
      <c r="P2230" t="s">
        <v>100</v>
      </c>
      <c r="Q2230">
        <v>0</v>
      </c>
      <c r="R2230" t="s">
        <v>145</v>
      </c>
      <c r="S2230">
        <v>0</v>
      </c>
    </row>
    <row r="2231" spans="1:19">
      <c r="A2231" t="s">
        <v>35</v>
      </c>
      <c r="B2231" t="s">
        <v>3228</v>
      </c>
      <c r="C2231">
        <f>"10011AN"</f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 s="2">
        <v>0</v>
      </c>
      <c r="M2231">
        <v>0</v>
      </c>
      <c r="N2231" s="2">
        <v>0</v>
      </c>
      <c r="O2231">
        <v>0</v>
      </c>
      <c r="P2231" t="s">
        <v>100</v>
      </c>
      <c r="Q2231">
        <v>0</v>
      </c>
      <c r="R2231" t="s">
        <v>145</v>
      </c>
      <c r="S2231">
        <v>0</v>
      </c>
    </row>
    <row r="2232" spans="1:19">
      <c r="A2232" t="s">
        <v>35</v>
      </c>
      <c r="B2232" t="s">
        <v>5458</v>
      </c>
      <c r="C2232">
        <f>"PP290CB"</f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 s="2">
        <v>0</v>
      </c>
      <c r="M2232">
        <v>0</v>
      </c>
      <c r="N2232" s="2">
        <v>0</v>
      </c>
      <c r="O2232">
        <v>0</v>
      </c>
      <c r="P2232" t="s">
        <v>100</v>
      </c>
      <c r="Q2232">
        <v>0</v>
      </c>
      <c r="R2232" t="s">
        <v>145</v>
      </c>
      <c r="S2232">
        <v>0</v>
      </c>
    </row>
    <row r="2233" spans="1:19">
      <c r="A2233" t="s">
        <v>35</v>
      </c>
      <c r="B2233" t="s">
        <v>3226</v>
      </c>
      <c r="C2233">
        <f>"10011N"</f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 s="2">
        <v>0</v>
      </c>
      <c r="M2233">
        <v>0</v>
      </c>
      <c r="N2233" s="2">
        <v>0</v>
      </c>
      <c r="O2233">
        <v>0</v>
      </c>
      <c r="P2233" t="s">
        <v>100</v>
      </c>
      <c r="Q2233">
        <v>0</v>
      </c>
      <c r="R2233" t="s">
        <v>145</v>
      </c>
      <c r="S2233">
        <v>0</v>
      </c>
    </row>
    <row r="2234" spans="1:19">
      <c r="A2234" t="s">
        <v>35</v>
      </c>
      <c r="B2234" t="s">
        <v>3225</v>
      </c>
      <c r="C2234">
        <f>"10011VE"</f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 s="2">
        <v>0</v>
      </c>
      <c r="M2234">
        <v>0</v>
      </c>
      <c r="N2234" s="2">
        <v>0</v>
      </c>
      <c r="O2234">
        <v>0</v>
      </c>
      <c r="P2234" t="s">
        <v>100</v>
      </c>
      <c r="Q2234">
        <v>0</v>
      </c>
      <c r="R2234" t="s">
        <v>145</v>
      </c>
      <c r="S2234">
        <v>0</v>
      </c>
    </row>
    <row r="2235" spans="1:19">
      <c r="A2235" t="s">
        <v>35</v>
      </c>
      <c r="B2235" t="s">
        <v>3089</v>
      </c>
      <c r="C2235">
        <f>"cw384c"</f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 s="2">
        <v>0</v>
      </c>
      <c r="M2235">
        <v>0</v>
      </c>
      <c r="N2235" s="2">
        <v>0</v>
      </c>
      <c r="O2235">
        <v>0</v>
      </c>
      <c r="P2235" t="s">
        <v>100</v>
      </c>
      <c r="Q2235">
        <v>0</v>
      </c>
      <c r="R2235" t="s">
        <v>145</v>
      </c>
      <c r="S2235">
        <v>0</v>
      </c>
    </row>
    <row r="2236" spans="1:19">
      <c r="A2236" t="s">
        <v>35</v>
      </c>
      <c r="B2236" t="s">
        <v>3101</v>
      </c>
      <c r="C2236">
        <f>"TQ0115R"</f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 s="2">
        <v>0</v>
      </c>
      <c r="M2236">
        <v>0</v>
      </c>
      <c r="N2236" s="2">
        <v>0</v>
      </c>
      <c r="O2236">
        <v>0</v>
      </c>
      <c r="P2236" t="s">
        <v>100</v>
      </c>
      <c r="Q2236">
        <v>0</v>
      </c>
      <c r="R2236" t="s">
        <v>145</v>
      </c>
      <c r="S2236">
        <v>0</v>
      </c>
    </row>
    <row r="2237" spans="1:19">
      <c r="A2237" t="s">
        <v>35</v>
      </c>
      <c r="B2237" t="s">
        <v>3087</v>
      </c>
      <c r="C2237">
        <f>"TQ0115C"</f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 s="2">
        <v>0</v>
      </c>
      <c r="M2237">
        <v>0</v>
      </c>
      <c r="N2237" s="2">
        <v>0</v>
      </c>
      <c r="O2237">
        <v>0</v>
      </c>
      <c r="P2237" t="s">
        <v>100</v>
      </c>
      <c r="Q2237">
        <v>0</v>
      </c>
      <c r="R2237" t="s">
        <v>145</v>
      </c>
      <c r="S2237">
        <v>0</v>
      </c>
    </row>
    <row r="2238" spans="1:19">
      <c r="A2238" t="s">
        <v>35</v>
      </c>
      <c r="B2238" t="s">
        <v>3244</v>
      </c>
      <c r="C2238">
        <f>"TQ0115V"</f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 s="2">
        <v>0</v>
      </c>
      <c r="M2238">
        <v>0</v>
      </c>
      <c r="N2238" s="2">
        <v>0</v>
      </c>
      <c r="O2238">
        <v>0</v>
      </c>
      <c r="P2238" t="s">
        <v>100</v>
      </c>
      <c r="Q2238">
        <v>0</v>
      </c>
      <c r="R2238" t="s">
        <v>145</v>
      </c>
      <c r="S2238">
        <v>0</v>
      </c>
    </row>
    <row r="2239" spans="1:19">
      <c r="A2239" t="s">
        <v>35</v>
      </c>
      <c r="B2239" t="s">
        <v>3243</v>
      </c>
      <c r="C2239">
        <f>"HC24"</f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 s="2">
        <v>0</v>
      </c>
      <c r="M2239">
        <v>0</v>
      </c>
      <c r="N2239" s="2">
        <v>0</v>
      </c>
      <c r="O2239">
        <v>0</v>
      </c>
      <c r="P2239" t="s">
        <v>100</v>
      </c>
      <c r="Q2239">
        <v>0</v>
      </c>
      <c r="R2239" t="s">
        <v>145</v>
      </c>
      <c r="S2239">
        <v>0</v>
      </c>
    </row>
    <row r="2240" spans="1:19">
      <c r="A2240" t="s">
        <v>35</v>
      </c>
      <c r="B2240" t="s">
        <v>3088</v>
      </c>
      <c r="C2240">
        <f>"TQ22063A"</f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 s="2">
        <v>0</v>
      </c>
      <c r="M2240">
        <v>0</v>
      </c>
      <c r="N2240" s="2">
        <v>0</v>
      </c>
      <c r="O2240">
        <v>0</v>
      </c>
      <c r="P2240" t="s">
        <v>100</v>
      </c>
      <c r="Q2240">
        <v>0</v>
      </c>
      <c r="R2240" t="s">
        <v>145</v>
      </c>
      <c r="S2240">
        <v>0</v>
      </c>
    </row>
    <row r="2241" spans="1:19">
      <c r="A2241" t="s">
        <v>35</v>
      </c>
      <c r="B2241" t="s">
        <v>3088</v>
      </c>
      <c r="C2241">
        <f>"TQ22063V"</f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 s="2">
        <v>0</v>
      </c>
      <c r="M2241">
        <v>0</v>
      </c>
      <c r="N2241" s="2">
        <v>0</v>
      </c>
      <c r="O2241">
        <v>0</v>
      </c>
      <c r="P2241" t="s">
        <v>100</v>
      </c>
      <c r="Q2241">
        <v>0</v>
      </c>
      <c r="R2241" t="s">
        <v>145</v>
      </c>
      <c r="S2241">
        <v>0</v>
      </c>
    </row>
    <row r="2242" spans="1:19">
      <c r="A2242" t="s">
        <v>35</v>
      </c>
      <c r="B2242" t="s">
        <v>3100</v>
      </c>
      <c r="C2242">
        <f>"TQ0361V"</f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 s="2">
        <v>0</v>
      </c>
      <c r="M2242">
        <v>0</v>
      </c>
      <c r="N2242" s="2">
        <v>0</v>
      </c>
      <c r="O2242">
        <v>0</v>
      </c>
      <c r="P2242" t="s">
        <v>100</v>
      </c>
      <c r="Q2242">
        <v>0</v>
      </c>
      <c r="R2242" t="s">
        <v>145</v>
      </c>
      <c r="S2242">
        <v>0</v>
      </c>
    </row>
    <row r="2243" spans="1:19">
      <c r="A2243" t="s">
        <v>35</v>
      </c>
      <c r="B2243" t="s">
        <v>3227</v>
      </c>
      <c r="C2243">
        <f>"10011AZ"</f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 s="2">
        <v>0</v>
      </c>
      <c r="M2243">
        <v>0</v>
      </c>
      <c r="N2243" s="2">
        <v>0</v>
      </c>
      <c r="O2243">
        <v>0</v>
      </c>
      <c r="P2243" t="s">
        <v>100</v>
      </c>
      <c r="Q2243">
        <v>0</v>
      </c>
      <c r="R2243" t="s">
        <v>145</v>
      </c>
      <c r="S2243">
        <v>0</v>
      </c>
    </row>
    <row r="2244" spans="1:19">
      <c r="A2244" t="s">
        <v>35</v>
      </c>
      <c r="B2244" t="s">
        <v>3241</v>
      </c>
      <c r="C2244">
        <f>"CW389R"</f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 s="2">
        <v>0</v>
      </c>
      <c r="M2244">
        <v>0</v>
      </c>
      <c r="N2244" s="2">
        <v>0</v>
      </c>
      <c r="O2244">
        <v>0</v>
      </c>
      <c r="P2244" t="s">
        <v>100</v>
      </c>
      <c r="Q2244">
        <v>0</v>
      </c>
      <c r="R2244" t="s">
        <v>145</v>
      </c>
      <c r="S2244">
        <v>0</v>
      </c>
    </row>
    <row r="2245" spans="1:19">
      <c r="A2245" t="s">
        <v>35</v>
      </c>
      <c r="B2245" t="s">
        <v>3240</v>
      </c>
      <c r="C2245">
        <f>"232548"</f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 s="2">
        <v>0</v>
      </c>
      <c r="M2245">
        <v>0</v>
      </c>
      <c r="N2245" s="2">
        <v>0</v>
      </c>
      <c r="O2245">
        <v>0</v>
      </c>
      <c r="P2245" t="s">
        <v>100</v>
      </c>
      <c r="Q2245">
        <v>0</v>
      </c>
      <c r="R2245" t="s">
        <v>145</v>
      </c>
      <c r="S2245">
        <v>0</v>
      </c>
    </row>
    <row r="2246" spans="1:19">
      <c r="A2246" t="s">
        <v>35</v>
      </c>
      <c r="B2246" t="s">
        <v>3239</v>
      </c>
      <c r="C2246">
        <f>"YE78104L"</f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 s="2">
        <v>0</v>
      </c>
      <c r="M2246">
        <v>0</v>
      </c>
      <c r="N2246" s="2">
        <v>0</v>
      </c>
      <c r="O2246">
        <v>0</v>
      </c>
      <c r="P2246" t="s">
        <v>100</v>
      </c>
      <c r="Q2246">
        <v>0</v>
      </c>
      <c r="R2246" t="s">
        <v>145</v>
      </c>
      <c r="S2246">
        <v>0</v>
      </c>
    </row>
    <row r="2247" spans="1:19">
      <c r="A2247" t="s">
        <v>35</v>
      </c>
      <c r="B2247" t="s">
        <v>3238</v>
      </c>
      <c r="C2247">
        <f>"YE78104S"</f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 s="2">
        <v>0</v>
      </c>
      <c r="M2247">
        <v>0</v>
      </c>
      <c r="N2247" s="2">
        <v>0</v>
      </c>
      <c r="O2247">
        <v>0</v>
      </c>
      <c r="P2247" t="s">
        <v>100</v>
      </c>
      <c r="Q2247">
        <v>0</v>
      </c>
      <c r="R2247" t="s">
        <v>145</v>
      </c>
      <c r="S2247">
        <v>0</v>
      </c>
    </row>
    <row r="2248" spans="1:19">
      <c r="A2248" t="s">
        <v>35</v>
      </c>
      <c r="B2248" t="s">
        <v>1317</v>
      </c>
      <c r="C2248">
        <f>"TQ26C"</f>
        <v>0</v>
      </c>
      <c r="D2248">
        <v>0</v>
      </c>
      <c r="E2248">
        <v>1</v>
      </c>
      <c r="F2248">
        <v>0</v>
      </c>
      <c r="G2248">
        <v>0</v>
      </c>
      <c r="H2248">
        <v>1</v>
      </c>
      <c r="I2248">
        <v>0</v>
      </c>
      <c r="J2248">
        <v>0</v>
      </c>
      <c r="K2248">
        <v>0</v>
      </c>
      <c r="L2248" s="2">
        <v>0</v>
      </c>
      <c r="M2248">
        <v>0</v>
      </c>
      <c r="N2248" s="2">
        <v>0</v>
      </c>
      <c r="O2248">
        <v>0</v>
      </c>
      <c r="P2248" t="s">
        <v>100</v>
      </c>
      <c r="Q2248">
        <v>0</v>
      </c>
      <c r="R2248" t="s">
        <v>145</v>
      </c>
      <c r="S2248">
        <v>0</v>
      </c>
    </row>
    <row r="2249" spans="1:19">
      <c r="A2249" t="s">
        <v>35</v>
      </c>
      <c r="B2249" t="s">
        <v>3247</v>
      </c>
      <c r="C2249">
        <f>"TQ10121AZ"</f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 s="2">
        <v>0</v>
      </c>
      <c r="M2249">
        <v>0</v>
      </c>
      <c r="N2249" s="2">
        <v>0</v>
      </c>
      <c r="O2249">
        <v>0</v>
      </c>
      <c r="P2249" t="s">
        <v>100</v>
      </c>
      <c r="Q2249">
        <v>0</v>
      </c>
      <c r="R2249" t="s">
        <v>145</v>
      </c>
      <c r="S2249">
        <v>0</v>
      </c>
    </row>
    <row r="2250" spans="1:19">
      <c r="A2250" t="s">
        <v>35</v>
      </c>
      <c r="B2250" t="s">
        <v>3231</v>
      </c>
      <c r="C2250">
        <f>"10021AZ"</f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 s="2">
        <v>0</v>
      </c>
      <c r="M2250">
        <v>0</v>
      </c>
      <c r="N2250" s="2">
        <v>0</v>
      </c>
      <c r="O2250">
        <v>0</v>
      </c>
      <c r="P2250" t="s">
        <v>100</v>
      </c>
      <c r="Q2250">
        <v>0</v>
      </c>
      <c r="R2250" t="s">
        <v>145</v>
      </c>
      <c r="S2250">
        <v>0</v>
      </c>
    </row>
    <row r="2251" spans="1:19">
      <c r="A2251" t="s">
        <v>35</v>
      </c>
      <c r="B2251" t="s">
        <v>3242</v>
      </c>
      <c r="C2251">
        <f>"DR102"</f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 s="2">
        <v>0</v>
      </c>
      <c r="M2251">
        <v>0</v>
      </c>
      <c r="N2251" s="2">
        <v>0</v>
      </c>
      <c r="O2251">
        <v>0</v>
      </c>
      <c r="P2251" t="s">
        <v>100</v>
      </c>
      <c r="Q2251">
        <v>0</v>
      </c>
      <c r="R2251" t="s">
        <v>145</v>
      </c>
      <c r="S2251">
        <v>0</v>
      </c>
    </row>
    <row r="2252" spans="1:19">
      <c r="A2252" t="s">
        <v>35</v>
      </c>
      <c r="B2252" t="s">
        <v>7753</v>
      </c>
      <c r="C2252">
        <f>"187A54XSROS"</f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 s="2">
        <v>0</v>
      </c>
      <c r="M2252">
        <v>0</v>
      </c>
      <c r="N2252" s="2">
        <v>0</v>
      </c>
      <c r="O2252">
        <v>0</v>
      </c>
      <c r="P2252" t="s">
        <v>100</v>
      </c>
      <c r="Q2252">
        <v>0</v>
      </c>
      <c r="R2252" t="s">
        <v>145</v>
      </c>
      <c r="S2252">
        <v>0</v>
      </c>
    </row>
    <row r="2253" spans="1:19">
      <c r="A2253" t="s">
        <v>35</v>
      </c>
      <c r="B2253" t="s">
        <v>7752</v>
      </c>
      <c r="C2253">
        <f>"187A54XXLAZ"</f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 s="2">
        <v>0</v>
      </c>
      <c r="M2253">
        <v>0</v>
      </c>
      <c r="N2253" s="2">
        <v>0</v>
      </c>
      <c r="O2253">
        <v>0</v>
      </c>
      <c r="P2253" t="s">
        <v>100</v>
      </c>
      <c r="Q2253">
        <v>0</v>
      </c>
      <c r="R2253" t="s">
        <v>145</v>
      </c>
      <c r="S2253">
        <v>0</v>
      </c>
    </row>
    <row r="2254" spans="1:19">
      <c r="A2254" t="s">
        <v>35</v>
      </c>
      <c r="B2254" t="s">
        <v>7757</v>
      </c>
      <c r="C2254">
        <f>"187A54XLAZ"</f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 s="2">
        <v>0</v>
      </c>
      <c r="M2254">
        <v>0</v>
      </c>
      <c r="N2254" s="2">
        <v>0</v>
      </c>
      <c r="O2254">
        <v>0</v>
      </c>
      <c r="P2254" t="s">
        <v>100</v>
      </c>
      <c r="Q2254">
        <v>0</v>
      </c>
      <c r="R2254" t="s">
        <v>145</v>
      </c>
      <c r="S2254">
        <v>0</v>
      </c>
    </row>
    <row r="2255" spans="1:19">
      <c r="A2255" t="s">
        <v>35</v>
      </c>
      <c r="B2255" t="s">
        <v>7709</v>
      </c>
      <c r="C2255">
        <f>"1806TS"</f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 s="2">
        <v>0</v>
      </c>
      <c r="M2255">
        <v>0</v>
      </c>
      <c r="N2255" s="2">
        <v>0</v>
      </c>
      <c r="O2255">
        <v>0</v>
      </c>
      <c r="P2255" t="s">
        <v>100</v>
      </c>
      <c r="Q2255">
        <v>0</v>
      </c>
      <c r="R2255" t="s">
        <v>145</v>
      </c>
      <c r="S2255">
        <v>0</v>
      </c>
    </row>
    <row r="2256" spans="1:19">
      <c r="A2256" t="s">
        <v>35</v>
      </c>
      <c r="B2256" t="s">
        <v>7744</v>
      </c>
      <c r="C2256">
        <f>"1805M"</f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 s="2">
        <v>0</v>
      </c>
      <c r="M2256">
        <v>0</v>
      </c>
      <c r="N2256" s="2">
        <v>0</v>
      </c>
      <c r="O2256">
        <v>0</v>
      </c>
      <c r="P2256" t="s">
        <v>100</v>
      </c>
      <c r="Q2256">
        <v>0</v>
      </c>
      <c r="R2256" t="s">
        <v>145</v>
      </c>
      <c r="S2256">
        <v>0</v>
      </c>
    </row>
    <row r="2257" spans="1:19">
      <c r="A2257" t="s">
        <v>35</v>
      </c>
      <c r="B2257" t="s">
        <v>1215</v>
      </c>
      <c r="C2257">
        <f>"1805XL"</f>
        <v>0</v>
      </c>
      <c r="D2257">
        <v>1</v>
      </c>
      <c r="E2257">
        <v>0</v>
      </c>
      <c r="F2257">
        <v>0</v>
      </c>
      <c r="G2257">
        <v>0</v>
      </c>
      <c r="H2257">
        <v>1</v>
      </c>
      <c r="I2257">
        <v>0</v>
      </c>
      <c r="J2257">
        <v>0</v>
      </c>
      <c r="K2257">
        <v>0</v>
      </c>
      <c r="L2257" s="2">
        <v>0</v>
      </c>
      <c r="M2257">
        <v>0</v>
      </c>
      <c r="N2257" s="2">
        <v>0</v>
      </c>
      <c r="O2257">
        <v>0</v>
      </c>
      <c r="P2257" t="s">
        <v>100</v>
      </c>
      <c r="Q2257">
        <v>0</v>
      </c>
      <c r="R2257" t="s">
        <v>145</v>
      </c>
      <c r="S2257">
        <v>0</v>
      </c>
    </row>
    <row r="2258" spans="1:19">
      <c r="A2258" t="s">
        <v>35</v>
      </c>
      <c r="B2258" t="s">
        <v>7768</v>
      </c>
      <c r="C2258">
        <f>"187A544XLBUR"</f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 s="2">
        <v>0</v>
      </c>
      <c r="M2258">
        <v>0</v>
      </c>
      <c r="N2258" s="2">
        <v>0</v>
      </c>
      <c r="O2258">
        <v>0</v>
      </c>
      <c r="P2258" t="s">
        <v>100</v>
      </c>
      <c r="Q2258">
        <v>0</v>
      </c>
      <c r="R2258" t="s">
        <v>145</v>
      </c>
      <c r="S2258">
        <v>0</v>
      </c>
    </row>
    <row r="2259" spans="1:19">
      <c r="A2259" t="s">
        <v>35</v>
      </c>
      <c r="B2259" t="s">
        <v>7767</v>
      </c>
      <c r="C2259">
        <f>"187A544XLROS"</f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 s="2">
        <v>0</v>
      </c>
      <c r="M2259">
        <v>0</v>
      </c>
      <c r="N2259" s="2">
        <v>0</v>
      </c>
      <c r="O2259">
        <v>0</v>
      </c>
      <c r="P2259" t="s">
        <v>100</v>
      </c>
      <c r="Q2259">
        <v>0</v>
      </c>
      <c r="R2259" t="s">
        <v>145</v>
      </c>
      <c r="S2259">
        <v>0</v>
      </c>
    </row>
    <row r="2260" spans="1:19">
      <c r="A2260" t="s">
        <v>35</v>
      </c>
      <c r="B2260" t="s">
        <v>7766</v>
      </c>
      <c r="C2260">
        <f>"187A545XLBL"</f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 s="2">
        <v>0</v>
      </c>
      <c r="M2260">
        <v>0</v>
      </c>
      <c r="N2260" s="2">
        <v>0</v>
      </c>
      <c r="O2260">
        <v>0</v>
      </c>
      <c r="P2260" t="s">
        <v>100</v>
      </c>
      <c r="Q2260">
        <v>0</v>
      </c>
      <c r="R2260" t="s">
        <v>145</v>
      </c>
      <c r="S2260">
        <v>0</v>
      </c>
    </row>
    <row r="2261" spans="1:19">
      <c r="A2261" t="s">
        <v>35</v>
      </c>
      <c r="B2261" t="s">
        <v>7764</v>
      </c>
      <c r="C2261">
        <f>"187A545XLROS"</f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 s="2">
        <v>0</v>
      </c>
      <c r="M2261">
        <v>0</v>
      </c>
      <c r="N2261" s="2">
        <v>0</v>
      </c>
      <c r="O2261">
        <v>0</v>
      </c>
      <c r="P2261" t="s">
        <v>100</v>
      </c>
      <c r="Q2261">
        <v>0</v>
      </c>
      <c r="R2261" t="s">
        <v>145</v>
      </c>
      <c r="S2261">
        <v>0</v>
      </c>
    </row>
    <row r="2262" spans="1:19">
      <c r="A2262" t="s">
        <v>35</v>
      </c>
      <c r="B2262" t="s">
        <v>7798</v>
      </c>
      <c r="C2262">
        <f>"187A54LROS"</f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 s="2">
        <v>0</v>
      </c>
      <c r="M2262">
        <v>0</v>
      </c>
      <c r="N2262" s="2">
        <v>0</v>
      </c>
      <c r="O2262">
        <v>0</v>
      </c>
      <c r="P2262" t="s">
        <v>100</v>
      </c>
      <c r="Q2262">
        <v>0</v>
      </c>
      <c r="R2262" t="s">
        <v>145</v>
      </c>
      <c r="S2262">
        <v>0</v>
      </c>
    </row>
    <row r="2263" spans="1:19">
      <c r="A2263" t="s">
        <v>35</v>
      </c>
      <c r="B2263" t="s">
        <v>7797</v>
      </c>
      <c r="C2263">
        <f>"187A54MAZ"</f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 s="2">
        <v>0</v>
      </c>
      <c r="M2263">
        <v>0</v>
      </c>
      <c r="N2263" s="2">
        <v>0</v>
      </c>
      <c r="O2263">
        <v>0</v>
      </c>
      <c r="P2263" t="s">
        <v>100</v>
      </c>
      <c r="Q2263">
        <v>0</v>
      </c>
      <c r="R2263" t="s">
        <v>145</v>
      </c>
      <c r="S2263">
        <v>0</v>
      </c>
    </row>
    <row r="2264" spans="1:19">
      <c r="A2264" t="s">
        <v>35</v>
      </c>
      <c r="B2264" t="s">
        <v>7795</v>
      </c>
      <c r="C2264">
        <f>"187A54MROS"</f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 s="2">
        <v>0</v>
      </c>
      <c r="M2264">
        <v>0</v>
      </c>
      <c r="N2264" s="2">
        <v>0</v>
      </c>
      <c r="O2264">
        <v>0</v>
      </c>
      <c r="P2264" t="s">
        <v>100</v>
      </c>
      <c r="Q2264">
        <v>0</v>
      </c>
      <c r="R2264" t="s">
        <v>145</v>
      </c>
      <c r="S2264">
        <v>0</v>
      </c>
    </row>
    <row r="2265" spans="1:19">
      <c r="A2265" t="s">
        <v>35</v>
      </c>
      <c r="B2265" t="s">
        <v>7751</v>
      </c>
      <c r="C2265">
        <f>"187A54XXLBL"</f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 s="2">
        <v>0</v>
      </c>
      <c r="M2265">
        <v>0</v>
      </c>
      <c r="N2265" s="2">
        <v>0</v>
      </c>
      <c r="O2265">
        <v>0</v>
      </c>
      <c r="P2265" t="s">
        <v>100</v>
      </c>
      <c r="Q2265">
        <v>0</v>
      </c>
      <c r="R2265" t="s">
        <v>145</v>
      </c>
      <c r="S2265">
        <v>0</v>
      </c>
    </row>
    <row r="2266" spans="1:19">
      <c r="A2266" t="s">
        <v>35</v>
      </c>
      <c r="B2266" t="s">
        <v>1318</v>
      </c>
      <c r="C2266">
        <f>"TQ01081A"</f>
        <v>0</v>
      </c>
      <c r="D2266">
        <v>0</v>
      </c>
      <c r="E2266">
        <v>1</v>
      </c>
      <c r="F2266">
        <v>0</v>
      </c>
      <c r="G2266">
        <v>0</v>
      </c>
      <c r="H2266">
        <v>1</v>
      </c>
      <c r="I2266">
        <v>0</v>
      </c>
      <c r="J2266">
        <v>0</v>
      </c>
      <c r="K2266">
        <v>0</v>
      </c>
      <c r="L2266" s="2">
        <v>0</v>
      </c>
      <c r="M2266">
        <v>0</v>
      </c>
      <c r="N2266" s="2">
        <v>0</v>
      </c>
      <c r="O2266">
        <v>0</v>
      </c>
      <c r="P2266" t="s">
        <v>100</v>
      </c>
      <c r="Q2266">
        <v>0</v>
      </c>
      <c r="R2266" t="s">
        <v>145</v>
      </c>
      <c r="S2266">
        <v>0</v>
      </c>
    </row>
    <row r="2267" spans="1:19">
      <c r="A2267" t="s">
        <v>35</v>
      </c>
      <c r="B2267" t="s">
        <v>1318</v>
      </c>
      <c r="C2267">
        <f>"TQ01081R"</f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 s="2">
        <v>0</v>
      </c>
      <c r="M2267">
        <v>0</v>
      </c>
      <c r="N2267" s="2">
        <v>0</v>
      </c>
      <c r="O2267">
        <v>0</v>
      </c>
      <c r="P2267" t="s">
        <v>100</v>
      </c>
      <c r="Q2267">
        <v>0</v>
      </c>
      <c r="R2267" t="s">
        <v>145</v>
      </c>
      <c r="S2267">
        <v>0</v>
      </c>
    </row>
    <row r="2268" spans="1:19">
      <c r="A2268" t="s">
        <v>35</v>
      </c>
      <c r="B2268" t="s">
        <v>3047</v>
      </c>
      <c r="C2268">
        <f>"TQ01081V"</f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 s="2">
        <v>0</v>
      </c>
      <c r="M2268">
        <v>0</v>
      </c>
      <c r="N2268" s="2">
        <v>0</v>
      </c>
      <c r="O2268">
        <v>0</v>
      </c>
      <c r="P2268" t="s">
        <v>100</v>
      </c>
      <c r="Q2268">
        <v>0</v>
      </c>
      <c r="R2268" t="s">
        <v>145</v>
      </c>
      <c r="S2268">
        <v>0</v>
      </c>
    </row>
    <row r="2269" spans="1:19">
      <c r="A2269" t="s">
        <v>35</v>
      </c>
      <c r="B2269" t="s">
        <v>7731</v>
      </c>
      <c r="C2269">
        <f>"B1922XLN"</f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 s="2">
        <v>0</v>
      </c>
      <c r="M2269">
        <v>0</v>
      </c>
      <c r="N2269" s="2">
        <v>0</v>
      </c>
      <c r="O2269">
        <v>0</v>
      </c>
      <c r="P2269" t="s">
        <v>100</v>
      </c>
      <c r="Q2269">
        <v>0</v>
      </c>
      <c r="R2269" t="s">
        <v>145</v>
      </c>
      <c r="S2269">
        <v>0</v>
      </c>
    </row>
    <row r="2270" spans="1:19">
      <c r="A2270" t="s">
        <v>35</v>
      </c>
      <c r="B2270" t="s">
        <v>7730</v>
      </c>
      <c r="C2270">
        <f>"B1922XLR"</f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 s="2">
        <v>0</v>
      </c>
      <c r="M2270">
        <v>0</v>
      </c>
      <c r="N2270" s="2">
        <v>0</v>
      </c>
      <c r="O2270">
        <v>0</v>
      </c>
      <c r="P2270" t="s">
        <v>100</v>
      </c>
      <c r="Q2270">
        <v>0</v>
      </c>
      <c r="R2270" t="s">
        <v>145</v>
      </c>
      <c r="S2270">
        <v>0</v>
      </c>
    </row>
    <row r="2271" spans="1:19">
      <c r="A2271" t="s">
        <v>35</v>
      </c>
      <c r="B2271" t="s">
        <v>7725</v>
      </c>
      <c r="C2271">
        <f>"FB673LA"</f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 s="2">
        <v>0</v>
      </c>
      <c r="M2271">
        <v>0</v>
      </c>
      <c r="N2271" s="2">
        <v>0</v>
      </c>
      <c r="O2271">
        <v>0</v>
      </c>
      <c r="P2271" t="s">
        <v>100</v>
      </c>
      <c r="Q2271">
        <v>0</v>
      </c>
      <c r="R2271" t="s">
        <v>145</v>
      </c>
      <c r="S2271">
        <v>0</v>
      </c>
    </row>
    <row r="2272" spans="1:19">
      <c r="A2272" t="s">
        <v>35</v>
      </c>
      <c r="B2272" t="s">
        <v>7724</v>
      </c>
      <c r="C2272">
        <f>"FB673LG"</f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 s="2">
        <v>0</v>
      </c>
      <c r="M2272">
        <v>0</v>
      </c>
      <c r="N2272" s="2">
        <v>0</v>
      </c>
      <c r="O2272">
        <v>0</v>
      </c>
      <c r="P2272" t="s">
        <v>100</v>
      </c>
      <c r="Q2272">
        <v>0</v>
      </c>
      <c r="R2272" t="s">
        <v>145</v>
      </c>
      <c r="S2272">
        <v>0</v>
      </c>
    </row>
    <row r="2273" spans="1:19">
      <c r="A2273" t="s">
        <v>35</v>
      </c>
      <c r="B2273" t="s">
        <v>7723</v>
      </c>
      <c r="C2273">
        <f>"FB673LR"</f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 s="2">
        <v>0</v>
      </c>
      <c r="M2273">
        <v>0</v>
      </c>
      <c r="N2273" s="2">
        <v>0</v>
      </c>
      <c r="O2273">
        <v>0</v>
      </c>
      <c r="P2273" t="s">
        <v>100</v>
      </c>
      <c r="Q2273">
        <v>0</v>
      </c>
      <c r="R2273" t="s">
        <v>145</v>
      </c>
      <c r="S2273">
        <v>0</v>
      </c>
    </row>
    <row r="2274" spans="1:19">
      <c r="A2274" t="s">
        <v>35</v>
      </c>
      <c r="B2274" t="s">
        <v>3067</v>
      </c>
      <c r="C2274">
        <f>"KE4900"</f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 s="2">
        <v>0</v>
      </c>
      <c r="M2274">
        <v>0</v>
      </c>
      <c r="N2274" s="2">
        <v>0</v>
      </c>
      <c r="O2274">
        <v>0</v>
      </c>
      <c r="P2274" t="s">
        <v>100</v>
      </c>
      <c r="Q2274">
        <v>0</v>
      </c>
      <c r="R2274" t="s">
        <v>145</v>
      </c>
      <c r="S2274">
        <v>0</v>
      </c>
    </row>
    <row r="2275" spans="1:19">
      <c r="A2275" t="s">
        <v>35</v>
      </c>
      <c r="B2275" t="s">
        <v>3099</v>
      </c>
      <c r="C2275">
        <f>"TQ0361C"</f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 s="2">
        <v>0</v>
      </c>
      <c r="M2275">
        <v>0</v>
      </c>
      <c r="N2275" s="2">
        <v>0</v>
      </c>
      <c r="O2275">
        <v>0</v>
      </c>
      <c r="P2275" t="s">
        <v>100</v>
      </c>
      <c r="Q2275">
        <v>0</v>
      </c>
      <c r="R2275" t="s">
        <v>145</v>
      </c>
      <c r="S2275">
        <v>0</v>
      </c>
    </row>
    <row r="2276" spans="1:19">
      <c r="A2276" t="s">
        <v>35</v>
      </c>
      <c r="B2276" t="s">
        <v>3065</v>
      </c>
      <c r="C2276">
        <f>"MH060"</f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 s="2">
        <v>0</v>
      </c>
      <c r="M2276">
        <v>0</v>
      </c>
      <c r="N2276" s="2">
        <v>0</v>
      </c>
      <c r="O2276">
        <v>0</v>
      </c>
      <c r="P2276" t="s">
        <v>100</v>
      </c>
      <c r="Q2276">
        <v>0</v>
      </c>
      <c r="R2276" t="s">
        <v>145</v>
      </c>
      <c r="S2276">
        <v>0</v>
      </c>
    </row>
    <row r="2277" spans="1:19">
      <c r="A2277" t="s">
        <v>35</v>
      </c>
      <c r="B2277" t="s">
        <v>3064</v>
      </c>
      <c r="C2277">
        <f>"TQ00211C"</f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 s="2">
        <v>0</v>
      </c>
      <c r="M2277">
        <v>0</v>
      </c>
      <c r="N2277" s="2">
        <v>0</v>
      </c>
      <c r="O2277">
        <v>0</v>
      </c>
      <c r="P2277" t="s">
        <v>100</v>
      </c>
      <c r="Q2277">
        <v>0</v>
      </c>
      <c r="R2277" t="s">
        <v>145</v>
      </c>
      <c r="S2277">
        <v>0</v>
      </c>
    </row>
    <row r="2278" spans="1:19">
      <c r="A2278" t="s">
        <v>35</v>
      </c>
      <c r="B2278" t="s">
        <v>3093</v>
      </c>
      <c r="C2278">
        <f>"TQ00211ROS"</f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 s="2">
        <v>0</v>
      </c>
      <c r="M2278">
        <v>0</v>
      </c>
      <c r="N2278" s="2">
        <v>0</v>
      </c>
      <c r="O2278">
        <v>0</v>
      </c>
      <c r="P2278" t="s">
        <v>100</v>
      </c>
      <c r="Q2278">
        <v>0</v>
      </c>
      <c r="R2278" t="s">
        <v>145</v>
      </c>
      <c r="S2278">
        <v>0</v>
      </c>
    </row>
    <row r="2279" spans="1:19">
      <c r="A2279" t="s">
        <v>35</v>
      </c>
      <c r="B2279" t="s">
        <v>3092</v>
      </c>
      <c r="C2279">
        <f>"TQ00211V"</f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 s="2">
        <v>0</v>
      </c>
      <c r="M2279">
        <v>0</v>
      </c>
      <c r="N2279" s="2">
        <v>0</v>
      </c>
      <c r="O2279">
        <v>0</v>
      </c>
      <c r="P2279" t="s">
        <v>100</v>
      </c>
      <c r="Q2279">
        <v>0</v>
      </c>
      <c r="R2279" t="s">
        <v>145</v>
      </c>
      <c r="S2279">
        <v>0</v>
      </c>
    </row>
    <row r="2280" spans="1:19">
      <c r="A2280" t="s">
        <v>35</v>
      </c>
      <c r="B2280" t="s">
        <v>3091</v>
      </c>
      <c r="C2280">
        <f>"MH013"</f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 s="2">
        <v>0</v>
      </c>
      <c r="M2280">
        <v>0</v>
      </c>
      <c r="N2280" s="2">
        <v>0</v>
      </c>
      <c r="O2280">
        <v>0</v>
      </c>
      <c r="P2280" t="s">
        <v>100</v>
      </c>
      <c r="Q2280">
        <v>0</v>
      </c>
      <c r="R2280" t="s">
        <v>145</v>
      </c>
      <c r="S2280">
        <v>0</v>
      </c>
    </row>
    <row r="2281" spans="1:19">
      <c r="A2281" t="s">
        <v>35</v>
      </c>
      <c r="B2281" t="s">
        <v>3090</v>
      </c>
      <c r="C2281">
        <f>"TQ27ROS"</f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 s="2">
        <v>0</v>
      </c>
      <c r="M2281">
        <v>0</v>
      </c>
      <c r="N2281" s="2">
        <v>0</v>
      </c>
      <c r="O2281">
        <v>0</v>
      </c>
      <c r="P2281" t="s">
        <v>100</v>
      </c>
      <c r="Q2281">
        <v>0</v>
      </c>
      <c r="R2281" t="s">
        <v>145</v>
      </c>
      <c r="S2281">
        <v>0</v>
      </c>
    </row>
    <row r="2282" spans="1:19">
      <c r="A2282" t="s">
        <v>35</v>
      </c>
      <c r="B2282" t="s">
        <v>3058</v>
      </c>
      <c r="C2282">
        <f>"TQ27V"</f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 s="2">
        <v>0</v>
      </c>
      <c r="M2282">
        <v>0</v>
      </c>
      <c r="N2282" s="2">
        <v>0</v>
      </c>
      <c r="O2282">
        <v>0</v>
      </c>
      <c r="P2282" t="s">
        <v>100</v>
      </c>
      <c r="Q2282">
        <v>0</v>
      </c>
      <c r="R2282" t="s">
        <v>145</v>
      </c>
      <c r="S2282">
        <v>0</v>
      </c>
    </row>
    <row r="2283" spans="1:19">
      <c r="A2283" t="s">
        <v>35</v>
      </c>
      <c r="B2283" t="s">
        <v>3058</v>
      </c>
      <c r="C2283">
        <f>"TQ27CEL"</f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 s="2">
        <v>0</v>
      </c>
      <c r="M2283">
        <v>0</v>
      </c>
      <c r="N2283" s="2">
        <v>0</v>
      </c>
      <c r="O2283">
        <v>0</v>
      </c>
      <c r="P2283" t="s">
        <v>100</v>
      </c>
      <c r="Q2283">
        <v>0</v>
      </c>
      <c r="R2283" t="s">
        <v>145</v>
      </c>
      <c r="S2283">
        <v>0</v>
      </c>
    </row>
    <row r="2284" spans="1:19">
      <c r="A2284" t="s">
        <v>35</v>
      </c>
      <c r="B2284" t="s">
        <v>7434</v>
      </c>
      <c r="C2284">
        <f>"688F"</f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 s="2">
        <v>0</v>
      </c>
      <c r="M2284">
        <v>0</v>
      </c>
      <c r="N2284" s="2">
        <v>0</v>
      </c>
      <c r="O2284">
        <v>0</v>
      </c>
      <c r="P2284" t="s">
        <v>100</v>
      </c>
      <c r="Q2284">
        <v>0</v>
      </c>
      <c r="R2284" t="s">
        <v>145</v>
      </c>
      <c r="S2284">
        <v>0</v>
      </c>
    </row>
    <row r="2285" spans="1:19">
      <c r="A2285" t="s">
        <v>35</v>
      </c>
      <c r="B2285" t="s">
        <v>7428</v>
      </c>
      <c r="C2285">
        <f>"MM015LAM"</f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 s="2">
        <v>0</v>
      </c>
      <c r="M2285">
        <v>0</v>
      </c>
      <c r="N2285" s="2">
        <v>0</v>
      </c>
      <c r="O2285">
        <v>0</v>
      </c>
      <c r="P2285" t="s">
        <v>100</v>
      </c>
      <c r="Q2285">
        <v>0</v>
      </c>
      <c r="R2285" t="s">
        <v>145</v>
      </c>
      <c r="S2285">
        <v>0</v>
      </c>
    </row>
    <row r="2286" spans="1:19">
      <c r="A2286" t="s">
        <v>35</v>
      </c>
      <c r="B2286" t="s">
        <v>3066</v>
      </c>
      <c r="C2286">
        <f>"TQ0111C"</f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 s="2">
        <v>0</v>
      </c>
      <c r="M2286">
        <v>0</v>
      </c>
      <c r="N2286" s="2">
        <v>0</v>
      </c>
      <c r="O2286">
        <v>0</v>
      </c>
      <c r="P2286" t="s">
        <v>100</v>
      </c>
      <c r="Q2286">
        <v>0</v>
      </c>
      <c r="R2286" t="s">
        <v>145</v>
      </c>
      <c r="S2286">
        <v>0</v>
      </c>
    </row>
    <row r="2287" spans="1:19">
      <c r="A2287" t="s">
        <v>35</v>
      </c>
      <c r="B2287" t="s">
        <v>7735</v>
      </c>
      <c r="C2287">
        <f>"FB6734XLG"</f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 s="2">
        <v>0</v>
      </c>
      <c r="M2287">
        <v>0</v>
      </c>
      <c r="N2287" s="2">
        <v>0</v>
      </c>
      <c r="O2287">
        <v>0</v>
      </c>
      <c r="P2287" t="s">
        <v>100</v>
      </c>
      <c r="Q2287">
        <v>0</v>
      </c>
      <c r="R2287" t="s">
        <v>145</v>
      </c>
      <c r="S2287">
        <v>0</v>
      </c>
    </row>
    <row r="2288" spans="1:19">
      <c r="A2288" t="s">
        <v>35</v>
      </c>
      <c r="B2288" t="s">
        <v>7734</v>
      </c>
      <c r="C2288">
        <f>"FB6734XLR"</f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 s="2">
        <v>0</v>
      </c>
      <c r="M2288">
        <v>0</v>
      </c>
      <c r="N2288" s="2">
        <v>0</v>
      </c>
      <c r="O2288">
        <v>0</v>
      </c>
      <c r="P2288" t="s">
        <v>100</v>
      </c>
      <c r="Q2288">
        <v>0</v>
      </c>
      <c r="R2288" t="s">
        <v>145</v>
      </c>
      <c r="S2288">
        <v>0</v>
      </c>
    </row>
    <row r="2289" spans="1:19">
      <c r="A2289" t="s">
        <v>35</v>
      </c>
      <c r="B2289" t="s">
        <v>7732</v>
      </c>
      <c r="C2289">
        <f>"FB6735XLA"</f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 s="2">
        <v>0</v>
      </c>
      <c r="M2289">
        <v>0</v>
      </c>
      <c r="N2289" s="2">
        <v>0</v>
      </c>
      <c r="O2289">
        <v>0</v>
      </c>
      <c r="P2289" t="s">
        <v>100</v>
      </c>
      <c r="Q2289">
        <v>0</v>
      </c>
      <c r="R2289" t="s">
        <v>145</v>
      </c>
      <c r="S2289">
        <v>0</v>
      </c>
    </row>
    <row r="2290" spans="1:19">
      <c r="A2290" t="s">
        <v>35</v>
      </c>
      <c r="B2290" t="s">
        <v>7712</v>
      </c>
      <c r="C2290">
        <f>"FB6735XLG"</f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 s="2">
        <v>0</v>
      </c>
      <c r="M2290">
        <v>0</v>
      </c>
      <c r="N2290" s="2">
        <v>0</v>
      </c>
      <c r="O2290">
        <v>0</v>
      </c>
      <c r="P2290" t="s">
        <v>100</v>
      </c>
      <c r="Q2290">
        <v>0</v>
      </c>
      <c r="R2290" t="s">
        <v>145</v>
      </c>
      <c r="S2290">
        <v>0</v>
      </c>
    </row>
    <row r="2291" spans="1:19">
      <c r="A2291" t="s">
        <v>35</v>
      </c>
      <c r="B2291" t="s">
        <v>7802</v>
      </c>
      <c r="C2291">
        <f>"D42M"</f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 s="2">
        <v>0</v>
      </c>
      <c r="M2291">
        <v>0</v>
      </c>
      <c r="N2291" s="2">
        <v>0</v>
      </c>
      <c r="O2291">
        <v>0</v>
      </c>
      <c r="P2291" t="s">
        <v>100</v>
      </c>
      <c r="Q2291">
        <v>0</v>
      </c>
      <c r="R2291" t="s">
        <v>145</v>
      </c>
      <c r="S2291">
        <v>0</v>
      </c>
    </row>
    <row r="2292" spans="1:19">
      <c r="A2292" t="s">
        <v>35</v>
      </c>
      <c r="B2292" t="s">
        <v>7801</v>
      </c>
      <c r="C2292">
        <f>"D42S"</f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 s="2">
        <v>0</v>
      </c>
      <c r="M2292">
        <v>0</v>
      </c>
      <c r="N2292" s="2">
        <v>0</v>
      </c>
      <c r="O2292">
        <v>0</v>
      </c>
      <c r="P2292" t="s">
        <v>100</v>
      </c>
      <c r="Q2292">
        <v>0</v>
      </c>
      <c r="R2292" t="s">
        <v>145</v>
      </c>
      <c r="S2292">
        <v>0</v>
      </c>
    </row>
    <row r="2293" spans="1:19">
      <c r="A2293" t="s">
        <v>35</v>
      </c>
      <c r="B2293" t="s">
        <v>7799</v>
      </c>
      <c r="C2293">
        <f>"D311M"</f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 s="2">
        <v>0</v>
      </c>
      <c r="M2293">
        <v>0</v>
      </c>
      <c r="N2293" s="2">
        <v>0</v>
      </c>
      <c r="O2293">
        <v>0</v>
      </c>
      <c r="P2293" t="s">
        <v>100</v>
      </c>
      <c r="Q2293">
        <v>0</v>
      </c>
      <c r="R2293" t="s">
        <v>145</v>
      </c>
      <c r="S2293">
        <v>0</v>
      </c>
    </row>
    <row r="2294" spans="1:19">
      <c r="A2294" t="s">
        <v>35</v>
      </c>
      <c r="B2294" t="s">
        <v>7698</v>
      </c>
      <c r="C2294">
        <f>"HC0103"</f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 s="2">
        <v>0</v>
      </c>
      <c r="M2294">
        <v>0</v>
      </c>
      <c r="N2294" s="2">
        <v>0</v>
      </c>
      <c r="O2294">
        <v>0</v>
      </c>
      <c r="P2294" t="s">
        <v>100</v>
      </c>
      <c r="Q2294">
        <v>0</v>
      </c>
      <c r="R2294" t="s">
        <v>145</v>
      </c>
      <c r="S2294">
        <v>0</v>
      </c>
    </row>
    <row r="2295" spans="1:19">
      <c r="A2295" t="s">
        <v>35</v>
      </c>
      <c r="B2295" t="s">
        <v>7705</v>
      </c>
      <c r="C2295">
        <f>"FB6732XLA"</f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 s="2">
        <v>0</v>
      </c>
      <c r="M2295">
        <v>0</v>
      </c>
      <c r="N2295" s="2">
        <v>0</v>
      </c>
      <c r="O2295">
        <v>0</v>
      </c>
      <c r="P2295" t="s">
        <v>100</v>
      </c>
      <c r="Q2295">
        <v>0</v>
      </c>
      <c r="R2295" t="s">
        <v>145</v>
      </c>
      <c r="S2295">
        <v>0</v>
      </c>
    </row>
    <row r="2296" spans="1:19">
      <c r="A2296" t="s">
        <v>35</v>
      </c>
      <c r="B2296" t="s">
        <v>7704</v>
      </c>
      <c r="C2296">
        <f>"FB6732XLG"</f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 s="2">
        <v>0</v>
      </c>
      <c r="M2296">
        <v>0</v>
      </c>
      <c r="N2296" s="2">
        <v>0</v>
      </c>
      <c r="O2296">
        <v>0</v>
      </c>
      <c r="P2296" t="s">
        <v>100</v>
      </c>
      <c r="Q2296">
        <v>0</v>
      </c>
      <c r="R2296" t="s">
        <v>145</v>
      </c>
      <c r="S2296">
        <v>0</v>
      </c>
    </row>
    <row r="2297" spans="1:19">
      <c r="A2297" t="s">
        <v>35</v>
      </c>
      <c r="B2297" t="s">
        <v>1167</v>
      </c>
      <c r="C2297">
        <f>"TQ01031R"</f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 s="2">
        <v>0</v>
      </c>
      <c r="M2297">
        <v>0</v>
      </c>
      <c r="N2297" s="2">
        <v>0</v>
      </c>
      <c r="O2297">
        <v>0</v>
      </c>
      <c r="P2297" t="s">
        <v>100</v>
      </c>
      <c r="Q2297">
        <v>0</v>
      </c>
      <c r="R2297" t="s">
        <v>145</v>
      </c>
      <c r="S2297">
        <v>0</v>
      </c>
    </row>
    <row r="2298" spans="1:19">
      <c r="A2298" t="s">
        <v>35</v>
      </c>
      <c r="B2298" t="s">
        <v>3057</v>
      </c>
      <c r="C2298">
        <f>"MH021"</f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 s="2">
        <v>0</v>
      </c>
      <c r="M2298">
        <v>0</v>
      </c>
      <c r="N2298" s="2">
        <v>0</v>
      </c>
      <c r="O2298">
        <v>0</v>
      </c>
      <c r="P2298" t="s">
        <v>100</v>
      </c>
      <c r="Q2298">
        <v>0</v>
      </c>
      <c r="R2298" t="s">
        <v>145</v>
      </c>
      <c r="S2298">
        <v>0</v>
      </c>
    </row>
    <row r="2299" spans="1:19">
      <c r="A2299" t="s">
        <v>35</v>
      </c>
      <c r="B2299" t="s">
        <v>3056</v>
      </c>
      <c r="C2299">
        <f>"D161"</f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 s="2">
        <v>0</v>
      </c>
      <c r="M2299">
        <v>0</v>
      </c>
      <c r="N2299" s="2">
        <v>0</v>
      </c>
      <c r="O2299">
        <v>0</v>
      </c>
      <c r="P2299" t="s">
        <v>100</v>
      </c>
      <c r="Q2299">
        <v>0</v>
      </c>
      <c r="R2299" t="s">
        <v>145</v>
      </c>
      <c r="S2299">
        <v>0</v>
      </c>
    </row>
    <row r="2300" spans="1:19">
      <c r="A2300" t="s">
        <v>35</v>
      </c>
      <c r="B2300" t="s">
        <v>7740</v>
      </c>
      <c r="C2300">
        <f>"B1922LN"</f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 s="2">
        <v>0</v>
      </c>
      <c r="M2300">
        <v>0</v>
      </c>
      <c r="N2300" s="2">
        <v>0</v>
      </c>
      <c r="O2300">
        <v>0</v>
      </c>
      <c r="P2300" t="s">
        <v>100</v>
      </c>
      <c r="Q2300">
        <v>0</v>
      </c>
      <c r="R2300" t="s">
        <v>145</v>
      </c>
      <c r="S2300">
        <v>0</v>
      </c>
    </row>
    <row r="2301" spans="1:19">
      <c r="A2301" t="s">
        <v>35</v>
      </c>
      <c r="B2301" t="s">
        <v>7739</v>
      </c>
      <c r="C2301">
        <f>"B1922LR"</f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 s="2">
        <v>0</v>
      </c>
      <c r="M2301">
        <v>0</v>
      </c>
      <c r="N2301" s="2">
        <v>0</v>
      </c>
      <c r="O2301">
        <v>0</v>
      </c>
      <c r="P2301" t="s">
        <v>100</v>
      </c>
      <c r="Q2301">
        <v>0</v>
      </c>
      <c r="R2301" t="s">
        <v>145</v>
      </c>
      <c r="S2301">
        <v>0</v>
      </c>
    </row>
    <row r="2302" spans="1:19">
      <c r="A2302" t="s">
        <v>35</v>
      </c>
      <c r="B2302" t="s">
        <v>7738</v>
      </c>
      <c r="C2302">
        <f>"B1922LRO"</f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 s="2">
        <v>0</v>
      </c>
      <c r="M2302">
        <v>0</v>
      </c>
      <c r="N2302" s="2">
        <v>0</v>
      </c>
      <c r="O2302">
        <v>0</v>
      </c>
      <c r="P2302" t="s">
        <v>100</v>
      </c>
      <c r="Q2302">
        <v>0</v>
      </c>
      <c r="R2302" t="s">
        <v>145</v>
      </c>
      <c r="S2302">
        <v>0</v>
      </c>
    </row>
    <row r="2303" spans="1:19">
      <c r="A2303" t="s">
        <v>35</v>
      </c>
      <c r="B2303" t="s">
        <v>7737</v>
      </c>
      <c r="C2303">
        <f>"B1922MN"</f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 s="2">
        <v>0</v>
      </c>
      <c r="M2303">
        <v>0</v>
      </c>
      <c r="N2303" s="2">
        <v>0</v>
      </c>
      <c r="O2303">
        <v>0</v>
      </c>
      <c r="P2303" t="s">
        <v>100</v>
      </c>
      <c r="Q2303">
        <v>0</v>
      </c>
      <c r="R2303" t="s">
        <v>145</v>
      </c>
      <c r="S2303">
        <v>0</v>
      </c>
    </row>
    <row r="2304" spans="1:19">
      <c r="A2304" t="s">
        <v>35</v>
      </c>
      <c r="B2304" t="s">
        <v>3054</v>
      </c>
      <c r="C2304">
        <f>"1577396716928"</f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 s="2">
        <v>0</v>
      </c>
      <c r="M2304">
        <v>0</v>
      </c>
      <c r="N2304" s="2">
        <v>0</v>
      </c>
      <c r="O2304">
        <v>0</v>
      </c>
      <c r="P2304" t="s">
        <v>100</v>
      </c>
      <c r="Q2304">
        <v>0</v>
      </c>
      <c r="R2304" t="s">
        <v>145</v>
      </c>
      <c r="S2304">
        <v>0</v>
      </c>
    </row>
    <row r="2305" spans="1:19">
      <c r="A2305" t="s">
        <v>35</v>
      </c>
      <c r="B2305" t="s">
        <v>3053</v>
      </c>
      <c r="C2305">
        <f>"TQ881A"</f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 s="2">
        <v>0</v>
      </c>
      <c r="M2305">
        <v>0</v>
      </c>
      <c r="N2305" s="2">
        <v>0</v>
      </c>
      <c r="O2305">
        <v>0</v>
      </c>
      <c r="P2305" t="s">
        <v>100</v>
      </c>
      <c r="Q2305">
        <v>0</v>
      </c>
      <c r="R2305" t="s">
        <v>145</v>
      </c>
      <c r="S2305">
        <v>0</v>
      </c>
    </row>
    <row r="2306" spans="1:19">
      <c r="A2306" t="s">
        <v>35</v>
      </c>
      <c r="B2306" t="s">
        <v>3052</v>
      </c>
      <c r="C2306">
        <f>"TQ881G"</f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 s="2">
        <v>0</v>
      </c>
      <c r="M2306">
        <v>0</v>
      </c>
      <c r="N2306" s="2">
        <v>0</v>
      </c>
      <c r="O2306">
        <v>0</v>
      </c>
      <c r="P2306" t="s">
        <v>100</v>
      </c>
      <c r="Q2306">
        <v>0</v>
      </c>
      <c r="R2306" t="s">
        <v>145</v>
      </c>
      <c r="S2306">
        <v>0</v>
      </c>
    </row>
    <row r="2307" spans="1:19">
      <c r="A2307" t="s">
        <v>35</v>
      </c>
      <c r="B2307" t="s">
        <v>1167</v>
      </c>
      <c r="C2307">
        <f>"TQ01031V"</f>
        <v>0</v>
      </c>
      <c r="D2307">
        <v>1</v>
      </c>
      <c r="E2307">
        <v>0</v>
      </c>
      <c r="F2307">
        <v>0</v>
      </c>
      <c r="G2307">
        <v>0</v>
      </c>
      <c r="H2307">
        <v>1</v>
      </c>
      <c r="I2307">
        <v>0</v>
      </c>
      <c r="J2307">
        <v>0</v>
      </c>
      <c r="K2307">
        <v>0</v>
      </c>
      <c r="L2307" s="2">
        <v>0</v>
      </c>
      <c r="M2307">
        <v>0</v>
      </c>
      <c r="N2307" s="2">
        <v>0</v>
      </c>
      <c r="O2307">
        <v>0</v>
      </c>
      <c r="P2307" t="s">
        <v>100</v>
      </c>
      <c r="Q2307">
        <v>0</v>
      </c>
      <c r="R2307" t="s">
        <v>145</v>
      </c>
      <c r="S2307">
        <v>0</v>
      </c>
    </row>
    <row r="2308" spans="1:19">
      <c r="A2308" t="s">
        <v>35</v>
      </c>
      <c r="B2308" t="s">
        <v>7703</v>
      </c>
      <c r="C2308">
        <f>"FB6732XLR"</f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 s="2">
        <v>0</v>
      </c>
      <c r="M2308">
        <v>0</v>
      </c>
      <c r="N2308" s="2">
        <v>0</v>
      </c>
      <c r="O2308">
        <v>0</v>
      </c>
      <c r="P2308" t="s">
        <v>100</v>
      </c>
      <c r="Q2308">
        <v>0</v>
      </c>
      <c r="R2308" t="s">
        <v>145</v>
      </c>
      <c r="S2308">
        <v>0</v>
      </c>
    </row>
    <row r="2309" spans="1:19">
      <c r="A2309" t="s">
        <v>35</v>
      </c>
      <c r="B2309" t="s">
        <v>1161</v>
      </c>
      <c r="C2309">
        <f>"KW6030MNG"</f>
        <v>0</v>
      </c>
      <c r="D2309">
        <v>0</v>
      </c>
      <c r="E2309">
        <v>1</v>
      </c>
      <c r="F2309">
        <v>0</v>
      </c>
      <c r="G2309">
        <v>0</v>
      </c>
      <c r="H2309">
        <v>1</v>
      </c>
      <c r="I2309">
        <v>0</v>
      </c>
      <c r="J2309">
        <v>0</v>
      </c>
      <c r="K2309">
        <v>0</v>
      </c>
      <c r="L2309" s="2">
        <v>0</v>
      </c>
      <c r="M2309">
        <v>0</v>
      </c>
      <c r="N2309" s="2">
        <v>0</v>
      </c>
      <c r="O2309">
        <v>0</v>
      </c>
      <c r="P2309" t="s">
        <v>100</v>
      </c>
      <c r="Q2309">
        <v>0</v>
      </c>
      <c r="R2309" t="s">
        <v>145</v>
      </c>
      <c r="S2309">
        <v>0</v>
      </c>
    </row>
    <row r="2310" spans="1:19">
      <c r="A2310" t="s">
        <v>35</v>
      </c>
      <c r="B2310" t="s">
        <v>7620</v>
      </c>
      <c r="C2310">
        <f>"KW6030SNG"</f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 s="2">
        <v>0</v>
      </c>
      <c r="M2310">
        <v>0</v>
      </c>
      <c r="N2310" s="2">
        <v>0</v>
      </c>
      <c r="O2310">
        <v>0</v>
      </c>
      <c r="P2310" t="s">
        <v>100</v>
      </c>
      <c r="Q2310">
        <v>0</v>
      </c>
      <c r="R2310" t="s">
        <v>145</v>
      </c>
      <c r="S2310">
        <v>0</v>
      </c>
    </row>
    <row r="2311" spans="1:19">
      <c r="A2311" t="s">
        <v>35</v>
      </c>
      <c r="B2311" t="s">
        <v>7656</v>
      </c>
      <c r="C2311">
        <f>"CCCL"</f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 s="2">
        <v>0</v>
      </c>
      <c r="M2311">
        <v>0</v>
      </c>
      <c r="N2311" s="2">
        <v>0</v>
      </c>
      <c r="O2311">
        <v>0</v>
      </c>
      <c r="P2311" t="s">
        <v>100</v>
      </c>
      <c r="Q2311">
        <v>0</v>
      </c>
      <c r="R2311" t="s">
        <v>145</v>
      </c>
      <c r="S2311">
        <v>0</v>
      </c>
    </row>
    <row r="2312" spans="1:19">
      <c r="A2312" t="s">
        <v>35</v>
      </c>
      <c r="B2312" t="s">
        <v>1160</v>
      </c>
      <c r="C2312">
        <f>"KW6005SN"</f>
        <v>0</v>
      </c>
      <c r="D2312">
        <v>1</v>
      </c>
      <c r="E2312">
        <v>0</v>
      </c>
      <c r="F2312">
        <v>0</v>
      </c>
      <c r="G2312">
        <v>0</v>
      </c>
      <c r="H2312">
        <v>1</v>
      </c>
      <c r="I2312">
        <v>0</v>
      </c>
      <c r="J2312">
        <v>0</v>
      </c>
      <c r="K2312">
        <v>0</v>
      </c>
      <c r="L2312" s="2">
        <v>0</v>
      </c>
      <c r="M2312">
        <v>0</v>
      </c>
      <c r="N2312" s="2">
        <v>0</v>
      </c>
      <c r="O2312">
        <v>0</v>
      </c>
      <c r="P2312" t="s">
        <v>100</v>
      </c>
      <c r="Q2312">
        <v>0</v>
      </c>
      <c r="R2312" t="s">
        <v>145</v>
      </c>
      <c r="S2312">
        <v>0</v>
      </c>
    </row>
    <row r="2313" spans="1:19">
      <c r="A2313" t="s">
        <v>35</v>
      </c>
      <c r="B2313" t="s">
        <v>1221</v>
      </c>
      <c r="C2313">
        <f>"KW6005SR"</f>
        <v>0</v>
      </c>
      <c r="D2313">
        <v>1</v>
      </c>
      <c r="E2313">
        <v>0</v>
      </c>
      <c r="F2313">
        <v>0</v>
      </c>
      <c r="G2313">
        <v>0</v>
      </c>
      <c r="H2313">
        <v>1</v>
      </c>
      <c r="I2313">
        <v>0</v>
      </c>
      <c r="J2313">
        <v>0</v>
      </c>
      <c r="K2313">
        <v>0</v>
      </c>
      <c r="L2313" s="2">
        <v>0</v>
      </c>
      <c r="M2313">
        <v>0</v>
      </c>
      <c r="N2313" s="2">
        <v>0</v>
      </c>
      <c r="O2313">
        <v>0</v>
      </c>
      <c r="P2313" t="s">
        <v>100</v>
      </c>
      <c r="Q2313">
        <v>0</v>
      </c>
      <c r="R2313" t="s">
        <v>145</v>
      </c>
      <c r="S2313">
        <v>0</v>
      </c>
    </row>
    <row r="2314" spans="1:19">
      <c r="A2314" t="s">
        <v>35</v>
      </c>
      <c r="B2314" t="s">
        <v>7662</v>
      </c>
      <c r="C2314">
        <f>"8265LA"</f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 s="2">
        <v>0</v>
      </c>
      <c r="M2314">
        <v>0</v>
      </c>
      <c r="N2314" s="2">
        <v>0</v>
      </c>
      <c r="O2314">
        <v>0</v>
      </c>
      <c r="P2314" t="s">
        <v>100</v>
      </c>
      <c r="Q2314">
        <v>0</v>
      </c>
      <c r="R2314" t="s">
        <v>145</v>
      </c>
      <c r="S2314">
        <v>0</v>
      </c>
    </row>
    <row r="2315" spans="1:19">
      <c r="A2315" t="s">
        <v>35</v>
      </c>
      <c r="B2315" t="s">
        <v>7661</v>
      </c>
      <c r="C2315">
        <f>"8323LAR"</f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 s="2">
        <v>0</v>
      </c>
      <c r="M2315">
        <v>0</v>
      </c>
      <c r="N2315" s="2">
        <v>0</v>
      </c>
      <c r="O2315">
        <v>0</v>
      </c>
      <c r="P2315" t="s">
        <v>100</v>
      </c>
      <c r="Q2315">
        <v>0</v>
      </c>
      <c r="R2315" t="s">
        <v>145</v>
      </c>
      <c r="S2315">
        <v>0</v>
      </c>
    </row>
    <row r="2316" spans="1:19">
      <c r="A2316" t="s">
        <v>35</v>
      </c>
      <c r="B2316" t="s">
        <v>7660</v>
      </c>
      <c r="C2316">
        <f>"8328LNG"</f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 s="2">
        <v>0</v>
      </c>
      <c r="M2316">
        <v>0</v>
      </c>
      <c r="N2316" s="2">
        <v>0</v>
      </c>
      <c r="O2316">
        <v>0</v>
      </c>
      <c r="P2316" t="s">
        <v>100</v>
      </c>
      <c r="Q2316">
        <v>0</v>
      </c>
      <c r="R2316" t="s">
        <v>145</v>
      </c>
      <c r="S2316">
        <v>0</v>
      </c>
    </row>
    <row r="2317" spans="1:19">
      <c r="A2317" t="s">
        <v>35</v>
      </c>
      <c r="B2317" t="s">
        <v>7659</v>
      </c>
      <c r="C2317">
        <f>"8330MAG"</f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 s="2">
        <v>0</v>
      </c>
      <c r="M2317">
        <v>0</v>
      </c>
      <c r="N2317" s="2">
        <v>0</v>
      </c>
      <c r="O2317">
        <v>0</v>
      </c>
      <c r="P2317" t="s">
        <v>100</v>
      </c>
      <c r="Q2317">
        <v>0</v>
      </c>
      <c r="R2317" t="s">
        <v>145</v>
      </c>
      <c r="S2317">
        <v>0</v>
      </c>
    </row>
    <row r="2318" spans="1:19">
      <c r="A2318" t="s">
        <v>35</v>
      </c>
      <c r="B2318" t="s">
        <v>3241</v>
      </c>
      <c r="C2318">
        <f>"CW389C"</f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 s="2">
        <v>0</v>
      </c>
      <c r="M2318">
        <v>0</v>
      </c>
      <c r="N2318" s="2">
        <v>0</v>
      </c>
      <c r="O2318">
        <v>0</v>
      </c>
      <c r="P2318" t="s">
        <v>100</v>
      </c>
      <c r="Q2318">
        <v>0</v>
      </c>
      <c r="R2318" t="s">
        <v>145</v>
      </c>
      <c r="S2318">
        <v>0</v>
      </c>
    </row>
    <row r="2319" spans="1:19">
      <c r="A2319" t="s">
        <v>35</v>
      </c>
      <c r="B2319" t="s">
        <v>7614</v>
      </c>
      <c r="C2319">
        <f>"8264MN"</f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 s="2">
        <v>0</v>
      </c>
      <c r="M2319">
        <v>0</v>
      </c>
      <c r="N2319" s="2">
        <v>0</v>
      </c>
      <c r="O2319">
        <v>0</v>
      </c>
      <c r="P2319" t="s">
        <v>100</v>
      </c>
      <c r="Q2319">
        <v>0</v>
      </c>
      <c r="R2319" t="s">
        <v>145</v>
      </c>
      <c r="S2319">
        <v>0</v>
      </c>
    </row>
    <row r="2320" spans="1:19">
      <c r="A2320" t="s">
        <v>35</v>
      </c>
      <c r="B2320" t="s">
        <v>1216</v>
      </c>
      <c r="C2320">
        <f>"8325MNG"</f>
        <v>0</v>
      </c>
      <c r="D2320">
        <v>1</v>
      </c>
      <c r="E2320">
        <v>0</v>
      </c>
      <c r="F2320">
        <v>0</v>
      </c>
      <c r="G2320">
        <v>0</v>
      </c>
      <c r="H2320">
        <v>1</v>
      </c>
      <c r="I2320">
        <v>0</v>
      </c>
      <c r="J2320">
        <v>0</v>
      </c>
      <c r="K2320">
        <v>0</v>
      </c>
      <c r="L2320" s="2">
        <v>0</v>
      </c>
      <c r="M2320">
        <v>0</v>
      </c>
      <c r="N2320" s="2">
        <v>0</v>
      </c>
      <c r="O2320">
        <v>0</v>
      </c>
      <c r="P2320" t="s">
        <v>100</v>
      </c>
      <c r="Q2320">
        <v>0</v>
      </c>
      <c r="R2320" t="s">
        <v>145</v>
      </c>
      <c r="S2320">
        <v>0</v>
      </c>
    </row>
    <row r="2321" spans="1:19">
      <c r="A2321" t="s">
        <v>35</v>
      </c>
      <c r="B2321" t="s">
        <v>7612</v>
      </c>
      <c r="C2321">
        <f>"29695803970"</f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 s="2">
        <v>0</v>
      </c>
      <c r="M2321">
        <v>0</v>
      </c>
      <c r="N2321" s="2">
        <v>0</v>
      </c>
      <c r="O2321">
        <v>0</v>
      </c>
      <c r="P2321" t="s">
        <v>100</v>
      </c>
      <c r="Q2321">
        <v>0</v>
      </c>
      <c r="R2321" t="s">
        <v>145</v>
      </c>
      <c r="S2321">
        <v>0</v>
      </c>
    </row>
    <row r="2322" spans="1:19">
      <c r="A2322" t="s">
        <v>35</v>
      </c>
      <c r="B2322" t="s">
        <v>7611</v>
      </c>
      <c r="C2322">
        <f>"AX0159L"</f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 s="2">
        <v>0</v>
      </c>
      <c r="M2322">
        <v>0</v>
      </c>
      <c r="N2322" s="2">
        <v>0</v>
      </c>
      <c r="O2322">
        <v>0</v>
      </c>
      <c r="P2322" t="s">
        <v>100</v>
      </c>
      <c r="Q2322">
        <v>0</v>
      </c>
      <c r="R2322" t="s">
        <v>145</v>
      </c>
      <c r="S2322">
        <v>0</v>
      </c>
    </row>
    <row r="2323" spans="1:19">
      <c r="A2323" t="s">
        <v>35</v>
      </c>
      <c r="B2323" t="s">
        <v>7651</v>
      </c>
      <c r="C2323">
        <f>"AX0159M"</f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 s="2">
        <v>0</v>
      </c>
      <c r="M2323">
        <v>0</v>
      </c>
      <c r="N2323" s="2">
        <v>0</v>
      </c>
      <c r="O2323">
        <v>0</v>
      </c>
      <c r="P2323" t="s">
        <v>100</v>
      </c>
      <c r="Q2323">
        <v>0</v>
      </c>
      <c r="R2323" t="s">
        <v>145</v>
      </c>
      <c r="S2323">
        <v>0</v>
      </c>
    </row>
    <row r="2324" spans="1:19">
      <c r="A2324" t="s">
        <v>35</v>
      </c>
      <c r="B2324" t="s">
        <v>7676</v>
      </c>
      <c r="C2324">
        <f>"KW6003L"</f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 s="2">
        <v>0</v>
      </c>
      <c r="M2324">
        <v>0</v>
      </c>
      <c r="N2324" s="2">
        <v>0</v>
      </c>
      <c r="O2324">
        <v>0</v>
      </c>
      <c r="P2324" t="s">
        <v>100</v>
      </c>
      <c r="Q2324">
        <v>0</v>
      </c>
      <c r="R2324" t="s">
        <v>145</v>
      </c>
      <c r="S2324">
        <v>0</v>
      </c>
    </row>
    <row r="2325" spans="1:19">
      <c r="A2325" t="s">
        <v>35</v>
      </c>
      <c r="B2325" t="s">
        <v>7675</v>
      </c>
      <c r="C2325">
        <f>"KW6003M"</f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 s="2">
        <v>0</v>
      </c>
      <c r="M2325">
        <v>0</v>
      </c>
      <c r="N2325" s="2">
        <v>0</v>
      </c>
      <c r="O2325">
        <v>0</v>
      </c>
      <c r="P2325" t="s">
        <v>100</v>
      </c>
      <c r="Q2325">
        <v>0</v>
      </c>
      <c r="R2325" t="s">
        <v>145</v>
      </c>
      <c r="S2325">
        <v>0</v>
      </c>
    </row>
    <row r="2326" spans="1:19">
      <c r="A2326" t="s">
        <v>35</v>
      </c>
      <c r="B2326" t="s">
        <v>7674</v>
      </c>
      <c r="C2326">
        <f>"KW6003S"</f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 s="2">
        <v>0</v>
      </c>
      <c r="M2326">
        <v>0</v>
      </c>
      <c r="N2326" s="2">
        <v>0</v>
      </c>
      <c r="O2326">
        <v>0</v>
      </c>
      <c r="P2326" t="s">
        <v>100</v>
      </c>
      <c r="Q2326">
        <v>0</v>
      </c>
      <c r="R2326" t="s">
        <v>145</v>
      </c>
      <c r="S2326">
        <v>0</v>
      </c>
    </row>
    <row r="2327" spans="1:19">
      <c r="A2327" t="s">
        <v>35</v>
      </c>
      <c r="B2327" t="s">
        <v>7673</v>
      </c>
      <c r="C2327">
        <f>"KW6017L"</f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 s="2">
        <v>0</v>
      </c>
      <c r="M2327">
        <v>0</v>
      </c>
      <c r="N2327" s="2">
        <v>0</v>
      </c>
      <c r="O2327">
        <v>0</v>
      </c>
      <c r="P2327" t="s">
        <v>100</v>
      </c>
      <c r="Q2327">
        <v>0</v>
      </c>
      <c r="R2327" t="s">
        <v>145</v>
      </c>
      <c r="S2327">
        <v>0</v>
      </c>
    </row>
    <row r="2328" spans="1:19">
      <c r="A2328" t="s">
        <v>35</v>
      </c>
      <c r="B2328" t="s">
        <v>7582</v>
      </c>
      <c r="C2328">
        <f>"8455S"</f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 s="2">
        <v>0</v>
      </c>
      <c r="M2328">
        <v>0</v>
      </c>
      <c r="N2328" s="2">
        <v>0</v>
      </c>
      <c r="O2328">
        <v>0</v>
      </c>
      <c r="P2328" t="s">
        <v>100</v>
      </c>
      <c r="Q2328">
        <v>0</v>
      </c>
      <c r="R2328" t="s">
        <v>145</v>
      </c>
      <c r="S2328">
        <v>0</v>
      </c>
    </row>
    <row r="2329" spans="1:19">
      <c r="A2329" t="s">
        <v>35</v>
      </c>
      <c r="B2329" t="s">
        <v>7657</v>
      </c>
      <c r="C2329">
        <f>"8319MGV"</f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 s="2">
        <v>0</v>
      </c>
      <c r="M2329">
        <v>0</v>
      </c>
      <c r="N2329" s="2">
        <v>0</v>
      </c>
      <c r="O2329">
        <v>0</v>
      </c>
      <c r="P2329" t="s">
        <v>100</v>
      </c>
      <c r="Q2329">
        <v>0</v>
      </c>
      <c r="R2329" t="s">
        <v>145</v>
      </c>
      <c r="S2329">
        <v>0</v>
      </c>
    </row>
    <row r="2330" spans="1:19">
      <c r="A2330" t="s">
        <v>35</v>
      </c>
      <c r="B2330" t="s">
        <v>3248</v>
      </c>
      <c r="C2330">
        <f>"KE3292H"</f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 s="2">
        <v>0</v>
      </c>
      <c r="M2330">
        <v>0</v>
      </c>
      <c r="N2330" s="2">
        <v>0</v>
      </c>
      <c r="O2330">
        <v>0</v>
      </c>
      <c r="P2330" t="s">
        <v>100</v>
      </c>
      <c r="Q2330">
        <v>0</v>
      </c>
      <c r="R2330" t="s">
        <v>145</v>
      </c>
      <c r="S2330">
        <v>0</v>
      </c>
    </row>
    <row r="2331" spans="1:19">
      <c r="A2331" t="s">
        <v>35</v>
      </c>
      <c r="B2331" t="s">
        <v>3235</v>
      </c>
      <c r="C2331">
        <f>"LYC02002"</f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 s="2">
        <v>0</v>
      </c>
      <c r="M2331">
        <v>0</v>
      </c>
      <c r="N2331" s="2">
        <v>0</v>
      </c>
      <c r="O2331">
        <v>0</v>
      </c>
      <c r="P2331" t="s">
        <v>100</v>
      </c>
      <c r="Q2331">
        <v>0</v>
      </c>
      <c r="R2331" t="s">
        <v>145</v>
      </c>
      <c r="S2331">
        <v>0</v>
      </c>
    </row>
    <row r="2332" spans="1:19">
      <c r="A2332" t="s">
        <v>35</v>
      </c>
      <c r="B2332" t="s">
        <v>3185</v>
      </c>
      <c r="C2332">
        <f>"D134S"</f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 s="2">
        <v>0</v>
      </c>
      <c r="M2332">
        <v>0</v>
      </c>
      <c r="N2332" s="2">
        <v>0</v>
      </c>
      <c r="O2332">
        <v>0</v>
      </c>
      <c r="P2332" t="s">
        <v>100</v>
      </c>
      <c r="Q2332">
        <v>0</v>
      </c>
      <c r="R2332" t="s">
        <v>145</v>
      </c>
      <c r="S2332">
        <v>0</v>
      </c>
    </row>
    <row r="2333" spans="1:19">
      <c r="A2333" t="s">
        <v>35</v>
      </c>
      <c r="B2333" t="s">
        <v>3184</v>
      </c>
      <c r="C2333">
        <f>"D132"</f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 s="2">
        <v>0</v>
      </c>
      <c r="M2333">
        <v>0</v>
      </c>
      <c r="N2333" s="2">
        <v>0</v>
      </c>
      <c r="O2333">
        <v>0</v>
      </c>
      <c r="P2333" t="s">
        <v>100</v>
      </c>
      <c r="Q2333">
        <v>0</v>
      </c>
      <c r="R2333" t="s">
        <v>145</v>
      </c>
      <c r="S2333">
        <v>0</v>
      </c>
    </row>
    <row r="2334" spans="1:19">
      <c r="A2334" t="s">
        <v>35</v>
      </c>
      <c r="B2334" t="s">
        <v>3183</v>
      </c>
      <c r="C2334">
        <f>"D130"</f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 s="2">
        <v>0</v>
      </c>
      <c r="M2334">
        <v>0</v>
      </c>
      <c r="N2334" s="2">
        <v>0</v>
      </c>
      <c r="O2334">
        <v>0</v>
      </c>
      <c r="P2334" t="s">
        <v>100</v>
      </c>
      <c r="Q2334">
        <v>0</v>
      </c>
      <c r="R2334" t="s">
        <v>145</v>
      </c>
      <c r="S2334">
        <v>0</v>
      </c>
    </row>
    <row r="2335" spans="1:19">
      <c r="A2335" t="s">
        <v>35</v>
      </c>
      <c r="B2335" t="s">
        <v>3171</v>
      </c>
      <c r="C2335">
        <f>"D131"</f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 s="2">
        <v>0</v>
      </c>
      <c r="M2335">
        <v>0</v>
      </c>
      <c r="N2335" s="2">
        <v>0</v>
      </c>
      <c r="O2335">
        <v>0</v>
      </c>
      <c r="P2335" t="s">
        <v>100</v>
      </c>
      <c r="Q2335">
        <v>0</v>
      </c>
      <c r="R2335" t="s">
        <v>145</v>
      </c>
      <c r="S2335">
        <v>0</v>
      </c>
    </row>
    <row r="2336" spans="1:19">
      <c r="A2336" t="s">
        <v>35</v>
      </c>
      <c r="B2336" t="s">
        <v>3168</v>
      </c>
      <c r="C2336">
        <f>"169R"</f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 s="2">
        <v>0</v>
      </c>
      <c r="M2336">
        <v>0</v>
      </c>
      <c r="N2336" s="2">
        <v>0</v>
      </c>
      <c r="O2336">
        <v>0</v>
      </c>
      <c r="P2336" t="s">
        <v>100</v>
      </c>
      <c r="Q2336">
        <v>0</v>
      </c>
      <c r="R2336" t="s">
        <v>145</v>
      </c>
      <c r="S2336">
        <v>0</v>
      </c>
    </row>
    <row r="2337" spans="1:19">
      <c r="A2337" t="s">
        <v>35</v>
      </c>
      <c r="B2337" t="s">
        <v>3167</v>
      </c>
      <c r="C2337">
        <f>"169V"</f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 s="2">
        <v>0</v>
      </c>
      <c r="M2337">
        <v>0</v>
      </c>
      <c r="N2337" s="2">
        <v>0</v>
      </c>
      <c r="O2337">
        <v>0</v>
      </c>
      <c r="P2337" t="s">
        <v>100</v>
      </c>
      <c r="Q2337">
        <v>0</v>
      </c>
      <c r="R2337" t="s">
        <v>145</v>
      </c>
      <c r="S2337">
        <v>0</v>
      </c>
    </row>
    <row r="2338" spans="1:19">
      <c r="A2338" t="s">
        <v>35</v>
      </c>
      <c r="B2338" t="s">
        <v>1297</v>
      </c>
      <c r="C2338">
        <f>"168C"</f>
        <v>0</v>
      </c>
      <c r="D2338">
        <v>0</v>
      </c>
      <c r="E2338">
        <v>0</v>
      </c>
      <c r="F2338">
        <v>1</v>
      </c>
      <c r="G2338">
        <v>0</v>
      </c>
      <c r="H2338">
        <v>1</v>
      </c>
      <c r="I2338">
        <v>0</v>
      </c>
      <c r="J2338">
        <v>0</v>
      </c>
      <c r="K2338">
        <v>0</v>
      </c>
      <c r="L2338" s="2">
        <v>0</v>
      </c>
      <c r="M2338">
        <v>0</v>
      </c>
      <c r="N2338" s="2">
        <v>0</v>
      </c>
      <c r="O2338">
        <v>0</v>
      </c>
      <c r="P2338" t="s">
        <v>100</v>
      </c>
      <c r="Q2338">
        <v>0</v>
      </c>
      <c r="R2338" t="s">
        <v>145</v>
      </c>
      <c r="S2338">
        <v>0</v>
      </c>
    </row>
    <row r="2339" spans="1:19">
      <c r="A2339" t="s">
        <v>35</v>
      </c>
      <c r="B2339" t="s">
        <v>7672</v>
      </c>
      <c r="C2339">
        <f>"KW6017M"</f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 s="2">
        <v>0</v>
      </c>
      <c r="M2339">
        <v>0</v>
      </c>
      <c r="N2339" s="2">
        <v>0</v>
      </c>
      <c r="O2339">
        <v>0</v>
      </c>
      <c r="P2339" t="s">
        <v>100</v>
      </c>
      <c r="Q2339">
        <v>0</v>
      </c>
      <c r="R2339" t="s">
        <v>145</v>
      </c>
      <c r="S2339">
        <v>0</v>
      </c>
    </row>
    <row r="2340" spans="1:19">
      <c r="A2340" t="s">
        <v>35</v>
      </c>
      <c r="B2340" t="s">
        <v>1147</v>
      </c>
      <c r="C2340">
        <f>"KW6030SMR"</f>
        <v>0</v>
      </c>
      <c r="D2340">
        <v>0</v>
      </c>
      <c r="E2340">
        <v>1</v>
      </c>
      <c r="F2340">
        <v>0</v>
      </c>
      <c r="G2340">
        <v>0</v>
      </c>
      <c r="H2340">
        <v>1</v>
      </c>
      <c r="I2340">
        <v>0</v>
      </c>
      <c r="J2340">
        <v>0</v>
      </c>
      <c r="K2340">
        <v>0</v>
      </c>
      <c r="L2340" s="2">
        <v>0</v>
      </c>
      <c r="M2340">
        <v>0</v>
      </c>
      <c r="N2340" s="2">
        <v>0</v>
      </c>
      <c r="O2340">
        <v>0</v>
      </c>
      <c r="P2340" t="s">
        <v>100</v>
      </c>
      <c r="Q2340">
        <v>0</v>
      </c>
      <c r="R2340" t="s">
        <v>145</v>
      </c>
      <c r="S2340">
        <v>0</v>
      </c>
    </row>
    <row r="2341" spans="1:19">
      <c r="A2341" t="s">
        <v>35</v>
      </c>
      <c r="B2341" t="s">
        <v>7669</v>
      </c>
      <c r="C2341">
        <f>"KW6005LG"</f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 s="2">
        <v>0</v>
      </c>
      <c r="M2341">
        <v>0</v>
      </c>
      <c r="N2341" s="2">
        <v>0</v>
      </c>
      <c r="O2341">
        <v>0</v>
      </c>
      <c r="P2341" t="s">
        <v>100</v>
      </c>
      <c r="Q2341">
        <v>0</v>
      </c>
      <c r="R2341" t="s">
        <v>145</v>
      </c>
      <c r="S2341">
        <v>0</v>
      </c>
    </row>
    <row r="2342" spans="1:19">
      <c r="A2342" t="s">
        <v>35</v>
      </c>
      <c r="B2342" t="s">
        <v>7581</v>
      </c>
      <c r="C2342">
        <f>"KW6005LN"</f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 s="2">
        <v>0</v>
      </c>
      <c r="M2342">
        <v>0</v>
      </c>
      <c r="N2342" s="2">
        <v>0</v>
      </c>
      <c r="O2342">
        <v>0</v>
      </c>
      <c r="P2342" t="s">
        <v>100</v>
      </c>
      <c r="Q2342">
        <v>0</v>
      </c>
      <c r="R2342" t="s">
        <v>145</v>
      </c>
      <c r="S2342">
        <v>0</v>
      </c>
    </row>
    <row r="2343" spans="1:19">
      <c r="A2343" t="s">
        <v>35</v>
      </c>
      <c r="B2343" t="s">
        <v>7580</v>
      </c>
      <c r="C2343">
        <f>"KW6005LR"</f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 s="2">
        <v>0</v>
      </c>
      <c r="M2343">
        <v>0</v>
      </c>
      <c r="N2343" s="2">
        <v>0</v>
      </c>
      <c r="O2343">
        <v>0</v>
      </c>
      <c r="P2343" t="s">
        <v>100</v>
      </c>
      <c r="Q2343">
        <v>0</v>
      </c>
      <c r="R2343" t="s">
        <v>145</v>
      </c>
      <c r="S2343">
        <v>0</v>
      </c>
    </row>
    <row r="2344" spans="1:19">
      <c r="A2344" t="s">
        <v>35</v>
      </c>
      <c r="B2344" t="s">
        <v>1219</v>
      </c>
      <c r="C2344">
        <f>"KW6005M"</f>
        <v>0</v>
      </c>
      <c r="D2344">
        <v>1</v>
      </c>
      <c r="E2344">
        <v>0</v>
      </c>
      <c r="F2344">
        <v>0</v>
      </c>
      <c r="G2344">
        <v>0</v>
      </c>
      <c r="H2344">
        <v>1</v>
      </c>
      <c r="I2344">
        <v>0</v>
      </c>
      <c r="J2344">
        <v>0</v>
      </c>
      <c r="K2344">
        <v>0</v>
      </c>
      <c r="L2344" s="2">
        <v>0</v>
      </c>
      <c r="M2344">
        <v>0</v>
      </c>
      <c r="N2344" s="2">
        <v>0</v>
      </c>
      <c r="O2344">
        <v>0</v>
      </c>
      <c r="P2344" t="s">
        <v>100</v>
      </c>
      <c r="Q2344">
        <v>0</v>
      </c>
      <c r="R2344" t="s">
        <v>145</v>
      </c>
      <c r="S2344">
        <v>0</v>
      </c>
    </row>
    <row r="2345" spans="1:19">
      <c r="A2345" t="s">
        <v>35</v>
      </c>
      <c r="B2345" t="s">
        <v>7579</v>
      </c>
      <c r="C2345">
        <f>"KW6005MG"</f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 s="2">
        <v>0</v>
      </c>
      <c r="M2345">
        <v>0</v>
      </c>
      <c r="N2345" s="2">
        <v>0</v>
      </c>
      <c r="O2345">
        <v>0</v>
      </c>
      <c r="P2345" t="s">
        <v>100</v>
      </c>
      <c r="Q2345">
        <v>0</v>
      </c>
      <c r="R2345" t="s">
        <v>145</v>
      </c>
      <c r="S2345">
        <v>0</v>
      </c>
    </row>
    <row r="2346" spans="1:19">
      <c r="A2346" t="s">
        <v>35</v>
      </c>
      <c r="B2346" t="s">
        <v>7578</v>
      </c>
      <c r="C2346">
        <f>"KW6005MN"</f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 s="2">
        <v>0</v>
      </c>
      <c r="M2346">
        <v>0</v>
      </c>
      <c r="N2346" s="2">
        <v>0</v>
      </c>
      <c r="O2346">
        <v>0</v>
      </c>
      <c r="P2346" t="s">
        <v>100</v>
      </c>
      <c r="Q2346">
        <v>0</v>
      </c>
      <c r="R2346" t="s">
        <v>145</v>
      </c>
      <c r="S2346">
        <v>0</v>
      </c>
    </row>
    <row r="2347" spans="1:19">
      <c r="A2347" t="s">
        <v>35</v>
      </c>
      <c r="B2347" t="s">
        <v>7775</v>
      </c>
      <c r="C2347">
        <f>"KR1001L"</f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 s="2">
        <v>0</v>
      </c>
      <c r="M2347">
        <v>0</v>
      </c>
      <c r="N2347" s="2">
        <v>0</v>
      </c>
      <c r="O2347">
        <v>0</v>
      </c>
      <c r="P2347" t="s">
        <v>100</v>
      </c>
      <c r="Q2347">
        <v>0</v>
      </c>
      <c r="R2347" t="s">
        <v>145</v>
      </c>
      <c r="S2347">
        <v>0</v>
      </c>
    </row>
    <row r="2348" spans="1:19">
      <c r="A2348" t="s">
        <v>35</v>
      </c>
      <c r="B2348" t="s">
        <v>7758</v>
      </c>
      <c r="C2348">
        <f>"KR1001M"</f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 s="2">
        <v>0</v>
      </c>
      <c r="M2348">
        <v>0</v>
      </c>
      <c r="N2348" s="2">
        <v>0</v>
      </c>
      <c r="O2348">
        <v>0</v>
      </c>
      <c r="P2348" t="s">
        <v>100</v>
      </c>
      <c r="Q2348">
        <v>0</v>
      </c>
      <c r="R2348" t="s">
        <v>145</v>
      </c>
      <c r="S2348">
        <v>0</v>
      </c>
    </row>
    <row r="2349" spans="1:19">
      <c r="A2349" t="s">
        <v>35</v>
      </c>
      <c r="B2349" t="s">
        <v>7711</v>
      </c>
      <c r="C2349">
        <f>"KR1001XL"</f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 s="2">
        <v>0</v>
      </c>
      <c r="M2349">
        <v>0</v>
      </c>
      <c r="N2349" s="2">
        <v>0</v>
      </c>
      <c r="O2349">
        <v>0</v>
      </c>
      <c r="P2349" t="s">
        <v>100</v>
      </c>
      <c r="Q2349">
        <v>0</v>
      </c>
      <c r="R2349" t="s">
        <v>145</v>
      </c>
      <c r="S2349">
        <v>0</v>
      </c>
    </row>
    <row r="2350" spans="1:19">
      <c r="A2350" t="s">
        <v>35</v>
      </c>
      <c r="B2350" t="s">
        <v>1173</v>
      </c>
      <c r="C2350">
        <f>"KW6030MMR"</f>
        <v>0</v>
      </c>
      <c r="D2350">
        <v>0</v>
      </c>
      <c r="E2350">
        <v>0</v>
      </c>
      <c r="F2350">
        <v>1</v>
      </c>
      <c r="G2350">
        <v>0</v>
      </c>
      <c r="H2350">
        <v>1</v>
      </c>
      <c r="I2350">
        <v>0</v>
      </c>
      <c r="J2350">
        <v>0</v>
      </c>
      <c r="K2350">
        <v>0</v>
      </c>
      <c r="L2350" s="2">
        <v>0</v>
      </c>
      <c r="M2350">
        <v>0</v>
      </c>
      <c r="N2350" s="2">
        <v>0</v>
      </c>
      <c r="O2350">
        <v>0</v>
      </c>
      <c r="P2350" t="s">
        <v>100</v>
      </c>
      <c r="Q2350">
        <v>0</v>
      </c>
      <c r="R2350" t="s">
        <v>145</v>
      </c>
      <c r="S2350">
        <v>0</v>
      </c>
    </row>
    <row r="2351" spans="1:19">
      <c r="A2351" t="s">
        <v>35</v>
      </c>
      <c r="B2351" t="s">
        <v>7670</v>
      </c>
      <c r="C2351">
        <f>"KW6005L"</f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 s="2">
        <v>0</v>
      </c>
      <c r="M2351">
        <v>0</v>
      </c>
      <c r="N2351" s="2">
        <v>0</v>
      </c>
      <c r="O2351">
        <v>0</v>
      </c>
      <c r="P2351" t="s">
        <v>100</v>
      </c>
      <c r="Q2351">
        <v>0</v>
      </c>
      <c r="R2351" t="s">
        <v>145</v>
      </c>
      <c r="S2351">
        <v>0</v>
      </c>
    </row>
    <row r="2352" spans="1:19">
      <c r="A2352" t="s">
        <v>35</v>
      </c>
      <c r="B2352" t="s">
        <v>7759</v>
      </c>
      <c r="C2352">
        <f>"KM4050GR"</f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 s="2">
        <v>0</v>
      </c>
      <c r="M2352">
        <v>0</v>
      </c>
      <c r="N2352" s="2">
        <v>0</v>
      </c>
      <c r="O2352">
        <v>0</v>
      </c>
      <c r="P2352" t="s">
        <v>100</v>
      </c>
      <c r="Q2352">
        <v>0</v>
      </c>
      <c r="R2352" t="s">
        <v>145</v>
      </c>
      <c r="S2352">
        <v>0</v>
      </c>
    </row>
    <row r="2353" spans="1:19">
      <c r="A2353" t="s">
        <v>35</v>
      </c>
      <c r="B2353" t="s">
        <v>7634</v>
      </c>
      <c r="C2353">
        <f>"AX0159S"</f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 s="2">
        <v>0</v>
      </c>
      <c r="M2353">
        <v>0</v>
      </c>
      <c r="N2353" s="2">
        <v>0</v>
      </c>
      <c r="O2353">
        <v>0</v>
      </c>
      <c r="P2353" t="s">
        <v>100</v>
      </c>
      <c r="Q2353">
        <v>0</v>
      </c>
      <c r="R2353" t="s">
        <v>145</v>
      </c>
      <c r="S2353">
        <v>0</v>
      </c>
    </row>
    <row r="2354" spans="1:19">
      <c r="A2354" t="s">
        <v>35</v>
      </c>
      <c r="B2354" t="s">
        <v>7587</v>
      </c>
      <c r="C2354">
        <f>"8333"</f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 s="2">
        <v>0</v>
      </c>
      <c r="M2354">
        <v>0</v>
      </c>
      <c r="N2354" s="2">
        <v>0</v>
      </c>
      <c r="O2354">
        <v>0</v>
      </c>
      <c r="P2354" t="s">
        <v>100</v>
      </c>
      <c r="Q2354">
        <v>0</v>
      </c>
      <c r="R2354" t="s">
        <v>145</v>
      </c>
      <c r="S2354">
        <v>0</v>
      </c>
    </row>
    <row r="2355" spans="1:19">
      <c r="A2355" t="s">
        <v>35</v>
      </c>
      <c r="B2355" t="s">
        <v>7586</v>
      </c>
      <c r="C2355">
        <f>"8344"</f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 s="2">
        <v>0</v>
      </c>
      <c r="M2355">
        <v>0</v>
      </c>
      <c r="N2355" s="2">
        <v>0</v>
      </c>
      <c r="O2355">
        <v>0</v>
      </c>
      <c r="P2355" t="s">
        <v>100</v>
      </c>
      <c r="Q2355">
        <v>0</v>
      </c>
      <c r="R2355" t="s">
        <v>145</v>
      </c>
      <c r="S2355">
        <v>0</v>
      </c>
    </row>
    <row r="2356" spans="1:19">
      <c r="A2356" t="s">
        <v>35</v>
      </c>
      <c r="B2356" t="s">
        <v>1220</v>
      </c>
      <c r="C2356">
        <f>"8420"</f>
        <v>0</v>
      </c>
      <c r="D2356">
        <v>1</v>
      </c>
      <c r="E2356">
        <v>0</v>
      </c>
      <c r="F2356">
        <v>0</v>
      </c>
      <c r="G2356">
        <v>0</v>
      </c>
      <c r="H2356">
        <v>1</v>
      </c>
      <c r="I2356">
        <v>0</v>
      </c>
      <c r="J2356">
        <v>0</v>
      </c>
      <c r="K2356">
        <v>0</v>
      </c>
      <c r="L2356" s="2">
        <v>0</v>
      </c>
      <c r="M2356">
        <v>0</v>
      </c>
      <c r="N2356" s="2">
        <v>0</v>
      </c>
      <c r="O2356">
        <v>0</v>
      </c>
      <c r="P2356" t="s">
        <v>100</v>
      </c>
      <c r="Q2356">
        <v>0</v>
      </c>
      <c r="R2356" t="s">
        <v>145</v>
      </c>
      <c r="S2356">
        <v>0</v>
      </c>
    </row>
    <row r="2357" spans="1:19">
      <c r="A2357" t="s">
        <v>35</v>
      </c>
      <c r="B2357" t="s">
        <v>3229</v>
      </c>
      <c r="C2357">
        <f>"10021VE"</f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 s="2">
        <v>0</v>
      </c>
      <c r="M2357">
        <v>0</v>
      </c>
      <c r="N2357" s="2">
        <v>0</v>
      </c>
      <c r="O2357">
        <v>0</v>
      </c>
      <c r="P2357" t="s">
        <v>100</v>
      </c>
      <c r="Q2357">
        <v>0</v>
      </c>
      <c r="R2357" t="s">
        <v>145</v>
      </c>
      <c r="S2357">
        <v>0</v>
      </c>
    </row>
    <row r="2358" spans="1:19">
      <c r="A2358" t="s">
        <v>35</v>
      </c>
      <c r="B2358" t="s">
        <v>3257</v>
      </c>
      <c r="C2358">
        <f>"TQ871ROS"</f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 s="2">
        <v>0</v>
      </c>
      <c r="M2358">
        <v>0</v>
      </c>
      <c r="N2358" s="2">
        <v>0</v>
      </c>
      <c r="O2358">
        <v>0</v>
      </c>
      <c r="P2358" t="s">
        <v>100</v>
      </c>
      <c r="Q2358">
        <v>0</v>
      </c>
      <c r="R2358" t="s">
        <v>145</v>
      </c>
      <c r="S2358">
        <v>0</v>
      </c>
    </row>
    <row r="2359" spans="1:19">
      <c r="A2359" t="s">
        <v>35</v>
      </c>
      <c r="B2359" t="s">
        <v>3254</v>
      </c>
      <c r="C2359">
        <f>"TQ871R"</f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 s="2">
        <v>0</v>
      </c>
      <c r="M2359">
        <v>0</v>
      </c>
      <c r="N2359" s="2">
        <v>0</v>
      </c>
      <c r="O2359">
        <v>0</v>
      </c>
      <c r="P2359" t="s">
        <v>100</v>
      </c>
      <c r="Q2359">
        <v>0</v>
      </c>
      <c r="R2359" t="s">
        <v>145</v>
      </c>
      <c r="S2359">
        <v>0</v>
      </c>
    </row>
    <row r="2360" spans="1:19">
      <c r="A2360" t="s">
        <v>35</v>
      </c>
      <c r="B2360" t="s">
        <v>3224</v>
      </c>
      <c r="C2360">
        <f>"416001R"</f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 s="2">
        <v>0</v>
      </c>
      <c r="M2360">
        <v>0</v>
      </c>
      <c r="N2360" s="2">
        <v>0</v>
      </c>
      <c r="O2360">
        <v>0</v>
      </c>
      <c r="P2360" t="s">
        <v>100</v>
      </c>
      <c r="Q2360">
        <v>0</v>
      </c>
      <c r="R2360" t="s">
        <v>145</v>
      </c>
      <c r="S2360">
        <v>0</v>
      </c>
    </row>
    <row r="2361" spans="1:19">
      <c r="A2361" t="s">
        <v>35</v>
      </c>
      <c r="B2361" t="s">
        <v>3222</v>
      </c>
      <c r="C2361">
        <f>"416001A"</f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 s="2">
        <v>0</v>
      </c>
      <c r="M2361">
        <v>0</v>
      </c>
      <c r="N2361" s="2">
        <v>0</v>
      </c>
      <c r="O2361">
        <v>0</v>
      </c>
      <c r="P2361" t="s">
        <v>100</v>
      </c>
      <c r="Q2361">
        <v>0</v>
      </c>
      <c r="R2361" t="s">
        <v>145</v>
      </c>
      <c r="S2361">
        <v>0</v>
      </c>
    </row>
    <row r="2362" spans="1:19">
      <c r="A2362" t="s">
        <v>35</v>
      </c>
      <c r="B2362" t="s">
        <v>7604</v>
      </c>
      <c r="C2362">
        <f>"AX0028"</f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 s="2">
        <v>0</v>
      </c>
      <c r="M2362">
        <v>0</v>
      </c>
      <c r="N2362" s="2">
        <v>0</v>
      </c>
      <c r="O2362">
        <v>0</v>
      </c>
      <c r="P2362" t="s">
        <v>100</v>
      </c>
      <c r="Q2362">
        <v>0</v>
      </c>
      <c r="R2362" t="s">
        <v>145</v>
      </c>
      <c r="S2362">
        <v>0</v>
      </c>
    </row>
    <row r="2363" spans="1:19">
      <c r="A2363" t="s">
        <v>35</v>
      </c>
      <c r="B2363" t="s">
        <v>7599</v>
      </c>
      <c r="C2363">
        <f>"KM5090CE"</f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 s="2">
        <v>0</v>
      </c>
      <c r="M2363">
        <v>0</v>
      </c>
      <c r="N2363" s="2">
        <v>0</v>
      </c>
      <c r="O2363">
        <v>0</v>
      </c>
      <c r="P2363" t="s">
        <v>100</v>
      </c>
      <c r="Q2363">
        <v>0</v>
      </c>
      <c r="R2363" t="s">
        <v>145</v>
      </c>
      <c r="S2363">
        <v>0</v>
      </c>
    </row>
    <row r="2364" spans="1:19">
      <c r="A2364" t="s">
        <v>35</v>
      </c>
      <c r="B2364" t="s">
        <v>7749</v>
      </c>
      <c r="C2364">
        <f>"JXV18050"</f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 s="2">
        <v>0</v>
      </c>
      <c r="M2364">
        <v>0</v>
      </c>
      <c r="N2364" s="2">
        <v>0</v>
      </c>
      <c r="O2364">
        <v>0</v>
      </c>
      <c r="P2364" t="s">
        <v>100</v>
      </c>
      <c r="Q2364">
        <v>0</v>
      </c>
      <c r="R2364" t="s">
        <v>145</v>
      </c>
      <c r="S2364">
        <v>0</v>
      </c>
    </row>
    <row r="2365" spans="1:19">
      <c r="A2365" t="s">
        <v>35</v>
      </c>
      <c r="B2365" t="s">
        <v>7771</v>
      </c>
      <c r="C2365">
        <f>"187A543XLBL"</f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 s="2">
        <v>0</v>
      </c>
      <c r="M2365">
        <v>0</v>
      </c>
      <c r="N2365" s="2">
        <v>0</v>
      </c>
      <c r="O2365">
        <v>0</v>
      </c>
      <c r="P2365" t="s">
        <v>100</v>
      </c>
      <c r="Q2365">
        <v>0</v>
      </c>
      <c r="R2365" t="s">
        <v>145</v>
      </c>
      <c r="S2365">
        <v>0</v>
      </c>
    </row>
    <row r="2366" spans="1:19">
      <c r="A2366" t="s">
        <v>35</v>
      </c>
      <c r="B2366" t="s">
        <v>3274</v>
      </c>
      <c r="C2366">
        <f>"BO3139HACO"</f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 s="2">
        <v>0</v>
      </c>
      <c r="M2366">
        <v>0</v>
      </c>
      <c r="N2366" s="2">
        <v>0</v>
      </c>
      <c r="O2366">
        <v>0</v>
      </c>
      <c r="P2366" t="s">
        <v>100</v>
      </c>
      <c r="Q2366">
        <v>0</v>
      </c>
      <c r="R2366" t="s">
        <v>145</v>
      </c>
      <c r="S2366">
        <v>0</v>
      </c>
    </row>
    <row r="2367" spans="1:19">
      <c r="A2367" t="s">
        <v>35</v>
      </c>
      <c r="B2367" t="s">
        <v>3273</v>
      </c>
      <c r="C2367">
        <f>"BO3134HA5D"</f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 s="2">
        <v>0</v>
      </c>
      <c r="M2367">
        <v>0</v>
      </c>
      <c r="N2367" s="2">
        <v>0</v>
      </c>
      <c r="O2367">
        <v>0</v>
      </c>
      <c r="P2367" t="s">
        <v>100</v>
      </c>
      <c r="Q2367">
        <v>0</v>
      </c>
      <c r="R2367" t="s">
        <v>145</v>
      </c>
      <c r="S2367">
        <v>0</v>
      </c>
    </row>
    <row r="2368" spans="1:19">
      <c r="A2368" t="s">
        <v>35</v>
      </c>
      <c r="B2368" t="s">
        <v>3270</v>
      </c>
      <c r="C2368">
        <f>"BO3139HA5J"</f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 s="2">
        <v>0</v>
      </c>
      <c r="M2368">
        <v>0</v>
      </c>
      <c r="N2368" s="2">
        <v>0</v>
      </c>
      <c r="O2368">
        <v>0</v>
      </c>
      <c r="P2368" t="s">
        <v>100</v>
      </c>
      <c r="Q2368">
        <v>0</v>
      </c>
      <c r="R2368" t="s">
        <v>145</v>
      </c>
      <c r="S2368">
        <v>0</v>
      </c>
    </row>
    <row r="2369" spans="1:19">
      <c r="A2369" t="s">
        <v>35</v>
      </c>
      <c r="B2369" t="s">
        <v>3269</v>
      </c>
      <c r="C2369">
        <f>"BO3139HA5L"</f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 s="2">
        <v>0</v>
      </c>
      <c r="M2369">
        <v>0</v>
      </c>
      <c r="N2369" s="2">
        <v>0</v>
      </c>
      <c r="O2369">
        <v>0</v>
      </c>
      <c r="P2369" t="s">
        <v>100</v>
      </c>
      <c r="Q2369">
        <v>0</v>
      </c>
      <c r="R2369" t="s">
        <v>145</v>
      </c>
      <c r="S2369">
        <v>0</v>
      </c>
    </row>
    <row r="2370" spans="1:19">
      <c r="A2370" t="s">
        <v>35</v>
      </c>
      <c r="B2370" t="s">
        <v>3187</v>
      </c>
      <c r="C2370">
        <f>"BO3139HA5Z"</f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 s="2">
        <v>0</v>
      </c>
      <c r="M2370">
        <v>0</v>
      </c>
      <c r="N2370" s="2">
        <v>0</v>
      </c>
      <c r="O2370">
        <v>0</v>
      </c>
      <c r="P2370" t="s">
        <v>100</v>
      </c>
      <c r="Q2370">
        <v>0</v>
      </c>
      <c r="R2370" t="s">
        <v>145</v>
      </c>
      <c r="S2370">
        <v>0</v>
      </c>
    </row>
    <row r="2371" spans="1:19">
      <c r="A2371" t="s">
        <v>35</v>
      </c>
      <c r="B2371" t="s">
        <v>7755</v>
      </c>
      <c r="C2371">
        <f>"187A54XSAZ"</f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 s="2">
        <v>0</v>
      </c>
      <c r="M2371">
        <v>0</v>
      </c>
      <c r="N2371" s="2">
        <v>0</v>
      </c>
      <c r="O2371">
        <v>0</v>
      </c>
      <c r="P2371" t="s">
        <v>100</v>
      </c>
      <c r="Q2371">
        <v>0</v>
      </c>
      <c r="R2371" t="s">
        <v>145</v>
      </c>
      <c r="S2371">
        <v>0</v>
      </c>
    </row>
    <row r="2372" spans="1:19">
      <c r="A2372" t="s">
        <v>35</v>
      </c>
      <c r="B2372" t="s">
        <v>3241</v>
      </c>
      <c r="C2372">
        <f>"CW389B"</f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 s="2">
        <v>0</v>
      </c>
      <c r="M2372">
        <v>0</v>
      </c>
      <c r="N2372" s="2">
        <v>0</v>
      </c>
      <c r="O2372">
        <v>0</v>
      </c>
      <c r="P2372" t="s">
        <v>100</v>
      </c>
      <c r="Q2372">
        <v>0</v>
      </c>
      <c r="R2372" t="s">
        <v>145</v>
      </c>
      <c r="S2372">
        <v>0</v>
      </c>
    </row>
    <row r="2373" spans="1:19">
      <c r="A2373" t="s">
        <v>35</v>
      </c>
      <c r="B2373" t="s">
        <v>3262</v>
      </c>
      <c r="C2373">
        <f>"D135M"</f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 s="2">
        <v>0</v>
      </c>
      <c r="M2373">
        <v>0</v>
      </c>
      <c r="N2373" s="2">
        <v>0</v>
      </c>
      <c r="O2373">
        <v>0</v>
      </c>
      <c r="P2373" t="s">
        <v>100</v>
      </c>
      <c r="Q2373">
        <v>0</v>
      </c>
      <c r="R2373" t="s">
        <v>145</v>
      </c>
      <c r="S2373">
        <v>0</v>
      </c>
    </row>
    <row r="2374" spans="1:19">
      <c r="A2374" t="s">
        <v>35</v>
      </c>
      <c r="B2374" t="s">
        <v>7601</v>
      </c>
      <c r="C2374">
        <f>"QSFW2218L"</f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 s="2">
        <v>0</v>
      </c>
      <c r="M2374">
        <v>0</v>
      </c>
      <c r="N2374" s="2">
        <v>0</v>
      </c>
      <c r="O2374">
        <v>0</v>
      </c>
      <c r="P2374" t="s">
        <v>100</v>
      </c>
      <c r="Q2374">
        <v>0</v>
      </c>
      <c r="R2374" t="s">
        <v>145</v>
      </c>
      <c r="S2374">
        <v>0</v>
      </c>
    </row>
    <row r="2375" spans="1:19">
      <c r="A2375" t="s">
        <v>35</v>
      </c>
      <c r="B2375" t="s">
        <v>7600</v>
      </c>
      <c r="C2375">
        <f>"QSFW2218M"</f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 s="2">
        <v>0</v>
      </c>
      <c r="M2375">
        <v>0</v>
      </c>
      <c r="N2375" s="2">
        <v>0</v>
      </c>
      <c r="O2375">
        <v>0</v>
      </c>
      <c r="P2375" t="s">
        <v>100</v>
      </c>
      <c r="Q2375">
        <v>0</v>
      </c>
      <c r="R2375" t="s">
        <v>145</v>
      </c>
      <c r="S2375">
        <v>0</v>
      </c>
    </row>
    <row r="2376" spans="1:19">
      <c r="A2376" t="s">
        <v>35</v>
      </c>
      <c r="B2376" t="s">
        <v>7577</v>
      </c>
      <c r="C2376">
        <f>"QSFW2218S"</f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 s="2">
        <v>0</v>
      </c>
      <c r="M2376">
        <v>0</v>
      </c>
      <c r="N2376" s="2">
        <v>0</v>
      </c>
      <c r="O2376">
        <v>0</v>
      </c>
      <c r="P2376" t="s">
        <v>100</v>
      </c>
      <c r="Q2376">
        <v>0</v>
      </c>
      <c r="R2376" t="s">
        <v>145</v>
      </c>
      <c r="S2376">
        <v>0</v>
      </c>
    </row>
    <row r="2377" spans="1:19">
      <c r="A2377" t="s">
        <v>35</v>
      </c>
      <c r="B2377" t="s">
        <v>7576</v>
      </c>
      <c r="C2377">
        <f>"QS133104L"</f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 s="2">
        <v>0</v>
      </c>
      <c r="M2377">
        <v>0</v>
      </c>
      <c r="N2377" s="2">
        <v>0</v>
      </c>
      <c r="O2377">
        <v>0</v>
      </c>
      <c r="P2377" t="s">
        <v>100</v>
      </c>
      <c r="Q2377">
        <v>0</v>
      </c>
      <c r="R2377" t="s">
        <v>145</v>
      </c>
      <c r="S2377">
        <v>0</v>
      </c>
    </row>
    <row r="2378" spans="1:19">
      <c r="A2378" t="s">
        <v>35</v>
      </c>
      <c r="B2378" t="s">
        <v>7575</v>
      </c>
      <c r="C2378">
        <f>"QS133104M"</f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 s="2">
        <v>0</v>
      </c>
      <c r="M2378">
        <v>0</v>
      </c>
      <c r="N2378" s="2">
        <v>0</v>
      </c>
      <c r="O2378">
        <v>0</v>
      </c>
      <c r="P2378" t="s">
        <v>100</v>
      </c>
      <c r="Q2378">
        <v>0</v>
      </c>
      <c r="R2378" t="s">
        <v>145</v>
      </c>
      <c r="S2378">
        <v>0</v>
      </c>
    </row>
    <row r="2379" spans="1:19">
      <c r="A2379" t="s">
        <v>35</v>
      </c>
      <c r="B2379" t="s">
        <v>3261</v>
      </c>
      <c r="C2379">
        <f>"BO3135HA5"</f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 s="2">
        <v>0</v>
      </c>
      <c r="M2379">
        <v>0</v>
      </c>
      <c r="N2379" s="2">
        <v>0</v>
      </c>
      <c r="O2379">
        <v>0</v>
      </c>
      <c r="P2379" t="s">
        <v>100</v>
      </c>
      <c r="Q2379">
        <v>0</v>
      </c>
      <c r="R2379" t="s">
        <v>145</v>
      </c>
      <c r="S2379">
        <v>0</v>
      </c>
    </row>
    <row r="2380" spans="1:19">
      <c r="A2380" t="s">
        <v>35</v>
      </c>
      <c r="B2380" t="s">
        <v>3261</v>
      </c>
      <c r="C2380">
        <f>"BO3056"</f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 s="2">
        <v>0</v>
      </c>
      <c r="M2380">
        <v>0</v>
      </c>
      <c r="N2380" s="2">
        <v>0</v>
      </c>
      <c r="O2380">
        <v>0</v>
      </c>
      <c r="P2380" t="s">
        <v>100</v>
      </c>
      <c r="Q2380">
        <v>0</v>
      </c>
      <c r="R2380" t="s">
        <v>145</v>
      </c>
      <c r="S2380">
        <v>0</v>
      </c>
    </row>
    <row r="2381" spans="1:19">
      <c r="A2381" t="s">
        <v>35</v>
      </c>
      <c r="B2381" t="s">
        <v>1316</v>
      </c>
      <c r="C2381">
        <f>"BO3056GC"</f>
        <v>0</v>
      </c>
      <c r="D2381">
        <v>0</v>
      </c>
      <c r="E2381">
        <v>1</v>
      </c>
      <c r="F2381">
        <v>0</v>
      </c>
      <c r="G2381">
        <v>0</v>
      </c>
      <c r="H2381">
        <v>1</v>
      </c>
      <c r="I2381">
        <v>0</v>
      </c>
      <c r="J2381">
        <v>0</v>
      </c>
      <c r="K2381">
        <v>0</v>
      </c>
      <c r="L2381" s="2">
        <v>0</v>
      </c>
      <c r="M2381">
        <v>0</v>
      </c>
      <c r="N2381" s="2">
        <v>0</v>
      </c>
      <c r="O2381">
        <v>0</v>
      </c>
      <c r="P2381" t="s">
        <v>100</v>
      </c>
      <c r="Q2381">
        <v>0</v>
      </c>
      <c r="R2381" t="s">
        <v>145</v>
      </c>
      <c r="S2381">
        <v>0</v>
      </c>
    </row>
    <row r="2382" spans="1:19">
      <c r="A2382" t="s">
        <v>35</v>
      </c>
      <c r="B2382" t="s">
        <v>3260</v>
      </c>
      <c r="C2382">
        <f>"BO3056GG"</f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 s="2">
        <v>0</v>
      </c>
      <c r="M2382">
        <v>0</v>
      </c>
      <c r="N2382" s="2">
        <v>0</v>
      </c>
      <c r="O2382">
        <v>0</v>
      </c>
      <c r="P2382" t="s">
        <v>100</v>
      </c>
      <c r="Q2382">
        <v>0</v>
      </c>
      <c r="R2382" t="s">
        <v>145</v>
      </c>
      <c r="S2382">
        <v>0</v>
      </c>
    </row>
    <row r="2383" spans="1:19">
      <c r="A2383" t="s">
        <v>35</v>
      </c>
      <c r="B2383" t="s">
        <v>3259</v>
      </c>
      <c r="C2383">
        <f>"BO3056PC"</f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 s="2">
        <v>0</v>
      </c>
      <c r="M2383">
        <v>0</v>
      </c>
      <c r="N2383" s="2">
        <v>0</v>
      </c>
      <c r="O2383">
        <v>0</v>
      </c>
      <c r="P2383" t="s">
        <v>100</v>
      </c>
      <c r="Q2383">
        <v>0</v>
      </c>
      <c r="R2383" t="s">
        <v>145</v>
      </c>
      <c r="S2383">
        <v>0</v>
      </c>
    </row>
    <row r="2384" spans="1:19">
      <c r="A2384" t="s">
        <v>35</v>
      </c>
      <c r="B2384" t="s">
        <v>7762</v>
      </c>
      <c r="C2384">
        <f>"7656XL"</f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 s="2">
        <v>0</v>
      </c>
      <c r="M2384">
        <v>0</v>
      </c>
      <c r="N2384" s="2">
        <v>0</v>
      </c>
      <c r="O2384">
        <v>0</v>
      </c>
      <c r="P2384" t="s">
        <v>100</v>
      </c>
      <c r="Q2384">
        <v>0</v>
      </c>
      <c r="R2384" t="s">
        <v>145</v>
      </c>
      <c r="S2384">
        <v>0</v>
      </c>
    </row>
    <row r="2385" spans="1:19">
      <c r="A2385" t="s">
        <v>35</v>
      </c>
      <c r="B2385" t="s">
        <v>3266</v>
      </c>
      <c r="C2385">
        <f>"BO3135HA5H"</f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 s="2">
        <v>0</v>
      </c>
      <c r="M2385">
        <v>0</v>
      </c>
      <c r="N2385" s="2">
        <v>0</v>
      </c>
      <c r="O2385">
        <v>0</v>
      </c>
      <c r="P2385" t="s">
        <v>100</v>
      </c>
      <c r="Q2385">
        <v>0</v>
      </c>
      <c r="R2385" t="s">
        <v>145</v>
      </c>
      <c r="S2385">
        <v>0</v>
      </c>
    </row>
    <row r="2386" spans="1:19">
      <c r="A2386" t="s">
        <v>35</v>
      </c>
      <c r="B2386" t="s">
        <v>3263</v>
      </c>
      <c r="C2386">
        <f>"BO3134HA5"</f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 s="2">
        <v>0</v>
      </c>
      <c r="M2386">
        <v>0</v>
      </c>
      <c r="N2386" s="2">
        <v>0</v>
      </c>
      <c r="O2386">
        <v>0</v>
      </c>
      <c r="P2386" t="s">
        <v>100</v>
      </c>
      <c r="Q2386">
        <v>0</v>
      </c>
      <c r="R2386" t="s">
        <v>145</v>
      </c>
      <c r="S2386">
        <v>0</v>
      </c>
    </row>
    <row r="2387" spans="1:19">
      <c r="A2387" t="s">
        <v>35</v>
      </c>
      <c r="B2387" t="s">
        <v>3263</v>
      </c>
      <c r="C2387">
        <f>"BO3139HA5"</f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 s="2">
        <v>0</v>
      </c>
      <c r="M2387">
        <v>0</v>
      </c>
      <c r="N2387" s="2">
        <v>0</v>
      </c>
      <c r="O2387">
        <v>0</v>
      </c>
      <c r="P2387" t="s">
        <v>100</v>
      </c>
      <c r="Q2387">
        <v>0</v>
      </c>
      <c r="R2387" t="s">
        <v>145</v>
      </c>
      <c r="S2387">
        <v>0</v>
      </c>
    </row>
    <row r="2388" spans="1:19">
      <c r="A2388" t="s">
        <v>35</v>
      </c>
      <c r="B2388" t="s">
        <v>1217</v>
      </c>
      <c r="C2388">
        <f>"QS133104S"</f>
        <v>0</v>
      </c>
      <c r="D2388">
        <v>1</v>
      </c>
      <c r="E2388">
        <v>0</v>
      </c>
      <c r="F2388">
        <v>0</v>
      </c>
      <c r="G2388">
        <v>0</v>
      </c>
      <c r="H2388">
        <v>1</v>
      </c>
      <c r="I2388">
        <v>0</v>
      </c>
      <c r="J2388">
        <v>0</v>
      </c>
      <c r="K2388">
        <v>0</v>
      </c>
      <c r="L2388" s="2">
        <v>0</v>
      </c>
      <c r="M2388">
        <v>0</v>
      </c>
      <c r="N2388" s="2">
        <v>0</v>
      </c>
      <c r="O2388">
        <v>0</v>
      </c>
      <c r="P2388" t="s">
        <v>100</v>
      </c>
      <c r="Q2388">
        <v>0</v>
      </c>
      <c r="R2388" t="s">
        <v>145</v>
      </c>
      <c r="S2388">
        <v>0</v>
      </c>
    </row>
    <row r="2389" spans="1:19">
      <c r="A2389" t="s">
        <v>35</v>
      </c>
      <c r="B2389" t="s">
        <v>7559</v>
      </c>
      <c r="C2389">
        <f>"AX0515L"</f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 s="2">
        <v>0</v>
      </c>
      <c r="M2389">
        <v>0</v>
      </c>
      <c r="N2389" s="2">
        <v>0</v>
      </c>
      <c r="O2389">
        <v>0</v>
      </c>
      <c r="P2389" t="s">
        <v>100</v>
      </c>
      <c r="Q2389">
        <v>0</v>
      </c>
      <c r="R2389" t="s">
        <v>145</v>
      </c>
      <c r="S2389">
        <v>0</v>
      </c>
    </row>
    <row r="2390" spans="1:19">
      <c r="A2390" t="s">
        <v>35</v>
      </c>
      <c r="B2390" t="s">
        <v>7603</v>
      </c>
      <c r="C2390">
        <f>"AX0515M"</f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 s="2">
        <v>0</v>
      </c>
      <c r="M2390">
        <v>0</v>
      </c>
      <c r="N2390" s="2">
        <v>0</v>
      </c>
      <c r="O2390">
        <v>0</v>
      </c>
      <c r="P2390" t="s">
        <v>100</v>
      </c>
      <c r="Q2390">
        <v>0</v>
      </c>
      <c r="R2390" t="s">
        <v>145</v>
      </c>
      <c r="S2390">
        <v>0</v>
      </c>
    </row>
    <row r="2391" spans="1:19">
      <c r="A2391" t="s">
        <v>35</v>
      </c>
      <c r="B2391" t="s">
        <v>7618</v>
      </c>
      <c r="C2391">
        <f>"AX0515S"</f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 s="2">
        <v>0</v>
      </c>
      <c r="M2391">
        <v>0</v>
      </c>
      <c r="N2391" s="2">
        <v>0</v>
      </c>
      <c r="O2391">
        <v>0</v>
      </c>
      <c r="P2391" t="s">
        <v>100</v>
      </c>
      <c r="Q2391">
        <v>0</v>
      </c>
      <c r="R2391" t="s">
        <v>145</v>
      </c>
      <c r="S2391">
        <v>0</v>
      </c>
    </row>
    <row r="2392" spans="1:19">
      <c r="A2392" t="s">
        <v>35</v>
      </c>
      <c r="B2392" t="s">
        <v>7617</v>
      </c>
      <c r="C2392">
        <f>"AX0604M"</f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 s="2">
        <v>0</v>
      </c>
      <c r="M2392">
        <v>0</v>
      </c>
      <c r="N2392" s="2">
        <v>0</v>
      </c>
      <c r="O2392">
        <v>0</v>
      </c>
      <c r="P2392" t="s">
        <v>100</v>
      </c>
      <c r="Q2392">
        <v>0</v>
      </c>
      <c r="R2392" t="s">
        <v>145</v>
      </c>
      <c r="S2392">
        <v>0</v>
      </c>
    </row>
    <row r="2393" spans="1:19">
      <c r="A2393" t="s">
        <v>35</v>
      </c>
      <c r="B2393" t="s">
        <v>7616</v>
      </c>
      <c r="C2393">
        <f>"2550"</f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 s="2">
        <v>0</v>
      </c>
      <c r="M2393">
        <v>0</v>
      </c>
      <c r="N2393" s="2">
        <v>0</v>
      </c>
      <c r="O2393">
        <v>0</v>
      </c>
      <c r="P2393" t="s">
        <v>100</v>
      </c>
      <c r="Q2393">
        <v>0</v>
      </c>
      <c r="R2393" t="s">
        <v>145</v>
      </c>
      <c r="S2393">
        <v>0</v>
      </c>
    </row>
    <row r="2394" spans="1:19">
      <c r="A2394" t="s">
        <v>35</v>
      </c>
      <c r="B2394" t="s">
        <v>7591</v>
      </c>
      <c r="C2394">
        <f>"QSSF2476M"</f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 s="2">
        <v>0</v>
      </c>
      <c r="M2394">
        <v>0</v>
      </c>
      <c r="N2394" s="2">
        <v>0</v>
      </c>
      <c r="O2394">
        <v>0</v>
      </c>
      <c r="P2394" t="s">
        <v>100</v>
      </c>
      <c r="Q2394">
        <v>0</v>
      </c>
      <c r="R2394" t="s">
        <v>145</v>
      </c>
      <c r="S2394">
        <v>0</v>
      </c>
    </row>
    <row r="2395" spans="1:19">
      <c r="A2395" t="s">
        <v>35</v>
      </c>
      <c r="B2395" t="s">
        <v>7664</v>
      </c>
      <c r="C2395">
        <f>"KW6005MR"</f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 s="2">
        <v>0</v>
      </c>
      <c r="M2395">
        <v>0</v>
      </c>
      <c r="N2395" s="2">
        <v>0</v>
      </c>
      <c r="O2395">
        <v>0</v>
      </c>
      <c r="P2395" t="s">
        <v>100</v>
      </c>
      <c r="Q2395">
        <v>0</v>
      </c>
      <c r="R2395" t="s">
        <v>145</v>
      </c>
      <c r="S2395">
        <v>0</v>
      </c>
    </row>
    <row r="2396" spans="1:19">
      <c r="A2396" t="s">
        <v>35</v>
      </c>
      <c r="B2396" t="s">
        <v>3152</v>
      </c>
      <c r="C2396">
        <f>"ke4801"</f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 s="2">
        <v>0</v>
      </c>
      <c r="M2396">
        <v>0</v>
      </c>
      <c r="N2396" s="2">
        <v>0</v>
      </c>
      <c r="O2396">
        <v>0</v>
      </c>
      <c r="P2396" t="s">
        <v>100</v>
      </c>
      <c r="Q2396">
        <v>0</v>
      </c>
      <c r="R2396" t="s">
        <v>145</v>
      </c>
      <c r="S2396">
        <v>0</v>
      </c>
    </row>
    <row r="2397" spans="1:19">
      <c r="A2397" t="s">
        <v>35</v>
      </c>
      <c r="B2397" t="s">
        <v>7552</v>
      </c>
      <c r="C2397">
        <f>"2449"</f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 s="2">
        <v>0</v>
      </c>
      <c r="M2397">
        <v>0</v>
      </c>
      <c r="N2397" s="2">
        <v>0</v>
      </c>
      <c r="O2397">
        <v>0</v>
      </c>
      <c r="P2397" t="s">
        <v>100</v>
      </c>
      <c r="Q2397">
        <v>0</v>
      </c>
      <c r="R2397" t="s">
        <v>145</v>
      </c>
      <c r="S2397">
        <v>0</v>
      </c>
    </row>
    <row r="2398" spans="1:19">
      <c r="A2398" t="s">
        <v>35</v>
      </c>
      <c r="B2398" t="s">
        <v>7551</v>
      </c>
      <c r="C2398">
        <f>"2450"</f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 s="2">
        <v>0</v>
      </c>
      <c r="M2398">
        <v>0</v>
      </c>
      <c r="N2398" s="2">
        <v>0</v>
      </c>
      <c r="O2398">
        <v>0</v>
      </c>
      <c r="P2398" t="s">
        <v>100</v>
      </c>
      <c r="Q2398">
        <v>0</v>
      </c>
      <c r="R2398" t="s">
        <v>145</v>
      </c>
      <c r="S2398">
        <v>0</v>
      </c>
    </row>
    <row r="2399" spans="1:19">
      <c r="A2399" t="s">
        <v>35</v>
      </c>
      <c r="B2399" t="s">
        <v>7452</v>
      </c>
      <c r="C2399">
        <f>"2453"</f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 s="2">
        <v>0</v>
      </c>
      <c r="M2399">
        <v>0</v>
      </c>
      <c r="N2399" s="2">
        <v>0</v>
      </c>
      <c r="O2399">
        <v>0</v>
      </c>
      <c r="P2399" t="s">
        <v>100</v>
      </c>
      <c r="Q2399">
        <v>0</v>
      </c>
      <c r="R2399" t="s">
        <v>145</v>
      </c>
      <c r="S2399">
        <v>0</v>
      </c>
    </row>
    <row r="2400" spans="1:19">
      <c r="A2400" t="s">
        <v>35</v>
      </c>
      <c r="B2400" t="s">
        <v>7466</v>
      </c>
      <c r="C2400">
        <f>"2451"</f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 s="2">
        <v>0</v>
      </c>
      <c r="M2400">
        <v>0</v>
      </c>
      <c r="N2400" s="2">
        <v>0</v>
      </c>
      <c r="O2400">
        <v>0</v>
      </c>
      <c r="P2400" t="s">
        <v>100</v>
      </c>
      <c r="Q2400">
        <v>0</v>
      </c>
      <c r="R2400" t="s">
        <v>145</v>
      </c>
      <c r="S2400">
        <v>0</v>
      </c>
    </row>
    <row r="2401" spans="1:19">
      <c r="A2401" t="s">
        <v>35</v>
      </c>
      <c r="B2401" t="s">
        <v>7450</v>
      </c>
      <c r="C2401">
        <f>"2452"</f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 s="2">
        <v>0</v>
      </c>
      <c r="M2401">
        <v>0</v>
      </c>
      <c r="N2401" s="2">
        <v>0</v>
      </c>
      <c r="O2401">
        <v>0</v>
      </c>
      <c r="P2401" t="s">
        <v>100</v>
      </c>
      <c r="Q2401">
        <v>0</v>
      </c>
      <c r="R2401" t="s">
        <v>145</v>
      </c>
      <c r="S2401">
        <v>0</v>
      </c>
    </row>
    <row r="2402" spans="1:19">
      <c r="A2402" t="s">
        <v>35</v>
      </c>
      <c r="B2402" t="s">
        <v>7454</v>
      </c>
      <c r="C2402">
        <f>"CT425C"</f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 s="2">
        <v>0</v>
      </c>
      <c r="M2402">
        <v>0</v>
      </c>
      <c r="N2402" s="2">
        <v>0</v>
      </c>
      <c r="O2402">
        <v>0</v>
      </c>
      <c r="P2402" t="s">
        <v>100</v>
      </c>
      <c r="Q2402">
        <v>0</v>
      </c>
      <c r="R2402" t="s">
        <v>145</v>
      </c>
      <c r="S2402">
        <v>0</v>
      </c>
    </row>
    <row r="2403" spans="1:19">
      <c r="A2403" t="s">
        <v>35</v>
      </c>
      <c r="B2403" t="s">
        <v>7453</v>
      </c>
      <c r="C2403">
        <f>"CT850C"</f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 s="2">
        <v>0</v>
      </c>
      <c r="M2403">
        <v>0</v>
      </c>
      <c r="N2403" s="2">
        <v>0</v>
      </c>
      <c r="O2403">
        <v>0</v>
      </c>
      <c r="P2403" t="s">
        <v>100</v>
      </c>
      <c r="Q2403">
        <v>0</v>
      </c>
      <c r="R2403" t="s">
        <v>145</v>
      </c>
      <c r="S2403">
        <v>0</v>
      </c>
    </row>
    <row r="2404" spans="1:19">
      <c r="A2404" t="s">
        <v>35</v>
      </c>
      <c r="B2404" t="s">
        <v>7489</v>
      </c>
      <c r="C2404">
        <f>"CT17KG"</f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 s="2">
        <v>0</v>
      </c>
      <c r="M2404">
        <v>0</v>
      </c>
      <c r="N2404" s="2">
        <v>0</v>
      </c>
      <c r="O2404">
        <v>0</v>
      </c>
      <c r="P2404" t="s">
        <v>100</v>
      </c>
      <c r="Q2404">
        <v>0</v>
      </c>
      <c r="R2404" t="s">
        <v>145</v>
      </c>
      <c r="S2404">
        <v>0</v>
      </c>
    </row>
    <row r="2405" spans="1:19">
      <c r="A2405" t="s">
        <v>35</v>
      </c>
      <c r="B2405" t="s">
        <v>7428</v>
      </c>
      <c r="C2405">
        <f>"MM015LAZ"</f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 s="2">
        <v>0</v>
      </c>
      <c r="M2405">
        <v>0</v>
      </c>
      <c r="N2405" s="2">
        <v>0</v>
      </c>
      <c r="O2405">
        <v>0</v>
      </c>
      <c r="P2405" t="s">
        <v>100</v>
      </c>
      <c r="Q2405">
        <v>0</v>
      </c>
      <c r="R2405" t="s">
        <v>145</v>
      </c>
      <c r="S2405">
        <v>0</v>
      </c>
    </row>
    <row r="2406" spans="1:19">
      <c r="A2406" t="s">
        <v>35</v>
      </c>
      <c r="B2406" t="s">
        <v>7511</v>
      </c>
      <c r="C2406">
        <f>"6011L"</f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 s="2">
        <v>0</v>
      </c>
      <c r="M2406">
        <v>0</v>
      </c>
      <c r="N2406" s="2">
        <v>0</v>
      </c>
      <c r="O2406">
        <v>0</v>
      </c>
      <c r="P2406" t="s">
        <v>100</v>
      </c>
      <c r="Q2406">
        <v>0</v>
      </c>
      <c r="R2406" t="s">
        <v>145</v>
      </c>
      <c r="S2406">
        <v>0</v>
      </c>
    </row>
    <row r="2407" spans="1:19">
      <c r="A2407" t="s">
        <v>35</v>
      </c>
      <c r="B2407" t="s">
        <v>7508</v>
      </c>
      <c r="C2407">
        <f>"6011XL"</f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 s="2">
        <v>0</v>
      </c>
      <c r="M2407">
        <v>0</v>
      </c>
      <c r="N2407" s="2">
        <v>0</v>
      </c>
      <c r="O2407">
        <v>0</v>
      </c>
      <c r="P2407" t="s">
        <v>100</v>
      </c>
      <c r="Q2407">
        <v>0</v>
      </c>
      <c r="R2407" t="s">
        <v>145</v>
      </c>
      <c r="S2407">
        <v>0</v>
      </c>
    </row>
    <row r="2408" spans="1:19">
      <c r="A2408" t="s">
        <v>35</v>
      </c>
      <c r="B2408" t="s">
        <v>1218</v>
      </c>
      <c r="C2408">
        <f>"CW06364"</f>
        <v>0</v>
      </c>
      <c r="D2408">
        <v>0</v>
      </c>
      <c r="E2408">
        <v>1</v>
      </c>
      <c r="F2408">
        <v>0</v>
      </c>
      <c r="G2408">
        <v>0</v>
      </c>
      <c r="H2408">
        <v>1</v>
      </c>
      <c r="I2408">
        <v>0</v>
      </c>
      <c r="J2408">
        <v>0</v>
      </c>
      <c r="K2408">
        <v>0</v>
      </c>
      <c r="L2408" s="2">
        <v>0</v>
      </c>
      <c r="M2408">
        <v>0</v>
      </c>
      <c r="N2408" s="2">
        <v>0</v>
      </c>
      <c r="O2408">
        <v>0</v>
      </c>
      <c r="P2408" t="s">
        <v>100</v>
      </c>
      <c r="Q2408">
        <v>0</v>
      </c>
      <c r="R2408" t="s">
        <v>145</v>
      </c>
      <c r="S2408">
        <v>0</v>
      </c>
    </row>
    <row r="2409" spans="1:19">
      <c r="A2409" t="s">
        <v>35</v>
      </c>
      <c r="B2409" t="s">
        <v>3146</v>
      </c>
      <c r="C2409">
        <f>"KE1600SUC"</f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 s="2">
        <v>0</v>
      </c>
      <c r="M2409">
        <v>0</v>
      </c>
      <c r="N2409" s="2">
        <v>0</v>
      </c>
      <c r="O2409">
        <v>0</v>
      </c>
      <c r="P2409" t="s">
        <v>100</v>
      </c>
      <c r="Q2409">
        <v>0</v>
      </c>
      <c r="R2409" t="s">
        <v>145</v>
      </c>
      <c r="S2409">
        <v>0</v>
      </c>
    </row>
    <row r="2410" spans="1:19">
      <c r="A2410" t="s">
        <v>35</v>
      </c>
      <c r="B2410" t="s">
        <v>3160</v>
      </c>
      <c r="C2410">
        <f>"KE2000SUC"</f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 s="2">
        <v>0</v>
      </c>
      <c r="M2410">
        <v>0</v>
      </c>
      <c r="N2410" s="2">
        <v>0</v>
      </c>
      <c r="O2410">
        <v>0</v>
      </c>
      <c r="P2410" t="s">
        <v>100</v>
      </c>
      <c r="Q2410">
        <v>0</v>
      </c>
      <c r="R2410" t="s">
        <v>145</v>
      </c>
      <c r="S2410">
        <v>0</v>
      </c>
    </row>
    <row r="2411" spans="1:19">
      <c r="A2411" t="s">
        <v>35</v>
      </c>
      <c r="B2411" t="s">
        <v>3159</v>
      </c>
      <c r="C2411">
        <f>"ke3202p"</f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 s="2">
        <v>0</v>
      </c>
      <c r="M2411">
        <v>0</v>
      </c>
      <c r="N2411" s="2">
        <v>0</v>
      </c>
      <c r="O2411">
        <v>0</v>
      </c>
      <c r="P2411" t="s">
        <v>100</v>
      </c>
      <c r="Q2411">
        <v>0</v>
      </c>
      <c r="R2411" t="s">
        <v>145</v>
      </c>
      <c r="S2411">
        <v>0</v>
      </c>
    </row>
    <row r="2412" spans="1:19">
      <c r="A2412" t="s">
        <v>35</v>
      </c>
      <c r="B2412" t="s">
        <v>655</v>
      </c>
      <c r="C2412">
        <f>"65835"</f>
        <v>0</v>
      </c>
      <c r="D2412">
        <v>7</v>
      </c>
      <c r="E2412">
        <v>0</v>
      </c>
      <c r="F2412">
        <v>0</v>
      </c>
      <c r="G2412">
        <v>0</v>
      </c>
      <c r="H2412">
        <v>7</v>
      </c>
      <c r="I2412">
        <v>0</v>
      </c>
      <c r="J2412">
        <v>0</v>
      </c>
      <c r="K2412">
        <v>0</v>
      </c>
      <c r="L2412" s="2">
        <v>0</v>
      </c>
      <c r="M2412">
        <v>0</v>
      </c>
      <c r="N2412" s="2">
        <v>0</v>
      </c>
      <c r="O2412">
        <v>0</v>
      </c>
      <c r="P2412" t="s">
        <v>100</v>
      </c>
      <c r="Q2412">
        <v>0</v>
      </c>
      <c r="R2412" t="s">
        <v>145</v>
      </c>
      <c r="S2412">
        <v>0</v>
      </c>
    </row>
    <row r="2413" spans="1:19">
      <c r="A2413" t="s">
        <v>35</v>
      </c>
      <c r="B2413" t="s">
        <v>1442</v>
      </c>
      <c r="C2413">
        <f>"65859"</f>
        <v>0</v>
      </c>
      <c r="D2413">
        <v>0</v>
      </c>
      <c r="E2413">
        <v>0</v>
      </c>
      <c r="F2413">
        <v>1</v>
      </c>
      <c r="G2413">
        <v>0</v>
      </c>
      <c r="H2413">
        <v>1</v>
      </c>
      <c r="I2413">
        <v>0</v>
      </c>
      <c r="J2413">
        <v>0</v>
      </c>
      <c r="K2413">
        <v>0</v>
      </c>
      <c r="L2413" s="2">
        <v>0</v>
      </c>
      <c r="M2413">
        <v>0</v>
      </c>
      <c r="N2413" s="2">
        <v>0</v>
      </c>
      <c r="O2413">
        <v>0</v>
      </c>
      <c r="P2413" t="s">
        <v>100</v>
      </c>
      <c r="Q2413">
        <v>0</v>
      </c>
      <c r="R2413" t="s">
        <v>145</v>
      </c>
      <c r="S2413">
        <v>0</v>
      </c>
    </row>
    <row r="2414" spans="1:19">
      <c r="A2414" t="s">
        <v>35</v>
      </c>
      <c r="B2414" t="s">
        <v>7444</v>
      </c>
      <c r="C2414">
        <f>"65842"</f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 s="2">
        <v>0</v>
      </c>
      <c r="M2414">
        <v>0</v>
      </c>
      <c r="N2414" s="2">
        <v>0</v>
      </c>
      <c r="O2414">
        <v>0</v>
      </c>
      <c r="P2414" t="s">
        <v>100</v>
      </c>
      <c r="Q2414">
        <v>0</v>
      </c>
      <c r="R2414" t="s">
        <v>145</v>
      </c>
      <c r="S2414">
        <v>0</v>
      </c>
    </row>
    <row r="2415" spans="1:19">
      <c r="A2415" t="s">
        <v>35</v>
      </c>
      <c r="B2415" t="s">
        <v>7480</v>
      </c>
      <c r="C2415">
        <f>"65866"</f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 s="2">
        <v>0</v>
      </c>
      <c r="M2415">
        <v>0</v>
      </c>
      <c r="N2415" s="2">
        <v>0</v>
      </c>
      <c r="O2415">
        <v>0</v>
      </c>
      <c r="P2415" t="s">
        <v>100</v>
      </c>
      <c r="Q2415">
        <v>0</v>
      </c>
      <c r="R2415" t="s">
        <v>145</v>
      </c>
      <c r="S2415">
        <v>0</v>
      </c>
    </row>
    <row r="2416" spans="1:19">
      <c r="A2416" t="s">
        <v>35</v>
      </c>
      <c r="B2416" t="s">
        <v>7488</v>
      </c>
      <c r="C2416">
        <f>"CT425L"</f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 s="2">
        <v>0</v>
      </c>
      <c r="M2416">
        <v>0</v>
      </c>
      <c r="N2416" s="2">
        <v>0</v>
      </c>
      <c r="O2416">
        <v>0</v>
      </c>
      <c r="P2416" t="s">
        <v>100</v>
      </c>
      <c r="Q2416">
        <v>0</v>
      </c>
      <c r="R2416" t="s">
        <v>145</v>
      </c>
      <c r="S2416">
        <v>0</v>
      </c>
    </row>
    <row r="2417" spans="1:19">
      <c r="A2417" t="s">
        <v>35</v>
      </c>
      <c r="B2417" t="s">
        <v>7371</v>
      </c>
      <c r="C2417">
        <f>"MM015XXLNE"</f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 s="2">
        <v>0</v>
      </c>
      <c r="M2417">
        <v>0</v>
      </c>
      <c r="N2417" s="2">
        <v>0</v>
      </c>
      <c r="O2417">
        <v>0</v>
      </c>
      <c r="P2417" t="s">
        <v>100</v>
      </c>
      <c r="Q2417">
        <v>0</v>
      </c>
      <c r="R2417" t="s">
        <v>145</v>
      </c>
      <c r="S2417">
        <v>0</v>
      </c>
    </row>
    <row r="2418" spans="1:19">
      <c r="A2418" t="s">
        <v>35</v>
      </c>
      <c r="B2418" t="s">
        <v>7371</v>
      </c>
      <c r="C2418">
        <f>"MM015XXLROJ"</f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 s="2">
        <v>0</v>
      </c>
      <c r="M2418">
        <v>0</v>
      </c>
      <c r="N2418" s="2">
        <v>0</v>
      </c>
      <c r="O2418">
        <v>0</v>
      </c>
      <c r="P2418" t="s">
        <v>100</v>
      </c>
      <c r="Q2418">
        <v>0</v>
      </c>
      <c r="R2418" t="s">
        <v>145</v>
      </c>
      <c r="S2418">
        <v>0</v>
      </c>
    </row>
    <row r="2419" spans="1:19">
      <c r="A2419" t="s">
        <v>35</v>
      </c>
      <c r="B2419" t="s">
        <v>7371</v>
      </c>
      <c r="C2419">
        <f>"MM015XXLROS"</f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 s="2">
        <v>0</v>
      </c>
      <c r="M2419">
        <v>0</v>
      </c>
      <c r="N2419" s="2">
        <v>0</v>
      </c>
      <c r="O2419">
        <v>0</v>
      </c>
      <c r="P2419" t="s">
        <v>100</v>
      </c>
      <c r="Q2419">
        <v>0</v>
      </c>
      <c r="R2419" t="s">
        <v>145</v>
      </c>
      <c r="S2419">
        <v>0</v>
      </c>
    </row>
    <row r="2420" spans="1:19">
      <c r="A2420" t="s">
        <v>35</v>
      </c>
      <c r="B2420" t="s">
        <v>7371</v>
      </c>
      <c r="C2420">
        <f>"MM015XXLVE"</f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 s="2">
        <v>0</v>
      </c>
      <c r="M2420">
        <v>0</v>
      </c>
      <c r="N2420" s="2">
        <v>0</v>
      </c>
      <c r="O2420">
        <v>0</v>
      </c>
      <c r="P2420" t="s">
        <v>100</v>
      </c>
      <c r="Q2420">
        <v>0</v>
      </c>
      <c r="R2420" t="s">
        <v>145</v>
      </c>
      <c r="S2420">
        <v>0</v>
      </c>
    </row>
    <row r="2421" spans="1:19">
      <c r="A2421" t="s">
        <v>35</v>
      </c>
      <c r="B2421" t="s">
        <v>7384</v>
      </c>
      <c r="C2421">
        <f>"cedulamascotas"</f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 s="2">
        <v>0</v>
      </c>
      <c r="M2421">
        <v>0</v>
      </c>
      <c r="N2421" s="2">
        <v>0</v>
      </c>
      <c r="O2421">
        <v>0</v>
      </c>
      <c r="P2421" t="s">
        <v>100</v>
      </c>
      <c r="Q2421">
        <v>0</v>
      </c>
      <c r="R2421" t="s">
        <v>145</v>
      </c>
      <c r="S2421">
        <v>0</v>
      </c>
    </row>
    <row r="2422" spans="1:19">
      <c r="A2422" t="s">
        <v>35</v>
      </c>
      <c r="B2422" t="s">
        <v>7507</v>
      </c>
      <c r="C2422">
        <f>"CW0081"</f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 s="2">
        <v>0</v>
      </c>
      <c r="M2422">
        <v>0</v>
      </c>
      <c r="N2422" s="2">
        <v>0</v>
      </c>
      <c r="O2422">
        <v>0</v>
      </c>
      <c r="P2422" t="s">
        <v>100</v>
      </c>
      <c r="Q2422">
        <v>0</v>
      </c>
      <c r="R2422" t="s">
        <v>145</v>
      </c>
      <c r="S2422">
        <v>0</v>
      </c>
    </row>
    <row r="2423" spans="1:19">
      <c r="A2423" t="s">
        <v>35</v>
      </c>
      <c r="B2423" t="s">
        <v>1097</v>
      </c>
      <c r="C2423">
        <f>"XDB415"</f>
        <v>0</v>
      </c>
      <c r="D2423">
        <v>0</v>
      </c>
      <c r="E2423">
        <v>0</v>
      </c>
      <c r="F2423">
        <v>2</v>
      </c>
      <c r="G2423">
        <v>0</v>
      </c>
      <c r="H2423">
        <v>2</v>
      </c>
      <c r="I2423">
        <v>0</v>
      </c>
      <c r="J2423">
        <v>0</v>
      </c>
      <c r="K2423">
        <v>0</v>
      </c>
      <c r="L2423" s="2">
        <v>0</v>
      </c>
      <c r="M2423">
        <v>0</v>
      </c>
      <c r="N2423" s="2">
        <v>0</v>
      </c>
      <c r="O2423">
        <v>0</v>
      </c>
      <c r="P2423" t="s">
        <v>100</v>
      </c>
      <c r="Q2423">
        <v>0</v>
      </c>
      <c r="R2423" t="s">
        <v>145</v>
      </c>
      <c r="S2423">
        <v>0</v>
      </c>
    </row>
    <row r="2424" spans="1:19">
      <c r="A2424" t="s">
        <v>35</v>
      </c>
      <c r="B2424" t="s">
        <v>7503</v>
      </c>
      <c r="C2424">
        <f>"XDB430"</f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 s="2">
        <v>0</v>
      </c>
      <c r="M2424">
        <v>0</v>
      </c>
      <c r="N2424" s="2">
        <v>0</v>
      </c>
      <c r="O2424">
        <v>0</v>
      </c>
      <c r="P2424" t="s">
        <v>100</v>
      </c>
      <c r="Q2424">
        <v>0</v>
      </c>
      <c r="R2424" t="s">
        <v>145</v>
      </c>
      <c r="S2424">
        <v>0</v>
      </c>
    </row>
    <row r="2425" spans="1:19">
      <c r="A2425" t="s">
        <v>35</v>
      </c>
      <c r="B2425" t="s">
        <v>7502</v>
      </c>
      <c r="C2425">
        <f>"XDB405"</f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 s="2">
        <v>0</v>
      </c>
      <c r="M2425">
        <v>0</v>
      </c>
      <c r="N2425" s="2">
        <v>0</v>
      </c>
      <c r="O2425">
        <v>0</v>
      </c>
      <c r="P2425" t="s">
        <v>100</v>
      </c>
      <c r="Q2425">
        <v>0</v>
      </c>
      <c r="R2425" t="s">
        <v>145</v>
      </c>
      <c r="S2425">
        <v>0</v>
      </c>
    </row>
    <row r="2426" spans="1:19">
      <c r="A2426" t="s">
        <v>35</v>
      </c>
      <c r="B2426" t="s">
        <v>7501</v>
      </c>
      <c r="C2426">
        <f>"XDB424L"</f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 s="2">
        <v>0</v>
      </c>
      <c r="M2426">
        <v>0</v>
      </c>
      <c r="N2426" s="2">
        <v>0</v>
      </c>
      <c r="O2426">
        <v>0</v>
      </c>
      <c r="P2426" t="s">
        <v>100</v>
      </c>
      <c r="Q2426">
        <v>0</v>
      </c>
      <c r="R2426" t="s">
        <v>145</v>
      </c>
      <c r="S2426">
        <v>0</v>
      </c>
    </row>
    <row r="2427" spans="1:19">
      <c r="A2427" t="s">
        <v>35</v>
      </c>
      <c r="B2427" t="s">
        <v>1250</v>
      </c>
      <c r="C2427">
        <f>"ke4802"</f>
        <v>0</v>
      </c>
      <c r="D2427">
        <v>1</v>
      </c>
      <c r="E2427">
        <v>0</v>
      </c>
      <c r="F2427">
        <v>0</v>
      </c>
      <c r="G2427">
        <v>0</v>
      </c>
      <c r="H2427">
        <v>1</v>
      </c>
      <c r="I2427">
        <v>0</v>
      </c>
      <c r="J2427">
        <v>0</v>
      </c>
      <c r="K2427">
        <v>0</v>
      </c>
      <c r="L2427" s="2">
        <v>0</v>
      </c>
      <c r="M2427">
        <v>0</v>
      </c>
      <c r="N2427" s="2">
        <v>0</v>
      </c>
      <c r="O2427">
        <v>0</v>
      </c>
      <c r="P2427" t="s">
        <v>100</v>
      </c>
      <c r="Q2427">
        <v>0</v>
      </c>
      <c r="R2427" t="s">
        <v>145</v>
      </c>
      <c r="S2427">
        <v>0</v>
      </c>
    </row>
    <row r="2428" spans="1:19">
      <c r="A2428" t="s">
        <v>35</v>
      </c>
      <c r="B2428" t="s">
        <v>7541</v>
      </c>
      <c r="C2428">
        <f>"M3LBH022"</f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 s="2">
        <v>0</v>
      </c>
      <c r="M2428">
        <v>0</v>
      </c>
      <c r="N2428" s="2">
        <v>0</v>
      </c>
      <c r="O2428">
        <v>0</v>
      </c>
      <c r="P2428" t="s">
        <v>100</v>
      </c>
      <c r="Q2428">
        <v>0</v>
      </c>
      <c r="R2428" t="s">
        <v>145</v>
      </c>
      <c r="S2428">
        <v>0</v>
      </c>
    </row>
    <row r="2429" spans="1:19">
      <c r="A2429" t="s">
        <v>35</v>
      </c>
      <c r="B2429" t="s">
        <v>7374</v>
      </c>
      <c r="C2429">
        <f>"P01C"</f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 s="2">
        <v>0</v>
      </c>
      <c r="M2429">
        <v>0</v>
      </c>
      <c r="N2429" s="2">
        <v>0</v>
      </c>
      <c r="O2429">
        <v>0</v>
      </c>
      <c r="P2429" t="s">
        <v>100</v>
      </c>
      <c r="Q2429">
        <v>0</v>
      </c>
      <c r="R2429" t="s">
        <v>145</v>
      </c>
      <c r="S2429">
        <v>0</v>
      </c>
    </row>
    <row r="2430" spans="1:19">
      <c r="A2430" t="s">
        <v>35</v>
      </c>
      <c r="B2430" t="s">
        <v>7373</v>
      </c>
      <c r="C2430">
        <f>"P01G"</f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 s="2">
        <v>0</v>
      </c>
      <c r="M2430">
        <v>0</v>
      </c>
      <c r="N2430" s="2">
        <v>0</v>
      </c>
      <c r="O2430">
        <v>0</v>
      </c>
      <c r="P2430" t="s">
        <v>100</v>
      </c>
      <c r="Q2430">
        <v>0</v>
      </c>
      <c r="R2430" t="s">
        <v>145</v>
      </c>
      <c r="S2430">
        <v>0</v>
      </c>
    </row>
    <row r="2431" spans="1:19">
      <c r="A2431" t="s">
        <v>35</v>
      </c>
      <c r="B2431" t="s">
        <v>7372</v>
      </c>
      <c r="C2431">
        <f>"P01R"</f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 s="2">
        <v>0</v>
      </c>
      <c r="M2431">
        <v>0</v>
      </c>
      <c r="N2431" s="2">
        <v>0</v>
      </c>
      <c r="O2431">
        <v>0</v>
      </c>
      <c r="P2431" t="s">
        <v>100</v>
      </c>
      <c r="Q2431">
        <v>0</v>
      </c>
      <c r="R2431" t="s">
        <v>145</v>
      </c>
      <c r="S2431">
        <v>0</v>
      </c>
    </row>
    <row r="2432" spans="1:19">
      <c r="A2432" t="s">
        <v>35</v>
      </c>
      <c r="B2432" t="s">
        <v>7525</v>
      </c>
      <c r="C2432">
        <f>"P08C"</f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 s="2">
        <v>0</v>
      </c>
      <c r="M2432">
        <v>0</v>
      </c>
      <c r="N2432" s="2">
        <v>0</v>
      </c>
      <c r="O2432">
        <v>0</v>
      </c>
      <c r="P2432" t="s">
        <v>100</v>
      </c>
      <c r="Q2432">
        <v>0</v>
      </c>
      <c r="R2432" t="s">
        <v>145</v>
      </c>
      <c r="S2432">
        <v>0</v>
      </c>
    </row>
    <row r="2433" spans="1:19">
      <c r="A2433" t="s">
        <v>35</v>
      </c>
      <c r="B2433" t="s">
        <v>7523</v>
      </c>
      <c r="C2433">
        <f>"P082A"</f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 s="2">
        <v>0</v>
      </c>
      <c r="M2433">
        <v>0</v>
      </c>
      <c r="N2433" s="2">
        <v>0</v>
      </c>
      <c r="O2433">
        <v>0</v>
      </c>
      <c r="P2433" t="s">
        <v>100</v>
      </c>
      <c r="Q2433">
        <v>0</v>
      </c>
      <c r="R2433" t="s">
        <v>145</v>
      </c>
      <c r="S2433">
        <v>0</v>
      </c>
    </row>
    <row r="2434" spans="1:19">
      <c r="A2434" t="s">
        <v>35</v>
      </c>
      <c r="B2434" t="s">
        <v>7522</v>
      </c>
      <c r="C2434">
        <f>"P08A"</f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 s="2">
        <v>0</v>
      </c>
      <c r="M2434">
        <v>0</v>
      </c>
      <c r="N2434" s="2">
        <v>0</v>
      </c>
      <c r="O2434">
        <v>0</v>
      </c>
      <c r="P2434" t="s">
        <v>100</v>
      </c>
      <c r="Q2434">
        <v>0</v>
      </c>
      <c r="R2434" t="s">
        <v>145</v>
      </c>
      <c r="S2434">
        <v>0</v>
      </c>
    </row>
    <row r="2435" spans="1:19">
      <c r="A2435" t="s">
        <v>35</v>
      </c>
      <c r="B2435" t="s">
        <v>7521</v>
      </c>
      <c r="C2435">
        <f>"P082G"</f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 s="2">
        <v>0</v>
      </c>
      <c r="M2435">
        <v>0</v>
      </c>
      <c r="N2435" s="2">
        <v>0</v>
      </c>
      <c r="O2435">
        <v>0</v>
      </c>
      <c r="P2435" t="s">
        <v>100</v>
      </c>
      <c r="Q2435">
        <v>0</v>
      </c>
      <c r="R2435" t="s">
        <v>145</v>
      </c>
      <c r="S2435">
        <v>0</v>
      </c>
    </row>
    <row r="2436" spans="1:19">
      <c r="A2436" t="s">
        <v>35</v>
      </c>
      <c r="B2436" t="s">
        <v>5115</v>
      </c>
      <c r="C2436">
        <f>"ZHSH"</f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 s="2">
        <v>0</v>
      </c>
      <c r="M2436">
        <v>0</v>
      </c>
      <c r="N2436" s="2">
        <v>0</v>
      </c>
      <c r="O2436">
        <v>0</v>
      </c>
      <c r="P2436" t="s">
        <v>100</v>
      </c>
      <c r="Q2436">
        <v>0</v>
      </c>
      <c r="R2436" t="s">
        <v>145</v>
      </c>
      <c r="S2436">
        <v>0</v>
      </c>
    </row>
    <row r="2437" spans="1:19">
      <c r="A2437" t="s">
        <v>35</v>
      </c>
      <c r="B2437" t="s">
        <v>7369</v>
      </c>
      <c r="C2437">
        <f>"P082R"</f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 s="2">
        <v>0</v>
      </c>
      <c r="M2437">
        <v>0</v>
      </c>
      <c r="N2437" s="2">
        <v>0</v>
      </c>
      <c r="O2437">
        <v>0</v>
      </c>
      <c r="P2437" t="s">
        <v>100</v>
      </c>
      <c r="Q2437">
        <v>0</v>
      </c>
      <c r="R2437" t="s">
        <v>145</v>
      </c>
      <c r="S2437">
        <v>0</v>
      </c>
    </row>
    <row r="2438" spans="1:19">
      <c r="A2438" t="s">
        <v>35</v>
      </c>
      <c r="B2438" t="s">
        <v>7500</v>
      </c>
      <c r="C2438">
        <f>"XDB424S"</f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 s="2">
        <v>0</v>
      </c>
      <c r="M2438">
        <v>0</v>
      </c>
      <c r="N2438" s="2">
        <v>0</v>
      </c>
      <c r="O2438">
        <v>0</v>
      </c>
      <c r="P2438" t="s">
        <v>100</v>
      </c>
      <c r="Q2438">
        <v>0</v>
      </c>
      <c r="R2438" t="s">
        <v>145</v>
      </c>
      <c r="S2438">
        <v>0</v>
      </c>
    </row>
    <row r="2439" spans="1:19">
      <c r="A2439" t="s">
        <v>35</v>
      </c>
      <c r="B2439" t="s">
        <v>3102</v>
      </c>
      <c r="C2439">
        <f>"KE1300SUC"</f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 s="2">
        <v>0</v>
      </c>
      <c r="M2439">
        <v>0</v>
      </c>
      <c r="N2439" s="2">
        <v>0</v>
      </c>
      <c r="O2439">
        <v>0</v>
      </c>
      <c r="P2439" t="s">
        <v>100</v>
      </c>
      <c r="Q2439">
        <v>0</v>
      </c>
      <c r="R2439" t="s">
        <v>145</v>
      </c>
      <c r="S2439">
        <v>0</v>
      </c>
    </row>
    <row r="2440" spans="1:19">
      <c r="A2440" t="s">
        <v>35</v>
      </c>
      <c r="B2440" t="s">
        <v>8144</v>
      </c>
      <c r="C2440">
        <f>"A79XXL"</f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 s="2">
        <v>0</v>
      </c>
      <c r="M2440">
        <v>0</v>
      </c>
      <c r="N2440" s="2">
        <v>0</v>
      </c>
      <c r="O2440">
        <v>0</v>
      </c>
      <c r="P2440" t="s">
        <v>100</v>
      </c>
      <c r="Q2440">
        <v>0</v>
      </c>
      <c r="R2440" t="s">
        <v>145</v>
      </c>
      <c r="S2440">
        <v>0</v>
      </c>
    </row>
    <row r="2441" spans="1:19">
      <c r="A2441" t="s">
        <v>35</v>
      </c>
      <c r="B2441" t="s">
        <v>8118</v>
      </c>
      <c r="C2441">
        <f>"HD21M"</f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 s="2">
        <v>0</v>
      </c>
      <c r="M2441">
        <v>0</v>
      </c>
      <c r="N2441" s="2">
        <v>0</v>
      </c>
      <c r="O2441">
        <v>0</v>
      </c>
      <c r="P2441" t="s">
        <v>100</v>
      </c>
      <c r="Q2441">
        <v>0</v>
      </c>
      <c r="R2441" t="s">
        <v>145</v>
      </c>
      <c r="S2441">
        <v>0</v>
      </c>
    </row>
    <row r="2442" spans="1:19">
      <c r="A2442" t="s">
        <v>35</v>
      </c>
      <c r="B2442" t="s">
        <v>8113</v>
      </c>
      <c r="C2442">
        <f>"HD21XXS"</f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 s="2">
        <v>0</v>
      </c>
      <c r="M2442">
        <v>0</v>
      </c>
      <c r="N2442" s="2">
        <v>0</v>
      </c>
      <c r="O2442">
        <v>0</v>
      </c>
      <c r="P2442" t="s">
        <v>100</v>
      </c>
      <c r="Q2442">
        <v>0</v>
      </c>
      <c r="R2442" t="s">
        <v>145</v>
      </c>
      <c r="S2442">
        <v>0</v>
      </c>
    </row>
    <row r="2443" spans="1:19">
      <c r="A2443" t="s">
        <v>35</v>
      </c>
      <c r="B2443" t="s">
        <v>8098</v>
      </c>
      <c r="C2443">
        <f>"HD28L"</f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 s="2">
        <v>0</v>
      </c>
      <c r="M2443">
        <v>0</v>
      </c>
      <c r="N2443" s="2">
        <v>0</v>
      </c>
      <c r="O2443">
        <v>0</v>
      </c>
      <c r="P2443" t="s">
        <v>100</v>
      </c>
      <c r="Q2443">
        <v>0</v>
      </c>
      <c r="R2443" t="s">
        <v>145</v>
      </c>
      <c r="S2443">
        <v>0</v>
      </c>
    </row>
    <row r="2444" spans="1:19">
      <c r="A2444" t="s">
        <v>35</v>
      </c>
      <c r="B2444" t="s">
        <v>8097</v>
      </c>
      <c r="C2444">
        <f>"HD28M"</f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 s="2">
        <v>0</v>
      </c>
      <c r="M2444">
        <v>0</v>
      </c>
      <c r="N2444" s="2">
        <v>0</v>
      </c>
      <c r="O2444">
        <v>0</v>
      </c>
      <c r="P2444" t="s">
        <v>100</v>
      </c>
      <c r="Q2444">
        <v>0</v>
      </c>
      <c r="R2444" t="s">
        <v>145</v>
      </c>
      <c r="S2444">
        <v>0</v>
      </c>
    </row>
    <row r="2445" spans="1:19">
      <c r="A2445" t="s">
        <v>35</v>
      </c>
      <c r="B2445" t="s">
        <v>8096</v>
      </c>
      <c r="C2445">
        <f>"HD28S"</f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 s="2">
        <v>0</v>
      </c>
      <c r="M2445">
        <v>0</v>
      </c>
      <c r="N2445" s="2">
        <v>0</v>
      </c>
      <c r="O2445">
        <v>0</v>
      </c>
      <c r="P2445" t="s">
        <v>100</v>
      </c>
      <c r="Q2445">
        <v>0</v>
      </c>
      <c r="R2445" t="s">
        <v>145</v>
      </c>
      <c r="S2445">
        <v>0</v>
      </c>
    </row>
    <row r="2446" spans="1:19">
      <c r="A2446" t="s">
        <v>35</v>
      </c>
      <c r="B2446" t="s">
        <v>8095</v>
      </c>
      <c r="C2446">
        <f>"HD28XL"</f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 s="2">
        <v>0</v>
      </c>
      <c r="M2446">
        <v>0</v>
      </c>
      <c r="N2446" s="2">
        <v>0</v>
      </c>
      <c r="O2446">
        <v>0</v>
      </c>
      <c r="P2446" t="s">
        <v>100</v>
      </c>
      <c r="Q2446">
        <v>0</v>
      </c>
      <c r="R2446" t="s">
        <v>145</v>
      </c>
      <c r="S2446">
        <v>0</v>
      </c>
    </row>
    <row r="2447" spans="1:19">
      <c r="A2447" t="s">
        <v>35</v>
      </c>
      <c r="B2447" t="s">
        <v>3130</v>
      </c>
      <c r="C2447">
        <f>"MSID2VER"</f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 s="2">
        <v>0</v>
      </c>
      <c r="M2447">
        <v>0</v>
      </c>
      <c r="N2447" s="2">
        <v>0</v>
      </c>
      <c r="O2447">
        <v>0</v>
      </c>
      <c r="P2447" t="s">
        <v>100</v>
      </c>
      <c r="Q2447">
        <v>0</v>
      </c>
      <c r="R2447" t="s">
        <v>145</v>
      </c>
      <c r="S2447">
        <v>0</v>
      </c>
    </row>
    <row r="2448" spans="1:19">
      <c r="A2448" t="s">
        <v>35</v>
      </c>
      <c r="B2448" t="s">
        <v>1252</v>
      </c>
      <c r="C2448">
        <f>"CZ12"</f>
        <v>0</v>
      </c>
      <c r="D2448">
        <v>1</v>
      </c>
      <c r="E2448">
        <v>0</v>
      </c>
      <c r="F2448">
        <v>0</v>
      </c>
      <c r="G2448">
        <v>0</v>
      </c>
      <c r="H2448">
        <v>1</v>
      </c>
      <c r="I2448">
        <v>0</v>
      </c>
      <c r="J2448">
        <v>0</v>
      </c>
      <c r="K2448">
        <v>0</v>
      </c>
      <c r="L2448" s="2">
        <v>0</v>
      </c>
      <c r="M2448">
        <v>0</v>
      </c>
      <c r="N2448" s="2">
        <v>0</v>
      </c>
      <c r="O2448">
        <v>0</v>
      </c>
      <c r="P2448" t="s">
        <v>100</v>
      </c>
      <c r="Q2448">
        <v>0</v>
      </c>
      <c r="R2448" t="s">
        <v>145</v>
      </c>
      <c r="S2448">
        <v>0</v>
      </c>
    </row>
    <row r="2449" spans="1:19">
      <c r="A2449" t="s">
        <v>35</v>
      </c>
      <c r="B2449" t="s">
        <v>7479</v>
      </c>
      <c r="C2449">
        <f>"65873"</f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 s="2">
        <v>0</v>
      </c>
      <c r="M2449">
        <v>0</v>
      </c>
      <c r="N2449" s="2">
        <v>0</v>
      </c>
      <c r="O2449">
        <v>0</v>
      </c>
      <c r="P2449" t="s">
        <v>100</v>
      </c>
      <c r="Q2449">
        <v>0</v>
      </c>
      <c r="R2449" t="s">
        <v>145</v>
      </c>
      <c r="S2449">
        <v>0</v>
      </c>
    </row>
    <row r="2450" spans="1:19">
      <c r="A2450" t="s">
        <v>35</v>
      </c>
      <c r="B2450" t="s">
        <v>3440</v>
      </c>
      <c r="C2450">
        <f>"CZ1"</f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 s="2">
        <v>0</v>
      </c>
      <c r="M2450">
        <v>0</v>
      </c>
      <c r="N2450" s="2">
        <v>0</v>
      </c>
      <c r="O2450">
        <v>0</v>
      </c>
      <c r="P2450" t="s">
        <v>100</v>
      </c>
      <c r="Q2450">
        <v>0</v>
      </c>
      <c r="R2450" t="s">
        <v>145</v>
      </c>
      <c r="S2450">
        <v>0</v>
      </c>
    </row>
    <row r="2451" spans="1:19">
      <c r="A2451" t="s">
        <v>35</v>
      </c>
      <c r="B2451" t="s">
        <v>3439</v>
      </c>
      <c r="C2451">
        <f>"CZ22"</f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 s="2">
        <v>0</v>
      </c>
      <c r="M2451">
        <v>0</v>
      </c>
      <c r="N2451" s="2">
        <v>0</v>
      </c>
      <c r="O2451">
        <v>0</v>
      </c>
      <c r="P2451" t="s">
        <v>100</v>
      </c>
      <c r="Q2451">
        <v>0</v>
      </c>
      <c r="R2451" t="s">
        <v>145</v>
      </c>
      <c r="S2451">
        <v>0</v>
      </c>
    </row>
    <row r="2452" spans="1:19">
      <c r="A2452" t="s">
        <v>35</v>
      </c>
      <c r="B2452" t="s">
        <v>3451</v>
      </c>
      <c r="C2452">
        <f>"CZ8"</f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 s="2">
        <v>0</v>
      </c>
      <c r="M2452">
        <v>0</v>
      </c>
      <c r="N2452" s="2">
        <v>0</v>
      </c>
      <c r="O2452">
        <v>0</v>
      </c>
      <c r="P2452" t="s">
        <v>100</v>
      </c>
      <c r="Q2452">
        <v>0</v>
      </c>
      <c r="R2452" t="s">
        <v>145</v>
      </c>
      <c r="S2452">
        <v>0</v>
      </c>
    </row>
    <row r="2453" spans="1:19">
      <c r="A2453" t="s">
        <v>35</v>
      </c>
      <c r="B2453" t="s">
        <v>3155</v>
      </c>
      <c r="C2453">
        <f>"15332"</f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 s="2">
        <v>0</v>
      </c>
      <c r="M2453">
        <v>0</v>
      </c>
      <c r="N2453" s="2">
        <v>0</v>
      </c>
      <c r="O2453">
        <v>0</v>
      </c>
      <c r="P2453" t="s">
        <v>100</v>
      </c>
      <c r="Q2453">
        <v>0</v>
      </c>
      <c r="R2453" t="s">
        <v>145</v>
      </c>
      <c r="S2453">
        <v>0</v>
      </c>
    </row>
    <row r="2454" spans="1:19">
      <c r="A2454" t="s">
        <v>35</v>
      </c>
      <c r="B2454" t="s">
        <v>3154</v>
      </c>
      <c r="C2454">
        <f>"12141214"</f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 s="2">
        <v>0</v>
      </c>
      <c r="M2454">
        <v>0</v>
      </c>
      <c r="N2454" s="2">
        <v>0</v>
      </c>
      <c r="O2454">
        <v>0</v>
      </c>
      <c r="P2454" t="s">
        <v>100</v>
      </c>
      <c r="Q2454">
        <v>0</v>
      </c>
      <c r="R2454" t="s">
        <v>145</v>
      </c>
      <c r="S2454">
        <v>0</v>
      </c>
    </row>
    <row r="2455" spans="1:19">
      <c r="A2455" t="s">
        <v>35</v>
      </c>
      <c r="B2455" t="s">
        <v>3153</v>
      </c>
      <c r="C2455">
        <f>"KE1100PD"</f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 s="2">
        <v>0</v>
      </c>
      <c r="M2455">
        <v>0</v>
      </c>
      <c r="N2455" s="2">
        <v>0</v>
      </c>
      <c r="O2455">
        <v>0</v>
      </c>
      <c r="P2455" t="s">
        <v>100</v>
      </c>
      <c r="Q2455">
        <v>0</v>
      </c>
      <c r="R2455" t="s">
        <v>145</v>
      </c>
      <c r="S2455">
        <v>0</v>
      </c>
    </row>
    <row r="2456" spans="1:19">
      <c r="A2456" t="s">
        <v>35</v>
      </c>
      <c r="B2456" t="s">
        <v>3383</v>
      </c>
      <c r="C2456">
        <f>"KL05"</f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 s="2">
        <v>0</v>
      </c>
      <c r="M2456">
        <v>0</v>
      </c>
      <c r="N2456" s="2">
        <v>0</v>
      </c>
      <c r="O2456">
        <v>0</v>
      </c>
      <c r="P2456" t="s">
        <v>100</v>
      </c>
      <c r="Q2456">
        <v>0</v>
      </c>
      <c r="R2456" t="s">
        <v>145</v>
      </c>
      <c r="S2456">
        <v>0</v>
      </c>
    </row>
    <row r="2457" spans="1:19">
      <c r="A2457" t="s">
        <v>35</v>
      </c>
      <c r="B2457" t="s">
        <v>1260</v>
      </c>
      <c r="C2457">
        <f>"PX7201"</f>
        <v>0</v>
      </c>
      <c r="D2457">
        <v>1</v>
      </c>
      <c r="E2457">
        <v>0</v>
      </c>
      <c r="F2457">
        <v>0</v>
      </c>
      <c r="G2457">
        <v>0</v>
      </c>
      <c r="H2457">
        <v>1</v>
      </c>
      <c r="I2457">
        <v>0</v>
      </c>
      <c r="J2457">
        <v>0</v>
      </c>
      <c r="K2457">
        <v>0</v>
      </c>
      <c r="L2457" s="2">
        <v>0</v>
      </c>
      <c r="M2457">
        <v>0</v>
      </c>
      <c r="N2457" s="2">
        <v>0</v>
      </c>
      <c r="O2457">
        <v>0</v>
      </c>
      <c r="P2457" t="s">
        <v>100</v>
      </c>
      <c r="Q2457">
        <v>0</v>
      </c>
      <c r="R2457" t="s">
        <v>145</v>
      </c>
      <c r="S2457">
        <v>0</v>
      </c>
    </row>
    <row r="2458" spans="1:19">
      <c r="A2458" t="s">
        <v>35</v>
      </c>
      <c r="B2458" t="s">
        <v>3333</v>
      </c>
      <c r="C2458">
        <f>"KL160D"</f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 s="2">
        <v>0</v>
      </c>
      <c r="M2458">
        <v>0</v>
      </c>
      <c r="N2458" s="2">
        <v>0</v>
      </c>
      <c r="O2458">
        <v>0</v>
      </c>
      <c r="P2458" t="s">
        <v>100</v>
      </c>
      <c r="Q2458">
        <v>0</v>
      </c>
      <c r="R2458" t="s">
        <v>145</v>
      </c>
      <c r="S2458">
        <v>0</v>
      </c>
    </row>
    <row r="2459" spans="1:19">
      <c r="A2459" t="s">
        <v>35</v>
      </c>
      <c r="B2459" t="s">
        <v>8129</v>
      </c>
      <c r="C2459">
        <f>"HD28XXS"</f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 s="2">
        <v>0</v>
      </c>
      <c r="M2459">
        <v>0</v>
      </c>
      <c r="N2459" s="2">
        <v>0</v>
      </c>
      <c r="O2459">
        <v>0</v>
      </c>
      <c r="P2459" t="s">
        <v>100</v>
      </c>
      <c r="Q2459">
        <v>0</v>
      </c>
      <c r="R2459" t="s">
        <v>145</v>
      </c>
      <c r="S2459">
        <v>0</v>
      </c>
    </row>
    <row r="2460" spans="1:19">
      <c r="A2460" t="s">
        <v>35</v>
      </c>
      <c r="B2460" t="s">
        <v>3441</v>
      </c>
      <c r="C2460">
        <f>"CZ27"</f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 s="2">
        <v>0</v>
      </c>
      <c r="M2460">
        <v>0</v>
      </c>
      <c r="N2460" s="2">
        <v>0</v>
      </c>
      <c r="O2460">
        <v>0</v>
      </c>
      <c r="P2460" t="s">
        <v>100</v>
      </c>
      <c r="Q2460">
        <v>0</v>
      </c>
      <c r="R2460" t="s">
        <v>145</v>
      </c>
      <c r="S2460">
        <v>0</v>
      </c>
    </row>
    <row r="2461" spans="1:19">
      <c r="A2461" t="s">
        <v>35</v>
      </c>
      <c r="B2461" t="s">
        <v>8121</v>
      </c>
      <c r="C2461">
        <f>"JN005"</f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 s="2">
        <v>0</v>
      </c>
      <c r="M2461">
        <v>0</v>
      </c>
      <c r="N2461" s="2">
        <v>0</v>
      </c>
      <c r="O2461">
        <v>0</v>
      </c>
      <c r="P2461" t="s">
        <v>100</v>
      </c>
      <c r="Q2461">
        <v>0</v>
      </c>
      <c r="R2461" t="s">
        <v>145</v>
      </c>
      <c r="S2461">
        <v>0</v>
      </c>
    </row>
    <row r="2462" spans="1:19">
      <c r="A2462" t="s">
        <v>35</v>
      </c>
      <c r="B2462" t="s">
        <v>8120</v>
      </c>
      <c r="C2462">
        <f>"i090002"</f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 s="2">
        <v>0</v>
      </c>
      <c r="M2462">
        <v>0</v>
      </c>
      <c r="N2462" s="2">
        <v>0</v>
      </c>
      <c r="O2462">
        <v>0</v>
      </c>
      <c r="P2462" t="s">
        <v>100</v>
      </c>
      <c r="Q2462">
        <v>0</v>
      </c>
      <c r="R2462" t="s">
        <v>145</v>
      </c>
      <c r="S2462">
        <v>0</v>
      </c>
    </row>
    <row r="2463" spans="1:19">
      <c r="A2463" t="s">
        <v>35</v>
      </c>
      <c r="B2463" t="s">
        <v>7484</v>
      </c>
      <c r="C2463">
        <f>"CPD"</f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 s="2">
        <v>0</v>
      </c>
      <c r="M2463">
        <v>0</v>
      </c>
      <c r="N2463" s="2">
        <v>0</v>
      </c>
      <c r="O2463">
        <v>0</v>
      </c>
      <c r="P2463" t="s">
        <v>100</v>
      </c>
      <c r="Q2463">
        <v>0</v>
      </c>
      <c r="R2463" t="s">
        <v>145</v>
      </c>
      <c r="S2463">
        <v>0</v>
      </c>
    </row>
    <row r="2464" spans="1:19">
      <c r="A2464" t="s">
        <v>35</v>
      </c>
      <c r="B2464" t="s">
        <v>3158</v>
      </c>
      <c r="C2464">
        <f>"KE3203P"</f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 s="2">
        <v>0</v>
      </c>
      <c r="M2464">
        <v>0</v>
      </c>
      <c r="N2464" s="2">
        <v>0</v>
      </c>
      <c r="O2464">
        <v>0</v>
      </c>
      <c r="P2464" t="s">
        <v>100</v>
      </c>
      <c r="Q2464">
        <v>0</v>
      </c>
      <c r="R2464" t="s">
        <v>145</v>
      </c>
      <c r="S2464">
        <v>0</v>
      </c>
    </row>
    <row r="2465" spans="1:19">
      <c r="A2465" t="s">
        <v>35</v>
      </c>
      <c r="B2465" t="s">
        <v>3157</v>
      </c>
      <c r="C2465">
        <f>"KE3202PD"</f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 s="2">
        <v>0</v>
      </c>
      <c r="M2465">
        <v>0</v>
      </c>
      <c r="N2465" s="2">
        <v>0</v>
      </c>
      <c r="O2465">
        <v>0</v>
      </c>
      <c r="P2465" t="s">
        <v>100</v>
      </c>
      <c r="Q2465">
        <v>0</v>
      </c>
      <c r="R2465" t="s">
        <v>145</v>
      </c>
      <c r="S2465">
        <v>0</v>
      </c>
    </row>
    <row r="2466" spans="1:19">
      <c r="A2466" t="s">
        <v>35</v>
      </c>
      <c r="B2466" t="s">
        <v>3132</v>
      </c>
      <c r="C2466">
        <f>"KE3203PD"</f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 s="2">
        <v>0</v>
      </c>
      <c r="M2466">
        <v>0</v>
      </c>
      <c r="N2466" s="2">
        <v>0</v>
      </c>
      <c r="O2466">
        <v>0</v>
      </c>
      <c r="P2466" t="s">
        <v>100</v>
      </c>
      <c r="Q2466">
        <v>0</v>
      </c>
      <c r="R2466" t="s">
        <v>145</v>
      </c>
      <c r="S2466">
        <v>0</v>
      </c>
    </row>
    <row r="2467" spans="1:19">
      <c r="A2467" t="s">
        <v>35</v>
      </c>
      <c r="B2467" t="s">
        <v>1107</v>
      </c>
      <c r="C2467">
        <f>"KE3204PD"</f>
        <v>0</v>
      </c>
      <c r="D2467">
        <v>0</v>
      </c>
      <c r="E2467">
        <v>2</v>
      </c>
      <c r="F2467">
        <v>0</v>
      </c>
      <c r="G2467">
        <v>0</v>
      </c>
      <c r="H2467">
        <v>2</v>
      </c>
      <c r="I2467">
        <v>0</v>
      </c>
      <c r="J2467">
        <v>0</v>
      </c>
      <c r="K2467">
        <v>0</v>
      </c>
      <c r="L2467" s="2">
        <v>0</v>
      </c>
      <c r="M2467">
        <v>0</v>
      </c>
      <c r="N2467" s="2">
        <v>0</v>
      </c>
      <c r="O2467">
        <v>0</v>
      </c>
      <c r="P2467" t="s">
        <v>100</v>
      </c>
      <c r="Q2467">
        <v>0</v>
      </c>
      <c r="R2467" t="s">
        <v>145</v>
      </c>
      <c r="S2467">
        <v>0</v>
      </c>
    </row>
    <row r="2468" spans="1:19">
      <c r="A2468" t="s">
        <v>35</v>
      </c>
      <c r="B2468" t="s">
        <v>3129</v>
      </c>
      <c r="C2468">
        <f>"KE1300PD"</f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 s="2">
        <v>0</v>
      </c>
      <c r="M2468">
        <v>0</v>
      </c>
      <c r="N2468" s="2">
        <v>0</v>
      </c>
      <c r="O2468">
        <v>0</v>
      </c>
      <c r="P2468" t="s">
        <v>100</v>
      </c>
      <c r="Q2468">
        <v>0</v>
      </c>
      <c r="R2468" t="s">
        <v>145</v>
      </c>
      <c r="S2468">
        <v>0</v>
      </c>
    </row>
    <row r="2469" spans="1:19">
      <c r="A2469" t="s">
        <v>35</v>
      </c>
      <c r="B2469" t="s">
        <v>3128</v>
      </c>
      <c r="C2469">
        <f>"KE1600PD"</f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 s="2">
        <v>0</v>
      </c>
      <c r="M2469">
        <v>0</v>
      </c>
      <c r="N2469" s="2">
        <v>0</v>
      </c>
      <c r="O2469">
        <v>0</v>
      </c>
      <c r="P2469" t="s">
        <v>100</v>
      </c>
      <c r="Q2469">
        <v>0</v>
      </c>
      <c r="R2469" t="s">
        <v>145</v>
      </c>
      <c r="S2469">
        <v>0</v>
      </c>
    </row>
    <row r="2470" spans="1:19">
      <c r="A2470" t="s">
        <v>35</v>
      </c>
      <c r="B2470" t="s">
        <v>3127</v>
      </c>
      <c r="C2470">
        <f>"KE2000PD"</f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 s="2">
        <v>0</v>
      </c>
      <c r="M2470">
        <v>0</v>
      </c>
      <c r="N2470" s="2">
        <v>0</v>
      </c>
      <c r="O2470">
        <v>0</v>
      </c>
      <c r="P2470" t="s">
        <v>100</v>
      </c>
      <c r="Q2470">
        <v>0</v>
      </c>
      <c r="R2470" t="s">
        <v>145</v>
      </c>
      <c r="S2470">
        <v>0</v>
      </c>
    </row>
    <row r="2471" spans="1:19">
      <c r="A2471" t="s">
        <v>35</v>
      </c>
      <c r="B2471" t="s">
        <v>3103</v>
      </c>
      <c r="C2471">
        <f>"KE4904"</f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 s="2">
        <v>0</v>
      </c>
      <c r="M2471">
        <v>0</v>
      </c>
      <c r="N2471" s="2">
        <v>0</v>
      </c>
      <c r="O2471">
        <v>0</v>
      </c>
      <c r="P2471" t="s">
        <v>100</v>
      </c>
      <c r="Q2471">
        <v>0</v>
      </c>
      <c r="R2471" t="s">
        <v>145</v>
      </c>
      <c r="S2471">
        <v>0</v>
      </c>
    </row>
    <row r="2472" spans="1:19">
      <c r="A2472" t="s">
        <v>35</v>
      </c>
      <c r="B2472" t="s">
        <v>3111</v>
      </c>
      <c r="C2472">
        <f>"KE2600PD"</f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 s="2">
        <v>0</v>
      </c>
      <c r="M2472">
        <v>0</v>
      </c>
      <c r="N2472" s="2">
        <v>0</v>
      </c>
      <c r="O2472">
        <v>0</v>
      </c>
      <c r="P2472" t="s">
        <v>100</v>
      </c>
      <c r="Q2472">
        <v>0</v>
      </c>
      <c r="R2472" t="s">
        <v>145</v>
      </c>
      <c r="S2472">
        <v>0</v>
      </c>
    </row>
    <row r="2473" spans="1:19">
      <c r="A2473" t="s">
        <v>35</v>
      </c>
      <c r="B2473" t="s">
        <v>7467</v>
      </c>
      <c r="C2473">
        <f>"A79L"</f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 s="2">
        <v>0</v>
      </c>
      <c r="M2473">
        <v>0</v>
      </c>
      <c r="N2473" s="2">
        <v>0</v>
      </c>
      <c r="O2473">
        <v>0</v>
      </c>
      <c r="P2473" t="s">
        <v>100</v>
      </c>
      <c r="Q2473">
        <v>0</v>
      </c>
      <c r="R2473" t="s">
        <v>145</v>
      </c>
      <c r="S2473">
        <v>0</v>
      </c>
    </row>
    <row r="2474" spans="1:19">
      <c r="A2474" t="s">
        <v>35</v>
      </c>
      <c r="B2474" t="s">
        <v>8147</v>
      </c>
      <c r="C2474">
        <f>"A79M"</f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 s="2">
        <v>0</v>
      </c>
      <c r="M2474">
        <v>0</v>
      </c>
      <c r="N2474" s="2">
        <v>0</v>
      </c>
      <c r="O2474">
        <v>0</v>
      </c>
      <c r="P2474" t="s">
        <v>100</v>
      </c>
      <c r="Q2474">
        <v>0</v>
      </c>
      <c r="R2474" t="s">
        <v>145</v>
      </c>
      <c r="S2474">
        <v>0</v>
      </c>
    </row>
    <row r="2475" spans="1:19">
      <c r="A2475" t="s">
        <v>35</v>
      </c>
      <c r="B2475" t="s">
        <v>3110</v>
      </c>
      <c r="C2475">
        <f>"KE3202PS"</f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 s="2">
        <v>0</v>
      </c>
      <c r="M2475">
        <v>0</v>
      </c>
      <c r="N2475" s="2">
        <v>0</v>
      </c>
      <c r="O2475">
        <v>0</v>
      </c>
      <c r="P2475" t="s">
        <v>100</v>
      </c>
      <c r="Q2475">
        <v>0</v>
      </c>
      <c r="R2475" t="s">
        <v>145</v>
      </c>
      <c r="S2475">
        <v>0</v>
      </c>
    </row>
    <row r="2476" spans="1:19">
      <c r="A2476" t="s">
        <v>35</v>
      </c>
      <c r="B2476" t="s">
        <v>3108</v>
      </c>
      <c r="C2476">
        <f>"KE3203PS"</f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 s="2">
        <v>0</v>
      </c>
      <c r="M2476">
        <v>0</v>
      </c>
      <c r="N2476" s="2">
        <v>0</v>
      </c>
      <c r="O2476">
        <v>0</v>
      </c>
      <c r="P2476" t="s">
        <v>100</v>
      </c>
      <c r="Q2476">
        <v>0</v>
      </c>
      <c r="R2476" t="s">
        <v>145</v>
      </c>
      <c r="S2476">
        <v>0</v>
      </c>
    </row>
    <row r="2477" spans="1:19">
      <c r="A2477" t="s">
        <v>35</v>
      </c>
      <c r="B2477" t="s">
        <v>3107</v>
      </c>
      <c r="C2477">
        <f>"KE3204PS"</f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 s="2">
        <v>0</v>
      </c>
      <c r="M2477">
        <v>0</v>
      </c>
      <c r="N2477" s="2">
        <v>0</v>
      </c>
      <c r="O2477">
        <v>0</v>
      </c>
      <c r="P2477" t="s">
        <v>100</v>
      </c>
      <c r="Q2477">
        <v>0</v>
      </c>
      <c r="R2477" t="s">
        <v>145</v>
      </c>
      <c r="S2477">
        <v>0</v>
      </c>
    </row>
    <row r="2478" spans="1:19">
      <c r="A2478" t="s">
        <v>35</v>
      </c>
      <c r="B2478" t="s">
        <v>3106</v>
      </c>
      <c r="C2478">
        <f>"KE3205PS"</f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 s="2">
        <v>0</v>
      </c>
      <c r="M2478">
        <v>0</v>
      </c>
      <c r="N2478" s="2">
        <v>0</v>
      </c>
      <c r="O2478">
        <v>0</v>
      </c>
      <c r="P2478" t="s">
        <v>100</v>
      </c>
      <c r="Q2478">
        <v>0</v>
      </c>
      <c r="R2478" t="s">
        <v>145</v>
      </c>
      <c r="S2478">
        <v>0</v>
      </c>
    </row>
    <row r="2479" spans="1:19">
      <c r="A2479" t="s">
        <v>35</v>
      </c>
      <c r="B2479" t="s">
        <v>3147</v>
      </c>
      <c r="C2479">
        <f>"KE4901"</f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 s="2">
        <v>0</v>
      </c>
      <c r="M2479">
        <v>0</v>
      </c>
      <c r="N2479" s="2">
        <v>0</v>
      </c>
      <c r="O2479">
        <v>0</v>
      </c>
      <c r="P2479" t="s">
        <v>100</v>
      </c>
      <c r="Q2479">
        <v>0</v>
      </c>
      <c r="R2479" t="s">
        <v>145</v>
      </c>
      <c r="S2479">
        <v>0</v>
      </c>
    </row>
    <row r="2480" spans="1:19">
      <c r="A2480" t="s">
        <v>35</v>
      </c>
      <c r="B2480" t="s">
        <v>3161</v>
      </c>
      <c r="C2480">
        <f>"KE4902"</f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 s="2">
        <v>0</v>
      </c>
      <c r="M2480">
        <v>0</v>
      </c>
      <c r="N2480" s="2">
        <v>0</v>
      </c>
      <c r="O2480">
        <v>0</v>
      </c>
      <c r="P2480" t="s">
        <v>100</v>
      </c>
      <c r="Q2480">
        <v>0</v>
      </c>
      <c r="R2480" t="s">
        <v>145</v>
      </c>
      <c r="S2480">
        <v>0</v>
      </c>
    </row>
    <row r="2481" spans="1:19">
      <c r="A2481" t="s">
        <v>35</v>
      </c>
      <c r="B2481" t="s">
        <v>3145</v>
      </c>
      <c r="C2481">
        <f>"KE4903"</f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 s="2">
        <v>0</v>
      </c>
      <c r="M2481">
        <v>0</v>
      </c>
      <c r="N2481" s="2">
        <v>0</v>
      </c>
      <c r="O2481">
        <v>0</v>
      </c>
      <c r="P2481" t="s">
        <v>100</v>
      </c>
      <c r="Q2481">
        <v>0</v>
      </c>
      <c r="R2481" t="s">
        <v>145</v>
      </c>
      <c r="S2481">
        <v>0</v>
      </c>
    </row>
    <row r="2482" spans="1:19">
      <c r="A2482" t="s">
        <v>35</v>
      </c>
      <c r="B2482" t="s">
        <v>3126</v>
      </c>
      <c r="C2482">
        <f>"KE2300PD"</f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 s="2">
        <v>0</v>
      </c>
      <c r="M2482">
        <v>0</v>
      </c>
      <c r="N2482" s="2">
        <v>0</v>
      </c>
      <c r="O2482">
        <v>0</v>
      </c>
      <c r="P2482" t="s">
        <v>100</v>
      </c>
      <c r="Q2482">
        <v>0</v>
      </c>
      <c r="R2482" t="s">
        <v>145</v>
      </c>
      <c r="S2482">
        <v>0</v>
      </c>
    </row>
    <row r="2483" spans="1:19">
      <c r="A2483" t="s">
        <v>35</v>
      </c>
      <c r="B2483" t="s">
        <v>7426</v>
      </c>
      <c r="C2483">
        <f>"MM015MROS"</f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 s="2">
        <v>0</v>
      </c>
      <c r="M2483">
        <v>0</v>
      </c>
      <c r="N2483" s="2">
        <v>0</v>
      </c>
      <c r="O2483">
        <v>0</v>
      </c>
      <c r="P2483" t="s">
        <v>100</v>
      </c>
      <c r="Q2483">
        <v>0</v>
      </c>
      <c r="R2483" t="s">
        <v>145</v>
      </c>
      <c r="S2483">
        <v>0</v>
      </c>
    </row>
    <row r="2484" spans="1:19">
      <c r="A2484" t="s">
        <v>35</v>
      </c>
      <c r="B2484" t="s">
        <v>7425</v>
      </c>
      <c r="C2484">
        <f>"FB673MG"</f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 s="2">
        <v>0</v>
      </c>
      <c r="M2484">
        <v>0</v>
      </c>
      <c r="N2484" s="2">
        <v>0</v>
      </c>
      <c r="O2484">
        <v>0</v>
      </c>
      <c r="P2484" t="s">
        <v>100</v>
      </c>
      <c r="Q2484">
        <v>0</v>
      </c>
      <c r="R2484" t="s">
        <v>145</v>
      </c>
      <c r="S2484">
        <v>0</v>
      </c>
    </row>
    <row r="2485" spans="1:19">
      <c r="A2485" t="s">
        <v>35</v>
      </c>
      <c r="B2485" t="s">
        <v>7424</v>
      </c>
      <c r="C2485">
        <f>"FB673MR"</f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 s="2">
        <v>0</v>
      </c>
      <c r="M2485">
        <v>0</v>
      </c>
      <c r="N2485" s="2">
        <v>0</v>
      </c>
      <c r="O2485">
        <v>0</v>
      </c>
      <c r="P2485" t="s">
        <v>100</v>
      </c>
      <c r="Q2485">
        <v>0</v>
      </c>
      <c r="R2485" t="s">
        <v>145</v>
      </c>
      <c r="S2485">
        <v>0</v>
      </c>
    </row>
    <row r="2486" spans="1:19">
      <c r="A2486" t="s">
        <v>35</v>
      </c>
      <c r="B2486" t="s">
        <v>7713</v>
      </c>
      <c r="C2486">
        <f>"FB673XLA"</f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 s="2">
        <v>0</v>
      </c>
      <c r="M2486">
        <v>0</v>
      </c>
      <c r="N2486" s="2">
        <v>0</v>
      </c>
      <c r="O2486">
        <v>0</v>
      </c>
      <c r="P2486" t="s">
        <v>100</v>
      </c>
      <c r="Q2486">
        <v>0</v>
      </c>
      <c r="R2486" t="s">
        <v>145</v>
      </c>
      <c r="S2486">
        <v>0</v>
      </c>
    </row>
    <row r="2487" spans="1:19">
      <c r="A2487" t="s">
        <v>35</v>
      </c>
      <c r="B2487" t="s">
        <v>7573</v>
      </c>
      <c r="C2487">
        <f>"FB673XLG"</f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 s="2">
        <v>0</v>
      </c>
      <c r="M2487">
        <v>0</v>
      </c>
      <c r="N2487" s="2">
        <v>0</v>
      </c>
      <c r="O2487">
        <v>0</v>
      </c>
      <c r="P2487" t="s">
        <v>100</v>
      </c>
      <c r="Q2487">
        <v>0</v>
      </c>
      <c r="R2487" t="s">
        <v>145</v>
      </c>
      <c r="S2487">
        <v>0</v>
      </c>
    </row>
    <row r="2488" spans="1:19">
      <c r="A2488" t="s">
        <v>35</v>
      </c>
      <c r="B2488" t="s">
        <v>7436</v>
      </c>
      <c r="C2488">
        <f>"FB673XLR"</f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 s="2">
        <v>0</v>
      </c>
      <c r="M2488">
        <v>0</v>
      </c>
      <c r="N2488" s="2">
        <v>0</v>
      </c>
      <c r="O2488">
        <v>0</v>
      </c>
      <c r="P2488" t="s">
        <v>100</v>
      </c>
      <c r="Q2488">
        <v>0</v>
      </c>
      <c r="R2488" t="s">
        <v>145</v>
      </c>
      <c r="S2488">
        <v>0</v>
      </c>
    </row>
    <row r="2489" spans="1:19">
      <c r="A2489" t="s">
        <v>35</v>
      </c>
      <c r="B2489" t="s">
        <v>1657</v>
      </c>
      <c r="C2489">
        <f>"MM015SAZ"</f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 s="2">
        <v>0</v>
      </c>
      <c r="M2489">
        <v>0</v>
      </c>
      <c r="N2489" s="2">
        <v>0</v>
      </c>
      <c r="O2489">
        <v>0</v>
      </c>
      <c r="P2489" t="s">
        <v>100</v>
      </c>
      <c r="Q2489">
        <v>0</v>
      </c>
      <c r="R2489" t="s">
        <v>145</v>
      </c>
      <c r="S2489">
        <v>0</v>
      </c>
    </row>
    <row r="2490" spans="1:19">
      <c r="A2490" t="s">
        <v>35</v>
      </c>
      <c r="B2490" t="s">
        <v>1657</v>
      </c>
      <c r="C2490">
        <f>"MM015SFUC"</f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 s="2">
        <v>0</v>
      </c>
      <c r="M2490">
        <v>0</v>
      </c>
      <c r="N2490" s="2">
        <v>0</v>
      </c>
      <c r="O2490">
        <v>0</v>
      </c>
      <c r="P2490" t="s">
        <v>100</v>
      </c>
      <c r="Q2490">
        <v>0</v>
      </c>
      <c r="R2490" t="s">
        <v>145</v>
      </c>
      <c r="S2490">
        <v>0</v>
      </c>
    </row>
    <row r="2491" spans="1:19">
      <c r="A2491" t="s">
        <v>35</v>
      </c>
      <c r="B2491" t="s">
        <v>1657</v>
      </c>
      <c r="C2491">
        <f>"MM015SMO"</f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 s="2">
        <v>0</v>
      </c>
      <c r="M2491">
        <v>0</v>
      </c>
      <c r="N2491" s="2">
        <v>0</v>
      </c>
      <c r="O2491">
        <v>0</v>
      </c>
      <c r="P2491" t="s">
        <v>100</v>
      </c>
      <c r="Q2491">
        <v>0</v>
      </c>
      <c r="R2491" t="s">
        <v>145</v>
      </c>
      <c r="S2491">
        <v>0</v>
      </c>
    </row>
    <row r="2492" spans="1:19">
      <c r="A2492" t="s">
        <v>35</v>
      </c>
      <c r="B2492" t="s">
        <v>7371</v>
      </c>
      <c r="C2492">
        <f>"MM015XXLNA"</f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 s="2">
        <v>0</v>
      </c>
      <c r="M2492">
        <v>0</v>
      </c>
      <c r="N2492" s="2">
        <v>0</v>
      </c>
      <c r="O2492">
        <v>0</v>
      </c>
      <c r="P2492" t="s">
        <v>100</v>
      </c>
      <c r="Q2492">
        <v>0</v>
      </c>
      <c r="R2492" t="s">
        <v>145</v>
      </c>
      <c r="S2492">
        <v>0</v>
      </c>
    </row>
    <row r="2493" spans="1:19">
      <c r="A2493" t="s">
        <v>35</v>
      </c>
      <c r="B2493" t="s">
        <v>1657</v>
      </c>
      <c r="C2493">
        <f>"MM015SNE"</f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 s="2">
        <v>0</v>
      </c>
      <c r="M2493">
        <v>0</v>
      </c>
      <c r="N2493" s="2">
        <v>0</v>
      </c>
      <c r="O2493">
        <v>0</v>
      </c>
      <c r="P2493" t="s">
        <v>100</v>
      </c>
      <c r="Q2493">
        <v>0</v>
      </c>
      <c r="R2493" t="s">
        <v>145</v>
      </c>
      <c r="S2493">
        <v>0</v>
      </c>
    </row>
    <row r="2494" spans="1:19">
      <c r="A2494" t="s">
        <v>35</v>
      </c>
      <c r="B2494" t="s">
        <v>1657</v>
      </c>
      <c r="C2494">
        <f>"MM015SROJ"</f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 s="2">
        <v>0</v>
      </c>
      <c r="M2494">
        <v>0</v>
      </c>
      <c r="N2494" s="2">
        <v>0</v>
      </c>
      <c r="O2494">
        <v>0</v>
      </c>
      <c r="P2494" t="s">
        <v>100</v>
      </c>
      <c r="Q2494">
        <v>0</v>
      </c>
      <c r="R2494" t="s">
        <v>145</v>
      </c>
      <c r="S2494">
        <v>0</v>
      </c>
    </row>
    <row r="2495" spans="1:19">
      <c r="A2495" t="s">
        <v>35</v>
      </c>
      <c r="B2495" t="s">
        <v>1657</v>
      </c>
      <c r="C2495">
        <f>"MM015SROS"</f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 s="2">
        <v>0</v>
      </c>
      <c r="M2495">
        <v>0</v>
      </c>
      <c r="N2495" s="2">
        <v>0</v>
      </c>
      <c r="O2495">
        <v>0</v>
      </c>
      <c r="P2495" t="s">
        <v>100</v>
      </c>
      <c r="Q2495">
        <v>0</v>
      </c>
      <c r="R2495" t="s">
        <v>145</v>
      </c>
      <c r="S2495">
        <v>0</v>
      </c>
    </row>
    <row r="2496" spans="1:19">
      <c r="A2496" t="s">
        <v>35</v>
      </c>
      <c r="B2496" t="s">
        <v>1657</v>
      </c>
      <c r="C2496">
        <f>"MM015SVE"</f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 s="2">
        <v>0</v>
      </c>
      <c r="M2496">
        <v>0</v>
      </c>
      <c r="N2496" s="2">
        <v>0</v>
      </c>
      <c r="O2496">
        <v>0</v>
      </c>
      <c r="P2496" t="s">
        <v>100</v>
      </c>
      <c r="Q2496">
        <v>0</v>
      </c>
      <c r="R2496" t="s">
        <v>145</v>
      </c>
      <c r="S2496">
        <v>0</v>
      </c>
    </row>
    <row r="2497" spans="1:19">
      <c r="A2497" t="s">
        <v>35</v>
      </c>
      <c r="B2497" t="s">
        <v>7383</v>
      </c>
      <c r="C2497">
        <f>"MM015XLAM"</f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 s="2">
        <v>0</v>
      </c>
      <c r="M2497">
        <v>0</v>
      </c>
      <c r="N2497" s="2">
        <v>0</v>
      </c>
      <c r="O2497">
        <v>0</v>
      </c>
      <c r="P2497" t="s">
        <v>100</v>
      </c>
      <c r="Q2497">
        <v>0</v>
      </c>
      <c r="R2497" t="s">
        <v>145</v>
      </c>
      <c r="S2497">
        <v>0</v>
      </c>
    </row>
    <row r="2498" spans="1:19">
      <c r="A2498" t="s">
        <v>35</v>
      </c>
      <c r="B2498" t="s">
        <v>7383</v>
      </c>
      <c r="C2498">
        <f>"MM015XLAZ"</f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 s="2">
        <v>0</v>
      </c>
      <c r="M2498">
        <v>0</v>
      </c>
      <c r="N2498" s="2">
        <v>0</v>
      </c>
      <c r="O2498">
        <v>0</v>
      </c>
      <c r="P2498" t="s">
        <v>100</v>
      </c>
      <c r="Q2498">
        <v>0</v>
      </c>
      <c r="R2498" t="s">
        <v>145</v>
      </c>
      <c r="S2498">
        <v>0</v>
      </c>
    </row>
    <row r="2499" spans="1:19">
      <c r="A2499" t="s">
        <v>35</v>
      </c>
      <c r="B2499" t="s">
        <v>7383</v>
      </c>
      <c r="C2499">
        <f>"MM015XLFUC"</f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 s="2">
        <v>0</v>
      </c>
      <c r="M2499">
        <v>0</v>
      </c>
      <c r="N2499" s="2">
        <v>0</v>
      </c>
      <c r="O2499">
        <v>0</v>
      </c>
      <c r="P2499" t="s">
        <v>100</v>
      </c>
      <c r="Q2499">
        <v>0</v>
      </c>
      <c r="R2499" t="s">
        <v>145</v>
      </c>
      <c r="S2499">
        <v>0</v>
      </c>
    </row>
    <row r="2500" spans="1:19">
      <c r="A2500" t="s">
        <v>35</v>
      </c>
      <c r="B2500" t="s">
        <v>7383</v>
      </c>
      <c r="C2500">
        <f>"MM015XLMO"</f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 s="2">
        <v>0</v>
      </c>
      <c r="M2500">
        <v>0</v>
      </c>
      <c r="N2500" s="2">
        <v>0</v>
      </c>
      <c r="O2500">
        <v>0</v>
      </c>
      <c r="P2500" t="s">
        <v>100</v>
      </c>
      <c r="Q2500">
        <v>0</v>
      </c>
      <c r="R2500" t="s">
        <v>145</v>
      </c>
      <c r="S2500">
        <v>0</v>
      </c>
    </row>
    <row r="2501" spans="1:19">
      <c r="A2501" t="s">
        <v>35</v>
      </c>
      <c r="B2501" t="s">
        <v>7428</v>
      </c>
      <c r="C2501">
        <f>"MM015LFUC"</f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 s="2">
        <v>0</v>
      </c>
      <c r="M2501">
        <v>0</v>
      </c>
      <c r="N2501" s="2">
        <v>0</v>
      </c>
      <c r="O2501">
        <v>0</v>
      </c>
      <c r="P2501" t="s">
        <v>100</v>
      </c>
      <c r="Q2501">
        <v>0</v>
      </c>
      <c r="R2501" t="s">
        <v>145</v>
      </c>
      <c r="S2501">
        <v>0</v>
      </c>
    </row>
    <row r="2502" spans="1:19">
      <c r="A2502" t="s">
        <v>35</v>
      </c>
      <c r="B2502" t="s">
        <v>7428</v>
      </c>
      <c r="C2502">
        <f>"MM015LMO"</f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 s="2">
        <v>0</v>
      </c>
      <c r="M2502">
        <v>0</v>
      </c>
      <c r="N2502" s="2">
        <v>0</v>
      </c>
      <c r="O2502">
        <v>0</v>
      </c>
      <c r="P2502" t="s">
        <v>100</v>
      </c>
      <c r="Q2502">
        <v>0</v>
      </c>
      <c r="R2502" t="s">
        <v>145</v>
      </c>
      <c r="S2502">
        <v>0</v>
      </c>
    </row>
    <row r="2503" spans="1:19">
      <c r="A2503" t="s">
        <v>35</v>
      </c>
      <c r="B2503" t="s">
        <v>1657</v>
      </c>
      <c r="C2503">
        <f>"MM015SNA"</f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 s="2">
        <v>0</v>
      </c>
      <c r="M2503">
        <v>0</v>
      </c>
      <c r="N2503" s="2">
        <v>0</v>
      </c>
      <c r="O2503">
        <v>0</v>
      </c>
      <c r="P2503" t="s">
        <v>100</v>
      </c>
      <c r="Q2503">
        <v>0</v>
      </c>
      <c r="R2503" t="s">
        <v>145</v>
      </c>
      <c r="S2503">
        <v>0</v>
      </c>
    </row>
    <row r="2504" spans="1:19">
      <c r="A2504" t="s">
        <v>35</v>
      </c>
      <c r="B2504" t="s">
        <v>3138</v>
      </c>
      <c r="C2504">
        <f>"BO3053ZROS"</f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 s="2">
        <v>0</v>
      </c>
      <c r="M2504">
        <v>0</v>
      </c>
      <c r="N2504" s="2">
        <v>0</v>
      </c>
      <c r="O2504">
        <v>0</v>
      </c>
      <c r="P2504" t="s">
        <v>100</v>
      </c>
      <c r="Q2504">
        <v>0</v>
      </c>
      <c r="R2504" t="s">
        <v>145</v>
      </c>
      <c r="S2504">
        <v>0</v>
      </c>
    </row>
    <row r="2505" spans="1:19">
      <c r="A2505" t="s">
        <v>35</v>
      </c>
      <c r="B2505" t="s">
        <v>3135</v>
      </c>
      <c r="C2505">
        <f>"BO3042ZROS"</f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 s="2">
        <v>0</v>
      </c>
      <c r="M2505">
        <v>0</v>
      </c>
      <c r="N2505" s="2">
        <v>0</v>
      </c>
      <c r="O2505">
        <v>0</v>
      </c>
      <c r="P2505" t="s">
        <v>100</v>
      </c>
      <c r="Q2505">
        <v>0</v>
      </c>
      <c r="R2505" t="s">
        <v>145</v>
      </c>
      <c r="S2505">
        <v>0</v>
      </c>
    </row>
    <row r="2506" spans="1:19">
      <c r="A2506" t="s">
        <v>35</v>
      </c>
      <c r="B2506" t="s">
        <v>3134</v>
      </c>
      <c r="C2506">
        <f>"BO3042ZV"</f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 s="2">
        <v>0</v>
      </c>
      <c r="M2506">
        <v>0</v>
      </c>
      <c r="N2506" s="2">
        <v>0</v>
      </c>
      <c r="O2506">
        <v>0</v>
      </c>
      <c r="P2506" t="s">
        <v>100</v>
      </c>
      <c r="Q2506">
        <v>0</v>
      </c>
      <c r="R2506" t="s">
        <v>145</v>
      </c>
      <c r="S2506">
        <v>0</v>
      </c>
    </row>
    <row r="2507" spans="1:19">
      <c r="A2507" t="s">
        <v>35</v>
      </c>
      <c r="B2507" t="s">
        <v>3050</v>
      </c>
      <c r="C2507">
        <f>"BO3044ZAZG"</f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 s="2">
        <v>0</v>
      </c>
      <c r="M2507">
        <v>0</v>
      </c>
      <c r="N2507" s="2">
        <v>0</v>
      </c>
      <c r="O2507">
        <v>0</v>
      </c>
      <c r="P2507" t="s">
        <v>100</v>
      </c>
      <c r="Q2507">
        <v>0</v>
      </c>
      <c r="R2507" t="s">
        <v>145</v>
      </c>
      <c r="S2507">
        <v>0</v>
      </c>
    </row>
    <row r="2508" spans="1:19">
      <c r="A2508" t="s">
        <v>35</v>
      </c>
      <c r="B2508" t="s">
        <v>3048</v>
      </c>
      <c r="C2508">
        <f>"BO3044ZVE"</f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 s="2">
        <v>0</v>
      </c>
      <c r="M2508">
        <v>0</v>
      </c>
      <c r="N2508" s="2">
        <v>0</v>
      </c>
      <c r="O2508">
        <v>0</v>
      </c>
      <c r="P2508" t="s">
        <v>100</v>
      </c>
      <c r="Q2508">
        <v>0</v>
      </c>
      <c r="R2508" t="s">
        <v>145</v>
      </c>
      <c r="S2508">
        <v>0</v>
      </c>
    </row>
    <row r="2509" spans="1:19">
      <c r="A2509" t="s">
        <v>35</v>
      </c>
      <c r="B2509" t="s">
        <v>3073</v>
      </c>
      <c r="C2509">
        <f>"TQ0351C"</f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 s="2">
        <v>0</v>
      </c>
      <c r="M2509">
        <v>0</v>
      </c>
      <c r="N2509" s="2">
        <v>0</v>
      </c>
      <c r="O2509">
        <v>0</v>
      </c>
      <c r="P2509" t="s">
        <v>100</v>
      </c>
      <c r="Q2509">
        <v>0</v>
      </c>
      <c r="R2509" t="s">
        <v>145</v>
      </c>
      <c r="S2509">
        <v>0</v>
      </c>
    </row>
    <row r="2510" spans="1:19">
      <c r="A2510" t="s">
        <v>35</v>
      </c>
      <c r="B2510" t="s">
        <v>3071</v>
      </c>
      <c r="C2510">
        <f>"TQ0351V"</f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 s="2">
        <v>0</v>
      </c>
      <c r="M2510">
        <v>0</v>
      </c>
      <c r="N2510" s="2">
        <v>0</v>
      </c>
      <c r="O2510">
        <v>0</v>
      </c>
      <c r="P2510" t="s">
        <v>100</v>
      </c>
      <c r="Q2510">
        <v>0</v>
      </c>
      <c r="R2510" t="s">
        <v>145</v>
      </c>
      <c r="S2510">
        <v>0</v>
      </c>
    </row>
    <row r="2511" spans="1:19">
      <c r="A2511" t="s">
        <v>35</v>
      </c>
      <c r="B2511" t="s">
        <v>3070</v>
      </c>
      <c r="C2511">
        <f>"TQ10111AZ"</f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 s="2">
        <v>0</v>
      </c>
      <c r="M2511">
        <v>0</v>
      </c>
      <c r="N2511" s="2">
        <v>0</v>
      </c>
      <c r="O2511">
        <v>0</v>
      </c>
      <c r="P2511" t="s">
        <v>100</v>
      </c>
      <c r="Q2511">
        <v>0</v>
      </c>
      <c r="R2511" t="s">
        <v>145</v>
      </c>
      <c r="S2511">
        <v>0</v>
      </c>
    </row>
    <row r="2512" spans="1:19">
      <c r="A2512" t="s">
        <v>35</v>
      </c>
      <c r="B2512" t="s">
        <v>3069</v>
      </c>
      <c r="C2512">
        <f>"TQ10111N"</f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 s="2">
        <v>0</v>
      </c>
      <c r="M2512">
        <v>0</v>
      </c>
      <c r="N2512" s="2">
        <v>0</v>
      </c>
      <c r="O2512">
        <v>0</v>
      </c>
      <c r="P2512" t="s">
        <v>100</v>
      </c>
      <c r="Q2512">
        <v>0</v>
      </c>
      <c r="R2512" t="s">
        <v>145</v>
      </c>
      <c r="S2512">
        <v>0</v>
      </c>
    </row>
    <row r="2513" spans="1:19">
      <c r="A2513" t="s">
        <v>35</v>
      </c>
      <c r="B2513" t="s">
        <v>3068</v>
      </c>
      <c r="C2513">
        <f>"TQ10111V"</f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 s="2">
        <v>0</v>
      </c>
      <c r="M2513">
        <v>0</v>
      </c>
      <c r="N2513" s="2">
        <v>0</v>
      </c>
      <c r="O2513">
        <v>0</v>
      </c>
      <c r="P2513" t="s">
        <v>100</v>
      </c>
      <c r="Q2513">
        <v>0</v>
      </c>
      <c r="R2513" t="s">
        <v>145</v>
      </c>
      <c r="S2513">
        <v>0</v>
      </c>
    </row>
    <row r="2514" spans="1:19">
      <c r="A2514" t="s">
        <v>35</v>
      </c>
      <c r="B2514" t="s">
        <v>7426</v>
      </c>
      <c r="C2514">
        <f>"MM015MROJ"</f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 s="2">
        <v>0</v>
      </c>
      <c r="M2514">
        <v>0</v>
      </c>
      <c r="N2514" s="2">
        <v>0</v>
      </c>
      <c r="O2514">
        <v>0</v>
      </c>
      <c r="P2514" t="s">
        <v>100</v>
      </c>
      <c r="Q2514">
        <v>0</v>
      </c>
      <c r="R2514" t="s">
        <v>145</v>
      </c>
      <c r="S2514">
        <v>0</v>
      </c>
    </row>
    <row r="2515" spans="1:19">
      <c r="A2515" t="s">
        <v>35</v>
      </c>
      <c r="B2515" t="s">
        <v>7432</v>
      </c>
      <c r="C2515">
        <f>"B1922MRO"</f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 s="2">
        <v>0</v>
      </c>
      <c r="M2515">
        <v>0</v>
      </c>
      <c r="N2515" s="2">
        <v>0</v>
      </c>
      <c r="O2515">
        <v>0</v>
      </c>
      <c r="P2515" t="s">
        <v>100</v>
      </c>
      <c r="Q2515">
        <v>0</v>
      </c>
      <c r="R2515" t="s">
        <v>145</v>
      </c>
      <c r="S2515">
        <v>0</v>
      </c>
    </row>
    <row r="2516" spans="1:19">
      <c r="A2516" t="s">
        <v>35</v>
      </c>
      <c r="B2516" t="s">
        <v>7428</v>
      </c>
      <c r="C2516">
        <f>"MM015LROJ"</f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 s="2">
        <v>0</v>
      </c>
      <c r="M2516">
        <v>0</v>
      </c>
      <c r="N2516" s="2">
        <v>0</v>
      </c>
      <c r="O2516">
        <v>0</v>
      </c>
      <c r="P2516" t="s">
        <v>100</v>
      </c>
      <c r="Q2516">
        <v>0</v>
      </c>
      <c r="R2516" t="s">
        <v>145</v>
      </c>
      <c r="S2516">
        <v>0</v>
      </c>
    </row>
    <row r="2517" spans="1:19">
      <c r="A2517" t="s">
        <v>35</v>
      </c>
      <c r="B2517" t="s">
        <v>7428</v>
      </c>
      <c r="C2517">
        <f>"MM015LROS"</f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 s="2">
        <v>0</v>
      </c>
      <c r="M2517">
        <v>0</v>
      </c>
      <c r="N2517" s="2">
        <v>0</v>
      </c>
      <c r="O2517">
        <v>0</v>
      </c>
      <c r="P2517" t="s">
        <v>100</v>
      </c>
      <c r="Q2517">
        <v>0</v>
      </c>
      <c r="R2517" t="s">
        <v>145</v>
      </c>
      <c r="S2517">
        <v>0</v>
      </c>
    </row>
    <row r="2518" spans="1:19">
      <c r="A2518" t="s">
        <v>35</v>
      </c>
      <c r="B2518" t="s">
        <v>7428</v>
      </c>
      <c r="C2518">
        <f>"MM015LVE"</f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 s="2">
        <v>0</v>
      </c>
      <c r="M2518">
        <v>0</v>
      </c>
      <c r="N2518" s="2">
        <v>0</v>
      </c>
      <c r="O2518">
        <v>0</v>
      </c>
      <c r="P2518" t="s">
        <v>100</v>
      </c>
      <c r="Q2518">
        <v>0</v>
      </c>
      <c r="R2518" t="s">
        <v>145</v>
      </c>
      <c r="S2518">
        <v>0</v>
      </c>
    </row>
    <row r="2519" spans="1:19">
      <c r="A2519" t="s">
        <v>35</v>
      </c>
      <c r="B2519" t="s">
        <v>7426</v>
      </c>
      <c r="C2519">
        <f>"MM015MAM"</f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 s="2">
        <v>0</v>
      </c>
      <c r="M2519">
        <v>0</v>
      </c>
      <c r="N2519" s="2">
        <v>0</v>
      </c>
      <c r="O2519">
        <v>0</v>
      </c>
      <c r="P2519" t="s">
        <v>100</v>
      </c>
      <c r="Q2519">
        <v>0</v>
      </c>
      <c r="R2519" t="s">
        <v>145</v>
      </c>
      <c r="S2519">
        <v>0</v>
      </c>
    </row>
    <row r="2520" spans="1:19">
      <c r="A2520" t="s">
        <v>35</v>
      </c>
      <c r="B2520" t="s">
        <v>7426</v>
      </c>
      <c r="C2520">
        <f>"MM015MAZ"</f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 s="2">
        <v>0</v>
      </c>
      <c r="M2520">
        <v>0</v>
      </c>
      <c r="N2520" s="2">
        <v>0</v>
      </c>
      <c r="O2520">
        <v>0</v>
      </c>
      <c r="P2520" t="s">
        <v>100</v>
      </c>
      <c r="Q2520">
        <v>0</v>
      </c>
      <c r="R2520" t="s">
        <v>145</v>
      </c>
      <c r="S2520">
        <v>0</v>
      </c>
    </row>
    <row r="2521" spans="1:19">
      <c r="A2521" t="s">
        <v>35</v>
      </c>
      <c r="B2521" t="s">
        <v>7426</v>
      </c>
      <c r="C2521">
        <f>"MM015MFUC"</f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 s="2">
        <v>0</v>
      </c>
      <c r="M2521">
        <v>0</v>
      </c>
      <c r="N2521" s="2">
        <v>0</v>
      </c>
      <c r="O2521">
        <v>0</v>
      </c>
      <c r="P2521" t="s">
        <v>100</v>
      </c>
      <c r="Q2521">
        <v>0</v>
      </c>
      <c r="R2521" t="s">
        <v>145</v>
      </c>
      <c r="S2521">
        <v>0</v>
      </c>
    </row>
    <row r="2522" spans="1:19">
      <c r="A2522" t="s">
        <v>35</v>
      </c>
      <c r="B2522" t="s">
        <v>7426</v>
      </c>
      <c r="C2522">
        <f>"MM015MMO"</f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 s="2">
        <v>0</v>
      </c>
      <c r="M2522">
        <v>0</v>
      </c>
      <c r="N2522" s="2">
        <v>0</v>
      </c>
      <c r="O2522">
        <v>0</v>
      </c>
      <c r="P2522" t="s">
        <v>100</v>
      </c>
      <c r="Q2522">
        <v>0</v>
      </c>
      <c r="R2522" t="s">
        <v>145</v>
      </c>
      <c r="S2522">
        <v>0</v>
      </c>
    </row>
    <row r="2523" spans="1:19">
      <c r="A2523" t="s">
        <v>35</v>
      </c>
      <c r="B2523" t="s">
        <v>7426</v>
      </c>
      <c r="C2523">
        <f>"MM015MNA"</f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 s="2">
        <v>0</v>
      </c>
      <c r="M2523">
        <v>0</v>
      </c>
      <c r="N2523" s="2">
        <v>0</v>
      </c>
      <c r="O2523">
        <v>0</v>
      </c>
      <c r="P2523" t="s">
        <v>100</v>
      </c>
      <c r="Q2523">
        <v>0</v>
      </c>
      <c r="R2523" t="s">
        <v>145</v>
      </c>
      <c r="S2523">
        <v>0</v>
      </c>
    </row>
    <row r="2524" spans="1:19">
      <c r="A2524" t="s">
        <v>35</v>
      </c>
      <c r="B2524" t="s">
        <v>7426</v>
      </c>
      <c r="C2524">
        <f>"MM015MNE"</f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 s="2">
        <v>0</v>
      </c>
      <c r="M2524">
        <v>0</v>
      </c>
      <c r="N2524" s="2">
        <v>0</v>
      </c>
      <c r="O2524">
        <v>0</v>
      </c>
      <c r="P2524" t="s">
        <v>100</v>
      </c>
      <c r="Q2524">
        <v>0</v>
      </c>
      <c r="R2524" t="s">
        <v>145</v>
      </c>
      <c r="S2524">
        <v>0</v>
      </c>
    </row>
    <row r="2525" spans="1:19">
      <c r="A2525" t="s">
        <v>35</v>
      </c>
      <c r="B2525" t="s">
        <v>7433</v>
      </c>
      <c r="C2525">
        <f>"B1922MR"</f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 s="2">
        <v>0</v>
      </c>
      <c r="M2525">
        <v>0</v>
      </c>
      <c r="N2525" s="2">
        <v>0</v>
      </c>
      <c r="O2525">
        <v>0</v>
      </c>
      <c r="P2525" t="s">
        <v>100</v>
      </c>
      <c r="Q2525">
        <v>0</v>
      </c>
      <c r="R2525" t="s">
        <v>145</v>
      </c>
      <c r="S2525">
        <v>0</v>
      </c>
    </row>
    <row r="2526" spans="1:19">
      <c r="A2526" t="s">
        <v>35</v>
      </c>
      <c r="B2526" t="s">
        <v>7383</v>
      </c>
      <c r="C2526">
        <f>"MM015XLNA"</f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 s="2">
        <v>0</v>
      </c>
      <c r="M2526">
        <v>0</v>
      </c>
      <c r="N2526" s="2">
        <v>0</v>
      </c>
      <c r="O2526">
        <v>0</v>
      </c>
      <c r="P2526" t="s">
        <v>100</v>
      </c>
      <c r="Q2526">
        <v>0</v>
      </c>
      <c r="R2526" t="s">
        <v>145</v>
      </c>
      <c r="S2526">
        <v>0</v>
      </c>
    </row>
    <row r="2527" spans="1:19">
      <c r="A2527" t="s">
        <v>35</v>
      </c>
      <c r="B2527" t="s">
        <v>7383</v>
      </c>
      <c r="C2527">
        <f>"MM015XLNE"</f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 s="2">
        <v>0</v>
      </c>
      <c r="M2527">
        <v>0</v>
      </c>
      <c r="N2527" s="2">
        <v>0</v>
      </c>
      <c r="O2527">
        <v>0</v>
      </c>
      <c r="P2527" t="s">
        <v>100</v>
      </c>
      <c r="Q2527">
        <v>0</v>
      </c>
      <c r="R2527" t="s">
        <v>145</v>
      </c>
      <c r="S2527">
        <v>0</v>
      </c>
    </row>
    <row r="2528" spans="1:19">
      <c r="A2528" t="s">
        <v>35</v>
      </c>
      <c r="B2528" t="s">
        <v>7383</v>
      </c>
      <c r="C2528">
        <f>"MM015XLROJ"</f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 s="2">
        <v>0</v>
      </c>
      <c r="M2528">
        <v>0</v>
      </c>
      <c r="N2528" s="2">
        <v>0</v>
      </c>
      <c r="O2528">
        <v>0</v>
      </c>
      <c r="P2528" t="s">
        <v>100</v>
      </c>
      <c r="Q2528">
        <v>0</v>
      </c>
      <c r="R2528" t="s">
        <v>145</v>
      </c>
      <c r="S2528">
        <v>0</v>
      </c>
    </row>
    <row r="2529" spans="1:19">
      <c r="A2529" t="s">
        <v>35</v>
      </c>
      <c r="B2529" t="s">
        <v>7383</v>
      </c>
      <c r="C2529">
        <f>"MM015XLROS"</f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 s="2">
        <v>0</v>
      </c>
      <c r="M2529">
        <v>0</v>
      </c>
      <c r="N2529" s="2">
        <v>0</v>
      </c>
      <c r="O2529">
        <v>0</v>
      </c>
      <c r="P2529" t="s">
        <v>100</v>
      </c>
      <c r="Q2529">
        <v>0</v>
      </c>
      <c r="R2529" t="s">
        <v>145</v>
      </c>
      <c r="S2529">
        <v>0</v>
      </c>
    </row>
    <row r="2530" spans="1:19">
      <c r="A2530" t="s">
        <v>35</v>
      </c>
      <c r="B2530" t="s">
        <v>7383</v>
      </c>
      <c r="C2530">
        <f>"MM015XLVE"</f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 s="2">
        <v>0</v>
      </c>
      <c r="M2530">
        <v>0</v>
      </c>
      <c r="N2530" s="2">
        <v>0</v>
      </c>
      <c r="O2530">
        <v>0</v>
      </c>
      <c r="P2530" t="s">
        <v>100</v>
      </c>
      <c r="Q2530">
        <v>0</v>
      </c>
      <c r="R2530" t="s">
        <v>145</v>
      </c>
      <c r="S2530">
        <v>0</v>
      </c>
    </row>
    <row r="2531" spans="1:19">
      <c r="A2531" t="s">
        <v>35</v>
      </c>
      <c r="B2531" t="s">
        <v>1656</v>
      </c>
      <c r="C2531">
        <f>"MM015XSAM"</f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 s="2">
        <v>0</v>
      </c>
      <c r="M2531">
        <v>0</v>
      </c>
      <c r="N2531" s="2">
        <v>0</v>
      </c>
      <c r="O2531">
        <v>0</v>
      </c>
      <c r="P2531" t="s">
        <v>100</v>
      </c>
      <c r="Q2531">
        <v>0</v>
      </c>
      <c r="R2531" t="s">
        <v>145</v>
      </c>
      <c r="S2531">
        <v>0</v>
      </c>
    </row>
    <row r="2532" spans="1:19">
      <c r="A2532" t="s">
        <v>35</v>
      </c>
      <c r="B2532" t="s">
        <v>1656</v>
      </c>
      <c r="C2532">
        <f>"MM015XSAZ"</f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 s="2">
        <v>0</v>
      </c>
      <c r="M2532">
        <v>0</v>
      </c>
      <c r="N2532" s="2">
        <v>0</v>
      </c>
      <c r="O2532">
        <v>0</v>
      </c>
      <c r="P2532" t="s">
        <v>100</v>
      </c>
      <c r="Q2532">
        <v>0</v>
      </c>
      <c r="R2532" t="s">
        <v>145</v>
      </c>
      <c r="S2532">
        <v>0</v>
      </c>
    </row>
    <row r="2533" spans="1:19">
      <c r="A2533" t="s">
        <v>35</v>
      </c>
      <c r="B2533" t="s">
        <v>1656</v>
      </c>
      <c r="C2533">
        <f>"MM015XSFUC"</f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 s="2">
        <v>0</v>
      </c>
      <c r="M2533">
        <v>0</v>
      </c>
      <c r="N2533" s="2">
        <v>0</v>
      </c>
      <c r="O2533">
        <v>0</v>
      </c>
      <c r="P2533" t="s">
        <v>100</v>
      </c>
      <c r="Q2533">
        <v>0</v>
      </c>
      <c r="R2533" t="s">
        <v>145</v>
      </c>
      <c r="S2533">
        <v>0</v>
      </c>
    </row>
    <row r="2534" spans="1:19">
      <c r="A2534" t="s">
        <v>35</v>
      </c>
      <c r="B2534" t="s">
        <v>1656</v>
      </c>
      <c r="C2534">
        <f>"MM015XSMO"</f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 s="2">
        <v>0</v>
      </c>
      <c r="M2534">
        <v>0</v>
      </c>
      <c r="N2534" s="2">
        <v>0</v>
      </c>
      <c r="O2534">
        <v>0</v>
      </c>
      <c r="P2534" t="s">
        <v>100</v>
      </c>
      <c r="Q2534">
        <v>0</v>
      </c>
      <c r="R2534" t="s">
        <v>145</v>
      </c>
      <c r="S2534">
        <v>0</v>
      </c>
    </row>
    <row r="2535" spans="1:19">
      <c r="A2535" t="s">
        <v>35</v>
      </c>
      <c r="B2535" t="s">
        <v>1656</v>
      </c>
      <c r="C2535">
        <f>"MM015XSNA"</f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 s="2">
        <v>0</v>
      </c>
      <c r="M2535">
        <v>0</v>
      </c>
      <c r="N2535" s="2">
        <v>0</v>
      </c>
      <c r="O2535">
        <v>0</v>
      </c>
      <c r="P2535" t="s">
        <v>100</v>
      </c>
      <c r="Q2535">
        <v>0</v>
      </c>
      <c r="R2535" t="s">
        <v>145</v>
      </c>
      <c r="S2535">
        <v>0</v>
      </c>
    </row>
    <row r="2536" spans="1:19">
      <c r="A2536" t="s">
        <v>35</v>
      </c>
      <c r="B2536" t="s">
        <v>7428</v>
      </c>
      <c r="C2536">
        <f>"MM015LNA"</f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 s="2">
        <v>0</v>
      </c>
      <c r="M2536">
        <v>0</v>
      </c>
      <c r="N2536" s="2">
        <v>0</v>
      </c>
      <c r="O2536">
        <v>0</v>
      </c>
      <c r="P2536" t="s">
        <v>100</v>
      </c>
      <c r="Q2536">
        <v>0</v>
      </c>
      <c r="R2536" t="s">
        <v>145</v>
      </c>
      <c r="S2536">
        <v>0</v>
      </c>
    </row>
    <row r="2537" spans="1:19">
      <c r="A2537" t="s">
        <v>35</v>
      </c>
      <c r="B2537" t="s">
        <v>7368</v>
      </c>
      <c r="C2537">
        <f>"P08R"</f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 s="2">
        <v>0</v>
      </c>
      <c r="M2537">
        <v>0</v>
      </c>
      <c r="N2537" s="2">
        <v>0</v>
      </c>
      <c r="O2537">
        <v>0</v>
      </c>
      <c r="P2537" t="s">
        <v>100</v>
      </c>
      <c r="Q2537">
        <v>0</v>
      </c>
      <c r="R2537" t="s">
        <v>145</v>
      </c>
      <c r="S2537">
        <v>0</v>
      </c>
    </row>
    <row r="2538" spans="1:19">
      <c r="A2538" t="s">
        <v>35</v>
      </c>
      <c r="B2538" t="s">
        <v>7404</v>
      </c>
      <c r="C2538">
        <f>"P023A"</f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 s="2">
        <v>0</v>
      </c>
      <c r="M2538">
        <v>0</v>
      </c>
      <c r="N2538" s="2">
        <v>0</v>
      </c>
      <c r="O2538">
        <v>0</v>
      </c>
      <c r="P2538" t="s">
        <v>100</v>
      </c>
      <c r="Q2538">
        <v>0</v>
      </c>
      <c r="R2538" t="s">
        <v>145</v>
      </c>
      <c r="S2538">
        <v>0</v>
      </c>
    </row>
    <row r="2539" spans="1:19">
      <c r="A2539" t="s">
        <v>35</v>
      </c>
      <c r="B2539" t="s">
        <v>7419</v>
      </c>
      <c r="C2539">
        <f>"P023C"</f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 s="2">
        <v>0</v>
      </c>
      <c r="M2539">
        <v>0</v>
      </c>
      <c r="N2539" s="2">
        <v>0</v>
      </c>
      <c r="O2539">
        <v>0</v>
      </c>
      <c r="P2539" t="s">
        <v>100</v>
      </c>
      <c r="Q2539">
        <v>0</v>
      </c>
      <c r="R2539" t="s">
        <v>145</v>
      </c>
      <c r="S2539">
        <v>0</v>
      </c>
    </row>
    <row r="2540" spans="1:19">
      <c r="A2540" t="s">
        <v>35</v>
      </c>
      <c r="B2540" t="s">
        <v>7418</v>
      </c>
      <c r="C2540">
        <f>"P023G"</f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 s="2">
        <v>0</v>
      </c>
      <c r="M2540">
        <v>0</v>
      </c>
      <c r="N2540" s="2">
        <v>0</v>
      </c>
      <c r="O2540">
        <v>0</v>
      </c>
      <c r="P2540" t="s">
        <v>100</v>
      </c>
      <c r="Q2540">
        <v>0</v>
      </c>
      <c r="R2540" t="s">
        <v>145</v>
      </c>
      <c r="S2540">
        <v>0</v>
      </c>
    </row>
    <row r="2541" spans="1:19">
      <c r="A2541" t="s">
        <v>35</v>
      </c>
      <c r="B2541" t="s">
        <v>7417</v>
      </c>
      <c r="C2541">
        <f>"P082RO"</f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 s="2">
        <v>0</v>
      </c>
      <c r="M2541">
        <v>0</v>
      </c>
      <c r="N2541" s="2">
        <v>0</v>
      </c>
      <c r="O2541">
        <v>0</v>
      </c>
      <c r="P2541" t="s">
        <v>100</v>
      </c>
      <c r="Q2541">
        <v>0</v>
      </c>
      <c r="R2541" t="s">
        <v>145</v>
      </c>
      <c r="S2541">
        <v>0</v>
      </c>
    </row>
    <row r="2542" spans="1:19">
      <c r="A2542" t="s">
        <v>35</v>
      </c>
      <c r="B2542" t="s">
        <v>7416</v>
      </c>
      <c r="C2542">
        <f>"P023R"</f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 s="2">
        <v>0</v>
      </c>
      <c r="M2542">
        <v>0</v>
      </c>
      <c r="N2542" s="2">
        <v>0</v>
      </c>
      <c r="O2542">
        <v>0</v>
      </c>
      <c r="P2542" t="s">
        <v>100</v>
      </c>
      <c r="Q2542">
        <v>0</v>
      </c>
      <c r="R2542" t="s">
        <v>145</v>
      </c>
      <c r="S2542">
        <v>0</v>
      </c>
    </row>
    <row r="2543" spans="1:19">
      <c r="A2543" t="s">
        <v>35</v>
      </c>
      <c r="B2543" t="s">
        <v>7371</v>
      </c>
      <c r="C2543">
        <f>"MM015XXLAM"</f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 s="2">
        <v>0</v>
      </c>
      <c r="M2543">
        <v>0</v>
      </c>
      <c r="N2543" s="2">
        <v>0</v>
      </c>
      <c r="O2543">
        <v>0</v>
      </c>
      <c r="P2543" t="s">
        <v>100</v>
      </c>
      <c r="Q2543">
        <v>0</v>
      </c>
      <c r="R2543" t="s">
        <v>145</v>
      </c>
      <c r="S2543">
        <v>0</v>
      </c>
    </row>
    <row r="2544" spans="1:19">
      <c r="A2544" t="s">
        <v>35</v>
      </c>
      <c r="B2544" t="s">
        <v>7371</v>
      </c>
      <c r="C2544">
        <f>"MM015XXLAZ"</f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 s="2">
        <v>0</v>
      </c>
      <c r="M2544">
        <v>0</v>
      </c>
      <c r="N2544" s="2">
        <v>0</v>
      </c>
      <c r="O2544">
        <v>0</v>
      </c>
      <c r="P2544" t="s">
        <v>100</v>
      </c>
      <c r="Q2544">
        <v>0</v>
      </c>
      <c r="R2544" t="s">
        <v>145</v>
      </c>
      <c r="S2544">
        <v>0</v>
      </c>
    </row>
    <row r="2545" spans="1:19">
      <c r="A2545" t="s">
        <v>35</v>
      </c>
      <c r="B2545" t="s">
        <v>7371</v>
      </c>
      <c r="C2545">
        <f>"MM015XXLFUC"</f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 s="2">
        <v>0</v>
      </c>
      <c r="M2545">
        <v>0</v>
      </c>
      <c r="N2545" s="2">
        <v>0</v>
      </c>
      <c r="O2545">
        <v>0</v>
      </c>
      <c r="P2545" t="s">
        <v>100</v>
      </c>
      <c r="Q2545">
        <v>0</v>
      </c>
      <c r="R2545" t="s">
        <v>145</v>
      </c>
      <c r="S2545">
        <v>0</v>
      </c>
    </row>
    <row r="2546" spans="1:19">
      <c r="A2546" t="s">
        <v>35</v>
      </c>
      <c r="B2546" t="s">
        <v>7371</v>
      </c>
      <c r="C2546">
        <f>"MM015XXLMO"</f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 s="2">
        <v>0</v>
      </c>
      <c r="M2546">
        <v>0</v>
      </c>
      <c r="N2546" s="2">
        <v>0</v>
      </c>
      <c r="O2546">
        <v>0</v>
      </c>
      <c r="P2546" t="s">
        <v>100</v>
      </c>
      <c r="Q2546">
        <v>0</v>
      </c>
      <c r="R2546" t="s">
        <v>145</v>
      </c>
      <c r="S2546">
        <v>0</v>
      </c>
    </row>
    <row r="2547" spans="1:19">
      <c r="A2547" t="s">
        <v>35</v>
      </c>
      <c r="B2547" t="s">
        <v>1656</v>
      </c>
      <c r="C2547">
        <f>"MM015XSNE"</f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 s="2">
        <v>0</v>
      </c>
      <c r="M2547">
        <v>0</v>
      </c>
      <c r="N2547" s="2">
        <v>0</v>
      </c>
      <c r="O2547">
        <v>0</v>
      </c>
      <c r="P2547" t="s">
        <v>100</v>
      </c>
      <c r="Q2547">
        <v>0</v>
      </c>
      <c r="R2547" t="s">
        <v>145</v>
      </c>
      <c r="S2547">
        <v>0</v>
      </c>
    </row>
    <row r="2548" spans="1:19">
      <c r="A2548" t="s">
        <v>35</v>
      </c>
      <c r="B2548" t="s">
        <v>7428</v>
      </c>
      <c r="C2548">
        <f>"MM015LNE"</f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 s="2">
        <v>0</v>
      </c>
      <c r="M2548">
        <v>0</v>
      </c>
      <c r="N2548" s="2">
        <v>0</v>
      </c>
      <c r="O2548">
        <v>0</v>
      </c>
      <c r="P2548" t="s">
        <v>100</v>
      </c>
      <c r="Q2548">
        <v>0</v>
      </c>
      <c r="R2548" t="s">
        <v>145</v>
      </c>
      <c r="S2548">
        <v>0</v>
      </c>
    </row>
    <row r="2549" spans="1:19">
      <c r="A2549" t="s">
        <v>35</v>
      </c>
      <c r="B2549" t="s">
        <v>1656</v>
      </c>
      <c r="C2549">
        <f>"MM015XSROJ"</f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 s="2">
        <v>0</v>
      </c>
      <c r="M2549">
        <v>0</v>
      </c>
      <c r="N2549" s="2">
        <v>0</v>
      </c>
      <c r="O2549">
        <v>0</v>
      </c>
      <c r="P2549" t="s">
        <v>100</v>
      </c>
      <c r="Q2549">
        <v>0</v>
      </c>
      <c r="R2549" t="s">
        <v>145</v>
      </c>
      <c r="S2549">
        <v>0</v>
      </c>
    </row>
    <row r="2550" spans="1:19">
      <c r="A2550" t="s">
        <v>35</v>
      </c>
      <c r="B2550" t="s">
        <v>1656</v>
      </c>
      <c r="C2550">
        <f>"MM015XSROS"</f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 s="2">
        <v>0</v>
      </c>
      <c r="M2550">
        <v>0</v>
      </c>
      <c r="N2550" s="2">
        <v>0</v>
      </c>
      <c r="O2550">
        <v>0</v>
      </c>
      <c r="P2550" t="s">
        <v>100</v>
      </c>
      <c r="Q2550">
        <v>0</v>
      </c>
      <c r="R2550" t="s">
        <v>145</v>
      </c>
      <c r="S2550">
        <v>0</v>
      </c>
    </row>
    <row r="2551" spans="1:19">
      <c r="A2551" t="s">
        <v>35</v>
      </c>
      <c r="B2551" t="s">
        <v>1656</v>
      </c>
      <c r="C2551">
        <f>"MM015XSVE"</f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 s="2">
        <v>0</v>
      </c>
      <c r="M2551">
        <v>0</v>
      </c>
      <c r="N2551" s="2">
        <v>0</v>
      </c>
      <c r="O2551">
        <v>0</v>
      </c>
      <c r="P2551" t="s">
        <v>100</v>
      </c>
      <c r="Q2551">
        <v>0</v>
      </c>
      <c r="R2551" t="s">
        <v>145</v>
      </c>
      <c r="S2551">
        <v>0</v>
      </c>
    </row>
    <row r="2552" spans="1:19">
      <c r="A2552" t="s">
        <v>35</v>
      </c>
      <c r="B2552" t="s">
        <v>1249</v>
      </c>
      <c r="C2552">
        <f>"D122"</f>
        <v>0</v>
      </c>
      <c r="D2552">
        <v>1</v>
      </c>
      <c r="E2552">
        <v>0</v>
      </c>
      <c r="F2552">
        <v>0</v>
      </c>
      <c r="G2552">
        <v>0</v>
      </c>
      <c r="H2552">
        <v>1</v>
      </c>
      <c r="I2552">
        <v>0</v>
      </c>
      <c r="J2552">
        <v>0</v>
      </c>
      <c r="K2552">
        <v>0</v>
      </c>
      <c r="L2552" s="2">
        <v>0</v>
      </c>
      <c r="M2552">
        <v>0</v>
      </c>
      <c r="N2552" s="2">
        <v>0</v>
      </c>
      <c r="O2552">
        <v>0</v>
      </c>
      <c r="P2552" t="s">
        <v>100</v>
      </c>
      <c r="Q2552">
        <v>0</v>
      </c>
      <c r="R2552" t="s">
        <v>145</v>
      </c>
      <c r="S2552">
        <v>0</v>
      </c>
    </row>
    <row r="2553" spans="1:19">
      <c r="A2553" t="s">
        <v>35</v>
      </c>
      <c r="B2553" t="s">
        <v>3150</v>
      </c>
      <c r="C2553">
        <f>"D124"</f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 s="2">
        <v>0</v>
      </c>
      <c r="M2553">
        <v>0</v>
      </c>
      <c r="N2553" s="2">
        <v>0</v>
      </c>
      <c r="O2553">
        <v>0</v>
      </c>
      <c r="P2553" t="s">
        <v>100</v>
      </c>
      <c r="Q2553">
        <v>0</v>
      </c>
      <c r="R2553" t="s">
        <v>145</v>
      </c>
      <c r="S2553">
        <v>0</v>
      </c>
    </row>
    <row r="2554" spans="1:19">
      <c r="A2554" t="s">
        <v>35</v>
      </c>
      <c r="B2554" t="s">
        <v>3149</v>
      </c>
      <c r="C2554">
        <f>"21504"</f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 s="2">
        <v>0</v>
      </c>
      <c r="M2554">
        <v>0</v>
      </c>
      <c r="N2554" s="2">
        <v>0</v>
      </c>
      <c r="O2554">
        <v>0</v>
      </c>
      <c r="P2554" t="s">
        <v>100</v>
      </c>
      <c r="Q2554">
        <v>0</v>
      </c>
      <c r="R2554" t="s">
        <v>145</v>
      </c>
      <c r="S2554">
        <v>0</v>
      </c>
    </row>
    <row r="2555" spans="1:19">
      <c r="A2555" t="s">
        <v>35</v>
      </c>
      <c r="B2555" t="s">
        <v>3148</v>
      </c>
      <c r="C2555">
        <f>"21501"</f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 s="2">
        <v>0</v>
      </c>
      <c r="M2555">
        <v>0</v>
      </c>
      <c r="N2555" s="2">
        <v>0</v>
      </c>
      <c r="O2555">
        <v>0</v>
      </c>
      <c r="P2555" t="s">
        <v>100</v>
      </c>
      <c r="Q2555">
        <v>0</v>
      </c>
      <c r="R2555" t="s">
        <v>145</v>
      </c>
      <c r="S2555">
        <v>0</v>
      </c>
    </row>
    <row r="2556" spans="1:19">
      <c r="A2556" t="s">
        <v>35</v>
      </c>
      <c r="B2556" t="s">
        <v>1248</v>
      </c>
      <c r="C2556">
        <f>"21502C"</f>
        <v>0</v>
      </c>
      <c r="D2556">
        <v>0</v>
      </c>
      <c r="E2556">
        <v>0</v>
      </c>
      <c r="F2556">
        <v>1</v>
      </c>
      <c r="G2556">
        <v>0</v>
      </c>
      <c r="H2556">
        <v>1</v>
      </c>
      <c r="I2556">
        <v>0</v>
      </c>
      <c r="J2556">
        <v>0</v>
      </c>
      <c r="K2556">
        <v>0</v>
      </c>
      <c r="L2556" s="2">
        <v>0</v>
      </c>
      <c r="M2556">
        <v>0</v>
      </c>
      <c r="N2556" s="2">
        <v>0</v>
      </c>
      <c r="O2556">
        <v>0</v>
      </c>
      <c r="P2556" t="s">
        <v>100</v>
      </c>
      <c r="Q2556">
        <v>0</v>
      </c>
      <c r="R2556" t="s">
        <v>145</v>
      </c>
      <c r="S2556">
        <v>0</v>
      </c>
    </row>
    <row r="2557" spans="1:19">
      <c r="A2557" t="s">
        <v>35</v>
      </c>
      <c r="B2557" t="s">
        <v>3062</v>
      </c>
      <c r="C2557">
        <f>"D112"</f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 s="2">
        <v>0</v>
      </c>
      <c r="M2557">
        <v>0</v>
      </c>
      <c r="N2557" s="2">
        <v>0</v>
      </c>
      <c r="O2557">
        <v>0</v>
      </c>
      <c r="P2557" t="s">
        <v>100</v>
      </c>
      <c r="Q2557">
        <v>0</v>
      </c>
      <c r="R2557" t="s">
        <v>145</v>
      </c>
      <c r="S2557">
        <v>0</v>
      </c>
    </row>
    <row r="2558" spans="1:19">
      <c r="A2558" t="s">
        <v>35</v>
      </c>
      <c r="B2558" t="s">
        <v>7375</v>
      </c>
      <c r="C2558">
        <f>"P01A"</f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 s="2">
        <v>0</v>
      </c>
      <c r="M2558">
        <v>0</v>
      </c>
      <c r="N2558" s="2">
        <v>0</v>
      </c>
      <c r="O2558">
        <v>0</v>
      </c>
      <c r="P2558" t="s">
        <v>100</v>
      </c>
      <c r="Q2558">
        <v>0</v>
      </c>
      <c r="R2558" t="s">
        <v>145</v>
      </c>
      <c r="S2558">
        <v>0</v>
      </c>
    </row>
    <row r="2559" spans="1:19">
      <c r="A2559" t="s">
        <v>35</v>
      </c>
      <c r="B2559" t="s">
        <v>3060</v>
      </c>
      <c r="C2559">
        <f>"APA"</f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 s="2">
        <v>0</v>
      </c>
      <c r="M2559">
        <v>0</v>
      </c>
      <c r="N2559" s="2">
        <v>0</v>
      </c>
      <c r="O2559">
        <v>0</v>
      </c>
      <c r="P2559" t="s">
        <v>100</v>
      </c>
      <c r="Q2559">
        <v>0</v>
      </c>
      <c r="R2559" t="s">
        <v>145</v>
      </c>
      <c r="S2559">
        <v>0</v>
      </c>
    </row>
    <row r="2560" spans="1:19">
      <c r="A2560" t="s">
        <v>35</v>
      </c>
      <c r="B2560" t="s">
        <v>3144</v>
      </c>
      <c r="C2560">
        <f>"BO3048ZAM"</f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 s="2">
        <v>0</v>
      </c>
      <c r="M2560">
        <v>0</v>
      </c>
      <c r="N2560" s="2">
        <v>0</v>
      </c>
      <c r="O2560">
        <v>0</v>
      </c>
      <c r="P2560" t="s">
        <v>100</v>
      </c>
      <c r="Q2560">
        <v>0</v>
      </c>
      <c r="R2560" t="s">
        <v>145</v>
      </c>
      <c r="S2560">
        <v>0</v>
      </c>
    </row>
    <row r="2561" spans="1:19">
      <c r="A2561" t="s">
        <v>35</v>
      </c>
      <c r="B2561" t="s">
        <v>3143</v>
      </c>
      <c r="C2561">
        <f>"BO3048ZAZG"</f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 s="2">
        <v>0</v>
      </c>
      <c r="M2561">
        <v>0</v>
      </c>
      <c r="N2561" s="2">
        <v>0</v>
      </c>
      <c r="O2561">
        <v>0</v>
      </c>
      <c r="P2561" t="s">
        <v>100</v>
      </c>
      <c r="Q2561">
        <v>0</v>
      </c>
      <c r="R2561" t="s">
        <v>145</v>
      </c>
      <c r="S2561">
        <v>0</v>
      </c>
    </row>
    <row r="2562" spans="1:19">
      <c r="A2562" t="s">
        <v>35</v>
      </c>
      <c r="B2562" t="s">
        <v>3139</v>
      </c>
      <c r="C2562">
        <f>"BO3053ZAZG"</f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 s="2">
        <v>0</v>
      </c>
      <c r="M2562">
        <v>0</v>
      </c>
      <c r="N2562" s="2">
        <v>0</v>
      </c>
      <c r="O2562">
        <v>0</v>
      </c>
      <c r="P2562" t="s">
        <v>100</v>
      </c>
      <c r="Q2562">
        <v>0</v>
      </c>
      <c r="R2562" t="s">
        <v>145</v>
      </c>
      <c r="S2562">
        <v>0</v>
      </c>
    </row>
    <row r="2563" spans="1:19">
      <c r="A2563" t="s">
        <v>35</v>
      </c>
      <c r="B2563" t="s">
        <v>7426</v>
      </c>
      <c r="C2563">
        <f>"MM015MVE"</f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 s="2">
        <v>0</v>
      </c>
      <c r="M2563">
        <v>0</v>
      </c>
      <c r="N2563" s="2">
        <v>0</v>
      </c>
      <c r="O2563">
        <v>0</v>
      </c>
      <c r="P2563" t="s">
        <v>100</v>
      </c>
      <c r="Q2563">
        <v>0</v>
      </c>
      <c r="R2563" t="s">
        <v>145</v>
      </c>
      <c r="S2563">
        <v>0</v>
      </c>
    </row>
    <row r="2564" spans="1:19">
      <c r="A2564" t="s">
        <v>35</v>
      </c>
      <c r="B2564" t="s">
        <v>1657</v>
      </c>
      <c r="C2564">
        <f>"MM015SAM"</f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 s="2">
        <v>0</v>
      </c>
      <c r="M2564">
        <v>0</v>
      </c>
      <c r="N2564" s="2">
        <v>0</v>
      </c>
      <c r="O2564">
        <v>0</v>
      </c>
      <c r="P2564" t="s">
        <v>100</v>
      </c>
      <c r="Q2564">
        <v>0</v>
      </c>
      <c r="R2564" t="s">
        <v>145</v>
      </c>
      <c r="S2564">
        <v>0</v>
      </c>
    </row>
    <row r="2565" spans="1:19">
      <c r="A2565" t="s">
        <v>35</v>
      </c>
      <c r="B2565" t="s">
        <v>7412</v>
      </c>
      <c r="C2565">
        <f>"DTC909AO"</f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 s="2">
        <v>0</v>
      </c>
      <c r="M2565">
        <v>0</v>
      </c>
      <c r="N2565" s="2">
        <v>0</v>
      </c>
      <c r="O2565">
        <v>0</v>
      </c>
      <c r="P2565" t="s">
        <v>100</v>
      </c>
      <c r="Q2565">
        <v>0</v>
      </c>
      <c r="R2565" t="s">
        <v>145</v>
      </c>
      <c r="S2565">
        <v>0</v>
      </c>
    </row>
    <row r="2566" spans="1:19">
      <c r="A2566" t="s">
        <v>35</v>
      </c>
      <c r="B2566" t="s">
        <v>7411</v>
      </c>
      <c r="C2566">
        <f>"DTC909BUR"</f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 s="2">
        <v>0</v>
      </c>
      <c r="M2566">
        <v>0</v>
      </c>
      <c r="N2566" s="2">
        <v>0</v>
      </c>
      <c r="O2566">
        <v>0</v>
      </c>
      <c r="P2566" t="s">
        <v>100</v>
      </c>
      <c r="Q2566">
        <v>0</v>
      </c>
      <c r="R2566" t="s">
        <v>145</v>
      </c>
      <c r="S2566">
        <v>0</v>
      </c>
    </row>
    <row r="2567" spans="1:19">
      <c r="A2567" t="s">
        <v>35</v>
      </c>
      <c r="B2567" t="s">
        <v>296</v>
      </c>
      <c r="C2567">
        <f>"HDDZ73A"</f>
        <v>0</v>
      </c>
      <c r="D2567">
        <v>0</v>
      </c>
      <c r="E2567">
        <v>80</v>
      </c>
      <c r="F2567">
        <v>0</v>
      </c>
      <c r="G2567">
        <v>0</v>
      </c>
      <c r="H2567">
        <v>80</v>
      </c>
      <c r="I2567">
        <v>0</v>
      </c>
      <c r="J2567">
        <v>0</v>
      </c>
      <c r="K2567">
        <v>0</v>
      </c>
      <c r="L2567" s="2">
        <v>0</v>
      </c>
      <c r="M2567">
        <v>0</v>
      </c>
      <c r="N2567" s="2">
        <v>0</v>
      </c>
      <c r="O2567">
        <v>0</v>
      </c>
      <c r="P2567" t="s">
        <v>100</v>
      </c>
      <c r="Q2567">
        <v>155</v>
      </c>
      <c r="R2567" t="s">
        <v>145</v>
      </c>
      <c r="S2567">
        <v>0</v>
      </c>
    </row>
    <row r="2568" spans="1:19">
      <c r="A2568" t="s">
        <v>35</v>
      </c>
      <c r="B2568" t="s">
        <v>7377</v>
      </c>
      <c r="C2568">
        <f>"2001"</f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 s="2">
        <v>0</v>
      </c>
      <c r="M2568">
        <v>0</v>
      </c>
      <c r="N2568" s="2">
        <v>0</v>
      </c>
      <c r="O2568">
        <v>0</v>
      </c>
      <c r="P2568" t="s">
        <v>100</v>
      </c>
      <c r="Q2568">
        <v>0</v>
      </c>
      <c r="R2568" t="s">
        <v>145</v>
      </c>
      <c r="S2568">
        <v>0</v>
      </c>
    </row>
    <row r="2569" spans="1:19">
      <c r="A2569" t="s">
        <v>35</v>
      </c>
      <c r="B2569" t="s">
        <v>3061</v>
      </c>
      <c r="C2569">
        <f>"APA3"</f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 s="2">
        <v>0</v>
      </c>
      <c r="M2569">
        <v>0</v>
      </c>
      <c r="N2569" s="2">
        <v>0</v>
      </c>
      <c r="O2569">
        <v>0</v>
      </c>
      <c r="P2569" t="s">
        <v>100</v>
      </c>
      <c r="Q2569">
        <v>0</v>
      </c>
      <c r="R2569" t="s">
        <v>145</v>
      </c>
      <c r="S2569">
        <v>0</v>
      </c>
    </row>
    <row r="2570" spans="1:19">
      <c r="A2570" t="s">
        <v>35</v>
      </c>
      <c r="B2570" t="s">
        <v>2986</v>
      </c>
      <c r="C2570">
        <f>"BTM1810"</f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 s="2">
        <v>0</v>
      </c>
      <c r="M2570">
        <v>0</v>
      </c>
      <c r="N2570" s="2">
        <v>0</v>
      </c>
      <c r="O2570">
        <v>0</v>
      </c>
      <c r="P2570" t="s">
        <v>100</v>
      </c>
      <c r="Q2570">
        <v>0</v>
      </c>
      <c r="R2570" t="s">
        <v>145</v>
      </c>
      <c r="S2570">
        <v>0</v>
      </c>
    </row>
    <row r="2571" spans="1:19">
      <c r="A2571" t="s">
        <v>35</v>
      </c>
      <c r="B2571" t="s">
        <v>5855</v>
      </c>
      <c r="C2571">
        <f>"KF8056C"</f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 s="2">
        <v>0</v>
      </c>
      <c r="M2571">
        <v>0</v>
      </c>
      <c r="N2571" s="2">
        <v>0</v>
      </c>
      <c r="O2571">
        <v>0</v>
      </c>
      <c r="P2571" t="s">
        <v>100</v>
      </c>
      <c r="Q2571">
        <v>0</v>
      </c>
      <c r="R2571" t="s">
        <v>145</v>
      </c>
      <c r="S2571">
        <v>0</v>
      </c>
    </row>
    <row r="2572" spans="1:19">
      <c r="A2572" t="s">
        <v>35</v>
      </c>
      <c r="B2572" t="s">
        <v>5854</v>
      </c>
      <c r="C2572">
        <f>"DS03"</f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 s="2">
        <v>0</v>
      </c>
      <c r="M2572">
        <v>0</v>
      </c>
      <c r="N2572" s="2">
        <v>0</v>
      </c>
      <c r="O2572">
        <v>0</v>
      </c>
      <c r="P2572" t="s">
        <v>100</v>
      </c>
      <c r="Q2572">
        <v>0</v>
      </c>
      <c r="R2572" t="s">
        <v>145</v>
      </c>
      <c r="S2572">
        <v>0</v>
      </c>
    </row>
    <row r="2573" spans="1:19">
      <c r="A2573" t="s">
        <v>35</v>
      </c>
      <c r="B2573" t="s">
        <v>5853</v>
      </c>
      <c r="C2573">
        <f>"kf8033a"</f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 s="2">
        <v>0</v>
      </c>
      <c r="M2573">
        <v>0</v>
      </c>
      <c r="N2573" s="2">
        <v>0</v>
      </c>
      <c r="O2573">
        <v>0</v>
      </c>
      <c r="P2573" t="s">
        <v>100</v>
      </c>
      <c r="Q2573">
        <v>0</v>
      </c>
      <c r="R2573" t="s">
        <v>145</v>
      </c>
      <c r="S2573">
        <v>0</v>
      </c>
    </row>
    <row r="2574" spans="1:19">
      <c r="A2574" t="s">
        <v>35</v>
      </c>
      <c r="B2574" t="s">
        <v>5852</v>
      </c>
      <c r="C2574">
        <f>"XX21066"</f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 s="2">
        <v>0</v>
      </c>
      <c r="M2574">
        <v>0</v>
      </c>
      <c r="N2574" s="2">
        <v>0</v>
      </c>
      <c r="O2574">
        <v>0</v>
      </c>
      <c r="P2574" t="s">
        <v>100</v>
      </c>
      <c r="Q2574">
        <v>0</v>
      </c>
      <c r="R2574" t="s">
        <v>145</v>
      </c>
      <c r="S2574">
        <v>0</v>
      </c>
    </row>
    <row r="2575" spans="1:19">
      <c r="A2575" t="s">
        <v>35</v>
      </c>
      <c r="B2575" t="s">
        <v>1358</v>
      </c>
      <c r="C2575">
        <f>"KF8301"</f>
        <v>0</v>
      </c>
      <c r="D2575">
        <v>0</v>
      </c>
      <c r="E2575">
        <v>0</v>
      </c>
      <c r="F2575">
        <v>1</v>
      </c>
      <c r="G2575">
        <v>0</v>
      </c>
      <c r="H2575">
        <v>1</v>
      </c>
      <c r="I2575">
        <v>0</v>
      </c>
      <c r="J2575">
        <v>0</v>
      </c>
      <c r="K2575">
        <v>0</v>
      </c>
      <c r="L2575" s="2">
        <v>0</v>
      </c>
      <c r="M2575">
        <v>0</v>
      </c>
      <c r="N2575" s="2">
        <v>0</v>
      </c>
      <c r="O2575">
        <v>0</v>
      </c>
      <c r="P2575" t="s">
        <v>100</v>
      </c>
      <c r="Q2575">
        <v>0</v>
      </c>
      <c r="R2575" t="s">
        <v>145</v>
      </c>
      <c r="S2575">
        <v>0</v>
      </c>
    </row>
    <row r="2576" spans="1:19">
      <c r="A2576" t="s">
        <v>35</v>
      </c>
      <c r="B2576" t="s">
        <v>5544</v>
      </c>
      <c r="C2576">
        <f>"MZB43"</f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 s="2">
        <v>0</v>
      </c>
      <c r="M2576">
        <v>0</v>
      </c>
      <c r="N2576" s="2">
        <v>0</v>
      </c>
      <c r="O2576">
        <v>0</v>
      </c>
      <c r="P2576" t="s">
        <v>100</v>
      </c>
      <c r="Q2576">
        <v>0</v>
      </c>
      <c r="R2576" t="s">
        <v>145</v>
      </c>
      <c r="S2576">
        <v>0</v>
      </c>
    </row>
    <row r="2577" spans="1:19">
      <c r="A2577" t="s">
        <v>35</v>
      </c>
      <c r="B2577" t="s">
        <v>5541</v>
      </c>
      <c r="C2577">
        <f>"XX2066M"</f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 s="2">
        <v>0</v>
      </c>
      <c r="M2577">
        <v>0</v>
      </c>
      <c r="N2577" s="2">
        <v>0</v>
      </c>
      <c r="O2577">
        <v>0</v>
      </c>
      <c r="P2577" t="s">
        <v>100</v>
      </c>
      <c r="Q2577">
        <v>0</v>
      </c>
      <c r="R2577" t="s">
        <v>145</v>
      </c>
      <c r="S2577">
        <v>0</v>
      </c>
    </row>
    <row r="2578" spans="1:19">
      <c r="A2578" t="s">
        <v>35</v>
      </c>
      <c r="B2578" t="s">
        <v>5561</v>
      </c>
      <c r="C2578">
        <f>"CAT001G"</f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 s="2">
        <v>0</v>
      </c>
      <c r="M2578">
        <v>0</v>
      </c>
      <c r="N2578" s="2">
        <v>0</v>
      </c>
      <c r="O2578">
        <v>0</v>
      </c>
      <c r="P2578" t="s">
        <v>100</v>
      </c>
      <c r="Q2578">
        <v>0</v>
      </c>
      <c r="R2578" t="s">
        <v>145</v>
      </c>
      <c r="S2578">
        <v>0</v>
      </c>
    </row>
    <row r="2579" spans="1:19">
      <c r="A2579" t="s">
        <v>35</v>
      </c>
      <c r="B2579" t="s">
        <v>3249</v>
      </c>
      <c r="C2579">
        <f>"KE3291H"</f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 s="2">
        <v>0</v>
      </c>
      <c r="M2579">
        <v>0</v>
      </c>
      <c r="N2579" s="2">
        <v>0</v>
      </c>
      <c r="O2579">
        <v>0</v>
      </c>
      <c r="P2579" t="s">
        <v>100</v>
      </c>
      <c r="Q2579">
        <v>0</v>
      </c>
      <c r="R2579" t="s">
        <v>145</v>
      </c>
      <c r="S2579">
        <v>0</v>
      </c>
    </row>
    <row r="2580" spans="1:19">
      <c r="A2580" t="s">
        <v>35</v>
      </c>
      <c r="B2580" t="s">
        <v>5520</v>
      </c>
      <c r="C2580">
        <f>"LO80610"</f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 s="2">
        <v>0</v>
      </c>
      <c r="M2580">
        <v>0</v>
      </c>
      <c r="N2580" s="2">
        <v>0</v>
      </c>
      <c r="O2580">
        <v>0</v>
      </c>
      <c r="P2580" t="s">
        <v>100</v>
      </c>
      <c r="Q2580">
        <v>0</v>
      </c>
      <c r="R2580" t="s">
        <v>145</v>
      </c>
      <c r="S2580">
        <v>0</v>
      </c>
    </row>
    <row r="2581" spans="1:19">
      <c r="A2581" t="s">
        <v>35</v>
      </c>
      <c r="B2581" t="s">
        <v>2949</v>
      </c>
      <c r="C2581">
        <f>"NO47"</f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 s="2">
        <v>0</v>
      </c>
      <c r="M2581">
        <v>0</v>
      </c>
      <c r="N2581" s="2">
        <v>0</v>
      </c>
      <c r="O2581">
        <v>0</v>
      </c>
      <c r="P2581" t="s">
        <v>100</v>
      </c>
      <c r="Q2581">
        <v>0</v>
      </c>
      <c r="R2581" t="s">
        <v>145</v>
      </c>
      <c r="S2581">
        <v>0</v>
      </c>
    </row>
    <row r="2582" spans="1:19">
      <c r="A2582" t="s">
        <v>35</v>
      </c>
      <c r="B2582" t="s">
        <v>2908</v>
      </c>
      <c r="C2582">
        <f>"NO45ROS"</f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 s="2">
        <v>0</v>
      </c>
      <c r="M2582">
        <v>0</v>
      </c>
      <c r="N2582" s="2">
        <v>0</v>
      </c>
      <c r="O2582">
        <v>0</v>
      </c>
      <c r="P2582" t="s">
        <v>100</v>
      </c>
      <c r="Q2582">
        <v>0</v>
      </c>
      <c r="R2582" t="s">
        <v>145</v>
      </c>
      <c r="S2582">
        <v>0</v>
      </c>
    </row>
    <row r="2583" spans="1:19">
      <c r="A2583" t="s">
        <v>35</v>
      </c>
      <c r="B2583" t="s">
        <v>3361</v>
      </c>
      <c r="C2583">
        <f>"NO45VER"</f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 s="2">
        <v>0</v>
      </c>
      <c r="M2583">
        <v>0</v>
      </c>
      <c r="N2583" s="2">
        <v>0</v>
      </c>
      <c r="O2583">
        <v>0</v>
      </c>
      <c r="P2583" t="s">
        <v>100</v>
      </c>
      <c r="Q2583">
        <v>0</v>
      </c>
      <c r="R2583" t="s">
        <v>145</v>
      </c>
      <c r="S2583">
        <v>0</v>
      </c>
    </row>
    <row r="2584" spans="1:19">
      <c r="A2584" t="s">
        <v>35</v>
      </c>
      <c r="B2584" t="s">
        <v>3357</v>
      </c>
      <c r="C2584">
        <f>"1811LGN"</f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 s="2">
        <v>0</v>
      </c>
      <c r="M2584">
        <v>0</v>
      </c>
      <c r="N2584" s="2">
        <v>0</v>
      </c>
      <c r="O2584">
        <v>0</v>
      </c>
      <c r="P2584" t="s">
        <v>100</v>
      </c>
      <c r="Q2584">
        <v>0</v>
      </c>
      <c r="R2584" t="s">
        <v>145</v>
      </c>
      <c r="S2584">
        <v>0</v>
      </c>
    </row>
    <row r="2585" spans="1:19">
      <c r="A2585" t="s">
        <v>35</v>
      </c>
      <c r="B2585" t="s">
        <v>3355</v>
      </c>
      <c r="C2585">
        <f>"1811LGV"</f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 s="2">
        <v>0</v>
      </c>
      <c r="M2585">
        <v>0</v>
      </c>
      <c r="N2585" s="2">
        <v>0</v>
      </c>
      <c r="O2585">
        <v>0</v>
      </c>
      <c r="P2585" t="s">
        <v>100</v>
      </c>
      <c r="Q2585">
        <v>0</v>
      </c>
      <c r="R2585" t="s">
        <v>145</v>
      </c>
      <c r="S2585">
        <v>0</v>
      </c>
    </row>
    <row r="2586" spans="1:19">
      <c r="A2586" t="s">
        <v>35</v>
      </c>
      <c r="B2586" t="s">
        <v>4079</v>
      </c>
      <c r="C2586">
        <f>"1811SGV"</f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 s="2">
        <v>0</v>
      </c>
      <c r="M2586">
        <v>0</v>
      </c>
      <c r="N2586" s="2">
        <v>0</v>
      </c>
      <c r="O2586">
        <v>0</v>
      </c>
      <c r="P2586" t="s">
        <v>100</v>
      </c>
      <c r="Q2586">
        <v>0</v>
      </c>
      <c r="R2586" t="s">
        <v>145</v>
      </c>
      <c r="S2586">
        <v>0</v>
      </c>
    </row>
    <row r="2587" spans="1:19">
      <c r="A2587" t="s">
        <v>35</v>
      </c>
      <c r="B2587" t="s">
        <v>4077</v>
      </c>
      <c r="C2587">
        <f>"1802L"</f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 s="2">
        <v>0</v>
      </c>
      <c r="M2587">
        <v>0</v>
      </c>
      <c r="N2587" s="2">
        <v>0</v>
      </c>
      <c r="O2587">
        <v>0</v>
      </c>
      <c r="P2587" t="s">
        <v>100</v>
      </c>
      <c r="Q2587">
        <v>0</v>
      </c>
      <c r="R2587" t="s">
        <v>145</v>
      </c>
      <c r="S2587">
        <v>0</v>
      </c>
    </row>
    <row r="2588" spans="1:19">
      <c r="A2588" t="s">
        <v>35</v>
      </c>
      <c r="B2588" t="s">
        <v>4074</v>
      </c>
      <c r="C2588">
        <f>"35096ROS"</f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 s="2">
        <v>0</v>
      </c>
      <c r="M2588">
        <v>0</v>
      </c>
      <c r="N2588" s="2">
        <v>0</v>
      </c>
      <c r="O2588">
        <v>0</v>
      </c>
      <c r="P2588" t="s">
        <v>100</v>
      </c>
      <c r="Q2588">
        <v>0</v>
      </c>
      <c r="R2588" t="s">
        <v>145</v>
      </c>
      <c r="S2588">
        <v>0</v>
      </c>
    </row>
    <row r="2589" spans="1:19">
      <c r="A2589" t="s">
        <v>35</v>
      </c>
      <c r="B2589" t="s">
        <v>4073</v>
      </c>
      <c r="C2589">
        <f>"A661"</f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 s="2">
        <v>0</v>
      </c>
      <c r="M2589">
        <v>0</v>
      </c>
      <c r="N2589" s="2">
        <v>0</v>
      </c>
      <c r="O2589">
        <v>0</v>
      </c>
      <c r="P2589" t="s">
        <v>100</v>
      </c>
      <c r="Q2589">
        <v>0</v>
      </c>
      <c r="R2589" t="s">
        <v>145</v>
      </c>
      <c r="S2589">
        <v>0</v>
      </c>
    </row>
    <row r="2590" spans="1:19">
      <c r="A2590" t="s">
        <v>35</v>
      </c>
      <c r="B2590" t="s">
        <v>5882</v>
      </c>
      <c r="C2590">
        <f>"LO80704"</f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 s="2">
        <v>0</v>
      </c>
      <c r="M2590">
        <v>0</v>
      </c>
      <c r="N2590" s="2">
        <v>0</v>
      </c>
      <c r="O2590">
        <v>0</v>
      </c>
      <c r="P2590" t="s">
        <v>100</v>
      </c>
      <c r="Q2590">
        <v>0</v>
      </c>
      <c r="R2590" t="s">
        <v>145</v>
      </c>
      <c r="S2590">
        <v>0</v>
      </c>
    </row>
    <row r="2591" spans="1:19">
      <c r="A2591" t="s">
        <v>35</v>
      </c>
      <c r="B2591" t="s">
        <v>5867</v>
      </c>
      <c r="C2591">
        <f>"3026"</f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 s="2">
        <v>0</v>
      </c>
      <c r="M2591">
        <v>0</v>
      </c>
      <c r="N2591" s="2">
        <v>0</v>
      </c>
      <c r="O2591">
        <v>0</v>
      </c>
      <c r="P2591" t="s">
        <v>100</v>
      </c>
      <c r="Q2591">
        <v>0</v>
      </c>
      <c r="R2591" t="s">
        <v>145</v>
      </c>
      <c r="S2591">
        <v>0</v>
      </c>
    </row>
    <row r="2592" spans="1:19">
      <c r="A2592" t="s">
        <v>35</v>
      </c>
      <c r="B2592" t="s">
        <v>6182</v>
      </c>
      <c r="C2592">
        <f>"LS298CE"</f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 s="2">
        <v>0</v>
      </c>
      <c r="M2592">
        <v>0</v>
      </c>
      <c r="N2592" s="2">
        <v>0</v>
      </c>
      <c r="O2592">
        <v>0</v>
      </c>
      <c r="P2592" t="s">
        <v>100</v>
      </c>
      <c r="Q2592">
        <v>0</v>
      </c>
      <c r="R2592" t="s">
        <v>145</v>
      </c>
      <c r="S2592">
        <v>0</v>
      </c>
    </row>
    <row r="2593" spans="1:19">
      <c r="A2593" t="s">
        <v>35</v>
      </c>
      <c r="B2593" t="s">
        <v>6181</v>
      </c>
      <c r="C2593">
        <f>"LS298GR"</f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 s="2">
        <v>0</v>
      </c>
      <c r="M2593">
        <v>0</v>
      </c>
      <c r="N2593" s="2">
        <v>0</v>
      </c>
      <c r="O2593">
        <v>0</v>
      </c>
      <c r="P2593" t="s">
        <v>100</v>
      </c>
      <c r="Q2593">
        <v>0</v>
      </c>
      <c r="R2593" t="s">
        <v>145</v>
      </c>
      <c r="S2593">
        <v>0</v>
      </c>
    </row>
    <row r="2594" spans="1:19">
      <c r="A2594" t="s">
        <v>35</v>
      </c>
      <c r="B2594" t="s">
        <v>6180</v>
      </c>
      <c r="C2594">
        <f>"LS298NA"</f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 s="2">
        <v>0</v>
      </c>
      <c r="M2594">
        <v>0</v>
      </c>
      <c r="N2594" s="2">
        <v>0</v>
      </c>
      <c r="O2594">
        <v>0</v>
      </c>
      <c r="P2594" t="s">
        <v>100</v>
      </c>
      <c r="Q2594">
        <v>0</v>
      </c>
      <c r="R2594" t="s">
        <v>145</v>
      </c>
      <c r="S2594">
        <v>0</v>
      </c>
    </row>
    <row r="2595" spans="1:19">
      <c r="A2595" t="s">
        <v>35</v>
      </c>
      <c r="B2595" t="s">
        <v>6179</v>
      </c>
      <c r="C2595">
        <f>"LS298ROS"</f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 s="2">
        <v>0</v>
      </c>
      <c r="M2595">
        <v>0</v>
      </c>
      <c r="N2595" s="2">
        <v>0</v>
      </c>
      <c r="O2595">
        <v>0</v>
      </c>
      <c r="P2595" t="s">
        <v>100</v>
      </c>
      <c r="Q2595">
        <v>0</v>
      </c>
      <c r="R2595" t="s">
        <v>145</v>
      </c>
      <c r="S2595">
        <v>0</v>
      </c>
    </row>
    <row r="2596" spans="1:19">
      <c r="A2596" t="s">
        <v>35</v>
      </c>
      <c r="B2596" t="s">
        <v>6178</v>
      </c>
      <c r="C2596">
        <f>"LS221G"</f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 s="2">
        <v>0</v>
      </c>
      <c r="M2596">
        <v>0</v>
      </c>
      <c r="N2596" s="2">
        <v>0</v>
      </c>
      <c r="O2596">
        <v>0</v>
      </c>
      <c r="P2596" t="s">
        <v>100</v>
      </c>
      <c r="Q2596">
        <v>0</v>
      </c>
      <c r="R2596" t="s">
        <v>145</v>
      </c>
      <c r="S2596">
        <v>0</v>
      </c>
    </row>
    <row r="2597" spans="1:19">
      <c r="A2597" t="s">
        <v>35</v>
      </c>
      <c r="B2597" t="s">
        <v>5519</v>
      </c>
      <c r="C2597">
        <f>"25570249"</f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 s="2">
        <v>0</v>
      </c>
      <c r="M2597">
        <v>0</v>
      </c>
      <c r="N2597" s="2">
        <v>0</v>
      </c>
      <c r="O2597">
        <v>0</v>
      </c>
      <c r="P2597" t="s">
        <v>100</v>
      </c>
      <c r="Q2597">
        <v>0</v>
      </c>
      <c r="R2597" t="s">
        <v>145</v>
      </c>
      <c r="S2597">
        <v>0</v>
      </c>
    </row>
    <row r="2598" spans="1:19">
      <c r="A2598" t="s">
        <v>35</v>
      </c>
      <c r="B2598" t="s">
        <v>3123</v>
      </c>
      <c r="C2598">
        <f>"SZP0003A01"</f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 s="2">
        <v>0</v>
      </c>
      <c r="M2598">
        <v>0</v>
      </c>
      <c r="N2598" s="2">
        <v>0</v>
      </c>
      <c r="O2598">
        <v>0</v>
      </c>
      <c r="P2598" t="s">
        <v>100</v>
      </c>
      <c r="Q2598">
        <v>0</v>
      </c>
      <c r="R2598" t="s">
        <v>145</v>
      </c>
      <c r="S2598">
        <v>0</v>
      </c>
    </row>
    <row r="2599" spans="1:19">
      <c r="A2599" t="s">
        <v>35</v>
      </c>
      <c r="B2599" t="s">
        <v>3122</v>
      </c>
      <c r="C2599">
        <f>"W0002"</f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 s="2">
        <v>0</v>
      </c>
      <c r="M2599">
        <v>0</v>
      </c>
      <c r="N2599" s="2">
        <v>0</v>
      </c>
      <c r="O2599">
        <v>0</v>
      </c>
      <c r="P2599" t="s">
        <v>100</v>
      </c>
      <c r="Q2599">
        <v>0</v>
      </c>
      <c r="R2599" t="s">
        <v>145</v>
      </c>
      <c r="S2599">
        <v>0</v>
      </c>
    </row>
    <row r="2600" spans="1:19">
      <c r="A2600" t="s">
        <v>35</v>
      </c>
      <c r="B2600" t="s">
        <v>5864</v>
      </c>
      <c r="C2600">
        <f>"PT2003"</f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 s="2">
        <v>0</v>
      </c>
      <c r="M2600">
        <v>0</v>
      </c>
      <c r="N2600" s="2">
        <v>0</v>
      </c>
      <c r="O2600">
        <v>0</v>
      </c>
      <c r="P2600" t="s">
        <v>100</v>
      </c>
      <c r="Q2600">
        <v>0</v>
      </c>
      <c r="R2600" t="s">
        <v>145</v>
      </c>
      <c r="S2600">
        <v>0</v>
      </c>
    </row>
    <row r="2601" spans="1:19">
      <c r="A2601" t="s">
        <v>35</v>
      </c>
      <c r="B2601" t="s">
        <v>3354</v>
      </c>
      <c r="C2601">
        <f>"CTB19VE"</f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 s="2">
        <v>0</v>
      </c>
      <c r="M2601">
        <v>0</v>
      </c>
      <c r="N2601" s="2">
        <v>0</v>
      </c>
      <c r="O2601">
        <v>0</v>
      </c>
      <c r="P2601" t="s">
        <v>100</v>
      </c>
      <c r="Q2601">
        <v>0</v>
      </c>
      <c r="R2601" t="s">
        <v>145</v>
      </c>
      <c r="S2601">
        <v>0</v>
      </c>
    </row>
    <row r="2602" spans="1:19">
      <c r="A2602" t="s">
        <v>35</v>
      </c>
      <c r="B2602" t="s">
        <v>3114</v>
      </c>
      <c r="C2602">
        <f>"WPS343"</f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 s="2">
        <v>0</v>
      </c>
      <c r="M2602">
        <v>0</v>
      </c>
      <c r="N2602" s="2">
        <v>0</v>
      </c>
      <c r="O2602">
        <v>0</v>
      </c>
      <c r="P2602" t="s">
        <v>100</v>
      </c>
      <c r="Q2602">
        <v>0</v>
      </c>
      <c r="R2602" t="s">
        <v>145</v>
      </c>
      <c r="S2602">
        <v>0</v>
      </c>
    </row>
    <row r="2603" spans="1:19">
      <c r="A2603" t="s">
        <v>35</v>
      </c>
      <c r="B2603" t="s">
        <v>3113</v>
      </c>
      <c r="C2603">
        <f>"CBT20"</f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 s="2">
        <v>0</v>
      </c>
      <c r="M2603">
        <v>0</v>
      </c>
      <c r="N2603" s="2">
        <v>0</v>
      </c>
      <c r="O2603">
        <v>0</v>
      </c>
      <c r="P2603" t="s">
        <v>100</v>
      </c>
      <c r="Q2603">
        <v>0</v>
      </c>
      <c r="R2603" t="s">
        <v>145</v>
      </c>
      <c r="S2603">
        <v>0</v>
      </c>
    </row>
    <row r="2604" spans="1:19">
      <c r="A2604" t="s">
        <v>35</v>
      </c>
      <c r="B2604" t="s">
        <v>3112</v>
      </c>
      <c r="C2604">
        <f>"BOL26AZ"</f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 s="2">
        <v>0</v>
      </c>
      <c r="M2604">
        <v>0</v>
      </c>
      <c r="N2604" s="2">
        <v>0</v>
      </c>
      <c r="O2604">
        <v>0</v>
      </c>
      <c r="P2604" t="s">
        <v>100</v>
      </c>
      <c r="Q2604">
        <v>0</v>
      </c>
      <c r="R2604" t="s">
        <v>145</v>
      </c>
      <c r="S2604">
        <v>0</v>
      </c>
    </row>
    <row r="2605" spans="1:19">
      <c r="A2605" t="s">
        <v>35</v>
      </c>
      <c r="B2605" t="s">
        <v>5576</v>
      </c>
      <c r="C2605">
        <f>"CAT001R"</f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 s="2">
        <v>0</v>
      </c>
      <c r="M2605">
        <v>0</v>
      </c>
      <c r="N2605" s="2">
        <v>0</v>
      </c>
      <c r="O2605">
        <v>0</v>
      </c>
      <c r="P2605" t="s">
        <v>100</v>
      </c>
      <c r="Q2605">
        <v>0</v>
      </c>
      <c r="R2605" t="s">
        <v>145</v>
      </c>
      <c r="S2605">
        <v>0</v>
      </c>
    </row>
    <row r="2606" spans="1:19">
      <c r="A2606" t="s">
        <v>35</v>
      </c>
      <c r="B2606" t="s">
        <v>5537</v>
      </c>
      <c r="C2606">
        <f>"CAT001LE"</f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 s="2">
        <v>0</v>
      </c>
      <c r="M2606">
        <v>0</v>
      </c>
      <c r="N2606" s="2">
        <v>0</v>
      </c>
      <c r="O2606">
        <v>0</v>
      </c>
      <c r="P2606" t="s">
        <v>100</v>
      </c>
      <c r="Q2606">
        <v>0</v>
      </c>
      <c r="R2606" t="s">
        <v>145</v>
      </c>
      <c r="S2606">
        <v>0</v>
      </c>
    </row>
    <row r="2607" spans="1:19">
      <c r="A2607" t="s">
        <v>35</v>
      </c>
      <c r="B2607" t="s">
        <v>5535</v>
      </c>
      <c r="C2607">
        <f>"kf8033"</f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 s="2">
        <v>0</v>
      </c>
      <c r="M2607">
        <v>0</v>
      </c>
      <c r="N2607" s="2">
        <v>0</v>
      </c>
      <c r="O2607">
        <v>0</v>
      </c>
      <c r="P2607" t="s">
        <v>100</v>
      </c>
      <c r="Q2607">
        <v>0</v>
      </c>
      <c r="R2607" t="s">
        <v>145</v>
      </c>
      <c r="S2607">
        <v>0</v>
      </c>
    </row>
    <row r="2608" spans="1:19">
      <c r="A2608" t="s">
        <v>35</v>
      </c>
      <c r="B2608" t="s">
        <v>5534</v>
      </c>
      <c r="C2608">
        <f>"69713"</f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 s="2">
        <v>0</v>
      </c>
      <c r="M2608">
        <v>0</v>
      </c>
      <c r="N2608" s="2">
        <v>0</v>
      </c>
      <c r="O2608">
        <v>0</v>
      </c>
      <c r="P2608" t="s">
        <v>100</v>
      </c>
      <c r="Q2608">
        <v>0</v>
      </c>
      <c r="R2608" t="s">
        <v>145</v>
      </c>
      <c r="S2608">
        <v>0</v>
      </c>
    </row>
    <row r="2609" spans="1:19">
      <c r="A2609" t="s">
        <v>35</v>
      </c>
      <c r="B2609" t="s">
        <v>5533</v>
      </c>
      <c r="C2609">
        <f>"MZB52C"</f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 s="2">
        <v>0</v>
      </c>
      <c r="M2609">
        <v>0</v>
      </c>
      <c r="N2609" s="2">
        <v>0</v>
      </c>
      <c r="O2609">
        <v>0</v>
      </c>
      <c r="P2609" t="s">
        <v>100</v>
      </c>
      <c r="Q2609">
        <v>0</v>
      </c>
      <c r="R2609" t="s">
        <v>145</v>
      </c>
      <c r="S2609">
        <v>0</v>
      </c>
    </row>
    <row r="2610" spans="1:19">
      <c r="A2610" t="s">
        <v>35</v>
      </c>
      <c r="B2610" t="s">
        <v>5531</v>
      </c>
      <c r="C2610">
        <f>"KFFZ004"</f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 s="2">
        <v>0</v>
      </c>
      <c r="M2610">
        <v>0</v>
      </c>
      <c r="N2610" s="2">
        <v>0</v>
      </c>
      <c r="O2610">
        <v>0</v>
      </c>
      <c r="P2610" t="s">
        <v>100</v>
      </c>
      <c r="Q2610">
        <v>0</v>
      </c>
      <c r="R2610" t="s">
        <v>145</v>
      </c>
      <c r="S2610">
        <v>0</v>
      </c>
    </row>
    <row r="2611" spans="1:19">
      <c r="A2611" t="s">
        <v>35</v>
      </c>
      <c r="B2611" t="s">
        <v>5785</v>
      </c>
      <c r="C2611">
        <f>"CTB19AZ"</f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 s="2">
        <v>0</v>
      </c>
      <c r="M2611">
        <v>0</v>
      </c>
      <c r="N2611" s="2">
        <v>0</v>
      </c>
      <c r="O2611">
        <v>0</v>
      </c>
      <c r="P2611" t="s">
        <v>100</v>
      </c>
      <c r="Q2611">
        <v>0</v>
      </c>
      <c r="R2611" t="s">
        <v>145</v>
      </c>
      <c r="S2611">
        <v>0</v>
      </c>
    </row>
    <row r="2612" spans="1:19">
      <c r="A2612" t="s">
        <v>35</v>
      </c>
      <c r="B2612" t="s">
        <v>1111</v>
      </c>
      <c r="C2612">
        <f>"WPS342"</f>
        <v>0</v>
      </c>
      <c r="D2612">
        <v>0</v>
      </c>
      <c r="E2612">
        <v>2</v>
      </c>
      <c r="F2612">
        <v>0</v>
      </c>
      <c r="G2612">
        <v>0</v>
      </c>
      <c r="H2612">
        <v>2</v>
      </c>
      <c r="I2612">
        <v>0</v>
      </c>
      <c r="J2612">
        <v>0</v>
      </c>
      <c r="K2612">
        <v>0</v>
      </c>
      <c r="L2612" s="2">
        <v>0</v>
      </c>
      <c r="M2612">
        <v>0</v>
      </c>
      <c r="N2612" s="2">
        <v>0</v>
      </c>
      <c r="O2612">
        <v>0</v>
      </c>
      <c r="P2612" t="s">
        <v>100</v>
      </c>
      <c r="Q2612">
        <v>0</v>
      </c>
      <c r="R2612" t="s">
        <v>145</v>
      </c>
      <c r="S2612">
        <v>0</v>
      </c>
    </row>
    <row r="2613" spans="1:19">
      <c r="A2613" t="s">
        <v>35</v>
      </c>
      <c r="B2613" t="s">
        <v>3670</v>
      </c>
      <c r="C2613">
        <f>"PT005MC"</f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 s="2">
        <v>0</v>
      </c>
      <c r="M2613">
        <v>0</v>
      </c>
      <c r="N2613" s="2">
        <v>0</v>
      </c>
      <c r="O2613">
        <v>0</v>
      </c>
      <c r="P2613" t="s">
        <v>100</v>
      </c>
      <c r="Q2613">
        <v>0</v>
      </c>
      <c r="R2613" t="s">
        <v>145</v>
      </c>
      <c r="S2613">
        <v>0</v>
      </c>
    </row>
    <row r="2614" spans="1:19">
      <c r="A2614" t="s">
        <v>35</v>
      </c>
      <c r="B2614" t="s">
        <v>1246</v>
      </c>
      <c r="C2614">
        <f>"PT005LR"</f>
        <v>0</v>
      </c>
      <c r="D2614">
        <v>1</v>
      </c>
      <c r="E2614">
        <v>0</v>
      </c>
      <c r="F2614">
        <v>0</v>
      </c>
      <c r="G2614">
        <v>0</v>
      </c>
      <c r="H2614">
        <v>1</v>
      </c>
      <c r="I2614">
        <v>0</v>
      </c>
      <c r="J2614">
        <v>0</v>
      </c>
      <c r="K2614">
        <v>0</v>
      </c>
      <c r="L2614" s="2">
        <v>0</v>
      </c>
      <c r="M2614">
        <v>0</v>
      </c>
      <c r="N2614" s="2">
        <v>0</v>
      </c>
      <c r="O2614">
        <v>0</v>
      </c>
      <c r="P2614" t="s">
        <v>100</v>
      </c>
      <c r="Q2614">
        <v>0</v>
      </c>
      <c r="R2614" t="s">
        <v>145</v>
      </c>
      <c r="S2614">
        <v>0</v>
      </c>
    </row>
    <row r="2615" spans="1:19">
      <c r="A2615" t="s">
        <v>35</v>
      </c>
      <c r="B2615" t="s">
        <v>4072</v>
      </c>
      <c r="C2615">
        <f>"QC10A"</f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 s="2">
        <v>0</v>
      </c>
      <c r="M2615">
        <v>0</v>
      </c>
      <c r="N2615" s="2">
        <v>0</v>
      </c>
      <c r="O2615">
        <v>0</v>
      </c>
      <c r="P2615" t="s">
        <v>100</v>
      </c>
      <c r="Q2615">
        <v>0</v>
      </c>
      <c r="R2615" t="s">
        <v>145</v>
      </c>
      <c r="S2615">
        <v>0</v>
      </c>
    </row>
    <row r="2616" spans="1:19">
      <c r="A2616" t="s">
        <v>35</v>
      </c>
      <c r="B2616" t="s">
        <v>4071</v>
      </c>
      <c r="C2616">
        <f>"QC10R"</f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 s="2">
        <v>0</v>
      </c>
      <c r="M2616">
        <v>0</v>
      </c>
      <c r="N2616" s="2">
        <v>0</v>
      </c>
      <c r="O2616">
        <v>0</v>
      </c>
      <c r="P2616" t="s">
        <v>100</v>
      </c>
      <c r="Q2616">
        <v>0</v>
      </c>
      <c r="R2616" t="s">
        <v>145</v>
      </c>
      <c r="S2616">
        <v>0</v>
      </c>
    </row>
    <row r="2617" spans="1:19">
      <c r="A2617" t="s">
        <v>35</v>
      </c>
      <c r="B2617" t="s">
        <v>1273</v>
      </c>
      <c r="C2617">
        <f>"6952ROS"</f>
        <v>0</v>
      </c>
      <c r="D2617">
        <v>0</v>
      </c>
      <c r="E2617">
        <v>0</v>
      </c>
      <c r="F2617">
        <v>1</v>
      </c>
      <c r="G2617">
        <v>0</v>
      </c>
      <c r="H2617">
        <v>1</v>
      </c>
      <c r="I2617">
        <v>0</v>
      </c>
      <c r="J2617">
        <v>0</v>
      </c>
      <c r="K2617">
        <v>0</v>
      </c>
      <c r="L2617" s="2">
        <v>0</v>
      </c>
      <c r="M2617">
        <v>0</v>
      </c>
      <c r="N2617" s="2">
        <v>0</v>
      </c>
      <c r="O2617">
        <v>0</v>
      </c>
      <c r="P2617" t="s">
        <v>100</v>
      </c>
      <c r="Q2617">
        <v>0</v>
      </c>
      <c r="R2617" t="s">
        <v>145</v>
      </c>
      <c r="S2617">
        <v>0</v>
      </c>
    </row>
    <row r="2618" spans="1:19">
      <c r="A2618" t="s">
        <v>35</v>
      </c>
      <c r="B2618" t="s">
        <v>2881</v>
      </c>
      <c r="C2618">
        <f>"96588ROJ"</f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 s="2">
        <v>0</v>
      </c>
      <c r="M2618">
        <v>0</v>
      </c>
      <c r="N2618" s="2">
        <v>0</v>
      </c>
      <c r="O2618">
        <v>0</v>
      </c>
      <c r="P2618" t="s">
        <v>100</v>
      </c>
      <c r="Q2618">
        <v>0</v>
      </c>
      <c r="R2618" t="s">
        <v>145</v>
      </c>
      <c r="S2618">
        <v>0</v>
      </c>
    </row>
    <row r="2619" spans="1:19">
      <c r="A2619" t="s">
        <v>35</v>
      </c>
      <c r="B2619" t="s">
        <v>2934</v>
      </c>
      <c r="C2619">
        <f>"96588ROS"</f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 s="2">
        <v>0</v>
      </c>
      <c r="M2619">
        <v>0</v>
      </c>
      <c r="N2619" s="2">
        <v>0</v>
      </c>
      <c r="O2619">
        <v>0</v>
      </c>
      <c r="P2619" t="s">
        <v>100</v>
      </c>
      <c r="Q2619">
        <v>0</v>
      </c>
      <c r="R2619" t="s">
        <v>145</v>
      </c>
      <c r="S2619">
        <v>0</v>
      </c>
    </row>
    <row r="2620" spans="1:19">
      <c r="A2620" t="s">
        <v>35</v>
      </c>
      <c r="B2620" t="s">
        <v>1271</v>
      </c>
      <c r="C2620">
        <f>"9156AZ"</f>
        <v>0</v>
      </c>
      <c r="D2620">
        <v>1</v>
      </c>
      <c r="E2620">
        <v>0</v>
      </c>
      <c r="F2620">
        <v>0</v>
      </c>
      <c r="G2620">
        <v>0</v>
      </c>
      <c r="H2620">
        <v>1</v>
      </c>
      <c r="I2620">
        <v>0</v>
      </c>
      <c r="J2620">
        <v>0</v>
      </c>
      <c r="K2620">
        <v>0</v>
      </c>
      <c r="L2620" s="2">
        <v>0</v>
      </c>
      <c r="M2620">
        <v>0</v>
      </c>
      <c r="N2620" s="2">
        <v>0</v>
      </c>
      <c r="O2620">
        <v>0</v>
      </c>
      <c r="P2620" t="s">
        <v>100</v>
      </c>
      <c r="Q2620">
        <v>0</v>
      </c>
      <c r="R2620" t="s">
        <v>145</v>
      </c>
      <c r="S2620">
        <v>0</v>
      </c>
    </row>
    <row r="2621" spans="1:19">
      <c r="A2621" t="s">
        <v>35</v>
      </c>
      <c r="B2621" t="s">
        <v>4355</v>
      </c>
      <c r="C2621">
        <f>"9156GR"</f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 s="2">
        <v>0</v>
      </c>
      <c r="M2621">
        <v>0</v>
      </c>
      <c r="N2621" s="2">
        <v>0</v>
      </c>
      <c r="O2621">
        <v>0</v>
      </c>
      <c r="P2621" t="s">
        <v>100</v>
      </c>
      <c r="Q2621">
        <v>0</v>
      </c>
      <c r="R2621" t="s">
        <v>145</v>
      </c>
      <c r="S2621">
        <v>0</v>
      </c>
    </row>
    <row r="2622" spans="1:19">
      <c r="A2622" t="s">
        <v>35</v>
      </c>
      <c r="B2622" t="s">
        <v>2795</v>
      </c>
      <c r="C2622">
        <f>"BOL26VE"</f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 s="2">
        <v>0</v>
      </c>
      <c r="M2622">
        <v>0</v>
      </c>
      <c r="N2622" s="2">
        <v>0</v>
      </c>
      <c r="O2622">
        <v>0</v>
      </c>
      <c r="P2622" t="s">
        <v>100</v>
      </c>
      <c r="Q2622">
        <v>0</v>
      </c>
      <c r="R2622" t="s">
        <v>145</v>
      </c>
      <c r="S2622">
        <v>0</v>
      </c>
    </row>
    <row r="2623" spans="1:19">
      <c r="A2623" t="s">
        <v>35</v>
      </c>
      <c r="B2623" t="s">
        <v>4353</v>
      </c>
      <c r="C2623">
        <f>"BK01MB"</f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 s="2">
        <v>0</v>
      </c>
      <c r="M2623">
        <v>0</v>
      </c>
      <c r="N2623" s="2">
        <v>0</v>
      </c>
      <c r="O2623">
        <v>0</v>
      </c>
      <c r="P2623" t="s">
        <v>100</v>
      </c>
      <c r="Q2623">
        <v>0</v>
      </c>
      <c r="R2623" t="s">
        <v>145</v>
      </c>
      <c r="S2623">
        <v>0</v>
      </c>
    </row>
    <row r="2624" spans="1:19">
      <c r="A2624" t="s">
        <v>35</v>
      </c>
      <c r="B2624" t="s">
        <v>4352</v>
      </c>
      <c r="C2624">
        <f>"BK01SB"</f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 s="2">
        <v>0</v>
      </c>
      <c r="M2624">
        <v>0</v>
      </c>
      <c r="N2624" s="2">
        <v>0</v>
      </c>
      <c r="O2624">
        <v>0</v>
      </c>
      <c r="P2624" t="s">
        <v>100</v>
      </c>
      <c r="Q2624">
        <v>0</v>
      </c>
      <c r="R2624" t="s">
        <v>145</v>
      </c>
      <c r="S2624">
        <v>0</v>
      </c>
    </row>
    <row r="2625" spans="1:19">
      <c r="A2625" t="s">
        <v>35</v>
      </c>
      <c r="B2625" t="s">
        <v>4351</v>
      </c>
      <c r="C2625">
        <f>"1966C"</f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 s="2">
        <v>0</v>
      </c>
      <c r="M2625">
        <v>0</v>
      </c>
      <c r="N2625" s="2">
        <v>0</v>
      </c>
      <c r="O2625">
        <v>0</v>
      </c>
      <c r="P2625" t="s">
        <v>100</v>
      </c>
      <c r="Q2625">
        <v>0</v>
      </c>
      <c r="R2625" t="s">
        <v>145</v>
      </c>
      <c r="S2625">
        <v>0</v>
      </c>
    </row>
    <row r="2626" spans="1:19">
      <c r="A2626" t="s">
        <v>35</v>
      </c>
      <c r="B2626" t="s">
        <v>5539</v>
      </c>
      <c r="C2626">
        <f>"KF8005BG"</f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 s="2">
        <v>0</v>
      </c>
      <c r="M2626">
        <v>0</v>
      </c>
      <c r="N2626" s="2">
        <v>0</v>
      </c>
      <c r="O2626">
        <v>0</v>
      </c>
      <c r="P2626" t="s">
        <v>100</v>
      </c>
      <c r="Q2626">
        <v>0</v>
      </c>
      <c r="R2626" t="s">
        <v>145</v>
      </c>
      <c r="S2626">
        <v>0</v>
      </c>
    </row>
    <row r="2627" spans="1:19">
      <c r="A2627" t="s">
        <v>35</v>
      </c>
      <c r="B2627" t="s">
        <v>1245</v>
      </c>
      <c r="C2627">
        <f>"PT005MR"</f>
        <v>0</v>
      </c>
      <c r="D2627">
        <v>1</v>
      </c>
      <c r="E2627">
        <v>0</v>
      </c>
      <c r="F2627">
        <v>0</v>
      </c>
      <c r="G2627">
        <v>0</v>
      </c>
      <c r="H2627">
        <v>1</v>
      </c>
      <c r="I2627">
        <v>0</v>
      </c>
      <c r="J2627">
        <v>0</v>
      </c>
      <c r="K2627">
        <v>0</v>
      </c>
      <c r="L2627" s="2">
        <v>0</v>
      </c>
      <c r="M2627">
        <v>0</v>
      </c>
      <c r="N2627" s="2">
        <v>0</v>
      </c>
      <c r="O2627">
        <v>0</v>
      </c>
      <c r="P2627" t="s">
        <v>100</v>
      </c>
      <c r="Q2627">
        <v>0</v>
      </c>
      <c r="R2627" t="s">
        <v>145</v>
      </c>
      <c r="S2627">
        <v>0</v>
      </c>
    </row>
    <row r="2628" spans="1:19">
      <c r="A2628" t="s">
        <v>35</v>
      </c>
      <c r="B2628" t="s">
        <v>4070</v>
      </c>
      <c r="C2628">
        <f>"PT005LDC"</f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 s="2">
        <v>0</v>
      </c>
      <c r="M2628">
        <v>0</v>
      </c>
      <c r="N2628" s="2">
        <v>0</v>
      </c>
      <c r="O2628">
        <v>0</v>
      </c>
      <c r="P2628" t="s">
        <v>100</v>
      </c>
      <c r="Q2628">
        <v>0</v>
      </c>
      <c r="R2628" t="s">
        <v>145</v>
      </c>
      <c r="S2628">
        <v>0</v>
      </c>
    </row>
    <row r="2629" spans="1:19">
      <c r="A2629" t="s">
        <v>35</v>
      </c>
      <c r="B2629" t="s">
        <v>4358</v>
      </c>
      <c r="C2629">
        <f>"PT001A"</f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 s="2">
        <v>0</v>
      </c>
      <c r="M2629">
        <v>0</v>
      </c>
      <c r="N2629" s="2">
        <v>0</v>
      </c>
      <c r="O2629">
        <v>0</v>
      </c>
      <c r="P2629" t="s">
        <v>100</v>
      </c>
      <c r="Q2629">
        <v>0</v>
      </c>
      <c r="R2629" t="s">
        <v>145</v>
      </c>
      <c r="S2629">
        <v>0</v>
      </c>
    </row>
    <row r="2630" spans="1:19">
      <c r="A2630" t="s">
        <v>35</v>
      </c>
      <c r="B2630" t="s">
        <v>4357</v>
      </c>
      <c r="C2630">
        <f>"PT001F"</f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 s="2">
        <v>0</v>
      </c>
      <c r="M2630">
        <v>0</v>
      </c>
      <c r="N2630" s="2">
        <v>0</v>
      </c>
      <c r="O2630">
        <v>0</v>
      </c>
      <c r="P2630" t="s">
        <v>100</v>
      </c>
      <c r="Q2630">
        <v>0</v>
      </c>
      <c r="R2630" t="s">
        <v>145</v>
      </c>
      <c r="S2630">
        <v>0</v>
      </c>
    </row>
    <row r="2631" spans="1:19">
      <c r="A2631" t="s">
        <v>35</v>
      </c>
      <c r="B2631" t="s">
        <v>3723</v>
      </c>
      <c r="C2631">
        <f>"SA1CE"</f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 s="2">
        <v>0</v>
      </c>
      <c r="M2631">
        <v>0</v>
      </c>
      <c r="N2631" s="2">
        <v>0</v>
      </c>
      <c r="O2631">
        <v>0</v>
      </c>
      <c r="P2631" t="s">
        <v>100</v>
      </c>
      <c r="Q2631">
        <v>0</v>
      </c>
      <c r="R2631" t="s">
        <v>145</v>
      </c>
      <c r="S2631">
        <v>0</v>
      </c>
    </row>
    <row r="2632" spans="1:19">
      <c r="A2632" t="s">
        <v>35</v>
      </c>
      <c r="B2632" t="s">
        <v>3705</v>
      </c>
      <c r="C2632">
        <f>"SA1NE"</f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 s="2">
        <v>0</v>
      </c>
      <c r="M2632">
        <v>0</v>
      </c>
      <c r="N2632" s="2">
        <v>0</v>
      </c>
      <c r="O2632">
        <v>0</v>
      </c>
      <c r="P2632" t="s">
        <v>100</v>
      </c>
      <c r="Q2632">
        <v>0</v>
      </c>
      <c r="R2632" t="s">
        <v>145</v>
      </c>
      <c r="S2632">
        <v>0</v>
      </c>
    </row>
    <row r="2633" spans="1:19">
      <c r="A2633" t="s">
        <v>35</v>
      </c>
      <c r="B2633" t="s">
        <v>4354</v>
      </c>
      <c r="C2633">
        <f>"9156ROS"</f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 s="2">
        <v>0</v>
      </c>
      <c r="M2633">
        <v>0</v>
      </c>
      <c r="N2633" s="2">
        <v>0</v>
      </c>
      <c r="O2633">
        <v>0</v>
      </c>
      <c r="P2633" t="s">
        <v>100</v>
      </c>
      <c r="Q2633">
        <v>0</v>
      </c>
      <c r="R2633" t="s">
        <v>145</v>
      </c>
      <c r="S2633">
        <v>0</v>
      </c>
    </row>
    <row r="2634" spans="1:19">
      <c r="A2634" t="s">
        <v>35</v>
      </c>
      <c r="B2634" t="s">
        <v>2864</v>
      </c>
      <c r="C2634">
        <f>"BOL6"</f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 s="2">
        <v>0</v>
      </c>
      <c r="M2634">
        <v>0</v>
      </c>
      <c r="N2634" s="2">
        <v>0</v>
      </c>
      <c r="O2634">
        <v>0</v>
      </c>
      <c r="P2634" t="s">
        <v>100</v>
      </c>
      <c r="Q2634">
        <v>0</v>
      </c>
      <c r="R2634" t="s">
        <v>145</v>
      </c>
      <c r="S2634">
        <v>0</v>
      </c>
    </row>
    <row r="2635" spans="1:19">
      <c r="A2635" t="s">
        <v>35</v>
      </c>
      <c r="B2635" t="s">
        <v>1275</v>
      </c>
      <c r="C2635">
        <f>"CBT27"</f>
        <v>0</v>
      </c>
      <c r="D2635">
        <v>1</v>
      </c>
      <c r="E2635">
        <v>0</v>
      </c>
      <c r="F2635">
        <v>0</v>
      </c>
      <c r="G2635">
        <v>0</v>
      </c>
      <c r="H2635">
        <v>1</v>
      </c>
      <c r="I2635">
        <v>0</v>
      </c>
      <c r="J2635">
        <v>0</v>
      </c>
      <c r="K2635">
        <v>0</v>
      </c>
      <c r="L2635" s="2">
        <v>0</v>
      </c>
      <c r="M2635">
        <v>0</v>
      </c>
      <c r="N2635" s="2">
        <v>0</v>
      </c>
      <c r="O2635">
        <v>0</v>
      </c>
      <c r="P2635" t="s">
        <v>100</v>
      </c>
      <c r="Q2635">
        <v>0</v>
      </c>
      <c r="R2635" t="s">
        <v>145</v>
      </c>
      <c r="S2635">
        <v>0</v>
      </c>
    </row>
    <row r="2636" spans="1:19">
      <c r="A2636" t="s">
        <v>35</v>
      </c>
      <c r="B2636" t="s">
        <v>3362</v>
      </c>
      <c r="C2636">
        <f>"CT100"</f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 s="2">
        <v>0</v>
      </c>
      <c r="M2636">
        <v>0</v>
      </c>
      <c r="N2636" s="2">
        <v>0</v>
      </c>
      <c r="O2636">
        <v>0</v>
      </c>
      <c r="P2636" t="s">
        <v>100</v>
      </c>
      <c r="Q2636">
        <v>0</v>
      </c>
      <c r="R2636" t="s">
        <v>145</v>
      </c>
      <c r="S2636">
        <v>0</v>
      </c>
    </row>
    <row r="2637" spans="1:19">
      <c r="A2637" t="s">
        <v>35</v>
      </c>
      <c r="B2637" t="s">
        <v>5788</v>
      </c>
      <c r="C2637">
        <f>"CTB18AZ"</f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 s="2">
        <v>0</v>
      </c>
      <c r="M2637">
        <v>0</v>
      </c>
      <c r="N2637" s="2">
        <v>0</v>
      </c>
      <c r="O2637">
        <v>0</v>
      </c>
      <c r="P2637" t="s">
        <v>100</v>
      </c>
      <c r="Q2637">
        <v>0</v>
      </c>
      <c r="R2637" t="s">
        <v>145</v>
      </c>
      <c r="S2637">
        <v>0</v>
      </c>
    </row>
    <row r="2638" spans="1:19">
      <c r="A2638" t="s">
        <v>35</v>
      </c>
      <c r="B2638" t="s">
        <v>5787</v>
      </c>
      <c r="C2638">
        <f>"CTB18BL"</f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 s="2">
        <v>0</v>
      </c>
      <c r="M2638">
        <v>0</v>
      </c>
      <c r="N2638" s="2">
        <v>0</v>
      </c>
      <c r="O2638">
        <v>0</v>
      </c>
      <c r="P2638" t="s">
        <v>100</v>
      </c>
      <c r="Q2638">
        <v>0</v>
      </c>
      <c r="R2638" t="s">
        <v>145</v>
      </c>
      <c r="S2638">
        <v>0</v>
      </c>
    </row>
    <row r="2639" spans="1:19">
      <c r="A2639" t="s">
        <v>35</v>
      </c>
      <c r="B2639" t="s">
        <v>1231</v>
      </c>
      <c r="C2639">
        <f>"CTB18VE"</f>
        <v>0</v>
      </c>
      <c r="D2639">
        <v>0</v>
      </c>
      <c r="E2639">
        <v>1</v>
      </c>
      <c r="F2639">
        <v>0</v>
      </c>
      <c r="G2639">
        <v>0</v>
      </c>
      <c r="H2639">
        <v>1</v>
      </c>
      <c r="I2639">
        <v>0</v>
      </c>
      <c r="J2639">
        <v>0</v>
      </c>
      <c r="K2639">
        <v>0</v>
      </c>
      <c r="L2639" s="2">
        <v>0</v>
      </c>
      <c r="M2639">
        <v>0</v>
      </c>
      <c r="N2639" s="2">
        <v>0</v>
      </c>
      <c r="O2639">
        <v>0</v>
      </c>
      <c r="P2639" t="s">
        <v>100</v>
      </c>
      <c r="Q2639">
        <v>0</v>
      </c>
      <c r="R2639" t="s">
        <v>145</v>
      </c>
      <c r="S2639">
        <v>0</v>
      </c>
    </row>
    <row r="2640" spans="1:19">
      <c r="A2640" t="s">
        <v>35</v>
      </c>
      <c r="B2640" t="s">
        <v>5538</v>
      </c>
      <c r="C2640">
        <f>"KF8005BR"</f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 s="2">
        <v>0</v>
      </c>
      <c r="M2640">
        <v>0</v>
      </c>
      <c r="N2640" s="2">
        <v>0</v>
      </c>
      <c r="O2640">
        <v>0</v>
      </c>
      <c r="P2640" t="s">
        <v>100</v>
      </c>
      <c r="Q2640">
        <v>0</v>
      </c>
      <c r="R2640" t="s">
        <v>145</v>
      </c>
      <c r="S2640">
        <v>0</v>
      </c>
    </row>
    <row r="2641" spans="1:19">
      <c r="A2641" t="s">
        <v>35</v>
      </c>
      <c r="B2641" t="s">
        <v>5880</v>
      </c>
      <c r="C2641">
        <f>"33HT1"</f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 s="2">
        <v>0</v>
      </c>
      <c r="M2641">
        <v>0</v>
      </c>
      <c r="N2641" s="2">
        <v>0</v>
      </c>
      <c r="O2641">
        <v>0</v>
      </c>
      <c r="P2641" t="s">
        <v>100</v>
      </c>
      <c r="Q2641">
        <v>0</v>
      </c>
      <c r="R2641" t="s">
        <v>145</v>
      </c>
      <c r="S2641">
        <v>0</v>
      </c>
    </row>
    <row r="2642" spans="1:19">
      <c r="A2642" t="s">
        <v>35</v>
      </c>
      <c r="B2642" t="s">
        <v>5879</v>
      </c>
      <c r="C2642">
        <f>"IC0047"</f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 s="2">
        <v>0</v>
      </c>
      <c r="M2642">
        <v>0</v>
      </c>
      <c r="N2642" s="2">
        <v>0</v>
      </c>
      <c r="O2642">
        <v>0</v>
      </c>
      <c r="P2642" t="s">
        <v>100</v>
      </c>
      <c r="Q2642">
        <v>0</v>
      </c>
      <c r="R2642" t="s">
        <v>145</v>
      </c>
      <c r="S2642">
        <v>0</v>
      </c>
    </row>
    <row r="2643" spans="1:19">
      <c r="A2643" t="s">
        <v>35</v>
      </c>
      <c r="B2643" t="s">
        <v>5878</v>
      </c>
      <c r="C2643">
        <f>"KF1035"</f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 s="2">
        <v>0</v>
      </c>
      <c r="M2643">
        <v>0</v>
      </c>
      <c r="N2643" s="2">
        <v>0</v>
      </c>
      <c r="O2643">
        <v>0</v>
      </c>
      <c r="P2643" t="s">
        <v>100</v>
      </c>
      <c r="Q2643">
        <v>0</v>
      </c>
      <c r="R2643" t="s">
        <v>145</v>
      </c>
      <c r="S2643">
        <v>0</v>
      </c>
    </row>
    <row r="2644" spans="1:19">
      <c r="A2644" t="s">
        <v>35</v>
      </c>
      <c r="B2644" t="s">
        <v>3673</v>
      </c>
      <c r="C2644">
        <f>"PT005LA"</f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 s="2">
        <v>0</v>
      </c>
      <c r="M2644">
        <v>0</v>
      </c>
      <c r="N2644" s="2">
        <v>0</v>
      </c>
      <c r="O2644">
        <v>0</v>
      </c>
      <c r="P2644" t="s">
        <v>100</v>
      </c>
      <c r="Q2644">
        <v>0</v>
      </c>
      <c r="R2644" t="s">
        <v>145</v>
      </c>
      <c r="S2644">
        <v>0</v>
      </c>
    </row>
    <row r="2645" spans="1:19">
      <c r="A2645" t="s">
        <v>35</v>
      </c>
      <c r="B2645" t="s">
        <v>5876</v>
      </c>
      <c r="C2645">
        <f>"LMV01L"</f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 s="2">
        <v>0</v>
      </c>
      <c r="M2645">
        <v>0</v>
      </c>
      <c r="N2645" s="2">
        <v>0</v>
      </c>
      <c r="O2645">
        <v>0</v>
      </c>
      <c r="P2645" t="s">
        <v>100</v>
      </c>
      <c r="Q2645">
        <v>0</v>
      </c>
      <c r="R2645" t="s">
        <v>145</v>
      </c>
      <c r="S2645">
        <v>0</v>
      </c>
    </row>
    <row r="2646" spans="1:19">
      <c r="A2646" t="s">
        <v>35</v>
      </c>
      <c r="B2646" t="s">
        <v>5862</v>
      </c>
      <c r="C2646">
        <f>"LJQ0009"</f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 s="2">
        <v>0</v>
      </c>
      <c r="M2646">
        <v>0</v>
      </c>
      <c r="N2646" s="2">
        <v>0</v>
      </c>
      <c r="O2646">
        <v>0</v>
      </c>
      <c r="P2646" t="s">
        <v>100</v>
      </c>
      <c r="Q2646">
        <v>0</v>
      </c>
      <c r="R2646" t="s">
        <v>145</v>
      </c>
      <c r="S2646">
        <v>0</v>
      </c>
    </row>
    <row r="2647" spans="1:19">
      <c r="A2647" t="s">
        <v>35</v>
      </c>
      <c r="B2647" t="s">
        <v>5861</v>
      </c>
      <c r="C2647">
        <f>"MZB11"</f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 s="2">
        <v>0</v>
      </c>
      <c r="M2647">
        <v>0</v>
      </c>
      <c r="N2647" s="2">
        <v>0</v>
      </c>
      <c r="O2647">
        <v>0</v>
      </c>
      <c r="P2647" t="s">
        <v>100</v>
      </c>
      <c r="Q2647">
        <v>0</v>
      </c>
      <c r="R2647" t="s">
        <v>145</v>
      </c>
      <c r="S2647">
        <v>0</v>
      </c>
    </row>
    <row r="2648" spans="1:19">
      <c r="A2648" t="s">
        <v>35</v>
      </c>
      <c r="B2648" t="s">
        <v>5860</v>
      </c>
      <c r="C2648">
        <f>"DS55"</f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 s="2">
        <v>0</v>
      </c>
      <c r="M2648">
        <v>0</v>
      </c>
      <c r="N2648" s="2">
        <v>0</v>
      </c>
      <c r="O2648">
        <v>0</v>
      </c>
      <c r="P2648" t="s">
        <v>100</v>
      </c>
      <c r="Q2648">
        <v>0</v>
      </c>
      <c r="R2648" t="s">
        <v>145</v>
      </c>
      <c r="S2648">
        <v>0</v>
      </c>
    </row>
    <row r="2649" spans="1:19">
      <c r="A2649" t="s">
        <v>35</v>
      </c>
      <c r="B2649" t="s">
        <v>5859</v>
      </c>
      <c r="C2649">
        <f>"DS56"</f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 s="2">
        <v>0</v>
      </c>
      <c r="M2649">
        <v>0</v>
      </c>
      <c r="N2649" s="2">
        <v>0</v>
      </c>
      <c r="O2649">
        <v>0</v>
      </c>
      <c r="P2649" t="s">
        <v>100</v>
      </c>
      <c r="Q2649">
        <v>0</v>
      </c>
      <c r="R2649" t="s">
        <v>145</v>
      </c>
      <c r="S2649">
        <v>0</v>
      </c>
    </row>
    <row r="2650" spans="1:19">
      <c r="A2650" t="s">
        <v>35</v>
      </c>
      <c r="B2650" t="s">
        <v>1048</v>
      </c>
      <c r="C2650">
        <f>"KF1025E"</f>
        <v>0</v>
      </c>
      <c r="D2650">
        <v>2</v>
      </c>
      <c r="E2650">
        <v>0</v>
      </c>
      <c r="F2650">
        <v>0</v>
      </c>
      <c r="G2650">
        <v>0</v>
      </c>
      <c r="H2650">
        <v>2</v>
      </c>
      <c r="I2650">
        <v>0</v>
      </c>
      <c r="J2650">
        <v>0</v>
      </c>
      <c r="K2650">
        <v>0</v>
      </c>
      <c r="L2650" s="2">
        <v>0</v>
      </c>
      <c r="M2650">
        <v>0</v>
      </c>
      <c r="N2650" s="2">
        <v>0</v>
      </c>
      <c r="O2650">
        <v>0</v>
      </c>
      <c r="P2650" t="s">
        <v>100</v>
      </c>
      <c r="Q2650">
        <v>0</v>
      </c>
      <c r="R2650" t="s">
        <v>145</v>
      </c>
      <c r="S2650">
        <v>0</v>
      </c>
    </row>
    <row r="2651" spans="1:19">
      <c r="A2651" t="s">
        <v>35</v>
      </c>
      <c r="B2651" t="s">
        <v>5528</v>
      </c>
      <c r="C2651">
        <f>"DS11"</f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 s="2">
        <v>0</v>
      </c>
      <c r="M2651">
        <v>0</v>
      </c>
      <c r="N2651" s="2">
        <v>0</v>
      </c>
      <c r="O2651">
        <v>0</v>
      </c>
      <c r="P2651" t="s">
        <v>100</v>
      </c>
      <c r="Q2651">
        <v>0</v>
      </c>
      <c r="R2651" t="s">
        <v>145</v>
      </c>
      <c r="S2651">
        <v>0</v>
      </c>
    </row>
    <row r="2652" spans="1:19">
      <c r="A2652" t="s">
        <v>35</v>
      </c>
      <c r="B2652" t="s">
        <v>5527</v>
      </c>
      <c r="C2652">
        <f>"DS33"</f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 s="2">
        <v>0</v>
      </c>
      <c r="M2652">
        <v>0</v>
      </c>
      <c r="N2652" s="2">
        <v>0</v>
      </c>
      <c r="O2652">
        <v>0</v>
      </c>
      <c r="P2652" t="s">
        <v>100</v>
      </c>
      <c r="Q2652">
        <v>0</v>
      </c>
      <c r="R2652" t="s">
        <v>145</v>
      </c>
      <c r="S2652">
        <v>0</v>
      </c>
    </row>
    <row r="2653" spans="1:19">
      <c r="A2653" t="s">
        <v>35</v>
      </c>
      <c r="B2653" t="s">
        <v>2946</v>
      </c>
      <c r="C2653">
        <f>"SR02"</f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 s="2">
        <v>0</v>
      </c>
      <c r="M2653">
        <v>0</v>
      </c>
      <c r="N2653" s="2">
        <v>0</v>
      </c>
      <c r="O2653">
        <v>0</v>
      </c>
      <c r="P2653" t="s">
        <v>100</v>
      </c>
      <c r="Q2653">
        <v>0</v>
      </c>
      <c r="R2653" t="s">
        <v>145</v>
      </c>
      <c r="S2653">
        <v>0</v>
      </c>
    </row>
    <row r="2654" spans="1:19">
      <c r="A2654" t="s">
        <v>35</v>
      </c>
      <c r="B2654" t="s">
        <v>371</v>
      </c>
      <c r="C2654">
        <f>"NO46HUE"</f>
        <v>0</v>
      </c>
      <c r="D2654">
        <v>5</v>
      </c>
      <c r="E2654">
        <v>1</v>
      </c>
      <c r="F2654">
        <v>0</v>
      </c>
      <c r="G2654">
        <v>1</v>
      </c>
      <c r="H2654">
        <v>7</v>
      </c>
      <c r="I2654">
        <v>1</v>
      </c>
      <c r="J2654">
        <v>5</v>
      </c>
      <c r="K2654">
        <v>3.825</v>
      </c>
      <c r="L2654" s="2">
        <v>1</v>
      </c>
      <c r="M2654">
        <v>0</v>
      </c>
      <c r="N2654" s="2">
        <v>0</v>
      </c>
      <c r="O2654">
        <v>0</v>
      </c>
      <c r="P2654" t="s">
        <v>11049</v>
      </c>
      <c r="Q2654">
        <v>487</v>
      </c>
      <c r="R2654" t="s">
        <v>10658</v>
      </c>
      <c r="S2654">
        <v>1</v>
      </c>
    </row>
    <row r="2655" spans="1:19">
      <c r="A2655" t="s">
        <v>35</v>
      </c>
      <c r="B2655" t="s">
        <v>5877</v>
      </c>
      <c r="C2655">
        <f>"LMV01S"</f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 s="2">
        <v>0</v>
      </c>
      <c r="M2655">
        <v>0</v>
      </c>
      <c r="N2655" s="2">
        <v>0</v>
      </c>
      <c r="O2655">
        <v>0</v>
      </c>
      <c r="P2655" t="s">
        <v>100</v>
      </c>
      <c r="Q2655">
        <v>0</v>
      </c>
      <c r="R2655" t="s">
        <v>145</v>
      </c>
      <c r="S2655">
        <v>0</v>
      </c>
    </row>
    <row r="2656" spans="1:19">
      <c r="A2656" t="s">
        <v>35</v>
      </c>
      <c r="B2656" t="s">
        <v>5551</v>
      </c>
      <c r="C2656">
        <f>"PP110CB"</f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 s="2">
        <v>0</v>
      </c>
      <c r="M2656">
        <v>0</v>
      </c>
      <c r="N2656" s="2">
        <v>0</v>
      </c>
      <c r="O2656">
        <v>0</v>
      </c>
      <c r="P2656" t="s">
        <v>100</v>
      </c>
      <c r="Q2656">
        <v>0</v>
      </c>
      <c r="R2656" t="s">
        <v>145</v>
      </c>
      <c r="S2656">
        <v>0</v>
      </c>
    </row>
    <row r="2657" spans="1:19">
      <c r="A2657" t="s">
        <v>35</v>
      </c>
      <c r="B2657" t="s">
        <v>5550</v>
      </c>
      <c r="C2657">
        <f>"PP110CR"</f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 s="2">
        <v>0</v>
      </c>
      <c r="M2657">
        <v>0</v>
      </c>
      <c r="N2657" s="2">
        <v>0</v>
      </c>
      <c r="O2657">
        <v>0</v>
      </c>
      <c r="P2657" t="s">
        <v>100</v>
      </c>
      <c r="Q2657">
        <v>0</v>
      </c>
      <c r="R2657" t="s">
        <v>145</v>
      </c>
      <c r="S2657">
        <v>0</v>
      </c>
    </row>
    <row r="2658" spans="1:19">
      <c r="A2658" t="s">
        <v>35</v>
      </c>
      <c r="B2658" t="s">
        <v>5549</v>
      </c>
      <c r="C2658">
        <f>"KF8205BR"</f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 s="2">
        <v>0</v>
      </c>
      <c r="M2658">
        <v>0</v>
      </c>
      <c r="N2658" s="2">
        <v>0</v>
      </c>
      <c r="O2658">
        <v>0</v>
      </c>
      <c r="P2658" t="s">
        <v>100</v>
      </c>
      <c r="Q2658">
        <v>0</v>
      </c>
      <c r="R2658" t="s">
        <v>145</v>
      </c>
      <c r="S2658">
        <v>0</v>
      </c>
    </row>
    <row r="2659" spans="1:19">
      <c r="A2659" t="s">
        <v>35</v>
      </c>
      <c r="B2659" t="s">
        <v>5548</v>
      </c>
      <c r="C2659">
        <f>"KF8099B"</f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 s="2">
        <v>0</v>
      </c>
      <c r="M2659">
        <v>0</v>
      </c>
      <c r="N2659" s="2">
        <v>0</v>
      </c>
      <c r="O2659">
        <v>0</v>
      </c>
      <c r="P2659" t="s">
        <v>100</v>
      </c>
      <c r="Q2659">
        <v>0</v>
      </c>
      <c r="R2659" t="s">
        <v>145</v>
      </c>
      <c r="S2659">
        <v>0</v>
      </c>
    </row>
    <row r="2660" spans="1:19">
      <c r="A2660" t="s">
        <v>35</v>
      </c>
      <c r="B2660" t="s">
        <v>5461</v>
      </c>
      <c r="C2660">
        <f>"KF8092G"</f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 s="2">
        <v>0</v>
      </c>
      <c r="M2660">
        <v>0</v>
      </c>
      <c r="N2660" s="2">
        <v>0</v>
      </c>
      <c r="O2660">
        <v>0</v>
      </c>
      <c r="P2660" t="s">
        <v>100</v>
      </c>
      <c r="Q2660">
        <v>0</v>
      </c>
      <c r="R2660" t="s">
        <v>145</v>
      </c>
      <c r="S2660">
        <v>0</v>
      </c>
    </row>
    <row r="2661" spans="1:19">
      <c r="A2661" t="s">
        <v>35</v>
      </c>
      <c r="B2661" t="s">
        <v>1385</v>
      </c>
      <c r="C2661">
        <f>"MSP008GOS"</f>
        <v>0</v>
      </c>
      <c r="D2661">
        <v>1</v>
      </c>
      <c r="E2661">
        <v>0</v>
      </c>
      <c r="F2661">
        <v>0</v>
      </c>
      <c r="G2661">
        <v>0</v>
      </c>
      <c r="H2661">
        <v>1</v>
      </c>
      <c r="I2661">
        <v>0</v>
      </c>
      <c r="J2661">
        <v>0</v>
      </c>
      <c r="K2661">
        <v>0</v>
      </c>
      <c r="L2661" s="2">
        <v>0</v>
      </c>
      <c r="M2661">
        <v>0</v>
      </c>
      <c r="N2661" s="2">
        <v>0</v>
      </c>
      <c r="O2661">
        <v>0</v>
      </c>
      <c r="P2661" t="s">
        <v>100</v>
      </c>
      <c r="Q2661">
        <v>0</v>
      </c>
      <c r="R2661" t="s">
        <v>145</v>
      </c>
      <c r="S2661">
        <v>0</v>
      </c>
    </row>
    <row r="2662" spans="1:19">
      <c r="A2662" t="s">
        <v>35</v>
      </c>
      <c r="B2662" t="s">
        <v>5451</v>
      </c>
      <c r="C2662">
        <f>"MSP008ROSM"</f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 s="2">
        <v>0</v>
      </c>
      <c r="M2662">
        <v>0</v>
      </c>
      <c r="N2662" s="2">
        <v>0</v>
      </c>
      <c r="O2662">
        <v>0</v>
      </c>
      <c r="P2662" t="s">
        <v>100</v>
      </c>
      <c r="Q2662">
        <v>0</v>
      </c>
      <c r="R2662" t="s">
        <v>145</v>
      </c>
      <c r="S2662">
        <v>0</v>
      </c>
    </row>
    <row r="2663" spans="1:19">
      <c r="A2663" t="s">
        <v>35</v>
      </c>
      <c r="B2663" t="s">
        <v>5450</v>
      </c>
      <c r="C2663">
        <f>"MSP008VEA"</f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 s="2">
        <v>0</v>
      </c>
      <c r="M2663">
        <v>0</v>
      </c>
      <c r="N2663" s="2">
        <v>0</v>
      </c>
      <c r="O2663">
        <v>0</v>
      </c>
      <c r="P2663" t="s">
        <v>100</v>
      </c>
      <c r="Q2663">
        <v>0</v>
      </c>
      <c r="R2663" t="s">
        <v>145</v>
      </c>
      <c r="S2663">
        <v>0</v>
      </c>
    </row>
    <row r="2664" spans="1:19">
      <c r="A2664" t="s">
        <v>35</v>
      </c>
      <c r="B2664" t="s">
        <v>1386</v>
      </c>
      <c r="C2664">
        <f>"MSPB04GO"</f>
        <v>0</v>
      </c>
      <c r="D2664">
        <v>0</v>
      </c>
      <c r="E2664">
        <v>0</v>
      </c>
      <c r="F2664">
        <v>1</v>
      </c>
      <c r="G2664">
        <v>0</v>
      </c>
      <c r="H2664">
        <v>1</v>
      </c>
      <c r="I2664">
        <v>0</v>
      </c>
      <c r="J2664">
        <v>0</v>
      </c>
      <c r="K2664">
        <v>0</v>
      </c>
      <c r="L2664" s="2">
        <v>0</v>
      </c>
      <c r="M2664">
        <v>0</v>
      </c>
      <c r="N2664" s="2">
        <v>0</v>
      </c>
      <c r="O2664">
        <v>0</v>
      </c>
      <c r="P2664" t="s">
        <v>100</v>
      </c>
      <c r="Q2664">
        <v>0</v>
      </c>
      <c r="R2664" t="s">
        <v>145</v>
      </c>
      <c r="S2664">
        <v>0</v>
      </c>
    </row>
    <row r="2665" spans="1:19">
      <c r="A2665" t="s">
        <v>35</v>
      </c>
      <c r="B2665" t="s">
        <v>999</v>
      </c>
      <c r="C2665">
        <f>"BIO04"</f>
        <v>0</v>
      </c>
      <c r="D2665">
        <v>0</v>
      </c>
      <c r="E2665">
        <v>0</v>
      </c>
      <c r="F2665">
        <v>2</v>
      </c>
      <c r="G2665">
        <v>0</v>
      </c>
      <c r="H2665">
        <v>2</v>
      </c>
      <c r="I2665">
        <v>0</v>
      </c>
      <c r="J2665">
        <v>0</v>
      </c>
      <c r="K2665">
        <v>0</v>
      </c>
      <c r="L2665" s="2">
        <v>0</v>
      </c>
      <c r="M2665">
        <v>0</v>
      </c>
      <c r="N2665" s="2">
        <v>0</v>
      </c>
      <c r="O2665">
        <v>0</v>
      </c>
      <c r="P2665" t="s">
        <v>100</v>
      </c>
      <c r="Q2665">
        <v>0</v>
      </c>
      <c r="R2665" t="s">
        <v>145</v>
      </c>
      <c r="S2665">
        <v>0</v>
      </c>
    </row>
    <row r="2666" spans="1:19">
      <c r="A2666" t="s">
        <v>35</v>
      </c>
      <c r="B2666" t="s">
        <v>5130</v>
      </c>
      <c r="C2666">
        <f>"3025N"</f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 s="2">
        <v>0</v>
      </c>
      <c r="M2666">
        <v>0</v>
      </c>
      <c r="N2666" s="2">
        <v>0</v>
      </c>
      <c r="O2666">
        <v>0</v>
      </c>
      <c r="P2666" t="s">
        <v>100</v>
      </c>
      <c r="Q2666">
        <v>0</v>
      </c>
      <c r="R2666" t="s">
        <v>145</v>
      </c>
      <c r="S2666">
        <v>0</v>
      </c>
    </row>
    <row r="2667" spans="1:19">
      <c r="A2667" t="s">
        <v>35</v>
      </c>
      <c r="B2667" t="s">
        <v>6172</v>
      </c>
      <c r="C2667">
        <f>"311A"</f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 s="2">
        <v>0</v>
      </c>
      <c r="M2667">
        <v>0</v>
      </c>
      <c r="N2667" s="2">
        <v>0</v>
      </c>
      <c r="O2667">
        <v>0</v>
      </c>
      <c r="P2667" t="s">
        <v>100</v>
      </c>
      <c r="Q2667">
        <v>0</v>
      </c>
      <c r="R2667" t="s">
        <v>145</v>
      </c>
      <c r="S2667">
        <v>0</v>
      </c>
    </row>
    <row r="2668" spans="1:19">
      <c r="A2668" t="s">
        <v>35</v>
      </c>
      <c r="B2668" t="s">
        <v>6171</v>
      </c>
      <c r="C2668">
        <f>"311BE"</f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 s="2">
        <v>0</v>
      </c>
      <c r="M2668">
        <v>0</v>
      </c>
      <c r="N2668" s="2">
        <v>0</v>
      </c>
      <c r="O2668">
        <v>0</v>
      </c>
      <c r="P2668" t="s">
        <v>100</v>
      </c>
      <c r="Q2668">
        <v>0</v>
      </c>
      <c r="R2668" t="s">
        <v>145</v>
      </c>
      <c r="S2668">
        <v>0</v>
      </c>
    </row>
    <row r="2669" spans="1:19">
      <c r="A2669" t="s">
        <v>35</v>
      </c>
      <c r="B2669" t="s">
        <v>6170</v>
      </c>
      <c r="C2669">
        <f>"311G"</f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 s="2">
        <v>0</v>
      </c>
      <c r="M2669">
        <v>0</v>
      </c>
      <c r="N2669" s="2">
        <v>0</v>
      </c>
      <c r="O2669">
        <v>0</v>
      </c>
      <c r="P2669" t="s">
        <v>100</v>
      </c>
      <c r="Q2669">
        <v>0</v>
      </c>
      <c r="R2669" t="s">
        <v>145</v>
      </c>
      <c r="S2669">
        <v>0</v>
      </c>
    </row>
    <row r="2670" spans="1:19">
      <c r="A2670" t="s">
        <v>35</v>
      </c>
      <c r="B2670" t="s">
        <v>7648</v>
      </c>
      <c r="C2670">
        <f>"311M"</f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 s="2">
        <v>0</v>
      </c>
      <c r="M2670">
        <v>0</v>
      </c>
      <c r="N2670" s="2">
        <v>0</v>
      </c>
      <c r="O2670">
        <v>0</v>
      </c>
      <c r="P2670" t="s">
        <v>100</v>
      </c>
      <c r="Q2670">
        <v>0</v>
      </c>
      <c r="R2670" t="s">
        <v>145</v>
      </c>
      <c r="S2670">
        <v>0</v>
      </c>
    </row>
    <row r="2671" spans="1:19">
      <c r="A2671" t="s">
        <v>35</v>
      </c>
      <c r="B2671" t="s">
        <v>5376</v>
      </c>
      <c r="C2671">
        <f>"MSP009TR"</f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 s="2">
        <v>0</v>
      </c>
      <c r="M2671">
        <v>0</v>
      </c>
      <c r="N2671" s="2">
        <v>0</v>
      </c>
      <c r="O2671">
        <v>0</v>
      </c>
      <c r="P2671" t="s">
        <v>100</v>
      </c>
      <c r="Q2671">
        <v>0</v>
      </c>
      <c r="R2671" t="s">
        <v>145</v>
      </c>
      <c r="S2671">
        <v>0</v>
      </c>
    </row>
    <row r="2672" spans="1:19">
      <c r="A2672" t="s">
        <v>35</v>
      </c>
      <c r="B2672" t="s">
        <v>5394</v>
      </c>
      <c r="C2672">
        <f>"3106MIXR"</f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 s="2">
        <v>0</v>
      </c>
      <c r="M2672">
        <v>0</v>
      </c>
      <c r="N2672" s="2">
        <v>0</v>
      </c>
      <c r="O2672">
        <v>0</v>
      </c>
      <c r="P2672" t="s">
        <v>100</v>
      </c>
      <c r="Q2672">
        <v>0</v>
      </c>
      <c r="R2672" t="s">
        <v>145</v>
      </c>
      <c r="S2672">
        <v>0</v>
      </c>
    </row>
    <row r="2673" spans="1:19">
      <c r="A2673" t="s">
        <v>35</v>
      </c>
      <c r="B2673" t="s">
        <v>5393</v>
      </c>
      <c r="C2673">
        <f>"PRIMAA"</f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 s="2">
        <v>0</v>
      </c>
      <c r="M2673">
        <v>0</v>
      </c>
      <c r="N2673" s="2">
        <v>0</v>
      </c>
      <c r="O2673">
        <v>0</v>
      </c>
      <c r="P2673" t="s">
        <v>100</v>
      </c>
      <c r="Q2673">
        <v>0</v>
      </c>
      <c r="R2673" t="s">
        <v>145</v>
      </c>
      <c r="S2673">
        <v>0</v>
      </c>
    </row>
    <row r="2674" spans="1:19">
      <c r="A2674" t="s">
        <v>35</v>
      </c>
      <c r="B2674" t="s">
        <v>5438</v>
      </c>
      <c r="C2674">
        <f>"PRIMAN"</f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 s="2">
        <v>0</v>
      </c>
      <c r="M2674">
        <v>0</v>
      </c>
      <c r="N2674" s="2">
        <v>0</v>
      </c>
      <c r="O2674">
        <v>0</v>
      </c>
      <c r="P2674" t="s">
        <v>100</v>
      </c>
      <c r="Q2674">
        <v>0</v>
      </c>
      <c r="R2674" t="s">
        <v>145</v>
      </c>
      <c r="S2674">
        <v>0</v>
      </c>
    </row>
    <row r="2675" spans="1:19">
      <c r="A2675" t="s">
        <v>35</v>
      </c>
      <c r="B2675" t="s">
        <v>5452</v>
      </c>
      <c r="C2675">
        <f>"PRIMAR"</f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 s="2">
        <v>0</v>
      </c>
      <c r="M2675">
        <v>0</v>
      </c>
      <c r="N2675" s="2">
        <v>0</v>
      </c>
      <c r="O2675">
        <v>0</v>
      </c>
      <c r="P2675" t="s">
        <v>100</v>
      </c>
      <c r="Q2675">
        <v>0</v>
      </c>
      <c r="R2675" t="s">
        <v>145</v>
      </c>
      <c r="S2675">
        <v>0</v>
      </c>
    </row>
    <row r="2676" spans="1:19">
      <c r="A2676" t="s">
        <v>35</v>
      </c>
      <c r="B2676" t="s">
        <v>5131</v>
      </c>
      <c r="C2676">
        <f>"3025A"</f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 s="2">
        <v>0</v>
      </c>
      <c r="M2676">
        <v>0</v>
      </c>
      <c r="N2676" s="2">
        <v>0</v>
      </c>
      <c r="O2676">
        <v>0</v>
      </c>
      <c r="P2676" t="s">
        <v>100</v>
      </c>
      <c r="Q2676">
        <v>0</v>
      </c>
      <c r="R2676" t="s">
        <v>145</v>
      </c>
      <c r="S2676">
        <v>0</v>
      </c>
    </row>
    <row r="2677" spans="1:19">
      <c r="A2677" t="s">
        <v>35</v>
      </c>
      <c r="B2677" t="s">
        <v>5482</v>
      </c>
      <c r="C2677">
        <f>"PP290CC"</f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 s="2">
        <v>0</v>
      </c>
      <c r="M2677">
        <v>0</v>
      </c>
      <c r="N2677" s="2">
        <v>0</v>
      </c>
      <c r="O2677">
        <v>0</v>
      </c>
      <c r="P2677" t="s">
        <v>100</v>
      </c>
      <c r="Q2677">
        <v>0</v>
      </c>
      <c r="R2677" t="s">
        <v>145</v>
      </c>
      <c r="S2677">
        <v>0</v>
      </c>
    </row>
    <row r="2678" spans="1:19">
      <c r="A2678" t="s">
        <v>35</v>
      </c>
      <c r="B2678" t="s">
        <v>5669</v>
      </c>
      <c r="C2678">
        <f>"DHO3R"</f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 s="2">
        <v>0</v>
      </c>
      <c r="M2678">
        <v>0</v>
      </c>
      <c r="N2678" s="2">
        <v>0</v>
      </c>
      <c r="O2678">
        <v>0</v>
      </c>
      <c r="P2678" t="s">
        <v>100</v>
      </c>
      <c r="Q2678">
        <v>0</v>
      </c>
      <c r="R2678" t="s">
        <v>145</v>
      </c>
      <c r="S2678">
        <v>0</v>
      </c>
    </row>
    <row r="2679" spans="1:19">
      <c r="A2679" t="s">
        <v>35</v>
      </c>
      <c r="B2679" t="s">
        <v>1387</v>
      </c>
      <c r="C2679">
        <f>"PT1"</f>
        <v>0</v>
      </c>
      <c r="D2679">
        <v>0</v>
      </c>
      <c r="E2679">
        <v>0</v>
      </c>
      <c r="F2679">
        <v>1</v>
      </c>
      <c r="G2679">
        <v>0</v>
      </c>
      <c r="H2679">
        <v>1</v>
      </c>
      <c r="I2679">
        <v>0</v>
      </c>
      <c r="J2679">
        <v>0</v>
      </c>
      <c r="K2679">
        <v>0</v>
      </c>
      <c r="L2679" s="2">
        <v>0</v>
      </c>
      <c r="M2679">
        <v>0</v>
      </c>
      <c r="N2679" s="2">
        <v>0</v>
      </c>
      <c r="O2679">
        <v>0</v>
      </c>
      <c r="P2679" t="s">
        <v>100</v>
      </c>
      <c r="Q2679">
        <v>0</v>
      </c>
      <c r="R2679" t="s">
        <v>145</v>
      </c>
      <c r="S2679">
        <v>0</v>
      </c>
    </row>
    <row r="2680" spans="1:19">
      <c r="A2680" t="s">
        <v>35</v>
      </c>
      <c r="B2680" t="s">
        <v>5398</v>
      </c>
      <c r="C2680">
        <f>"3103C"</f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 s="2">
        <v>0</v>
      </c>
      <c r="M2680">
        <v>0</v>
      </c>
      <c r="N2680" s="2">
        <v>0</v>
      </c>
      <c r="O2680">
        <v>0</v>
      </c>
      <c r="P2680" t="s">
        <v>100</v>
      </c>
      <c r="Q2680">
        <v>0</v>
      </c>
      <c r="R2680" t="s">
        <v>145</v>
      </c>
      <c r="S2680">
        <v>0</v>
      </c>
    </row>
    <row r="2681" spans="1:19">
      <c r="A2681" t="s">
        <v>35</v>
      </c>
      <c r="B2681" t="s">
        <v>5396</v>
      </c>
      <c r="C2681">
        <f>"3103M"</f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 s="2">
        <v>0</v>
      </c>
      <c r="M2681">
        <v>0</v>
      </c>
      <c r="N2681" s="2">
        <v>0</v>
      </c>
      <c r="O2681">
        <v>0</v>
      </c>
      <c r="P2681" t="s">
        <v>100</v>
      </c>
      <c r="Q2681">
        <v>0</v>
      </c>
      <c r="R2681" t="s">
        <v>145</v>
      </c>
      <c r="S2681">
        <v>0</v>
      </c>
    </row>
    <row r="2682" spans="1:19">
      <c r="A2682" t="s">
        <v>35</v>
      </c>
      <c r="B2682" t="s">
        <v>5497</v>
      </c>
      <c r="C2682">
        <f>"3103N"</f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 s="2">
        <v>0</v>
      </c>
      <c r="M2682">
        <v>0</v>
      </c>
      <c r="N2682" s="2">
        <v>0</v>
      </c>
      <c r="O2682">
        <v>0</v>
      </c>
      <c r="P2682" t="s">
        <v>100</v>
      </c>
      <c r="Q2682">
        <v>0</v>
      </c>
      <c r="R2682" t="s">
        <v>145</v>
      </c>
      <c r="S2682">
        <v>0</v>
      </c>
    </row>
    <row r="2683" spans="1:19">
      <c r="A2683" t="s">
        <v>35</v>
      </c>
      <c r="B2683" t="s">
        <v>5496</v>
      </c>
      <c r="C2683">
        <f>"3103R"</f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 s="2">
        <v>0</v>
      </c>
      <c r="M2683">
        <v>0</v>
      </c>
      <c r="N2683" s="2">
        <v>0</v>
      </c>
      <c r="O2683">
        <v>0</v>
      </c>
      <c r="P2683" t="s">
        <v>100</v>
      </c>
      <c r="Q2683">
        <v>0</v>
      </c>
      <c r="R2683" t="s">
        <v>145</v>
      </c>
      <c r="S2683">
        <v>0</v>
      </c>
    </row>
    <row r="2684" spans="1:19">
      <c r="A2684" t="s">
        <v>35</v>
      </c>
      <c r="B2684" t="s">
        <v>6173</v>
      </c>
      <c r="C2684">
        <f>"C104"</f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 s="2">
        <v>0</v>
      </c>
      <c r="M2684">
        <v>0</v>
      </c>
      <c r="N2684" s="2">
        <v>0</v>
      </c>
      <c r="O2684">
        <v>0</v>
      </c>
      <c r="P2684" t="s">
        <v>100</v>
      </c>
      <c r="Q2684">
        <v>0</v>
      </c>
      <c r="R2684" t="s">
        <v>145</v>
      </c>
      <c r="S2684">
        <v>0</v>
      </c>
    </row>
    <row r="2685" spans="1:19">
      <c r="A2685" t="s">
        <v>35</v>
      </c>
      <c r="B2685" t="s">
        <v>5668</v>
      </c>
      <c r="C2685">
        <f>"BA046MRS"</f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 s="2">
        <v>0</v>
      </c>
      <c r="M2685">
        <v>0</v>
      </c>
      <c r="N2685" s="2">
        <v>0</v>
      </c>
      <c r="O2685">
        <v>0</v>
      </c>
      <c r="P2685" t="s">
        <v>100</v>
      </c>
      <c r="Q2685">
        <v>0</v>
      </c>
      <c r="R2685" t="s">
        <v>145</v>
      </c>
      <c r="S2685">
        <v>0</v>
      </c>
    </row>
    <row r="2686" spans="1:19">
      <c r="A2686" t="s">
        <v>35</v>
      </c>
      <c r="B2686" t="s">
        <v>5502</v>
      </c>
      <c r="C2686">
        <f>"BA046SA"</f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 s="2">
        <v>0</v>
      </c>
      <c r="M2686">
        <v>0</v>
      </c>
      <c r="N2686" s="2">
        <v>0</v>
      </c>
      <c r="O2686">
        <v>0</v>
      </c>
      <c r="P2686" t="s">
        <v>100</v>
      </c>
      <c r="Q2686">
        <v>0</v>
      </c>
      <c r="R2686" t="s">
        <v>145</v>
      </c>
      <c r="S2686">
        <v>0</v>
      </c>
    </row>
    <row r="2687" spans="1:19">
      <c r="A2687" t="s">
        <v>35</v>
      </c>
      <c r="B2687" t="s">
        <v>5552</v>
      </c>
      <c r="C2687">
        <f>"KF8016BG"</f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 s="2">
        <v>0</v>
      </c>
      <c r="M2687">
        <v>0</v>
      </c>
      <c r="N2687" s="2">
        <v>0</v>
      </c>
      <c r="O2687">
        <v>0</v>
      </c>
      <c r="P2687" t="s">
        <v>100</v>
      </c>
      <c r="Q2687">
        <v>0</v>
      </c>
      <c r="R2687" t="s">
        <v>145</v>
      </c>
      <c r="S2687">
        <v>0</v>
      </c>
    </row>
    <row r="2688" spans="1:19">
      <c r="A2688" t="s">
        <v>35</v>
      </c>
      <c r="B2688" t="s">
        <v>6006</v>
      </c>
      <c r="C2688">
        <f>"MSP009TV"</f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 s="2">
        <v>0</v>
      </c>
      <c r="M2688">
        <v>0</v>
      </c>
      <c r="N2688" s="2">
        <v>0</v>
      </c>
      <c r="O2688">
        <v>0</v>
      </c>
      <c r="P2688" t="s">
        <v>100</v>
      </c>
      <c r="Q2688">
        <v>0</v>
      </c>
      <c r="R2688" t="s">
        <v>145</v>
      </c>
      <c r="S2688">
        <v>0</v>
      </c>
    </row>
    <row r="2689" spans="1:19">
      <c r="A2689" t="s">
        <v>35</v>
      </c>
      <c r="B2689" t="s">
        <v>5388</v>
      </c>
      <c r="C2689">
        <f>"MSP102A"</f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 s="2">
        <v>0</v>
      </c>
      <c r="M2689">
        <v>0</v>
      </c>
      <c r="N2689" s="2">
        <v>0</v>
      </c>
      <c r="O2689">
        <v>0</v>
      </c>
      <c r="P2689" t="s">
        <v>100</v>
      </c>
      <c r="Q2689">
        <v>0</v>
      </c>
      <c r="R2689" t="s">
        <v>145</v>
      </c>
      <c r="S2689">
        <v>0</v>
      </c>
    </row>
    <row r="2690" spans="1:19">
      <c r="A2690" t="s">
        <v>35</v>
      </c>
      <c r="B2690" t="s">
        <v>5387</v>
      </c>
      <c r="C2690">
        <f>"MSP102GRIS"</f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 s="2">
        <v>0</v>
      </c>
      <c r="M2690">
        <v>0</v>
      </c>
      <c r="N2690" s="2">
        <v>0</v>
      </c>
      <c r="O2690">
        <v>0</v>
      </c>
      <c r="P2690" t="s">
        <v>100</v>
      </c>
      <c r="Q2690">
        <v>0</v>
      </c>
      <c r="R2690" t="s">
        <v>145</v>
      </c>
      <c r="S2690">
        <v>0</v>
      </c>
    </row>
    <row r="2691" spans="1:19">
      <c r="A2691" t="s">
        <v>35</v>
      </c>
      <c r="B2691" t="s">
        <v>5386</v>
      </c>
      <c r="C2691">
        <f>"MSP008CELE"</f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 s="2">
        <v>0</v>
      </c>
      <c r="M2691">
        <v>0</v>
      </c>
      <c r="N2691" s="2">
        <v>0</v>
      </c>
      <c r="O2691">
        <v>0</v>
      </c>
      <c r="P2691" t="s">
        <v>100</v>
      </c>
      <c r="Q2691">
        <v>0</v>
      </c>
      <c r="R2691" t="s">
        <v>145</v>
      </c>
      <c r="S2691">
        <v>0</v>
      </c>
    </row>
    <row r="2692" spans="1:19">
      <c r="A2692" t="s">
        <v>35</v>
      </c>
      <c r="B2692" t="s">
        <v>5558</v>
      </c>
      <c r="C2692">
        <f>"PP110CBR"</f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 s="2">
        <v>0</v>
      </c>
      <c r="M2692">
        <v>0</v>
      </c>
      <c r="N2692" s="2">
        <v>0</v>
      </c>
      <c r="O2692">
        <v>0</v>
      </c>
      <c r="P2692" t="s">
        <v>100</v>
      </c>
      <c r="Q2692">
        <v>0</v>
      </c>
      <c r="R2692" t="s">
        <v>145</v>
      </c>
      <c r="S2692">
        <v>0</v>
      </c>
    </row>
    <row r="2693" spans="1:19">
      <c r="A2693" t="s">
        <v>35</v>
      </c>
      <c r="B2693" t="s">
        <v>5557</v>
      </c>
      <c r="C2693">
        <f>"PP110CCB"</f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 s="2">
        <v>0</v>
      </c>
      <c r="M2693">
        <v>0</v>
      </c>
      <c r="N2693" s="2">
        <v>0</v>
      </c>
      <c r="O2693">
        <v>0</v>
      </c>
      <c r="P2693" t="s">
        <v>100</v>
      </c>
      <c r="Q2693">
        <v>0</v>
      </c>
      <c r="R2693" t="s">
        <v>145</v>
      </c>
      <c r="S2693">
        <v>0</v>
      </c>
    </row>
    <row r="2694" spans="1:19">
      <c r="A2694" t="s">
        <v>35</v>
      </c>
      <c r="B2694" t="s">
        <v>5556</v>
      </c>
      <c r="C2694">
        <f>"PP047CB"</f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 s="2">
        <v>0</v>
      </c>
      <c r="M2694">
        <v>0</v>
      </c>
      <c r="N2694" s="2">
        <v>0</v>
      </c>
      <c r="O2694">
        <v>0</v>
      </c>
      <c r="P2694" t="s">
        <v>100</v>
      </c>
      <c r="Q2694">
        <v>0</v>
      </c>
      <c r="R2694" t="s">
        <v>145</v>
      </c>
      <c r="S2694">
        <v>0</v>
      </c>
    </row>
    <row r="2695" spans="1:19">
      <c r="A2695" t="s">
        <v>35</v>
      </c>
      <c r="B2695" t="s">
        <v>5555</v>
      </c>
      <c r="C2695">
        <f>"PP047CG"</f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 s="2">
        <v>0</v>
      </c>
      <c r="M2695">
        <v>0</v>
      </c>
      <c r="N2695" s="2">
        <v>0</v>
      </c>
      <c r="O2695">
        <v>0</v>
      </c>
      <c r="P2695" t="s">
        <v>100</v>
      </c>
      <c r="Q2695">
        <v>0</v>
      </c>
      <c r="R2695" t="s">
        <v>145</v>
      </c>
      <c r="S2695">
        <v>0</v>
      </c>
    </row>
    <row r="2696" spans="1:19">
      <c r="A2696" t="s">
        <v>35</v>
      </c>
      <c r="B2696" t="s">
        <v>5554</v>
      </c>
      <c r="C2696">
        <f>"KF8001AB"</f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 s="2">
        <v>0</v>
      </c>
      <c r="M2696">
        <v>0</v>
      </c>
      <c r="N2696" s="2">
        <v>0</v>
      </c>
      <c r="O2696">
        <v>0</v>
      </c>
      <c r="P2696" t="s">
        <v>100</v>
      </c>
      <c r="Q2696">
        <v>0</v>
      </c>
      <c r="R2696" t="s">
        <v>145</v>
      </c>
      <c r="S2696">
        <v>0</v>
      </c>
    </row>
    <row r="2697" spans="1:19">
      <c r="A2697" t="s">
        <v>35</v>
      </c>
      <c r="B2697" t="s">
        <v>5553</v>
      </c>
      <c r="C2697">
        <f>"KF2013B"</f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 s="2">
        <v>0</v>
      </c>
      <c r="M2697">
        <v>0</v>
      </c>
      <c r="N2697" s="2">
        <v>0</v>
      </c>
      <c r="O2697">
        <v>0</v>
      </c>
      <c r="P2697" t="s">
        <v>100</v>
      </c>
      <c r="Q2697">
        <v>0</v>
      </c>
      <c r="R2697" t="s">
        <v>145</v>
      </c>
      <c r="S2697">
        <v>0</v>
      </c>
    </row>
    <row r="2698" spans="1:19">
      <c r="A2698" t="s">
        <v>35</v>
      </c>
      <c r="B2698" t="s">
        <v>5499</v>
      </c>
      <c r="C2698">
        <f>"C202"</f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 s="2">
        <v>0</v>
      </c>
      <c r="M2698">
        <v>0</v>
      </c>
      <c r="N2698" s="2">
        <v>0</v>
      </c>
      <c r="O2698">
        <v>0</v>
      </c>
      <c r="P2698" t="s">
        <v>100</v>
      </c>
      <c r="Q2698">
        <v>0</v>
      </c>
      <c r="R2698" t="s">
        <v>145</v>
      </c>
      <c r="S2698">
        <v>0</v>
      </c>
    </row>
    <row r="2699" spans="1:19">
      <c r="A2699" t="s">
        <v>35</v>
      </c>
      <c r="B2699" t="s">
        <v>5390</v>
      </c>
      <c r="C2699">
        <f>"3106MIXVE"</f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 s="2">
        <v>0</v>
      </c>
      <c r="M2699">
        <v>0</v>
      </c>
      <c r="N2699" s="2">
        <v>0</v>
      </c>
      <c r="O2699">
        <v>0</v>
      </c>
      <c r="P2699" t="s">
        <v>100</v>
      </c>
      <c r="Q2699">
        <v>0</v>
      </c>
      <c r="R2699" t="s">
        <v>145</v>
      </c>
      <c r="S2699">
        <v>0</v>
      </c>
    </row>
    <row r="2700" spans="1:19">
      <c r="A2700" t="s">
        <v>35</v>
      </c>
      <c r="B2700" t="s">
        <v>5389</v>
      </c>
      <c r="C2700">
        <f>"3106MIXNA"</f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 s="2">
        <v>0</v>
      </c>
      <c r="M2700">
        <v>0</v>
      </c>
      <c r="N2700" s="2">
        <v>0</v>
      </c>
      <c r="O2700">
        <v>0</v>
      </c>
      <c r="P2700" t="s">
        <v>100</v>
      </c>
      <c r="Q2700">
        <v>0</v>
      </c>
      <c r="R2700" t="s">
        <v>145</v>
      </c>
      <c r="S2700">
        <v>0</v>
      </c>
    </row>
    <row r="2701" spans="1:19">
      <c r="A2701" t="s">
        <v>35</v>
      </c>
      <c r="B2701" t="s">
        <v>6177</v>
      </c>
      <c r="C2701">
        <f>"LS221NA"</f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 s="2">
        <v>0</v>
      </c>
      <c r="M2701">
        <v>0</v>
      </c>
      <c r="N2701" s="2">
        <v>0</v>
      </c>
      <c r="O2701">
        <v>0</v>
      </c>
      <c r="P2701" t="s">
        <v>100</v>
      </c>
      <c r="Q2701">
        <v>0</v>
      </c>
      <c r="R2701" t="s">
        <v>145</v>
      </c>
      <c r="S2701">
        <v>0</v>
      </c>
    </row>
    <row r="2702" spans="1:19">
      <c r="A2702" t="s">
        <v>35</v>
      </c>
      <c r="B2702" t="s">
        <v>6176</v>
      </c>
      <c r="C2702">
        <f>"LS221V"</f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 s="2">
        <v>0</v>
      </c>
      <c r="M2702">
        <v>0</v>
      </c>
      <c r="N2702" s="2">
        <v>0</v>
      </c>
      <c r="O2702">
        <v>0</v>
      </c>
      <c r="P2702" t="s">
        <v>100</v>
      </c>
      <c r="Q2702">
        <v>0</v>
      </c>
      <c r="R2702" t="s">
        <v>145</v>
      </c>
      <c r="S2702">
        <v>0</v>
      </c>
    </row>
    <row r="2703" spans="1:19">
      <c r="A2703" t="s">
        <v>35</v>
      </c>
      <c r="B2703" t="s">
        <v>6063</v>
      </c>
      <c r="C2703">
        <f>"LS193"</f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 s="2">
        <v>0</v>
      </c>
      <c r="M2703">
        <v>0</v>
      </c>
      <c r="N2703" s="2">
        <v>0</v>
      </c>
      <c r="O2703">
        <v>0</v>
      </c>
      <c r="P2703" t="s">
        <v>100</v>
      </c>
      <c r="Q2703">
        <v>0</v>
      </c>
      <c r="R2703" t="s">
        <v>145</v>
      </c>
      <c r="S2703">
        <v>0</v>
      </c>
    </row>
    <row r="2704" spans="1:19">
      <c r="A2704" t="s">
        <v>35</v>
      </c>
      <c r="B2704" t="s">
        <v>1384</v>
      </c>
      <c r="C2704">
        <f>"MF888"</f>
        <v>0</v>
      </c>
      <c r="D2704">
        <v>0</v>
      </c>
      <c r="E2704">
        <v>1</v>
      </c>
      <c r="F2704">
        <v>0</v>
      </c>
      <c r="G2704">
        <v>0</v>
      </c>
      <c r="H2704">
        <v>1</v>
      </c>
      <c r="I2704">
        <v>0</v>
      </c>
      <c r="J2704">
        <v>0</v>
      </c>
      <c r="K2704">
        <v>0</v>
      </c>
      <c r="L2704" s="2">
        <v>0</v>
      </c>
      <c r="M2704">
        <v>0</v>
      </c>
      <c r="N2704" s="2">
        <v>0</v>
      </c>
      <c r="O2704">
        <v>0</v>
      </c>
      <c r="P2704" t="s">
        <v>100</v>
      </c>
      <c r="Q2704">
        <v>0</v>
      </c>
      <c r="R2704" t="s">
        <v>145</v>
      </c>
      <c r="S2704">
        <v>0</v>
      </c>
    </row>
    <row r="2705" spans="1:19">
      <c r="A2705" t="s">
        <v>35</v>
      </c>
      <c r="B2705" t="s">
        <v>1382</v>
      </c>
      <c r="C2705">
        <f>"LS107"</f>
        <v>0</v>
      </c>
      <c r="D2705">
        <v>1</v>
      </c>
      <c r="E2705">
        <v>0</v>
      </c>
      <c r="F2705">
        <v>0</v>
      </c>
      <c r="G2705">
        <v>0</v>
      </c>
      <c r="H2705">
        <v>1</v>
      </c>
      <c r="I2705">
        <v>0</v>
      </c>
      <c r="J2705">
        <v>0</v>
      </c>
      <c r="K2705">
        <v>0</v>
      </c>
      <c r="L2705" s="2">
        <v>0</v>
      </c>
      <c r="M2705">
        <v>0</v>
      </c>
      <c r="N2705" s="2">
        <v>0</v>
      </c>
      <c r="O2705">
        <v>0</v>
      </c>
      <c r="P2705" t="s">
        <v>100</v>
      </c>
      <c r="Q2705">
        <v>0</v>
      </c>
      <c r="R2705" t="s">
        <v>145</v>
      </c>
      <c r="S2705">
        <v>0</v>
      </c>
    </row>
    <row r="2706" spans="1:19">
      <c r="A2706" t="s">
        <v>35</v>
      </c>
      <c r="B2706" t="s">
        <v>4799</v>
      </c>
      <c r="C2706">
        <f>"CX3A"</f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 s="2">
        <v>0</v>
      </c>
      <c r="M2706">
        <v>0</v>
      </c>
      <c r="N2706" s="2">
        <v>0</v>
      </c>
      <c r="O2706">
        <v>0</v>
      </c>
      <c r="P2706" t="s">
        <v>100</v>
      </c>
      <c r="Q2706">
        <v>0</v>
      </c>
      <c r="R2706" t="s">
        <v>145</v>
      </c>
      <c r="S2706">
        <v>0</v>
      </c>
    </row>
    <row r="2707" spans="1:19">
      <c r="A2707" t="s">
        <v>35</v>
      </c>
      <c r="B2707" t="s">
        <v>4797</v>
      </c>
      <c r="C2707">
        <f>"CX3R"</f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 s="2">
        <v>0</v>
      </c>
      <c r="M2707">
        <v>0</v>
      </c>
      <c r="N2707" s="2">
        <v>0</v>
      </c>
      <c r="O2707">
        <v>0</v>
      </c>
      <c r="P2707" t="s">
        <v>100</v>
      </c>
      <c r="Q2707">
        <v>0</v>
      </c>
      <c r="R2707" t="s">
        <v>145</v>
      </c>
      <c r="S2707">
        <v>0</v>
      </c>
    </row>
    <row r="2708" spans="1:19">
      <c r="A2708" t="s">
        <v>35</v>
      </c>
      <c r="B2708" t="s">
        <v>4683</v>
      </c>
      <c r="C2708">
        <f>"PRIMAV"</f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 s="2">
        <v>0</v>
      </c>
      <c r="M2708">
        <v>0</v>
      </c>
      <c r="N2708" s="2">
        <v>0</v>
      </c>
      <c r="O2708">
        <v>0</v>
      </c>
      <c r="P2708" t="s">
        <v>100</v>
      </c>
      <c r="Q2708">
        <v>0</v>
      </c>
      <c r="R2708" t="s">
        <v>145</v>
      </c>
      <c r="S2708">
        <v>0</v>
      </c>
    </row>
    <row r="2709" spans="1:19">
      <c r="A2709" t="s">
        <v>35</v>
      </c>
      <c r="B2709" t="s">
        <v>5525</v>
      </c>
      <c r="C2709">
        <f>"82044"</f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 s="2">
        <v>0</v>
      </c>
      <c r="M2709">
        <v>0</v>
      </c>
      <c r="N2709" s="2">
        <v>0</v>
      </c>
      <c r="O2709">
        <v>0</v>
      </c>
      <c r="P2709" t="s">
        <v>100</v>
      </c>
      <c r="Q2709">
        <v>0</v>
      </c>
      <c r="R2709" t="s">
        <v>145</v>
      </c>
      <c r="S2709">
        <v>0</v>
      </c>
    </row>
    <row r="2710" spans="1:19">
      <c r="A2710" t="s">
        <v>35</v>
      </c>
      <c r="B2710" t="s">
        <v>4679</v>
      </c>
      <c r="C2710">
        <f>"3101C"</f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 s="2">
        <v>0</v>
      </c>
      <c r="M2710">
        <v>0</v>
      </c>
      <c r="N2710" s="2">
        <v>0</v>
      </c>
      <c r="O2710">
        <v>0</v>
      </c>
      <c r="P2710" t="s">
        <v>100</v>
      </c>
      <c r="Q2710">
        <v>0</v>
      </c>
      <c r="R2710" t="s">
        <v>145</v>
      </c>
      <c r="S2710">
        <v>0</v>
      </c>
    </row>
    <row r="2711" spans="1:19">
      <c r="A2711" t="s">
        <v>35</v>
      </c>
      <c r="B2711" t="s">
        <v>4677</v>
      </c>
      <c r="C2711">
        <f>"MB201A"</f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 s="2">
        <v>0</v>
      </c>
      <c r="M2711">
        <v>0</v>
      </c>
      <c r="N2711" s="2">
        <v>0</v>
      </c>
      <c r="O2711">
        <v>0</v>
      </c>
      <c r="P2711" t="s">
        <v>100</v>
      </c>
      <c r="Q2711">
        <v>0</v>
      </c>
      <c r="R2711" t="s">
        <v>145</v>
      </c>
      <c r="S2711">
        <v>0</v>
      </c>
    </row>
    <row r="2712" spans="1:19">
      <c r="A2712" t="s">
        <v>35</v>
      </c>
      <c r="B2712" t="s">
        <v>5269</v>
      </c>
      <c r="C2712">
        <f>"J1903"</f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 s="2">
        <v>0</v>
      </c>
      <c r="M2712">
        <v>0</v>
      </c>
      <c r="N2712" s="2">
        <v>0</v>
      </c>
      <c r="O2712">
        <v>0</v>
      </c>
      <c r="P2712" t="s">
        <v>100</v>
      </c>
      <c r="Q2712">
        <v>0</v>
      </c>
      <c r="R2712" t="s">
        <v>145</v>
      </c>
      <c r="S2712">
        <v>0</v>
      </c>
    </row>
    <row r="2713" spans="1:19">
      <c r="A2713" t="s">
        <v>35</v>
      </c>
      <c r="B2713" t="s">
        <v>5314</v>
      </c>
      <c r="C2713">
        <f>"PS8016"</f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 s="2">
        <v>0</v>
      </c>
      <c r="M2713">
        <v>0</v>
      </c>
      <c r="N2713" s="2">
        <v>0</v>
      </c>
      <c r="O2713">
        <v>0</v>
      </c>
      <c r="P2713" t="s">
        <v>100</v>
      </c>
      <c r="Q2713">
        <v>0</v>
      </c>
      <c r="R2713" t="s">
        <v>145</v>
      </c>
      <c r="S2713">
        <v>0</v>
      </c>
    </row>
    <row r="2714" spans="1:19">
      <c r="A2714" t="s">
        <v>35</v>
      </c>
      <c r="B2714" t="s">
        <v>5530</v>
      </c>
      <c r="C2714">
        <f>"1Z1"</f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 s="2">
        <v>0</v>
      </c>
      <c r="M2714">
        <v>0</v>
      </c>
      <c r="N2714" s="2">
        <v>0</v>
      </c>
      <c r="O2714">
        <v>0</v>
      </c>
      <c r="P2714" t="s">
        <v>100</v>
      </c>
      <c r="Q2714">
        <v>0</v>
      </c>
      <c r="R2714" t="s">
        <v>145</v>
      </c>
      <c r="S2714">
        <v>0</v>
      </c>
    </row>
    <row r="2715" spans="1:19">
      <c r="A2715" t="s">
        <v>35</v>
      </c>
      <c r="B2715" t="s">
        <v>917</v>
      </c>
      <c r="C2715">
        <f>"LZ1CAFOSC"</f>
        <v>0</v>
      </c>
      <c r="D2715">
        <v>3</v>
      </c>
      <c r="E2715">
        <v>0</v>
      </c>
      <c r="F2715">
        <v>0</v>
      </c>
      <c r="G2715">
        <v>0</v>
      </c>
      <c r="H2715">
        <v>3</v>
      </c>
      <c r="I2715">
        <v>0</v>
      </c>
      <c r="J2715">
        <v>0</v>
      </c>
      <c r="K2715">
        <v>0</v>
      </c>
      <c r="L2715" s="2">
        <v>0</v>
      </c>
      <c r="M2715">
        <v>0</v>
      </c>
      <c r="N2715" s="2">
        <v>0</v>
      </c>
      <c r="O2715">
        <v>0</v>
      </c>
      <c r="P2715" t="s">
        <v>100</v>
      </c>
      <c r="Q2715">
        <v>0</v>
      </c>
      <c r="R2715" t="s">
        <v>145</v>
      </c>
      <c r="S2715">
        <v>0</v>
      </c>
    </row>
    <row r="2716" spans="1:19">
      <c r="A2716" t="s">
        <v>35</v>
      </c>
      <c r="B2716" t="s">
        <v>5547</v>
      </c>
      <c r="C2716">
        <f>"hk15011"</f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 s="2">
        <v>0</v>
      </c>
      <c r="M2716">
        <v>0</v>
      </c>
      <c r="N2716" s="2">
        <v>0</v>
      </c>
      <c r="O2716">
        <v>0</v>
      </c>
      <c r="P2716" t="s">
        <v>100</v>
      </c>
      <c r="Q2716">
        <v>0</v>
      </c>
      <c r="R2716" t="s">
        <v>145</v>
      </c>
      <c r="S2716">
        <v>0</v>
      </c>
    </row>
    <row r="2717" spans="1:19">
      <c r="A2717" t="s">
        <v>35</v>
      </c>
      <c r="B2717" t="s">
        <v>5529</v>
      </c>
      <c r="C2717">
        <f>"hk15016"</f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 s="2">
        <v>0</v>
      </c>
      <c r="M2717">
        <v>0</v>
      </c>
      <c r="N2717" s="2">
        <v>0</v>
      </c>
      <c r="O2717">
        <v>0</v>
      </c>
      <c r="P2717" t="s">
        <v>100</v>
      </c>
      <c r="Q2717">
        <v>0</v>
      </c>
      <c r="R2717" t="s">
        <v>145</v>
      </c>
      <c r="S2717">
        <v>0</v>
      </c>
    </row>
    <row r="2718" spans="1:19">
      <c r="A2718" t="s">
        <v>35</v>
      </c>
      <c r="B2718" t="s">
        <v>4796</v>
      </c>
      <c r="C2718">
        <f>"3019494145363058"</f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 s="2">
        <v>0</v>
      </c>
      <c r="M2718">
        <v>0</v>
      </c>
      <c r="N2718" s="2">
        <v>0</v>
      </c>
      <c r="O2718">
        <v>0</v>
      </c>
      <c r="P2718" t="s">
        <v>100</v>
      </c>
      <c r="Q2718">
        <v>0</v>
      </c>
      <c r="R2718" t="s">
        <v>145</v>
      </c>
      <c r="S2718">
        <v>0</v>
      </c>
    </row>
    <row r="2719" spans="1:19">
      <c r="A2719" t="s">
        <v>35</v>
      </c>
      <c r="B2719" t="s">
        <v>6262</v>
      </c>
      <c r="C2719">
        <f>"831250"</f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 s="2">
        <v>0</v>
      </c>
      <c r="M2719">
        <v>0</v>
      </c>
      <c r="N2719" s="2">
        <v>0</v>
      </c>
      <c r="O2719">
        <v>0</v>
      </c>
      <c r="P2719" t="s">
        <v>100</v>
      </c>
      <c r="Q2719">
        <v>0</v>
      </c>
      <c r="R2719" t="s">
        <v>145</v>
      </c>
      <c r="S2719">
        <v>0</v>
      </c>
    </row>
    <row r="2720" spans="1:19">
      <c r="A2720" t="s">
        <v>35</v>
      </c>
      <c r="B2720" t="s">
        <v>4680</v>
      </c>
      <c r="C2720">
        <f>"HC045"</f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 s="2">
        <v>0</v>
      </c>
      <c r="M2720">
        <v>0</v>
      </c>
      <c r="N2720" s="2">
        <v>0</v>
      </c>
      <c r="O2720">
        <v>0</v>
      </c>
      <c r="P2720" t="s">
        <v>100</v>
      </c>
      <c r="Q2720">
        <v>0</v>
      </c>
      <c r="R2720" t="s">
        <v>145</v>
      </c>
      <c r="S2720">
        <v>0</v>
      </c>
    </row>
    <row r="2721" spans="1:19">
      <c r="A2721" t="s">
        <v>35</v>
      </c>
      <c r="B2721" t="s">
        <v>5567</v>
      </c>
      <c r="C2721">
        <f>"KF8062"</f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 s="2">
        <v>0</v>
      </c>
      <c r="M2721">
        <v>0</v>
      </c>
      <c r="N2721" s="2">
        <v>0</v>
      </c>
      <c r="O2721">
        <v>0</v>
      </c>
      <c r="P2721" t="s">
        <v>100</v>
      </c>
      <c r="Q2721">
        <v>0</v>
      </c>
      <c r="R2721" t="s">
        <v>145</v>
      </c>
      <c r="S2721">
        <v>0</v>
      </c>
    </row>
    <row r="2722" spans="1:19">
      <c r="A2722" t="s">
        <v>35</v>
      </c>
      <c r="B2722" t="s">
        <v>5565</v>
      </c>
      <c r="C2722">
        <f>"IC1127"</f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 s="2">
        <v>0</v>
      </c>
      <c r="M2722">
        <v>0</v>
      </c>
      <c r="N2722" s="2">
        <v>0</v>
      </c>
      <c r="O2722">
        <v>0</v>
      </c>
      <c r="P2722" t="s">
        <v>100</v>
      </c>
      <c r="Q2722">
        <v>0</v>
      </c>
      <c r="R2722" t="s">
        <v>145</v>
      </c>
      <c r="S2722">
        <v>0</v>
      </c>
    </row>
    <row r="2723" spans="1:19">
      <c r="A2723" t="s">
        <v>35</v>
      </c>
      <c r="B2723" t="s">
        <v>5564</v>
      </c>
      <c r="C2723">
        <f>"PP045C"</f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 s="2">
        <v>0</v>
      </c>
      <c r="M2723">
        <v>0</v>
      </c>
      <c r="N2723" s="2">
        <v>0</v>
      </c>
      <c r="O2723">
        <v>0</v>
      </c>
      <c r="P2723" t="s">
        <v>100</v>
      </c>
      <c r="Q2723">
        <v>0</v>
      </c>
      <c r="R2723" t="s">
        <v>145</v>
      </c>
      <c r="S2723">
        <v>0</v>
      </c>
    </row>
    <row r="2724" spans="1:19">
      <c r="A2724" t="s">
        <v>35</v>
      </c>
      <c r="B2724" t="s">
        <v>5563</v>
      </c>
      <c r="C2724">
        <f>"KF8039B"</f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 s="2">
        <v>0</v>
      </c>
      <c r="M2724">
        <v>0</v>
      </c>
      <c r="N2724" s="2">
        <v>0</v>
      </c>
      <c r="O2724">
        <v>0</v>
      </c>
      <c r="P2724" t="s">
        <v>100</v>
      </c>
      <c r="Q2724">
        <v>0</v>
      </c>
      <c r="R2724" t="s">
        <v>145</v>
      </c>
      <c r="S2724">
        <v>0</v>
      </c>
    </row>
    <row r="2725" spans="1:19">
      <c r="A2725" t="s">
        <v>35</v>
      </c>
      <c r="B2725" t="s">
        <v>5562</v>
      </c>
      <c r="C2725">
        <f>"WPS152"</f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 s="2">
        <v>0</v>
      </c>
      <c r="M2725">
        <v>0</v>
      </c>
      <c r="N2725" s="2">
        <v>0</v>
      </c>
      <c r="O2725">
        <v>0</v>
      </c>
      <c r="P2725" t="s">
        <v>100</v>
      </c>
      <c r="Q2725">
        <v>0</v>
      </c>
      <c r="R2725" t="s">
        <v>145</v>
      </c>
      <c r="S2725">
        <v>0</v>
      </c>
    </row>
    <row r="2726" spans="1:19">
      <c r="A2726" t="s">
        <v>35</v>
      </c>
      <c r="B2726" t="s">
        <v>5472</v>
      </c>
      <c r="C2726">
        <f>"IC0065"</f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 s="2">
        <v>0</v>
      </c>
      <c r="M2726">
        <v>0</v>
      </c>
      <c r="N2726" s="2">
        <v>0</v>
      </c>
      <c r="O2726">
        <v>0</v>
      </c>
      <c r="P2726" t="s">
        <v>100</v>
      </c>
      <c r="Q2726">
        <v>0</v>
      </c>
      <c r="R2726" t="s">
        <v>145</v>
      </c>
      <c r="S2726">
        <v>0</v>
      </c>
    </row>
    <row r="2727" spans="1:19">
      <c r="A2727" t="s">
        <v>35</v>
      </c>
      <c r="B2727" t="s">
        <v>5471</v>
      </c>
      <c r="C2727">
        <f>"IC1059"</f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 s="2">
        <v>0</v>
      </c>
      <c r="M2727">
        <v>0</v>
      </c>
      <c r="N2727" s="2">
        <v>0</v>
      </c>
      <c r="O2727">
        <v>0</v>
      </c>
      <c r="P2727" t="s">
        <v>100</v>
      </c>
      <c r="Q2727">
        <v>0</v>
      </c>
      <c r="R2727" t="s">
        <v>145</v>
      </c>
      <c r="S2727">
        <v>0</v>
      </c>
    </row>
    <row r="2728" spans="1:19">
      <c r="A2728" t="s">
        <v>35</v>
      </c>
      <c r="B2728" t="s">
        <v>5385</v>
      </c>
      <c r="C2728">
        <f>"MSP008GC"</f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 s="2">
        <v>0</v>
      </c>
      <c r="M2728">
        <v>0</v>
      </c>
      <c r="N2728" s="2">
        <v>0</v>
      </c>
      <c r="O2728">
        <v>0</v>
      </c>
      <c r="P2728" t="s">
        <v>100</v>
      </c>
      <c r="Q2728">
        <v>0</v>
      </c>
      <c r="R2728" t="s">
        <v>145</v>
      </c>
      <c r="S2728">
        <v>0</v>
      </c>
    </row>
    <row r="2729" spans="1:19">
      <c r="A2729" t="s">
        <v>35</v>
      </c>
      <c r="B2729" t="s">
        <v>5319</v>
      </c>
      <c r="C2729">
        <f>"RJ816A"</f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 s="2">
        <v>0</v>
      </c>
      <c r="M2729">
        <v>0</v>
      </c>
      <c r="N2729" s="2">
        <v>0</v>
      </c>
      <c r="O2729">
        <v>0</v>
      </c>
      <c r="P2729" t="s">
        <v>100</v>
      </c>
      <c r="Q2729">
        <v>0</v>
      </c>
      <c r="R2729" t="s">
        <v>145</v>
      </c>
      <c r="S2729">
        <v>0</v>
      </c>
    </row>
    <row r="2730" spans="1:19">
      <c r="A2730" t="s">
        <v>35</v>
      </c>
      <c r="B2730" t="s">
        <v>4612</v>
      </c>
      <c r="C2730">
        <f>"RJ816C"</f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 s="2">
        <v>0</v>
      </c>
      <c r="M2730">
        <v>0</v>
      </c>
      <c r="N2730" s="2">
        <v>0</v>
      </c>
      <c r="O2730">
        <v>0</v>
      </c>
      <c r="P2730" t="s">
        <v>100</v>
      </c>
      <c r="Q2730">
        <v>0</v>
      </c>
      <c r="R2730" t="s">
        <v>145</v>
      </c>
      <c r="S2730">
        <v>0</v>
      </c>
    </row>
    <row r="2731" spans="1:19">
      <c r="A2731" t="s">
        <v>35</v>
      </c>
      <c r="B2731" t="s">
        <v>5391</v>
      </c>
      <c r="C2731">
        <f>"3106MIXBE"</f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 s="2">
        <v>0</v>
      </c>
      <c r="M2731">
        <v>0</v>
      </c>
      <c r="N2731" s="2">
        <v>0</v>
      </c>
      <c r="O2731">
        <v>0</v>
      </c>
      <c r="P2731" t="s">
        <v>100</v>
      </c>
      <c r="Q2731">
        <v>0</v>
      </c>
      <c r="R2731" t="s">
        <v>145</v>
      </c>
      <c r="S2731">
        <v>0</v>
      </c>
    </row>
    <row r="2732" spans="1:19">
      <c r="A2732" t="s">
        <v>35</v>
      </c>
      <c r="B2732" t="s">
        <v>4684</v>
      </c>
      <c r="C2732">
        <f>"MH075R"</f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 s="2">
        <v>0</v>
      </c>
      <c r="M2732">
        <v>0</v>
      </c>
      <c r="N2732" s="2">
        <v>0</v>
      </c>
      <c r="O2732">
        <v>0</v>
      </c>
      <c r="P2732" t="s">
        <v>100</v>
      </c>
      <c r="Q2732">
        <v>0</v>
      </c>
      <c r="R2732" t="s">
        <v>145</v>
      </c>
      <c r="S2732">
        <v>0</v>
      </c>
    </row>
    <row r="2733" spans="1:19">
      <c r="A2733" t="s">
        <v>35</v>
      </c>
      <c r="B2733" t="s">
        <v>4795</v>
      </c>
      <c r="C2733">
        <f>"MH075V"</f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 s="2">
        <v>0</v>
      </c>
      <c r="M2733">
        <v>0</v>
      </c>
      <c r="N2733" s="2">
        <v>0</v>
      </c>
      <c r="O2733">
        <v>0</v>
      </c>
      <c r="P2733" t="s">
        <v>100</v>
      </c>
      <c r="Q2733">
        <v>0</v>
      </c>
      <c r="R2733" t="s">
        <v>145</v>
      </c>
      <c r="S2733">
        <v>0</v>
      </c>
    </row>
    <row r="2734" spans="1:19">
      <c r="A2734" t="s">
        <v>35</v>
      </c>
      <c r="B2734" t="s">
        <v>7647</v>
      </c>
      <c r="C2734">
        <f>"3025V"</f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 s="2">
        <v>0</v>
      </c>
      <c r="M2734">
        <v>0</v>
      </c>
      <c r="N2734" s="2">
        <v>0</v>
      </c>
      <c r="O2734">
        <v>0</v>
      </c>
      <c r="P2734" t="s">
        <v>100</v>
      </c>
      <c r="Q2734">
        <v>0</v>
      </c>
      <c r="R2734" t="s">
        <v>145</v>
      </c>
      <c r="S2734">
        <v>0</v>
      </c>
    </row>
    <row r="2735" spans="1:19">
      <c r="A2735" t="s">
        <v>35</v>
      </c>
      <c r="B2735" t="s">
        <v>5327</v>
      </c>
      <c r="C2735">
        <f>"D501"</f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 s="2">
        <v>0</v>
      </c>
      <c r="M2735">
        <v>0</v>
      </c>
      <c r="N2735" s="2">
        <v>0</v>
      </c>
      <c r="O2735">
        <v>0</v>
      </c>
      <c r="P2735" t="s">
        <v>100</v>
      </c>
      <c r="Q2735">
        <v>0</v>
      </c>
      <c r="R2735" t="s">
        <v>145</v>
      </c>
      <c r="S2735">
        <v>0</v>
      </c>
    </row>
    <row r="2736" spans="1:19">
      <c r="A2736" t="s">
        <v>35</v>
      </c>
      <c r="B2736" t="s">
        <v>5326</v>
      </c>
      <c r="C2736">
        <f>"D502C"</f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 s="2">
        <v>0</v>
      </c>
      <c r="M2736">
        <v>0</v>
      </c>
      <c r="N2736" s="2">
        <v>0</v>
      </c>
      <c r="O2736">
        <v>0</v>
      </c>
      <c r="P2736" t="s">
        <v>100</v>
      </c>
      <c r="Q2736">
        <v>0</v>
      </c>
      <c r="R2736" t="s">
        <v>145</v>
      </c>
      <c r="S2736">
        <v>0</v>
      </c>
    </row>
    <row r="2737" spans="1:19">
      <c r="A2737" t="s">
        <v>35</v>
      </c>
      <c r="B2737" t="s">
        <v>5325</v>
      </c>
      <c r="C2737">
        <f>"BEG02A"</f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 s="2">
        <v>0</v>
      </c>
      <c r="M2737">
        <v>0</v>
      </c>
      <c r="N2737" s="2">
        <v>0</v>
      </c>
      <c r="O2737">
        <v>0</v>
      </c>
      <c r="P2737" t="s">
        <v>100</v>
      </c>
      <c r="Q2737">
        <v>0</v>
      </c>
      <c r="R2737" t="s">
        <v>145</v>
      </c>
      <c r="S2737">
        <v>0</v>
      </c>
    </row>
    <row r="2738" spans="1:19">
      <c r="A2738" t="s">
        <v>35</v>
      </c>
      <c r="B2738" t="s">
        <v>5324</v>
      </c>
      <c r="C2738">
        <f>"BEG02"</f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 s="2">
        <v>0</v>
      </c>
      <c r="M2738">
        <v>0</v>
      </c>
      <c r="N2738" s="2">
        <v>0</v>
      </c>
      <c r="O2738">
        <v>0</v>
      </c>
      <c r="P2738" t="s">
        <v>100</v>
      </c>
      <c r="Q2738">
        <v>0</v>
      </c>
      <c r="R2738" t="s">
        <v>145</v>
      </c>
      <c r="S2738">
        <v>0</v>
      </c>
    </row>
    <row r="2739" spans="1:19">
      <c r="A2739" t="s">
        <v>35</v>
      </c>
      <c r="B2739" t="s">
        <v>5323</v>
      </c>
      <c r="C2739">
        <f>"3105mixR"</f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 s="2">
        <v>0</v>
      </c>
      <c r="M2739">
        <v>0</v>
      </c>
      <c r="N2739" s="2">
        <v>0</v>
      </c>
      <c r="O2739">
        <v>0</v>
      </c>
      <c r="P2739" t="s">
        <v>100</v>
      </c>
      <c r="Q2739">
        <v>0</v>
      </c>
      <c r="R2739" t="s">
        <v>145</v>
      </c>
      <c r="S2739">
        <v>0</v>
      </c>
    </row>
    <row r="2740" spans="1:19">
      <c r="A2740" t="s">
        <v>35</v>
      </c>
      <c r="B2740" t="s">
        <v>5322</v>
      </c>
      <c r="C2740">
        <f>"3105mixA"</f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 s="2">
        <v>0</v>
      </c>
      <c r="M2740">
        <v>0</v>
      </c>
      <c r="N2740" s="2">
        <v>0</v>
      </c>
      <c r="O2740">
        <v>0</v>
      </c>
      <c r="P2740" t="s">
        <v>100</v>
      </c>
      <c r="Q2740">
        <v>0</v>
      </c>
      <c r="R2740" t="s">
        <v>145</v>
      </c>
      <c r="S2740">
        <v>0</v>
      </c>
    </row>
    <row r="2741" spans="1:19">
      <c r="A2741" t="s">
        <v>35</v>
      </c>
      <c r="B2741" t="s">
        <v>5320</v>
      </c>
      <c r="C2741">
        <f>"3106MIXAZ"</f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 s="2">
        <v>0</v>
      </c>
      <c r="M2741">
        <v>0</v>
      </c>
      <c r="N2741" s="2">
        <v>0</v>
      </c>
      <c r="O2741">
        <v>0</v>
      </c>
      <c r="P2741" t="s">
        <v>100</v>
      </c>
      <c r="Q2741">
        <v>0</v>
      </c>
      <c r="R2741" t="s">
        <v>145</v>
      </c>
      <c r="S2741">
        <v>0</v>
      </c>
    </row>
    <row r="2742" spans="1:19">
      <c r="A2742" t="s">
        <v>35</v>
      </c>
      <c r="B2742" t="s">
        <v>4686</v>
      </c>
      <c r="C2742">
        <f>"RJ816G"</f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 s="2">
        <v>0</v>
      </c>
      <c r="M2742">
        <v>0</v>
      </c>
      <c r="N2742" s="2">
        <v>0</v>
      </c>
      <c r="O2742">
        <v>0</v>
      </c>
      <c r="P2742" t="s">
        <v>100</v>
      </c>
      <c r="Q2742">
        <v>0</v>
      </c>
      <c r="R2742" t="s">
        <v>145</v>
      </c>
      <c r="S2742">
        <v>0</v>
      </c>
    </row>
    <row r="2743" spans="1:19">
      <c r="A2743" t="s">
        <v>35</v>
      </c>
      <c r="B2743" t="s">
        <v>8103</v>
      </c>
      <c r="C2743">
        <f>"8334LGA"</f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 s="2">
        <v>0</v>
      </c>
      <c r="M2743">
        <v>0</v>
      </c>
      <c r="N2743" s="2">
        <v>0</v>
      </c>
      <c r="O2743">
        <v>0</v>
      </c>
      <c r="P2743" t="s">
        <v>100</v>
      </c>
      <c r="Q2743">
        <v>0</v>
      </c>
      <c r="R2743" t="s">
        <v>145</v>
      </c>
      <c r="S2743">
        <v>0</v>
      </c>
    </row>
    <row r="2744" spans="1:19">
      <c r="A2744" t="s">
        <v>35</v>
      </c>
      <c r="B2744" t="s">
        <v>8102</v>
      </c>
      <c r="C2744">
        <f>"8332LGR"</f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 s="2">
        <v>0</v>
      </c>
      <c r="M2744">
        <v>0</v>
      </c>
      <c r="N2744" s="2">
        <v>0</v>
      </c>
      <c r="O2744">
        <v>0</v>
      </c>
      <c r="P2744" t="s">
        <v>100</v>
      </c>
      <c r="Q2744">
        <v>0</v>
      </c>
      <c r="R2744" t="s">
        <v>145</v>
      </c>
      <c r="S2744">
        <v>0</v>
      </c>
    </row>
    <row r="2745" spans="1:19">
      <c r="A2745" t="s">
        <v>35</v>
      </c>
      <c r="B2745" t="s">
        <v>5806</v>
      </c>
      <c r="C2745">
        <f>"18m"</f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 s="2">
        <v>0</v>
      </c>
      <c r="M2745">
        <v>0</v>
      </c>
      <c r="N2745" s="2">
        <v>0</v>
      </c>
      <c r="O2745">
        <v>0</v>
      </c>
      <c r="P2745" t="s">
        <v>100</v>
      </c>
      <c r="Q2745">
        <v>0</v>
      </c>
      <c r="R2745" t="s">
        <v>145</v>
      </c>
      <c r="S2745">
        <v>0</v>
      </c>
    </row>
    <row r="2746" spans="1:19">
      <c r="A2746" t="s">
        <v>35</v>
      </c>
      <c r="B2746" t="s">
        <v>5782</v>
      </c>
      <c r="C2746">
        <f>"18s"</f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 s="2">
        <v>0</v>
      </c>
      <c r="M2746">
        <v>0</v>
      </c>
      <c r="N2746" s="2">
        <v>0</v>
      </c>
      <c r="O2746">
        <v>0</v>
      </c>
      <c r="P2746" t="s">
        <v>100</v>
      </c>
      <c r="Q2746">
        <v>0</v>
      </c>
      <c r="R2746" t="s">
        <v>145</v>
      </c>
      <c r="S2746">
        <v>0</v>
      </c>
    </row>
    <row r="2747" spans="1:19">
      <c r="A2747" t="s">
        <v>35</v>
      </c>
      <c r="B2747" t="s">
        <v>5781</v>
      </c>
      <c r="C2747">
        <f>"18xl"</f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 s="2">
        <v>0</v>
      </c>
      <c r="M2747">
        <v>0</v>
      </c>
      <c r="N2747" s="2">
        <v>0</v>
      </c>
      <c r="O2747">
        <v>0</v>
      </c>
      <c r="P2747" t="s">
        <v>100</v>
      </c>
      <c r="Q2747">
        <v>0</v>
      </c>
      <c r="R2747" t="s">
        <v>145</v>
      </c>
      <c r="S2747">
        <v>0</v>
      </c>
    </row>
    <row r="2748" spans="1:19">
      <c r="A2748" t="s">
        <v>35</v>
      </c>
      <c r="B2748" t="s">
        <v>5780</v>
      </c>
      <c r="C2748">
        <f>"18xxl"</f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 s="2">
        <v>0</v>
      </c>
      <c r="M2748">
        <v>0</v>
      </c>
      <c r="N2748" s="2">
        <v>0</v>
      </c>
      <c r="O2748">
        <v>0</v>
      </c>
      <c r="P2748" t="s">
        <v>100</v>
      </c>
      <c r="Q2748">
        <v>0</v>
      </c>
      <c r="R2748" t="s">
        <v>145</v>
      </c>
      <c r="S2748">
        <v>0</v>
      </c>
    </row>
    <row r="2749" spans="1:19">
      <c r="A2749" t="s">
        <v>35</v>
      </c>
      <c r="B2749" t="s">
        <v>5766</v>
      </c>
      <c r="C2749">
        <f>"109977"</f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 s="2">
        <v>0</v>
      </c>
      <c r="M2749">
        <v>0</v>
      </c>
      <c r="N2749" s="2">
        <v>0</v>
      </c>
      <c r="O2749">
        <v>0</v>
      </c>
      <c r="P2749" t="s">
        <v>100</v>
      </c>
      <c r="Q2749">
        <v>0</v>
      </c>
      <c r="R2749" t="s">
        <v>145</v>
      </c>
      <c r="S2749">
        <v>0</v>
      </c>
    </row>
    <row r="2750" spans="1:19">
      <c r="A2750" t="s">
        <v>35</v>
      </c>
      <c r="B2750" t="s">
        <v>5764</v>
      </c>
      <c r="C2750">
        <f>"YP33LB"</f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 s="2">
        <v>0</v>
      </c>
      <c r="M2750">
        <v>0</v>
      </c>
      <c r="N2750" s="2">
        <v>0</v>
      </c>
      <c r="O2750">
        <v>0</v>
      </c>
      <c r="P2750" t="s">
        <v>100</v>
      </c>
      <c r="Q2750">
        <v>0</v>
      </c>
      <c r="R2750" t="s">
        <v>145</v>
      </c>
      <c r="S2750">
        <v>0</v>
      </c>
    </row>
    <row r="2751" spans="1:19">
      <c r="A2751" t="s">
        <v>35</v>
      </c>
      <c r="B2751" t="s">
        <v>5763</v>
      </c>
      <c r="C2751">
        <f>"YP33SB"</f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 s="2">
        <v>0</v>
      </c>
      <c r="M2751">
        <v>0</v>
      </c>
      <c r="N2751" s="2">
        <v>0</v>
      </c>
      <c r="O2751">
        <v>0</v>
      </c>
      <c r="P2751" t="s">
        <v>100</v>
      </c>
      <c r="Q2751">
        <v>0</v>
      </c>
      <c r="R2751" t="s">
        <v>145</v>
      </c>
      <c r="S2751">
        <v>0</v>
      </c>
    </row>
    <row r="2752" spans="1:19">
      <c r="A2752" t="s">
        <v>35</v>
      </c>
      <c r="B2752" t="s">
        <v>4349</v>
      </c>
      <c r="C2752">
        <f>"BK01MC"</f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 s="2">
        <v>0</v>
      </c>
      <c r="M2752">
        <v>0</v>
      </c>
      <c r="N2752" s="2">
        <v>0</v>
      </c>
      <c r="O2752">
        <v>0</v>
      </c>
      <c r="P2752" t="s">
        <v>100</v>
      </c>
      <c r="Q2752">
        <v>0</v>
      </c>
      <c r="R2752" t="s">
        <v>145</v>
      </c>
      <c r="S2752">
        <v>0</v>
      </c>
    </row>
    <row r="2753" spans="1:19">
      <c r="A2753" t="s">
        <v>35</v>
      </c>
      <c r="B2753" t="s">
        <v>5792</v>
      </c>
      <c r="C2753">
        <f>"JD1M"</f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 s="2">
        <v>0</v>
      </c>
      <c r="M2753">
        <v>0</v>
      </c>
      <c r="N2753" s="2">
        <v>0</v>
      </c>
      <c r="O2753">
        <v>0</v>
      </c>
      <c r="P2753" t="s">
        <v>100</v>
      </c>
      <c r="Q2753">
        <v>0</v>
      </c>
      <c r="R2753" t="s">
        <v>145</v>
      </c>
      <c r="S2753">
        <v>0</v>
      </c>
    </row>
    <row r="2754" spans="1:19">
      <c r="A2754" t="s">
        <v>35</v>
      </c>
      <c r="B2754" t="s">
        <v>5791</v>
      </c>
      <c r="C2754">
        <f>"JDC02"</f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 s="2">
        <v>0</v>
      </c>
      <c r="M2754">
        <v>0</v>
      </c>
      <c r="N2754" s="2">
        <v>0</v>
      </c>
      <c r="O2754">
        <v>0</v>
      </c>
      <c r="P2754" t="s">
        <v>100</v>
      </c>
      <c r="Q2754">
        <v>0</v>
      </c>
      <c r="R2754" t="s">
        <v>145</v>
      </c>
      <c r="S2754">
        <v>0</v>
      </c>
    </row>
    <row r="2755" spans="1:19">
      <c r="A2755" t="s">
        <v>35</v>
      </c>
      <c r="B2755" t="s">
        <v>1170</v>
      </c>
      <c r="C2755">
        <f>"JD1S"</f>
        <v>0</v>
      </c>
      <c r="D2755">
        <v>1</v>
      </c>
      <c r="E2755">
        <v>0</v>
      </c>
      <c r="F2755">
        <v>0</v>
      </c>
      <c r="G2755">
        <v>0</v>
      </c>
      <c r="H2755">
        <v>1</v>
      </c>
      <c r="I2755">
        <v>0</v>
      </c>
      <c r="J2755">
        <v>0</v>
      </c>
      <c r="K2755">
        <v>0</v>
      </c>
      <c r="L2755" s="2">
        <v>0</v>
      </c>
      <c r="M2755">
        <v>0</v>
      </c>
      <c r="N2755" s="2">
        <v>0</v>
      </c>
      <c r="O2755">
        <v>0</v>
      </c>
      <c r="P2755" t="s">
        <v>100</v>
      </c>
      <c r="Q2755">
        <v>0</v>
      </c>
      <c r="R2755" t="s">
        <v>145</v>
      </c>
      <c r="S2755">
        <v>0</v>
      </c>
    </row>
    <row r="2756" spans="1:19">
      <c r="A2756" t="s">
        <v>35</v>
      </c>
      <c r="B2756" t="s">
        <v>7876</v>
      </c>
      <c r="C2756">
        <f>"QSYW2393SB"</f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 s="2">
        <v>0</v>
      </c>
      <c r="M2756">
        <v>0</v>
      </c>
      <c r="N2756" s="2">
        <v>0</v>
      </c>
      <c r="O2756">
        <v>0</v>
      </c>
      <c r="P2756" t="s">
        <v>100</v>
      </c>
      <c r="Q2756">
        <v>0</v>
      </c>
      <c r="R2756" t="s">
        <v>145</v>
      </c>
      <c r="S2756">
        <v>0</v>
      </c>
    </row>
    <row r="2757" spans="1:19">
      <c r="A2757" t="s">
        <v>35</v>
      </c>
      <c r="B2757" t="s">
        <v>7875</v>
      </c>
      <c r="C2757">
        <f>"QSYW2393LG"</f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 s="2">
        <v>0</v>
      </c>
      <c r="M2757">
        <v>0</v>
      </c>
      <c r="N2757" s="2">
        <v>0</v>
      </c>
      <c r="O2757">
        <v>0</v>
      </c>
      <c r="P2757" t="s">
        <v>100</v>
      </c>
      <c r="Q2757">
        <v>0</v>
      </c>
      <c r="R2757" t="s">
        <v>145</v>
      </c>
      <c r="S2757">
        <v>0</v>
      </c>
    </row>
    <row r="2758" spans="1:19">
      <c r="A2758" t="s">
        <v>35</v>
      </c>
      <c r="B2758" t="s">
        <v>7874</v>
      </c>
      <c r="C2758">
        <f>"QSYW2393MG"</f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 s="2">
        <v>0</v>
      </c>
      <c r="M2758">
        <v>0</v>
      </c>
      <c r="N2758" s="2">
        <v>0</v>
      </c>
      <c r="O2758">
        <v>0</v>
      </c>
      <c r="P2758" t="s">
        <v>100</v>
      </c>
      <c r="Q2758">
        <v>0</v>
      </c>
      <c r="R2758" t="s">
        <v>145</v>
      </c>
      <c r="S2758">
        <v>0</v>
      </c>
    </row>
    <row r="2759" spans="1:19">
      <c r="A2759" t="s">
        <v>35</v>
      </c>
      <c r="B2759" t="s">
        <v>7889</v>
      </c>
      <c r="C2759">
        <f>"QSYW2393SG"</f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 s="2">
        <v>0</v>
      </c>
      <c r="M2759">
        <v>0</v>
      </c>
      <c r="N2759" s="2">
        <v>0</v>
      </c>
      <c r="O2759">
        <v>0</v>
      </c>
      <c r="P2759" t="s">
        <v>100</v>
      </c>
      <c r="Q2759">
        <v>0</v>
      </c>
      <c r="R2759" t="s">
        <v>145</v>
      </c>
      <c r="S2759">
        <v>0</v>
      </c>
    </row>
    <row r="2760" spans="1:19">
      <c r="A2760" t="s">
        <v>35</v>
      </c>
      <c r="B2760" t="s">
        <v>7779</v>
      </c>
      <c r="C2760">
        <f>"1905S"</f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 s="2">
        <v>0</v>
      </c>
      <c r="M2760">
        <v>0</v>
      </c>
      <c r="N2760" s="2">
        <v>0</v>
      </c>
      <c r="O2760">
        <v>0</v>
      </c>
      <c r="P2760" t="s">
        <v>100</v>
      </c>
      <c r="Q2760">
        <v>0</v>
      </c>
      <c r="R2760" t="s">
        <v>145</v>
      </c>
      <c r="S2760">
        <v>0</v>
      </c>
    </row>
    <row r="2761" spans="1:19">
      <c r="A2761" t="s">
        <v>35</v>
      </c>
      <c r="B2761" t="s">
        <v>7778</v>
      </c>
      <c r="C2761">
        <f>"QSMW2476H"</f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 s="2">
        <v>0</v>
      </c>
      <c r="M2761">
        <v>0</v>
      </c>
      <c r="N2761" s="2">
        <v>0</v>
      </c>
      <c r="O2761">
        <v>0</v>
      </c>
      <c r="P2761" t="s">
        <v>100</v>
      </c>
      <c r="Q2761">
        <v>0</v>
      </c>
      <c r="R2761" t="s">
        <v>145</v>
      </c>
      <c r="S2761">
        <v>0</v>
      </c>
    </row>
    <row r="2762" spans="1:19">
      <c r="A2762" t="s">
        <v>35</v>
      </c>
      <c r="B2762" t="s">
        <v>7777</v>
      </c>
      <c r="C2762">
        <f>"QSMW2476S"</f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 s="2">
        <v>0</v>
      </c>
      <c r="M2762">
        <v>0</v>
      </c>
      <c r="N2762" s="2">
        <v>0</v>
      </c>
      <c r="O2762">
        <v>0</v>
      </c>
      <c r="P2762" t="s">
        <v>100</v>
      </c>
      <c r="Q2762">
        <v>0</v>
      </c>
      <c r="R2762" t="s">
        <v>145</v>
      </c>
      <c r="S2762">
        <v>0</v>
      </c>
    </row>
    <row r="2763" spans="1:19">
      <c r="A2763" t="s">
        <v>35</v>
      </c>
      <c r="B2763" t="s">
        <v>5793</v>
      </c>
      <c r="C2763">
        <f>"JDC09"</f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 s="2">
        <v>0</v>
      </c>
      <c r="M2763">
        <v>0</v>
      </c>
      <c r="N2763" s="2">
        <v>0</v>
      </c>
      <c r="O2763">
        <v>0</v>
      </c>
      <c r="P2763" t="s">
        <v>100</v>
      </c>
      <c r="Q2763">
        <v>0</v>
      </c>
      <c r="R2763" t="s">
        <v>145</v>
      </c>
      <c r="S2763">
        <v>0</v>
      </c>
    </row>
    <row r="2764" spans="1:19">
      <c r="A2764" t="s">
        <v>35</v>
      </c>
      <c r="B2764" t="s">
        <v>5845</v>
      </c>
      <c r="C2764">
        <f>"C411"</f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 s="2">
        <v>0</v>
      </c>
      <c r="M2764">
        <v>0</v>
      </c>
      <c r="N2764" s="2">
        <v>0</v>
      </c>
      <c r="O2764">
        <v>0</v>
      </c>
      <c r="P2764" t="s">
        <v>100</v>
      </c>
      <c r="Q2764">
        <v>0</v>
      </c>
      <c r="R2764" t="s">
        <v>145</v>
      </c>
      <c r="S2764">
        <v>0</v>
      </c>
    </row>
    <row r="2765" spans="1:19">
      <c r="A2765" t="s">
        <v>35</v>
      </c>
      <c r="B2765" t="s">
        <v>5844</v>
      </c>
      <c r="C2765">
        <f>"SG3"</f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 s="2">
        <v>0</v>
      </c>
      <c r="M2765">
        <v>0</v>
      </c>
      <c r="N2765" s="2">
        <v>0</v>
      </c>
      <c r="O2765">
        <v>0</v>
      </c>
      <c r="P2765" t="s">
        <v>100</v>
      </c>
      <c r="Q2765">
        <v>0</v>
      </c>
      <c r="R2765" t="s">
        <v>145</v>
      </c>
      <c r="S2765">
        <v>0</v>
      </c>
    </row>
    <row r="2766" spans="1:19">
      <c r="A2766" t="s">
        <v>35</v>
      </c>
      <c r="B2766" t="s">
        <v>5940</v>
      </c>
      <c r="C2766">
        <f>"PX7202"</f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 s="2">
        <v>0</v>
      </c>
      <c r="M2766">
        <v>0</v>
      </c>
      <c r="N2766" s="2">
        <v>0</v>
      </c>
      <c r="O2766">
        <v>0</v>
      </c>
      <c r="P2766" t="s">
        <v>100</v>
      </c>
      <c r="Q2766">
        <v>0</v>
      </c>
      <c r="R2766" t="s">
        <v>145</v>
      </c>
      <c r="S2766">
        <v>0</v>
      </c>
    </row>
    <row r="2767" spans="1:19">
      <c r="A2767" t="s">
        <v>35</v>
      </c>
      <c r="B2767" t="s">
        <v>5937</v>
      </c>
      <c r="C2767">
        <f>"SILKT"</f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 s="2">
        <v>0</v>
      </c>
      <c r="M2767">
        <v>0</v>
      </c>
      <c r="N2767" s="2">
        <v>0</v>
      </c>
      <c r="O2767">
        <v>0</v>
      </c>
      <c r="P2767" t="s">
        <v>100</v>
      </c>
      <c r="Q2767">
        <v>0</v>
      </c>
      <c r="R2767" t="s">
        <v>145</v>
      </c>
      <c r="S2767">
        <v>0</v>
      </c>
    </row>
    <row r="2768" spans="1:19">
      <c r="A2768" t="s">
        <v>35</v>
      </c>
      <c r="B2768" t="s">
        <v>5833</v>
      </c>
      <c r="C2768">
        <f>"190882320058"</f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 s="2">
        <v>0</v>
      </c>
      <c r="M2768">
        <v>0</v>
      </c>
      <c r="N2768" s="2">
        <v>0</v>
      </c>
      <c r="O2768">
        <v>0</v>
      </c>
      <c r="P2768" t="s">
        <v>100</v>
      </c>
      <c r="Q2768">
        <v>0</v>
      </c>
      <c r="R2768" t="s">
        <v>145</v>
      </c>
      <c r="S2768">
        <v>0</v>
      </c>
    </row>
    <row r="2769" spans="1:19">
      <c r="A2769" t="s">
        <v>35</v>
      </c>
      <c r="B2769" t="s">
        <v>5850</v>
      </c>
      <c r="C2769">
        <f>"KF8212"</f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 s="2">
        <v>0</v>
      </c>
      <c r="M2769">
        <v>0</v>
      </c>
      <c r="N2769" s="2">
        <v>0</v>
      </c>
      <c r="O2769">
        <v>0</v>
      </c>
      <c r="P2769" t="s">
        <v>100</v>
      </c>
      <c r="Q2769">
        <v>0</v>
      </c>
      <c r="R2769" t="s">
        <v>145</v>
      </c>
      <c r="S2769">
        <v>0</v>
      </c>
    </row>
    <row r="2770" spans="1:19">
      <c r="A2770" t="s">
        <v>35</v>
      </c>
      <c r="B2770" t="s">
        <v>5718</v>
      </c>
      <c r="C2770">
        <f>"029695320521"</f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 s="2">
        <v>0</v>
      </c>
      <c r="M2770">
        <v>0</v>
      </c>
      <c r="N2770" s="2">
        <v>0</v>
      </c>
      <c r="O2770">
        <v>0</v>
      </c>
      <c r="P2770" t="s">
        <v>100</v>
      </c>
      <c r="Q2770">
        <v>0</v>
      </c>
      <c r="R2770" t="s">
        <v>145</v>
      </c>
      <c r="S2770">
        <v>0</v>
      </c>
    </row>
    <row r="2771" spans="1:19">
      <c r="A2771" t="s">
        <v>35</v>
      </c>
      <c r="B2771" t="s">
        <v>5717</v>
      </c>
      <c r="C2771">
        <f>"029695320545"</f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 s="2">
        <v>0</v>
      </c>
      <c r="M2771">
        <v>0</v>
      </c>
      <c r="N2771" s="2">
        <v>0</v>
      </c>
      <c r="O2771">
        <v>0</v>
      </c>
      <c r="P2771" t="s">
        <v>100</v>
      </c>
      <c r="Q2771">
        <v>0</v>
      </c>
      <c r="R2771" t="s">
        <v>145</v>
      </c>
      <c r="S2771">
        <v>0</v>
      </c>
    </row>
    <row r="2772" spans="1:19">
      <c r="A2772" t="s">
        <v>35</v>
      </c>
      <c r="B2772" t="s">
        <v>5716</v>
      </c>
      <c r="C2772">
        <f>"029695320538"</f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 s="2">
        <v>0</v>
      </c>
      <c r="M2772">
        <v>0</v>
      </c>
      <c r="N2772" s="2">
        <v>0</v>
      </c>
      <c r="O2772">
        <v>0</v>
      </c>
      <c r="P2772" t="s">
        <v>100</v>
      </c>
      <c r="Q2772">
        <v>0</v>
      </c>
      <c r="R2772" t="s">
        <v>145</v>
      </c>
      <c r="S2772">
        <v>0</v>
      </c>
    </row>
    <row r="2773" spans="1:19">
      <c r="A2773" t="s">
        <v>35</v>
      </c>
      <c r="B2773" t="s">
        <v>5727</v>
      </c>
      <c r="C2773">
        <f>"ANS31"</f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 s="2">
        <v>0</v>
      </c>
      <c r="M2773">
        <v>0</v>
      </c>
      <c r="N2773" s="2">
        <v>0</v>
      </c>
      <c r="O2773">
        <v>0</v>
      </c>
      <c r="P2773" t="s">
        <v>100</v>
      </c>
      <c r="Q2773">
        <v>0</v>
      </c>
      <c r="R2773" t="s">
        <v>145</v>
      </c>
      <c r="S2773">
        <v>0</v>
      </c>
    </row>
    <row r="2774" spans="1:19">
      <c r="A2774" t="s">
        <v>35</v>
      </c>
      <c r="B2774" t="s">
        <v>8104</v>
      </c>
      <c r="C2774">
        <f>"JXV18015XL"</f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 s="2">
        <v>0</v>
      </c>
      <c r="M2774">
        <v>0</v>
      </c>
      <c r="N2774" s="2">
        <v>0</v>
      </c>
      <c r="O2774">
        <v>0</v>
      </c>
      <c r="P2774" t="s">
        <v>100</v>
      </c>
      <c r="Q2774">
        <v>0</v>
      </c>
      <c r="R2774" t="s">
        <v>145</v>
      </c>
      <c r="S2774">
        <v>0</v>
      </c>
    </row>
    <row r="2775" spans="1:19">
      <c r="A2775" t="s">
        <v>35</v>
      </c>
      <c r="B2775" t="s">
        <v>7824</v>
      </c>
      <c r="C2775">
        <f>"XQ22LRO"</f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 s="2">
        <v>0</v>
      </c>
      <c r="M2775">
        <v>0</v>
      </c>
      <c r="N2775" s="2">
        <v>0</v>
      </c>
      <c r="O2775">
        <v>0</v>
      </c>
      <c r="P2775" t="s">
        <v>100</v>
      </c>
      <c r="Q2775">
        <v>0</v>
      </c>
      <c r="R2775" t="s">
        <v>145</v>
      </c>
      <c r="S2775">
        <v>0</v>
      </c>
    </row>
    <row r="2776" spans="1:19">
      <c r="A2776" t="s">
        <v>35</v>
      </c>
      <c r="B2776" t="s">
        <v>6817</v>
      </c>
      <c r="C2776">
        <f>"XQ22S"</f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 s="2">
        <v>0</v>
      </c>
      <c r="M2776">
        <v>0</v>
      </c>
      <c r="N2776" s="2">
        <v>0</v>
      </c>
      <c r="O2776">
        <v>0</v>
      </c>
      <c r="P2776" t="s">
        <v>100</v>
      </c>
      <c r="Q2776">
        <v>0</v>
      </c>
      <c r="R2776" t="s">
        <v>145</v>
      </c>
      <c r="S2776">
        <v>0</v>
      </c>
    </row>
    <row r="2777" spans="1:19">
      <c r="A2777" t="s">
        <v>35</v>
      </c>
      <c r="B2777" t="s">
        <v>7872</v>
      </c>
      <c r="C2777">
        <f>"KW6021LBG"</f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 s="2">
        <v>0</v>
      </c>
      <c r="M2777">
        <v>0</v>
      </c>
      <c r="N2777" s="2">
        <v>0</v>
      </c>
      <c r="O2777">
        <v>0</v>
      </c>
      <c r="P2777" t="s">
        <v>100</v>
      </c>
      <c r="Q2777">
        <v>0</v>
      </c>
      <c r="R2777" t="s">
        <v>145</v>
      </c>
      <c r="S2777">
        <v>0</v>
      </c>
    </row>
    <row r="2778" spans="1:19">
      <c r="A2778" t="s">
        <v>35</v>
      </c>
      <c r="B2778" t="s">
        <v>7871</v>
      </c>
      <c r="C2778">
        <f>"KW6021MBG"</f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 s="2">
        <v>0</v>
      </c>
      <c r="M2778">
        <v>0</v>
      </c>
      <c r="N2778" s="2">
        <v>0</v>
      </c>
      <c r="O2778">
        <v>0</v>
      </c>
      <c r="P2778" t="s">
        <v>100</v>
      </c>
      <c r="Q2778">
        <v>0</v>
      </c>
      <c r="R2778" t="s">
        <v>145</v>
      </c>
      <c r="S2778">
        <v>0</v>
      </c>
    </row>
    <row r="2779" spans="1:19">
      <c r="A2779" t="s">
        <v>35</v>
      </c>
      <c r="B2779" t="s">
        <v>7870</v>
      </c>
      <c r="C2779">
        <f>"KW6021SBG"</f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 s="2">
        <v>0</v>
      </c>
      <c r="M2779">
        <v>0</v>
      </c>
      <c r="N2779" s="2">
        <v>0</v>
      </c>
      <c r="O2779">
        <v>0</v>
      </c>
      <c r="P2779" t="s">
        <v>100</v>
      </c>
      <c r="Q2779">
        <v>0</v>
      </c>
      <c r="R2779" t="s">
        <v>145</v>
      </c>
      <c r="S2779">
        <v>0</v>
      </c>
    </row>
    <row r="2780" spans="1:19">
      <c r="A2780" t="s">
        <v>35</v>
      </c>
      <c r="B2780" t="s">
        <v>7869</v>
      </c>
      <c r="C2780">
        <f>"KW6021XLBG"</f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 s="2">
        <v>0</v>
      </c>
      <c r="M2780">
        <v>0</v>
      </c>
      <c r="N2780" s="2">
        <v>0</v>
      </c>
      <c r="O2780">
        <v>0</v>
      </c>
      <c r="P2780" t="s">
        <v>100</v>
      </c>
      <c r="Q2780">
        <v>0</v>
      </c>
      <c r="R2780" t="s">
        <v>145</v>
      </c>
      <c r="S2780">
        <v>0</v>
      </c>
    </row>
    <row r="2781" spans="1:19">
      <c r="A2781" t="s">
        <v>35</v>
      </c>
      <c r="B2781" t="s">
        <v>7226</v>
      </c>
      <c r="C2781">
        <f>"HCJ011LVE"</f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 s="2">
        <v>0</v>
      </c>
      <c r="M2781">
        <v>0</v>
      </c>
      <c r="N2781" s="2">
        <v>0</v>
      </c>
      <c r="O2781">
        <v>0</v>
      </c>
      <c r="P2781" t="s">
        <v>100</v>
      </c>
      <c r="Q2781">
        <v>0</v>
      </c>
      <c r="R2781" t="s">
        <v>145</v>
      </c>
      <c r="S2781">
        <v>0</v>
      </c>
    </row>
    <row r="2782" spans="1:19">
      <c r="A2782" t="s">
        <v>35</v>
      </c>
      <c r="B2782" t="s">
        <v>1511</v>
      </c>
      <c r="C2782">
        <f>"HCJ011MAZ"</f>
        <v>0</v>
      </c>
      <c r="D2782">
        <v>0</v>
      </c>
      <c r="E2782">
        <v>0</v>
      </c>
      <c r="F2782">
        <v>1</v>
      </c>
      <c r="G2782">
        <v>0</v>
      </c>
      <c r="H2782">
        <v>1</v>
      </c>
      <c r="I2782">
        <v>0</v>
      </c>
      <c r="J2782">
        <v>0</v>
      </c>
      <c r="K2782">
        <v>0</v>
      </c>
      <c r="L2782" s="2">
        <v>0</v>
      </c>
      <c r="M2782">
        <v>0</v>
      </c>
      <c r="N2782" s="2">
        <v>0</v>
      </c>
      <c r="O2782">
        <v>0</v>
      </c>
      <c r="P2782" t="s">
        <v>11047</v>
      </c>
      <c r="Q2782">
        <v>-1.084</v>
      </c>
      <c r="R2782" t="s">
        <v>11158</v>
      </c>
      <c r="S2782">
        <v>0</v>
      </c>
    </row>
    <row r="2783" spans="1:19">
      <c r="A2783" t="s">
        <v>35</v>
      </c>
      <c r="B2783" t="s">
        <v>7225</v>
      </c>
      <c r="C2783">
        <f>"HCJ011MNA"</f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 s="2">
        <v>0</v>
      </c>
      <c r="M2783">
        <v>0</v>
      </c>
      <c r="N2783" s="2">
        <v>0</v>
      </c>
      <c r="O2783">
        <v>0</v>
      </c>
      <c r="P2783" t="s">
        <v>100</v>
      </c>
      <c r="Q2783">
        <v>0</v>
      </c>
      <c r="R2783" t="s">
        <v>145</v>
      </c>
      <c r="S2783">
        <v>0</v>
      </c>
    </row>
    <row r="2784" spans="1:19">
      <c r="A2784" t="s">
        <v>35</v>
      </c>
      <c r="B2784" t="s">
        <v>7873</v>
      </c>
      <c r="C2784">
        <f>"JXV18015S"</f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 s="2">
        <v>0</v>
      </c>
      <c r="M2784">
        <v>0</v>
      </c>
      <c r="N2784" s="2">
        <v>0</v>
      </c>
      <c r="O2784">
        <v>0</v>
      </c>
      <c r="P2784" t="s">
        <v>100</v>
      </c>
      <c r="Q2784">
        <v>0</v>
      </c>
      <c r="R2784" t="s">
        <v>145</v>
      </c>
      <c r="S2784">
        <v>0</v>
      </c>
    </row>
    <row r="2785" spans="1:19">
      <c r="A2785" t="s">
        <v>35</v>
      </c>
      <c r="B2785" t="s">
        <v>5899</v>
      </c>
      <c r="C2785">
        <f>"25702381"</f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 s="2">
        <v>0</v>
      </c>
      <c r="M2785">
        <v>0</v>
      </c>
      <c r="N2785" s="2">
        <v>0</v>
      </c>
      <c r="O2785">
        <v>0</v>
      </c>
      <c r="P2785" t="s">
        <v>100</v>
      </c>
      <c r="Q2785">
        <v>0</v>
      </c>
      <c r="R2785" t="s">
        <v>145</v>
      </c>
      <c r="S2785">
        <v>0</v>
      </c>
    </row>
    <row r="2786" spans="1:19">
      <c r="A2786" t="s">
        <v>35</v>
      </c>
      <c r="B2786" t="s">
        <v>7878</v>
      </c>
      <c r="C2786">
        <f>"QSYW2393LB"</f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 s="2">
        <v>0</v>
      </c>
      <c r="M2786">
        <v>0</v>
      </c>
      <c r="N2786" s="2">
        <v>0</v>
      </c>
      <c r="O2786">
        <v>0</v>
      </c>
      <c r="P2786" t="s">
        <v>100</v>
      </c>
      <c r="Q2786">
        <v>0</v>
      </c>
      <c r="R2786" t="s">
        <v>145</v>
      </c>
      <c r="S2786">
        <v>0</v>
      </c>
    </row>
    <row r="2787" spans="1:19">
      <c r="A2787" t="s">
        <v>35</v>
      </c>
      <c r="B2787" t="s">
        <v>7877</v>
      </c>
      <c r="C2787">
        <f>"QSYW2393MB"</f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 s="2">
        <v>0</v>
      </c>
      <c r="M2787">
        <v>0</v>
      </c>
      <c r="N2787" s="2">
        <v>0</v>
      </c>
      <c r="O2787">
        <v>0</v>
      </c>
      <c r="P2787" t="s">
        <v>100</v>
      </c>
      <c r="Q2787">
        <v>0</v>
      </c>
      <c r="R2787" t="s">
        <v>145</v>
      </c>
      <c r="S2787">
        <v>0</v>
      </c>
    </row>
    <row r="2788" spans="1:19">
      <c r="A2788" t="s">
        <v>35</v>
      </c>
      <c r="B2788" t="s">
        <v>902</v>
      </c>
      <c r="C2788">
        <f>"JXV1801XL"</f>
        <v>0</v>
      </c>
      <c r="D2788">
        <v>0</v>
      </c>
      <c r="E2788">
        <v>0</v>
      </c>
      <c r="F2788">
        <v>3</v>
      </c>
      <c r="G2788">
        <v>0</v>
      </c>
      <c r="H2788">
        <v>3</v>
      </c>
      <c r="I2788">
        <v>0</v>
      </c>
      <c r="J2788">
        <v>0</v>
      </c>
      <c r="K2788">
        <v>0</v>
      </c>
      <c r="L2788" s="2">
        <v>0</v>
      </c>
      <c r="M2788">
        <v>0</v>
      </c>
      <c r="N2788" s="2">
        <v>0</v>
      </c>
      <c r="O2788">
        <v>0</v>
      </c>
      <c r="P2788" t="s">
        <v>100</v>
      </c>
      <c r="Q2788">
        <v>0</v>
      </c>
      <c r="R2788" t="s">
        <v>145</v>
      </c>
      <c r="S2788">
        <v>0</v>
      </c>
    </row>
    <row r="2789" spans="1:19">
      <c r="A2789" t="s">
        <v>35</v>
      </c>
      <c r="B2789" t="s">
        <v>8099</v>
      </c>
      <c r="C2789">
        <f>"JXW18035XL"</f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 s="2">
        <v>0</v>
      </c>
      <c r="M2789">
        <v>0</v>
      </c>
      <c r="N2789" s="2">
        <v>0</v>
      </c>
      <c r="O2789">
        <v>0</v>
      </c>
      <c r="P2789" t="s">
        <v>100</v>
      </c>
      <c r="Q2789">
        <v>0</v>
      </c>
      <c r="R2789" t="s">
        <v>145</v>
      </c>
      <c r="S2789">
        <v>0</v>
      </c>
    </row>
    <row r="2790" spans="1:19">
      <c r="A2790" t="s">
        <v>35</v>
      </c>
      <c r="B2790" t="s">
        <v>7784</v>
      </c>
      <c r="C2790">
        <f>"AX0515AL"</f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 s="2">
        <v>0</v>
      </c>
      <c r="M2790">
        <v>0</v>
      </c>
      <c r="N2790" s="2">
        <v>0</v>
      </c>
      <c r="O2790">
        <v>0</v>
      </c>
      <c r="P2790" t="s">
        <v>100</v>
      </c>
      <c r="Q2790">
        <v>0</v>
      </c>
      <c r="R2790" t="s">
        <v>145</v>
      </c>
      <c r="S2790">
        <v>0</v>
      </c>
    </row>
    <row r="2791" spans="1:19">
      <c r="A2791" t="s">
        <v>35</v>
      </c>
      <c r="B2791" t="s">
        <v>7783</v>
      </c>
      <c r="C2791">
        <f>"AX0515AM"</f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 s="2">
        <v>0</v>
      </c>
      <c r="M2791">
        <v>0</v>
      </c>
      <c r="N2791" s="2">
        <v>0</v>
      </c>
      <c r="O2791">
        <v>0</v>
      </c>
      <c r="P2791" t="s">
        <v>100</v>
      </c>
      <c r="Q2791">
        <v>0</v>
      </c>
      <c r="R2791" t="s">
        <v>145</v>
      </c>
      <c r="S2791">
        <v>0</v>
      </c>
    </row>
    <row r="2792" spans="1:19">
      <c r="A2792" t="s">
        <v>35</v>
      </c>
      <c r="B2792" t="s">
        <v>7782</v>
      </c>
      <c r="C2792">
        <f>"AX0515AS"</f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 s="2">
        <v>0</v>
      </c>
      <c r="M2792">
        <v>0</v>
      </c>
      <c r="N2792" s="2">
        <v>0</v>
      </c>
      <c r="O2792">
        <v>0</v>
      </c>
      <c r="P2792" t="s">
        <v>100</v>
      </c>
      <c r="Q2792">
        <v>0</v>
      </c>
      <c r="R2792" t="s">
        <v>145</v>
      </c>
      <c r="S2792">
        <v>0</v>
      </c>
    </row>
    <row r="2793" spans="1:19">
      <c r="A2793" t="s">
        <v>35</v>
      </c>
      <c r="B2793" t="s">
        <v>7781</v>
      </c>
      <c r="C2793">
        <f>"AX0515NL"</f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 s="2">
        <v>0</v>
      </c>
      <c r="M2793">
        <v>0</v>
      </c>
      <c r="N2793" s="2">
        <v>0</v>
      </c>
      <c r="O2793">
        <v>0</v>
      </c>
      <c r="P2793" t="s">
        <v>100</v>
      </c>
      <c r="Q2793">
        <v>0</v>
      </c>
      <c r="R2793" t="s">
        <v>145</v>
      </c>
      <c r="S2793">
        <v>0</v>
      </c>
    </row>
    <row r="2794" spans="1:19">
      <c r="A2794" t="s">
        <v>35</v>
      </c>
      <c r="B2794" t="s">
        <v>7780</v>
      </c>
      <c r="C2794">
        <f>"AX0515NM"</f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 s="2">
        <v>0</v>
      </c>
      <c r="M2794">
        <v>0</v>
      </c>
      <c r="N2794" s="2">
        <v>0</v>
      </c>
      <c r="O2794">
        <v>0</v>
      </c>
      <c r="P2794" t="s">
        <v>100</v>
      </c>
      <c r="Q2794">
        <v>0</v>
      </c>
      <c r="R2794" t="s">
        <v>145</v>
      </c>
      <c r="S2794">
        <v>0</v>
      </c>
    </row>
    <row r="2795" spans="1:19">
      <c r="A2795" t="s">
        <v>35</v>
      </c>
      <c r="B2795" t="s">
        <v>7668</v>
      </c>
      <c r="C2795">
        <f>"AX0515NS"</f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 s="2">
        <v>0</v>
      </c>
      <c r="M2795">
        <v>0</v>
      </c>
      <c r="N2795" s="2">
        <v>0</v>
      </c>
      <c r="O2795">
        <v>0</v>
      </c>
      <c r="P2795" t="s">
        <v>100</v>
      </c>
      <c r="Q2795">
        <v>0</v>
      </c>
      <c r="R2795" t="s">
        <v>145</v>
      </c>
      <c r="S2795">
        <v>0</v>
      </c>
    </row>
    <row r="2796" spans="1:19">
      <c r="A2796" t="s">
        <v>35</v>
      </c>
      <c r="B2796" t="s">
        <v>7868</v>
      </c>
      <c r="C2796">
        <f>"KW6021LCG"</f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 s="2">
        <v>0</v>
      </c>
      <c r="M2796">
        <v>0</v>
      </c>
      <c r="N2796" s="2">
        <v>0</v>
      </c>
      <c r="O2796">
        <v>0</v>
      </c>
      <c r="P2796" t="s">
        <v>100</v>
      </c>
      <c r="Q2796">
        <v>0</v>
      </c>
      <c r="R2796" t="s">
        <v>145</v>
      </c>
      <c r="S2796">
        <v>0</v>
      </c>
    </row>
    <row r="2797" spans="1:19">
      <c r="A2797" t="s">
        <v>35</v>
      </c>
      <c r="B2797" t="s">
        <v>7666</v>
      </c>
      <c r="C2797">
        <f>"JXV1806XL"</f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 s="2">
        <v>0</v>
      </c>
      <c r="M2797">
        <v>0</v>
      </c>
      <c r="N2797" s="2">
        <v>0</v>
      </c>
      <c r="O2797">
        <v>0</v>
      </c>
      <c r="P2797" t="s">
        <v>100</v>
      </c>
      <c r="Q2797">
        <v>0</v>
      </c>
      <c r="R2797" t="s">
        <v>145</v>
      </c>
      <c r="S2797">
        <v>0</v>
      </c>
    </row>
    <row r="2798" spans="1:19">
      <c r="A2798" t="s">
        <v>35</v>
      </c>
      <c r="B2798" t="s">
        <v>7681</v>
      </c>
      <c r="C2798">
        <f>"KR1001S"</f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 s="2">
        <v>0</v>
      </c>
      <c r="M2798">
        <v>0</v>
      </c>
      <c r="N2798" s="2">
        <v>0</v>
      </c>
      <c r="O2798">
        <v>0</v>
      </c>
      <c r="P2798" t="s">
        <v>100</v>
      </c>
      <c r="Q2798">
        <v>0</v>
      </c>
      <c r="R2798" t="s">
        <v>145</v>
      </c>
      <c r="S2798">
        <v>0</v>
      </c>
    </row>
    <row r="2799" spans="1:19">
      <c r="A2799" t="s">
        <v>35</v>
      </c>
      <c r="B2799" t="s">
        <v>1296</v>
      </c>
      <c r="C2799">
        <f>"168V"</f>
        <v>0</v>
      </c>
      <c r="D2799">
        <v>0</v>
      </c>
      <c r="E2799">
        <v>0</v>
      </c>
      <c r="F2799">
        <v>1</v>
      </c>
      <c r="G2799">
        <v>0</v>
      </c>
      <c r="H2799">
        <v>1</v>
      </c>
      <c r="I2799">
        <v>0</v>
      </c>
      <c r="J2799">
        <v>0</v>
      </c>
      <c r="K2799">
        <v>0</v>
      </c>
      <c r="L2799" s="2">
        <v>0</v>
      </c>
      <c r="M2799">
        <v>0</v>
      </c>
      <c r="N2799" s="2">
        <v>0</v>
      </c>
      <c r="O2799">
        <v>0</v>
      </c>
      <c r="P2799" t="s">
        <v>100</v>
      </c>
      <c r="Q2799">
        <v>0</v>
      </c>
      <c r="R2799" t="s">
        <v>145</v>
      </c>
      <c r="S2799">
        <v>0</v>
      </c>
    </row>
    <row r="2800" spans="1:19">
      <c r="A2800" t="s">
        <v>35</v>
      </c>
      <c r="B2800" t="s">
        <v>1241</v>
      </c>
      <c r="C2800">
        <f>"167R"</f>
        <v>0</v>
      </c>
      <c r="D2800">
        <v>0</v>
      </c>
      <c r="E2800">
        <v>1</v>
      </c>
      <c r="F2800">
        <v>0</v>
      </c>
      <c r="G2800">
        <v>0</v>
      </c>
      <c r="H2800">
        <v>1</v>
      </c>
      <c r="I2800">
        <v>0</v>
      </c>
      <c r="J2800">
        <v>0</v>
      </c>
      <c r="K2800">
        <v>0</v>
      </c>
      <c r="L2800" s="2">
        <v>0</v>
      </c>
      <c r="M2800">
        <v>0</v>
      </c>
      <c r="N2800" s="2">
        <v>0</v>
      </c>
      <c r="O2800">
        <v>0</v>
      </c>
      <c r="P2800" t="s">
        <v>100</v>
      </c>
      <c r="Q2800">
        <v>0</v>
      </c>
      <c r="R2800" t="s">
        <v>145</v>
      </c>
      <c r="S2800">
        <v>0</v>
      </c>
    </row>
    <row r="2801" spans="1:19">
      <c r="A2801" t="s">
        <v>35</v>
      </c>
      <c r="B2801" t="s">
        <v>1166</v>
      </c>
      <c r="C2801">
        <f>"167C"</f>
        <v>0</v>
      </c>
      <c r="D2801">
        <v>0</v>
      </c>
      <c r="E2801">
        <v>0</v>
      </c>
      <c r="F2801">
        <v>1</v>
      </c>
      <c r="G2801">
        <v>0</v>
      </c>
      <c r="H2801">
        <v>1</v>
      </c>
      <c r="I2801">
        <v>0</v>
      </c>
      <c r="J2801">
        <v>0</v>
      </c>
      <c r="K2801">
        <v>0</v>
      </c>
      <c r="L2801" s="2">
        <v>0</v>
      </c>
      <c r="M2801">
        <v>0</v>
      </c>
      <c r="N2801" s="2">
        <v>0</v>
      </c>
      <c r="O2801">
        <v>0</v>
      </c>
      <c r="P2801" t="s">
        <v>100</v>
      </c>
      <c r="Q2801">
        <v>0</v>
      </c>
      <c r="R2801" t="s">
        <v>145</v>
      </c>
      <c r="S2801">
        <v>0</v>
      </c>
    </row>
    <row r="2802" spans="1:19">
      <c r="A2802" t="s">
        <v>35</v>
      </c>
      <c r="B2802" t="s">
        <v>7654</v>
      </c>
      <c r="C2802">
        <f>"8414L"</f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 s="2">
        <v>0</v>
      </c>
      <c r="M2802">
        <v>0</v>
      </c>
      <c r="N2802" s="2">
        <v>0</v>
      </c>
      <c r="O2802">
        <v>0</v>
      </c>
      <c r="P2802" t="s">
        <v>100</v>
      </c>
      <c r="Q2802">
        <v>0</v>
      </c>
      <c r="R2802" t="s">
        <v>145</v>
      </c>
      <c r="S2802">
        <v>0</v>
      </c>
    </row>
    <row r="2803" spans="1:19">
      <c r="A2803" t="s">
        <v>35</v>
      </c>
      <c r="B2803" t="s">
        <v>7653</v>
      </c>
      <c r="C2803">
        <f>"8414M"</f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 s="2">
        <v>0</v>
      </c>
      <c r="M2803">
        <v>0</v>
      </c>
      <c r="N2803" s="2">
        <v>0</v>
      </c>
      <c r="O2803">
        <v>0</v>
      </c>
      <c r="P2803" t="s">
        <v>100</v>
      </c>
      <c r="Q2803">
        <v>0</v>
      </c>
      <c r="R2803" t="s">
        <v>145</v>
      </c>
      <c r="S2803">
        <v>0</v>
      </c>
    </row>
    <row r="2804" spans="1:19">
      <c r="A2804" t="s">
        <v>35</v>
      </c>
      <c r="B2804" t="s">
        <v>7652</v>
      </c>
      <c r="C2804">
        <f>"8414S"</f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 s="2">
        <v>0</v>
      </c>
      <c r="M2804">
        <v>0</v>
      </c>
      <c r="N2804" s="2">
        <v>0</v>
      </c>
      <c r="O2804">
        <v>0</v>
      </c>
      <c r="P2804" t="s">
        <v>100</v>
      </c>
      <c r="Q2804">
        <v>0</v>
      </c>
      <c r="R2804" t="s">
        <v>145</v>
      </c>
      <c r="S2804">
        <v>0</v>
      </c>
    </row>
    <row r="2805" spans="1:19">
      <c r="A2805" t="s">
        <v>35</v>
      </c>
      <c r="B2805" t="s">
        <v>3251</v>
      </c>
      <c r="C2805">
        <f>"11049S"</f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 s="2">
        <v>0</v>
      </c>
      <c r="M2805">
        <v>0</v>
      </c>
      <c r="N2805" s="2">
        <v>0</v>
      </c>
      <c r="O2805">
        <v>0</v>
      </c>
      <c r="P2805" t="s">
        <v>100</v>
      </c>
      <c r="Q2805">
        <v>0</v>
      </c>
      <c r="R2805" t="s">
        <v>145</v>
      </c>
      <c r="S2805">
        <v>0</v>
      </c>
    </row>
    <row r="2806" spans="1:19">
      <c r="A2806" t="s">
        <v>35</v>
      </c>
      <c r="B2806" t="s">
        <v>3250</v>
      </c>
      <c r="C2806">
        <f>"KE3290H"</f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 s="2">
        <v>0</v>
      </c>
      <c r="M2806">
        <v>0</v>
      </c>
      <c r="N2806" s="2">
        <v>0</v>
      </c>
      <c r="O2806">
        <v>0</v>
      </c>
      <c r="P2806" t="s">
        <v>100</v>
      </c>
      <c r="Q2806">
        <v>0</v>
      </c>
      <c r="R2806" t="s">
        <v>145</v>
      </c>
      <c r="S2806">
        <v>0</v>
      </c>
    </row>
    <row r="2807" spans="1:19">
      <c r="A2807" t="s">
        <v>35</v>
      </c>
      <c r="B2807" t="s">
        <v>7667</v>
      </c>
      <c r="C2807">
        <f>"JXV1806S"</f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 s="2">
        <v>0</v>
      </c>
      <c r="M2807">
        <v>0</v>
      </c>
      <c r="N2807" s="2">
        <v>0</v>
      </c>
      <c r="O2807">
        <v>0</v>
      </c>
      <c r="P2807" t="s">
        <v>100</v>
      </c>
      <c r="Q2807">
        <v>0</v>
      </c>
      <c r="R2807" t="s">
        <v>145</v>
      </c>
      <c r="S2807">
        <v>0</v>
      </c>
    </row>
    <row r="2808" spans="1:19">
      <c r="A2808" t="s">
        <v>35</v>
      </c>
      <c r="B2808" t="s">
        <v>6510</v>
      </c>
      <c r="C2808">
        <f>"KW6021MCG"</f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 s="2">
        <v>0</v>
      </c>
      <c r="M2808">
        <v>0</v>
      </c>
      <c r="N2808" s="2">
        <v>0</v>
      </c>
      <c r="O2808">
        <v>0</v>
      </c>
      <c r="P2808" t="s">
        <v>100</v>
      </c>
      <c r="Q2808">
        <v>0</v>
      </c>
      <c r="R2808" t="s">
        <v>145</v>
      </c>
      <c r="S2808">
        <v>0</v>
      </c>
    </row>
    <row r="2809" spans="1:19">
      <c r="A2809" t="s">
        <v>35</v>
      </c>
      <c r="B2809" t="s">
        <v>7897</v>
      </c>
      <c r="C2809">
        <f>"KW6021SCG"</f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 s="2">
        <v>0</v>
      </c>
      <c r="M2809">
        <v>0</v>
      </c>
      <c r="N2809" s="2">
        <v>0</v>
      </c>
      <c r="O2809">
        <v>0</v>
      </c>
      <c r="P2809" t="s">
        <v>100</v>
      </c>
      <c r="Q2809">
        <v>0</v>
      </c>
      <c r="R2809" t="s">
        <v>145</v>
      </c>
      <c r="S2809">
        <v>0</v>
      </c>
    </row>
    <row r="2810" spans="1:19">
      <c r="A2810" t="s">
        <v>35</v>
      </c>
      <c r="B2810" t="s">
        <v>7896</v>
      </c>
      <c r="C2810">
        <f>"KW6021XLCG"</f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 s="2">
        <v>0</v>
      </c>
      <c r="M2810">
        <v>0</v>
      </c>
      <c r="N2810" s="2">
        <v>0</v>
      </c>
      <c r="O2810">
        <v>0</v>
      </c>
      <c r="P2810" t="s">
        <v>100</v>
      </c>
      <c r="Q2810">
        <v>0</v>
      </c>
      <c r="R2810" t="s">
        <v>145</v>
      </c>
      <c r="S2810">
        <v>0</v>
      </c>
    </row>
    <row r="2811" spans="1:19">
      <c r="A2811" t="s">
        <v>35</v>
      </c>
      <c r="B2811" t="s">
        <v>7894</v>
      </c>
      <c r="C2811">
        <f>"KW6037MA"</f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 s="2">
        <v>0</v>
      </c>
      <c r="M2811">
        <v>0</v>
      </c>
      <c r="N2811" s="2">
        <v>0</v>
      </c>
      <c r="O2811">
        <v>0</v>
      </c>
      <c r="P2811" t="s">
        <v>100</v>
      </c>
      <c r="Q2811">
        <v>0</v>
      </c>
      <c r="R2811" t="s">
        <v>145</v>
      </c>
      <c r="S2811">
        <v>0</v>
      </c>
    </row>
    <row r="2812" spans="1:19">
      <c r="A2812" t="s">
        <v>35</v>
      </c>
      <c r="B2812" t="s">
        <v>1177</v>
      </c>
      <c r="C2812">
        <f>"KW6037SA"</f>
        <v>0</v>
      </c>
      <c r="D2812">
        <v>1</v>
      </c>
      <c r="E2812">
        <v>0</v>
      </c>
      <c r="F2812">
        <v>0</v>
      </c>
      <c r="G2812">
        <v>0</v>
      </c>
      <c r="H2812">
        <v>1</v>
      </c>
      <c r="I2812">
        <v>0</v>
      </c>
      <c r="J2812">
        <v>0</v>
      </c>
      <c r="K2812">
        <v>0</v>
      </c>
      <c r="L2812" s="2">
        <v>0</v>
      </c>
      <c r="M2812">
        <v>0</v>
      </c>
      <c r="N2812" s="2">
        <v>0</v>
      </c>
      <c r="O2812">
        <v>0</v>
      </c>
      <c r="P2812" t="s">
        <v>100</v>
      </c>
      <c r="Q2812">
        <v>0</v>
      </c>
      <c r="R2812" t="s">
        <v>145</v>
      </c>
      <c r="S2812">
        <v>0</v>
      </c>
    </row>
    <row r="2813" spans="1:19">
      <c r="A2813" t="s">
        <v>35</v>
      </c>
      <c r="B2813" t="s">
        <v>7893</v>
      </c>
      <c r="C2813">
        <f>"KW6019LGB"</f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 s="2">
        <v>0</v>
      </c>
      <c r="M2813">
        <v>0</v>
      </c>
      <c r="N2813" s="2">
        <v>0</v>
      </c>
      <c r="O2813">
        <v>0</v>
      </c>
      <c r="P2813" t="s">
        <v>100</v>
      </c>
      <c r="Q2813">
        <v>0</v>
      </c>
      <c r="R2813" t="s">
        <v>145</v>
      </c>
      <c r="S2813">
        <v>0</v>
      </c>
    </row>
    <row r="2814" spans="1:19">
      <c r="A2814" t="s">
        <v>35</v>
      </c>
      <c r="B2814" t="s">
        <v>7892</v>
      </c>
      <c r="C2814">
        <f>"KW6019MGB"</f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 s="2">
        <v>0</v>
      </c>
      <c r="M2814">
        <v>0</v>
      </c>
      <c r="N2814" s="2">
        <v>0</v>
      </c>
      <c r="O2814">
        <v>0</v>
      </c>
      <c r="P2814" t="s">
        <v>100</v>
      </c>
      <c r="Q2814">
        <v>0</v>
      </c>
      <c r="R2814" t="s">
        <v>145</v>
      </c>
      <c r="S2814">
        <v>0</v>
      </c>
    </row>
    <row r="2815" spans="1:19">
      <c r="A2815" t="s">
        <v>35</v>
      </c>
      <c r="B2815" t="s">
        <v>7891</v>
      </c>
      <c r="C2815">
        <f>"KW6019SGB"</f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 s="2">
        <v>0</v>
      </c>
      <c r="M2815">
        <v>0</v>
      </c>
      <c r="N2815" s="2">
        <v>0</v>
      </c>
      <c r="O2815">
        <v>0</v>
      </c>
      <c r="P2815" t="s">
        <v>100</v>
      </c>
      <c r="Q2815">
        <v>0</v>
      </c>
      <c r="R2815" t="s">
        <v>145</v>
      </c>
      <c r="S2815">
        <v>0</v>
      </c>
    </row>
    <row r="2816" spans="1:19">
      <c r="A2816" t="s">
        <v>35</v>
      </c>
      <c r="B2816" t="s">
        <v>3210</v>
      </c>
      <c r="C2816">
        <f>"167V"</f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 s="2">
        <v>0</v>
      </c>
      <c r="M2816">
        <v>0</v>
      </c>
      <c r="N2816" s="2">
        <v>0</v>
      </c>
      <c r="O2816">
        <v>0</v>
      </c>
      <c r="P2816" t="s">
        <v>100</v>
      </c>
      <c r="Q2816">
        <v>0</v>
      </c>
      <c r="R2816" t="s">
        <v>145</v>
      </c>
      <c r="S2816">
        <v>0</v>
      </c>
    </row>
    <row r="2817" spans="1:19">
      <c r="A2817" t="s">
        <v>35</v>
      </c>
      <c r="B2817" t="s">
        <v>3209</v>
      </c>
      <c r="C2817">
        <f>"CTB84"</f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 s="2">
        <v>0</v>
      </c>
      <c r="M2817">
        <v>0</v>
      </c>
      <c r="N2817" s="2">
        <v>0</v>
      </c>
      <c r="O2817">
        <v>0</v>
      </c>
      <c r="P2817" t="s">
        <v>100</v>
      </c>
      <c r="Q2817">
        <v>0</v>
      </c>
      <c r="R2817" t="s">
        <v>145</v>
      </c>
      <c r="S2817">
        <v>0</v>
      </c>
    </row>
    <row r="2818" spans="1:19">
      <c r="A2818" t="s">
        <v>35</v>
      </c>
      <c r="B2818" t="s">
        <v>7879</v>
      </c>
      <c r="C2818">
        <f>"JXN18011"</f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 s="2">
        <v>0</v>
      </c>
      <c r="M2818">
        <v>0</v>
      </c>
      <c r="N2818" s="2">
        <v>0</v>
      </c>
      <c r="O2818">
        <v>0</v>
      </c>
      <c r="P2818" t="s">
        <v>100</v>
      </c>
      <c r="Q2818">
        <v>0</v>
      </c>
      <c r="R2818" t="s">
        <v>145</v>
      </c>
      <c r="S2818">
        <v>0</v>
      </c>
    </row>
    <row r="2819" spans="1:19">
      <c r="A2819" t="s">
        <v>35</v>
      </c>
      <c r="B2819" t="s">
        <v>3213</v>
      </c>
      <c r="C2819">
        <f>"YP193SA"</f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 s="2">
        <v>0</v>
      </c>
      <c r="M2819">
        <v>0</v>
      </c>
      <c r="N2819" s="2">
        <v>0</v>
      </c>
      <c r="O2819">
        <v>0</v>
      </c>
      <c r="P2819" t="s">
        <v>100</v>
      </c>
      <c r="Q2819">
        <v>0</v>
      </c>
      <c r="R2819" t="s">
        <v>145</v>
      </c>
      <c r="S2819">
        <v>0</v>
      </c>
    </row>
    <row r="2820" spans="1:19">
      <c r="A2820" t="s">
        <v>35</v>
      </c>
      <c r="B2820" t="s">
        <v>5819</v>
      </c>
      <c r="C2820">
        <f>"B1150442XLB"</f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 s="2">
        <v>0</v>
      </c>
      <c r="M2820">
        <v>0</v>
      </c>
      <c r="N2820" s="2">
        <v>0</v>
      </c>
      <c r="O2820">
        <v>0</v>
      </c>
      <c r="P2820" t="s">
        <v>100</v>
      </c>
      <c r="Q2820">
        <v>0</v>
      </c>
      <c r="R2820" t="s">
        <v>145</v>
      </c>
      <c r="S2820">
        <v>0</v>
      </c>
    </row>
    <row r="2821" spans="1:19">
      <c r="A2821" t="s">
        <v>35</v>
      </c>
      <c r="B2821" t="s">
        <v>3203</v>
      </c>
      <c r="C2821">
        <f>"B115044LG"</f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 s="2">
        <v>0</v>
      </c>
      <c r="M2821">
        <v>0</v>
      </c>
      <c r="N2821" s="2">
        <v>0</v>
      </c>
      <c r="O2821">
        <v>0</v>
      </c>
      <c r="P2821" t="s">
        <v>100</v>
      </c>
      <c r="Q2821">
        <v>0</v>
      </c>
      <c r="R2821" t="s">
        <v>145</v>
      </c>
      <c r="S2821">
        <v>0</v>
      </c>
    </row>
    <row r="2822" spans="1:19">
      <c r="A2822" t="s">
        <v>35</v>
      </c>
      <c r="B2822" t="s">
        <v>3199</v>
      </c>
      <c r="C2822">
        <f>"B115044SG"</f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 s="2">
        <v>0</v>
      </c>
      <c r="M2822">
        <v>0</v>
      </c>
      <c r="N2822" s="2">
        <v>0</v>
      </c>
      <c r="O2822">
        <v>0</v>
      </c>
      <c r="P2822" t="s">
        <v>100</v>
      </c>
      <c r="Q2822">
        <v>0</v>
      </c>
      <c r="R2822" t="s">
        <v>145</v>
      </c>
      <c r="S2822">
        <v>0</v>
      </c>
    </row>
    <row r="2823" spans="1:19">
      <c r="A2823" t="s">
        <v>35</v>
      </c>
      <c r="B2823" t="s">
        <v>5807</v>
      </c>
      <c r="C2823">
        <f>"18l"</f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 s="2">
        <v>0</v>
      </c>
      <c r="M2823">
        <v>0</v>
      </c>
      <c r="N2823" s="2">
        <v>0</v>
      </c>
      <c r="O2823">
        <v>0</v>
      </c>
      <c r="P2823" t="s">
        <v>100</v>
      </c>
      <c r="Q2823">
        <v>0</v>
      </c>
      <c r="R2823" t="s">
        <v>145</v>
      </c>
      <c r="S2823">
        <v>0</v>
      </c>
    </row>
    <row r="2824" spans="1:19">
      <c r="A2824" t="s">
        <v>35</v>
      </c>
      <c r="B2824" t="s">
        <v>8111</v>
      </c>
      <c r="C2824">
        <f>"COO2843M"</f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 s="2">
        <v>0</v>
      </c>
      <c r="M2824">
        <v>0</v>
      </c>
      <c r="N2824" s="2">
        <v>0</v>
      </c>
      <c r="O2824">
        <v>0</v>
      </c>
      <c r="P2824" t="s">
        <v>100</v>
      </c>
      <c r="Q2824">
        <v>0</v>
      </c>
      <c r="R2824" t="s">
        <v>145</v>
      </c>
      <c r="S2824">
        <v>0</v>
      </c>
    </row>
    <row r="2825" spans="1:19">
      <c r="A2825" t="s">
        <v>35</v>
      </c>
      <c r="B2825" t="s">
        <v>8105</v>
      </c>
      <c r="C2825">
        <f>"AX0509L"</f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 s="2">
        <v>0</v>
      </c>
      <c r="M2825">
        <v>0</v>
      </c>
      <c r="N2825" s="2">
        <v>0</v>
      </c>
      <c r="O2825">
        <v>0</v>
      </c>
      <c r="P2825" t="s">
        <v>100</v>
      </c>
      <c r="Q2825">
        <v>0</v>
      </c>
      <c r="R2825" t="s">
        <v>145</v>
      </c>
      <c r="S2825">
        <v>0</v>
      </c>
    </row>
    <row r="2826" spans="1:19">
      <c r="A2826" t="s">
        <v>35</v>
      </c>
      <c r="B2826" t="s">
        <v>7665</v>
      </c>
      <c r="C2826">
        <f>"1592509330550"</f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 s="2">
        <v>0</v>
      </c>
      <c r="M2826">
        <v>0</v>
      </c>
      <c r="N2826" s="2">
        <v>0</v>
      </c>
      <c r="O2826">
        <v>0</v>
      </c>
      <c r="P2826" t="s">
        <v>100</v>
      </c>
      <c r="Q2826">
        <v>0</v>
      </c>
      <c r="R2826" t="s">
        <v>145</v>
      </c>
      <c r="S2826">
        <v>0</v>
      </c>
    </row>
    <row r="2827" spans="1:19">
      <c r="A2827" t="s">
        <v>35</v>
      </c>
      <c r="B2827" t="s">
        <v>7680</v>
      </c>
      <c r="C2827">
        <f>"AX0509S"</f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 s="2">
        <v>0</v>
      </c>
      <c r="M2827">
        <v>0</v>
      </c>
      <c r="N2827" s="2">
        <v>0</v>
      </c>
      <c r="O2827">
        <v>0</v>
      </c>
      <c r="P2827" t="s">
        <v>100</v>
      </c>
      <c r="Q2827">
        <v>0</v>
      </c>
      <c r="R2827" t="s">
        <v>145</v>
      </c>
      <c r="S2827">
        <v>0</v>
      </c>
    </row>
    <row r="2828" spans="1:19">
      <c r="A2828" t="s">
        <v>35</v>
      </c>
      <c r="B2828" t="s">
        <v>1162</v>
      </c>
      <c r="C2828">
        <f>"8377L"</f>
        <v>0</v>
      </c>
      <c r="D2828">
        <v>1</v>
      </c>
      <c r="E2828">
        <v>0</v>
      </c>
      <c r="F2828">
        <v>0</v>
      </c>
      <c r="G2828">
        <v>0</v>
      </c>
      <c r="H2828">
        <v>1</v>
      </c>
      <c r="I2828">
        <v>0</v>
      </c>
      <c r="J2828">
        <v>0</v>
      </c>
      <c r="K2828">
        <v>0</v>
      </c>
      <c r="L2828" s="2">
        <v>0</v>
      </c>
      <c r="M2828">
        <v>0</v>
      </c>
      <c r="N2828" s="2">
        <v>0</v>
      </c>
      <c r="O2828">
        <v>0</v>
      </c>
      <c r="P2828" t="s">
        <v>100</v>
      </c>
      <c r="Q2828">
        <v>0</v>
      </c>
      <c r="R2828" t="s">
        <v>145</v>
      </c>
      <c r="S2828">
        <v>0</v>
      </c>
    </row>
    <row r="2829" spans="1:19">
      <c r="A2829" t="s">
        <v>35</v>
      </c>
      <c r="B2829" t="s">
        <v>3216</v>
      </c>
      <c r="C2829">
        <f>"O09933"</f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 s="2">
        <v>0</v>
      </c>
      <c r="M2829">
        <v>0</v>
      </c>
      <c r="N2829" s="2">
        <v>0</v>
      </c>
      <c r="O2829">
        <v>0</v>
      </c>
      <c r="P2829" t="s">
        <v>100</v>
      </c>
      <c r="Q2829">
        <v>0</v>
      </c>
      <c r="R2829" t="s">
        <v>145</v>
      </c>
      <c r="S2829">
        <v>0</v>
      </c>
    </row>
    <row r="2830" spans="1:19">
      <c r="A2830" t="s">
        <v>35</v>
      </c>
      <c r="B2830" t="s">
        <v>5821</v>
      </c>
      <c r="C2830">
        <f>"CT265A"</f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 s="2">
        <v>0</v>
      </c>
      <c r="M2830">
        <v>0</v>
      </c>
      <c r="N2830" s="2">
        <v>0</v>
      </c>
      <c r="O2830">
        <v>0</v>
      </c>
      <c r="P2830" t="s">
        <v>100</v>
      </c>
      <c r="Q2830">
        <v>0</v>
      </c>
      <c r="R2830" t="s">
        <v>145</v>
      </c>
      <c r="S2830">
        <v>0</v>
      </c>
    </row>
    <row r="2831" spans="1:19">
      <c r="A2831" t="s">
        <v>35</v>
      </c>
      <c r="B2831" t="s">
        <v>5866</v>
      </c>
      <c r="C2831">
        <f>"PP044C"</f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 s="2">
        <v>0</v>
      </c>
      <c r="M2831">
        <v>0</v>
      </c>
      <c r="N2831" s="2">
        <v>0</v>
      </c>
      <c r="O2831">
        <v>0</v>
      </c>
      <c r="P2831" t="s">
        <v>100</v>
      </c>
      <c r="Q2831">
        <v>0</v>
      </c>
      <c r="R2831" t="s">
        <v>145</v>
      </c>
      <c r="S2831">
        <v>0</v>
      </c>
    </row>
    <row r="2832" spans="1:19">
      <c r="A2832" t="s">
        <v>35</v>
      </c>
      <c r="B2832" t="s">
        <v>5842</v>
      </c>
      <c r="C2832">
        <f>"KF8205B"</f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 s="2">
        <v>0</v>
      </c>
      <c r="M2832">
        <v>0</v>
      </c>
      <c r="N2832" s="2">
        <v>0</v>
      </c>
      <c r="O2832">
        <v>0</v>
      </c>
      <c r="P2832" t="s">
        <v>100</v>
      </c>
      <c r="Q2832">
        <v>0</v>
      </c>
      <c r="R2832" t="s">
        <v>145</v>
      </c>
      <c r="S2832">
        <v>0</v>
      </c>
    </row>
    <row r="2833" spans="1:19">
      <c r="A2833" t="s">
        <v>35</v>
      </c>
      <c r="B2833" t="s">
        <v>5841</v>
      </c>
      <c r="C2833">
        <f>"KF8205R"</f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 s="2">
        <v>0</v>
      </c>
      <c r="M2833">
        <v>0</v>
      </c>
      <c r="N2833" s="2">
        <v>0</v>
      </c>
      <c r="O2833">
        <v>0</v>
      </c>
      <c r="P2833" t="s">
        <v>100</v>
      </c>
      <c r="Q2833">
        <v>0</v>
      </c>
      <c r="R2833" t="s">
        <v>145</v>
      </c>
      <c r="S2833">
        <v>0</v>
      </c>
    </row>
    <row r="2834" spans="1:19">
      <c r="A2834" t="s">
        <v>35</v>
      </c>
      <c r="B2834" t="s">
        <v>5840</v>
      </c>
      <c r="C2834">
        <f>"kf8016CB"</f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 s="2">
        <v>0</v>
      </c>
      <c r="M2834">
        <v>0</v>
      </c>
      <c r="N2834" s="2">
        <v>0</v>
      </c>
      <c r="O2834">
        <v>0</v>
      </c>
      <c r="P2834" t="s">
        <v>100</v>
      </c>
      <c r="Q2834">
        <v>0</v>
      </c>
      <c r="R2834" t="s">
        <v>145</v>
      </c>
      <c r="S2834">
        <v>0</v>
      </c>
    </row>
    <row r="2835" spans="1:19">
      <c r="A2835" t="s">
        <v>35</v>
      </c>
      <c r="B2835" t="s">
        <v>5839</v>
      </c>
      <c r="C2835">
        <f>"KF8070"</f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 s="2">
        <v>0</v>
      </c>
      <c r="M2835">
        <v>0</v>
      </c>
      <c r="N2835" s="2">
        <v>0</v>
      </c>
      <c r="O2835">
        <v>0</v>
      </c>
      <c r="P2835" t="s">
        <v>100</v>
      </c>
      <c r="Q2835">
        <v>0</v>
      </c>
      <c r="R2835" t="s">
        <v>145</v>
      </c>
      <c r="S2835">
        <v>0</v>
      </c>
    </row>
    <row r="2836" spans="1:19">
      <c r="A2836" t="s">
        <v>35</v>
      </c>
      <c r="B2836" t="s">
        <v>5838</v>
      </c>
      <c r="C2836">
        <f>"kf8091"</f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 s="2">
        <v>0</v>
      </c>
      <c r="M2836">
        <v>0</v>
      </c>
      <c r="N2836" s="2">
        <v>0</v>
      </c>
      <c r="O2836">
        <v>0</v>
      </c>
      <c r="P2836" t="s">
        <v>100</v>
      </c>
      <c r="Q2836">
        <v>0</v>
      </c>
      <c r="R2836" t="s">
        <v>145</v>
      </c>
      <c r="S2836">
        <v>0</v>
      </c>
    </row>
    <row r="2837" spans="1:19">
      <c r="A2837" t="s">
        <v>35</v>
      </c>
      <c r="B2837" t="s">
        <v>5837</v>
      </c>
      <c r="C2837">
        <f>"KF8214"</f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 s="2">
        <v>0</v>
      </c>
      <c r="M2837">
        <v>0</v>
      </c>
      <c r="N2837" s="2">
        <v>0</v>
      </c>
      <c r="O2837">
        <v>0</v>
      </c>
      <c r="P2837" t="s">
        <v>100</v>
      </c>
      <c r="Q2837">
        <v>0</v>
      </c>
      <c r="R2837" t="s">
        <v>145</v>
      </c>
      <c r="S2837">
        <v>0</v>
      </c>
    </row>
    <row r="2838" spans="1:19">
      <c r="A2838" t="s">
        <v>35</v>
      </c>
      <c r="B2838" t="s">
        <v>5836</v>
      </c>
      <c r="C2838">
        <f>"HK1506"</f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 s="2">
        <v>0</v>
      </c>
      <c r="M2838">
        <v>0</v>
      </c>
      <c r="N2838" s="2">
        <v>0</v>
      </c>
      <c r="O2838">
        <v>0</v>
      </c>
      <c r="P2838" t="s">
        <v>100</v>
      </c>
      <c r="Q2838">
        <v>0</v>
      </c>
      <c r="R2838" t="s">
        <v>145</v>
      </c>
      <c r="S2838">
        <v>0</v>
      </c>
    </row>
    <row r="2839" spans="1:19">
      <c r="A2839" t="s">
        <v>35</v>
      </c>
      <c r="B2839" t="s">
        <v>1207</v>
      </c>
      <c r="C2839">
        <f>"FT006D"</f>
        <v>0</v>
      </c>
      <c r="D2839">
        <v>0</v>
      </c>
      <c r="E2839">
        <v>1</v>
      </c>
      <c r="F2839">
        <v>0</v>
      </c>
      <c r="G2839">
        <v>0</v>
      </c>
      <c r="H2839">
        <v>1</v>
      </c>
      <c r="I2839">
        <v>0</v>
      </c>
      <c r="J2839">
        <v>0</v>
      </c>
      <c r="K2839">
        <v>0</v>
      </c>
      <c r="L2839" s="2">
        <v>0</v>
      </c>
      <c r="M2839">
        <v>0</v>
      </c>
      <c r="N2839" s="2">
        <v>0</v>
      </c>
      <c r="O2839">
        <v>0</v>
      </c>
      <c r="P2839" t="s">
        <v>100</v>
      </c>
      <c r="Q2839">
        <v>0</v>
      </c>
      <c r="R2839" t="s">
        <v>145</v>
      </c>
      <c r="S2839">
        <v>0</v>
      </c>
    </row>
    <row r="2840" spans="1:19">
      <c r="A2840" t="s">
        <v>35</v>
      </c>
      <c r="B2840" t="s">
        <v>5851</v>
      </c>
      <c r="C2840">
        <f>"IC0070A"</f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 s="2">
        <v>0</v>
      </c>
      <c r="M2840">
        <v>0</v>
      </c>
      <c r="N2840" s="2">
        <v>0</v>
      </c>
      <c r="O2840">
        <v>0</v>
      </c>
      <c r="P2840" t="s">
        <v>100</v>
      </c>
      <c r="Q2840">
        <v>0</v>
      </c>
      <c r="R2840" t="s">
        <v>145</v>
      </c>
      <c r="S2840">
        <v>0</v>
      </c>
    </row>
    <row r="2841" spans="1:19">
      <c r="A2841" t="s">
        <v>35</v>
      </c>
      <c r="B2841" t="s">
        <v>5858</v>
      </c>
      <c r="C2841">
        <f>"IC0070N"</f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 s="2">
        <v>0</v>
      </c>
      <c r="M2841">
        <v>0</v>
      </c>
      <c r="N2841" s="2">
        <v>0</v>
      </c>
      <c r="O2841">
        <v>0</v>
      </c>
      <c r="P2841" t="s">
        <v>100</v>
      </c>
      <c r="Q2841">
        <v>0</v>
      </c>
      <c r="R2841" t="s">
        <v>145</v>
      </c>
      <c r="S2841">
        <v>0</v>
      </c>
    </row>
    <row r="2842" spans="1:19">
      <c r="A2842" t="s">
        <v>35</v>
      </c>
      <c r="B2842" t="s">
        <v>3679</v>
      </c>
      <c r="C2842">
        <f>"SAL"</f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 s="2">
        <v>0</v>
      </c>
      <c r="M2842">
        <v>0</v>
      </c>
      <c r="N2842" s="2">
        <v>0</v>
      </c>
      <c r="O2842">
        <v>0</v>
      </c>
      <c r="P2842" t="s">
        <v>100</v>
      </c>
      <c r="Q2842">
        <v>0</v>
      </c>
      <c r="R2842" t="s">
        <v>145</v>
      </c>
      <c r="S2842">
        <v>0</v>
      </c>
    </row>
    <row r="2843" spans="1:19">
      <c r="A2843" t="s">
        <v>35</v>
      </c>
      <c r="B2843" t="s">
        <v>3678</v>
      </c>
      <c r="C2843">
        <f>"SAM"</f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 s="2">
        <v>0</v>
      </c>
      <c r="M2843">
        <v>0</v>
      </c>
      <c r="N2843" s="2">
        <v>0</v>
      </c>
      <c r="O2843">
        <v>0</v>
      </c>
      <c r="P2843" t="s">
        <v>100</v>
      </c>
      <c r="Q2843">
        <v>0</v>
      </c>
      <c r="R2843" t="s">
        <v>145</v>
      </c>
      <c r="S2843">
        <v>0</v>
      </c>
    </row>
    <row r="2844" spans="1:19">
      <c r="A2844" t="s">
        <v>35</v>
      </c>
      <c r="B2844" t="s">
        <v>8959</v>
      </c>
      <c r="C2844">
        <f>"BPP2"</f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 s="2">
        <v>0</v>
      </c>
      <c r="M2844">
        <v>0</v>
      </c>
      <c r="N2844" s="2">
        <v>0</v>
      </c>
      <c r="O2844">
        <v>0</v>
      </c>
      <c r="P2844" t="s">
        <v>100</v>
      </c>
      <c r="Q2844">
        <v>0</v>
      </c>
      <c r="R2844" t="s">
        <v>145</v>
      </c>
      <c r="S2844">
        <v>0</v>
      </c>
    </row>
    <row r="2845" spans="1:19">
      <c r="A2845" t="s">
        <v>35</v>
      </c>
      <c r="B2845" t="s">
        <v>8912</v>
      </c>
      <c r="C2845">
        <f>"BPP3"</f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 s="2">
        <v>0</v>
      </c>
      <c r="M2845">
        <v>0</v>
      </c>
      <c r="N2845" s="2">
        <v>0</v>
      </c>
      <c r="O2845">
        <v>0</v>
      </c>
      <c r="P2845" t="s">
        <v>100</v>
      </c>
      <c r="Q2845">
        <v>0</v>
      </c>
      <c r="R2845" t="s">
        <v>145</v>
      </c>
      <c r="S2845">
        <v>0</v>
      </c>
    </row>
    <row r="2846" spans="1:19">
      <c r="A2846" t="s">
        <v>35</v>
      </c>
      <c r="B2846" t="s">
        <v>8911</v>
      </c>
      <c r="C2846">
        <f>"ABTB4"</f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 s="2">
        <v>0</v>
      </c>
      <c r="M2846">
        <v>0</v>
      </c>
      <c r="N2846" s="2">
        <v>0</v>
      </c>
      <c r="O2846">
        <v>0</v>
      </c>
      <c r="P2846" t="s">
        <v>100</v>
      </c>
      <c r="Q2846">
        <v>0</v>
      </c>
      <c r="R2846" t="s">
        <v>145</v>
      </c>
      <c r="S2846">
        <v>0</v>
      </c>
    </row>
    <row r="2847" spans="1:19">
      <c r="A2847" t="s">
        <v>35</v>
      </c>
      <c r="B2847" t="s">
        <v>8910</v>
      </c>
      <c r="C2847">
        <f>"4000265"</f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 s="2">
        <v>0</v>
      </c>
      <c r="M2847">
        <v>0</v>
      </c>
      <c r="N2847" s="2">
        <v>0</v>
      </c>
      <c r="O2847">
        <v>0</v>
      </c>
      <c r="P2847" t="s">
        <v>100</v>
      </c>
      <c r="Q2847">
        <v>0</v>
      </c>
      <c r="R2847" t="s">
        <v>145</v>
      </c>
      <c r="S2847">
        <v>0</v>
      </c>
    </row>
    <row r="2848" spans="1:19">
      <c r="A2848" t="s">
        <v>35</v>
      </c>
      <c r="B2848" t="s">
        <v>8909</v>
      </c>
      <c r="C2848">
        <f>"4000272"</f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 s="2">
        <v>0</v>
      </c>
      <c r="M2848">
        <v>0</v>
      </c>
      <c r="N2848" s="2">
        <v>0</v>
      </c>
      <c r="O2848">
        <v>0</v>
      </c>
      <c r="P2848" t="s">
        <v>100</v>
      </c>
      <c r="Q2848">
        <v>0</v>
      </c>
      <c r="R2848" t="s">
        <v>145</v>
      </c>
      <c r="S2848">
        <v>0</v>
      </c>
    </row>
    <row r="2849" spans="1:19">
      <c r="A2849" t="s">
        <v>35</v>
      </c>
      <c r="B2849" t="s">
        <v>8908</v>
      </c>
      <c r="C2849">
        <f>"4000289"</f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 s="2">
        <v>0</v>
      </c>
      <c r="M2849">
        <v>0</v>
      </c>
      <c r="N2849" s="2">
        <v>0</v>
      </c>
      <c r="O2849">
        <v>0</v>
      </c>
      <c r="P2849" t="s">
        <v>100</v>
      </c>
      <c r="Q2849">
        <v>0</v>
      </c>
      <c r="R2849" t="s">
        <v>145</v>
      </c>
      <c r="S2849">
        <v>0</v>
      </c>
    </row>
    <row r="2850" spans="1:19">
      <c r="A2850" t="s">
        <v>35</v>
      </c>
      <c r="B2850" t="s">
        <v>1359</v>
      </c>
      <c r="C2850">
        <f>"KF1025B"</f>
        <v>0</v>
      </c>
      <c r="D2850">
        <v>0</v>
      </c>
      <c r="E2850">
        <v>1</v>
      </c>
      <c r="F2850">
        <v>0</v>
      </c>
      <c r="G2850">
        <v>0</v>
      </c>
      <c r="H2850">
        <v>1</v>
      </c>
      <c r="I2850">
        <v>0</v>
      </c>
      <c r="J2850">
        <v>0</v>
      </c>
      <c r="K2850">
        <v>0</v>
      </c>
      <c r="L2850" s="2">
        <v>0</v>
      </c>
      <c r="M2850">
        <v>0</v>
      </c>
      <c r="N2850" s="2">
        <v>0</v>
      </c>
      <c r="O2850">
        <v>0</v>
      </c>
      <c r="P2850" t="s">
        <v>100</v>
      </c>
      <c r="Q2850">
        <v>0</v>
      </c>
      <c r="R2850" t="s">
        <v>145</v>
      </c>
      <c r="S2850">
        <v>0</v>
      </c>
    </row>
    <row r="2851" spans="1:19">
      <c r="A2851" t="s">
        <v>35</v>
      </c>
      <c r="B2851" t="s">
        <v>4348</v>
      </c>
      <c r="C2851">
        <f>"BK01SC"</f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 s="2">
        <v>0</v>
      </c>
      <c r="M2851">
        <v>0</v>
      </c>
      <c r="N2851" s="2">
        <v>0</v>
      </c>
      <c r="O2851">
        <v>0</v>
      </c>
      <c r="P2851" t="s">
        <v>100</v>
      </c>
      <c r="Q2851">
        <v>0</v>
      </c>
      <c r="R2851" t="s">
        <v>145</v>
      </c>
      <c r="S2851">
        <v>0</v>
      </c>
    </row>
    <row r="2852" spans="1:19">
      <c r="A2852" t="s">
        <v>35</v>
      </c>
      <c r="B2852" t="s">
        <v>4085</v>
      </c>
      <c r="C2852">
        <f>"BK01ME"</f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 s="2">
        <v>0</v>
      </c>
      <c r="M2852">
        <v>0</v>
      </c>
      <c r="N2852" s="2">
        <v>0</v>
      </c>
      <c r="O2852">
        <v>0</v>
      </c>
      <c r="P2852" t="s">
        <v>100</v>
      </c>
      <c r="Q2852">
        <v>0</v>
      </c>
      <c r="R2852" t="s">
        <v>145</v>
      </c>
      <c r="S2852">
        <v>0</v>
      </c>
    </row>
    <row r="2853" spans="1:19">
      <c r="A2853" t="s">
        <v>35</v>
      </c>
      <c r="B2853" t="s">
        <v>4084</v>
      </c>
      <c r="C2853">
        <f>"BK01S"</f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 s="2">
        <v>0</v>
      </c>
      <c r="M2853">
        <v>0</v>
      </c>
      <c r="N2853" s="2">
        <v>0</v>
      </c>
      <c r="O2853">
        <v>0</v>
      </c>
      <c r="P2853" t="s">
        <v>100</v>
      </c>
      <c r="Q2853">
        <v>0</v>
      </c>
      <c r="R2853" t="s">
        <v>145</v>
      </c>
      <c r="S2853">
        <v>0</v>
      </c>
    </row>
    <row r="2854" spans="1:19">
      <c r="A2854" t="s">
        <v>35</v>
      </c>
      <c r="B2854" t="s">
        <v>1272</v>
      </c>
      <c r="C2854">
        <f>"BK01SM"</f>
        <v>0</v>
      </c>
      <c r="D2854">
        <v>0</v>
      </c>
      <c r="E2854">
        <v>0</v>
      </c>
      <c r="F2854">
        <v>1</v>
      </c>
      <c r="G2854">
        <v>0</v>
      </c>
      <c r="H2854">
        <v>1</v>
      </c>
      <c r="I2854">
        <v>0</v>
      </c>
      <c r="J2854">
        <v>0</v>
      </c>
      <c r="K2854">
        <v>0</v>
      </c>
      <c r="L2854" s="2">
        <v>0</v>
      </c>
      <c r="M2854">
        <v>0</v>
      </c>
      <c r="N2854" s="2">
        <v>0</v>
      </c>
      <c r="O2854">
        <v>0</v>
      </c>
      <c r="P2854" t="s">
        <v>100</v>
      </c>
      <c r="Q2854">
        <v>0</v>
      </c>
      <c r="R2854" t="s">
        <v>145</v>
      </c>
      <c r="S2854">
        <v>0</v>
      </c>
    </row>
    <row r="2855" spans="1:19">
      <c r="A2855" t="s">
        <v>35</v>
      </c>
      <c r="B2855" t="s">
        <v>4082</v>
      </c>
      <c r="C2855">
        <f>"PRO01AZ"</f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 s="2">
        <v>0</v>
      </c>
      <c r="M2855">
        <v>0</v>
      </c>
      <c r="N2855" s="2">
        <v>0</v>
      </c>
      <c r="O2855">
        <v>0</v>
      </c>
      <c r="P2855" t="s">
        <v>100</v>
      </c>
      <c r="Q2855">
        <v>0</v>
      </c>
      <c r="R2855" t="s">
        <v>145</v>
      </c>
      <c r="S2855">
        <v>0</v>
      </c>
    </row>
    <row r="2856" spans="1:19">
      <c r="A2856" t="s">
        <v>35</v>
      </c>
      <c r="B2856" t="s">
        <v>4081</v>
      </c>
      <c r="C2856">
        <f>"PRO01G"</f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 s="2">
        <v>0</v>
      </c>
      <c r="M2856">
        <v>0</v>
      </c>
      <c r="N2856" s="2">
        <v>0</v>
      </c>
      <c r="O2856">
        <v>0</v>
      </c>
      <c r="P2856" t="s">
        <v>100</v>
      </c>
      <c r="Q2856">
        <v>0</v>
      </c>
      <c r="R2856" t="s">
        <v>145</v>
      </c>
      <c r="S2856">
        <v>0</v>
      </c>
    </row>
    <row r="2857" spans="1:19">
      <c r="A2857" t="s">
        <v>35</v>
      </c>
      <c r="B2857" t="s">
        <v>4080</v>
      </c>
      <c r="C2857">
        <f>"PRO01NE"</f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 s="2">
        <v>0</v>
      </c>
      <c r="M2857">
        <v>0</v>
      </c>
      <c r="N2857" s="2">
        <v>0</v>
      </c>
      <c r="O2857">
        <v>0</v>
      </c>
      <c r="P2857" t="s">
        <v>100</v>
      </c>
      <c r="Q2857">
        <v>0</v>
      </c>
      <c r="R2857" t="s">
        <v>145</v>
      </c>
      <c r="S2857">
        <v>0</v>
      </c>
    </row>
    <row r="2858" spans="1:19">
      <c r="A2858" t="s">
        <v>35</v>
      </c>
      <c r="B2858" t="s">
        <v>1247</v>
      </c>
      <c r="C2858">
        <f>"1015MA"</f>
        <v>0</v>
      </c>
      <c r="D2858">
        <v>0</v>
      </c>
      <c r="E2858">
        <v>1</v>
      </c>
      <c r="F2858">
        <v>0</v>
      </c>
      <c r="G2858">
        <v>0</v>
      </c>
      <c r="H2858">
        <v>1</v>
      </c>
      <c r="I2858">
        <v>0</v>
      </c>
      <c r="J2858">
        <v>0</v>
      </c>
      <c r="K2858">
        <v>0</v>
      </c>
      <c r="L2858" s="2">
        <v>0</v>
      </c>
      <c r="M2858">
        <v>0</v>
      </c>
      <c r="N2858" s="2">
        <v>0</v>
      </c>
      <c r="O2858">
        <v>0</v>
      </c>
      <c r="P2858" t="s">
        <v>100</v>
      </c>
      <c r="Q2858">
        <v>0</v>
      </c>
      <c r="R2858" t="s">
        <v>145</v>
      </c>
      <c r="S2858">
        <v>0</v>
      </c>
    </row>
    <row r="2859" spans="1:19">
      <c r="A2859" t="s">
        <v>35</v>
      </c>
      <c r="B2859" t="s">
        <v>3674</v>
      </c>
      <c r="C2859">
        <f>"1015MBI"</f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 s="2">
        <v>0</v>
      </c>
      <c r="M2859">
        <v>0</v>
      </c>
      <c r="N2859" s="2">
        <v>0</v>
      </c>
      <c r="O2859">
        <v>0</v>
      </c>
      <c r="P2859" t="s">
        <v>100</v>
      </c>
      <c r="Q2859">
        <v>0</v>
      </c>
      <c r="R2859" t="s">
        <v>145</v>
      </c>
      <c r="S2859">
        <v>0</v>
      </c>
    </row>
    <row r="2860" spans="1:19">
      <c r="A2860" t="s">
        <v>35</v>
      </c>
      <c r="B2860" t="s">
        <v>3778</v>
      </c>
      <c r="C2860">
        <f>"16307"</f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 s="2">
        <v>0</v>
      </c>
      <c r="M2860">
        <v>0</v>
      </c>
      <c r="N2860" s="2">
        <v>0</v>
      </c>
      <c r="O2860">
        <v>0</v>
      </c>
      <c r="P2860" t="s">
        <v>100</v>
      </c>
      <c r="Q2860">
        <v>0</v>
      </c>
      <c r="R2860" t="s">
        <v>145</v>
      </c>
      <c r="S2860">
        <v>0</v>
      </c>
    </row>
    <row r="2861" spans="1:19">
      <c r="A2861" t="s">
        <v>35</v>
      </c>
      <c r="B2861" t="s">
        <v>5540</v>
      </c>
      <c r="C2861">
        <f>"KF8005BC"</f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 s="2">
        <v>0</v>
      </c>
      <c r="M2861">
        <v>0</v>
      </c>
      <c r="N2861" s="2">
        <v>0</v>
      </c>
      <c r="O2861">
        <v>0</v>
      </c>
      <c r="P2861" t="s">
        <v>100</v>
      </c>
      <c r="Q2861">
        <v>0</v>
      </c>
      <c r="R2861" t="s">
        <v>145</v>
      </c>
      <c r="S2861">
        <v>0</v>
      </c>
    </row>
    <row r="2862" spans="1:19">
      <c r="A2862" t="s">
        <v>35</v>
      </c>
      <c r="B2862" t="s">
        <v>8983</v>
      </c>
      <c r="C2862">
        <f>"KC6011VE"</f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 s="2">
        <v>0</v>
      </c>
      <c r="M2862">
        <v>0</v>
      </c>
      <c r="N2862" s="2">
        <v>0</v>
      </c>
      <c r="O2862">
        <v>0</v>
      </c>
      <c r="P2862" t="s">
        <v>100</v>
      </c>
      <c r="Q2862">
        <v>0</v>
      </c>
      <c r="R2862" t="s">
        <v>145</v>
      </c>
      <c r="S2862">
        <v>0</v>
      </c>
    </row>
    <row r="2863" spans="1:19">
      <c r="A2863" t="s">
        <v>35</v>
      </c>
      <c r="B2863" t="s">
        <v>8982</v>
      </c>
      <c r="C2863">
        <f>"CW368"</f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 s="2">
        <v>0</v>
      </c>
      <c r="M2863">
        <v>0</v>
      </c>
      <c r="N2863" s="2">
        <v>0</v>
      </c>
      <c r="O2863">
        <v>0</v>
      </c>
      <c r="P2863" t="s">
        <v>100</v>
      </c>
      <c r="Q2863">
        <v>0</v>
      </c>
      <c r="R2863" t="s">
        <v>145</v>
      </c>
      <c r="S2863">
        <v>0</v>
      </c>
    </row>
    <row r="2864" spans="1:19">
      <c r="A2864" t="s">
        <v>35</v>
      </c>
      <c r="B2864" t="s">
        <v>3986</v>
      </c>
      <c r="C2864">
        <f>"BOXOUC40L"</f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 s="2">
        <v>0</v>
      </c>
      <c r="M2864">
        <v>0</v>
      </c>
      <c r="N2864" s="2">
        <v>0</v>
      </c>
      <c r="O2864">
        <v>0</v>
      </c>
      <c r="P2864" t="s">
        <v>100</v>
      </c>
      <c r="Q2864">
        <v>0</v>
      </c>
      <c r="R2864" t="s">
        <v>145</v>
      </c>
      <c r="S2864">
        <v>0</v>
      </c>
    </row>
    <row r="2865" spans="1:19">
      <c r="A2865" t="s">
        <v>35</v>
      </c>
      <c r="B2865" t="s">
        <v>3985</v>
      </c>
      <c r="C2865">
        <f>"ABTB3"</f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 s="2">
        <v>0</v>
      </c>
      <c r="M2865">
        <v>0</v>
      </c>
      <c r="N2865" s="2">
        <v>0</v>
      </c>
      <c r="O2865">
        <v>0</v>
      </c>
      <c r="P2865" t="s">
        <v>100</v>
      </c>
      <c r="Q2865">
        <v>0</v>
      </c>
      <c r="R2865" t="s">
        <v>145</v>
      </c>
      <c r="S2865">
        <v>0</v>
      </c>
    </row>
    <row r="2866" spans="1:19">
      <c r="A2866" t="s">
        <v>35</v>
      </c>
      <c r="B2866" t="s">
        <v>3984</v>
      </c>
      <c r="C2866">
        <f>"ABTB2"</f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 s="2">
        <v>0</v>
      </c>
      <c r="M2866">
        <v>0</v>
      </c>
      <c r="N2866" s="2">
        <v>0</v>
      </c>
      <c r="O2866">
        <v>0</v>
      </c>
      <c r="P2866" t="s">
        <v>100</v>
      </c>
      <c r="Q2866">
        <v>0</v>
      </c>
      <c r="R2866" t="s">
        <v>145</v>
      </c>
      <c r="S2866">
        <v>0</v>
      </c>
    </row>
    <row r="2867" spans="1:19">
      <c r="A2867" t="s">
        <v>35</v>
      </c>
      <c r="B2867" t="s">
        <v>1036</v>
      </c>
      <c r="C2867">
        <f>"KFS01"</f>
        <v>0</v>
      </c>
      <c r="D2867">
        <v>2</v>
      </c>
      <c r="E2867">
        <v>0</v>
      </c>
      <c r="F2867">
        <v>0</v>
      </c>
      <c r="G2867">
        <v>0</v>
      </c>
      <c r="H2867">
        <v>2</v>
      </c>
      <c r="I2867">
        <v>0</v>
      </c>
      <c r="J2867">
        <v>0</v>
      </c>
      <c r="K2867">
        <v>0</v>
      </c>
      <c r="L2867" s="2">
        <v>0</v>
      </c>
      <c r="M2867">
        <v>0</v>
      </c>
      <c r="N2867" s="2">
        <v>0</v>
      </c>
      <c r="O2867">
        <v>0</v>
      </c>
      <c r="P2867" t="s">
        <v>100</v>
      </c>
      <c r="Q2867">
        <v>0</v>
      </c>
      <c r="R2867" t="s">
        <v>145</v>
      </c>
      <c r="S2867">
        <v>0</v>
      </c>
    </row>
    <row r="2868" spans="1:19">
      <c r="A2868" t="s">
        <v>35</v>
      </c>
      <c r="B2868" t="s">
        <v>5827</v>
      </c>
      <c r="C2868">
        <f>"we240042"</f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 s="2">
        <v>0</v>
      </c>
      <c r="M2868">
        <v>0</v>
      </c>
      <c r="N2868" s="2">
        <v>0</v>
      </c>
      <c r="O2868">
        <v>0</v>
      </c>
      <c r="P2868" t="s">
        <v>100</v>
      </c>
      <c r="Q2868">
        <v>0</v>
      </c>
      <c r="R2868" t="s">
        <v>145</v>
      </c>
      <c r="S2868">
        <v>0</v>
      </c>
    </row>
    <row r="2869" spans="1:19">
      <c r="A2869" t="s">
        <v>35</v>
      </c>
      <c r="B2869" t="s">
        <v>5826</v>
      </c>
      <c r="C2869">
        <f>"KF8057GRBE"</f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 s="2">
        <v>0</v>
      </c>
      <c r="M2869">
        <v>0</v>
      </c>
      <c r="N2869" s="2">
        <v>0</v>
      </c>
      <c r="O2869">
        <v>0</v>
      </c>
      <c r="P2869" t="s">
        <v>100</v>
      </c>
      <c r="Q2869">
        <v>0</v>
      </c>
      <c r="R2869" t="s">
        <v>145</v>
      </c>
      <c r="S2869">
        <v>0</v>
      </c>
    </row>
    <row r="2870" spans="1:19">
      <c r="A2870" t="s">
        <v>35</v>
      </c>
      <c r="B2870" t="s">
        <v>5825</v>
      </c>
      <c r="C2870">
        <f>"KF8057LEBE"</f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 s="2">
        <v>0</v>
      </c>
      <c r="M2870">
        <v>0</v>
      </c>
      <c r="N2870" s="2">
        <v>0</v>
      </c>
      <c r="O2870">
        <v>0</v>
      </c>
      <c r="P2870" t="s">
        <v>100</v>
      </c>
      <c r="Q2870">
        <v>0</v>
      </c>
      <c r="R2870" t="s">
        <v>145</v>
      </c>
      <c r="S2870">
        <v>0</v>
      </c>
    </row>
    <row r="2871" spans="1:19">
      <c r="A2871" t="s">
        <v>35</v>
      </c>
      <c r="B2871" t="s">
        <v>5824</v>
      </c>
      <c r="C2871">
        <f>"DS31"</f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 s="2">
        <v>0</v>
      </c>
      <c r="M2871">
        <v>0</v>
      </c>
      <c r="N2871" s="2">
        <v>0</v>
      </c>
      <c r="O2871">
        <v>0</v>
      </c>
      <c r="P2871" t="s">
        <v>100</v>
      </c>
      <c r="Q2871">
        <v>0</v>
      </c>
      <c r="R2871" t="s">
        <v>145</v>
      </c>
      <c r="S2871">
        <v>0</v>
      </c>
    </row>
    <row r="2872" spans="1:19">
      <c r="A2872" t="s">
        <v>35</v>
      </c>
      <c r="B2872" t="s">
        <v>8984</v>
      </c>
      <c r="C2872">
        <f>"KC6011ROJ"</f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 s="2">
        <v>0</v>
      </c>
      <c r="M2872">
        <v>0</v>
      </c>
      <c r="N2872" s="2">
        <v>0</v>
      </c>
      <c r="O2872">
        <v>0</v>
      </c>
      <c r="P2872" t="s">
        <v>100</v>
      </c>
      <c r="Q2872">
        <v>0</v>
      </c>
      <c r="R2872" t="s">
        <v>145</v>
      </c>
      <c r="S2872">
        <v>0</v>
      </c>
    </row>
    <row r="2873" spans="1:19">
      <c r="A2873" t="s">
        <v>35</v>
      </c>
      <c r="B2873" t="s">
        <v>8977</v>
      </c>
      <c r="C2873">
        <f>"T032"</f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 s="2">
        <v>0</v>
      </c>
      <c r="M2873">
        <v>0</v>
      </c>
      <c r="N2873" s="2">
        <v>0</v>
      </c>
      <c r="O2873">
        <v>0</v>
      </c>
      <c r="P2873" t="s">
        <v>100</v>
      </c>
      <c r="Q2873">
        <v>0</v>
      </c>
      <c r="R2873" t="s">
        <v>145</v>
      </c>
      <c r="S2873">
        <v>0</v>
      </c>
    </row>
    <row r="2874" spans="1:19">
      <c r="A2874" t="s">
        <v>35</v>
      </c>
      <c r="B2874" t="s">
        <v>8976</v>
      </c>
      <c r="C2874">
        <f>"BPP1"</f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 s="2">
        <v>0</v>
      </c>
      <c r="M2874">
        <v>0</v>
      </c>
      <c r="N2874" s="2">
        <v>0</v>
      </c>
      <c r="O2874">
        <v>0</v>
      </c>
      <c r="P2874" t="s">
        <v>100</v>
      </c>
      <c r="Q2874">
        <v>0</v>
      </c>
      <c r="R2874" t="s">
        <v>145</v>
      </c>
      <c r="S2874">
        <v>0</v>
      </c>
    </row>
    <row r="2875" spans="1:19">
      <c r="A2875" t="s">
        <v>35</v>
      </c>
      <c r="B2875" t="s">
        <v>5849</v>
      </c>
      <c r="C2875">
        <f>"XDB433AM"</f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 s="2">
        <v>0</v>
      </c>
      <c r="M2875">
        <v>0</v>
      </c>
      <c r="N2875" s="2">
        <v>0</v>
      </c>
      <c r="O2875">
        <v>0</v>
      </c>
      <c r="P2875" t="s">
        <v>100</v>
      </c>
      <c r="Q2875">
        <v>0</v>
      </c>
      <c r="R2875" t="s">
        <v>145</v>
      </c>
      <c r="S2875">
        <v>0</v>
      </c>
    </row>
    <row r="2876" spans="1:19">
      <c r="A2876" t="s">
        <v>35</v>
      </c>
      <c r="B2876" t="s">
        <v>921</v>
      </c>
      <c r="C2876">
        <f>"2400"</f>
        <v>0</v>
      </c>
      <c r="D2876">
        <v>0</v>
      </c>
      <c r="E2876">
        <v>3</v>
      </c>
      <c r="F2876">
        <v>0</v>
      </c>
      <c r="G2876">
        <v>0</v>
      </c>
      <c r="H2876">
        <v>3</v>
      </c>
      <c r="I2876">
        <v>0</v>
      </c>
      <c r="J2876">
        <v>0</v>
      </c>
      <c r="K2876">
        <v>0</v>
      </c>
      <c r="L2876" s="2">
        <v>0</v>
      </c>
      <c r="M2876">
        <v>0</v>
      </c>
      <c r="N2876" s="2">
        <v>0</v>
      </c>
      <c r="O2876">
        <v>0</v>
      </c>
      <c r="P2876" t="s">
        <v>100</v>
      </c>
      <c r="Q2876">
        <v>0</v>
      </c>
      <c r="R2876" t="s">
        <v>145</v>
      </c>
      <c r="S2876">
        <v>0</v>
      </c>
    </row>
    <row r="2877" spans="1:19">
      <c r="A2877" t="s">
        <v>35</v>
      </c>
      <c r="B2877" t="s">
        <v>1195</v>
      </c>
      <c r="C2877">
        <f>"ACA35"</f>
        <v>0</v>
      </c>
      <c r="D2877">
        <v>1</v>
      </c>
      <c r="E2877">
        <v>0</v>
      </c>
      <c r="F2877">
        <v>0</v>
      </c>
      <c r="G2877">
        <v>0</v>
      </c>
      <c r="H2877">
        <v>1</v>
      </c>
      <c r="I2877">
        <v>0</v>
      </c>
      <c r="J2877">
        <v>0</v>
      </c>
      <c r="K2877">
        <v>0</v>
      </c>
      <c r="L2877" s="2">
        <v>0</v>
      </c>
      <c r="M2877">
        <v>0</v>
      </c>
      <c r="N2877" s="2">
        <v>0</v>
      </c>
      <c r="O2877">
        <v>0</v>
      </c>
      <c r="P2877" t="s">
        <v>100</v>
      </c>
      <c r="Q2877">
        <v>0</v>
      </c>
      <c r="R2877" t="s">
        <v>145</v>
      </c>
      <c r="S2877">
        <v>0</v>
      </c>
    </row>
    <row r="2878" spans="1:19">
      <c r="A2878" t="s">
        <v>35</v>
      </c>
      <c r="B2878" t="s">
        <v>7302</v>
      </c>
      <c r="C2878">
        <f>"ACP20"</f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 s="2">
        <v>0</v>
      </c>
      <c r="M2878">
        <v>0</v>
      </c>
      <c r="N2878" s="2">
        <v>0</v>
      </c>
      <c r="O2878">
        <v>0</v>
      </c>
      <c r="P2878" t="s">
        <v>100</v>
      </c>
      <c r="Q2878">
        <v>0</v>
      </c>
      <c r="R2878" t="s">
        <v>145</v>
      </c>
      <c r="S2878">
        <v>0</v>
      </c>
    </row>
    <row r="2879" spans="1:19">
      <c r="A2879" t="s">
        <v>35</v>
      </c>
      <c r="B2879" t="s">
        <v>7301</v>
      </c>
      <c r="C2879">
        <f>"ACP25"</f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 s="2">
        <v>0</v>
      </c>
      <c r="M2879">
        <v>0</v>
      </c>
      <c r="N2879" s="2">
        <v>0</v>
      </c>
      <c r="O2879">
        <v>0</v>
      </c>
      <c r="P2879" t="s">
        <v>100</v>
      </c>
      <c r="Q2879">
        <v>0</v>
      </c>
      <c r="R2879" t="s">
        <v>145</v>
      </c>
      <c r="S2879">
        <v>0</v>
      </c>
    </row>
    <row r="2880" spans="1:19">
      <c r="A2880" t="s">
        <v>35</v>
      </c>
      <c r="B2880" t="s">
        <v>7300</v>
      </c>
      <c r="C2880">
        <f>"ACP30"</f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 s="2">
        <v>0</v>
      </c>
      <c r="M2880">
        <v>0</v>
      </c>
      <c r="N2880" s="2">
        <v>0</v>
      </c>
      <c r="O2880">
        <v>0</v>
      </c>
      <c r="P2880" t="s">
        <v>100</v>
      </c>
      <c r="Q2880">
        <v>0</v>
      </c>
      <c r="R2880" t="s">
        <v>145</v>
      </c>
      <c r="S2880">
        <v>0</v>
      </c>
    </row>
    <row r="2881" spans="1:19">
      <c r="A2881" t="s">
        <v>35</v>
      </c>
      <c r="B2881" t="s">
        <v>7299</v>
      </c>
      <c r="C2881">
        <f>"ACP35"</f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 s="2">
        <v>0</v>
      </c>
      <c r="M2881">
        <v>0</v>
      </c>
      <c r="N2881" s="2">
        <v>0</v>
      </c>
      <c r="O2881">
        <v>0</v>
      </c>
      <c r="P2881" t="s">
        <v>100</v>
      </c>
      <c r="Q2881">
        <v>0</v>
      </c>
      <c r="R2881" t="s">
        <v>145</v>
      </c>
      <c r="S2881">
        <v>0</v>
      </c>
    </row>
    <row r="2882" spans="1:19">
      <c r="A2882" t="s">
        <v>35</v>
      </c>
      <c r="B2882" t="s">
        <v>7298</v>
      </c>
      <c r="C2882">
        <f>"ACP40"</f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 s="2">
        <v>0</v>
      </c>
      <c r="M2882">
        <v>0</v>
      </c>
      <c r="N2882" s="2">
        <v>0</v>
      </c>
      <c r="O2882">
        <v>0</v>
      </c>
      <c r="P2882" t="s">
        <v>100</v>
      </c>
      <c r="Q2882">
        <v>0</v>
      </c>
      <c r="R2882" t="s">
        <v>145</v>
      </c>
      <c r="S2882">
        <v>0</v>
      </c>
    </row>
    <row r="2883" spans="1:19">
      <c r="A2883" t="s">
        <v>35</v>
      </c>
      <c r="B2883" t="s">
        <v>8907</v>
      </c>
      <c r="C2883">
        <f>"221028"</f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 s="2">
        <v>0</v>
      </c>
      <c r="M2883">
        <v>0</v>
      </c>
      <c r="N2883" s="2">
        <v>0</v>
      </c>
      <c r="O2883">
        <v>0</v>
      </c>
      <c r="P2883" t="s">
        <v>100</v>
      </c>
      <c r="Q2883">
        <v>0</v>
      </c>
      <c r="R2883" t="s">
        <v>145</v>
      </c>
      <c r="S2883">
        <v>0</v>
      </c>
    </row>
    <row r="2884" spans="1:19">
      <c r="A2884" t="s">
        <v>35</v>
      </c>
      <c r="B2884" t="s">
        <v>9551</v>
      </c>
      <c r="C2884">
        <f>"JXL3232"</f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 s="2">
        <v>0</v>
      </c>
      <c r="M2884">
        <v>0</v>
      </c>
      <c r="N2884" s="2">
        <v>0</v>
      </c>
      <c r="O2884">
        <v>0</v>
      </c>
      <c r="P2884" t="s">
        <v>100</v>
      </c>
      <c r="Q2884">
        <v>0</v>
      </c>
      <c r="R2884" t="s">
        <v>145</v>
      </c>
      <c r="S2884">
        <v>0</v>
      </c>
    </row>
    <row r="2885" spans="1:19">
      <c r="A2885" t="s">
        <v>35</v>
      </c>
      <c r="B2885" t="s">
        <v>9549</v>
      </c>
      <c r="C2885">
        <f>"HCJ011LAZ"</f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 s="2">
        <v>0</v>
      </c>
      <c r="M2885">
        <v>0</v>
      </c>
      <c r="N2885" s="2">
        <v>0</v>
      </c>
      <c r="O2885">
        <v>0</v>
      </c>
      <c r="P2885" t="s">
        <v>100</v>
      </c>
      <c r="Q2885">
        <v>0</v>
      </c>
      <c r="R2885" t="s">
        <v>145</v>
      </c>
      <c r="S2885">
        <v>0</v>
      </c>
    </row>
    <row r="2886" spans="1:19">
      <c r="A2886" t="s">
        <v>35</v>
      </c>
      <c r="B2886" t="s">
        <v>8446</v>
      </c>
      <c r="C2886">
        <f>"BPP4"</f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 s="2">
        <v>0</v>
      </c>
      <c r="M2886">
        <v>0</v>
      </c>
      <c r="N2886" s="2">
        <v>0</v>
      </c>
      <c r="O2886">
        <v>0</v>
      </c>
      <c r="P2886" t="s">
        <v>100</v>
      </c>
      <c r="Q2886">
        <v>0</v>
      </c>
      <c r="R2886" t="s">
        <v>145</v>
      </c>
      <c r="S2886">
        <v>0</v>
      </c>
    </row>
    <row r="2887" spans="1:19">
      <c r="A2887" t="s">
        <v>35</v>
      </c>
      <c r="B2887" t="s">
        <v>8445</v>
      </c>
      <c r="C2887">
        <f>"BPP5"</f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 s="2">
        <v>0</v>
      </c>
      <c r="M2887">
        <v>0</v>
      </c>
      <c r="N2887" s="2">
        <v>0</v>
      </c>
      <c r="O2887">
        <v>0</v>
      </c>
      <c r="P2887" t="s">
        <v>100</v>
      </c>
      <c r="Q2887">
        <v>0</v>
      </c>
      <c r="R2887" t="s">
        <v>145</v>
      </c>
      <c r="S2887">
        <v>0</v>
      </c>
    </row>
    <row r="2888" spans="1:19">
      <c r="A2888" t="s">
        <v>35</v>
      </c>
      <c r="B2888" t="s">
        <v>8444</v>
      </c>
      <c r="C2888">
        <f>"B6P"</f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 s="2">
        <v>0</v>
      </c>
      <c r="M2888">
        <v>0</v>
      </c>
      <c r="N2888" s="2">
        <v>0</v>
      </c>
      <c r="O2888">
        <v>0</v>
      </c>
      <c r="P2888" t="s">
        <v>100</v>
      </c>
      <c r="Q2888">
        <v>0</v>
      </c>
      <c r="R2888" t="s">
        <v>145</v>
      </c>
      <c r="S2888">
        <v>0</v>
      </c>
    </row>
    <row r="2889" spans="1:19">
      <c r="A2889" t="s">
        <v>35</v>
      </c>
      <c r="B2889" t="s">
        <v>8444</v>
      </c>
      <c r="C2889">
        <f>"BPP6"</f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 s="2">
        <v>0</v>
      </c>
      <c r="M2889">
        <v>0</v>
      </c>
      <c r="N2889" s="2">
        <v>0</v>
      </c>
      <c r="O2889">
        <v>0</v>
      </c>
      <c r="P2889" t="s">
        <v>100</v>
      </c>
      <c r="Q2889">
        <v>0</v>
      </c>
      <c r="R2889" t="s">
        <v>145</v>
      </c>
      <c r="S2889">
        <v>0</v>
      </c>
    </row>
    <row r="2890" spans="1:19">
      <c r="A2890" t="s">
        <v>35</v>
      </c>
      <c r="B2890" t="s">
        <v>1179</v>
      </c>
      <c r="C2890">
        <f>"HCJ011MROS"</f>
        <v>0</v>
      </c>
      <c r="D2890">
        <v>0</v>
      </c>
      <c r="E2890">
        <v>1</v>
      </c>
      <c r="F2890">
        <v>0</v>
      </c>
      <c r="G2890">
        <v>0</v>
      </c>
      <c r="H2890">
        <v>1</v>
      </c>
      <c r="I2890">
        <v>0</v>
      </c>
      <c r="J2890">
        <v>0</v>
      </c>
      <c r="K2890">
        <v>0</v>
      </c>
      <c r="L2890" s="2">
        <v>0</v>
      </c>
      <c r="M2890">
        <v>0</v>
      </c>
      <c r="N2890" s="2">
        <v>0</v>
      </c>
      <c r="O2890">
        <v>0</v>
      </c>
      <c r="P2890" t="s">
        <v>100</v>
      </c>
      <c r="Q2890">
        <v>0</v>
      </c>
      <c r="R2890" t="s">
        <v>145</v>
      </c>
      <c r="S2890">
        <v>0</v>
      </c>
    </row>
    <row r="2891" spans="1:19">
      <c r="A2891" t="s">
        <v>35</v>
      </c>
      <c r="B2891" t="s">
        <v>6957</v>
      </c>
      <c r="C2891">
        <f>"HCJ011MVE"</f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 s="2">
        <v>0</v>
      </c>
      <c r="M2891">
        <v>0</v>
      </c>
      <c r="N2891" s="2">
        <v>0</v>
      </c>
      <c r="O2891">
        <v>0</v>
      </c>
      <c r="P2891" t="s">
        <v>100</v>
      </c>
      <c r="Q2891">
        <v>0</v>
      </c>
      <c r="R2891" t="s">
        <v>145</v>
      </c>
      <c r="S2891">
        <v>0</v>
      </c>
    </row>
    <row r="2892" spans="1:19">
      <c r="A2892" t="s">
        <v>35</v>
      </c>
      <c r="B2892" t="s">
        <v>6906</v>
      </c>
      <c r="C2892">
        <f>"HCJ011SVE"</f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 s="2">
        <v>0</v>
      </c>
      <c r="M2892">
        <v>0</v>
      </c>
      <c r="N2892" s="2">
        <v>0</v>
      </c>
      <c r="O2892">
        <v>0</v>
      </c>
      <c r="P2892" t="s">
        <v>100</v>
      </c>
      <c r="Q2892">
        <v>0</v>
      </c>
      <c r="R2892" t="s">
        <v>145</v>
      </c>
      <c r="S2892">
        <v>0</v>
      </c>
    </row>
    <row r="2893" spans="1:19">
      <c r="A2893" t="s">
        <v>35</v>
      </c>
      <c r="B2893" t="s">
        <v>7223</v>
      </c>
      <c r="C2893">
        <f>"FT004C"</f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 s="2">
        <v>0</v>
      </c>
      <c r="M2893">
        <v>0</v>
      </c>
      <c r="N2893" s="2">
        <v>0</v>
      </c>
      <c r="O2893">
        <v>0</v>
      </c>
      <c r="P2893" t="s">
        <v>100</v>
      </c>
      <c r="Q2893">
        <v>0</v>
      </c>
      <c r="R2893" t="s">
        <v>145</v>
      </c>
      <c r="S2893">
        <v>0</v>
      </c>
    </row>
    <row r="2894" spans="1:19">
      <c r="A2894" t="s">
        <v>35</v>
      </c>
      <c r="B2894" t="s">
        <v>9555</v>
      </c>
      <c r="C2894">
        <f>"ANG10"</f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 s="2">
        <v>0</v>
      </c>
      <c r="M2894">
        <v>0</v>
      </c>
      <c r="N2894" s="2">
        <v>0</v>
      </c>
      <c r="O2894">
        <v>0</v>
      </c>
      <c r="P2894" t="s">
        <v>100</v>
      </c>
      <c r="Q2894">
        <v>0</v>
      </c>
      <c r="R2894" t="s">
        <v>145</v>
      </c>
      <c r="S2894">
        <v>0</v>
      </c>
    </row>
    <row r="2895" spans="1:19">
      <c r="A2895" t="s">
        <v>35</v>
      </c>
      <c r="B2895" t="s">
        <v>9229</v>
      </c>
      <c r="C2895">
        <f>"4000234"</f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 s="2">
        <v>0</v>
      </c>
      <c r="M2895">
        <v>0</v>
      </c>
      <c r="N2895" s="2">
        <v>0</v>
      </c>
      <c r="O2895">
        <v>0</v>
      </c>
      <c r="P2895" t="s">
        <v>100</v>
      </c>
      <c r="Q2895">
        <v>0</v>
      </c>
      <c r="R2895" t="s">
        <v>145</v>
      </c>
      <c r="S2895">
        <v>0</v>
      </c>
    </row>
    <row r="2896" spans="1:19">
      <c r="A2896" t="s">
        <v>35</v>
      </c>
      <c r="B2896" t="s">
        <v>9228</v>
      </c>
      <c r="C2896">
        <f>"4000241"</f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 s="2">
        <v>0</v>
      </c>
      <c r="M2896">
        <v>0</v>
      </c>
      <c r="N2896" s="2">
        <v>0</v>
      </c>
      <c r="O2896">
        <v>0</v>
      </c>
      <c r="P2896" t="s">
        <v>100</v>
      </c>
      <c r="Q2896">
        <v>0</v>
      </c>
      <c r="R2896" t="s">
        <v>145</v>
      </c>
      <c r="S2896">
        <v>0</v>
      </c>
    </row>
    <row r="2897" spans="1:19">
      <c r="A2897" t="s">
        <v>35</v>
      </c>
      <c r="B2897" t="s">
        <v>9227</v>
      </c>
      <c r="C2897">
        <f>"4000258"</f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 s="2">
        <v>0</v>
      </c>
      <c r="M2897">
        <v>0</v>
      </c>
      <c r="N2897" s="2">
        <v>0</v>
      </c>
      <c r="O2897">
        <v>0</v>
      </c>
      <c r="P2897" t="s">
        <v>100</v>
      </c>
      <c r="Q2897">
        <v>0</v>
      </c>
      <c r="R2897" t="s">
        <v>145</v>
      </c>
      <c r="S2897">
        <v>0</v>
      </c>
    </row>
    <row r="2898" spans="1:19">
      <c r="A2898" t="s">
        <v>35</v>
      </c>
      <c r="B2898" t="s">
        <v>9226</v>
      </c>
      <c r="C2898">
        <f>"SDX070"</f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 s="2">
        <v>0</v>
      </c>
      <c r="M2898">
        <v>0</v>
      </c>
      <c r="N2898" s="2">
        <v>0</v>
      </c>
      <c r="O2898">
        <v>0</v>
      </c>
      <c r="P2898" t="s">
        <v>100</v>
      </c>
      <c r="Q2898">
        <v>0</v>
      </c>
      <c r="R2898" t="s">
        <v>145</v>
      </c>
      <c r="S2898">
        <v>0</v>
      </c>
    </row>
    <row r="2899" spans="1:19">
      <c r="A2899" t="s">
        <v>35</v>
      </c>
      <c r="B2899" t="s">
        <v>3831</v>
      </c>
      <c r="C2899">
        <f>"1207L"</f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 s="2">
        <v>0</v>
      </c>
      <c r="M2899">
        <v>0</v>
      </c>
      <c r="N2899" s="2">
        <v>0</v>
      </c>
      <c r="O2899">
        <v>0</v>
      </c>
      <c r="P2899" t="s">
        <v>100</v>
      </c>
      <c r="Q2899">
        <v>0</v>
      </c>
      <c r="R2899" t="s">
        <v>145</v>
      </c>
      <c r="S2899">
        <v>0</v>
      </c>
    </row>
    <row r="2900" spans="1:19">
      <c r="A2900" t="s">
        <v>35</v>
      </c>
      <c r="B2900" t="s">
        <v>3784</v>
      </c>
      <c r="C2900">
        <f>"1207M"</f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 s="2">
        <v>0</v>
      </c>
      <c r="M2900">
        <v>0</v>
      </c>
      <c r="N2900" s="2">
        <v>0</v>
      </c>
      <c r="O2900">
        <v>0</v>
      </c>
      <c r="P2900" t="s">
        <v>100</v>
      </c>
      <c r="Q2900">
        <v>0</v>
      </c>
      <c r="R2900" t="s">
        <v>145</v>
      </c>
      <c r="S2900">
        <v>0</v>
      </c>
    </row>
    <row r="2901" spans="1:19">
      <c r="A2901" t="s">
        <v>35</v>
      </c>
      <c r="B2901" t="s">
        <v>3783</v>
      </c>
      <c r="C2901">
        <f>"1207MCEL"</f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 s="2">
        <v>0</v>
      </c>
      <c r="M2901">
        <v>0</v>
      </c>
      <c r="N2901" s="2">
        <v>0</v>
      </c>
      <c r="O2901">
        <v>0</v>
      </c>
      <c r="P2901" t="s">
        <v>100</v>
      </c>
      <c r="Q2901">
        <v>0</v>
      </c>
      <c r="R2901" t="s">
        <v>145</v>
      </c>
      <c r="S2901">
        <v>0</v>
      </c>
    </row>
    <row r="2902" spans="1:19">
      <c r="A2902" t="s">
        <v>35</v>
      </c>
      <c r="B2902" t="s">
        <v>3779</v>
      </c>
      <c r="C2902">
        <f>"1207S"</f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 s="2">
        <v>0</v>
      </c>
      <c r="M2902">
        <v>0</v>
      </c>
      <c r="N2902" s="2">
        <v>0</v>
      </c>
      <c r="O2902">
        <v>0</v>
      </c>
      <c r="P2902" t="s">
        <v>100</v>
      </c>
      <c r="Q2902">
        <v>0</v>
      </c>
      <c r="R2902" t="s">
        <v>145</v>
      </c>
      <c r="S2902">
        <v>0</v>
      </c>
    </row>
    <row r="2903" spans="1:19">
      <c r="A2903" t="s">
        <v>35</v>
      </c>
      <c r="B2903" t="s">
        <v>5822</v>
      </c>
      <c r="C2903">
        <f>"PP040C"</f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 s="2">
        <v>0</v>
      </c>
      <c r="M2903">
        <v>0</v>
      </c>
      <c r="N2903" s="2">
        <v>0</v>
      </c>
      <c r="O2903">
        <v>0</v>
      </c>
      <c r="P2903" t="s">
        <v>100</v>
      </c>
      <c r="Q2903">
        <v>0</v>
      </c>
      <c r="R2903" t="s">
        <v>145</v>
      </c>
      <c r="S2903">
        <v>0</v>
      </c>
    </row>
    <row r="2904" spans="1:19">
      <c r="A2904" t="s">
        <v>35</v>
      </c>
      <c r="B2904" t="s">
        <v>8443</v>
      </c>
      <c r="C2904">
        <f>"BPP7"</f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 s="2">
        <v>0</v>
      </c>
      <c r="M2904">
        <v>0</v>
      </c>
      <c r="N2904" s="2">
        <v>0</v>
      </c>
      <c r="O2904">
        <v>0</v>
      </c>
      <c r="P2904" t="s">
        <v>100</v>
      </c>
      <c r="Q2904">
        <v>0</v>
      </c>
      <c r="R2904" t="s">
        <v>145</v>
      </c>
      <c r="S2904">
        <v>0</v>
      </c>
    </row>
    <row r="2905" spans="1:19">
      <c r="A2905" t="s">
        <v>35</v>
      </c>
      <c r="B2905" t="s">
        <v>8979</v>
      </c>
      <c r="C2905">
        <f>"T034"</f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 s="2">
        <v>0</v>
      </c>
      <c r="M2905">
        <v>0</v>
      </c>
      <c r="N2905" s="2">
        <v>0</v>
      </c>
      <c r="O2905">
        <v>0</v>
      </c>
      <c r="P2905" t="s">
        <v>100</v>
      </c>
      <c r="Q2905">
        <v>0</v>
      </c>
      <c r="R2905" t="s">
        <v>145</v>
      </c>
      <c r="S2905">
        <v>0</v>
      </c>
    </row>
    <row r="2906" spans="1:19">
      <c r="A2906" t="s">
        <v>35</v>
      </c>
      <c r="B2906" t="s">
        <v>1078</v>
      </c>
      <c r="C2906">
        <f>"10212"</f>
        <v>0</v>
      </c>
      <c r="D2906">
        <v>0</v>
      </c>
      <c r="E2906">
        <v>2</v>
      </c>
      <c r="F2906">
        <v>0</v>
      </c>
      <c r="G2906">
        <v>0</v>
      </c>
      <c r="H2906">
        <v>2</v>
      </c>
      <c r="I2906">
        <v>0</v>
      </c>
      <c r="J2906">
        <v>0</v>
      </c>
      <c r="K2906">
        <v>0</v>
      </c>
      <c r="L2906" s="2">
        <v>0</v>
      </c>
      <c r="M2906">
        <v>0</v>
      </c>
      <c r="N2906" s="2">
        <v>0</v>
      </c>
      <c r="O2906">
        <v>0</v>
      </c>
      <c r="P2906" t="s">
        <v>100</v>
      </c>
      <c r="Q2906">
        <v>0</v>
      </c>
      <c r="R2906" t="s">
        <v>145</v>
      </c>
      <c r="S2906">
        <v>0</v>
      </c>
    </row>
    <row r="2907" spans="1:19">
      <c r="A2907" t="s">
        <v>35</v>
      </c>
      <c r="B2907" t="s">
        <v>8441</v>
      </c>
      <c r="C2907">
        <f>"10213"</f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 s="2">
        <v>0</v>
      </c>
      <c r="M2907">
        <v>0</v>
      </c>
      <c r="N2907" s="2">
        <v>0</v>
      </c>
      <c r="O2907">
        <v>0</v>
      </c>
      <c r="P2907" t="s">
        <v>100</v>
      </c>
      <c r="Q2907">
        <v>0</v>
      </c>
      <c r="R2907" t="s">
        <v>145</v>
      </c>
      <c r="S2907">
        <v>0</v>
      </c>
    </row>
    <row r="2908" spans="1:19">
      <c r="A2908" t="s">
        <v>35</v>
      </c>
      <c r="B2908" t="s">
        <v>1253</v>
      </c>
      <c r="C2908">
        <f>"BR7A"</f>
        <v>0</v>
      </c>
      <c r="D2908">
        <v>0</v>
      </c>
      <c r="E2908">
        <v>0</v>
      </c>
      <c r="F2908">
        <v>1</v>
      </c>
      <c r="G2908">
        <v>0</v>
      </c>
      <c r="H2908">
        <v>1</v>
      </c>
      <c r="I2908">
        <v>0</v>
      </c>
      <c r="J2908">
        <v>0</v>
      </c>
      <c r="K2908">
        <v>0</v>
      </c>
      <c r="L2908" s="2">
        <v>0</v>
      </c>
      <c r="M2908">
        <v>0</v>
      </c>
      <c r="N2908" s="2">
        <v>0</v>
      </c>
      <c r="O2908">
        <v>0</v>
      </c>
      <c r="P2908" t="s">
        <v>100</v>
      </c>
      <c r="Q2908">
        <v>0</v>
      </c>
      <c r="R2908" t="s">
        <v>145</v>
      </c>
      <c r="S2908">
        <v>0</v>
      </c>
    </row>
    <row r="2909" spans="1:19">
      <c r="A2909" t="s">
        <v>35</v>
      </c>
      <c r="B2909" t="s">
        <v>9064</v>
      </c>
      <c r="C2909">
        <f>"10218"</f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 s="2">
        <v>0</v>
      </c>
      <c r="M2909">
        <v>0</v>
      </c>
      <c r="N2909" s="2">
        <v>0</v>
      </c>
      <c r="O2909">
        <v>0</v>
      </c>
      <c r="P2909" t="s">
        <v>100</v>
      </c>
      <c r="Q2909">
        <v>0</v>
      </c>
      <c r="R2909" t="s">
        <v>145</v>
      </c>
      <c r="S2909">
        <v>0</v>
      </c>
    </row>
    <row r="2910" spans="1:19">
      <c r="A2910" t="s">
        <v>35</v>
      </c>
      <c r="B2910" t="s">
        <v>8591</v>
      </c>
      <c r="C2910">
        <f>"BAAZ"</f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 s="2">
        <v>0</v>
      </c>
      <c r="M2910">
        <v>0</v>
      </c>
      <c r="N2910" s="2">
        <v>0</v>
      </c>
      <c r="O2910">
        <v>0</v>
      </c>
      <c r="P2910" t="s">
        <v>100</v>
      </c>
      <c r="Q2910">
        <v>0</v>
      </c>
      <c r="R2910" t="s">
        <v>145</v>
      </c>
      <c r="S2910">
        <v>0</v>
      </c>
    </row>
    <row r="2911" spans="1:19">
      <c r="A2911" t="s">
        <v>35</v>
      </c>
      <c r="B2911" t="s">
        <v>8590</v>
      </c>
      <c r="C2911">
        <f>"BAN"</f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 s="2">
        <v>0</v>
      </c>
      <c r="M2911">
        <v>0</v>
      </c>
      <c r="N2911" s="2">
        <v>0</v>
      </c>
      <c r="O2911">
        <v>0</v>
      </c>
      <c r="P2911" t="s">
        <v>100</v>
      </c>
      <c r="Q2911">
        <v>0</v>
      </c>
      <c r="R2911" t="s">
        <v>145</v>
      </c>
      <c r="S2911">
        <v>0</v>
      </c>
    </row>
    <row r="2912" spans="1:19">
      <c r="A2912" t="s">
        <v>35</v>
      </c>
      <c r="B2912" t="s">
        <v>9063</v>
      </c>
      <c r="C2912">
        <f>"1207XL"</f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 s="2">
        <v>0</v>
      </c>
      <c r="M2912">
        <v>0</v>
      </c>
      <c r="N2912" s="2">
        <v>0</v>
      </c>
      <c r="O2912">
        <v>0</v>
      </c>
      <c r="P2912" t="s">
        <v>100</v>
      </c>
      <c r="Q2912">
        <v>0</v>
      </c>
      <c r="R2912" t="s">
        <v>145</v>
      </c>
      <c r="S2912">
        <v>0</v>
      </c>
    </row>
    <row r="2913" spans="1:19">
      <c r="A2913" t="s">
        <v>35</v>
      </c>
      <c r="B2913" t="s">
        <v>9062</v>
      </c>
      <c r="C2913">
        <f>"1207XXL"</f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 s="2">
        <v>0</v>
      </c>
      <c r="M2913">
        <v>0</v>
      </c>
      <c r="N2913" s="2">
        <v>0</v>
      </c>
      <c r="O2913">
        <v>0</v>
      </c>
      <c r="P2913" t="s">
        <v>100</v>
      </c>
      <c r="Q2913">
        <v>0</v>
      </c>
      <c r="R2913" t="s">
        <v>145</v>
      </c>
      <c r="S2913">
        <v>0</v>
      </c>
    </row>
    <row r="2914" spans="1:19">
      <c r="A2914" t="s">
        <v>35</v>
      </c>
      <c r="B2914" t="s">
        <v>8450</v>
      </c>
      <c r="C2914">
        <f>"AF144"</f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 s="2">
        <v>0</v>
      </c>
      <c r="M2914">
        <v>0</v>
      </c>
      <c r="N2914" s="2">
        <v>0</v>
      </c>
      <c r="O2914">
        <v>0</v>
      </c>
      <c r="P2914" t="s">
        <v>100</v>
      </c>
      <c r="Q2914">
        <v>0</v>
      </c>
      <c r="R2914" t="s">
        <v>145</v>
      </c>
      <c r="S2914">
        <v>0</v>
      </c>
    </row>
    <row r="2915" spans="1:19">
      <c r="A2915" t="s">
        <v>35</v>
      </c>
      <c r="B2915" t="s">
        <v>8980</v>
      </c>
      <c r="C2915">
        <f>"T033"</f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 s="2">
        <v>0</v>
      </c>
      <c r="M2915">
        <v>0</v>
      </c>
      <c r="N2915" s="2">
        <v>0</v>
      </c>
      <c r="O2915">
        <v>0</v>
      </c>
      <c r="P2915" t="s">
        <v>100</v>
      </c>
      <c r="Q2915">
        <v>0</v>
      </c>
      <c r="R2915" t="s">
        <v>145</v>
      </c>
      <c r="S2915">
        <v>0</v>
      </c>
    </row>
    <row r="2916" spans="1:19">
      <c r="A2916" t="s">
        <v>35</v>
      </c>
      <c r="B2916" t="s">
        <v>8457</v>
      </c>
      <c r="C2916">
        <f>"10211"</f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 s="2">
        <v>0</v>
      </c>
      <c r="M2916">
        <v>0</v>
      </c>
      <c r="N2916" s="2">
        <v>0</v>
      </c>
      <c r="O2916">
        <v>0</v>
      </c>
      <c r="P2916" t="s">
        <v>100</v>
      </c>
      <c r="Q2916">
        <v>0</v>
      </c>
      <c r="R2916" t="s">
        <v>145</v>
      </c>
      <c r="S2916">
        <v>0</v>
      </c>
    </row>
    <row r="2917" spans="1:19">
      <c r="A2917" t="s">
        <v>35</v>
      </c>
      <c r="B2917" t="s">
        <v>2034</v>
      </c>
      <c r="C2917">
        <f>"TC0100CE"</f>
        <v>0</v>
      </c>
      <c r="D2917">
        <v>2</v>
      </c>
      <c r="E2917">
        <v>1</v>
      </c>
      <c r="F2917">
        <v>1</v>
      </c>
      <c r="G2917">
        <v>0</v>
      </c>
      <c r="H2917">
        <v>4</v>
      </c>
      <c r="I2917">
        <v>1</v>
      </c>
      <c r="J2917">
        <v>1</v>
      </c>
      <c r="K2917">
        <v>770</v>
      </c>
      <c r="L2917" s="2">
        <v>770</v>
      </c>
      <c r="M2917">
        <v>0</v>
      </c>
      <c r="N2917" s="2">
        <v>0</v>
      </c>
      <c r="O2917">
        <v>-0.2</v>
      </c>
      <c r="P2917" t="s">
        <v>100</v>
      </c>
      <c r="Q2917">
        <v>0</v>
      </c>
      <c r="R2917" t="s">
        <v>145</v>
      </c>
      <c r="S2917">
        <v>0</v>
      </c>
    </row>
    <row r="2918" spans="1:19">
      <c r="A2918" t="s">
        <v>35</v>
      </c>
      <c r="B2918" t="s">
        <v>1691</v>
      </c>
      <c r="C2918">
        <f>"TC0072CEL"</f>
        <v>0</v>
      </c>
      <c r="D2918">
        <v>3</v>
      </c>
      <c r="E2918">
        <v>1</v>
      </c>
      <c r="F2918">
        <v>1</v>
      </c>
      <c r="G2918">
        <v>0</v>
      </c>
      <c r="H2918">
        <v>5</v>
      </c>
      <c r="I2918">
        <v>1</v>
      </c>
      <c r="J2918">
        <v>1</v>
      </c>
      <c r="K2918">
        <v>765</v>
      </c>
      <c r="L2918" s="2">
        <v>765</v>
      </c>
      <c r="M2918">
        <v>0</v>
      </c>
      <c r="N2918" s="2">
        <v>0</v>
      </c>
      <c r="O2918">
        <v>-0.2</v>
      </c>
      <c r="P2918" t="s">
        <v>100</v>
      </c>
      <c r="Q2918">
        <v>0</v>
      </c>
      <c r="R2918" t="s">
        <v>145</v>
      </c>
      <c r="S2918">
        <v>0</v>
      </c>
    </row>
    <row r="2919" spans="1:19">
      <c r="A2919" t="s">
        <v>35</v>
      </c>
      <c r="B2919" t="s">
        <v>2033</v>
      </c>
      <c r="C2919">
        <f>"TC2049"</f>
        <v>0</v>
      </c>
      <c r="D2919">
        <v>0</v>
      </c>
      <c r="E2919">
        <v>2</v>
      </c>
      <c r="F2919">
        <v>2</v>
      </c>
      <c r="G2919">
        <v>0</v>
      </c>
      <c r="H2919">
        <v>4</v>
      </c>
      <c r="I2919">
        <v>1</v>
      </c>
      <c r="J2919">
        <v>1</v>
      </c>
      <c r="K2919">
        <v>405</v>
      </c>
      <c r="L2919" s="2">
        <v>405</v>
      </c>
      <c r="M2919">
        <v>0</v>
      </c>
      <c r="N2919" s="2">
        <v>0</v>
      </c>
      <c r="O2919">
        <v>-0.2</v>
      </c>
      <c r="P2919" t="s">
        <v>100</v>
      </c>
      <c r="Q2919">
        <v>0</v>
      </c>
      <c r="R2919" t="s">
        <v>145</v>
      </c>
      <c r="S2919">
        <v>0</v>
      </c>
    </row>
    <row r="2920" spans="1:19">
      <c r="A2920" t="s">
        <v>35</v>
      </c>
      <c r="B2920" t="s">
        <v>2151</v>
      </c>
      <c r="C2920">
        <f>"FEP70B"</f>
        <v>0</v>
      </c>
      <c r="D2920">
        <v>0</v>
      </c>
      <c r="E2920">
        <v>1</v>
      </c>
      <c r="F2920">
        <v>0</v>
      </c>
      <c r="G2920">
        <v>1</v>
      </c>
      <c r="H2920">
        <v>2</v>
      </c>
      <c r="I2920">
        <v>0.5</v>
      </c>
      <c r="J2920">
        <v>5</v>
      </c>
      <c r="K2920">
        <v>52.245</v>
      </c>
      <c r="L2920" s="2">
        <v>10</v>
      </c>
      <c r="M2920">
        <v>0</v>
      </c>
      <c r="N2920" s="2">
        <v>0</v>
      </c>
      <c r="O2920">
        <v>-0.5</v>
      </c>
      <c r="P2920" t="s">
        <v>10442</v>
      </c>
      <c r="Q2920">
        <v>1.887</v>
      </c>
      <c r="R2920" t="s">
        <v>11184</v>
      </c>
      <c r="S2920">
        <v>1</v>
      </c>
    </row>
    <row r="2921" spans="1:19">
      <c r="A2921" t="s">
        <v>35</v>
      </c>
      <c r="B2921" t="s">
        <v>1538</v>
      </c>
      <c r="C2921">
        <f>"W0061"</f>
        <v>0</v>
      </c>
      <c r="D2921">
        <v>1</v>
      </c>
      <c r="E2921">
        <v>0</v>
      </c>
      <c r="F2921">
        <v>0</v>
      </c>
      <c r="G2921">
        <v>1</v>
      </c>
      <c r="H2921">
        <v>2</v>
      </c>
      <c r="I2921">
        <v>0.5</v>
      </c>
      <c r="J2921">
        <v>5</v>
      </c>
      <c r="K2921">
        <v>12.6</v>
      </c>
      <c r="L2921" s="2">
        <v>3</v>
      </c>
      <c r="M2921">
        <v>0</v>
      </c>
      <c r="N2921" s="2">
        <v>0</v>
      </c>
      <c r="O2921">
        <v>-0.5</v>
      </c>
      <c r="P2921" t="s">
        <v>11050</v>
      </c>
      <c r="Q2921">
        <v>252</v>
      </c>
      <c r="R2921" t="s">
        <v>10379</v>
      </c>
      <c r="S2921">
        <v>1</v>
      </c>
    </row>
    <row r="2922" spans="1:19">
      <c r="A2922" t="s">
        <v>35</v>
      </c>
      <c r="B2922" t="s">
        <v>2012</v>
      </c>
      <c r="C2922">
        <f>"YD4535"</f>
        <v>0</v>
      </c>
      <c r="D2922">
        <v>3</v>
      </c>
      <c r="E2922">
        <v>1</v>
      </c>
      <c r="F2922">
        <v>0</v>
      </c>
      <c r="G2922">
        <v>0</v>
      </c>
      <c r="H2922">
        <v>4</v>
      </c>
      <c r="I2922">
        <v>0.5</v>
      </c>
      <c r="J2922">
        <v>1</v>
      </c>
      <c r="K2922">
        <v>8.91</v>
      </c>
      <c r="L2922" s="2">
        <v>9</v>
      </c>
      <c r="M2922">
        <v>0</v>
      </c>
      <c r="N2922" s="2">
        <v>0</v>
      </c>
      <c r="O2922">
        <v>-0.7</v>
      </c>
      <c r="P2922" t="s">
        <v>100</v>
      </c>
      <c r="Q2922">
        <v>0</v>
      </c>
      <c r="R2922" t="s">
        <v>145</v>
      </c>
      <c r="S2922">
        <v>0</v>
      </c>
    </row>
    <row r="2923" spans="1:19">
      <c r="A2923" t="s">
        <v>35</v>
      </c>
      <c r="B2923" t="s">
        <v>2212</v>
      </c>
      <c r="C2923">
        <f>"LS147A"</f>
        <v>0</v>
      </c>
      <c r="D2923">
        <v>1</v>
      </c>
      <c r="E2923">
        <v>1</v>
      </c>
      <c r="F2923">
        <v>0</v>
      </c>
      <c r="G2923">
        <v>0</v>
      </c>
      <c r="H2923">
        <v>2</v>
      </c>
      <c r="I2923">
        <v>0.5</v>
      </c>
      <c r="J2923">
        <v>1</v>
      </c>
      <c r="K2923">
        <v>3.591</v>
      </c>
      <c r="L2923" s="2">
        <v>4</v>
      </c>
      <c r="M2923">
        <v>0</v>
      </c>
      <c r="N2923" s="2">
        <v>0</v>
      </c>
      <c r="O2923">
        <v>-0.7</v>
      </c>
      <c r="P2923" t="s">
        <v>100</v>
      </c>
      <c r="Q2923">
        <v>0</v>
      </c>
      <c r="R2923" t="s">
        <v>145</v>
      </c>
      <c r="S2923">
        <v>0</v>
      </c>
    </row>
    <row r="2924" spans="1:19">
      <c r="A2924" t="s">
        <v>35</v>
      </c>
      <c r="B2924" t="s">
        <v>2122</v>
      </c>
      <c r="C2924">
        <f>"BRI5"</f>
        <v>0</v>
      </c>
      <c r="D2924">
        <v>1</v>
      </c>
      <c r="E2924">
        <v>2</v>
      </c>
      <c r="F2924">
        <v>0</v>
      </c>
      <c r="G2924">
        <v>0</v>
      </c>
      <c r="H2924">
        <v>3</v>
      </c>
      <c r="I2924">
        <v>0.5</v>
      </c>
      <c r="J2924">
        <v>1</v>
      </c>
      <c r="K2924">
        <v>1.575</v>
      </c>
      <c r="L2924" s="2">
        <v>2</v>
      </c>
      <c r="M2924">
        <v>0</v>
      </c>
      <c r="N2924" s="2">
        <v>0</v>
      </c>
      <c r="O2924">
        <v>-0.7</v>
      </c>
      <c r="P2924" t="s">
        <v>100</v>
      </c>
      <c r="Q2924">
        <v>0</v>
      </c>
      <c r="R2924" t="s">
        <v>145</v>
      </c>
      <c r="S2924">
        <v>0</v>
      </c>
    </row>
    <row r="2925" spans="1:19">
      <c r="A2925" t="s">
        <v>35</v>
      </c>
      <c r="B2925" t="s">
        <v>1693</v>
      </c>
      <c r="C2925">
        <f>"D046M"</f>
        <v>0</v>
      </c>
      <c r="D2925">
        <v>4</v>
      </c>
      <c r="E2925">
        <v>0</v>
      </c>
      <c r="F2925">
        <v>1</v>
      </c>
      <c r="G2925">
        <v>0</v>
      </c>
      <c r="H2925">
        <v>5</v>
      </c>
      <c r="I2925">
        <v>0.5</v>
      </c>
      <c r="J2925">
        <v>1</v>
      </c>
      <c r="K2925">
        <v>1.08</v>
      </c>
      <c r="L2925" s="2">
        <v>1</v>
      </c>
      <c r="M2925">
        <v>0</v>
      </c>
      <c r="N2925" s="2">
        <v>0</v>
      </c>
      <c r="O2925">
        <v>-0.7</v>
      </c>
      <c r="P2925" t="s">
        <v>100</v>
      </c>
      <c r="Q2925">
        <v>0</v>
      </c>
      <c r="R2925" t="s">
        <v>145</v>
      </c>
      <c r="S2925">
        <v>0</v>
      </c>
    </row>
    <row r="2926" spans="1:19">
      <c r="A2926" t="s">
        <v>35</v>
      </c>
      <c r="B2926" t="s">
        <v>958</v>
      </c>
      <c r="C2926">
        <f>"JWZ1010S"</f>
        <v>0</v>
      </c>
      <c r="D2926">
        <v>1</v>
      </c>
      <c r="E2926">
        <v>17</v>
      </c>
      <c r="F2926">
        <v>0</v>
      </c>
      <c r="G2926">
        <v>0</v>
      </c>
      <c r="H2926">
        <v>18</v>
      </c>
      <c r="I2926">
        <v>0.5</v>
      </c>
      <c r="J2926">
        <v>1</v>
      </c>
      <c r="K2926">
        <v>621</v>
      </c>
      <c r="L2926" s="2">
        <v>621</v>
      </c>
      <c r="M2926">
        <v>0</v>
      </c>
      <c r="N2926" s="2">
        <v>0</v>
      </c>
      <c r="O2926">
        <v>-0.7</v>
      </c>
      <c r="P2926" t="s">
        <v>100</v>
      </c>
      <c r="Q2926">
        <v>0</v>
      </c>
      <c r="R2926" t="s">
        <v>145</v>
      </c>
      <c r="S2926">
        <v>0</v>
      </c>
    </row>
    <row r="2927" spans="1:19">
      <c r="A2927" t="s">
        <v>35</v>
      </c>
      <c r="B2927" t="s">
        <v>2294</v>
      </c>
      <c r="C2927">
        <f>"LQC05A"</f>
        <v>0</v>
      </c>
      <c r="D2927">
        <v>1</v>
      </c>
      <c r="E2927">
        <v>0</v>
      </c>
      <c r="F2927">
        <v>1</v>
      </c>
      <c r="G2927">
        <v>0</v>
      </c>
      <c r="H2927">
        <v>2</v>
      </c>
      <c r="I2927">
        <v>0.5</v>
      </c>
      <c r="J2927">
        <v>1</v>
      </c>
      <c r="K2927">
        <v>585</v>
      </c>
      <c r="L2927" s="2">
        <v>585</v>
      </c>
      <c r="M2927">
        <v>0</v>
      </c>
      <c r="N2927" s="2">
        <v>0</v>
      </c>
      <c r="O2927">
        <v>-0.7</v>
      </c>
      <c r="P2927" t="s">
        <v>100</v>
      </c>
      <c r="Q2927">
        <v>0</v>
      </c>
      <c r="R2927" t="s">
        <v>145</v>
      </c>
      <c r="S2927">
        <v>0</v>
      </c>
    </row>
    <row r="2928" spans="1:19">
      <c r="A2928" t="s">
        <v>35</v>
      </c>
      <c r="B2928" t="s">
        <v>2189</v>
      </c>
      <c r="C2928">
        <f>"MSP108AA"</f>
        <v>0</v>
      </c>
      <c r="D2928">
        <v>1</v>
      </c>
      <c r="E2928">
        <v>0</v>
      </c>
      <c r="F2928">
        <v>1</v>
      </c>
      <c r="G2928">
        <v>0</v>
      </c>
      <c r="H2928">
        <v>2</v>
      </c>
      <c r="I2928">
        <v>0.5</v>
      </c>
      <c r="J2928">
        <v>1</v>
      </c>
      <c r="K2928">
        <v>9.449999999999999</v>
      </c>
      <c r="L2928" s="2">
        <v>9</v>
      </c>
      <c r="M2928">
        <v>0</v>
      </c>
      <c r="N2928" s="2">
        <v>0</v>
      </c>
      <c r="O2928">
        <v>-0.7</v>
      </c>
      <c r="P2928" t="s">
        <v>100</v>
      </c>
      <c r="Q2928">
        <v>0</v>
      </c>
      <c r="R2928" t="s">
        <v>145</v>
      </c>
      <c r="S2928">
        <v>0</v>
      </c>
    </row>
    <row r="2929" spans="1:19">
      <c r="A2929" t="s">
        <v>35</v>
      </c>
      <c r="B2929" t="s">
        <v>2113</v>
      </c>
      <c r="C2929">
        <f>"2135"</f>
        <v>0</v>
      </c>
      <c r="D2929">
        <v>1</v>
      </c>
      <c r="E2929">
        <v>2</v>
      </c>
      <c r="F2929">
        <v>0</v>
      </c>
      <c r="G2929">
        <v>0</v>
      </c>
      <c r="H2929">
        <v>3</v>
      </c>
      <c r="I2929">
        <v>0.5</v>
      </c>
      <c r="J2929">
        <v>1</v>
      </c>
      <c r="K2929">
        <v>1.305</v>
      </c>
      <c r="L2929" s="2">
        <v>1</v>
      </c>
      <c r="M2929">
        <v>0</v>
      </c>
      <c r="N2929" s="2">
        <v>0</v>
      </c>
      <c r="O2929">
        <v>-0.7</v>
      </c>
      <c r="P2929" t="s">
        <v>100</v>
      </c>
      <c r="Q2929">
        <v>0</v>
      </c>
      <c r="R2929" t="s">
        <v>145</v>
      </c>
      <c r="S2929">
        <v>0</v>
      </c>
    </row>
    <row r="2930" spans="1:19">
      <c r="A2930" t="s">
        <v>35</v>
      </c>
      <c r="B2930" t="s">
        <v>2178</v>
      </c>
      <c r="C2930">
        <f>"BRI17"</f>
        <v>0</v>
      </c>
      <c r="D2930">
        <v>1</v>
      </c>
      <c r="E2930">
        <v>0</v>
      </c>
      <c r="F2930">
        <v>1</v>
      </c>
      <c r="G2930">
        <v>0</v>
      </c>
      <c r="H2930">
        <v>2</v>
      </c>
      <c r="I2930">
        <v>0.5</v>
      </c>
      <c r="J2930">
        <v>1</v>
      </c>
      <c r="K2930">
        <v>1.791</v>
      </c>
      <c r="L2930" s="2">
        <v>2</v>
      </c>
      <c r="M2930">
        <v>0</v>
      </c>
      <c r="N2930" s="2">
        <v>0</v>
      </c>
      <c r="O2930">
        <v>-0.7</v>
      </c>
      <c r="P2930" t="s">
        <v>100</v>
      </c>
      <c r="Q2930">
        <v>0</v>
      </c>
      <c r="R2930" t="s">
        <v>145</v>
      </c>
      <c r="S2930">
        <v>0</v>
      </c>
    </row>
    <row r="2931" spans="1:19">
      <c r="A2931" t="s">
        <v>35</v>
      </c>
      <c r="B2931" t="s">
        <v>2000</v>
      </c>
      <c r="C2931">
        <f>"NO46FECA"</f>
        <v>0</v>
      </c>
      <c r="D2931">
        <v>0</v>
      </c>
      <c r="E2931">
        <v>3</v>
      </c>
      <c r="F2931">
        <v>1</v>
      </c>
      <c r="G2931">
        <v>0</v>
      </c>
      <c r="H2931">
        <v>4</v>
      </c>
      <c r="I2931">
        <v>0.5</v>
      </c>
      <c r="J2931">
        <v>1</v>
      </c>
      <c r="K2931">
        <v>765</v>
      </c>
      <c r="L2931" s="2">
        <v>765</v>
      </c>
      <c r="M2931">
        <v>0</v>
      </c>
      <c r="N2931" s="2">
        <v>0</v>
      </c>
      <c r="O2931">
        <v>-0.7</v>
      </c>
      <c r="P2931" t="s">
        <v>100</v>
      </c>
      <c r="Q2931">
        <v>0</v>
      </c>
      <c r="R2931" t="s">
        <v>145</v>
      </c>
      <c r="S2931">
        <v>0</v>
      </c>
    </row>
    <row r="2932" spans="1:19">
      <c r="A2932" t="s">
        <v>35</v>
      </c>
      <c r="B2932" t="s">
        <v>2241</v>
      </c>
      <c r="C2932">
        <f>"D075"</f>
        <v>0</v>
      </c>
      <c r="D2932">
        <v>1</v>
      </c>
      <c r="E2932">
        <v>0</v>
      </c>
      <c r="F2932">
        <v>1</v>
      </c>
      <c r="G2932">
        <v>0</v>
      </c>
      <c r="H2932">
        <v>2</v>
      </c>
      <c r="I2932">
        <v>0.5</v>
      </c>
      <c r="J2932">
        <v>1</v>
      </c>
      <c r="K2932">
        <v>2.475</v>
      </c>
      <c r="L2932" s="2">
        <v>2</v>
      </c>
      <c r="M2932">
        <v>0</v>
      </c>
      <c r="N2932" s="2">
        <v>0</v>
      </c>
      <c r="O2932">
        <v>-0.7</v>
      </c>
      <c r="P2932" t="s">
        <v>100</v>
      </c>
      <c r="Q2932">
        <v>0</v>
      </c>
      <c r="R2932" t="s">
        <v>145</v>
      </c>
      <c r="S2932">
        <v>0</v>
      </c>
    </row>
    <row r="2933" spans="1:19">
      <c r="A2933" t="s">
        <v>35</v>
      </c>
      <c r="B2933" t="s">
        <v>10225</v>
      </c>
      <c r="C2933">
        <f>"W007S"</f>
        <v>0</v>
      </c>
      <c r="D2933">
        <v>1</v>
      </c>
      <c r="E2933">
        <v>0</v>
      </c>
      <c r="F2933">
        <v>1</v>
      </c>
      <c r="G2933">
        <v>0</v>
      </c>
      <c r="H2933">
        <v>2</v>
      </c>
      <c r="I2933">
        <v>0.5</v>
      </c>
      <c r="J2933">
        <v>1</v>
      </c>
      <c r="K2933">
        <v>1.98</v>
      </c>
      <c r="L2933" s="2">
        <v>2</v>
      </c>
      <c r="M2933">
        <v>0</v>
      </c>
      <c r="N2933" s="2">
        <v>0</v>
      </c>
      <c r="O2933">
        <v>-0.7</v>
      </c>
      <c r="P2933" t="s">
        <v>11040</v>
      </c>
      <c r="Q2933">
        <v>-396</v>
      </c>
      <c r="R2933" t="s">
        <v>10266</v>
      </c>
      <c r="S2933">
        <v>0</v>
      </c>
    </row>
    <row r="2934" spans="1:19">
      <c r="A2934" t="s">
        <v>35</v>
      </c>
      <c r="B2934" t="s">
        <v>2089</v>
      </c>
      <c r="C2934">
        <f>"LS1"</f>
        <v>0</v>
      </c>
      <c r="D2934">
        <v>2</v>
      </c>
      <c r="E2934">
        <v>1</v>
      </c>
      <c r="F2934">
        <v>0</v>
      </c>
      <c r="G2934">
        <v>0</v>
      </c>
      <c r="H2934">
        <v>3</v>
      </c>
      <c r="I2934">
        <v>0.5</v>
      </c>
      <c r="J2934">
        <v>1</v>
      </c>
      <c r="K2934">
        <v>4.05</v>
      </c>
      <c r="L2934" s="2">
        <v>4</v>
      </c>
      <c r="M2934">
        <v>0</v>
      </c>
      <c r="N2934" s="2">
        <v>0</v>
      </c>
      <c r="O2934">
        <v>-0.7</v>
      </c>
      <c r="P2934" t="s">
        <v>100</v>
      </c>
      <c r="Q2934">
        <v>0</v>
      </c>
      <c r="R2934" t="s">
        <v>145</v>
      </c>
      <c r="S2934">
        <v>0</v>
      </c>
    </row>
    <row r="2935" spans="1:19">
      <c r="A2935" t="s">
        <v>35</v>
      </c>
      <c r="B2935" t="s">
        <v>2031</v>
      </c>
      <c r="C2935">
        <f>"10851"</f>
        <v>0</v>
      </c>
      <c r="D2935">
        <v>3</v>
      </c>
      <c r="E2935">
        <v>0</v>
      </c>
      <c r="F2935">
        <v>1</v>
      </c>
      <c r="G2935">
        <v>0</v>
      </c>
      <c r="H2935">
        <v>4</v>
      </c>
      <c r="I2935">
        <v>0.5</v>
      </c>
      <c r="J2935">
        <v>1</v>
      </c>
      <c r="K2935">
        <v>1.071</v>
      </c>
      <c r="L2935" s="2">
        <v>1</v>
      </c>
      <c r="M2935">
        <v>0</v>
      </c>
      <c r="N2935" s="2">
        <v>0</v>
      </c>
      <c r="O2935">
        <v>-0.7</v>
      </c>
      <c r="P2935" t="s">
        <v>100</v>
      </c>
      <c r="Q2935">
        <v>0</v>
      </c>
      <c r="R2935" t="s">
        <v>145</v>
      </c>
      <c r="S2935">
        <v>0</v>
      </c>
    </row>
    <row r="2936" spans="1:19">
      <c r="A2936" t="s">
        <v>35</v>
      </c>
      <c r="B2936" t="s">
        <v>2121</v>
      </c>
      <c r="C2936">
        <f>"BRI6"</f>
        <v>0</v>
      </c>
      <c r="D2936">
        <v>0</v>
      </c>
      <c r="E2936">
        <v>1</v>
      </c>
      <c r="F2936">
        <v>2</v>
      </c>
      <c r="G2936">
        <v>0</v>
      </c>
      <c r="H2936">
        <v>3</v>
      </c>
      <c r="I2936">
        <v>0.5</v>
      </c>
      <c r="J2936">
        <v>1</v>
      </c>
      <c r="K2936">
        <v>1.521</v>
      </c>
      <c r="L2936" s="2">
        <v>2</v>
      </c>
      <c r="M2936">
        <v>0</v>
      </c>
      <c r="N2936" s="2">
        <v>0</v>
      </c>
      <c r="O2936">
        <v>-0.7</v>
      </c>
      <c r="P2936" t="s">
        <v>100</v>
      </c>
      <c r="Q2936">
        <v>0</v>
      </c>
      <c r="R2936" t="s">
        <v>145</v>
      </c>
      <c r="S2936">
        <v>0</v>
      </c>
    </row>
    <row r="2937" spans="1:19">
      <c r="A2937" t="s">
        <v>35</v>
      </c>
      <c r="B2937" t="s">
        <v>2240</v>
      </c>
      <c r="C2937">
        <f>"10216"</f>
        <v>0</v>
      </c>
      <c r="D2937">
        <v>1</v>
      </c>
      <c r="E2937">
        <v>0</v>
      </c>
      <c r="F2937">
        <v>1</v>
      </c>
      <c r="G2937">
        <v>0</v>
      </c>
      <c r="H2937">
        <v>2</v>
      </c>
      <c r="I2937">
        <v>0.5</v>
      </c>
      <c r="J2937">
        <v>1</v>
      </c>
      <c r="K2937">
        <v>74.25</v>
      </c>
      <c r="L2937" s="2">
        <v>74</v>
      </c>
      <c r="M2937">
        <v>0</v>
      </c>
      <c r="N2937" s="2">
        <v>0</v>
      </c>
      <c r="O2937">
        <v>-0.7</v>
      </c>
      <c r="P2937" t="s">
        <v>100</v>
      </c>
      <c r="Q2937">
        <v>0</v>
      </c>
      <c r="R2937" t="s">
        <v>145</v>
      </c>
      <c r="S2937">
        <v>0</v>
      </c>
    </row>
    <row r="2938" spans="1:19">
      <c r="A2938" t="s">
        <v>35</v>
      </c>
      <c r="B2938" t="s">
        <v>2228</v>
      </c>
      <c r="C2938">
        <f>"TR068"</f>
        <v>0</v>
      </c>
      <c r="D2938">
        <v>1</v>
      </c>
      <c r="E2938">
        <v>1</v>
      </c>
      <c r="F2938">
        <v>0</v>
      </c>
      <c r="G2938">
        <v>0</v>
      </c>
      <c r="H2938">
        <v>2</v>
      </c>
      <c r="I2938">
        <v>0.5</v>
      </c>
      <c r="J2938">
        <v>1</v>
      </c>
      <c r="K2938">
        <v>1.125</v>
      </c>
      <c r="L2938" s="2">
        <v>1</v>
      </c>
      <c r="M2938">
        <v>0</v>
      </c>
      <c r="N2938" s="2">
        <v>0</v>
      </c>
      <c r="O2938">
        <v>-0.7</v>
      </c>
      <c r="P2938" t="s">
        <v>100</v>
      </c>
      <c r="Q2938">
        <v>0</v>
      </c>
      <c r="R2938" t="s">
        <v>145</v>
      </c>
      <c r="S2938">
        <v>0</v>
      </c>
    </row>
    <row r="2939" spans="1:19">
      <c r="A2939" t="s">
        <v>35</v>
      </c>
      <c r="B2939" t="s">
        <v>2070</v>
      </c>
      <c r="C2939">
        <f>"PS9019B"</f>
        <v>0</v>
      </c>
      <c r="D2939">
        <v>2</v>
      </c>
      <c r="E2939">
        <v>0</v>
      </c>
      <c r="F2939">
        <v>1</v>
      </c>
      <c r="G2939">
        <v>0</v>
      </c>
      <c r="H2939">
        <v>3</v>
      </c>
      <c r="I2939">
        <v>0.5</v>
      </c>
      <c r="J2939">
        <v>1</v>
      </c>
      <c r="K2939">
        <v>2.691</v>
      </c>
      <c r="L2939" s="2">
        <v>3</v>
      </c>
      <c r="M2939">
        <v>0</v>
      </c>
      <c r="N2939" s="2">
        <v>0</v>
      </c>
      <c r="O2939">
        <v>-0.7</v>
      </c>
      <c r="P2939" t="s">
        <v>100</v>
      </c>
      <c r="Q2939">
        <v>0</v>
      </c>
      <c r="R2939" t="s">
        <v>145</v>
      </c>
      <c r="S2939">
        <v>0</v>
      </c>
    </row>
    <row r="2940" spans="1:19">
      <c r="A2940" t="s">
        <v>35</v>
      </c>
      <c r="B2940" t="s">
        <v>10229</v>
      </c>
      <c r="C2940">
        <f>"XX234"</f>
        <v>0</v>
      </c>
      <c r="D2940">
        <v>0</v>
      </c>
      <c r="E2940">
        <v>1</v>
      </c>
      <c r="F2940">
        <v>2</v>
      </c>
      <c r="G2940">
        <v>0</v>
      </c>
      <c r="H2940">
        <v>3</v>
      </c>
      <c r="I2940">
        <v>0.5</v>
      </c>
      <c r="J2940">
        <v>1</v>
      </c>
      <c r="K2940">
        <v>2.565</v>
      </c>
      <c r="L2940" s="2">
        <v>3</v>
      </c>
      <c r="M2940">
        <v>0</v>
      </c>
      <c r="N2940" s="2">
        <v>0</v>
      </c>
      <c r="O2940">
        <v>-0.7</v>
      </c>
      <c r="P2940" t="s">
        <v>11051</v>
      </c>
      <c r="Q2940">
        <v>-513</v>
      </c>
      <c r="R2940" t="s">
        <v>10266</v>
      </c>
      <c r="S2940">
        <v>0</v>
      </c>
    </row>
    <row r="2941" spans="1:19">
      <c r="A2941" t="s">
        <v>35</v>
      </c>
      <c r="B2941" t="s">
        <v>2077</v>
      </c>
      <c r="C2941">
        <f>"MCW105"</f>
        <v>0</v>
      </c>
      <c r="D2941">
        <v>0</v>
      </c>
      <c r="E2941">
        <v>2</v>
      </c>
      <c r="F2941">
        <v>1</v>
      </c>
      <c r="G2941">
        <v>0</v>
      </c>
      <c r="H2941">
        <v>3</v>
      </c>
      <c r="I2941">
        <v>0.5</v>
      </c>
      <c r="J2941">
        <v>1</v>
      </c>
      <c r="K2941">
        <v>585</v>
      </c>
      <c r="L2941" s="2">
        <v>585</v>
      </c>
      <c r="M2941">
        <v>0</v>
      </c>
      <c r="N2941" s="2">
        <v>0</v>
      </c>
      <c r="O2941">
        <v>-0.7</v>
      </c>
      <c r="P2941" t="s">
        <v>100</v>
      </c>
      <c r="Q2941">
        <v>0</v>
      </c>
      <c r="R2941" t="s">
        <v>145</v>
      </c>
      <c r="S2941">
        <v>0</v>
      </c>
    </row>
    <row r="2942" spans="1:19">
      <c r="A2942" t="s">
        <v>35</v>
      </c>
      <c r="B2942" t="s">
        <v>2251</v>
      </c>
      <c r="C2942">
        <f>"y251"</f>
        <v>0</v>
      </c>
      <c r="D2942">
        <v>1</v>
      </c>
      <c r="E2942">
        <v>0</v>
      </c>
      <c r="F2942">
        <v>1</v>
      </c>
      <c r="G2942">
        <v>0</v>
      </c>
      <c r="H2942">
        <v>2</v>
      </c>
      <c r="I2942">
        <v>0.5</v>
      </c>
      <c r="J2942">
        <v>1</v>
      </c>
      <c r="K2942">
        <v>12.591</v>
      </c>
      <c r="L2942" s="2">
        <v>13</v>
      </c>
      <c r="M2942">
        <v>0</v>
      </c>
      <c r="N2942" s="2">
        <v>0</v>
      </c>
      <c r="O2942">
        <v>-0.7</v>
      </c>
      <c r="P2942" t="s">
        <v>100</v>
      </c>
      <c r="Q2942">
        <v>0</v>
      </c>
      <c r="R2942" t="s">
        <v>145</v>
      </c>
      <c r="S2942">
        <v>0</v>
      </c>
    </row>
    <row r="2943" spans="1:19">
      <c r="A2943" t="s">
        <v>35</v>
      </c>
      <c r="B2943" t="s">
        <v>1856</v>
      </c>
      <c r="C2943">
        <f>"LY009"</f>
        <v>0</v>
      </c>
      <c r="D2943">
        <v>3</v>
      </c>
      <c r="E2943">
        <v>0</v>
      </c>
      <c r="F2943">
        <v>4</v>
      </c>
      <c r="G2943">
        <v>0</v>
      </c>
      <c r="H2943">
        <v>7</v>
      </c>
      <c r="I2943">
        <v>1.5</v>
      </c>
      <c r="J2943">
        <v>2</v>
      </c>
      <c r="K2943">
        <v>5.85</v>
      </c>
      <c r="L2943" s="2">
        <v>3</v>
      </c>
      <c r="M2943">
        <v>0</v>
      </c>
      <c r="N2943" s="2">
        <v>0</v>
      </c>
      <c r="O2943">
        <v>-0.8999999999999999</v>
      </c>
      <c r="P2943" t="s">
        <v>100</v>
      </c>
      <c r="Q2943">
        <v>0</v>
      </c>
      <c r="R2943" t="s">
        <v>145</v>
      </c>
      <c r="S2943">
        <v>0</v>
      </c>
    </row>
    <row r="2944" spans="1:19">
      <c r="A2944" t="s">
        <v>35</v>
      </c>
      <c r="B2944" t="s">
        <v>297</v>
      </c>
      <c r="C2944">
        <f>"FEP80RC"</f>
        <v>0</v>
      </c>
      <c r="D2944">
        <v>0</v>
      </c>
      <c r="E2944">
        <v>0</v>
      </c>
      <c r="F2944">
        <v>0</v>
      </c>
      <c r="G2944">
        <v>1</v>
      </c>
      <c r="H2944">
        <v>1</v>
      </c>
      <c r="I2944">
        <v>0</v>
      </c>
      <c r="J2944">
        <v>5</v>
      </c>
      <c r="K2944">
        <v>72.045</v>
      </c>
      <c r="L2944" s="2">
        <v>14</v>
      </c>
      <c r="M2944">
        <v>0</v>
      </c>
      <c r="N2944" s="2">
        <v>0</v>
      </c>
      <c r="O2944">
        <v>-1</v>
      </c>
      <c r="P2944" t="s">
        <v>10346</v>
      </c>
      <c r="Q2944">
        <v>748</v>
      </c>
      <c r="R2944" t="s">
        <v>11185</v>
      </c>
      <c r="S2944">
        <v>1</v>
      </c>
    </row>
    <row r="2945" spans="1:19">
      <c r="A2945" t="s">
        <v>35</v>
      </c>
      <c r="B2945" t="s">
        <v>285</v>
      </c>
      <c r="C2945">
        <f>"FB6733XLV"</f>
        <v>0</v>
      </c>
      <c r="D2945">
        <v>0</v>
      </c>
      <c r="E2945">
        <v>0</v>
      </c>
      <c r="F2945">
        <v>0</v>
      </c>
      <c r="G2945">
        <v>1</v>
      </c>
      <c r="H2945">
        <v>1</v>
      </c>
      <c r="I2945">
        <v>0</v>
      </c>
      <c r="J2945">
        <v>5</v>
      </c>
      <c r="K2945">
        <v>30.45</v>
      </c>
      <c r="L2945" s="2">
        <v>6</v>
      </c>
      <c r="M2945">
        <v>0</v>
      </c>
      <c r="N2945" s="2">
        <v>0</v>
      </c>
      <c r="O2945">
        <v>-1</v>
      </c>
      <c r="P2945" t="s">
        <v>11052</v>
      </c>
      <c r="Q2945">
        <v>783</v>
      </c>
      <c r="R2945" t="s">
        <v>10301</v>
      </c>
      <c r="S2945">
        <v>1</v>
      </c>
    </row>
    <row r="2946" spans="1:19">
      <c r="A2946" t="s">
        <v>35</v>
      </c>
      <c r="B2946" t="s">
        <v>1953</v>
      </c>
      <c r="C2946">
        <f>"1040MELI"</f>
        <v>0</v>
      </c>
      <c r="D2946">
        <v>1</v>
      </c>
      <c r="E2946">
        <v>2</v>
      </c>
      <c r="F2946">
        <v>0</v>
      </c>
      <c r="G2946">
        <v>1</v>
      </c>
      <c r="H2946">
        <v>4</v>
      </c>
      <c r="I2946">
        <v>1</v>
      </c>
      <c r="J2946">
        <v>6</v>
      </c>
      <c r="K2946">
        <v>48.546</v>
      </c>
      <c r="L2946" s="2">
        <v>8</v>
      </c>
      <c r="M2946">
        <v>0</v>
      </c>
      <c r="N2946" s="2">
        <v>0</v>
      </c>
      <c r="O2946">
        <v>-1.199999999999999</v>
      </c>
      <c r="P2946" t="s">
        <v>11053</v>
      </c>
      <c r="Q2946">
        <v>1.144</v>
      </c>
      <c r="R2946" t="s">
        <v>11186</v>
      </c>
      <c r="S2946">
        <v>1</v>
      </c>
    </row>
    <row r="2947" spans="1:19">
      <c r="A2947" t="s">
        <v>35</v>
      </c>
      <c r="B2947" t="s">
        <v>303</v>
      </c>
      <c r="C2947">
        <f>"BRI4"</f>
        <v>0</v>
      </c>
      <c r="D2947">
        <v>1</v>
      </c>
      <c r="E2947">
        <v>4</v>
      </c>
      <c r="F2947">
        <v>0</v>
      </c>
      <c r="G2947">
        <v>1</v>
      </c>
      <c r="H2947">
        <v>6</v>
      </c>
      <c r="I2947">
        <v>1</v>
      </c>
      <c r="J2947">
        <v>6</v>
      </c>
      <c r="K2947">
        <v>8.694000000000001</v>
      </c>
      <c r="L2947" s="2">
        <v>1</v>
      </c>
      <c r="M2947">
        <v>0</v>
      </c>
      <c r="N2947" s="2">
        <v>0</v>
      </c>
      <c r="O2947">
        <v>-1.199999999999999</v>
      </c>
      <c r="P2947" t="s">
        <v>11054</v>
      </c>
      <c r="Q2947">
        <v>693</v>
      </c>
      <c r="R2947" t="s">
        <v>11187</v>
      </c>
      <c r="S2947">
        <v>1</v>
      </c>
    </row>
    <row r="2948" spans="1:19">
      <c r="A2948" t="s">
        <v>35</v>
      </c>
      <c r="B2948" t="s">
        <v>4566</v>
      </c>
      <c r="C2948">
        <f>"YH009MVE"</f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1</v>
      </c>
      <c r="K2948">
        <v>4.491</v>
      </c>
      <c r="L2948" s="2">
        <v>4</v>
      </c>
      <c r="M2948">
        <v>0</v>
      </c>
      <c r="N2948" s="2">
        <v>0</v>
      </c>
      <c r="O2948">
        <v>-1.2</v>
      </c>
      <c r="P2948" t="s">
        <v>100</v>
      </c>
      <c r="Q2948">
        <v>0</v>
      </c>
      <c r="R2948" t="s">
        <v>145</v>
      </c>
      <c r="S2948">
        <v>0</v>
      </c>
    </row>
    <row r="2949" spans="1:19">
      <c r="A2949" t="s">
        <v>35</v>
      </c>
      <c r="B2949" t="s">
        <v>2452</v>
      </c>
      <c r="C2949">
        <f>"LYC08033N"</f>
        <v>0</v>
      </c>
      <c r="D2949">
        <v>1</v>
      </c>
      <c r="E2949">
        <v>0</v>
      </c>
      <c r="F2949">
        <v>0</v>
      </c>
      <c r="G2949">
        <v>0</v>
      </c>
      <c r="H2949">
        <v>1</v>
      </c>
      <c r="I2949">
        <v>0</v>
      </c>
      <c r="J2949">
        <v>1</v>
      </c>
      <c r="K2949">
        <v>20.25</v>
      </c>
      <c r="L2949" s="2">
        <v>20</v>
      </c>
      <c r="M2949">
        <v>0</v>
      </c>
      <c r="N2949" s="2">
        <v>0</v>
      </c>
      <c r="O2949">
        <v>-1.2</v>
      </c>
      <c r="P2949" t="s">
        <v>100</v>
      </c>
      <c r="Q2949">
        <v>0</v>
      </c>
      <c r="R2949" t="s">
        <v>145</v>
      </c>
      <c r="S2949">
        <v>0</v>
      </c>
    </row>
    <row r="2950" spans="1:19">
      <c r="A2950" t="s">
        <v>35</v>
      </c>
      <c r="B2950" t="s">
        <v>3612</v>
      </c>
      <c r="C2950">
        <f>"LYC08033A"</f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1</v>
      </c>
      <c r="K2950">
        <v>20.25</v>
      </c>
      <c r="L2950" s="2">
        <v>20</v>
      </c>
      <c r="M2950">
        <v>0</v>
      </c>
      <c r="N2950" s="2">
        <v>0</v>
      </c>
      <c r="O2950">
        <v>-1.2</v>
      </c>
      <c r="P2950" t="s">
        <v>100</v>
      </c>
      <c r="Q2950">
        <v>0</v>
      </c>
      <c r="R2950" t="s">
        <v>145</v>
      </c>
      <c r="S2950">
        <v>0</v>
      </c>
    </row>
    <row r="2951" spans="1:19">
      <c r="A2951" t="s">
        <v>35</v>
      </c>
      <c r="B2951" t="s">
        <v>4554</v>
      </c>
      <c r="C2951">
        <f>"1701LA"</f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1</v>
      </c>
      <c r="K2951">
        <v>7.785</v>
      </c>
      <c r="L2951" s="2">
        <v>8</v>
      </c>
      <c r="M2951">
        <v>0</v>
      </c>
      <c r="N2951" s="2">
        <v>0</v>
      </c>
      <c r="O2951">
        <v>-1.2</v>
      </c>
      <c r="P2951" t="s">
        <v>100</v>
      </c>
      <c r="Q2951">
        <v>0</v>
      </c>
      <c r="R2951" t="s">
        <v>145</v>
      </c>
      <c r="S2951">
        <v>0</v>
      </c>
    </row>
    <row r="2952" spans="1:19">
      <c r="A2952" t="s">
        <v>35</v>
      </c>
      <c r="B2952" t="s">
        <v>8215</v>
      </c>
      <c r="C2952">
        <f>"54B109083XSG"</f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1</v>
      </c>
      <c r="K2952">
        <v>6.615</v>
      </c>
      <c r="L2952" s="2">
        <v>7</v>
      </c>
      <c r="M2952">
        <v>0</v>
      </c>
      <c r="N2952" s="2">
        <v>0</v>
      </c>
      <c r="O2952">
        <v>-1.2</v>
      </c>
      <c r="P2952" t="s">
        <v>100</v>
      </c>
      <c r="Q2952">
        <v>0</v>
      </c>
      <c r="R2952" t="s">
        <v>145</v>
      </c>
      <c r="S2952">
        <v>0</v>
      </c>
    </row>
    <row r="2953" spans="1:19">
      <c r="A2953" t="s">
        <v>35</v>
      </c>
      <c r="B2953" t="s">
        <v>7334</v>
      </c>
      <c r="C2953">
        <f>"HH088XLAR"</f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1</v>
      </c>
      <c r="K2953">
        <v>11.25</v>
      </c>
      <c r="L2953" s="2">
        <v>11</v>
      </c>
      <c r="M2953">
        <v>0</v>
      </c>
      <c r="N2953" s="2">
        <v>0</v>
      </c>
      <c r="O2953">
        <v>-1.2</v>
      </c>
      <c r="P2953" t="s">
        <v>100</v>
      </c>
      <c r="Q2953">
        <v>0</v>
      </c>
      <c r="R2953" t="s">
        <v>145</v>
      </c>
      <c r="S2953">
        <v>0</v>
      </c>
    </row>
    <row r="2954" spans="1:19">
      <c r="A2954" t="s">
        <v>35</v>
      </c>
      <c r="B2954" t="s">
        <v>8200</v>
      </c>
      <c r="C2954">
        <f>"54B109083XLG"</f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1</v>
      </c>
      <c r="K2954">
        <v>8.973000000000001</v>
      </c>
      <c r="L2954" s="2">
        <v>9</v>
      </c>
      <c r="M2954">
        <v>0</v>
      </c>
      <c r="N2954" s="2">
        <v>0</v>
      </c>
      <c r="O2954">
        <v>-1.2</v>
      </c>
      <c r="P2954" t="s">
        <v>100</v>
      </c>
      <c r="Q2954">
        <v>0</v>
      </c>
      <c r="R2954" t="s">
        <v>145</v>
      </c>
      <c r="S2954">
        <v>0</v>
      </c>
    </row>
    <row r="2955" spans="1:19">
      <c r="A2955" t="s">
        <v>35</v>
      </c>
      <c r="B2955" t="s">
        <v>8273</v>
      </c>
      <c r="C2955">
        <f>"PT164"</f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1</v>
      </c>
      <c r="K2955">
        <v>1.715</v>
      </c>
      <c r="L2955" s="2">
        <v>2</v>
      </c>
      <c r="M2955">
        <v>0</v>
      </c>
      <c r="N2955" s="2">
        <v>0</v>
      </c>
      <c r="O2955">
        <v>-1.2</v>
      </c>
      <c r="P2955" t="s">
        <v>100</v>
      </c>
      <c r="Q2955">
        <v>0</v>
      </c>
      <c r="R2955" t="s">
        <v>145</v>
      </c>
      <c r="S2955">
        <v>0</v>
      </c>
    </row>
    <row r="2956" spans="1:19">
      <c r="A2956" t="s">
        <v>35</v>
      </c>
      <c r="B2956" t="s">
        <v>8222</v>
      </c>
      <c r="C2956">
        <f>"pt136"</f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1</v>
      </c>
      <c r="K2956">
        <v>1.993</v>
      </c>
      <c r="L2956" s="2">
        <v>2</v>
      </c>
      <c r="M2956">
        <v>0</v>
      </c>
      <c r="N2956" s="2">
        <v>0</v>
      </c>
      <c r="O2956">
        <v>-1.2</v>
      </c>
      <c r="P2956" t="s">
        <v>100</v>
      </c>
      <c r="Q2956">
        <v>0</v>
      </c>
      <c r="R2956" t="s">
        <v>145</v>
      </c>
      <c r="S2956">
        <v>0</v>
      </c>
    </row>
    <row r="2957" spans="1:19">
      <c r="A2957" t="s">
        <v>35</v>
      </c>
      <c r="B2957" t="s">
        <v>8249</v>
      </c>
      <c r="C2957">
        <f>"54B109083SG"</f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1</v>
      </c>
      <c r="K2957">
        <v>7.065</v>
      </c>
      <c r="L2957" s="2">
        <v>7</v>
      </c>
      <c r="M2957">
        <v>0</v>
      </c>
      <c r="N2957" s="2">
        <v>0</v>
      </c>
      <c r="O2957">
        <v>-1.2</v>
      </c>
      <c r="P2957" t="s">
        <v>100</v>
      </c>
      <c r="Q2957">
        <v>0</v>
      </c>
      <c r="R2957" t="s">
        <v>145</v>
      </c>
      <c r="S2957">
        <v>0</v>
      </c>
    </row>
    <row r="2958" spans="1:19">
      <c r="A2958" t="s">
        <v>35</v>
      </c>
      <c r="B2958" t="s">
        <v>8218</v>
      </c>
      <c r="C2958">
        <f>"PT142"</f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1</v>
      </c>
      <c r="K2958">
        <v>1.986</v>
      </c>
      <c r="L2958" s="2">
        <v>2</v>
      </c>
      <c r="M2958">
        <v>0</v>
      </c>
      <c r="N2958" s="2">
        <v>0</v>
      </c>
      <c r="O2958">
        <v>-1.2</v>
      </c>
      <c r="P2958" t="s">
        <v>100</v>
      </c>
      <c r="Q2958">
        <v>0</v>
      </c>
      <c r="R2958" t="s">
        <v>145</v>
      </c>
      <c r="S2958">
        <v>0</v>
      </c>
    </row>
    <row r="2959" spans="1:19">
      <c r="A2959" t="s">
        <v>35</v>
      </c>
      <c r="B2959" t="s">
        <v>2863</v>
      </c>
      <c r="C2959">
        <f>"JGSSS"</f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1</v>
      </c>
      <c r="K2959">
        <v>7.567</v>
      </c>
      <c r="L2959" s="2">
        <v>8</v>
      </c>
      <c r="M2959">
        <v>0</v>
      </c>
      <c r="N2959" s="2">
        <v>0</v>
      </c>
      <c r="O2959">
        <v>-1.2</v>
      </c>
      <c r="P2959" t="s">
        <v>100</v>
      </c>
      <c r="Q2959">
        <v>0</v>
      </c>
      <c r="R2959" t="s">
        <v>145</v>
      </c>
      <c r="S2959">
        <v>0</v>
      </c>
    </row>
    <row r="2960" spans="1:19">
      <c r="A2960" t="s">
        <v>35</v>
      </c>
      <c r="B2960" t="s">
        <v>6829</v>
      </c>
      <c r="C2960">
        <f>"C005XL"</f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1</v>
      </c>
      <c r="K2960">
        <v>1.935</v>
      </c>
      <c r="L2960" s="2">
        <v>2</v>
      </c>
      <c r="M2960">
        <v>0</v>
      </c>
      <c r="N2960" s="2">
        <v>0</v>
      </c>
      <c r="O2960">
        <v>-1.2</v>
      </c>
      <c r="P2960" t="s">
        <v>100</v>
      </c>
      <c r="Q2960">
        <v>0</v>
      </c>
      <c r="R2960" t="s">
        <v>145</v>
      </c>
      <c r="S2960">
        <v>0</v>
      </c>
    </row>
    <row r="2961" spans="1:19">
      <c r="A2961" t="s">
        <v>35</v>
      </c>
      <c r="B2961" t="s">
        <v>10011</v>
      </c>
      <c r="C2961">
        <f>"HP112L"</f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1</v>
      </c>
      <c r="K2961">
        <v>4.491</v>
      </c>
      <c r="L2961" s="2">
        <v>4</v>
      </c>
      <c r="M2961">
        <v>0</v>
      </c>
      <c r="N2961" s="2">
        <v>0</v>
      </c>
      <c r="O2961">
        <v>-1.2</v>
      </c>
      <c r="P2961" t="s">
        <v>100</v>
      </c>
      <c r="Q2961">
        <v>0</v>
      </c>
      <c r="R2961" t="s">
        <v>145</v>
      </c>
      <c r="S2961">
        <v>0</v>
      </c>
    </row>
    <row r="2962" spans="1:19">
      <c r="A2962" t="s">
        <v>35</v>
      </c>
      <c r="B2962" t="s">
        <v>4760</v>
      </c>
      <c r="C2962">
        <f>"WIN49"</f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1</v>
      </c>
      <c r="K2962">
        <v>855</v>
      </c>
      <c r="L2962" s="2">
        <v>855</v>
      </c>
      <c r="M2962">
        <v>0</v>
      </c>
      <c r="N2962" s="2">
        <v>0</v>
      </c>
      <c r="O2962">
        <v>-1.2</v>
      </c>
      <c r="P2962" t="s">
        <v>100</v>
      </c>
      <c r="Q2962">
        <v>0</v>
      </c>
      <c r="R2962" t="s">
        <v>145</v>
      </c>
      <c r="S2962">
        <v>0</v>
      </c>
    </row>
    <row r="2963" spans="1:19">
      <c r="A2963" t="s">
        <v>35</v>
      </c>
      <c r="B2963" t="s">
        <v>4916</v>
      </c>
      <c r="C2963">
        <f>"WIN51"</f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1</v>
      </c>
      <c r="K2963">
        <v>1.395</v>
      </c>
      <c r="L2963" s="2">
        <v>1</v>
      </c>
      <c r="M2963">
        <v>0</v>
      </c>
      <c r="N2963" s="2">
        <v>0</v>
      </c>
      <c r="O2963">
        <v>-1.2</v>
      </c>
      <c r="P2963" t="s">
        <v>100</v>
      </c>
      <c r="Q2963">
        <v>0</v>
      </c>
      <c r="R2963" t="s">
        <v>145</v>
      </c>
      <c r="S2963">
        <v>0</v>
      </c>
    </row>
    <row r="2964" spans="1:19">
      <c r="A2964" t="s">
        <v>35</v>
      </c>
      <c r="B2964" t="s">
        <v>4764</v>
      </c>
      <c r="C2964">
        <f>"JW0130R"</f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1</v>
      </c>
      <c r="K2964">
        <v>4.401</v>
      </c>
      <c r="L2964" s="2">
        <v>4</v>
      </c>
      <c r="M2964">
        <v>0</v>
      </c>
      <c r="N2964" s="2">
        <v>0</v>
      </c>
      <c r="O2964">
        <v>-1.2</v>
      </c>
      <c r="P2964" t="s">
        <v>100</v>
      </c>
      <c r="Q2964">
        <v>0</v>
      </c>
      <c r="R2964" t="s">
        <v>145</v>
      </c>
      <c r="S2964">
        <v>0</v>
      </c>
    </row>
    <row r="2965" spans="1:19">
      <c r="A2965" t="s">
        <v>35</v>
      </c>
      <c r="B2965" t="s">
        <v>2909</v>
      </c>
      <c r="C2965">
        <f>"SDR243"</f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1</v>
      </c>
      <c r="K2965">
        <v>1.791</v>
      </c>
      <c r="L2965" s="2">
        <v>2</v>
      </c>
      <c r="M2965">
        <v>0</v>
      </c>
      <c r="N2965" s="2">
        <v>0</v>
      </c>
      <c r="O2965">
        <v>-1.2</v>
      </c>
      <c r="P2965" t="s">
        <v>100</v>
      </c>
      <c r="Q2965">
        <v>0</v>
      </c>
      <c r="R2965" t="s">
        <v>145</v>
      </c>
      <c r="S2965">
        <v>0</v>
      </c>
    </row>
    <row r="2966" spans="1:19">
      <c r="A2966" t="s">
        <v>35</v>
      </c>
      <c r="B2966" t="s">
        <v>2427</v>
      </c>
      <c r="C2966">
        <f>"SDR241"</f>
        <v>0</v>
      </c>
      <c r="D2966">
        <v>1</v>
      </c>
      <c r="E2966">
        <v>0</v>
      </c>
      <c r="F2966">
        <v>0</v>
      </c>
      <c r="G2966">
        <v>0</v>
      </c>
      <c r="H2966">
        <v>1</v>
      </c>
      <c r="I2966">
        <v>0</v>
      </c>
      <c r="J2966">
        <v>1</v>
      </c>
      <c r="K2966">
        <v>1.791</v>
      </c>
      <c r="L2966" s="2">
        <v>2</v>
      </c>
      <c r="M2966">
        <v>0</v>
      </c>
      <c r="N2966" s="2">
        <v>0</v>
      </c>
      <c r="O2966">
        <v>-1.2</v>
      </c>
      <c r="P2966" t="s">
        <v>100</v>
      </c>
      <c r="Q2966">
        <v>0</v>
      </c>
      <c r="R2966" t="s">
        <v>145</v>
      </c>
      <c r="S2966">
        <v>0</v>
      </c>
    </row>
    <row r="2967" spans="1:19">
      <c r="A2967" t="s">
        <v>35</v>
      </c>
      <c r="B2967" t="s">
        <v>2167</v>
      </c>
      <c r="C2967">
        <f>"SDR242"</f>
        <v>0</v>
      </c>
      <c r="D2967">
        <v>2</v>
      </c>
      <c r="E2967">
        <v>0</v>
      </c>
      <c r="F2967">
        <v>0</v>
      </c>
      <c r="G2967">
        <v>0</v>
      </c>
      <c r="H2967">
        <v>2</v>
      </c>
      <c r="I2967">
        <v>0</v>
      </c>
      <c r="J2967">
        <v>1</v>
      </c>
      <c r="K2967">
        <v>1.791</v>
      </c>
      <c r="L2967" s="2">
        <v>2</v>
      </c>
      <c r="M2967">
        <v>0</v>
      </c>
      <c r="N2967" s="2">
        <v>0</v>
      </c>
      <c r="O2967">
        <v>-1.2</v>
      </c>
      <c r="P2967" t="s">
        <v>100</v>
      </c>
      <c r="Q2967">
        <v>0</v>
      </c>
      <c r="R2967" t="s">
        <v>145</v>
      </c>
      <c r="S2967">
        <v>0</v>
      </c>
    </row>
    <row r="2968" spans="1:19">
      <c r="A2968" t="s">
        <v>35</v>
      </c>
      <c r="B2968" t="s">
        <v>8234</v>
      </c>
      <c r="C2968">
        <f>"pt113"</f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1</v>
      </c>
      <c r="K2968">
        <v>1.81</v>
      </c>
      <c r="L2968" s="2">
        <v>2</v>
      </c>
      <c r="M2968">
        <v>0</v>
      </c>
      <c r="N2968" s="2">
        <v>0</v>
      </c>
      <c r="O2968">
        <v>-1.2</v>
      </c>
      <c r="P2968" t="s">
        <v>100</v>
      </c>
      <c r="Q2968">
        <v>0</v>
      </c>
      <c r="R2968" t="s">
        <v>145</v>
      </c>
      <c r="S2968">
        <v>0</v>
      </c>
    </row>
    <row r="2969" spans="1:19">
      <c r="A2969" t="s">
        <v>35</v>
      </c>
      <c r="B2969" t="s">
        <v>2943</v>
      </c>
      <c r="C2969">
        <f>"JW001"</f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1</v>
      </c>
      <c r="K2969">
        <v>5.31</v>
      </c>
      <c r="L2969" s="2">
        <v>5</v>
      </c>
      <c r="M2969">
        <v>0</v>
      </c>
      <c r="N2969" s="2">
        <v>0</v>
      </c>
      <c r="O2969">
        <v>-1.2</v>
      </c>
      <c r="P2969" t="s">
        <v>100</v>
      </c>
      <c r="Q2969">
        <v>0</v>
      </c>
      <c r="R2969" t="s">
        <v>145</v>
      </c>
      <c r="S2969">
        <v>0</v>
      </c>
    </row>
    <row r="2970" spans="1:19">
      <c r="A2970" t="s">
        <v>35</v>
      </c>
      <c r="B2970" t="s">
        <v>4770</v>
      </c>
      <c r="C2970">
        <f>"JW0129A"</f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1</v>
      </c>
      <c r="K2970">
        <v>3.141</v>
      </c>
      <c r="L2970" s="2">
        <v>3</v>
      </c>
      <c r="M2970">
        <v>0</v>
      </c>
      <c r="N2970" s="2">
        <v>0</v>
      </c>
      <c r="O2970">
        <v>-1.2</v>
      </c>
      <c r="P2970" t="s">
        <v>100</v>
      </c>
      <c r="Q2970">
        <v>0</v>
      </c>
      <c r="R2970" t="s">
        <v>145</v>
      </c>
      <c r="S2970">
        <v>0</v>
      </c>
    </row>
    <row r="2971" spans="1:19">
      <c r="A2971" t="s">
        <v>35</v>
      </c>
      <c r="B2971" t="s">
        <v>4503</v>
      </c>
      <c r="C2971">
        <f>"TH3XL"</f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1</v>
      </c>
      <c r="K2971">
        <v>2.1</v>
      </c>
      <c r="L2971" s="2">
        <v>2</v>
      </c>
      <c r="M2971">
        <v>0</v>
      </c>
      <c r="N2971" s="2">
        <v>0</v>
      </c>
      <c r="O2971">
        <v>-1.2</v>
      </c>
      <c r="P2971" t="s">
        <v>100</v>
      </c>
      <c r="Q2971">
        <v>0</v>
      </c>
      <c r="R2971" t="s">
        <v>145</v>
      </c>
      <c r="S2971">
        <v>0</v>
      </c>
    </row>
    <row r="2972" spans="1:19">
      <c r="A2972" t="s">
        <v>35</v>
      </c>
      <c r="B2972" t="s">
        <v>4509</v>
      </c>
      <c r="C2972">
        <f>"THXLV"</f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1</v>
      </c>
      <c r="K2972">
        <v>1.7</v>
      </c>
      <c r="L2972" s="2">
        <v>2</v>
      </c>
      <c r="M2972">
        <v>0</v>
      </c>
      <c r="N2972" s="2">
        <v>0</v>
      </c>
      <c r="O2972">
        <v>-1.2</v>
      </c>
      <c r="P2972" t="s">
        <v>100</v>
      </c>
      <c r="Q2972">
        <v>0</v>
      </c>
      <c r="R2972" t="s">
        <v>145</v>
      </c>
      <c r="S2972">
        <v>0</v>
      </c>
    </row>
    <row r="2973" spans="1:19">
      <c r="A2973" t="s">
        <v>35</v>
      </c>
      <c r="B2973" t="s">
        <v>4497</v>
      </c>
      <c r="C2973">
        <f>"THLV"</f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1</v>
      </c>
      <c r="K2973">
        <v>1.7</v>
      </c>
      <c r="L2973" s="2">
        <v>2</v>
      </c>
      <c r="M2973">
        <v>0</v>
      </c>
      <c r="N2973" s="2">
        <v>0</v>
      </c>
      <c r="O2973">
        <v>-1.2</v>
      </c>
      <c r="P2973" t="s">
        <v>100</v>
      </c>
      <c r="Q2973">
        <v>0</v>
      </c>
      <c r="R2973" t="s">
        <v>145</v>
      </c>
      <c r="S2973">
        <v>0</v>
      </c>
    </row>
    <row r="2974" spans="1:19">
      <c r="A2974" t="s">
        <v>35</v>
      </c>
      <c r="B2974" t="s">
        <v>8251</v>
      </c>
      <c r="C2974">
        <f>"54B109083LG"</f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1</v>
      </c>
      <c r="K2974">
        <v>8.316000000000001</v>
      </c>
      <c r="L2974" s="2">
        <v>8</v>
      </c>
      <c r="M2974">
        <v>0</v>
      </c>
      <c r="N2974" s="2">
        <v>0</v>
      </c>
      <c r="O2974">
        <v>-1.2</v>
      </c>
      <c r="P2974" t="s">
        <v>100</v>
      </c>
      <c r="Q2974">
        <v>0</v>
      </c>
      <c r="R2974" t="s">
        <v>145</v>
      </c>
      <c r="S2974">
        <v>0</v>
      </c>
    </row>
    <row r="2975" spans="1:19">
      <c r="A2975" t="s">
        <v>35</v>
      </c>
      <c r="B2975" t="s">
        <v>4504</v>
      </c>
      <c r="C2975">
        <f>"TH2XL"</f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1</v>
      </c>
      <c r="K2975">
        <v>2.1</v>
      </c>
      <c r="L2975" s="2">
        <v>2</v>
      </c>
      <c r="M2975">
        <v>0</v>
      </c>
      <c r="N2975" s="2">
        <v>0</v>
      </c>
      <c r="O2975">
        <v>-1.2</v>
      </c>
      <c r="P2975" t="s">
        <v>100</v>
      </c>
      <c r="Q2975">
        <v>0</v>
      </c>
      <c r="R2975" t="s">
        <v>145</v>
      </c>
      <c r="S2975">
        <v>0</v>
      </c>
    </row>
    <row r="2976" spans="1:19">
      <c r="A2976" t="s">
        <v>35</v>
      </c>
      <c r="B2976" t="s">
        <v>9841</v>
      </c>
      <c r="C2976">
        <f>"H60015SCEL"</f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1</v>
      </c>
      <c r="K2976">
        <v>4.905</v>
      </c>
      <c r="L2976" s="2">
        <v>5</v>
      </c>
      <c r="M2976">
        <v>0</v>
      </c>
      <c r="N2976" s="2">
        <v>0</v>
      </c>
      <c r="O2976">
        <v>-1.2</v>
      </c>
      <c r="P2976" t="s">
        <v>100</v>
      </c>
      <c r="Q2976">
        <v>0</v>
      </c>
      <c r="R2976" t="s">
        <v>145</v>
      </c>
      <c r="S2976">
        <v>0</v>
      </c>
    </row>
    <row r="2977" spans="1:19">
      <c r="A2977" t="s">
        <v>35</v>
      </c>
      <c r="B2977" t="s">
        <v>9826</v>
      </c>
      <c r="C2977">
        <f>"H60015MROS"</f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1</v>
      </c>
      <c r="K2977">
        <v>5.085</v>
      </c>
      <c r="L2977" s="2">
        <v>5</v>
      </c>
      <c r="M2977">
        <v>0</v>
      </c>
      <c r="N2977" s="2">
        <v>0</v>
      </c>
      <c r="O2977">
        <v>-1.2</v>
      </c>
      <c r="P2977" t="s">
        <v>100</v>
      </c>
      <c r="Q2977">
        <v>0</v>
      </c>
      <c r="R2977" t="s">
        <v>145</v>
      </c>
      <c r="S2977">
        <v>0</v>
      </c>
    </row>
    <row r="2978" spans="1:19">
      <c r="A2978" t="s">
        <v>35</v>
      </c>
      <c r="B2978" t="s">
        <v>10023</v>
      </c>
      <c r="C2978">
        <f>"H60015LROS"</f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1</v>
      </c>
      <c r="K2978">
        <v>5.58</v>
      </c>
      <c r="L2978" s="2">
        <v>6</v>
      </c>
      <c r="M2978">
        <v>0</v>
      </c>
      <c r="N2978" s="2">
        <v>0</v>
      </c>
      <c r="O2978">
        <v>-1.2</v>
      </c>
      <c r="P2978" t="s">
        <v>100</v>
      </c>
      <c r="Q2978">
        <v>0</v>
      </c>
      <c r="R2978" t="s">
        <v>145</v>
      </c>
      <c r="S2978">
        <v>0</v>
      </c>
    </row>
    <row r="2979" spans="1:19">
      <c r="A2979" t="s">
        <v>35</v>
      </c>
      <c r="B2979" t="s">
        <v>10024</v>
      </c>
      <c r="C2979">
        <f>"H60015LROJ"</f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1</v>
      </c>
      <c r="K2979">
        <v>5.58</v>
      </c>
      <c r="L2979" s="2">
        <v>6</v>
      </c>
      <c r="M2979">
        <v>0</v>
      </c>
      <c r="N2979" s="2">
        <v>0</v>
      </c>
      <c r="O2979">
        <v>-1.2</v>
      </c>
      <c r="P2979" t="s">
        <v>100</v>
      </c>
      <c r="Q2979">
        <v>0</v>
      </c>
      <c r="R2979" t="s">
        <v>145</v>
      </c>
      <c r="S2979">
        <v>0</v>
      </c>
    </row>
    <row r="2980" spans="1:19">
      <c r="A2980" t="s">
        <v>35</v>
      </c>
      <c r="B2980" t="s">
        <v>10025</v>
      </c>
      <c r="C2980">
        <f>"H60015LGR"</f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1</v>
      </c>
      <c r="K2980">
        <v>5.58</v>
      </c>
      <c r="L2980" s="2">
        <v>6</v>
      </c>
      <c r="M2980">
        <v>0</v>
      </c>
      <c r="N2980" s="2">
        <v>0</v>
      </c>
      <c r="O2980">
        <v>-1.2</v>
      </c>
      <c r="P2980" t="s">
        <v>100</v>
      </c>
      <c r="Q2980">
        <v>0</v>
      </c>
      <c r="R2980" t="s">
        <v>145</v>
      </c>
      <c r="S2980">
        <v>0</v>
      </c>
    </row>
    <row r="2981" spans="1:19">
      <c r="A2981" t="s">
        <v>35</v>
      </c>
      <c r="B2981" t="s">
        <v>8168</v>
      </c>
      <c r="C2981">
        <f>"54B1090832XLB"</f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1</v>
      </c>
      <c r="K2981">
        <v>9.882</v>
      </c>
      <c r="L2981" s="2">
        <v>10</v>
      </c>
      <c r="M2981">
        <v>0</v>
      </c>
      <c r="N2981" s="2">
        <v>0</v>
      </c>
      <c r="O2981">
        <v>-1.2</v>
      </c>
      <c r="P2981" t="s">
        <v>100</v>
      </c>
      <c r="Q2981">
        <v>0</v>
      </c>
      <c r="R2981" t="s">
        <v>145</v>
      </c>
      <c r="S2981">
        <v>0</v>
      </c>
    </row>
    <row r="2982" spans="1:19">
      <c r="A2982" t="s">
        <v>35</v>
      </c>
      <c r="B2982" t="s">
        <v>2421</v>
      </c>
      <c r="C2982">
        <f>"ER161"</f>
        <v>0</v>
      </c>
      <c r="D2982">
        <v>1</v>
      </c>
      <c r="E2982">
        <v>0</v>
      </c>
      <c r="F2982">
        <v>0</v>
      </c>
      <c r="G2982">
        <v>0</v>
      </c>
      <c r="H2982">
        <v>1</v>
      </c>
      <c r="I2982">
        <v>0</v>
      </c>
      <c r="J2982">
        <v>1</v>
      </c>
      <c r="K2982">
        <v>4.32</v>
      </c>
      <c r="L2982" s="2">
        <v>4</v>
      </c>
      <c r="M2982">
        <v>0</v>
      </c>
      <c r="N2982" s="2">
        <v>0</v>
      </c>
      <c r="O2982">
        <v>-1.2</v>
      </c>
      <c r="P2982" t="s">
        <v>100</v>
      </c>
      <c r="Q2982">
        <v>0</v>
      </c>
      <c r="R2982" t="s">
        <v>145</v>
      </c>
      <c r="S2982">
        <v>0</v>
      </c>
    </row>
    <row r="2983" spans="1:19">
      <c r="A2983" t="s">
        <v>35</v>
      </c>
      <c r="B2983" t="s">
        <v>4771</v>
      </c>
      <c r="C2983">
        <f>"JW0128V"</f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1</v>
      </c>
      <c r="K2983">
        <v>2.601</v>
      </c>
      <c r="L2983" s="2">
        <v>3</v>
      </c>
      <c r="M2983">
        <v>0</v>
      </c>
      <c r="N2983" s="2">
        <v>0</v>
      </c>
      <c r="O2983">
        <v>-1.2</v>
      </c>
      <c r="P2983" t="s">
        <v>100</v>
      </c>
      <c r="Q2983">
        <v>0</v>
      </c>
      <c r="R2983" t="s">
        <v>145</v>
      </c>
      <c r="S2983">
        <v>0</v>
      </c>
    </row>
    <row r="2984" spans="1:19">
      <c r="A2984" t="s">
        <v>35</v>
      </c>
      <c r="B2984" t="s">
        <v>10018</v>
      </c>
      <c r="C2984">
        <f>"H60015SROS"</f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1</v>
      </c>
      <c r="K2984">
        <v>4.905</v>
      </c>
      <c r="L2984" s="2">
        <v>5</v>
      </c>
      <c r="M2984">
        <v>0</v>
      </c>
      <c r="N2984" s="2">
        <v>0</v>
      </c>
      <c r="O2984">
        <v>-1.2</v>
      </c>
      <c r="P2984" t="s">
        <v>100</v>
      </c>
      <c r="Q2984">
        <v>0</v>
      </c>
      <c r="R2984" t="s">
        <v>145</v>
      </c>
      <c r="S2984">
        <v>0</v>
      </c>
    </row>
    <row r="2985" spans="1:19">
      <c r="A2985" t="s">
        <v>35</v>
      </c>
      <c r="B2985" t="s">
        <v>10019</v>
      </c>
      <c r="C2985">
        <f>"H60015SROJ"</f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1</v>
      </c>
      <c r="K2985">
        <v>4.905</v>
      </c>
      <c r="L2985" s="2">
        <v>5</v>
      </c>
      <c r="M2985">
        <v>0</v>
      </c>
      <c r="N2985" s="2">
        <v>0</v>
      </c>
      <c r="O2985">
        <v>-1.2</v>
      </c>
      <c r="P2985" t="s">
        <v>100</v>
      </c>
      <c r="Q2985">
        <v>0</v>
      </c>
      <c r="R2985" t="s">
        <v>145</v>
      </c>
      <c r="S2985">
        <v>0</v>
      </c>
    </row>
    <row r="2986" spans="1:19">
      <c r="A2986" t="s">
        <v>35</v>
      </c>
      <c r="B2986" t="s">
        <v>9292</v>
      </c>
      <c r="C2986">
        <f>"HH309MROS"</f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1</v>
      </c>
      <c r="K2986">
        <v>4.905</v>
      </c>
      <c r="L2986" s="2">
        <v>5</v>
      </c>
      <c r="M2986">
        <v>0</v>
      </c>
      <c r="N2986" s="2">
        <v>0</v>
      </c>
      <c r="O2986">
        <v>-1.2</v>
      </c>
      <c r="P2986" t="s">
        <v>100</v>
      </c>
      <c r="Q2986">
        <v>0</v>
      </c>
      <c r="R2986" t="s">
        <v>145</v>
      </c>
      <c r="S2986">
        <v>0</v>
      </c>
    </row>
    <row r="2987" spans="1:19">
      <c r="A2987" t="s">
        <v>35</v>
      </c>
      <c r="B2987" t="s">
        <v>6697</v>
      </c>
      <c r="C2987">
        <f>"1761CXLROJ"</f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1</v>
      </c>
      <c r="K2987">
        <v>3.411</v>
      </c>
      <c r="L2987" s="2">
        <v>3</v>
      </c>
      <c r="M2987">
        <v>0</v>
      </c>
      <c r="N2987" s="2">
        <v>0</v>
      </c>
      <c r="O2987">
        <v>-1.2</v>
      </c>
      <c r="P2987" t="s">
        <v>100</v>
      </c>
      <c r="Q2987">
        <v>0</v>
      </c>
      <c r="R2987" t="s">
        <v>145</v>
      </c>
      <c r="S2987">
        <v>0</v>
      </c>
    </row>
    <row r="2988" spans="1:19">
      <c r="A2988" t="s">
        <v>35</v>
      </c>
      <c r="B2988" t="s">
        <v>6673</v>
      </c>
      <c r="C2988">
        <f>"4000579"</f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1</v>
      </c>
      <c r="K2988">
        <v>0</v>
      </c>
      <c r="L2988" s="2">
        <v>0</v>
      </c>
      <c r="M2988">
        <v>0</v>
      </c>
      <c r="N2988" s="2">
        <v>0</v>
      </c>
      <c r="O2988">
        <v>-1.2</v>
      </c>
      <c r="P2988" t="s">
        <v>100</v>
      </c>
      <c r="Q2988">
        <v>0</v>
      </c>
      <c r="R2988" t="s">
        <v>145</v>
      </c>
      <c r="S2988">
        <v>0</v>
      </c>
    </row>
    <row r="2989" spans="1:19">
      <c r="A2989" t="s">
        <v>35</v>
      </c>
      <c r="B2989" t="s">
        <v>6675</v>
      </c>
      <c r="C2989">
        <f>"4000715"</f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1</v>
      </c>
      <c r="K2989">
        <v>0</v>
      </c>
      <c r="L2989" s="2">
        <v>0</v>
      </c>
      <c r="M2989">
        <v>0</v>
      </c>
      <c r="N2989" s="2">
        <v>0</v>
      </c>
      <c r="O2989">
        <v>-1.2</v>
      </c>
      <c r="P2989" t="s">
        <v>100</v>
      </c>
      <c r="Q2989">
        <v>0</v>
      </c>
      <c r="R2989" t="s">
        <v>145</v>
      </c>
      <c r="S2989">
        <v>0</v>
      </c>
    </row>
    <row r="2990" spans="1:19">
      <c r="A2990" t="s">
        <v>35</v>
      </c>
      <c r="B2990" t="s">
        <v>6683</v>
      </c>
      <c r="C2990">
        <f>"4000418"</f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1</v>
      </c>
      <c r="K2990">
        <v>1.7</v>
      </c>
      <c r="L2990" s="2">
        <v>2</v>
      </c>
      <c r="M2990">
        <v>0</v>
      </c>
      <c r="N2990" s="2">
        <v>0</v>
      </c>
      <c r="O2990">
        <v>-1.2</v>
      </c>
      <c r="P2990" t="s">
        <v>100</v>
      </c>
      <c r="Q2990">
        <v>0</v>
      </c>
      <c r="R2990" t="s">
        <v>145</v>
      </c>
      <c r="S2990">
        <v>0</v>
      </c>
    </row>
    <row r="2991" spans="1:19">
      <c r="A2991" t="s">
        <v>35</v>
      </c>
      <c r="B2991" t="s">
        <v>6699</v>
      </c>
      <c r="C2991">
        <f>"200000067"</f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1</v>
      </c>
      <c r="K2991">
        <v>0</v>
      </c>
      <c r="L2991" s="2">
        <v>0</v>
      </c>
      <c r="M2991">
        <v>0</v>
      </c>
      <c r="N2991" s="2">
        <v>0</v>
      </c>
      <c r="O2991">
        <v>-1.2</v>
      </c>
      <c r="P2991" t="s">
        <v>100</v>
      </c>
      <c r="Q2991">
        <v>0</v>
      </c>
      <c r="R2991" t="s">
        <v>145</v>
      </c>
      <c r="S2991">
        <v>0</v>
      </c>
    </row>
    <row r="2992" spans="1:19">
      <c r="A2992" t="s">
        <v>35</v>
      </c>
      <c r="B2992" t="s">
        <v>6685</v>
      </c>
      <c r="C2992">
        <f>"4000470"</f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1</v>
      </c>
      <c r="K2992">
        <v>0</v>
      </c>
      <c r="L2992" s="2">
        <v>0</v>
      </c>
      <c r="M2992">
        <v>0</v>
      </c>
      <c r="N2992" s="2">
        <v>0</v>
      </c>
      <c r="O2992">
        <v>-1.2</v>
      </c>
      <c r="P2992" t="s">
        <v>100</v>
      </c>
      <c r="Q2992">
        <v>0</v>
      </c>
      <c r="R2992" t="s">
        <v>145</v>
      </c>
      <c r="S2992">
        <v>0</v>
      </c>
    </row>
    <row r="2993" spans="1:19">
      <c r="A2993" t="s">
        <v>35</v>
      </c>
      <c r="B2993" t="s">
        <v>6686</v>
      </c>
      <c r="C2993">
        <f>"4000562"</f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1</v>
      </c>
      <c r="K2993">
        <v>5.9</v>
      </c>
      <c r="L2993" s="2">
        <v>6</v>
      </c>
      <c r="M2993">
        <v>0</v>
      </c>
      <c r="N2993" s="2">
        <v>0</v>
      </c>
      <c r="O2993">
        <v>-1.2</v>
      </c>
      <c r="P2993" t="s">
        <v>100</v>
      </c>
      <c r="Q2993">
        <v>0</v>
      </c>
      <c r="R2993" t="s">
        <v>145</v>
      </c>
      <c r="S2993">
        <v>0</v>
      </c>
    </row>
    <row r="2994" spans="1:19">
      <c r="A2994" t="s">
        <v>35</v>
      </c>
      <c r="B2994" t="s">
        <v>8189</v>
      </c>
      <c r="C2994">
        <f>"D14L"</f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1</v>
      </c>
      <c r="K2994">
        <v>4.545</v>
      </c>
      <c r="L2994" s="2">
        <v>5</v>
      </c>
      <c r="M2994">
        <v>0</v>
      </c>
      <c r="N2994" s="2">
        <v>0</v>
      </c>
      <c r="O2994">
        <v>-1.2</v>
      </c>
      <c r="P2994" t="s">
        <v>100</v>
      </c>
      <c r="Q2994">
        <v>0</v>
      </c>
      <c r="R2994" t="s">
        <v>145</v>
      </c>
      <c r="S2994">
        <v>0</v>
      </c>
    </row>
    <row r="2995" spans="1:19">
      <c r="A2995" t="s">
        <v>35</v>
      </c>
      <c r="B2995" t="s">
        <v>2975</v>
      </c>
      <c r="C2995">
        <f>"YP132SG"</f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1</v>
      </c>
      <c r="K2995">
        <v>5.391</v>
      </c>
      <c r="L2995" s="2">
        <v>5</v>
      </c>
      <c r="M2995">
        <v>0</v>
      </c>
      <c r="N2995" s="2">
        <v>0</v>
      </c>
      <c r="O2995">
        <v>-1.2</v>
      </c>
      <c r="P2995" t="s">
        <v>100</v>
      </c>
      <c r="Q2995">
        <v>0</v>
      </c>
      <c r="R2995" t="s">
        <v>145</v>
      </c>
      <c r="S2995">
        <v>0</v>
      </c>
    </row>
    <row r="2996" spans="1:19">
      <c r="A2996" t="s">
        <v>35</v>
      </c>
      <c r="B2996" t="s">
        <v>3005</v>
      </c>
      <c r="C2996">
        <f>"YP132SA"</f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1</v>
      </c>
      <c r="K2996">
        <v>5.391</v>
      </c>
      <c r="L2996" s="2">
        <v>5</v>
      </c>
      <c r="M2996">
        <v>0</v>
      </c>
      <c r="N2996" s="2">
        <v>0</v>
      </c>
      <c r="O2996">
        <v>-1.2</v>
      </c>
      <c r="P2996" t="s">
        <v>100</v>
      </c>
      <c r="Q2996">
        <v>0</v>
      </c>
      <c r="R2996" t="s">
        <v>145</v>
      </c>
      <c r="S2996">
        <v>0</v>
      </c>
    </row>
    <row r="2997" spans="1:19">
      <c r="A2997" t="s">
        <v>35</v>
      </c>
      <c r="B2997" t="s">
        <v>3004</v>
      </c>
      <c r="C2997">
        <f>"YP132MG"</f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1</v>
      </c>
      <c r="K2997">
        <v>5.625</v>
      </c>
      <c r="L2997" s="2">
        <v>6</v>
      </c>
      <c r="M2997">
        <v>0</v>
      </c>
      <c r="N2997" s="2">
        <v>0</v>
      </c>
      <c r="O2997">
        <v>-1.2</v>
      </c>
      <c r="P2997" t="s">
        <v>100</v>
      </c>
      <c r="Q2997">
        <v>0</v>
      </c>
      <c r="R2997" t="s">
        <v>145</v>
      </c>
      <c r="S2997">
        <v>0</v>
      </c>
    </row>
    <row r="2998" spans="1:19">
      <c r="A2998" t="s">
        <v>35</v>
      </c>
      <c r="B2998" t="s">
        <v>3003</v>
      </c>
      <c r="C2998">
        <f>"YP132MA"</f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1</v>
      </c>
      <c r="K2998">
        <v>5.625</v>
      </c>
      <c r="L2998" s="2">
        <v>6</v>
      </c>
      <c r="M2998">
        <v>0</v>
      </c>
      <c r="N2998" s="2">
        <v>0</v>
      </c>
      <c r="O2998">
        <v>-1.2</v>
      </c>
      <c r="P2998" t="s">
        <v>100</v>
      </c>
      <c r="Q2998">
        <v>0</v>
      </c>
      <c r="R2998" t="s">
        <v>145</v>
      </c>
      <c r="S2998">
        <v>0</v>
      </c>
    </row>
    <row r="2999" spans="1:19">
      <c r="A2999" t="s">
        <v>35</v>
      </c>
      <c r="B2999" t="s">
        <v>3045</v>
      </c>
      <c r="C2999">
        <f>"1817S"</f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1</v>
      </c>
      <c r="K2999">
        <v>3.276</v>
      </c>
      <c r="L2999" s="2">
        <v>3</v>
      </c>
      <c r="M2999">
        <v>0</v>
      </c>
      <c r="N2999" s="2">
        <v>0</v>
      </c>
      <c r="O2999">
        <v>-1.2</v>
      </c>
      <c r="P2999" t="s">
        <v>100</v>
      </c>
      <c r="Q2999">
        <v>0</v>
      </c>
      <c r="R2999" t="s">
        <v>145</v>
      </c>
      <c r="S2999">
        <v>0</v>
      </c>
    </row>
    <row r="3000" spans="1:19">
      <c r="A3000" t="s">
        <v>35</v>
      </c>
      <c r="B3000" t="s">
        <v>4928</v>
      </c>
      <c r="C3000">
        <f>"WIN50VE"</f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1</v>
      </c>
      <c r="K3000">
        <v>0</v>
      </c>
      <c r="L3000" s="2">
        <v>0</v>
      </c>
      <c r="M3000">
        <v>0</v>
      </c>
      <c r="N3000" s="2">
        <v>0</v>
      </c>
      <c r="O3000">
        <v>-1.2</v>
      </c>
      <c r="P3000" t="s">
        <v>100</v>
      </c>
      <c r="Q3000">
        <v>0</v>
      </c>
      <c r="R3000" t="s">
        <v>145</v>
      </c>
      <c r="S3000">
        <v>0</v>
      </c>
    </row>
    <row r="3001" spans="1:19">
      <c r="A3001" t="s">
        <v>35</v>
      </c>
      <c r="B3001" t="s">
        <v>9581</v>
      </c>
      <c r="C3001">
        <f>"H015XXLV"</f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1</v>
      </c>
      <c r="K3001">
        <v>9.449999999999999</v>
      </c>
      <c r="L3001" s="2">
        <v>9</v>
      </c>
      <c r="M3001">
        <v>0</v>
      </c>
      <c r="N3001" s="2">
        <v>0</v>
      </c>
      <c r="O3001">
        <v>-1.2</v>
      </c>
      <c r="P3001" t="s">
        <v>100</v>
      </c>
      <c r="Q3001">
        <v>0</v>
      </c>
      <c r="R3001" t="s">
        <v>145</v>
      </c>
      <c r="S3001">
        <v>0</v>
      </c>
    </row>
    <row r="3002" spans="1:19">
      <c r="A3002" t="s">
        <v>35</v>
      </c>
      <c r="B3002" t="s">
        <v>9582</v>
      </c>
      <c r="C3002">
        <f>"H015XXLROS"</f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1</v>
      </c>
      <c r="K3002">
        <v>0</v>
      </c>
      <c r="L3002" s="2">
        <v>0</v>
      </c>
      <c r="M3002">
        <v>0</v>
      </c>
      <c r="N3002" s="2">
        <v>0</v>
      </c>
      <c r="O3002">
        <v>-1.2</v>
      </c>
      <c r="P3002" t="s">
        <v>100</v>
      </c>
      <c r="Q3002">
        <v>0</v>
      </c>
      <c r="R3002" t="s">
        <v>145</v>
      </c>
      <c r="S3002">
        <v>0</v>
      </c>
    </row>
    <row r="3003" spans="1:19">
      <c r="A3003" t="s">
        <v>35</v>
      </c>
      <c r="B3003" t="s">
        <v>6766</v>
      </c>
      <c r="C3003">
        <f>"1761CMCEL"</f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1</v>
      </c>
      <c r="K3003">
        <v>0</v>
      </c>
      <c r="L3003" s="2">
        <v>0</v>
      </c>
      <c r="M3003">
        <v>0</v>
      </c>
      <c r="N3003" s="2">
        <v>0</v>
      </c>
      <c r="O3003">
        <v>-1.2</v>
      </c>
      <c r="P3003" t="s">
        <v>100</v>
      </c>
      <c r="Q3003">
        <v>0</v>
      </c>
      <c r="R3003" t="s">
        <v>145</v>
      </c>
      <c r="S3003">
        <v>0</v>
      </c>
    </row>
    <row r="3004" spans="1:19">
      <c r="A3004" t="s">
        <v>35</v>
      </c>
      <c r="B3004" t="s">
        <v>6771</v>
      </c>
      <c r="C3004">
        <f>"JW5041SA"</f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1</v>
      </c>
      <c r="K3004">
        <v>0</v>
      </c>
      <c r="L3004" s="2">
        <v>0</v>
      </c>
      <c r="M3004">
        <v>0</v>
      </c>
      <c r="N3004" s="2">
        <v>0</v>
      </c>
      <c r="O3004">
        <v>-1.2</v>
      </c>
      <c r="P3004" t="s">
        <v>100</v>
      </c>
      <c r="Q3004">
        <v>0</v>
      </c>
      <c r="R3004" t="s">
        <v>145</v>
      </c>
      <c r="S3004">
        <v>0</v>
      </c>
    </row>
    <row r="3005" spans="1:19">
      <c r="A3005" t="s">
        <v>35</v>
      </c>
      <c r="B3005" t="s">
        <v>9466</v>
      </c>
      <c r="C3005">
        <f>"HH309LGR"</f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1</v>
      </c>
      <c r="K3005">
        <v>6.291</v>
      </c>
      <c r="L3005" s="2">
        <v>6</v>
      </c>
      <c r="M3005">
        <v>0</v>
      </c>
      <c r="N3005" s="2">
        <v>0</v>
      </c>
      <c r="O3005">
        <v>-1.2</v>
      </c>
      <c r="P3005" t="s">
        <v>100</v>
      </c>
      <c r="Q3005">
        <v>0</v>
      </c>
      <c r="R3005" t="s">
        <v>145</v>
      </c>
      <c r="S3005">
        <v>0</v>
      </c>
    </row>
    <row r="3006" spans="1:19">
      <c r="A3006" t="s">
        <v>35</v>
      </c>
      <c r="B3006" t="s">
        <v>4337</v>
      </c>
      <c r="C3006">
        <f>"018214836605"</f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1</v>
      </c>
      <c r="K3006">
        <v>0</v>
      </c>
      <c r="L3006" s="2">
        <v>0</v>
      </c>
      <c r="M3006">
        <v>0</v>
      </c>
      <c r="N3006" s="2">
        <v>0</v>
      </c>
      <c r="O3006">
        <v>-1.2</v>
      </c>
      <c r="P3006" t="s">
        <v>100</v>
      </c>
      <c r="Q3006">
        <v>0</v>
      </c>
      <c r="R3006" t="s">
        <v>145</v>
      </c>
      <c r="S3006">
        <v>0</v>
      </c>
    </row>
    <row r="3007" spans="1:19">
      <c r="A3007" t="s">
        <v>35</v>
      </c>
      <c r="B3007" t="s">
        <v>8252</v>
      </c>
      <c r="C3007">
        <f>"54B1090834XLG"</f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1</v>
      </c>
      <c r="K3007">
        <v>11.655</v>
      </c>
      <c r="L3007" s="2">
        <v>12</v>
      </c>
      <c r="M3007">
        <v>0</v>
      </c>
      <c r="N3007" s="2">
        <v>0</v>
      </c>
      <c r="O3007">
        <v>-1.2</v>
      </c>
      <c r="P3007" t="s">
        <v>100</v>
      </c>
      <c r="Q3007">
        <v>0</v>
      </c>
      <c r="R3007" t="s">
        <v>145</v>
      </c>
      <c r="S3007">
        <v>0</v>
      </c>
    </row>
    <row r="3008" spans="1:19">
      <c r="A3008" t="s">
        <v>35</v>
      </c>
      <c r="B3008" t="s">
        <v>8254</v>
      </c>
      <c r="C3008">
        <f>"54B1090832XLG"</f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1</v>
      </c>
      <c r="K3008">
        <v>9.882</v>
      </c>
      <c r="L3008" s="2">
        <v>10</v>
      </c>
      <c r="M3008">
        <v>0</v>
      </c>
      <c r="N3008" s="2">
        <v>0</v>
      </c>
      <c r="O3008">
        <v>-1.2</v>
      </c>
      <c r="P3008" t="s">
        <v>100</v>
      </c>
      <c r="Q3008">
        <v>0</v>
      </c>
      <c r="R3008" t="s">
        <v>145</v>
      </c>
      <c r="S3008">
        <v>0</v>
      </c>
    </row>
    <row r="3009" spans="1:19">
      <c r="A3009" t="s">
        <v>35</v>
      </c>
      <c r="B3009" t="s">
        <v>8255</v>
      </c>
      <c r="C3009">
        <f>"54B109083XSB"</f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1</v>
      </c>
      <c r="K3009">
        <v>6.615</v>
      </c>
      <c r="L3009" s="2">
        <v>7</v>
      </c>
      <c r="M3009">
        <v>0</v>
      </c>
      <c r="N3009" s="2">
        <v>0</v>
      </c>
      <c r="O3009">
        <v>-1.2</v>
      </c>
      <c r="P3009" t="s">
        <v>100</v>
      </c>
      <c r="Q3009">
        <v>0</v>
      </c>
      <c r="R3009" t="s">
        <v>145</v>
      </c>
      <c r="S3009">
        <v>0</v>
      </c>
    </row>
    <row r="3010" spans="1:19">
      <c r="A3010" t="s">
        <v>35</v>
      </c>
      <c r="B3010" t="s">
        <v>8257</v>
      </c>
      <c r="C3010">
        <f>"54B109083SB"</f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1</v>
      </c>
      <c r="K3010">
        <v>7.065</v>
      </c>
      <c r="L3010" s="2">
        <v>7</v>
      </c>
      <c r="M3010">
        <v>0</v>
      </c>
      <c r="N3010" s="2">
        <v>0</v>
      </c>
      <c r="O3010">
        <v>-1.2</v>
      </c>
      <c r="P3010" t="s">
        <v>100</v>
      </c>
      <c r="Q3010">
        <v>0</v>
      </c>
      <c r="R3010" t="s">
        <v>145</v>
      </c>
      <c r="S3010">
        <v>0</v>
      </c>
    </row>
    <row r="3011" spans="1:19">
      <c r="A3011" t="s">
        <v>35</v>
      </c>
      <c r="B3011" t="s">
        <v>8258</v>
      </c>
      <c r="C3011">
        <f>"54B109083MB"</f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1</v>
      </c>
      <c r="K3011">
        <v>7.38</v>
      </c>
      <c r="L3011" s="2">
        <v>7</v>
      </c>
      <c r="M3011">
        <v>0</v>
      </c>
      <c r="N3011" s="2">
        <v>0</v>
      </c>
      <c r="O3011">
        <v>-1.2</v>
      </c>
      <c r="P3011" t="s">
        <v>100</v>
      </c>
      <c r="Q3011">
        <v>0</v>
      </c>
      <c r="R3011" t="s">
        <v>145</v>
      </c>
      <c r="S3011">
        <v>0</v>
      </c>
    </row>
    <row r="3012" spans="1:19">
      <c r="A3012" t="s">
        <v>35</v>
      </c>
      <c r="B3012" t="s">
        <v>8259</v>
      </c>
      <c r="C3012">
        <f>"54B109083LB"</f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1</v>
      </c>
      <c r="K3012">
        <v>8.316000000000001</v>
      </c>
      <c r="L3012" s="2">
        <v>8</v>
      </c>
      <c r="M3012">
        <v>0</v>
      </c>
      <c r="N3012" s="2">
        <v>0</v>
      </c>
      <c r="O3012">
        <v>-1.2</v>
      </c>
      <c r="P3012" t="s">
        <v>100</v>
      </c>
      <c r="Q3012">
        <v>0</v>
      </c>
      <c r="R3012" t="s">
        <v>145</v>
      </c>
      <c r="S3012">
        <v>0</v>
      </c>
    </row>
    <row r="3013" spans="1:19">
      <c r="A3013" t="s">
        <v>35</v>
      </c>
      <c r="B3013" t="s">
        <v>3582</v>
      </c>
      <c r="C3013">
        <f>"YK001FC"</f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1</v>
      </c>
      <c r="K3013">
        <v>11.25</v>
      </c>
      <c r="L3013" s="2">
        <v>11</v>
      </c>
      <c r="M3013">
        <v>0</v>
      </c>
      <c r="N3013" s="2">
        <v>0</v>
      </c>
      <c r="O3013">
        <v>-1.2</v>
      </c>
      <c r="P3013" t="s">
        <v>100</v>
      </c>
      <c r="Q3013">
        <v>0</v>
      </c>
      <c r="R3013" t="s">
        <v>145</v>
      </c>
      <c r="S3013">
        <v>0</v>
      </c>
    </row>
    <row r="3014" spans="1:19">
      <c r="A3014" t="s">
        <v>35</v>
      </c>
      <c r="B3014" t="s">
        <v>6831</v>
      </c>
      <c r="C3014">
        <f>"C005L"</f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1</v>
      </c>
      <c r="K3014">
        <v>1.755</v>
      </c>
      <c r="L3014" s="2">
        <v>2</v>
      </c>
      <c r="M3014">
        <v>0</v>
      </c>
      <c r="N3014" s="2">
        <v>0</v>
      </c>
      <c r="O3014">
        <v>-1.2</v>
      </c>
      <c r="P3014" t="s">
        <v>100</v>
      </c>
      <c r="Q3014">
        <v>0</v>
      </c>
      <c r="R3014" t="s">
        <v>145</v>
      </c>
      <c r="S3014">
        <v>0</v>
      </c>
    </row>
    <row r="3015" spans="1:19">
      <c r="A3015" t="s">
        <v>35</v>
      </c>
      <c r="B3015" t="s">
        <v>6872</v>
      </c>
      <c r="C3015">
        <f>"jw0120v"</f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1</v>
      </c>
      <c r="K3015">
        <v>621</v>
      </c>
      <c r="L3015" s="2">
        <v>621</v>
      </c>
      <c r="M3015">
        <v>0</v>
      </c>
      <c r="N3015" s="2">
        <v>0</v>
      </c>
      <c r="O3015">
        <v>-1.2</v>
      </c>
      <c r="P3015" t="s">
        <v>100</v>
      </c>
      <c r="Q3015">
        <v>0</v>
      </c>
      <c r="R3015" t="s">
        <v>145</v>
      </c>
      <c r="S3015">
        <v>0</v>
      </c>
    </row>
    <row r="3016" spans="1:19">
      <c r="A3016" t="s">
        <v>35</v>
      </c>
      <c r="B3016" t="s">
        <v>4948</v>
      </c>
      <c r="C3016">
        <f>"WIN50AZ"</f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1</v>
      </c>
      <c r="K3016">
        <v>0</v>
      </c>
      <c r="L3016" s="2">
        <v>0</v>
      </c>
      <c r="M3016">
        <v>0</v>
      </c>
      <c r="N3016" s="2">
        <v>0</v>
      </c>
      <c r="O3016">
        <v>-1.2</v>
      </c>
      <c r="P3016" t="s">
        <v>100</v>
      </c>
      <c r="Q3016">
        <v>0</v>
      </c>
      <c r="R3016" t="s">
        <v>145</v>
      </c>
      <c r="S3016">
        <v>0</v>
      </c>
    </row>
    <row r="3017" spans="1:19">
      <c r="A3017" t="s">
        <v>35</v>
      </c>
      <c r="B3017" t="s">
        <v>3617</v>
      </c>
      <c r="C3017">
        <f>"763RECT"</f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1</v>
      </c>
      <c r="K3017">
        <v>10.791</v>
      </c>
      <c r="L3017" s="2">
        <v>11</v>
      </c>
      <c r="M3017">
        <v>0</v>
      </c>
      <c r="N3017" s="2">
        <v>0</v>
      </c>
      <c r="O3017">
        <v>-1.2</v>
      </c>
      <c r="P3017" t="s">
        <v>100</v>
      </c>
      <c r="Q3017">
        <v>0</v>
      </c>
      <c r="R3017" t="s">
        <v>145</v>
      </c>
      <c r="S3017">
        <v>0</v>
      </c>
    </row>
    <row r="3018" spans="1:19">
      <c r="A3018" t="s">
        <v>35</v>
      </c>
      <c r="B3018" t="s">
        <v>4553</v>
      </c>
      <c r="C3018">
        <f>"1701LG"</f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1</v>
      </c>
      <c r="K3018">
        <v>7.785</v>
      </c>
      <c r="L3018" s="2">
        <v>8</v>
      </c>
      <c r="M3018">
        <v>0</v>
      </c>
      <c r="N3018" s="2">
        <v>0</v>
      </c>
      <c r="O3018">
        <v>-1.2</v>
      </c>
      <c r="P3018" t="s">
        <v>100</v>
      </c>
      <c r="Q3018">
        <v>0</v>
      </c>
      <c r="R3018" t="s">
        <v>145</v>
      </c>
      <c r="S3018">
        <v>0</v>
      </c>
    </row>
    <row r="3019" spans="1:19">
      <c r="A3019" t="s">
        <v>35</v>
      </c>
      <c r="B3019" t="s">
        <v>6727</v>
      </c>
      <c r="C3019">
        <f>"4000777"</f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1</v>
      </c>
      <c r="K3019">
        <v>0</v>
      </c>
      <c r="L3019" s="2">
        <v>0</v>
      </c>
      <c r="M3019">
        <v>0</v>
      </c>
      <c r="N3019" s="2">
        <v>0</v>
      </c>
      <c r="O3019">
        <v>-1.2</v>
      </c>
      <c r="P3019" t="s">
        <v>100</v>
      </c>
      <c r="Q3019">
        <v>0</v>
      </c>
      <c r="R3019" t="s">
        <v>145</v>
      </c>
      <c r="S3019">
        <v>0</v>
      </c>
    </row>
    <row r="3020" spans="1:19">
      <c r="A3020" t="s">
        <v>35</v>
      </c>
      <c r="B3020" t="s">
        <v>6671</v>
      </c>
      <c r="C3020">
        <f>"4000999"</f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1</v>
      </c>
      <c r="K3020">
        <v>0</v>
      </c>
      <c r="L3020" s="2">
        <v>0</v>
      </c>
      <c r="M3020">
        <v>0</v>
      </c>
      <c r="N3020" s="2">
        <v>0</v>
      </c>
      <c r="O3020">
        <v>-1.2</v>
      </c>
      <c r="P3020" t="s">
        <v>100</v>
      </c>
      <c r="Q3020">
        <v>0</v>
      </c>
      <c r="R3020" t="s">
        <v>145</v>
      </c>
      <c r="S3020">
        <v>0</v>
      </c>
    </row>
    <row r="3021" spans="1:19">
      <c r="A3021" t="s">
        <v>35</v>
      </c>
      <c r="B3021" t="s">
        <v>4556</v>
      </c>
      <c r="C3021">
        <f>"YH009MFUC"</f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1</v>
      </c>
      <c r="K3021">
        <v>4.491</v>
      </c>
      <c r="L3021" s="2">
        <v>4</v>
      </c>
      <c r="M3021">
        <v>0</v>
      </c>
      <c r="N3021" s="2">
        <v>0</v>
      </c>
      <c r="O3021">
        <v>-1.2</v>
      </c>
      <c r="P3021" t="s">
        <v>100</v>
      </c>
      <c r="Q3021">
        <v>0</v>
      </c>
      <c r="R3021" t="s">
        <v>145</v>
      </c>
      <c r="S3021">
        <v>0</v>
      </c>
    </row>
    <row r="3022" spans="1:19">
      <c r="A3022" t="s">
        <v>35</v>
      </c>
      <c r="B3022" t="s">
        <v>4557</v>
      </c>
      <c r="C3022">
        <f>"YH009LROJ"</f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1</v>
      </c>
      <c r="K3022">
        <v>5.085</v>
      </c>
      <c r="L3022" s="2">
        <v>5</v>
      </c>
      <c r="M3022">
        <v>0</v>
      </c>
      <c r="N3022" s="2">
        <v>0</v>
      </c>
      <c r="O3022">
        <v>-1.2</v>
      </c>
      <c r="P3022" t="s">
        <v>100</v>
      </c>
      <c r="Q3022">
        <v>0</v>
      </c>
      <c r="R3022" t="s">
        <v>145</v>
      </c>
      <c r="S3022">
        <v>0</v>
      </c>
    </row>
    <row r="3023" spans="1:19">
      <c r="A3023" t="s">
        <v>35</v>
      </c>
      <c r="B3023" t="s">
        <v>4558</v>
      </c>
      <c r="C3023">
        <f>"YH009LCAL"</f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1</v>
      </c>
      <c r="K3023">
        <v>5.085</v>
      </c>
      <c r="L3023" s="2">
        <v>5</v>
      </c>
      <c r="M3023">
        <v>0</v>
      </c>
      <c r="N3023" s="2">
        <v>0</v>
      </c>
      <c r="O3023">
        <v>-1.2</v>
      </c>
      <c r="P3023" t="s">
        <v>100</v>
      </c>
      <c r="Q3023">
        <v>0</v>
      </c>
      <c r="R3023" t="s">
        <v>145</v>
      </c>
      <c r="S3023">
        <v>0</v>
      </c>
    </row>
    <row r="3024" spans="1:19">
      <c r="A3024" t="s">
        <v>35</v>
      </c>
      <c r="B3024" t="s">
        <v>4564</v>
      </c>
      <c r="C3024">
        <f>"WD236"</f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1</v>
      </c>
      <c r="K3024">
        <v>2.52</v>
      </c>
      <c r="L3024" s="2">
        <v>3</v>
      </c>
      <c r="M3024">
        <v>0</v>
      </c>
      <c r="N3024" s="2">
        <v>0</v>
      </c>
      <c r="O3024">
        <v>-1.2</v>
      </c>
      <c r="P3024" t="s">
        <v>100</v>
      </c>
      <c r="Q3024">
        <v>0</v>
      </c>
      <c r="R3024" t="s">
        <v>145</v>
      </c>
      <c r="S3024">
        <v>0</v>
      </c>
    </row>
    <row r="3025" spans="1:19">
      <c r="A3025" t="s">
        <v>35</v>
      </c>
      <c r="B3025" t="s">
        <v>4733</v>
      </c>
      <c r="C3025">
        <f>"PQ114"</f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1</v>
      </c>
      <c r="K3025">
        <v>1.125</v>
      </c>
      <c r="L3025" s="2">
        <v>1</v>
      </c>
      <c r="M3025">
        <v>0</v>
      </c>
      <c r="N3025" s="2">
        <v>0</v>
      </c>
      <c r="O3025">
        <v>-1.2</v>
      </c>
      <c r="P3025" t="s">
        <v>100</v>
      </c>
      <c r="Q3025">
        <v>0</v>
      </c>
      <c r="R3025" t="s">
        <v>145</v>
      </c>
      <c r="S3025">
        <v>0</v>
      </c>
    </row>
    <row r="3026" spans="1:19">
      <c r="A3026" t="s">
        <v>35</v>
      </c>
      <c r="B3026" t="s">
        <v>3605</v>
      </c>
      <c r="C3026">
        <f>"MK01LP"</f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1</v>
      </c>
      <c r="K3026">
        <v>6.885</v>
      </c>
      <c r="L3026" s="2">
        <v>7</v>
      </c>
      <c r="M3026">
        <v>0</v>
      </c>
      <c r="N3026" s="2">
        <v>0</v>
      </c>
      <c r="O3026">
        <v>-1.2</v>
      </c>
      <c r="P3026" t="s">
        <v>100</v>
      </c>
      <c r="Q3026">
        <v>0</v>
      </c>
      <c r="R3026" t="s">
        <v>145</v>
      </c>
      <c r="S3026">
        <v>0</v>
      </c>
    </row>
    <row r="3027" spans="1:19">
      <c r="A3027" t="s">
        <v>35</v>
      </c>
      <c r="B3027" t="s">
        <v>9787</v>
      </c>
      <c r="C3027">
        <f>"HP111M"</f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1</v>
      </c>
      <c r="K3027">
        <v>2.52</v>
      </c>
      <c r="L3027" s="2">
        <v>3</v>
      </c>
      <c r="M3027">
        <v>0</v>
      </c>
      <c r="N3027" s="2">
        <v>0</v>
      </c>
      <c r="O3027">
        <v>-1.2</v>
      </c>
      <c r="P3027" t="s">
        <v>100</v>
      </c>
      <c r="Q3027">
        <v>0</v>
      </c>
      <c r="R3027" t="s">
        <v>145</v>
      </c>
      <c r="S3027">
        <v>0</v>
      </c>
    </row>
    <row r="3028" spans="1:19">
      <c r="A3028" t="s">
        <v>35</v>
      </c>
      <c r="B3028" t="s">
        <v>4571</v>
      </c>
      <c r="C3028">
        <f>"1801XL"</f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1</v>
      </c>
      <c r="K3028">
        <v>4.095</v>
      </c>
      <c r="L3028" s="2">
        <v>4</v>
      </c>
      <c r="M3028">
        <v>0</v>
      </c>
      <c r="N3028" s="2">
        <v>0</v>
      </c>
      <c r="O3028">
        <v>-1.2</v>
      </c>
      <c r="P3028" t="s">
        <v>100</v>
      </c>
      <c r="Q3028">
        <v>0</v>
      </c>
      <c r="R3028" t="s">
        <v>145</v>
      </c>
      <c r="S3028">
        <v>0</v>
      </c>
    </row>
    <row r="3029" spans="1:19">
      <c r="A3029" t="s">
        <v>35</v>
      </c>
      <c r="B3029" t="s">
        <v>4572</v>
      </c>
      <c r="C3029">
        <f>"1816A"</f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1</v>
      </c>
      <c r="K3029">
        <v>0</v>
      </c>
      <c r="L3029" s="2">
        <v>0</v>
      </c>
      <c r="M3029">
        <v>0</v>
      </c>
      <c r="N3029" s="2">
        <v>0</v>
      </c>
      <c r="O3029">
        <v>-1.2</v>
      </c>
      <c r="P3029" t="s">
        <v>100</v>
      </c>
      <c r="Q3029">
        <v>0</v>
      </c>
      <c r="R3029" t="s">
        <v>145</v>
      </c>
      <c r="S3029">
        <v>0</v>
      </c>
    </row>
    <row r="3030" spans="1:19">
      <c r="A3030" t="s">
        <v>35</v>
      </c>
      <c r="B3030" t="s">
        <v>3619</v>
      </c>
      <c r="C3030">
        <f>"763DES"</f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1</v>
      </c>
      <c r="K3030">
        <v>10.791</v>
      </c>
      <c r="L3030" s="2">
        <v>11</v>
      </c>
      <c r="M3030">
        <v>0</v>
      </c>
      <c r="N3030" s="2">
        <v>0</v>
      </c>
      <c r="O3030">
        <v>-1.2</v>
      </c>
      <c r="P3030" t="s">
        <v>100</v>
      </c>
      <c r="Q3030">
        <v>0</v>
      </c>
      <c r="R3030" t="s">
        <v>145</v>
      </c>
      <c r="S3030">
        <v>0</v>
      </c>
    </row>
    <row r="3031" spans="1:19">
      <c r="A3031" t="s">
        <v>35</v>
      </c>
      <c r="B3031" t="s">
        <v>8132</v>
      </c>
      <c r="C3031">
        <f>"54B1090322XL"</f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1</v>
      </c>
      <c r="K3031">
        <v>8.901</v>
      </c>
      <c r="L3031" s="2">
        <v>9</v>
      </c>
      <c r="M3031">
        <v>0</v>
      </c>
      <c r="N3031" s="2">
        <v>0</v>
      </c>
      <c r="O3031">
        <v>-1.2</v>
      </c>
      <c r="P3031" t="s">
        <v>100</v>
      </c>
      <c r="Q3031">
        <v>0</v>
      </c>
      <c r="R3031" t="s">
        <v>145</v>
      </c>
      <c r="S3031">
        <v>0</v>
      </c>
    </row>
    <row r="3032" spans="1:19">
      <c r="A3032" t="s">
        <v>35</v>
      </c>
      <c r="B3032" t="s">
        <v>6530</v>
      </c>
      <c r="C3032">
        <f>"HP152LCA"</f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1</v>
      </c>
      <c r="K3032">
        <v>0</v>
      </c>
      <c r="L3032" s="2">
        <v>0</v>
      </c>
      <c r="M3032">
        <v>0</v>
      </c>
      <c r="N3032" s="2">
        <v>0</v>
      </c>
      <c r="O3032">
        <v>-1.2</v>
      </c>
      <c r="P3032" t="s">
        <v>100</v>
      </c>
      <c r="Q3032">
        <v>0</v>
      </c>
      <c r="R3032" t="s">
        <v>145</v>
      </c>
      <c r="S3032">
        <v>0</v>
      </c>
    </row>
    <row r="3033" spans="1:19">
      <c r="A3033" t="s">
        <v>35</v>
      </c>
      <c r="B3033" t="s">
        <v>6530</v>
      </c>
      <c r="C3033">
        <f>"HP152LC"</f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1</v>
      </c>
      <c r="K3033">
        <v>0</v>
      </c>
      <c r="L3033" s="2">
        <v>0</v>
      </c>
      <c r="M3033">
        <v>0</v>
      </c>
      <c r="N3033" s="2">
        <v>0</v>
      </c>
      <c r="O3033">
        <v>-1.2</v>
      </c>
      <c r="P3033" t="s">
        <v>100</v>
      </c>
      <c r="Q3033">
        <v>0</v>
      </c>
      <c r="R3033" t="s">
        <v>145</v>
      </c>
      <c r="S3033">
        <v>0</v>
      </c>
    </row>
    <row r="3034" spans="1:19">
      <c r="A3034" t="s">
        <v>35</v>
      </c>
      <c r="B3034" t="s">
        <v>8007</v>
      </c>
      <c r="C3034">
        <f>"FB511SV"</f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1</v>
      </c>
      <c r="K3034">
        <v>6.75</v>
      </c>
      <c r="L3034" s="2">
        <v>7</v>
      </c>
      <c r="M3034">
        <v>0</v>
      </c>
      <c r="N3034" s="2">
        <v>0</v>
      </c>
      <c r="O3034">
        <v>-1.2</v>
      </c>
      <c r="P3034" t="s">
        <v>100</v>
      </c>
      <c r="Q3034">
        <v>0</v>
      </c>
      <c r="R3034" t="s">
        <v>145</v>
      </c>
      <c r="S3034">
        <v>0</v>
      </c>
    </row>
    <row r="3035" spans="1:19">
      <c r="A3035" t="s">
        <v>35</v>
      </c>
      <c r="B3035" t="s">
        <v>6356</v>
      </c>
      <c r="C3035">
        <f>"07639"</f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1</v>
      </c>
      <c r="K3035">
        <v>2.691</v>
      </c>
      <c r="L3035" s="2">
        <v>3</v>
      </c>
      <c r="M3035">
        <v>0</v>
      </c>
      <c r="N3035" s="2">
        <v>0</v>
      </c>
      <c r="O3035">
        <v>-1.2</v>
      </c>
      <c r="P3035" t="s">
        <v>100</v>
      </c>
      <c r="Q3035">
        <v>0</v>
      </c>
      <c r="R3035" t="s">
        <v>145</v>
      </c>
      <c r="S3035">
        <v>0</v>
      </c>
    </row>
    <row r="3036" spans="1:19">
      <c r="A3036" t="s">
        <v>35</v>
      </c>
      <c r="B3036" t="s">
        <v>8010</v>
      </c>
      <c r="C3036">
        <f>"FB511MV"</f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1</v>
      </c>
      <c r="K3036">
        <v>7.191</v>
      </c>
      <c r="L3036" s="2">
        <v>7</v>
      </c>
      <c r="M3036">
        <v>0</v>
      </c>
      <c r="N3036" s="2">
        <v>0</v>
      </c>
      <c r="O3036">
        <v>-1.2</v>
      </c>
      <c r="P3036" t="s">
        <v>100</v>
      </c>
      <c r="Q3036">
        <v>0</v>
      </c>
      <c r="R3036" t="s">
        <v>145</v>
      </c>
      <c r="S3036">
        <v>0</v>
      </c>
    </row>
    <row r="3037" spans="1:19">
      <c r="A3037" t="s">
        <v>35</v>
      </c>
      <c r="B3037" t="s">
        <v>8135</v>
      </c>
      <c r="C3037">
        <f>"34MR"</f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1</v>
      </c>
      <c r="K3037">
        <v>3.105</v>
      </c>
      <c r="L3037" s="2">
        <v>3</v>
      </c>
      <c r="M3037">
        <v>0</v>
      </c>
      <c r="N3037" s="2">
        <v>0</v>
      </c>
      <c r="O3037">
        <v>-1.2</v>
      </c>
      <c r="P3037" t="s">
        <v>100</v>
      </c>
      <c r="Q3037">
        <v>0</v>
      </c>
      <c r="R3037" t="s">
        <v>145</v>
      </c>
      <c r="S3037">
        <v>0</v>
      </c>
    </row>
    <row r="3038" spans="1:19">
      <c r="A3038" t="s">
        <v>35</v>
      </c>
      <c r="B3038" t="s">
        <v>8994</v>
      </c>
      <c r="C3038">
        <f>"CP206"</f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1</v>
      </c>
      <c r="K3038">
        <v>11.61</v>
      </c>
      <c r="L3038" s="2">
        <v>12</v>
      </c>
      <c r="M3038">
        <v>0</v>
      </c>
      <c r="N3038" s="2">
        <v>0</v>
      </c>
      <c r="O3038">
        <v>-1.2</v>
      </c>
      <c r="P3038" t="s">
        <v>100</v>
      </c>
      <c r="Q3038">
        <v>0</v>
      </c>
      <c r="R3038" t="s">
        <v>145</v>
      </c>
      <c r="S3038">
        <v>0</v>
      </c>
    </row>
    <row r="3039" spans="1:19">
      <c r="A3039" t="s">
        <v>35</v>
      </c>
      <c r="B3039" t="s">
        <v>6543</v>
      </c>
      <c r="C3039">
        <f>"CC309LAC"</f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1</v>
      </c>
      <c r="K3039">
        <v>6.291</v>
      </c>
      <c r="L3039" s="2">
        <v>6</v>
      </c>
      <c r="M3039">
        <v>0</v>
      </c>
      <c r="N3039" s="2">
        <v>0</v>
      </c>
      <c r="O3039">
        <v>-1.2</v>
      </c>
      <c r="P3039" t="s">
        <v>100</v>
      </c>
      <c r="Q3039">
        <v>0</v>
      </c>
      <c r="R3039" t="s">
        <v>145</v>
      </c>
      <c r="S3039">
        <v>0</v>
      </c>
    </row>
    <row r="3040" spans="1:19">
      <c r="A3040" t="s">
        <v>35</v>
      </c>
      <c r="B3040" t="s">
        <v>6544</v>
      </c>
      <c r="C3040">
        <f>"CC309LANN"</f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1</v>
      </c>
      <c r="K3040">
        <v>6.291</v>
      </c>
      <c r="L3040" s="2">
        <v>6</v>
      </c>
      <c r="M3040">
        <v>0</v>
      </c>
      <c r="N3040" s="2">
        <v>0</v>
      </c>
      <c r="O3040">
        <v>-1.2</v>
      </c>
      <c r="P3040" t="s">
        <v>100</v>
      </c>
      <c r="Q3040">
        <v>0</v>
      </c>
      <c r="R3040" t="s">
        <v>145</v>
      </c>
      <c r="S3040">
        <v>0</v>
      </c>
    </row>
    <row r="3041" spans="1:19">
      <c r="A3041" t="s">
        <v>35</v>
      </c>
      <c r="B3041" t="s">
        <v>5961</v>
      </c>
      <c r="C3041">
        <f>"YP59XXLA"</f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1</v>
      </c>
      <c r="K3041">
        <v>2.691</v>
      </c>
      <c r="L3041" s="2">
        <v>3</v>
      </c>
      <c r="M3041">
        <v>0</v>
      </c>
      <c r="N3041" s="2">
        <v>0</v>
      </c>
      <c r="O3041">
        <v>-1.2</v>
      </c>
      <c r="P3041" t="s">
        <v>100</v>
      </c>
      <c r="Q3041">
        <v>0</v>
      </c>
      <c r="R3041" t="s">
        <v>145</v>
      </c>
      <c r="S3041">
        <v>0</v>
      </c>
    </row>
    <row r="3042" spans="1:19">
      <c r="A3042" t="s">
        <v>35</v>
      </c>
      <c r="B3042" t="s">
        <v>6455</v>
      </c>
      <c r="C3042">
        <f>"JWZ1022M"</f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1</v>
      </c>
      <c r="K3042">
        <v>810</v>
      </c>
      <c r="L3042" s="2">
        <v>810</v>
      </c>
      <c r="M3042">
        <v>0</v>
      </c>
      <c r="N3042" s="2">
        <v>0</v>
      </c>
      <c r="O3042">
        <v>-1.2</v>
      </c>
      <c r="P3042" t="s">
        <v>100</v>
      </c>
      <c r="Q3042">
        <v>0</v>
      </c>
      <c r="R3042" t="s">
        <v>145</v>
      </c>
      <c r="S3042">
        <v>0</v>
      </c>
    </row>
    <row r="3043" spans="1:19">
      <c r="A3043" t="s">
        <v>35</v>
      </c>
      <c r="B3043" t="s">
        <v>6456</v>
      </c>
      <c r="C3043">
        <f>"1840CS"</f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1</v>
      </c>
      <c r="K3043">
        <v>1.881</v>
      </c>
      <c r="L3043" s="2">
        <v>2</v>
      </c>
      <c r="M3043">
        <v>0</v>
      </c>
      <c r="N3043" s="2">
        <v>0</v>
      </c>
      <c r="O3043">
        <v>-1.2</v>
      </c>
      <c r="P3043" t="s">
        <v>100</v>
      </c>
      <c r="Q3043">
        <v>0</v>
      </c>
      <c r="R3043" t="s">
        <v>145</v>
      </c>
      <c r="S3043">
        <v>0</v>
      </c>
    </row>
    <row r="3044" spans="1:19">
      <c r="A3044" t="s">
        <v>35</v>
      </c>
      <c r="B3044" t="s">
        <v>8750</v>
      </c>
      <c r="C3044">
        <f>"92804RL"</f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1</v>
      </c>
      <c r="K3044">
        <v>14.85</v>
      </c>
      <c r="L3044" s="2">
        <v>15</v>
      </c>
      <c r="M3044">
        <v>0</v>
      </c>
      <c r="N3044" s="2">
        <v>0</v>
      </c>
      <c r="O3044">
        <v>-1.2</v>
      </c>
      <c r="P3044" t="s">
        <v>100</v>
      </c>
      <c r="Q3044">
        <v>0</v>
      </c>
      <c r="R3044" t="s">
        <v>145</v>
      </c>
      <c r="S3044">
        <v>0</v>
      </c>
    </row>
    <row r="3045" spans="1:19">
      <c r="A3045" t="s">
        <v>35</v>
      </c>
      <c r="B3045" t="s">
        <v>2398</v>
      </c>
      <c r="C3045">
        <f>"92804NS"</f>
        <v>0</v>
      </c>
      <c r="D3045">
        <v>1</v>
      </c>
      <c r="E3045">
        <v>0</v>
      </c>
      <c r="F3045">
        <v>0</v>
      </c>
      <c r="G3045">
        <v>0</v>
      </c>
      <c r="H3045">
        <v>1</v>
      </c>
      <c r="I3045">
        <v>0</v>
      </c>
      <c r="J3045">
        <v>1</v>
      </c>
      <c r="K3045">
        <v>12.465</v>
      </c>
      <c r="L3045" s="2">
        <v>12</v>
      </c>
      <c r="M3045">
        <v>0</v>
      </c>
      <c r="N3045" s="2">
        <v>0</v>
      </c>
      <c r="O3045">
        <v>-1.2</v>
      </c>
      <c r="P3045" t="s">
        <v>100</v>
      </c>
      <c r="Q3045">
        <v>0</v>
      </c>
      <c r="R3045" t="s">
        <v>145</v>
      </c>
      <c r="S3045">
        <v>0</v>
      </c>
    </row>
    <row r="3046" spans="1:19">
      <c r="A3046" t="s">
        <v>35</v>
      </c>
      <c r="B3046" t="s">
        <v>4635</v>
      </c>
      <c r="C3046">
        <f>"MZ25-FE25022"</f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1</v>
      </c>
      <c r="K3046">
        <v>10.665</v>
      </c>
      <c r="L3046" s="2">
        <v>11</v>
      </c>
      <c r="M3046">
        <v>0</v>
      </c>
      <c r="N3046" s="2">
        <v>0</v>
      </c>
      <c r="O3046">
        <v>-1.2</v>
      </c>
      <c r="P3046" t="s">
        <v>100</v>
      </c>
      <c r="Q3046">
        <v>0</v>
      </c>
      <c r="R3046" t="s">
        <v>145</v>
      </c>
      <c r="S3046">
        <v>0</v>
      </c>
    </row>
    <row r="3047" spans="1:19">
      <c r="A3047" t="s">
        <v>35</v>
      </c>
      <c r="B3047" t="s">
        <v>2120</v>
      </c>
      <c r="C3047">
        <f>"BRI2"</f>
        <v>0</v>
      </c>
      <c r="D3047">
        <v>0</v>
      </c>
      <c r="E3047">
        <v>3</v>
      </c>
      <c r="F3047">
        <v>0</v>
      </c>
      <c r="G3047">
        <v>0</v>
      </c>
      <c r="H3047">
        <v>3</v>
      </c>
      <c r="I3047">
        <v>0</v>
      </c>
      <c r="J3047">
        <v>1</v>
      </c>
      <c r="K3047">
        <v>1.341</v>
      </c>
      <c r="L3047" s="2">
        <v>1</v>
      </c>
      <c r="M3047">
        <v>0</v>
      </c>
      <c r="N3047" s="2">
        <v>0</v>
      </c>
      <c r="O3047">
        <v>-1.2</v>
      </c>
      <c r="P3047" t="s">
        <v>100</v>
      </c>
      <c r="Q3047">
        <v>0</v>
      </c>
      <c r="R3047" t="s">
        <v>145</v>
      </c>
      <c r="S3047">
        <v>0</v>
      </c>
    </row>
    <row r="3048" spans="1:19">
      <c r="A3048" t="s">
        <v>35</v>
      </c>
      <c r="B3048" t="s">
        <v>6540</v>
      </c>
      <c r="C3048">
        <f>"FB511LN"</f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1</v>
      </c>
      <c r="K3048">
        <v>7.605</v>
      </c>
      <c r="L3048" s="2">
        <v>8</v>
      </c>
      <c r="M3048">
        <v>0</v>
      </c>
      <c r="N3048" s="2">
        <v>0</v>
      </c>
      <c r="O3048">
        <v>-1.2</v>
      </c>
      <c r="P3048" t="s">
        <v>100</v>
      </c>
      <c r="Q3048">
        <v>0</v>
      </c>
      <c r="R3048" t="s">
        <v>145</v>
      </c>
      <c r="S3048">
        <v>0</v>
      </c>
    </row>
    <row r="3049" spans="1:19">
      <c r="A3049" t="s">
        <v>35</v>
      </c>
      <c r="B3049" t="s">
        <v>6794</v>
      </c>
      <c r="C3049">
        <f>"HH032XL"</f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1</v>
      </c>
      <c r="K3049">
        <v>10.71</v>
      </c>
      <c r="L3049" s="2">
        <v>11</v>
      </c>
      <c r="M3049">
        <v>0</v>
      </c>
      <c r="N3049" s="2">
        <v>0</v>
      </c>
      <c r="O3049">
        <v>-1.2</v>
      </c>
      <c r="P3049" t="s">
        <v>100</v>
      </c>
      <c r="Q3049">
        <v>0</v>
      </c>
      <c r="R3049" t="s">
        <v>145</v>
      </c>
      <c r="S3049">
        <v>0</v>
      </c>
    </row>
    <row r="3050" spans="1:19">
      <c r="A3050" t="s">
        <v>35</v>
      </c>
      <c r="B3050" t="s">
        <v>2597</v>
      </c>
      <c r="C3050">
        <f>"S2"</f>
        <v>0</v>
      </c>
      <c r="D3050">
        <v>1</v>
      </c>
      <c r="E3050">
        <v>0</v>
      </c>
      <c r="F3050">
        <v>0</v>
      </c>
      <c r="G3050">
        <v>0</v>
      </c>
      <c r="H3050">
        <v>1</v>
      </c>
      <c r="I3050">
        <v>0</v>
      </c>
      <c r="J3050">
        <v>1</v>
      </c>
      <c r="K3050">
        <v>4.185</v>
      </c>
      <c r="L3050" s="2">
        <v>4</v>
      </c>
      <c r="M3050">
        <v>0</v>
      </c>
      <c r="N3050" s="2">
        <v>0</v>
      </c>
      <c r="O3050">
        <v>-1.2</v>
      </c>
      <c r="P3050" t="s">
        <v>100</v>
      </c>
      <c r="Q3050">
        <v>0</v>
      </c>
      <c r="R3050" t="s">
        <v>145</v>
      </c>
      <c r="S3050">
        <v>0</v>
      </c>
    </row>
    <row r="3051" spans="1:19">
      <c r="A3051" t="s">
        <v>35</v>
      </c>
      <c r="B3051" t="s">
        <v>491</v>
      </c>
      <c r="C3051">
        <f>"JWZ1016L"</f>
        <v>0</v>
      </c>
      <c r="D3051">
        <v>0</v>
      </c>
      <c r="E3051">
        <v>28</v>
      </c>
      <c r="F3051">
        <v>0</v>
      </c>
      <c r="G3051">
        <v>0</v>
      </c>
      <c r="H3051">
        <v>28</v>
      </c>
      <c r="I3051">
        <v>0</v>
      </c>
      <c r="J3051">
        <v>1</v>
      </c>
      <c r="K3051">
        <v>1.035</v>
      </c>
      <c r="L3051" s="2">
        <v>1</v>
      </c>
      <c r="M3051">
        <v>0</v>
      </c>
      <c r="N3051" s="2">
        <v>0</v>
      </c>
      <c r="O3051">
        <v>-1.2</v>
      </c>
      <c r="P3051" t="s">
        <v>100</v>
      </c>
      <c r="Q3051">
        <v>0</v>
      </c>
      <c r="R3051" t="s">
        <v>145</v>
      </c>
      <c r="S3051">
        <v>0</v>
      </c>
    </row>
    <row r="3052" spans="1:19">
      <c r="A3052" t="s">
        <v>35</v>
      </c>
      <c r="B3052" t="s">
        <v>423</v>
      </c>
      <c r="C3052">
        <f>"JWZ1032L"</f>
        <v>0</v>
      </c>
      <c r="D3052">
        <v>0</v>
      </c>
      <c r="E3052">
        <v>40</v>
      </c>
      <c r="F3052">
        <v>0</v>
      </c>
      <c r="G3052">
        <v>0</v>
      </c>
      <c r="H3052">
        <v>40</v>
      </c>
      <c r="I3052">
        <v>0</v>
      </c>
      <c r="J3052">
        <v>1</v>
      </c>
      <c r="K3052">
        <v>1.035</v>
      </c>
      <c r="L3052" s="2">
        <v>1</v>
      </c>
      <c r="M3052">
        <v>0</v>
      </c>
      <c r="N3052" s="2">
        <v>0</v>
      </c>
      <c r="O3052">
        <v>-1.2</v>
      </c>
      <c r="P3052" t="s">
        <v>100</v>
      </c>
      <c r="Q3052">
        <v>0</v>
      </c>
      <c r="R3052" t="s">
        <v>145</v>
      </c>
      <c r="S3052">
        <v>0</v>
      </c>
    </row>
    <row r="3053" spans="1:19">
      <c r="A3053" t="s">
        <v>35</v>
      </c>
      <c r="B3053" t="s">
        <v>642</v>
      </c>
      <c r="C3053">
        <f>"JWZ1007M"</f>
        <v>0</v>
      </c>
      <c r="D3053">
        <v>0</v>
      </c>
      <c r="E3053">
        <v>21</v>
      </c>
      <c r="F3053">
        <v>0</v>
      </c>
      <c r="G3053">
        <v>0</v>
      </c>
      <c r="H3053">
        <v>21</v>
      </c>
      <c r="I3053">
        <v>0</v>
      </c>
      <c r="J3053">
        <v>1</v>
      </c>
      <c r="K3053">
        <v>810</v>
      </c>
      <c r="L3053" s="2">
        <v>810</v>
      </c>
      <c r="M3053">
        <v>0</v>
      </c>
      <c r="N3053" s="2">
        <v>0</v>
      </c>
      <c r="O3053">
        <v>-1.2</v>
      </c>
      <c r="P3053" t="s">
        <v>100</v>
      </c>
      <c r="Q3053">
        <v>0</v>
      </c>
      <c r="R3053" t="s">
        <v>145</v>
      </c>
      <c r="S3053">
        <v>0</v>
      </c>
    </row>
    <row r="3054" spans="1:19">
      <c r="A3054" t="s">
        <v>35</v>
      </c>
      <c r="B3054" t="s">
        <v>2378</v>
      </c>
      <c r="C3054">
        <f>"TC0028VE"</f>
        <v>0</v>
      </c>
      <c r="D3054">
        <v>1</v>
      </c>
      <c r="E3054">
        <v>0</v>
      </c>
      <c r="F3054">
        <v>0</v>
      </c>
      <c r="G3054">
        <v>0</v>
      </c>
      <c r="H3054">
        <v>1</v>
      </c>
      <c r="I3054">
        <v>0</v>
      </c>
      <c r="J3054">
        <v>1</v>
      </c>
      <c r="K3054">
        <v>981</v>
      </c>
      <c r="L3054" s="2">
        <v>981</v>
      </c>
      <c r="M3054">
        <v>0</v>
      </c>
      <c r="N3054" s="2">
        <v>0</v>
      </c>
      <c r="O3054">
        <v>-1.2</v>
      </c>
      <c r="P3054" t="s">
        <v>100</v>
      </c>
      <c r="Q3054">
        <v>0</v>
      </c>
      <c r="R3054" t="s">
        <v>145</v>
      </c>
      <c r="S3054">
        <v>0</v>
      </c>
    </row>
    <row r="3055" spans="1:19">
      <c r="A3055" t="s">
        <v>35</v>
      </c>
      <c r="B3055" t="s">
        <v>2447</v>
      </c>
      <c r="C3055">
        <f>"HP152XLC"</f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1</v>
      </c>
      <c r="K3055">
        <v>5.391</v>
      </c>
      <c r="L3055" s="2">
        <v>5</v>
      </c>
      <c r="M3055">
        <v>0</v>
      </c>
      <c r="N3055" s="2">
        <v>0</v>
      </c>
      <c r="O3055">
        <v>-1.2</v>
      </c>
      <c r="P3055" t="s">
        <v>100</v>
      </c>
      <c r="Q3055">
        <v>0</v>
      </c>
      <c r="R3055" t="s">
        <v>145</v>
      </c>
      <c r="S3055">
        <v>0</v>
      </c>
    </row>
    <row r="3056" spans="1:19">
      <c r="A3056" t="s">
        <v>35</v>
      </c>
      <c r="B3056" t="s">
        <v>8294</v>
      </c>
      <c r="C3056">
        <f>"DB821VCS"</f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1</v>
      </c>
      <c r="K3056">
        <v>7.191</v>
      </c>
      <c r="L3056" s="2">
        <v>7</v>
      </c>
      <c r="M3056">
        <v>0</v>
      </c>
      <c r="N3056" s="2">
        <v>0</v>
      </c>
      <c r="O3056">
        <v>-1.2</v>
      </c>
      <c r="P3056" t="s">
        <v>100</v>
      </c>
      <c r="Q3056">
        <v>0</v>
      </c>
      <c r="R3056" t="s">
        <v>145</v>
      </c>
      <c r="S3056">
        <v>0</v>
      </c>
    </row>
    <row r="3057" spans="1:19">
      <c r="A3057" t="s">
        <v>35</v>
      </c>
      <c r="B3057" t="s">
        <v>6479</v>
      </c>
      <c r="C3057">
        <f>"191101XL"</f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1</v>
      </c>
      <c r="K3057">
        <v>3.987</v>
      </c>
      <c r="L3057" s="2">
        <v>4</v>
      </c>
      <c r="M3057">
        <v>0</v>
      </c>
      <c r="N3057" s="2">
        <v>0</v>
      </c>
      <c r="O3057">
        <v>-1.2</v>
      </c>
      <c r="P3057" t="s">
        <v>100</v>
      </c>
      <c r="Q3057">
        <v>0</v>
      </c>
      <c r="R3057" t="s">
        <v>145</v>
      </c>
      <c r="S3057">
        <v>0</v>
      </c>
    </row>
    <row r="3058" spans="1:19">
      <c r="A3058" t="s">
        <v>35</v>
      </c>
      <c r="B3058" t="s">
        <v>6480</v>
      </c>
      <c r="C3058">
        <f>"191101L"</f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1</v>
      </c>
      <c r="K3058">
        <v>3.51</v>
      </c>
      <c r="L3058" s="2">
        <v>4</v>
      </c>
      <c r="M3058">
        <v>0</v>
      </c>
      <c r="N3058" s="2">
        <v>0</v>
      </c>
      <c r="O3058">
        <v>-1.2</v>
      </c>
      <c r="P3058" t="s">
        <v>100</v>
      </c>
      <c r="Q3058">
        <v>0</v>
      </c>
      <c r="R3058" t="s">
        <v>145</v>
      </c>
      <c r="S3058">
        <v>0</v>
      </c>
    </row>
    <row r="3059" spans="1:19">
      <c r="A3059" t="s">
        <v>35</v>
      </c>
      <c r="B3059" t="s">
        <v>9175</v>
      </c>
      <c r="C3059">
        <f>"JNTDL"</f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1</v>
      </c>
      <c r="K3059">
        <v>3.946</v>
      </c>
      <c r="L3059" s="2">
        <v>4</v>
      </c>
      <c r="M3059">
        <v>0</v>
      </c>
      <c r="N3059" s="2">
        <v>0</v>
      </c>
      <c r="O3059">
        <v>-1.2</v>
      </c>
      <c r="P3059" t="s">
        <v>100</v>
      </c>
      <c r="Q3059">
        <v>0</v>
      </c>
      <c r="R3059" t="s">
        <v>145</v>
      </c>
      <c r="S3059">
        <v>0</v>
      </c>
    </row>
    <row r="3060" spans="1:19">
      <c r="A3060" t="s">
        <v>35</v>
      </c>
      <c r="B3060" t="s">
        <v>9246</v>
      </c>
      <c r="C3060">
        <f>"PT257Z"</f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1</v>
      </c>
      <c r="K3060">
        <v>2.52</v>
      </c>
      <c r="L3060" s="2">
        <v>3</v>
      </c>
      <c r="M3060">
        <v>0</v>
      </c>
      <c r="N3060" s="2">
        <v>0</v>
      </c>
      <c r="O3060">
        <v>-1.2</v>
      </c>
      <c r="P3060" t="s">
        <v>100</v>
      </c>
      <c r="Q3060">
        <v>0</v>
      </c>
      <c r="R3060" t="s">
        <v>145</v>
      </c>
      <c r="S3060">
        <v>0</v>
      </c>
    </row>
    <row r="3061" spans="1:19">
      <c r="A3061" t="s">
        <v>35</v>
      </c>
      <c r="B3061" t="s">
        <v>641</v>
      </c>
      <c r="C3061">
        <f>"JWZ1007S"</f>
        <v>0</v>
      </c>
      <c r="D3061">
        <v>0</v>
      </c>
      <c r="E3061">
        <v>21</v>
      </c>
      <c r="F3061">
        <v>0</v>
      </c>
      <c r="G3061">
        <v>0</v>
      </c>
      <c r="H3061">
        <v>21</v>
      </c>
      <c r="I3061">
        <v>0</v>
      </c>
      <c r="J3061">
        <v>1</v>
      </c>
      <c r="K3061">
        <v>621</v>
      </c>
      <c r="L3061" s="2">
        <v>621</v>
      </c>
      <c r="M3061">
        <v>0</v>
      </c>
      <c r="N3061" s="2">
        <v>0</v>
      </c>
      <c r="O3061">
        <v>-1.2</v>
      </c>
      <c r="P3061" t="s">
        <v>100</v>
      </c>
      <c r="Q3061">
        <v>0</v>
      </c>
      <c r="R3061" t="s">
        <v>145</v>
      </c>
      <c r="S3061">
        <v>0</v>
      </c>
    </row>
    <row r="3062" spans="1:19">
      <c r="A3062" t="s">
        <v>35</v>
      </c>
      <c r="B3062" t="s">
        <v>6793</v>
      </c>
      <c r="C3062">
        <f>"HP152SCV"</f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1</v>
      </c>
      <c r="K3062">
        <v>4.491</v>
      </c>
      <c r="L3062" s="2">
        <v>4</v>
      </c>
      <c r="M3062">
        <v>0</v>
      </c>
      <c r="N3062" s="2">
        <v>0</v>
      </c>
      <c r="O3062">
        <v>-1.2</v>
      </c>
      <c r="P3062" t="s">
        <v>100</v>
      </c>
      <c r="Q3062">
        <v>0</v>
      </c>
      <c r="R3062" t="s">
        <v>145</v>
      </c>
      <c r="S3062">
        <v>0</v>
      </c>
    </row>
    <row r="3063" spans="1:19">
      <c r="A3063" t="s">
        <v>35</v>
      </c>
      <c r="B3063" t="s">
        <v>6793</v>
      </c>
      <c r="C3063">
        <f>"HP152SCC"</f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1</v>
      </c>
      <c r="K3063">
        <v>4.491</v>
      </c>
      <c r="L3063" s="2">
        <v>4</v>
      </c>
      <c r="M3063">
        <v>0</v>
      </c>
      <c r="N3063" s="2">
        <v>0</v>
      </c>
      <c r="O3063">
        <v>-1.2</v>
      </c>
      <c r="P3063" t="s">
        <v>100</v>
      </c>
      <c r="Q3063">
        <v>0</v>
      </c>
      <c r="R3063" t="s">
        <v>145</v>
      </c>
      <c r="S3063">
        <v>0</v>
      </c>
    </row>
    <row r="3064" spans="1:19">
      <c r="A3064" t="s">
        <v>35</v>
      </c>
      <c r="B3064" t="s">
        <v>8039</v>
      </c>
      <c r="C3064">
        <f>"54B1090323XL"</f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1</v>
      </c>
      <c r="K3064">
        <v>9.872999999999999</v>
      </c>
      <c r="L3064" s="2">
        <v>10</v>
      </c>
      <c r="M3064">
        <v>0</v>
      </c>
      <c r="N3064" s="2">
        <v>0</v>
      </c>
      <c r="O3064">
        <v>-1.2</v>
      </c>
      <c r="P3064" t="s">
        <v>100</v>
      </c>
      <c r="Q3064">
        <v>0</v>
      </c>
      <c r="R3064" t="s">
        <v>145</v>
      </c>
      <c r="S3064">
        <v>0</v>
      </c>
    </row>
    <row r="3065" spans="1:19">
      <c r="A3065" t="s">
        <v>35</v>
      </c>
      <c r="B3065" t="s">
        <v>2447</v>
      </c>
      <c r="C3065">
        <f>"HP152XLR"</f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1</v>
      </c>
      <c r="K3065">
        <v>5.391</v>
      </c>
      <c r="L3065" s="2">
        <v>5</v>
      </c>
      <c r="M3065">
        <v>0</v>
      </c>
      <c r="N3065" s="2">
        <v>0</v>
      </c>
      <c r="O3065">
        <v>-1.2</v>
      </c>
      <c r="P3065" t="s">
        <v>100</v>
      </c>
      <c r="Q3065">
        <v>0</v>
      </c>
      <c r="R3065" t="s">
        <v>145</v>
      </c>
      <c r="S3065">
        <v>0</v>
      </c>
    </row>
    <row r="3066" spans="1:19">
      <c r="A3066" t="s">
        <v>35</v>
      </c>
      <c r="B3066" t="s">
        <v>7910</v>
      </c>
      <c r="C3066">
        <f>"Q5AMAR"</f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1</v>
      </c>
      <c r="K3066">
        <v>3.591</v>
      </c>
      <c r="L3066" s="2">
        <v>4</v>
      </c>
      <c r="M3066">
        <v>0</v>
      </c>
      <c r="N3066" s="2">
        <v>0</v>
      </c>
      <c r="O3066">
        <v>-1.2</v>
      </c>
      <c r="P3066" t="s">
        <v>100</v>
      </c>
      <c r="Q3066">
        <v>0</v>
      </c>
      <c r="R3066" t="s">
        <v>145</v>
      </c>
      <c r="S3066">
        <v>0</v>
      </c>
    </row>
    <row r="3067" spans="1:19">
      <c r="A3067" t="s">
        <v>35</v>
      </c>
      <c r="B3067" t="s">
        <v>6624</v>
      </c>
      <c r="C3067">
        <f>"CC309SANN"</f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1</v>
      </c>
      <c r="K3067">
        <v>3.285</v>
      </c>
      <c r="L3067" s="2">
        <v>3</v>
      </c>
      <c r="M3067">
        <v>0</v>
      </c>
      <c r="N3067" s="2">
        <v>0</v>
      </c>
      <c r="O3067">
        <v>-1.2</v>
      </c>
      <c r="P3067" t="s">
        <v>100</v>
      </c>
      <c r="Q3067">
        <v>0</v>
      </c>
      <c r="R3067" t="s">
        <v>145</v>
      </c>
      <c r="S3067">
        <v>0</v>
      </c>
    </row>
    <row r="3068" spans="1:19">
      <c r="A3068" t="s">
        <v>35</v>
      </c>
      <c r="B3068" t="s">
        <v>6801</v>
      </c>
      <c r="C3068">
        <f>"HH088SCA"</f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1</v>
      </c>
      <c r="K3068">
        <v>10.5</v>
      </c>
      <c r="L3068" s="2">
        <v>10</v>
      </c>
      <c r="M3068">
        <v>0</v>
      </c>
      <c r="N3068" s="2">
        <v>0</v>
      </c>
      <c r="O3068">
        <v>-1.2</v>
      </c>
      <c r="P3068" t="s">
        <v>100</v>
      </c>
      <c r="Q3068">
        <v>0</v>
      </c>
      <c r="R3068" t="s">
        <v>145</v>
      </c>
      <c r="S3068">
        <v>0</v>
      </c>
    </row>
    <row r="3069" spans="1:19">
      <c r="A3069" t="s">
        <v>35</v>
      </c>
      <c r="B3069" t="s">
        <v>8672</v>
      </c>
      <c r="C3069">
        <f>"DB821RM"</f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1</v>
      </c>
      <c r="K3069">
        <v>8.595000000000001</v>
      </c>
      <c r="L3069" s="2">
        <v>9</v>
      </c>
      <c r="M3069">
        <v>0</v>
      </c>
      <c r="N3069" s="2">
        <v>0</v>
      </c>
      <c r="O3069">
        <v>-1.2</v>
      </c>
      <c r="P3069" t="s">
        <v>100</v>
      </c>
      <c r="Q3069">
        <v>0</v>
      </c>
      <c r="R3069" t="s">
        <v>145</v>
      </c>
      <c r="S3069">
        <v>0</v>
      </c>
    </row>
    <row r="3070" spans="1:19">
      <c r="A3070" t="s">
        <v>35</v>
      </c>
      <c r="B3070" t="s">
        <v>5231</v>
      </c>
      <c r="C3070">
        <f>"TC2044"</f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1</v>
      </c>
      <c r="K3070">
        <v>405</v>
      </c>
      <c r="L3070" s="2">
        <v>405</v>
      </c>
      <c r="M3070">
        <v>0</v>
      </c>
      <c r="N3070" s="2">
        <v>0</v>
      </c>
      <c r="O3070">
        <v>-1.2</v>
      </c>
      <c r="P3070" t="s">
        <v>100</v>
      </c>
      <c r="Q3070">
        <v>0</v>
      </c>
      <c r="R3070" t="s">
        <v>145</v>
      </c>
      <c r="S3070">
        <v>0</v>
      </c>
    </row>
    <row r="3071" spans="1:19">
      <c r="A3071" t="s">
        <v>35</v>
      </c>
      <c r="B3071" t="s">
        <v>5283</v>
      </c>
      <c r="C3071">
        <f>"D40563"</f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1</v>
      </c>
      <c r="K3071">
        <v>1.161</v>
      </c>
      <c r="L3071" s="2">
        <v>1</v>
      </c>
      <c r="M3071">
        <v>0</v>
      </c>
      <c r="N3071" s="2">
        <v>0</v>
      </c>
      <c r="O3071">
        <v>-1.2</v>
      </c>
      <c r="P3071" t="s">
        <v>100</v>
      </c>
      <c r="Q3071">
        <v>0</v>
      </c>
      <c r="R3071" t="s">
        <v>145</v>
      </c>
      <c r="S3071">
        <v>0</v>
      </c>
    </row>
    <row r="3072" spans="1:19">
      <c r="A3072" t="s">
        <v>35</v>
      </c>
      <c r="B3072" t="s">
        <v>5300</v>
      </c>
      <c r="C3072">
        <f>"SDR202"</f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1</v>
      </c>
      <c r="K3072">
        <v>1.98</v>
      </c>
      <c r="L3072" s="2">
        <v>2</v>
      </c>
      <c r="M3072">
        <v>0</v>
      </c>
      <c r="N3072" s="2">
        <v>0</v>
      </c>
      <c r="O3072">
        <v>-1.2</v>
      </c>
      <c r="P3072" t="s">
        <v>100</v>
      </c>
      <c r="Q3072">
        <v>0</v>
      </c>
      <c r="R3072" t="s">
        <v>145</v>
      </c>
      <c r="S3072">
        <v>0</v>
      </c>
    </row>
    <row r="3073" spans="1:19">
      <c r="A3073" t="s">
        <v>35</v>
      </c>
      <c r="B3073" t="s">
        <v>6435</v>
      </c>
      <c r="C3073">
        <f>"KLO20M"</f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1</v>
      </c>
      <c r="K3073">
        <v>1.8</v>
      </c>
      <c r="L3073" s="2">
        <v>2</v>
      </c>
      <c r="M3073">
        <v>0</v>
      </c>
      <c r="N3073" s="2">
        <v>0</v>
      </c>
      <c r="O3073">
        <v>-1.2</v>
      </c>
      <c r="P3073" t="s">
        <v>100</v>
      </c>
      <c r="Q3073">
        <v>0</v>
      </c>
      <c r="R3073" t="s">
        <v>145</v>
      </c>
      <c r="S3073">
        <v>0</v>
      </c>
    </row>
    <row r="3074" spans="1:19">
      <c r="A3074" t="s">
        <v>35</v>
      </c>
      <c r="B3074" t="s">
        <v>2655</v>
      </c>
      <c r="C3074">
        <f>"ZSQ09"</f>
        <v>0</v>
      </c>
      <c r="D3074">
        <v>0</v>
      </c>
      <c r="E3074">
        <v>1</v>
      </c>
      <c r="F3074">
        <v>0</v>
      </c>
      <c r="G3074">
        <v>0</v>
      </c>
      <c r="H3074">
        <v>1</v>
      </c>
      <c r="I3074">
        <v>0</v>
      </c>
      <c r="J3074">
        <v>1</v>
      </c>
      <c r="K3074">
        <v>2.655</v>
      </c>
      <c r="L3074" s="2">
        <v>3</v>
      </c>
      <c r="M3074">
        <v>0</v>
      </c>
      <c r="N3074" s="2">
        <v>0</v>
      </c>
      <c r="O3074">
        <v>-1.2</v>
      </c>
      <c r="P3074" t="s">
        <v>100</v>
      </c>
      <c r="Q3074">
        <v>0</v>
      </c>
      <c r="R3074" t="s">
        <v>145</v>
      </c>
      <c r="S3074">
        <v>0</v>
      </c>
    </row>
    <row r="3075" spans="1:19">
      <c r="A3075" t="s">
        <v>35</v>
      </c>
      <c r="B3075" t="s">
        <v>2589</v>
      </c>
      <c r="C3075">
        <f>"HD25M"</f>
        <v>0</v>
      </c>
      <c r="D3075">
        <v>0</v>
      </c>
      <c r="E3075">
        <v>1</v>
      </c>
      <c r="F3075">
        <v>0</v>
      </c>
      <c r="G3075">
        <v>0</v>
      </c>
      <c r="H3075">
        <v>1</v>
      </c>
      <c r="I3075">
        <v>0</v>
      </c>
      <c r="J3075">
        <v>1</v>
      </c>
      <c r="K3075">
        <v>2.925</v>
      </c>
      <c r="L3075" s="2">
        <v>3</v>
      </c>
      <c r="M3075">
        <v>0</v>
      </c>
      <c r="N3075" s="2">
        <v>0</v>
      </c>
      <c r="O3075">
        <v>-1.2</v>
      </c>
      <c r="P3075" t="s">
        <v>100</v>
      </c>
      <c r="Q3075">
        <v>0</v>
      </c>
      <c r="R3075" t="s">
        <v>145</v>
      </c>
      <c r="S3075">
        <v>0</v>
      </c>
    </row>
    <row r="3076" spans="1:19">
      <c r="A3076" t="s">
        <v>35</v>
      </c>
      <c r="B3076" t="s">
        <v>8054</v>
      </c>
      <c r="C3076">
        <f>"HD23M"</f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1</v>
      </c>
      <c r="K3076">
        <v>3.33</v>
      </c>
      <c r="L3076" s="2">
        <v>3</v>
      </c>
      <c r="M3076">
        <v>0</v>
      </c>
      <c r="N3076" s="2">
        <v>0</v>
      </c>
      <c r="O3076">
        <v>-1.2</v>
      </c>
      <c r="P3076" t="s">
        <v>100</v>
      </c>
      <c r="Q3076">
        <v>0</v>
      </c>
      <c r="R3076" t="s">
        <v>145</v>
      </c>
      <c r="S3076">
        <v>0</v>
      </c>
    </row>
    <row r="3077" spans="1:19">
      <c r="A3077" t="s">
        <v>35</v>
      </c>
      <c r="B3077" t="s">
        <v>6462</v>
      </c>
      <c r="C3077">
        <f>"HH088SN"</f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1</v>
      </c>
      <c r="K3077">
        <v>0</v>
      </c>
      <c r="L3077" s="2">
        <v>0</v>
      </c>
      <c r="M3077">
        <v>0</v>
      </c>
      <c r="N3077" s="2">
        <v>0</v>
      </c>
      <c r="O3077">
        <v>-1.2</v>
      </c>
      <c r="P3077" t="s">
        <v>100</v>
      </c>
      <c r="Q3077">
        <v>0</v>
      </c>
      <c r="R3077" t="s">
        <v>145</v>
      </c>
      <c r="S3077">
        <v>0</v>
      </c>
    </row>
    <row r="3078" spans="1:19">
      <c r="A3078" t="s">
        <v>35</v>
      </c>
      <c r="B3078" t="s">
        <v>6050</v>
      </c>
      <c r="C3078">
        <f>"SPP06"</f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1</v>
      </c>
      <c r="K3078">
        <v>6.21</v>
      </c>
      <c r="L3078" s="2">
        <v>6</v>
      </c>
      <c r="M3078">
        <v>0</v>
      </c>
      <c r="N3078" s="2">
        <v>0</v>
      </c>
      <c r="O3078">
        <v>-1.2</v>
      </c>
      <c r="P3078" t="s">
        <v>100</v>
      </c>
      <c r="Q3078">
        <v>0</v>
      </c>
      <c r="R3078" t="s">
        <v>145</v>
      </c>
      <c r="S3078">
        <v>0</v>
      </c>
    </row>
    <row r="3079" spans="1:19">
      <c r="A3079" t="s">
        <v>35</v>
      </c>
      <c r="B3079" t="s">
        <v>8621</v>
      </c>
      <c r="C3079">
        <f>"4000128"</f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1</v>
      </c>
      <c r="K3079">
        <v>2.2</v>
      </c>
      <c r="L3079" s="2">
        <v>2</v>
      </c>
      <c r="M3079">
        <v>0</v>
      </c>
      <c r="N3079" s="2">
        <v>0</v>
      </c>
      <c r="O3079">
        <v>-1.2</v>
      </c>
      <c r="P3079" t="s">
        <v>100</v>
      </c>
      <c r="Q3079">
        <v>0</v>
      </c>
      <c r="R3079" t="s">
        <v>145</v>
      </c>
      <c r="S3079">
        <v>0</v>
      </c>
    </row>
    <row r="3080" spans="1:19">
      <c r="A3080" t="s">
        <v>35</v>
      </c>
      <c r="B3080" t="s">
        <v>4774</v>
      </c>
      <c r="C3080">
        <f>"JW0128A"</f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1</v>
      </c>
      <c r="K3080">
        <v>2.601</v>
      </c>
      <c r="L3080" s="2">
        <v>3</v>
      </c>
      <c r="M3080">
        <v>0</v>
      </c>
      <c r="N3080" s="2">
        <v>0</v>
      </c>
      <c r="O3080">
        <v>-1.2</v>
      </c>
      <c r="P3080" t="s">
        <v>100</v>
      </c>
      <c r="Q3080">
        <v>0</v>
      </c>
      <c r="R3080" t="s">
        <v>145</v>
      </c>
      <c r="S3080">
        <v>0</v>
      </c>
    </row>
    <row r="3081" spans="1:19">
      <c r="A3081" t="s">
        <v>35</v>
      </c>
      <c r="B3081" t="s">
        <v>6581</v>
      </c>
      <c r="C3081">
        <f>"HH088MC"</f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1</v>
      </c>
      <c r="K3081">
        <v>8.91</v>
      </c>
      <c r="L3081" s="2">
        <v>9</v>
      </c>
      <c r="M3081">
        <v>0</v>
      </c>
      <c r="N3081" s="2">
        <v>0</v>
      </c>
      <c r="O3081">
        <v>-1.2</v>
      </c>
      <c r="P3081" t="s">
        <v>100</v>
      </c>
      <c r="Q3081">
        <v>0</v>
      </c>
      <c r="R3081" t="s">
        <v>145</v>
      </c>
      <c r="S3081">
        <v>0</v>
      </c>
    </row>
    <row r="3082" spans="1:19">
      <c r="A3082" t="s">
        <v>35</v>
      </c>
      <c r="B3082" t="s">
        <v>9782</v>
      </c>
      <c r="C3082">
        <f>"EK3003"</f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1</v>
      </c>
      <c r="K3082">
        <v>1.431</v>
      </c>
      <c r="L3082" s="2">
        <v>1</v>
      </c>
      <c r="M3082">
        <v>0</v>
      </c>
      <c r="N3082" s="2">
        <v>0</v>
      </c>
      <c r="O3082">
        <v>-1.2</v>
      </c>
      <c r="P3082" t="s">
        <v>100</v>
      </c>
      <c r="Q3082">
        <v>0</v>
      </c>
      <c r="R3082" t="s">
        <v>145</v>
      </c>
      <c r="S3082">
        <v>0</v>
      </c>
    </row>
    <row r="3083" spans="1:19">
      <c r="A3083" t="s">
        <v>35</v>
      </c>
      <c r="B3083" t="s">
        <v>6866</v>
      </c>
      <c r="C3083">
        <f>"jw0122R"</f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1</v>
      </c>
      <c r="K3083">
        <v>945</v>
      </c>
      <c r="L3083" s="2">
        <v>945</v>
      </c>
      <c r="M3083">
        <v>0</v>
      </c>
      <c r="N3083" s="2">
        <v>0</v>
      </c>
      <c r="O3083">
        <v>-1.2</v>
      </c>
      <c r="P3083" t="s">
        <v>100</v>
      </c>
      <c r="Q3083">
        <v>0</v>
      </c>
      <c r="R3083" t="s">
        <v>145</v>
      </c>
      <c r="S3083">
        <v>0</v>
      </c>
    </row>
    <row r="3084" spans="1:19">
      <c r="A3084" t="s">
        <v>35</v>
      </c>
      <c r="B3084" t="s">
        <v>2713</v>
      </c>
      <c r="C3084">
        <f>"CP6300"</f>
        <v>0</v>
      </c>
      <c r="D3084">
        <v>1</v>
      </c>
      <c r="E3084">
        <v>0</v>
      </c>
      <c r="F3084">
        <v>0</v>
      </c>
      <c r="G3084">
        <v>0</v>
      </c>
      <c r="H3084">
        <v>1</v>
      </c>
      <c r="I3084">
        <v>0</v>
      </c>
      <c r="J3084">
        <v>1</v>
      </c>
      <c r="K3084">
        <v>13.41</v>
      </c>
      <c r="L3084" s="2">
        <v>13</v>
      </c>
      <c r="M3084">
        <v>0</v>
      </c>
      <c r="N3084" s="2">
        <v>0</v>
      </c>
      <c r="O3084">
        <v>-1.2</v>
      </c>
      <c r="P3084" t="s">
        <v>100</v>
      </c>
      <c r="Q3084">
        <v>0</v>
      </c>
      <c r="R3084" t="s">
        <v>145</v>
      </c>
      <c r="S3084">
        <v>0</v>
      </c>
    </row>
    <row r="3085" spans="1:19">
      <c r="A3085" t="s">
        <v>35</v>
      </c>
      <c r="B3085" t="s">
        <v>6508</v>
      </c>
      <c r="C3085">
        <f>"19484"</f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1</v>
      </c>
      <c r="K3085">
        <v>1.485</v>
      </c>
      <c r="L3085" s="2">
        <v>1</v>
      </c>
      <c r="M3085">
        <v>0</v>
      </c>
      <c r="N3085" s="2">
        <v>0</v>
      </c>
      <c r="O3085">
        <v>-1.2</v>
      </c>
      <c r="P3085" t="s">
        <v>100</v>
      </c>
      <c r="Q3085">
        <v>0</v>
      </c>
      <c r="R3085" t="s">
        <v>145</v>
      </c>
      <c r="S3085">
        <v>0</v>
      </c>
    </row>
    <row r="3086" spans="1:19">
      <c r="A3086" t="s">
        <v>35</v>
      </c>
      <c r="B3086" t="s">
        <v>9937</v>
      </c>
      <c r="C3086">
        <f>"EK3002"</f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1</v>
      </c>
      <c r="K3086">
        <v>981</v>
      </c>
      <c r="L3086" s="2">
        <v>981</v>
      </c>
      <c r="M3086">
        <v>0</v>
      </c>
      <c r="N3086" s="2">
        <v>0</v>
      </c>
      <c r="O3086">
        <v>-1.2</v>
      </c>
      <c r="P3086" t="s">
        <v>100</v>
      </c>
      <c r="Q3086">
        <v>0</v>
      </c>
      <c r="R3086" t="s">
        <v>145</v>
      </c>
      <c r="S3086">
        <v>0</v>
      </c>
    </row>
    <row r="3087" spans="1:19">
      <c r="A3087" t="s">
        <v>35</v>
      </c>
      <c r="B3087" t="s">
        <v>8365</v>
      </c>
      <c r="C3087">
        <f>"PD20014XS"</f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1</v>
      </c>
      <c r="K3087">
        <v>3.51</v>
      </c>
      <c r="L3087" s="2">
        <v>4</v>
      </c>
      <c r="M3087">
        <v>0</v>
      </c>
      <c r="N3087" s="2">
        <v>0</v>
      </c>
      <c r="O3087">
        <v>-1.2</v>
      </c>
      <c r="P3087" t="s">
        <v>100</v>
      </c>
      <c r="Q3087">
        <v>0</v>
      </c>
      <c r="R3087" t="s">
        <v>145</v>
      </c>
      <c r="S3087">
        <v>0</v>
      </c>
    </row>
    <row r="3088" spans="1:19">
      <c r="A3088" t="s">
        <v>35</v>
      </c>
      <c r="B3088" t="s">
        <v>8051</v>
      </c>
      <c r="C3088">
        <f>"HD34XXS"</f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1</v>
      </c>
      <c r="K3088">
        <v>2.421</v>
      </c>
      <c r="L3088" s="2">
        <v>2</v>
      </c>
      <c r="M3088">
        <v>0</v>
      </c>
      <c r="N3088" s="2">
        <v>0</v>
      </c>
      <c r="O3088">
        <v>-1.2</v>
      </c>
      <c r="P3088" t="s">
        <v>100</v>
      </c>
      <c r="Q3088">
        <v>0</v>
      </c>
      <c r="R3088" t="s">
        <v>145</v>
      </c>
      <c r="S3088">
        <v>0</v>
      </c>
    </row>
    <row r="3089" spans="1:19">
      <c r="A3089" t="s">
        <v>35</v>
      </c>
      <c r="B3089" t="s">
        <v>2442</v>
      </c>
      <c r="C3089">
        <f>"DN84"</f>
        <v>0</v>
      </c>
      <c r="D3089">
        <v>0</v>
      </c>
      <c r="E3089">
        <v>1</v>
      </c>
      <c r="F3089">
        <v>0</v>
      </c>
      <c r="G3089">
        <v>0</v>
      </c>
      <c r="H3089">
        <v>1</v>
      </c>
      <c r="I3089">
        <v>0</v>
      </c>
      <c r="J3089">
        <v>1</v>
      </c>
      <c r="K3089">
        <v>2.475</v>
      </c>
      <c r="L3089" s="2">
        <v>2</v>
      </c>
      <c r="M3089">
        <v>0</v>
      </c>
      <c r="N3089" s="2">
        <v>0</v>
      </c>
      <c r="O3089">
        <v>-1.2</v>
      </c>
      <c r="P3089" t="s">
        <v>100</v>
      </c>
      <c r="Q3089">
        <v>0</v>
      </c>
      <c r="R3089" t="s">
        <v>145</v>
      </c>
      <c r="S3089">
        <v>0</v>
      </c>
    </row>
    <row r="3090" spans="1:19">
      <c r="A3090" t="s">
        <v>35</v>
      </c>
      <c r="B3090" t="s">
        <v>5962</v>
      </c>
      <c r="C3090">
        <f>"YP59XLA"</f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1</v>
      </c>
      <c r="K3090">
        <v>2.52</v>
      </c>
      <c r="L3090" s="2">
        <v>3</v>
      </c>
      <c r="M3090">
        <v>0</v>
      </c>
      <c r="N3090" s="2">
        <v>0</v>
      </c>
      <c r="O3090">
        <v>-1.2</v>
      </c>
      <c r="P3090" t="s">
        <v>100</v>
      </c>
      <c r="Q3090">
        <v>0</v>
      </c>
      <c r="R3090" t="s">
        <v>145</v>
      </c>
      <c r="S3090">
        <v>0</v>
      </c>
    </row>
    <row r="3091" spans="1:19">
      <c r="A3091" t="s">
        <v>35</v>
      </c>
      <c r="B3091" t="s">
        <v>5964</v>
      </c>
      <c r="C3091">
        <f>"YP59MG"</f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1</v>
      </c>
      <c r="K3091">
        <v>2.16</v>
      </c>
      <c r="L3091" s="2">
        <v>2</v>
      </c>
      <c r="M3091">
        <v>0</v>
      </c>
      <c r="N3091" s="2">
        <v>0</v>
      </c>
      <c r="O3091">
        <v>-1.2</v>
      </c>
      <c r="P3091" t="s">
        <v>100</v>
      </c>
      <c r="Q3091">
        <v>0</v>
      </c>
      <c r="R3091" t="s">
        <v>145</v>
      </c>
      <c r="S3091">
        <v>0</v>
      </c>
    </row>
    <row r="3092" spans="1:19">
      <c r="A3092" t="s">
        <v>35</v>
      </c>
      <c r="B3092" t="s">
        <v>5966</v>
      </c>
      <c r="C3092">
        <f>"YP593XLG"</f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1</v>
      </c>
      <c r="K3092">
        <v>2.88</v>
      </c>
      <c r="L3092" s="2">
        <v>3</v>
      </c>
      <c r="M3092">
        <v>0</v>
      </c>
      <c r="N3092" s="2">
        <v>0</v>
      </c>
      <c r="O3092">
        <v>-1.2</v>
      </c>
      <c r="P3092" t="s">
        <v>100</v>
      </c>
      <c r="Q3092">
        <v>0</v>
      </c>
      <c r="R3092" t="s">
        <v>145</v>
      </c>
      <c r="S3092">
        <v>0</v>
      </c>
    </row>
    <row r="3093" spans="1:19">
      <c r="A3093" t="s">
        <v>35</v>
      </c>
      <c r="B3093" t="s">
        <v>6536</v>
      </c>
      <c r="C3093">
        <f>"HH088XLA"</f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1</v>
      </c>
      <c r="K3093">
        <v>10.71</v>
      </c>
      <c r="L3093" s="2">
        <v>11</v>
      </c>
      <c r="M3093">
        <v>0</v>
      </c>
      <c r="N3093" s="2">
        <v>0</v>
      </c>
      <c r="O3093">
        <v>-1.2</v>
      </c>
      <c r="P3093" t="s">
        <v>100</v>
      </c>
      <c r="Q3093">
        <v>0</v>
      </c>
      <c r="R3093" t="s">
        <v>145</v>
      </c>
      <c r="S3093">
        <v>0</v>
      </c>
    </row>
    <row r="3094" spans="1:19">
      <c r="A3094" t="s">
        <v>35</v>
      </c>
      <c r="B3094" t="s">
        <v>8748</v>
      </c>
      <c r="C3094">
        <f>"FB857MRO"</f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1</v>
      </c>
      <c r="K3094">
        <v>3.915</v>
      </c>
      <c r="L3094" s="2">
        <v>4</v>
      </c>
      <c r="M3094">
        <v>0</v>
      </c>
      <c r="N3094" s="2">
        <v>0</v>
      </c>
      <c r="O3094">
        <v>-1.2</v>
      </c>
      <c r="P3094" t="s">
        <v>100</v>
      </c>
      <c r="Q3094">
        <v>0</v>
      </c>
      <c r="R3094" t="s">
        <v>145</v>
      </c>
      <c r="S3094">
        <v>0</v>
      </c>
    </row>
    <row r="3095" spans="1:19">
      <c r="A3095" t="s">
        <v>35</v>
      </c>
      <c r="B3095" t="s">
        <v>2706</v>
      </c>
      <c r="C3095">
        <f>"PCM60100L"</f>
        <v>0</v>
      </c>
      <c r="D3095">
        <v>0</v>
      </c>
      <c r="E3095">
        <v>1</v>
      </c>
      <c r="F3095">
        <v>0</v>
      </c>
      <c r="G3095">
        <v>0</v>
      </c>
      <c r="H3095">
        <v>1</v>
      </c>
      <c r="I3095">
        <v>0</v>
      </c>
      <c r="J3095">
        <v>1</v>
      </c>
      <c r="K3095">
        <v>8.91</v>
      </c>
      <c r="L3095" s="2">
        <v>9</v>
      </c>
      <c r="M3095">
        <v>0</v>
      </c>
      <c r="N3095" s="2">
        <v>0</v>
      </c>
      <c r="O3095">
        <v>-1.2</v>
      </c>
      <c r="P3095" t="s">
        <v>100</v>
      </c>
      <c r="Q3095">
        <v>0</v>
      </c>
      <c r="R3095" t="s">
        <v>145</v>
      </c>
      <c r="S3095">
        <v>0</v>
      </c>
    </row>
    <row r="3096" spans="1:19">
      <c r="A3096" t="s">
        <v>35</v>
      </c>
      <c r="B3096" t="s">
        <v>7156</v>
      </c>
      <c r="C3096">
        <f>"HH088LAR"</f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1</v>
      </c>
      <c r="K3096">
        <v>9.855</v>
      </c>
      <c r="L3096" s="2">
        <v>10</v>
      </c>
      <c r="M3096">
        <v>0</v>
      </c>
      <c r="N3096" s="2">
        <v>0</v>
      </c>
      <c r="O3096">
        <v>-1.2</v>
      </c>
      <c r="P3096" t="s">
        <v>100</v>
      </c>
      <c r="Q3096">
        <v>0</v>
      </c>
      <c r="R3096" t="s">
        <v>145</v>
      </c>
      <c r="S3096">
        <v>0</v>
      </c>
    </row>
    <row r="3097" spans="1:19">
      <c r="A3097" t="s">
        <v>35</v>
      </c>
      <c r="B3097" t="s">
        <v>9938</v>
      </c>
      <c r="C3097">
        <f>"EK3001NE"</f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1</v>
      </c>
      <c r="K3097">
        <v>765</v>
      </c>
      <c r="L3097" s="2">
        <v>765</v>
      </c>
      <c r="M3097">
        <v>0</v>
      </c>
      <c r="N3097" s="2">
        <v>0</v>
      </c>
      <c r="O3097">
        <v>-1.2</v>
      </c>
      <c r="P3097" t="s">
        <v>100</v>
      </c>
      <c r="Q3097">
        <v>0</v>
      </c>
      <c r="R3097" t="s">
        <v>145</v>
      </c>
      <c r="S3097">
        <v>0</v>
      </c>
    </row>
    <row r="3098" spans="1:19">
      <c r="A3098" t="s">
        <v>35</v>
      </c>
      <c r="B3098" t="s">
        <v>8614</v>
      </c>
      <c r="C3098">
        <f>"EK3001CA"</f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1</v>
      </c>
      <c r="K3098">
        <v>765</v>
      </c>
      <c r="L3098" s="2">
        <v>765</v>
      </c>
      <c r="M3098">
        <v>0</v>
      </c>
      <c r="N3098" s="2">
        <v>0</v>
      </c>
      <c r="O3098">
        <v>-1.2</v>
      </c>
      <c r="P3098" t="s">
        <v>100</v>
      </c>
      <c r="Q3098">
        <v>0</v>
      </c>
      <c r="R3098" t="s">
        <v>145</v>
      </c>
      <c r="S3098">
        <v>0</v>
      </c>
    </row>
    <row r="3099" spans="1:19">
      <c r="A3099" t="s">
        <v>35</v>
      </c>
      <c r="B3099" t="s">
        <v>8048</v>
      </c>
      <c r="C3099">
        <f>"KLA2M"</f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1</v>
      </c>
      <c r="K3099">
        <v>3.465</v>
      </c>
      <c r="L3099" s="2">
        <v>3</v>
      </c>
      <c r="M3099">
        <v>0</v>
      </c>
      <c r="N3099" s="2">
        <v>0</v>
      </c>
      <c r="O3099">
        <v>-1.2</v>
      </c>
      <c r="P3099" t="s">
        <v>100</v>
      </c>
      <c r="Q3099">
        <v>0</v>
      </c>
      <c r="R3099" t="s">
        <v>145</v>
      </c>
      <c r="S3099">
        <v>0</v>
      </c>
    </row>
    <row r="3100" spans="1:19">
      <c r="A3100" t="s">
        <v>35</v>
      </c>
      <c r="B3100" t="s">
        <v>8365</v>
      </c>
      <c r="C3100">
        <f>"PD20014S"</f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1</v>
      </c>
      <c r="K3100">
        <v>5.58</v>
      </c>
      <c r="L3100" s="2">
        <v>6</v>
      </c>
      <c r="M3100">
        <v>0</v>
      </c>
      <c r="N3100" s="2">
        <v>0</v>
      </c>
      <c r="O3100">
        <v>-1.2</v>
      </c>
      <c r="P3100" t="s">
        <v>100</v>
      </c>
      <c r="Q3100">
        <v>0</v>
      </c>
      <c r="R3100" t="s">
        <v>145</v>
      </c>
      <c r="S3100">
        <v>0</v>
      </c>
    </row>
    <row r="3101" spans="1:19">
      <c r="A3101" t="s">
        <v>35</v>
      </c>
      <c r="B3101" t="s">
        <v>9931</v>
      </c>
      <c r="C3101">
        <f>"HH337LAZ"</f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1</v>
      </c>
      <c r="K3101">
        <v>11.205</v>
      </c>
      <c r="L3101" s="2">
        <v>11</v>
      </c>
      <c r="M3101">
        <v>0</v>
      </c>
      <c r="N3101" s="2">
        <v>0</v>
      </c>
      <c r="O3101">
        <v>-1.2</v>
      </c>
      <c r="P3101" t="s">
        <v>100</v>
      </c>
      <c r="Q3101">
        <v>0</v>
      </c>
      <c r="R3101" t="s">
        <v>145</v>
      </c>
      <c r="S3101">
        <v>0</v>
      </c>
    </row>
    <row r="3102" spans="1:19">
      <c r="A3102" t="s">
        <v>35</v>
      </c>
      <c r="B3102" t="s">
        <v>8763</v>
      </c>
      <c r="C3102">
        <f>"FB857MV"</f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1</v>
      </c>
      <c r="K3102">
        <v>3.645</v>
      </c>
      <c r="L3102" s="2">
        <v>4</v>
      </c>
      <c r="M3102">
        <v>0</v>
      </c>
      <c r="N3102" s="2">
        <v>0</v>
      </c>
      <c r="O3102">
        <v>-1.2</v>
      </c>
      <c r="P3102" t="s">
        <v>100</v>
      </c>
      <c r="Q3102">
        <v>0</v>
      </c>
      <c r="R3102" t="s">
        <v>145</v>
      </c>
      <c r="S3102">
        <v>0</v>
      </c>
    </row>
    <row r="3103" spans="1:19">
      <c r="A3103" t="s">
        <v>35</v>
      </c>
      <c r="B3103" t="s">
        <v>3012</v>
      </c>
      <c r="C3103">
        <f>"CT493"</f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1</v>
      </c>
      <c r="K3103">
        <v>585</v>
      </c>
      <c r="L3103" s="2">
        <v>585</v>
      </c>
      <c r="M3103">
        <v>0</v>
      </c>
      <c r="N3103" s="2">
        <v>0</v>
      </c>
      <c r="O3103">
        <v>-1.2</v>
      </c>
      <c r="P3103" t="s">
        <v>100</v>
      </c>
      <c r="Q3103">
        <v>0</v>
      </c>
      <c r="R3103" t="s">
        <v>145</v>
      </c>
      <c r="S3103">
        <v>0</v>
      </c>
    </row>
    <row r="3104" spans="1:19">
      <c r="A3104" t="s">
        <v>35</v>
      </c>
      <c r="B3104" t="s">
        <v>2997</v>
      </c>
      <c r="C3104">
        <f>"SY9013"</f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1</v>
      </c>
      <c r="K3104">
        <v>4.41</v>
      </c>
      <c r="L3104" s="2">
        <v>4</v>
      </c>
      <c r="M3104">
        <v>0</v>
      </c>
      <c r="N3104" s="2">
        <v>0</v>
      </c>
      <c r="O3104">
        <v>-1.2</v>
      </c>
      <c r="P3104" t="s">
        <v>100</v>
      </c>
      <c r="Q3104">
        <v>0</v>
      </c>
      <c r="R3104" t="s">
        <v>145</v>
      </c>
      <c r="S3104">
        <v>0</v>
      </c>
    </row>
    <row r="3105" spans="1:19">
      <c r="A3105" t="s">
        <v>35</v>
      </c>
      <c r="B3105" t="s">
        <v>2953</v>
      </c>
      <c r="C3105">
        <f>"PT157"</f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1</v>
      </c>
      <c r="K3105">
        <v>1.08</v>
      </c>
      <c r="L3105" s="2">
        <v>1</v>
      </c>
      <c r="M3105">
        <v>0</v>
      </c>
      <c r="N3105" s="2">
        <v>0</v>
      </c>
      <c r="O3105">
        <v>-1.2</v>
      </c>
      <c r="P3105" t="s">
        <v>100</v>
      </c>
      <c r="Q3105">
        <v>0</v>
      </c>
      <c r="R3105" t="s">
        <v>145</v>
      </c>
      <c r="S3105">
        <v>0</v>
      </c>
    </row>
    <row r="3106" spans="1:19">
      <c r="A3106" t="s">
        <v>35</v>
      </c>
      <c r="B3106" t="s">
        <v>3021</v>
      </c>
      <c r="C3106">
        <f>"PT190R"</f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1</v>
      </c>
      <c r="K3106">
        <v>3.105</v>
      </c>
      <c r="L3106" s="2">
        <v>3</v>
      </c>
      <c r="M3106">
        <v>0</v>
      </c>
      <c r="N3106" s="2">
        <v>0</v>
      </c>
      <c r="O3106">
        <v>-1.2</v>
      </c>
      <c r="P3106" t="s">
        <v>100</v>
      </c>
      <c r="Q3106">
        <v>0</v>
      </c>
      <c r="R3106" t="s">
        <v>145</v>
      </c>
      <c r="S3106">
        <v>0</v>
      </c>
    </row>
    <row r="3107" spans="1:19">
      <c r="A3107" t="s">
        <v>35</v>
      </c>
      <c r="B3107" t="s">
        <v>8056</v>
      </c>
      <c r="C3107">
        <f>"HD34L"</f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1</v>
      </c>
      <c r="K3107">
        <v>3.591</v>
      </c>
      <c r="L3107" s="2">
        <v>4</v>
      </c>
      <c r="M3107">
        <v>0</v>
      </c>
      <c r="N3107" s="2">
        <v>0</v>
      </c>
      <c r="O3107">
        <v>-1.2</v>
      </c>
      <c r="P3107" t="s">
        <v>100</v>
      </c>
      <c r="Q3107">
        <v>0</v>
      </c>
      <c r="R3107" t="s">
        <v>145</v>
      </c>
      <c r="S3107">
        <v>0</v>
      </c>
    </row>
    <row r="3108" spans="1:19">
      <c r="A3108" t="s">
        <v>35</v>
      </c>
      <c r="B3108" t="s">
        <v>6578</v>
      </c>
      <c r="C3108">
        <f>"HH088LG"</f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1</v>
      </c>
      <c r="K3108">
        <v>9.855</v>
      </c>
      <c r="L3108" s="2">
        <v>10</v>
      </c>
      <c r="M3108">
        <v>0</v>
      </c>
      <c r="N3108" s="2">
        <v>0</v>
      </c>
      <c r="O3108">
        <v>-1.2</v>
      </c>
      <c r="P3108" t="s">
        <v>100</v>
      </c>
      <c r="Q3108">
        <v>0</v>
      </c>
      <c r="R3108" t="s">
        <v>145</v>
      </c>
      <c r="S3108">
        <v>0</v>
      </c>
    </row>
    <row r="3109" spans="1:19">
      <c r="A3109" t="s">
        <v>35</v>
      </c>
      <c r="B3109" t="s">
        <v>6531</v>
      </c>
      <c r="C3109">
        <f>"HH088LBN"</f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1</v>
      </c>
      <c r="K3109">
        <v>9.855</v>
      </c>
      <c r="L3109" s="2">
        <v>10</v>
      </c>
      <c r="M3109">
        <v>0</v>
      </c>
      <c r="N3109" s="2">
        <v>0</v>
      </c>
      <c r="O3109">
        <v>-1.2</v>
      </c>
      <c r="P3109" t="s">
        <v>100</v>
      </c>
      <c r="Q3109">
        <v>0</v>
      </c>
      <c r="R3109" t="s">
        <v>145</v>
      </c>
      <c r="S3109">
        <v>0</v>
      </c>
    </row>
    <row r="3110" spans="1:19">
      <c r="A3110" t="s">
        <v>35</v>
      </c>
      <c r="B3110" t="s">
        <v>6533</v>
      </c>
      <c r="C3110">
        <f>"HH088LBL"</f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1</v>
      </c>
      <c r="K3110">
        <v>10.71</v>
      </c>
      <c r="L3110" s="2">
        <v>11</v>
      </c>
      <c r="M3110">
        <v>0</v>
      </c>
      <c r="N3110" s="2">
        <v>0</v>
      </c>
      <c r="O3110">
        <v>-1.2</v>
      </c>
      <c r="P3110" t="s">
        <v>100</v>
      </c>
      <c r="Q3110">
        <v>0</v>
      </c>
      <c r="R3110" t="s">
        <v>145</v>
      </c>
      <c r="S3110">
        <v>0</v>
      </c>
    </row>
    <row r="3111" spans="1:19">
      <c r="A3111" t="s">
        <v>35</v>
      </c>
      <c r="B3111" t="s">
        <v>6460</v>
      </c>
      <c r="C3111">
        <f>"HH088XSN"</f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1</v>
      </c>
      <c r="K3111">
        <v>0</v>
      </c>
      <c r="L3111" s="2">
        <v>0</v>
      </c>
      <c r="M3111">
        <v>0</v>
      </c>
      <c r="N3111" s="2">
        <v>0</v>
      </c>
      <c r="O3111">
        <v>-1.2</v>
      </c>
      <c r="P3111" t="s">
        <v>100</v>
      </c>
      <c r="Q3111">
        <v>0</v>
      </c>
      <c r="R3111" t="s">
        <v>145</v>
      </c>
      <c r="S3111">
        <v>0</v>
      </c>
    </row>
    <row r="3112" spans="1:19">
      <c r="A3112" t="s">
        <v>35</v>
      </c>
      <c r="B3112" t="s">
        <v>3868</v>
      </c>
      <c r="C3112">
        <f>"LS143VE"</f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1</v>
      </c>
      <c r="K3112">
        <v>1.305</v>
      </c>
      <c r="L3112" s="2">
        <v>1</v>
      </c>
      <c r="M3112">
        <v>0</v>
      </c>
      <c r="N3112" s="2">
        <v>0</v>
      </c>
      <c r="O3112">
        <v>-1.2</v>
      </c>
      <c r="P3112" t="s">
        <v>100</v>
      </c>
      <c r="Q3112">
        <v>0</v>
      </c>
      <c r="R3112" t="s">
        <v>145</v>
      </c>
      <c r="S3112">
        <v>0</v>
      </c>
    </row>
    <row r="3113" spans="1:19">
      <c r="A3113" t="s">
        <v>35</v>
      </c>
      <c r="B3113" t="s">
        <v>3869</v>
      </c>
      <c r="C3113">
        <f>"LS143AM"</f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1</v>
      </c>
      <c r="K3113">
        <v>1.305</v>
      </c>
      <c r="L3113" s="2">
        <v>1</v>
      </c>
      <c r="M3113">
        <v>0</v>
      </c>
      <c r="N3113" s="2">
        <v>0</v>
      </c>
      <c r="O3113">
        <v>-1.2</v>
      </c>
      <c r="P3113" t="s">
        <v>100</v>
      </c>
      <c r="Q3113">
        <v>0</v>
      </c>
      <c r="R3113" t="s">
        <v>145</v>
      </c>
      <c r="S3113">
        <v>0</v>
      </c>
    </row>
    <row r="3114" spans="1:19">
      <c r="A3114" t="s">
        <v>35</v>
      </c>
      <c r="B3114" t="s">
        <v>6498</v>
      </c>
      <c r="C3114">
        <f>"ZSQ06"</f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1</v>
      </c>
      <c r="K3114">
        <v>1.305</v>
      </c>
      <c r="L3114" s="2">
        <v>1</v>
      </c>
      <c r="M3114">
        <v>0</v>
      </c>
      <c r="N3114" s="2">
        <v>0</v>
      </c>
      <c r="O3114">
        <v>-1.2</v>
      </c>
      <c r="P3114" t="s">
        <v>100</v>
      </c>
      <c r="Q3114">
        <v>0</v>
      </c>
      <c r="R3114" t="s">
        <v>145</v>
      </c>
      <c r="S3114">
        <v>0</v>
      </c>
    </row>
    <row r="3115" spans="1:19">
      <c r="A3115" t="s">
        <v>35</v>
      </c>
      <c r="B3115" t="s">
        <v>9913</v>
      </c>
      <c r="C3115">
        <f>"HH337SAZ"</f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1</v>
      </c>
      <c r="K3115">
        <v>9.404999999999999</v>
      </c>
      <c r="L3115" s="2">
        <v>9</v>
      </c>
      <c r="M3115">
        <v>0</v>
      </c>
      <c r="N3115" s="2">
        <v>0</v>
      </c>
      <c r="O3115">
        <v>-1.2</v>
      </c>
      <c r="P3115" t="s">
        <v>100</v>
      </c>
      <c r="Q3115">
        <v>0</v>
      </c>
      <c r="R3115" t="s">
        <v>145</v>
      </c>
      <c r="S3115">
        <v>0</v>
      </c>
    </row>
    <row r="3116" spans="1:19">
      <c r="A3116" t="s">
        <v>35</v>
      </c>
      <c r="B3116" t="s">
        <v>6590</v>
      </c>
      <c r="C3116">
        <f>"HH088LA"</f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1</v>
      </c>
      <c r="K3116">
        <v>9.855</v>
      </c>
      <c r="L3116" s="2">
        <v>10</v>
      </c>
      <c r="M3116">
        <v>0</v>
      </c>
      <c r="N3116" s="2">
        <v>0</v>
      </c>
      <c r="O3116">
        <v>-1.2</v>
      </c>
      <c r="P3116" t="s">
        <v>100</v>
      </c>
      <c r="Q3116">
        <v>0</v>
      </c>
      <c r="R3116" t="s">
        <v>145</v>
      </c>
      <c r="S3116">
        <v>0</v>
      </c>
    </row>
    <row r="3117" spans="1:19">
      <c r="A3117" t="s">
        <v>35</v>
      </c>
      <c r="B3117" t="s">
        <v>8126</v>
      </c>
      <c r="C3117">
        <f>"54B109032XS"</f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1</v>
      </c>
      <c r="K3117">
        <v>6.138</v>
      </c>
      <c r="L3117" s="2">
        <v>6</v>
      </c>
      <c r="M3117">
        <v>0</v>
      </c>
      <c r="N3117" s="2">
        <v>0</v>
      </c>
      <c r="O3117">
        <v>-1.2</v>
      </c>
      <c r="P3117" t="s">
        <v>100</v>
      </c>
      <c r="Q3117">
        <v>0</v>
      </c>
      <c r="R3117" t="s">
        <v>145</v>
      </c>
      <c r="S3117">
        <v>0</v>
      </c>
    </row>
    <row r="3118" spans="1:19">
      <c r="A3118" t="s">
        <v>35</v>
      </c>
      <c r="B3118" t="s">
        <v>8036</v>
      </c>
      <c r="C3118">
        <f>"54B109032S"</f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1</v>
      </c>
      <c r="K3118">
        <v>6.282</v>
      </c>
      <c r="L3118" s="2">
        <v>6</v>
      </c>
      <c r="M3118">
        <v>0</v>
      </c>
      <c r="N3118" s="2">
        <v>0</v>
      </c>
      <c r="O3118">
        <v>-1.2</v>
      </c>
      <c r="P3118" t="s">
        <v>100</v>
      </c>
      <c r="Q3118">
        <v>0</v>
      </c>
      <c r="R3118" t="s">
        <v>145</v>
      </c>
      <c r="S3118">
        <v>0</v>
      </c>
    </row>
    <row r="3119" spans="1:19">
      <c r="A3119" t="s">
        <v>35</v>
      </c>
      <c r="B3119" t="s">
        <v>8037</v>
      </c>
      <c r="C3119">
        <f>"54B109032M"</f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1</v>
      </c>
      <c r="K3119">
        <v>6.552</v>
      </c>
      <c r="L3119" s="2">
        <v>7</v>
      </c>
      <c r="M3119">
        <v>0</v>
      </c>
      <c r="N3119" s="2">
        <v>0</v>
      </c>
      <c r="O3119">
        <v>-1.2</v>
      </c>
      <c r="P3119" t="s">
        <v>100</v>
      </c>
      <c r="Q3119">
        <v>0</v>
      </c>
      <c r="R3119" t="s">
        <v>145</v>
      </c>
      <c r="S3119">
        <v>0</v>
      </c>
    </row>
    <row r="3120" spans="1:19">
      <c r="A3120" t="s">
        <v>35</v>
      </c>
      <c r="B3120" t="s">
        <v>8038</v>
      </c>
      <c r="C3120">
        <f>"54B109032L"</f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1</v>
      </c>
      <c r="K3120">
        <v>7.461</v>
      </c>
      <c r="L3120" s="2">
        <v>7</v>
      </c>
      <c r="M3120">
        <v>0</v>
      </c>
      <c r="N3120" s="2">
        <v>0</v>
      </c>
      <c r="O3120">
        <v>-1.2</v>
      </c>
      <c r="P3120" t="s">
        <v>100</v>
      </c>
      <c r="Q3120">
        <v>0</v>
      </c>
      <c r="R3120" t="s">
        <v>145</v>
      </c>
      <c r="S3120">
        <v>0</v>
      </c>
    </row>
    <row r="3121" spans="1:19">
      <c r="A3121" t="s">
        <v>35</v>
      </c>
      <c r="B3121" t="s">
        <v>6637</v>
      </c>
      <c r="C3121">
        <f>"HH088LR"</f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1</v>
      </c>
      <c r="K3121">
        <v>10.71</v>
      </c>
      <c r="L3121" s="2">
        <v>11</v>
      </c>
      <c r="M3121">
        <v>0</v>
      </c>
      <c r="N3121" s="2">
        <v>0</v>
      </c>
      <c r="O3121">
        <v>-1.2</v>
      </c>
      <c r="P3121" t="s">
        <v>100</v>
      </c>
      <c r="Q3121">
        <v>0</v>
      </c>
      <c r="R3121" t="s">
        <v>145</v>
      </c>
      <c r="S3121">
        <v>0</v>
      </c>
    </row>
    <row r="3122" spans="1:19">
      <c r="A3122" t="s">
        <v>35</v>
      </c>
      <c r="B3122" t="s">
        <v>6561</v>
      </c>
      <c r="C3122">
        <f>"HH088XXLN"</f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1</v>
      </c>
      <c r="K3122">
        <v>0</v>
      </c>
      <c r="L3122" s="2">
        <v>0</v>
      </c>
      <c r="M3122">
        <v>0</v>
      </c>
      <c r="N3122" s="2">
        <v>0</v>
      </c>
      <c r="O3122">
        <v>-1.2</v>
      </c>
      <c r="P3122" t="s">
        <v>100</v>
      </c>
      <c r="Q3122">
        <v>0</v>
      </c>
      <c r="R3122" t="s">
        <v>145</v>
      </c>
      <c r="S3122">
        <v>0</v>
      </c>
    </row>
    <row r="3123" spans="1:19">
      <c r="A3123" t="s">
        <v>35</v>
      </c>
      <c r="B3123" t="s">
        <v>2704</v>
      </c>
      <c r="C3123">
        <f>"MS009"</f>
        <v>0</v>
      </c>
      <c r="D3123">
        <v>0</v>
      </c>
      <c r="E3123">
        <v>1</v>
      </c>
      <c r="F3123">
        <v>0</v>
      </c>
      <c r="G3123">
        <v>0</v>
      </c>
      <c r="H3123">
        <v>1</v>
      </c>
      <c r="I3123">
        <v>0</v>
      </c>
      <c r="J3123">
        <v>1</v>
      </c>
      <c r="K3123">
        <v>2.925</v>
      </c>
      <c r="L3123" s="2">
        <v>3</v>
      </c>
      <c r="M3123">
        <v>0</v>
      </c>
      <c r="N3123" s="2">
        <v>0</v>
      </c>
      <c r="O3123">
        <v>-1.2</v>
      </c>
      <c r="P3123" t="s">
        <v>100</v>
      </c>
      <c r="Q3123">
        <v>0</v>
      </c>
      <c r="R3123" t="s">
        <v>145</v>
      </c>
      <c r="S3123">
        <v>0</v>
      </c>
    </row>
    <row r="3124" spans="1:19">
      <c r="A3124" t="s">
        <v>35</v>
      </c>
      <c r="B3124" t="s">
        <v>4060</v>
      </c>
      <c r="C3124">
        <f>"C118354SV"</f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1</v>
      </c>
      <c r="K3124">
        <v>6.075</v>
      </c>
      <c r="L3124" s="2">
        <v>6</v>
      </c>
      <c r="M3124">
        <v>0</v>
      </c>
      <c r="N3124" s="2">
        <v>0</v>
      </c>
      <c r="O3124">
        <v>-1.2</v>
      </c>
      <c r="P3124" t="s">
        <v>100</v>
      </c>
      <c r="Q3124">
        <v>0</v>
      </c>
      <c r="R3124" t="s">
        <v>145</v>
      </c>
      <c r="S3124">
        <v>0</v>
      </c>
    </row>
    <row r="3125" spans="1:19">
      <c r="A3125" t="s">
        <v>35</v>
      </c>
      <c r="B3125" t="s">
        <v>4002</v>
      </c>
      <c r="C3125">
        <f>"C118354SA"</f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1</v>
      </c>
      <c r="K3125">
        <v>6.075</v>
      </c>
      <c r="L3125" s="2">
        <v>6</v>
      </c>
      <c r="M3125">
        <v>0</v>
      </c>
      <c r="N3125" s="2">
        <v>0</v>
      </c>
      <c r="O3125">
        <v>-1.2</v>
      </c>
      <c r="P3125" t="s">
        <v>100</v>
      </c>
      <c r="Q3125">
        <v>0</v>
      </c>
      <c r="R3125" t="s">
        <v>145</v>
      </c>
      <c r="S3125">
        <v>0</v>
      </c>
    </row>
    <row r="3126" spans="1:19">
      <c r="A3126" t="s">
        <v>35</v>
      </c>
      <c r="B3126" t="s">
        <v>4035</v>
      </c>
      <c r="C3126">
        <f>"B109006MN"</f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1</v>
      </c>
      <c r="K3126">
        <v>6.255</v>
      </c>
      <c r="L3126" s="2">
        <v>6</v>
      </c>
      <c r="M3126">
        <v>0</v>
      </c>
      <c r="N3126" s="2">
        <v>0</v>
      </c>
      <c r="O3126">
        <v>-1.2</v>
      </c>
      <c r="P3126" t="s">
        <v>100</v>
      </c>
      <c r="Q3126">
        <v>0</v>
      </c>
      <c r="R3126" t="s">
        <v>145</v>
      </c>
      <c r="S3126">
        <v>0</v>
      </c>
    </row>
    <row r="3127" spans="1:19">
      <c r="A3127" t="s">
        <v>35</v>
      </c>
      <c r="B3127" t="s">
        <v>4036</v>
      </c>
      <c r="C3127">
        <f>"C118354MC"</f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1</v>
      </c>
      <c r="K3127">
        <v>6.255</v>
      </c>
      <c r="L3127" s="2">
        <v>6</v>
      </c>
      <c r="M3127">
        <v>0</v>
      </c>
      <c r="N3127" s="2">
        <v>0</v>
      </c>
      <c r="O3127">
        <v>-1.2</v>
      </c>
      <c r="P3127" t="s">
        <v>100</v>
      </c>
      <c r="Q3127">
        <v>0</v>
      </c>
      <c r="R3127" t="s">
        <v>145</v>
      </c>
      <c r="S3127">
        <v>0</v>
      </c>
    </row>
    <row r="3128" spans="1:19">
      <c r="A3128" t="s">
        <v>35</v>
      </c>
      <c r="B3128" t="s">
        <v>3522</v>
      </c>
      <c r="C3128">
        <f>"B1090484XLV"</f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1</v>
      </c>
      <c r="K3128">
        <v>9.225</v>
      </c>
      <c r="L3128" s="2">
        <v>9</v>
      </c>
      <c r="M3128">
        <v>0</v>
      </c>
      <c r="N3128" s="2">
        <v>0</v>
      </c>
      <c r="O3128">
        <v>-1.2</v>
      </c>
      <c r="P3128" t="s">
        <v>100</v>
      </c>
      <c r="Q3128">
        <v>0</v>
      </c>
      <c r="R3128" t="s">
        <v>145</v>
      </c>
      <c r="S3128">
        <v>0</v>
      </c>
    </row>
    <row r="3129" spans="1:19">
      <c r="A3129" t="s">
        <v>35</v>
      </c>
      <c r="B3129" t="s">
        <v>9490</v>
      </c>
      <c r="C3129">
        <f>"HH095XLROJ"</f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1</v>
      </c>
      <c r="K3129">
        <v>9.891</v>
      </c>
      <c r="L3129" s="2">
        <v>10</v>
      </c>
      <c r="M3129">
        <v>0</v>
      </c>
      <c r="N3129" s="2">
        <v>0</v>
      </c>
      <c r="O3129">
        <v>-1.2</v>
      </c>
      <c r="P3129" t="s">
        <v>100</v>
      </c>
      <c r="Q3129">
        <v>0</v>
      </c>
      <c r="R3129" t="s">
        <v>145</v>
      </c>
      <c r="S3129">
        <v>0</v>
      </c>
    </row>
    <row r="3130" spans="1:19">
      <c r="A3130" t="s">
        <v>35</v>
      </c>
      <c r="B3130" t="s">
        <v>4939</v>
      </c>
      <c r="C3130">
        <f>"DW106"</f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1</v>
      </c>
      <c r="K3130">
        <v>1.755</v>
      </c>
      <c r="L3130" s="2">
        <v>2</v>
      </c>
      <c r="M3130">
        <v>0</v>
      </c>
      <c r="N3130" s="2">
        <v>0</v>
      </c>
      <c r="O3130">
        <v>-1.2</v>
      </c>
      <c r="P3130" t="s">
        <v>100</v>
      </c>
      <c r="Q3130">
        <v>0</v>
      </c>
      <c r="R3130" t="s">
        <v>145</v>
      </c>
      <c r="S3130">
        <v>0</v>
      </c>
    </row>
    <row r="3131" spans="1:19">
      <c r="A3131" t="s">
        <v>35</v>
      </c>
      <c r="B3131" t="s">
        <v>4941</v>
      </c>
      <c r="C3131">
        <f>"7406160000257"</f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1</v>
      </c>
      <c r="K3131">
        <v>0</v>
      </c>
      <c r="L3131" s="2">
        <v>0</v>
      </c>
      <c r="M3131">
        <v>0</v>
      </c>
      <c r="N3131" s="2">
        <v>0</v>
      </c>
      <c r="O3131">
        <v>-1.2</v>
      </c>
      <c r="P3131" t="s">
        <v>100</v>
      </c>
      <c r="Q3131">
        <v>0</v>
      </c>
      <c r="R3131" t="s">
        <v>145</v>
      </c>
      <c r="S3131">
        <v>0</v>
      </c>
    </row>
    <row r="3132" spans="1:19">
      <c r="A3132" t="s">
        <v>35</v>
      </c>
      <c r="B3132" t="s">
        <v>8188</v>
      </c>
      <c r="C3132">
        <f>"D14M"</f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1</v>
      </c>
      <c r="K3132">
        <v>4.455</v>
      </c>
      <c r="L3132" s="2">
        <v>4</v>
      </c>
      <c r="M3132">
        <v>0</v>
      </c>
      <c r="N3132" s="2">
        <v>0</v>
      </c>
      <c r="O3132">
        <v>-1.2</v>
      </c>
      <c r="P3132" t="s">
        <v>100</v>
      </c>
      <c r="Q3132">
        <v>0</v>
      </c>
      <c r="R3132" t="s">
        <v>145</v>
      </c>
      <c r="S3132">
        <v>0</v>
      </c>
    </row>
    <row r="3133" spans="1:19">
      <c r="A3133" t="s">
        <v>35</v>
      </c>
      <c r="B3133" t="s">
        <v>4142</v>
      </c>
      <c r="C3133">
        <f>"FB681LR"</f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1</v>
      </c>
      <c r="K3133">
        <v>5.85</v>
      </c>
      <c r="L3133" s="2">
        <v>6</v>
      </c>
      <c r="M3133">
        <v>0</v>
      </c>
      <c r="N3133" s="2">
        <v>0</v>
      </c>
      <c r="O3133">
        <v>-1.2</v>
      </c>
      <c r="P3133" t="s">
        <v>100</v>
      </c>
      <c r="Q3133">
        <v>0</v>
      </c>
      <c r="R3133" t="s">
        <v>145</v>
      </c>
      <c r="S3133">
        <v>0</v>
      </c>
    </row>
    <row r="3134" spans="1:19">
      <c r="A3134" t="s">
        <v>35</v>
      </c>
      <c r="B3134" t="s">
        <v>7847</v>
      </c>
      <c r="C3134">
        <f>"PS7009"</f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1</v>
      </c>
      <c r="K3134">
        <v>3.105</v>
      </c>
      <c r="L3134" s="2">
        <v>3</v>
      </c>
      <c r="M3134">
        <v>0</v>
      </c>
      <c r="N3134" s="2">
        <v>0</v>
      </c>
      <c r="O3134">
        <v>-1.2</v>
      </c>
      <c r="P3134" t="s">
        <v>100</v>
      </c>
      <c r="Q3134">
        <v>0</v>
      </c>
      <c r="R3134" t="s">
        <v>145</v>
      </c>
      <c r="S3134">
        <v>0</v>
      </c>
    </row>
    <row r="3135" spans="1:19">
      <c r="A3135" t="s">
        <v>35</v>
      </c>
      <c r="B3135" t="s">
        <v>8214</v>
      </c>
      <c r="C3135">
        <f>"54B1090732XLG"</f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1</v>
      </c>
      <c r="K3135">
        <v>8.865</v>
      </c>
      <c r="L3135" s="2">
        <v>9</v>
      </c>
      <c r="M3135">
        <v>0</v>
      </c>
      <c r="N3135" s="2">
        <v>0</v>
      </c>
      <c r="O3135">
        <v>-1.2</v>
      </c>
      <c r="P3135" t="s">
        <v>100</v>
      </c>
      <c r="Q3135">
        <v>0</v>
      </c>
      <c r="R3135" t="s">
        <v>145</v>
      </c>
      <c r="S3135">
        <v>0</v>
      </c>
    </row>
    <row r="3136" spans="1:19">
      <c r="A3136" t="s">
        <v>35</v>
      </c>
      <c r="B3136" t="s">
        <v>4011</v>
      </c>
      <c r="C3136">
        <f>"B109006LN"</f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1</v>
      </c>
      <c r="K3136">
        <v>7.02</v>
      </c>
      <c r="L3136" s="2">
        <v>7</v>
      </c>
      <c r="M3136">
        <v>0</v>
      </c>
      <c r="N3136" s="2">
        <v>0</v>
      </c>
      <c r="O3136">
        <v>-1.2</v>
      </c>
      <c r="P3136" t="s">
        <v>100</v>
      </c>
      <c r="Q3136">
        <v>0</v>
      </c>
      <c r="R3136" t="s">
        <v>145</v>
      </c>
      <c r="S3136">
        <v>0</v>
      </c>
    </row>
    <row r="3137" spans="1:19">
      <c r="A3137" t="s">
        <v>35</v>
      </c>
      <c r="B3137" t="s">
        <v>4012</v>
      </c>
      <c r="C3137">
        <f>"C118354LC"</f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1</v>
      </c>
      <c r="K3137">
        <v>7.02</v>
      </c>
      <c r="L3137" s="2">
        <v>7</v>
      </c>
      <c r="M3137">
        <v>0</v>
      </c>
      <c r="N3137" s="2">
        <v>0</v>
      </c>
      <c r="O3137">
        <v>-1.2</v>
      </c>
      <c r="P3137" t="s">
        <v>100</v>
      </c>
      <c r="Q3137">
        <v>0</v>
      </c>
      <c r="R3137" t="s">
        <v>145</v>
      </c>
      <c r="S3137">
        <v>0</v>
      </c>
    </row>
    <row r="3138" spans="1:19">
      <c r="A3138" t="s">
        <v>35</v>
      </c>
      <c r="B3138" t="s">
        <v>7838</v>
      </c>
      <c r="C3138">
        <f>"FEP40VT"</f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1</v>
      </c>
      <c r="K3138">
        <v>4.05</v>
      </c>
      <c r="L3138" s="2">
        <v>4</v>
      </c>
      <c r="M3138">
        <v>0</v>
      </c>
      <c r="N3138" s="2">
        <v>0</v>
      </c>
      <c r="O3138">
        <v>-1.2</v>
      </c>
      <c r="P3138" t="s">
        <v>100</v>
      </c>
      <c r="Q3138">
        <v>0</v>
      </c>
      <c r="R3138" t="s">
        <v>145</v>
      </c>
      <c r="S3138">
        <v>0</v>
      </c>
    </row>
    <row r="3139" spans="1:19">
      <c r="A3139" t="s">
        <v>35</v>
      </c>
      <c r="B3139" t="s">
        <v>7809</v>
      </c>
      <c r="C3139">
        <f>"WD907"</f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1</v>
      </c>
      <c r="K3139">
        <v>3.105</v>
      </c>
      <c r="L3139" s="2">
        <v>3</v>
      </c>
      <c r="M3139">
        <v>0</v>
      </c>
      <c r="N3139" s="2">
        <v>0</v>
      </c>
      <c r="O3139">
        <v>-1.2</v>
      </c>
      <c r="P3139" t="s">
        <v>100</v>
      </c>
      <c r="Q3139">
        <v>0</v>
      </c>
      <c r="R3139" t="s">
        <v>145</v>
      </c>
      <c r="S3139">
        <v>0</v>
      </c>
    </row>
    <row r="3140" spans="1:19">
      <c r="A3140" t="s">
        <v>35</v>
      </c>
      <c r="B3140" t="s">
        <v>8195</v>
      </c>
      <c r="C3140">
        <f>"KG1480"</f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1</v>
      </c>
      <c r="K3140">
        <v>1.251</v>
      </c>
      <c r="L3140" s="2">
        <v>1</v>
      </c>
      <c r="M3140">
        <v>0</v>
      </c>
      <c r="N3140" s="2">
        <v>0</v>
      </c>
      <c r="O3140">
        <v>-1.2</v>
      </c>
      <c r="P3140" t="s">
        <v>100</v>
      </c>
      <c r="Q3140">
        <v>0</v>
      </c>
      <c r="R3140" t="s">
        <v>145</v>
      </c>
      <c r="S3140">
        <v>0</v>
      </c>
    </row>
    <row r="3141" spans="1:19">
      <c r="A3141" t="s">
        <v>35</v>
      </c>
      <c r="B3141" t="s">
        <v>4225</v>
      </c>
      <c r="C3141">
        <f>"FB6813XLA"</f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1</v>
      </c>
      <c r="K3141">
        <v>7.65</v>
      </c>
      <c r="L3141" s="2">
        <v>8</v>
      </c>
      <c r="M3141">
        <v>0</v>
      </c>
      <c r="N3141" s="2">
        <v>0</v>
      </c>
      <c r="O3141">
        <v>-1.2</v>
      </c>
      <c r="P3141" t="s">
        <v>100</v>
      </c>
      <c r="Q3141">
        <v>0</v>
      </c>
      <c r="R3141" t="s">
        <v>145</v>
      </c>
      <c r="S3141">
        <v>0</v>
      </c>
    </row>
    <row r="3142" spans="1:19">
      <c r="A3142" t="s">
        <v>35</v>
      </c>
      <c r="B3142" t="s">
        <v>4228</v>
      </c>
      <c r="C3142">
        <f>"FB6812XLA"</f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1</v>
      </c>
      <c r="K3142">
        <v>7.101</v>
      </c>
      <c r="L3142" s="2">
        <v>7</v>
      </c>
      <c r="M3142">
        <v>0</v>
      </c>
      <c r="N3142" s="2">
        <v>0</v>
      </c>
      <c r="O3142">
        <v>-1.2</v>
      </c>
      <c r="P3142" t="s">
        <v>100</v>
      </c>
      <c r="Q3142">
        <v>0</v>
      </c>
      <c r="R3142" t="s">
        <v>145</v>
      </c>
      <c r="S3142">
        <v>0</v>
      </c>
    </row>
    <row r="3143" spans="1:19">
      <c r="A3143" t="s">
        <v>35</v>
      </c>
      <c r="B3143" t="s">
        <v>4132</v>
      </c>
      <c r="C3143">
        <f>"FB6784XL"</f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1</v>
      </c>
      <c r="K3143">
        <v>5.85</v>
      </c>
      <c r="L3143" s="2">
        <v>6</v>
      </c>
      <c r="M3143">
        <v>0</v>
      </c>
      <c r="N3143" s="2">
        <v>0</v>
      </c>
      <c r="O3143">
        <v>-1.2</v>
      </c>
      <c r="P3143" t="s">
        <v>100</v>
      </c>
      <c r="Q3143">
        <v>0</v>
      </c>
      <c r="R3143" t="s">
        <v>145</v>
      </c>
      <c r="S3143">
        <v>0</v>
      </c>
    </row>
    <row r="3144" spans="1:19">
      <c r="A3144" t="s">
        <v>35</v>
      </c>
      <c r="B3144" t="s">
        <v>9660</v>
      </c>
      <c r="C3144">
        <f>"HH095XXLCE"</f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1</v>
      </c>
      <c r="K3144">
        <v>12.501</v>
      </c>
      <c r="L3144" s="2">
        <v>13</v>
      </c>
      <c r="M3144">
        <v>0</v>
      </c>
      <c r="N3144" s="2">
        <v>0</v>
      </c>
      <c r="O3144">
        <v>-1.2</v>
      </c>
      <c r="P3144" t="s">
        <v>100</v>
      </c>
      <c r="Q3144">
        <v>0</v>
      </c>
      <c r="R3144" t="s">
        <v>145</v>
      </c>
      <c r="S3144">
        <v>0</v>
      </c>
    </row>
    <row r="3145" spans="1:19">
      <c r="A3145" t="s">
        <v>35</v>
      </c>
      <c r="B3145" t="s">
        <v>9661</v>
      </c>
      <c r="C3145">
        <f>"HH095XSV"</f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1</v>
      </c>
      <c r="K3145">
        <v>7.11</v>
      </c>
      <c r="L3145" s="2">
        <v>7</v>
      </c>
      <c r="M3145">
        <v>0</v>
      </c>
      <c r="N3145" s="2">
        <v>0</v>
      </c>
      <c r="O3145">
        <v>-1.2</v>
      </c>
      <c r="P3145" t="s">
        <v>100</v>
      </c>
      <c r="Q3145">
        <v>0</v>
      </c>
      <c r="R3145" t="s">
        <v>145</v>
      </c>
      <c r="S3145">
        <v>0</v>
      </c>
    </row>
    <row r="3146" spans="1:19">
      <c r="A3146" t="s">
        <v>35</v>
      </c>
      <c r="B3146" t="s">
        <v>9635</v>
      </c>
      <c r="C3146">
        <f>"HH095XSNE"</f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1</v>
      </c>
      <c r="K3146">
        <v>7.11</v>
      </c>
      <c r="L3146" s="2">
        <v>7</v>
      </c>
      <c r="M3146">
        <v>0</v>
      </c>
      <c r="N3146" s="2">
        <v>0</v>
      </c>
      <c r="O3146">
        <v>-1.2</v>
      </c>
      <c r="P3146" t="s">
        <v>100</v>
      </c>
      <c r="Q3146">
        <v>0</v>
      </c>
      <c r="R3146" t="s">
        <v>145</v>
      </c>
      <c r="S3146">
        <v>0</v>
      </c>
    </row>
    <row r="3147" spans="1:19">
      <c r="A3147" t="s">
        <v>35</v>
      </c>
      <c r="B3147" t="s">
        <v>4039</v>
      </c>
      <c r="C3147">
        <f>"C118354LV"</f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1</v>
      </c>
      <c r="K3147">
        <v>7.02</v>
      </c>
      <c r="L3147" s="2">
        <v>7</v>
      </c>
      <c r="M3147">
        <v>0</v>
      </c>
      <c r="N3147" s="2">
        <v>0</v>
      </c>
      <c r="O3147">
        <v>-1.2</v>
      </c>
      <c r="P3147" t="s">
        <v>100</v>
      </c>
      <c r="Q3147">
        <v>0</v>
      </c>
      <c r="R3147" t="s">
        <v>145</v>
      </c>
      <c r="S3147">
        <v>0</v>
      </c>
    </row>
    <row r="3148" spans="1:19">
      <c r="A3148" t="s">
        <v>35</v>
      </c>
      <c r="B3148" t="s">
        <v>4038</v>
      </c>
      <c r="C3148">
        <f>"C118354MA"</f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1</v>
      </c>
      <c r="K3148">
        <v>6.255</v>
      </c>
      <c r="L3148" s="2">
        <v>6</v>
      </c>
      <c r="M3148">
        <v>0</v>
      </c>
      <c r="N3148" s="2">
        <v>0</v>
      </c>
      <c r="O3148">
        <v>-1.2</v>
      </c>
      <c r="P3148" t="s">
        <v>100</v>
      </c>
      <c r="Q3148">
        <v>0</v>
      </c>
      <c r="R3148" t="s">
        <v>145</v>
      </c>
      <c r="S3148">
        <v>0</v>
      </c>
    </row>
    <row r="3149" spans="1:19">
      <c r="A3149" t="s">
        <v>35</v>
      </c>
      <c r="B3149" t="s">
        <v>4844</v>
      </c>
      <c r="C3149">
        <f>"WD904RO"</f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1</v>
      </c>
      <c r="K3149">
        <v>4.59</v>
      </c>
      <c r="L3149" s="2">
        <v>5</v>
      </c>
      <c r="M3149">
        <v>0</v>
      </c>
      <c r="N3149" s="2">
        <v>0</v>
      </c>
      <c r="O3149">
        <v>-1.2</v>
      </c>
      <c r="P3149" t="s">
        <v>100</v>
      </c>
      <c r="Q3149">
        <v>0</v>
      </c>
      <c r="R3149" t="s">
        <v>145</v>
      </c>
      <c r="S3149">
        <v>0</v>
      </c>
    </row>
    <row r="3150" spans="1:19">
      <c r="A3150" t="s">
        <v>35</v>
      </c>
      <c r="B3150" t="s">
        <v>4847</v>
      </c>
      <c r="C3150">
        <f>"YH010MDROJ"</f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1</v>
      </c>
      <c r="K3150">
        <v>4.68</v>
      </c>
      <c r="L3150" s="2">
        <v>5</v>
      </c>
      <c r="M3150">
        <v>0</v>
      </c>
      <c r="N3150" s="2">
        <v>0</v>
      </c>
      <c r="O3150">
        <v>-1.2</v>
      </c>
      <c r="P3150" t="s">
        <v>100</v>
      </c>
      <c r="Q3150">
        <v>0</v>
      </c>
      <c r="R3150" t="s">
        <v>145</v>
      </c>
      <c r="S3150">
        <v>0</v>
      </c>
    </row>
    <row r="3151" spans="1:19">
      <c r="A3151" t="s">
        <v>35</v>
      </c>
      <c r="B3151" t="s">
        <v>4848</v>
      </c>
      <c r="C3151">
        <f>"YH010MDAM"</f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1</v>
      </c>
      <c r="K3151">
        <v>4.68</v>
      </c>
      <c r="L3151" s="2">
        <v>5</v>
      </c>
      <c r="M3151">
        <v>0</v>
      </c>
      <c r="N3151" s="2">
        <v>0</v>
      </c>
      <c r="O3151">
        <v>-1.2</v>
      </c>
      <c r="P3151" t="s">
        <v>100</v>
      </c>
      <c r="Q3151">
        <v>0</v>
      </c>
      <c r="R3151" t="s">
        <v>145</v>
      </c>
      <c r="S3151">
        <v>0</v>
      </c>
    </row>
    <row r="3152" spans="1:19">
      <c r="A3152" t="s">
        <v>35</v>
      </c>
      <c r="B3152" t="s">
        <v>4849</v>
      </c>
      <c r="C3152">
        <f>"YH010LDAZ"</f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1</v>
      </c>
      <c r="K3152">
        <v>5.31</v>
      </c>
      <c r="L3152" s="2">
        <v>5</v>
      </c>
      <c r="M3152">
        <v>0</v>
      </c>
      <c r="N3152" s="2">
        <v>0</v>
      </c>
      <c r="O3152">
        <v>-1.2</v>
      </c>
      <c r="P3152" t="s">
        <v>100</v>
      </c>
      <c r="Q3152">
        <v>0</v>
      </c>
      <c r="R3152" t="s">
        <v>145</v>
      </c>
      <c r="S3152">
        <v>0</v>
      </c>
    </row>
    <row r="3153" spans="1:19">
      <c r="A3153" t="s">
        <v>35</v>
      </c>
      <c r="B3153" t="s">
        <v>4850</v>
      </c>
      <c r="C3153">
        <f>"YH010LAM"</f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1</v>
      </c>
      <c r="K3153">
        <v>5.31</v>
      </c>
      <c r="L3153" s="2">
        <v>5</v>
      </c>
      <c r="M3153">
        <v>0</v>
      </c>
      <c r="N3153" s="2">
        <v>0</v>
      </c>
      <c r="O3153">
        <v>-1.2</v>
      </c>
      <c r="P3153" t="s">
        <v>100</v>
      </c>
      <c r="Q3153">
        <v>0</v>
      </c>
      <c r="R3153" t="s">
        <v>145</v>
      </c>
      <c r="S3153">
        <v>0</v>
      </c>
    </row>
    <row r="3154" spans="1:19">
      <c r="A3154" t="s">
        <v>35</v>
      </c>
      <c r="B3154" t="s">
        <v>4030</v>
      </c>
      <c r="C3154">
        <f>"B109006LA"</f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1</v>
      </c>
      <c r="K3154">
        <v>7.02</v>
      </c>
      <c r="L3154" s="2">
        <v>7</v>
      </c>
      <c r="M3154">
        <v>0</v>
      </c>
      <c r="N3154" s="2">
        <v>0</v>
      </c>
      <c r="O3154">
        <v>-1.2</v>
      </c>
      <c r="P3154" t="s">
        <v>100</v>
      </c>
      <c r="Q3154">
        <v>0</v>
      </c>
      <c r="R3154" t="s">
        <v>145</v>
      </c>
      <c r="S3154">
        <v>0</v>
      </c>
    </row>
    <row r="3155" spans="1:19">
      <c r="A3155" t="s">
        <v>35</v>
      </c>
      <c r="B3155" t="s">
        <v>4015</v>
      </c>
      <c r="C3155">
        <f>"C1183544XLV"</f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1</v>
      </c>
      <c r="K3155">
        <v>10.791</v>
      </c>
      <c r="L3155" s="2">
        <v>11</v>
      </c>
      <c r="M3155">
        <v>0</v>
      </c>
      <c r="N3155" s="2">
        <v>0</v>
      </c>
      <c r="O3155">
        <v>-1.2</v>
      </c>
      <c r="P3155" t="s">
        <v>100</v>
      </c>
      <c r="Q3155">
        <v>0</v>
      </c>
      <c r="R3155" t="s">
        <v>145</v>
      </c>
      <c r="S3155">
        <v>0</v>
      </c>
    </row>
    <row r="3156" spans="1:19">
      <c r="A3156" t="s">
        <v>35</v>
      </c>
      <c r="B3156" t="s">
        <v>4016</v>
      </c>
      <c r="C3156">
        <f>"B1090064XLV"</f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1</v>
      </c>
      <c r="K3156">
        <v>10.791</v>
      </c>
      <c r="L3156" s="2">
        <v>11</v>
      </c>
      <c r="M3156">
        <v>0</v>
      </c>
      <c r="N3156" s="2">
        <v>0</v>
      </c>
      <c r="O3156">
        <v>-1.2</v>
      </c>
      <c r="P3156" t="s">
        <v>100</v>
      </c>
      <c r="Q3156">
        <v>0</v>
      </c>
      <c r="R3156" t="s">
        <v>145</v>
      </c>
      <c r="S3156">
        <v>0</v>
      </c>
    </row>
    <row r="3157" spans="1:19">
      <c r="A3157" t="s">
        <v>35</v>
      </c>
      <c r="B3157" t="s">
        <v>4017</v>
      </c>
      <c r="C3157">
        <f>"B1090064XLN"</f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1</v>
      </c>
      <c r="K3157">
        <v>10.791</v>
      </c>
      <c r="L3157" s="2">
        <v>11</v>
      </c>
      <c r="M3157">
        <v>0</v>
      </c>
      <c r="N3157" s="2">
        <v>0</v>
      </c>
      <c r="O3157">
        <v>-1.2</v>
      </c>
      <c r="P3157" t="s">
        <v>100</v>
      </c>
      <c r="Q3157">
        <v>0</v>
      </c>
      <c r="R3157" t="s">
        <v>145</v>
      </c>
      <c r="S3157">
        <v>0</v>
      </c>
    </row>
    <row r="3158" spans="1:19">
      <c r="A3158" t="s">
        <v>35</v>
      </c>
      <c r="B3158" t="s">
        <v>4018</v>
      </c>
      <c r="C3158">
        <f>"C1183544XLC"</f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1</v>
      </c>
      <c r="K3158">
        <v>10.791</v>
      </c>
      <c r="L3158" s="2">
        <v>11</v>
      </c>
      <c r="M3158">
        <v>0</v>
      </c>
      <c r="N3158" s="2">
        <v>0</v>
      </c>
      <c r="O3158">
        <v>-1.2</v>
      </c>
      <c r="P3158" t="s">
        <v>100</v>
      </c>
      <c r="Q3158">
        <v>0</v>
      </c>
      <c r="R3158" t="s">
        <v>145</v>
      </c>
      <c r="S3158">
        <v>0</v>
      </c>
    </row>
    <row r="3159" spans="1:19">
      <c r="A3159" t="s">
        <v>35</v>
      </c>
      <c r="B3159" t="s">
        <v>4059</v>
      </c>
      <c r="C3159">
        <f>"B109006SV"</f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1</v>
      </c>
      <c r="K3159">
        <v>6.075</v>
      </c>
      <c r="L3159" s="2">
        <v>6</v>
      </c>
      <c r="M3159">
        <v>0</v>
      </c>
      <c r="N3159" s="2">
        <v>0</v>
      </c>
      <c r="O3159">
        <v>-1.2</v>
      </c>
      <c r="P3159" t="s">
        <v>100</v>
      </c>
      <c r="Q3159">
        <v>0</v>
      </c>
      <c r="R3159" t="s">
        <v>145</v>
      </c>
      <c r="S3159">
        <v>0</v>
      </c>
    </row>
    <row r="3160" spans="1:19">
      <c r="A3160" t="s">
        <v>35</v>
      </c>
      <c r="B3160" t="s">
        <v>4052</v>
      </c>
      <c r="C3160">
        <f>"B1090063XLV"</f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1</v>
      </c>
      <c r="K3160">
        <v>9.936</v>
      </c>
      <c r="L3160" s="2">
        <v>10</v>
      </c>
      <c r="M3160">
        <v>0</v>
      </c>
      <c r="N3160" s="2">
        <v>0</v>
      </c>
      <c r="O3160">
        <v>-1.2</v>
      </c>
      <c r="P3160" t="s">
        <v>100</v>
      </c>
      <c r="Q3160">
        <v>0</v>
      </c>
      <c r="R3160" t="s">
        <v>145</v>
      </c>
      <c r="S3160">
        <v>0</v>
      </c>
    </row>
    <row r="3161" spans="1:19">
      <c r="A3161" t="s">
        <v>35</v>
      </c>
      <c r="B3161" t="s">
        <v>7852</v>
      </c>
      <c r="C3161">
        <f>"DTC803R"</f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1</v>
      </c>
      <c r="K3161">
        <v>35.91</v>
      </c>
      <c r="L3161" s="2">
        <v>36</v>
      </c>
      <c r="M3161">
        <v>0</v>
      </c>
      <c r="N3161" s="2">
        <v>0</v>
      </c>
      <c r="O3161">
        <v>-1.2</v>
      </c>
      <c r="P3161" t="s">
        <v>100</v>
      </c>
      <c r="Q3161">
        <v>0</v>
      </c>
      <c r="R3161" t="s">
        <v>145</v>
      </c>
      <c r="S3161">
        <v>0</v>
      </c>
    </row>
    <row r="3162" spans="1:19">
      <c r="A3162" t="s">
        <v>35</v>
      </c>
      <c r="B3162" t="s">
        <v>7853</v>
      </c>
      <c r="C3162">
        <f>"DTC803AZO"</f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1</v>
      </c>
      <c r="K3162">
        <v>35.91</v>
      </c>
      <c r="L3162" s="2">
        <v>36</v>
      </c>
      <c r="M3162">
        <v>0</v>
      </c>
      <c r="N3162" s="2">
        <v>0</v>
      </c>
      <c r="O3162">
        <v>-1.2</v>
      </c>
      <c r="P3162" t="s">
        <v>100</v>
      </c>
      <c r="Q3162">
        <v>0</v>
      </c>
      <c r="R3162" t="s">
        <v>145</v>
      </c>
      <c r="S3162">
        <v>0</v>
      </c>
    </row>
    <row r="3163" spans="1:19">
      <c r="A3163" t="s">
        <v>35</v>
      </c>
      <c r="B3163" t="s">
        <v>4183</v>
      </c>
      <c r="C3163">
        <f>"B1160032XLM"</f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1</v>
      </c>
      <c r="K3163">
        <v>9.936</v>
      </c>
      <c r="L3163" s="2">
        <v>10</v>
      </c>
      <c r="M3163">
        <v>0</v>
      </c>
      <c r="N3163" s="2">
        <v>0</v>
      </c>
      <c r="O3163">
        <v>-1.2</v>
      </c>
      <c r="P3163" t="s">
        <v>100</v>
      </c>
      <c r="Q3163">
        <v>0</v>
      </c>
      <c r="R3163" t="s">
        <v>145</v>
      </c>
      <c r="S3163">
        <v>0</v>
      </c>
    </row>
    <row r="3164" spans="1:19">
      <c r="A3164" t="s">
        <v>35</v>
      </c>
      <c r="B3164" t="s">
        <v>4184</v>
      </c>
      <c r="C3164">
        <f>"B1160032XLA"</f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1</v>
      </c>
      <c r="K3164">
        <v>9.936</v>
      </c>
      <c r="L3164" s="2">
        <v>10</v>
      </c>
      <c r="M3164">
        <v>0</v>
      </c>
      <c r="N3164" s="2">
        <v>0</v>
      </c>
      <c r="O3164">
        <v>-1.2</v>
      </c>
      <c r="P3164" t="s">
        <v>100</v>
      </c>
      <c r="Q3164">
        <v>0</v>
      </c>
      <c r="R3164" t="s">
        <v>145</v>
      </c>
      <c r="S3164">
        <v>0</v>
      </c>
    </row>
    <row r="3165" spans="1:19">
      <c r="A3165" t="s">
        <v>35</v>
      </c>
      <c r="B3165" t="s">
        <v>4130</v>
      </c>
      <c r="C3165">
        <f>"YP42LR"</f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1</v>
      </c>
      <c r="K3165">
        <v>5.625</v>
      </c>
      <c r="L3165" s="2">
        <v>6</v>
      </c>
      <c r="M3165">
        <v>0</v>
      </c>
      <c r="N3165" s="2">
        <v>0</v>
      </c>
      <c r="O3165">
        <v>-1.2</v>
      </c>
      <c r="P3165" t="s">
        <v>100</v>
      </c>
      <c r="Q3165">
        <v>0</v>
      </c>
      <c r="R3165" t="s">
        <v>145</v>
      </c>
      <c r="S3165">
        <v>0</v>
      </c>
    </row>
    <row r="3166" spans="1:19">
      <c r="A3166" t="s">
        <v>35</v>
      </c>
      <c r="B3166" t="s">
        <v>4162</v>
      </c>
      <c r="C3166">
        <f>"YP42LA"</f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1</v>
      </c>
      <c r="K3166">
        <v>5.625</v>
      </c>
      <c r="L3166" s="2">
        <v>6</v>
      </c>
      <c r="M3166">
        <v>0</v>
      </c>
      <c r="N3166" s="2">
        <v>0</v>
      </c>
      <c r="O3166">
        <v>-1.2</v>
      </c>
      <c r="P3166" t="s">
        <v>100</v>
      </c>
      <c r="Q3166">
        <v>0</v>
      </c>
      <c r="R3166" t="s">
        <v>145</v>
      </c>
      <c r="S3166">
        <v>0</v>
      </c>
    </row>
    <row r="3167" spans="1:19">
      <c r="A3167" t="s">
        <v>35</v>
      </c>
      <c r="B3167" t="s">
        <v>9496</v>
      </c>
      <c r="C3167">
        <f>"PD200016M"</f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1</v>
      </c>
      <c r="K3167">
        <v>5.263</v>
      </c>
      <c r="L3167" s="2">
        <v>5</v>
      </c>
      <c r="M3167">
        <v>0</v>
      </c>
      <c r="N3167" s="2">
        <v>0</v>
      </c>
      <c r="O3167">
        <v>-1.2</v>
      </c>
      <c r="P3167" t="s">
        <v>100</v>
      </c>
      <c r="Q3167">
        <v>0</v>
      </c>
      <c r="R3167" t="s">
        <v>145</v>
      </c>
      <c r="S3167">
        <v>0</v>
      </c>
    </row>
    <row r="3168" spans="1:19">
      <c r="A3168" t="s">
        <v>35</v>
      </c>
      <c r="B3168" t="s">
        <v>9710</v>
      </c>
      <c r="C3168">
        <f>"HH095XXSROJ"</f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1</v>
      </c>
      <c r="K3168">
        <v>5.625</v>
      </c>
      <c r="L3168" s="2">
        <v>6</v>
      </c>
      <c r="M3168">
        <v>0</v>
      </c>
      <c r="N3168" s="2">
        <v>0</v>
      </c>
      <c r="O3168">
        <v>-1.2</v>
      </c>
      <c r="P3168" t="s">
        <v>100</v>
      </c>
      <c r="Q3168">
        <v>0</v>
      </c>
      <c r="R3168" t="s">
        <v>145</v>
      </c>
      <c r="S3168">
        <v>0</v>
      </c>
    </row>
    <row r="3169" spans="1:19">
      <c r="A3169" t="s">
        <v>35</v>
      </c>
      <c r="B3169" t="s">
        <v>9599</v>
      </c>
      <c r="C3169">
        <f>"HH095XXSNA"</f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1</v>
      </c>
      <c r="K3169">
        <v>5.625</v>
      </c>
      <c r="L3169" s="2">
        <v>6</v>
      </c>
      <c r="M3169">
        <v>0</v>
      </c>
      <c r="N3169" s="2">
        <v>0</v>
      </c>
      <c r="O3169">
        <v>-1.2</v>
      </c>
      <c r="P3169" t="s">
        <v>100</v>
      </c>
      <c r="Q3169">
        <v>0</v>
      </c>
      <c r="R3169" t="s">
        <v>145</v>
      </c>
      <c r="S3169">
        <v>0</v>
      </c>
    </row>
    <row r="3170" spans="1:19">
      <c r="A3170" t="s">
        <v>35</v>
      </c>
      <c r="B3170" t="s">
        <v>4057</v>
      </c>
      <c r="C3170">
        <f>"C118354XLA"</f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1</v>
      </c>
      <c r="K3170">
        <v>8.000999999999999</v>
      </c>
      <c r="L3170" s="2">
        <v>8</v>
      </c>
      <c r="M3170">
        <v>0</v>
      </c>
      <c r="N3170" s="2">
        <v>0</v>
      </c>
      <c r="O3170">
        <v>-1.2</v>
      </c>
      <c r="P3170" t="s">
        <v>100</v>
      </c>
      <c r="Q3170">
        <v>0</v>
      </c>
      <c r="R3170" t="s">
        <v>145</v>
      </c>
      <c r="S3170">
        <v>0</v>
      </c>
    </row>
    <row r="3171" spans="1:19">
      <c r="A3171" t="s">
        <v>35</v>
      </c>
      <c r="B3171" t="s">
        <v>4051</v>
      </c>
      <c r="C3171">
        <f>"C1183543XLV"</f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1</v>
      </c>
      <c r="K3171">
        <v>9.936</v>
      </c>
      <c r="L3171" s="2">
        <v>10</v>
      </c>
      <c r="M3171">
        <v>0</v>
      </c>
      <c r="N3171" s="2">
        <v>0</v>
      </c>
      <c r="O3171">
        <v>-1.2</v>
      </c>
      <c r="P3171" t="s">
        <v>100</v>
      </c>
      <c r="Q3171">
        <v>0</v>
      </c>
      <c r="R3171" t="s">
        <v>145</v>
      </c>
      <c r="S3171">
        <v>0</v>
      </c>
    </row>
    <row r="3172" spans="1:19">
      <c r="A3172" t="s">
        <v>35</v>
      </c>
      <c r="B3172" t="s">
        <v>4235</v>
      </c>
      <c r="C3172">
        <f>"B109048XLG"</f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1</v>
      </c>
      <c r="K3172">
        <v>7.02</v>
      </c>
      <c r="L3172" s="2">
        <v>7</v>
      </c>
      <c r="M3172">
        <v>0</v>
      </c>
      <c r="N3172" s="2">
        <v>0</v>
      </c>
      <c r="O3172">
        <v>-1.2</v>
      </c>
      <c r="P3172" t="s">
        <v>100</v>
      </c>
      <c r="Q3172">
        <v>0</v>
      </c>
      <c r="R3172" t="s">
        <v>145</v>
      </c>
      <c r="S3172">
        <v>0</v>
      </c>
    </row>
    <row r="3173" spans="1:19">
      <c r="A3173" t="s">
        <v>35</v>
      </c>
      <c r="B3173" t="s">
        <v>4236</v>
      </c>
      <c r="C3173">
        <f>"B109048XLV"</f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1</v>
      </c>
      <c r="K3173">
        <v>7.02</v>
      </c>
      <c r="L3173" s="2">
        <v>7</v>
      </c>
      <c r="M3173">
        <v>0</v>
      </c>
      <c r="N3173" s="2">
        <v>0</v>
      </c>
      <c r="O3173">
        <v>-1.2</v>
      </c>
      <c r="P3173" t="s">
        <v>100</v>
      </c>
      <c r="Q3173">
        <v>0</v>
      </c>
      <c r="R3173" t="s">
        <v>145</v>
      </c>
      <c r="S3173">
        <v>0</v>
      </c>
    </row>
    <row r="3174" spans="1:19">
      <c r="A3174" t="s">
        <v>35</v>
      </c>
      <c r="B3174" t="s">
        <v>4209</v>
      </c>
      <c r="C3174">
        <f>"B109048SV"</f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1</v>
      </c>
      <c r="K3174">
        <v>5.58</v>
      </c>
      <c r="L3174" s="2">
        <v>6</v>
      </c>
      <c r="M3174">
        <v>0</v>
      </c>
      <c r="N3174" s="2">
        <v>0</v>
      </c>
      <c r="O3174">
        <v>-1.2</v>
      </c>
      <c r="P3174" t="s">
        <v>100</v>
      </c>
      <c r="Q3174">
        <v>0</v>
      </c>
      <c r="R3174" t="s">
        <v>145</v>
      </c>
      <c r="S3174">
        <v>0</v>
      </c>
    </row>
    <row r="3175" spans="1:19">
      <c r="A3175" t="s">
        <v>35</v>
      </c>
      <c r="B3175" t="s">
        <v>4135</v>
      </c>
      <c r="C3175">
        <f>"B109218XSP"</f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1</v>
      </c>
      <c r="K3175">
        <v>7.65</v>
      </c>
      <c r="L3175" s="2">
        <v>8</v>
      </c>
      <c r="M3175">
        <v>0</v>
      </c>
      <c r="N3175" s="2">
        <v>0</v>
      </c>
      <c r="O3175">
        <v>-1.2</v>
      </c>
      <c r="P3175" t="s">
        <v>100</v>
      </c>
      <c r="Q3175">
        <v>0</v>
      </c>
      <c r="R3175" t="s">
        <v>145</v>
      </c>
      <c r="S3175">
        <v>0</v>
      </c>
    </row>
    <row r="3176" spans="1:19">
      <c r="A3176" t="s">
        <v>35</v>
      </c>
      <c r="B3176" t="s">
        <v>4241</v>
      </c>
      <c r="C3176">
        <f>"B109218SP"</f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1</v>
      </c>
      <c r="K3176">
        <v>7.785</v>
      </c>
      <c r="L3176" s="2">
        <v>8</v>
      </c>
      <c r="M3176">
        <v>0</v>
      </c>
      <c r="N3176" s="2">
        <v>0</v>
      </c>
      <c r="O3176">
        <v>-1.2</v>
      </c>
      <c r="P3176" t="s">
        <v>100</v>
      </c>
      <c r="Q3176">
        <v>0</v>
      </c>
      <c r="R3176" t="s">
        <v>145</v>
      </c>
      <c r="S3176">
        <v>0</v>
      </c>
    </row>
    <row r="3177" spans="1:19">
      <c r="A3177" t="s">
        <v>35</v>
      </c>
      <c r="B3177" t="s">
        <v>4242</v>
      </c>
      <c r="C3177">
        <f>"B109218SO"</f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1</v>
      </c>
      <c r="K3177">
        <v>7.785</v>
      </c>
      <c r="L3177" s="2">
        <v>8</v>
      </c>
      <c r="M3177">
        <v>0</v>
      </c>
      <c r="N3177" s="2">
        <v>0</v>
      </c>
      <c r="O3177">
        <v>-1.2</v>
      </c>
      <c r="P3177" t="s">
        <v>100</v>
      </c>
      <c r="Q3177">
        <v>0</v>
      </c>
      <c r="R3177" t="s">
        <v>145</v>
      </c>
      <c r="S3177">
        <v>0</v>
      </c>
    </row>
    <row r="3178" spans="1:19">
      <c r="A3178" t="s">
        <v>35</v>
      </c>
      <c r="B3178" t="s">
        <v>4243</v>
      </c>
      <c r="C3178">
        <f>"B109218MP"</f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1</v>
      </c>
      <c r="K3178">
        <v>8.055</v>
      </c>
      <c r="L3178" s="2">
        <v>8</v>
      </c>
      <c r="M3178">
        <v>0</v>
      </c>
      <c r="N3178" s="2">
        <v>0</v>
      </c>
      <c r="O3178">
        <v>-1.2</v>
      </c>
      <c r="P3178" t="s">
        <v>100</v>
      </c>
      <c r="Q3178">
        <v>0</v>
      </c>
      <c r="R3178" t="s">
        <v>145</v>
      </c>
      <c r="S3178">
        <v>0</v>
      </c>
    </row>
    <row r="3179" spans="1:19">
      <c r="A3179" t="s">
        <v>35</v>
      </c>
      <c r="B3179" t="s">
        <v>4186</v>
      </c>
      <c r="C3179">
        <f>"B109218LO"</f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1</v>
      </c>
      <c r="K3179">
        <v>8.505000000000001</v>
      </c>
      <c r="L3179" s="2">
        <v>9</v>
      </c>
      <c r="M3179">
        <v>0</v>
      </c>
      <c r="N3179" s="2">
        <v>0</v>
      </c>
      <c r="O3179">
        <v>-1.2</v>
      </c>
      <c r="P3179" t="s">
        <v>100</v>
      </c>
      <c r="Q3179">
        <v>0</v>
      </c>
      <c r="R3179" t="s">
        <v>145</v>
      </c>
      <c r="S3179">
        <v>0</v>
      </c>
    </row>
    <row r="3180" spans="1:19">
      <c r="A3180" t="s">
        <v>35</v>
      </c>
      <c r="B3180" t="s">
        <v>2691</v>
      </c>
      <c r="C3180">
        <f>"B1092183XLO"</f>
        <v>0</v>
      </c>
      <c r="D3180">
        <v>1</v>
      </c>
      <c r="E3180">
        <v>0</v>
      </c>
      <c r="F3180">
        <v>0</v>
      </c>
      <c r="G3180">
        <v>0</v>
      </c>
      <c r="H3180">
        <v>1</v>
      </c>
      <c r="I3180">
        <v>0</v>
      </c>
      <c r="J3180">
        <v>1</v>
      </c>
      <c r="K3180">
        <v>10.71</v>
      </c>
      <c r="L3180" s="2">
        <v>11</v>
      </c>
      <c r="M3180">
        <v>0</v>
      </c>
      <c r="N3180" s="2">
        <v>0</v>
      </c>
      <c r="O3180">
        <v>-1.2</v>
      </c>
      <c r="P3180" t="s">
        <v>100</v>
      </c>
      <c r="Q3180">
        <v>0</v>
      </c>
      <c r="R3180" t="s">
        <v>145</v>
      </c>
      <c r="S3180">
        <v>0</v>
      </c>
    </row>
    <row r="3181" spans="1:19">
      <c r="A3181" t="s">
        <v>35</v>
      </c>
      <c r="B3181" t="s">
        <v>4220</v>
      </c>
      <c r="C3181">
        <f>"B1092182XLO"</f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1</v>
      </c>
      <c r="K3181">
        <v>9.936</v>
      </c>
      <c r="L3181" s="2">
        <v>10</v>
      </c>
      <c r="M3181">
        <v>0</v>
      </c>
      <c r="N3181" s="2">
        <v>0</v>
      </c>
      <c r="O3181">
        <v>-1.2</v>
      </c>
      <c r="P3181" t="s">
        <v>100</v>
      </c>
      <c r="Q3181">
        <v>0</v>
      </c>
      <c r="R3181" t="s">
        <v>145</v>
      </c>
      <c r="S3181">
        <v>0</v>
      </c>
    </row>
    <row r="3182" spans="1:19">
      <c r="A3182" t="s">
        <v>35</v>
      </c>
      <c r="B3182" t="s">
        <v>7841</v>
      </c>
      <c r="C3182">
        <f>"FEP40VO"</f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1</v>
      </c>
      <c r="K3182">
        <v>4.05</v>
      </c>
      <c r="L3182" s="2">
        <v>4</v>
      </c>
      <c r="M3182">
        <v>0</v>
      </c>
      <c r="N3182" s="2">
        <v>0</v>
      </c>
      <c r="O3182">
        <v>-1.2</v>
      </c>
      <c r="P3182" t="s">
        <v>100</v>
      </c>
      <c r="Q3182">
        <v>0</v>
      </c>
      <c r="R3182" t="s">
        <v>145</v>
      </c>
      <c r="S3182">
        <v>0</v>
      </c>
    </row>
    <row r="3183" spans="1:19">
      <c r="A3183" t="s">
        <v>35</v>
      </c>
      <c r="B3183" t="s">
        <v>9636</v>
      </c>
      <c r="C3183">
        <f>"HH095XSMO"</f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1</v>
      </c>
      <c r="K3183">
        <v>5.625</v>
      </c>
      <c r="L3183" s="2">
        <v>6</v>
      </c>
      <c r="M3183">
        <v>0</v>
      </c>
      <c r="N3183" s="2">
        <v>0</v>
      </c>
      <c r="O3183">
        <v>-1.2</v>
      </c>
      <c r="P3183" t="s">
        <v>100</v>
      </c>
      <c r="Q3183">
        <v>0</v>
      </c>
      <c r="R3183" t="s">
        <v>145</v>
      </c>
      <c r="S3183">
        <v>0</v>
      </c>
    </row>
    <row r="3184" spans="1:19">
      <c r="A3184" t="s">
        <v>35</v>
      </c>
      <c r="B3184" t="s">
        <v>7632</v>
      </c>
      <c r="C3184">
        <f>"PT015XSFA"</f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1</v>
      </c>
      <c r="K3184">
        <v>2.385</v>
      </c>
      <c r="L3184" s="2">
        <v>2</v>
      </c>
      <c r="M3184">
        <v>0</v>
      </c>
      <c r="N3184" s="2">
        <v>0</v>
      </c>
      <c r="O3184">
        <v>-1.2</v>
      </c>
      <c r="P3184" t="s">
        <v>100</v>
      </c>
      <c r="Q3184">
        <v>0</v>
      </c>
      <c r="R3184" t="s">
        <v>145</v>
      </c>
      <c r="S3184">
        <v>0</v>
      </c>
    </row>
    <row r="3185" spans="1:19">
      <c r="A3185" t="s">
        <v>35</v>
      </c>
      <c r="B3185" t="s">
        <v>7636</v>
      </c>
      <c r="C3185">
        <f>"XB1813AZL"</f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1</v>
      </c>
      <c r="K3185">
        <v>8.324999999999999</v>
      </c>
      <c r="L3185" s="2">
        <v>8</v>
      </c>
      <c r="M3185">
        <v>0</v>
      </c>
      <c r="N3185" s="2">
        <v>0</v>
      </c>
      <c r="O3185">
        <v>-1.2</v>
      </c>
      <c r="P3185" t="s">
        <v>100</v>
      </c>
      <c r="Q3185">
        <v>0</v>
      </c>
      <c r="R3185" t="s">
        <v>145</v>
      </c>
      <c r="S3185">
        <v>0</v>
      </c>
    </row>
    <row r="3186" spans="1:19">
      <c r="A3186" t="s">
        <v>35</v>
      </c>
      <c r="B3186" t="s">
        <v>7637</v>
      </c>
      <c r="C3186">
        <f>"XB1813AZM"</f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1</v>
      </c>
      <c r="K3186">
        <v>8.055</v>
      </c>
      <c r="L3186" s="2">
        <v>8</v>
      </c>
      <c r="M3186">
        <v>0</v>
      </c>
      <c r="N3186" s="2">
        <v>0</v>
      </c>
      <c r="O3186">
        <v>-1.2</v>
      </c>
      <c r="P3186" t="s">
        <v>100</v>
      </c>
      <c r="Q3186">
        <v>0</v>
      </c>
      <c r="R3186" t="s">
        <v>145</v>
      </c>
      <c r="S3186">
        <v>0</v>
      </c>
    </row>
    <row r="3187" spans="1:19">
      <c r="A3187" t="s">
        <v>35</v>
      </c>
      <c r="B3187" t="s">
        <v>7639</v>
      </c>
      <c r="C3187">
        <f>"XB1813AZXS"</f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1</v>
      </c>
      <c r="K3187">
        <v>7.65</v>
      </c>
      <c r="L3187" s="2">
        <v>8</v>
      </c>
      <c r="M3187">
        <v>0</v>
      </c>
      <c r="N3187" s="2">
        <v>0</v>
      </c>
      <c r="O3187">
        <v>-1.2</v>
      </c>
      <c r="P3187" t="s">
        <v>100</v>
      </c>
      <c r="Q3187">
        <v>0</v>
      </c>
      <c r="R3187" t="s">
        <v>145</v>
      </c>
      <c r="S3187">
        <v>0</v>
      </c>
    </row>
    <row r="3188" spans="1:19">
      <c r="A3188" t="s">
        <v>35</v>
      </c>
      <c r="B3188" t="s">
        <v>8579</v>
      </c>
      <c r="C3188">
        <f>"SDR201"</f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1</v>
      </c>
      <c r="K3188">
        <v>2.205</v>
      </c>
      <c r="L3188" s="2">
        <v>2</v>
      </c>
      <c r="M3188">
        <v>0</v>
      </c>
      <c r="N3188" s="2">
        <v>0</v>
      </c>
      <c r="O3188">
        <v>-1.2</v>
      </c>
      <c r="P3188" t="s">
        <v>100</v>
      </c>
      <c r="Q3188">
        <v>0</v>
      </c>
      <c r="R3188" t="s">
        <v>145</v>
      </c>
      <c r="S3188">
        <v>0</v>
      </c>
    </row>
    <row r="3189" spans="1:19">
      <c r="A3189" t="s">
        <v>35</v>
      </c>
      <c r="B3189" t="s">
        <v>9767</v>
      </c>
      <c r="C3189">
        <f>"4804466"</f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1</v>
      </c>
      <c r="K3189">
        <v>13.05</v>
      </c>
      <c r="L3189" s="2">
        <v>13</v>
      </c>
      <c r="M3189">
        <v>0</v>
      </c>
      <c r="N3189" s="2">
        <v>0</v>
      </c>
      <c r="O3189">
        <v>-1.2</v>
      </c>
      <c r="P3189" t="s">
        <v>100</v>
      </c>
      <c r="Q3189">
        <v>0</v>
      </c>
      <c r="R3189" t="s">
        <v>145</v>
      </c>
      <c r="S3189">
        <v>0</v>
      </c>
    </row>
    <row r="3190" spans="1:19">
      <c r="A3190" t="s">
        <v>35</v>
      </c>
      <c r="B3190" t="s">
        <v>2380</v>
      </c>
      <c r="C3190">
        <f>"AK5"</f>
        <v>0</v>
      </c>
      <c r="D3190">
        <v>0</v>
      </c>
      <c r="E3190">
        <v>0</v>
      </c>
      <c r="F3190">
        <v>1</v>
      </c>
      <c r="G3190">
        <v>0</v>
      </c>
      <c r="H3190">
        <v>1</v>
      </c>
      <c r="I3190">
        <v>0</v>
      </c>
      <c r="J3190">
        <v>1</v>
      </c>
      <c r="K3190">
        <v>4.05</v>
      </c>
      <c r="L3190" s="2">
        <v>4</v>
      </c>
      <c r="M3190">
        <v>0</v>
      </c>
      <c r="N3190" s="2">
        <v>0</v>
      </c>
      <c r="O3190">
        <v>-1.2</v>
      </c>
      <c r="P3190" t="s">
        <v>100</v>
      </c>
      <c r="Q3190">
        <v>0</v>
      </c>
      <c r="R3190" t="s">
        <v>145</v>
      </c>
      <c r="S3190">
        <v>0</v>
      </c>
    </row>
    <row r="3191" spans="1:19">
      <c r="A3191" t="s">
        <v>35</v>
      </c>
      <c r="B3191" t="s">
        <v>2495</v>
      </c>
      <c r="C3191">
        <f>"10214"</f>
        <v>0</v>
      </c>
      <c r="D3191">
        <v>0</v>
      </c>
      <c r="E3191">
        <v>0</v>
      </c>
      <c r="F3191">
        <v>1</v>
      </c>
      <c r="G3191">
        <v>0</v>
      </c>
      <c r="H3191">
        <v>1</v>
      </c>
      <c r="I3191">
        <v>0</v>
      </c>
      <c r="J3191">
        <v>1</v>
      </c>
      <c r="K3191">
        <v>49.41</v>
      </c>
      <c r="L3191" s="2">
        <v>49</v>
      </c>
      <c r="M3191">
        <v>0</v>
      </c>
      <c r="N3191" s="2">
        <v>0</v>
      </c>
      <c r="O3191">
        <v>-1.2</v>
      </c>
      <c r="P3191" t="s">
        <v>100</v>
      </c>
      <c r="Q3191">
        <v>0</v>
      </c>
      <c r="R3191" t="s">
        <v>145</v>
      </c>
      <c r="S3191">
        <v>0</v>
      </c>
    </row>
    <row r="3192" spans="1:19">
      <c r="A3192" t="s">
        <v>35</v>
      </c>
      <c r="B3192" t="s">
        <v>5371</v>
      </c>
      <c r="C3192">
        <f>"SDR222"</f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1</v>
      </c>
      <c r="K3192">
        <v>1.98</v>
      </c>
      <c r="L3192" s="2">
        <v>2</v>
      </c>
      <c r="M3192">
        <v>0</v>
      </c>
      <c r="N3192" s="2">
        <v>0</v>
      </c>
      <c r="O3192">
        <v>-1.2</v>
      </c>
      <c r="P3192" t="s">
        <v>100</v>
      </c>
      <c r="Q3192">
        <v>0</v>
      </c>
      <c r="R3192" t="s">
        <v>145</v>
      </c>
      <c r="S3192">
        <v>0</v>
      </c>
    </row>
    <row r="3193" spans="1:19">
      <c r="A3193" t="s">
        <v>35</v>
      </c>
      <c r="B3193" t="s">
        <v>4195</v>
      </c>
      <c r="C3193">
        <f>"54B123058S"</f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1</v>
      </c>
      <c r="K3193">
        <v>7.101</v>
      </c>
      <c r="L3193" s="2">
        <v>7</v>
      </c>
      <c r="M3193">
        <v>0</v>
      </c>
      <c r="N3193" s="2">
        <v>0</v>
      </c>
      <c r="O3193">
        <v>-1.2</v>
      </c>
      <c r="P3193" t="s">
        <v>100</v>
      </c>
      <c r="Q3193">
        <v>0</v>
      </c>
      <c r="R3193" t="s">
        <v>145</v>
      </c>
      <c r="S3193">
        <v>0</v>
      </c>
    </row>
    <row r="3194" spans="1:19">
      <c r="A3194" t="s">
        <v>35</v>
      </c>
      <c r="B3194" t="s">
        <v>4196</v>
      </c>
      <c r="C3194">
        <f>"54B123058M"</f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1</v>
      </c>
      <c r="K3194">
        <v>7.605</v>
      </c>
      <c r="L3194" s="2">
        <v>8</v>
      </c>
      <c r="M3194">
        <v>0</v>
      </c>
      <c r="N3194" s="2">
        <v>0</v>
      </c>
      <c r="O3194">
        <v>-1.2</v>
      </c>
      <c r="P3194" t="s">
        <v>100</v>
      </c>
      <c r="Q3194">
        <v>0</v>
      </c>
      <c r="R3194" t="s">
        <v>145</v>
      </c>
      <c r="S3194">
        <v>0</v>
      </c>
    </row>
    <row r="3195" spans="1:19">
      <c r="A3195" t="s">
        <v>35</v>
      </c>
      <c r="B3195" t="s">
        <v>4210</v>
      </c>
      <c r="C3195">
        <f>"B109048SA"</f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1</v>
      </c>
      <c r="K3195">
        <v>5.58</v>
      </c>
      <c r="L3195" s="2">
        <v>6</v>
      </c>
      <c r="M3195">
        <v>0</v>
      </c>
      <c r="N3195" s="2">
        <v>0</v>
      </c>
      <c r="O3195">
        <v>-1.2</v>
      </c>
      <c r="P3195" t="s">
        <v>100</v>
      </c>
      <c r="Q3195">
        <v>0</v>
      </c>
      <c r="R3195" t="s">
        <v>145</v>
      </c>
      <c r="S3195">
        <v>0</v>
      </c>
    </row>
    <row r="3196" spans="1:19">
      <c r="A3196" t="s">
        <v>35</v>
      </c>
      <c r="B3196" t="s">
        <v>9487</v>
      </c>
      <c r="C3196">
        <f>"HH095XSCE"</f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1</v>
      </c>
      <c r="K3196">
        <v>7.11</v>
      </c>
      <c r="L3196" s="2">
        <v>7</v>
      </c>
      <c r="M3196">
        <v>0</v>
      </c>
      <c r="N3196" s="2">
        <v>0</v>
      </c>
      <c r="O3196">
        <v>-1.2</v>
      </c>
      <c r="P3196" t="s">
        <v>100</v>
      </c>
      <c r="Q3196">
        <v>0</v>
      </c>
      <c r="R3196" t="s">
        <v>145</v>
      </c>
      <c r="S3196">
        <v>0</v>
      </c>
    </row>
    <row r="3197" spans="1:19">
      <c r="A3197" t="s">
        <v>35</v>
      </c>
      <c r="B3197" t="s">
        <v>9488</v>
      </c>
      <c r="C3197">
        <f>"HH095XLV"</f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1</v>
      </c>
      <c r="K3197">
        <v>11.205</v>
      </c>
      <c r="L3197" s="2">
        <v>11</v>
      </c>
      <c r="M3197">
        <v>0</v>
      </c>
      <c r="N3197" s="2">
        <v>0</v>
      </c>
      <c r="O3197">
        <v>-1.2</v>
      </c>
      <c r="P3197" t="s">
        <v>100</v>
      </c>
      <c r="Q3197">
        <v>0</v>
      </c>
      <c r="R3197" t="s">
        <v>145</v>
      </c>
      <c r="S3197">
        <v>0</v>
      </c>
    </row>
    <row r="3198" spans="1:19">
      <c r="A3198" t="s">
        <v>35</v>
      </c>
      <c r="B3198" t="s">
        <v>9489</v>
      </c>
      <c r="C3198">
        <f>"HH095XLROS"</f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1</v>
      </c>
      <c r="K3198">
        <v>11.205</v>
      </c>
      <c r="L3198" s="2">
        <v>11</v>
      </c>
      <c r="M3198">
        <v>0</v>
      </c>
      <c r="N3198" s="2">
        <v>0</v>
      </c>
      <c r="O3198">
        <v>-1.2</v>
      </c>
      <c r="P3198" t="s">
        <v>100</v>
      </c>
      <c r="Q3198">
        <v>0</v>
      </c>
      <c r="R3198" t="s">
        <v>145</v>
      </c>
      <c r="S3198">
        <v>0</v>
      </c>
    </row>
    <row r="3199" spans="1:19">
      <c r="A3199" t="s">
        <v>35</v>
      </c>
      <c r="B3199" t="s">
        <v>4206</v>
      </c>
      <c r="C3199">
        <f>"B109006XLV"</f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1</v>
      </c>
      <c r="K3199">
        <v>8.000999999999999</v>
      </c>
      <c r="L3199" s="2">
        <v>8</v>
      </c>
      <c r="M3199">
        <v>0</v>
      </c>
      <c r="N3199" s="2">
        <v>0</v>
      </c>
      <c r="O3199">
        <v>-1.2</v>
      </c>
      <c r="P3199" t="s">
        <v>100</v>
      </c>
      <c r="Q3199">
        <v>0</v>
      </c>
      <c r="R3199" t="s">
        <v>145</v>
      </c>
      <c r="S3199">
        <v>0</v>
      </c>
    </row>
    <row r="3200" spans="1:19">
      <c r="A3200" t="s">
        <v>35</v>
      </c>
      <c r="B3200" t="s">
        <v>4207</v>
      </c>
      <c r="C3200">
        <f>"B109006XLN"</f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1</v>
      </c>
      <c r="K3200">
        <v>8.000999999999999</v>
      </c>
      <c r="L3200" s="2">
        <v>8</v>
      </c>
      <c r="M3200">
        <v>0</v>
      </c>
      <c r="N3200" s="2">
        <v>0</v>
      </c>
      <c r="O3200">
        <v>-1.2</v>
      </c>
      <c r="P3200" t="s">
        <v>100</v>
      </c>
      <c r="Q3200">
        <v>0</v>
      </c>
      <c r="R3200" t="s">
        <v>145</v>
      </c>
      <c r="S3200">
        <v>0</v>
      </c>
    </row>
    <row r="3201" spans="1:19">
      <c r="A3201" t="s">
        <v>35</v>
      </c>
      <c r="B3201" t="s">
        <v>4211</v>
      </c>
      <c r="C3201">
        <f>"B109048MG"</f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1</v>
      </c>
      <c r="K3201">
        <v>5.805</v>
      </c>
      <c r="L3201" s="2">
        <v>6</v>
      </c>
      <c r="M3201">
        <v>0</v>
      </c>
      <c r="N3201" s="2">
        <v>0</v>
      </c>
      <c r="O3201">
        <v>-1.2</v>
      </c>
      <c r="P3201" t="s">
        <v>100</v>
      </c>
      <c r="Q3201">
        <v>0</v>
      </c>
      <c r="R3201" t="s">
        <v>145</v>
      </c>
      <c r="S3201">
        <v>0</v>
      </c>
    </row>
    <row r="3202" spans="1:19">
      <c r="A3202" t="s">
        <v>35</v>
      </c>
      <c r="B3202" t="s">
        <v>4138</v>
      </c>
      <c r="C3202">
        <f>"B109048LG"</f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1</v>
      </c>
      <c r="K3202">
        <v>6.3</v>
      </c>
      <c r="L3202" s="2">
        <v>6</v>
      </c>
      <c r="M3202">
        <v>0</v>
      </c>
      <c r="N3202" s="2">
        <v>0</v>
      </c>
      <c r="O3202">
        <v>-1.2</v>
      </c>
      <c r="P3202" t="s">
        <v>100</v>
      </c>
      <c r="Q3202">
        <v>0</v>
      </c>
      <c r="R3202" t="s">
        <v>145</v>
      </c>
      <c r="S3202">
        <v>0</v>
      </c>
    </row>
    <row r="3203" spans="1:19">
      <c r="A3203" t="s">
        <v>35</v>
      </c>
      <c r="B3203" t="s">
        <v>4031</v>
      </c>
      <c r="C3203">
        <f>"B109048LV"</f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1</v>
      </c>
      <c r="K3203">
        <v>6.3</v>
      </c>
      <c r="L3203" s="2">
        <v>6</v>
      </c>
      <c r="M3203">
        <v>0</v>
      </c>
      <c r="N3203" s="2">
        <v>0</v>
      </c>
      <c r="O3203">
        <v>-1.2</v>
      </c>
      <c r="P3203" t="s">
        <v>100</v>
      </c>
      <c r="Q3203">
        <v>0</v>
      </c>
      <c r="R3203" t="s">
        <v>145</v>
      </c>
      <c r="S3203">
        <v>0</v>
      </c>
    </row>
    <row r="3204" spans="1:19">
      <c r="A3204" t="s">
        <v>35</v>
      </c>
      <c r="B3204" t="s">
        <v>4221</v>
      </c>
      <c r="C3204">
        <f>"54B123058XS"</f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1</v>
      </c>
      <c r="K3204">
        <v>6.201</v>
      </c>
      <c r="L3204" s="2">
        <v>6</v>
      </c>
      <c r="M3204">
        <v>0</v>
      </c>
      <c r="N3204" s="2">
        <v>0</v>
      </c>
      <c r="O3204">
        <v>-1.2</v>
      </c>
      <c r="P3204" t="s">
        <v>100</v>
      </c>
      <c r="Q3204">
        <v>0</v>
      </c>
      <c r="R3204" t="s">
        <v>145</v>
      </c>
      <c r="S3204">
        <v>0</v>
      </c>
    </row>
    <row r="3205" spans="1:19">
      <c r="A3205" t="s">
        <v>35</v>
      </c>
      <c r="B3205" t="s">
        <v>4189</v>
      </c>
      <c r="C3205">
        <f>"B1090484XLA"</f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1</v>
      </c>
      <c r="K3205">
        <v>9.225</v>
      </c>
      <c r="L3205" s="2">
        <v>9</v>
      </c>
      <c r="M3205">
        <v>0</v>
      </c>
      <c r="N3205" s="2">
        <v>0</v>
      </c>
      <c r="O3205">
        <v>-1.2</v>
      </c>
      <c r="P3205" t="s">
        <v>100</v>
      </c>
      <c r="Q3205">
        <v>0</v>
      </c>
      <c r="R3205" t="s">
        <v>145</v>
      </c>
      <c r="S3205">
        <v>0</v>
      </c>
    </row>
    <row r="3206" spans="1:19">
      <c r="A3206" t="s">
        <v>35</v>
      </c>
      <c r="B3206" t="s">
        <v>4190</v>
      </c>
      <c r="C3206">
        <f>"B1090483XLG"</f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1</v>
      </c>
      <c r="K3206">
        <v>8.505000000000001</v>
      </c>
      <c r="L3206" s="2">
        <v>9</v>
      </c>
      <c r="M3206">
        <v>0</v>
      </c>
      <c r="N3206" s="2">
        <v>0</v>
      </c>
      <c r="O3206">
        <v>-1.2</v>
      </c>
      <c r="P3206" t="s">
        <v>100</v>
      </c>
      <c r="Q3206">
        <v>0</v>
      </c>
      <c r="R3206" t="s">
        <v>145</v>
      </c>
      <c r="S3206">
        <v>0</v>
      </c>
    </row>
    <row r="3207" spans="1:19">
      <c r="A3207" t="s">
        <v>35</v>
      </c>
      <c r="B3207" t="s">
        <v>4234</v>
      </c>
      <c r="C3207">
        <f>"B109048XSA"</f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1</v>
      </c>
      <c r="K3207">
        <v>5.31</v>
      </c>
      <c r="L3207" s="2">
        <v>5</v>
      </c>
      <c r="M3207">
        <v>0</v>
      </c>
      <c r="N3207" s="2">
        <v>0</v>
      </c>
      <c r="O3207">
        <v>-1.2</v>
      </c>
      <c r="P3207" t="s">
        <v>100</v>
      </c>
      <c r="Q3207">
        <v>0</v>
      </c>
      <c r="R3207" t="s">
        <v>145</v>
      </c>
      <c r="S3207">
        <v>0</v>
      </c>
    </row>
    <row r="3208" spans="1:19">
      <c r="A3208" t="s">
        <v>35</v>
      </c>
      <c r="B3208" t="s">
        <v>4192</v>
      </c>
      <c r="C3208">
        <f>"B1090483XLA"</f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1</v>
      </c>
      <c r="K3208">
        <v>8.505000000000001</v>
      </c>
      <c r="L3208" s="2">
        <v>9</v>
      </c>
      <c r="M3208">
        <v>0</v>
      </c>
      <c r="N3208" s="2">
        <v>0</v>
      </c>
      <c r="O3208">
        <v>-1.2</v>
      </c>
      <c r="P3208" t="s">
        <v>100</v>
      </c>
      <c r="Q3208">
        <v>0</v>
      </c>
      <c r="R3208" t="s">
        <v>145</v>
      </c>
      <c r="S3208">
        <v>0</v>
      </c>
    </row>
    <row r="3209" spans="1:19">
      <c r="A3209" t="s">
        <v>35</v>
      </c>
      <c r="B3209" t="s">
        <v>4193</v>
      </c>
      <c r="C3209">
        <f>"B1090482XLG"</f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1</v>
      </c>
      <c r="K3209">
        <v>7.74</v>
      </c>
      <c r="L3209" s="2">
        <v>8</v>
      </c>
      <c r="M3209">
        <v>0</v>
      </c>
      <c r="N3209" s="2">
        <v>0</v>
      </c>
      <c r="O3209">
        <v>-1.2</v>
      </c>
      <c r="P3209" t="s">
        <v>100</v>
      </c>
      <c r="Q3209">
        <v>0</v>
      </c>
      <c r="R3209" t="s">
        <v>145</v>
      </c>
      <c r="S3209">
        <v>0</v>
      </c>
    </row>
    <row r="3210" spans="1:19">
      <c r="A3210" t="s">
        <v>35</v>
      </c>
      <c r="B3210" t="s">
        <v>4040</v>
      </c>
      <c r="C3210">
        <f>"B1090482XLV"</f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1</v>
      </c>
      <c r="K3210">
        <v>7.74</v>
      </c>
      <c r="L3210" s="2">
        <v>8</v>
      </c>
      <c r="M3210">
        <v>0</v>
      </c>
      <c r="N3210" s="2">
        <v>0</v>
      </c>
      <c r="O3210">
        <v>-1.2</v>
      </c>
      <c r="P3210" t="s">
        <v>100</v>
      </c>
      <c r="Q3210">
        <v>0</v>
      </c>
      <c r="R3210" t="s">
        <v>145</v>
      </c>
      <c r="S3210">
        <v>0</v>
      </c>
    </row>
    <row r="3211" spans="1:19">
      <c r="A3211" t="s">
        <v>35</v>
      </c>
      <c r="B3211" t="s">
        <v>4041</v>
      </c>
      <c r="C3211">
        <f>"B1090482XLA"</f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1</v>
      </c>
      <c r="K3211">
        <v>7.74</v>
      </c>
      <c r="L3211" s="2">
        <v>8</v>
      </c>
      <c r="M3211">
        <v>0</v>
      </c>
      <c r="N3211" s="2">
        <v>0</v>
      </c>
      <c r="O3211">
        <v>-1.2</v>
      </c>
      <c r="P3211" t="s">
        <v>100</v>
      </c>
      <c r="Q3211">
        <v>0</v>
      </c>
      <c r="R3211" t="s">
        <v>145</v>
      </c>
      <c r="S3211">
        <v>0</v>
      </c>
    </row>
    <row r="3212" spans="1:19">
      <c r="A3212" t="s">
        <v>35</v>
      </c>
      <c r="B3212" t="s">
        <v>4061</v>
      </c>
      <c r="C3212">
        <f>"A731m"</f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1</v>
      </c>
      <c r="K3212">
        <v>3.402</v>
      </c>
      <c r="L3212" s="2">
        <v>3</v>
      </c>
      <c r="M3212">
        <v>0</v>
      </c>
      <c r="N3212" s="2">
        <v>0</v>
      </c>
      <c r="O3212">
        <v>-1.2</v>
      </c>
      <c r="P3212" t="s">
        <v>100</v>
      </c>
      <c r="Q3212">
        <v>0</v>
      </c>
      <c r="R3212" t="s">
        <v>145</v>
      </c>
      <c r="S3212">
        <v>0</v>
      </c>
    </row>
    <row r="3213" spans="1:19">
      <c r="A3213" t="s">
        <v>35</v>
      </c>
      <c r="B3213" t="s">
        <v>4047</v>
      </c>
      <c r="C3213">
        <f>"B109006XSV"</f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1</v>
      </c>
      <c r="K3213">
        <v>5.85</v>
      </c>
      <c r="L3213" s="2">
        <v>6</v>
      </c>
      <c r="M3213">
        <v>0</v>
      </c>
      <c r="N3213" s="2">
        <v>0</v>
      </c>
      <c r="O3213">
        <v>-1.2</v>
      </c>
      <c r="P3213" t="s">
        <v>100</v>
      </c>
      <c r="Q3213">
        <v>0</v>
      </c>
      <c r="R3213" t="s">
        <v>145</v>
      </c>
      <c r="S3213">
        <v>0</v>
      </c>
    </row>
    <row r="3214" spans="1:19">
      <c r="A3214" t="s">
        <v>35</v>
      </c>
      <c r="B3214" t="s">
        <v>4202</v>
      </c>
      <c r="C3214">
        <f>"C118354XSC"</f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1</v>
      </c>
      <c r="K3214">
        <v>5.85</v>
      </c>
      <c r="L3214" s="2">
        <v>6</v>
      </c>
      <c r="M3214">
        <v>0</v>
      </c>
      <c r="N3214" s="2">
        <v>0</v>
      </c>
      <c r="O3214">
        <v>-1.2</v>
      </c>
      <c r="P3214" t="s">
        <v>100</v>
      </c>
      <c r="Q3214">
        <v>0</v>
      </c>
      <c r="R3214" t="s">
        <v>145</v>
      </c>
      <c r="S3214">
        <v>0</v>
      </c>
    </row>
    <row r="3215" spans="1:19">
      <c r="A3215" t="s">
        <v>35</v>
      </c>
      <c r="B3215" t="s">
        <v>4203</v>
      </c>
      <c r="C3215">
        <f>"B109006XSA"</f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1</v>
      </c>
      <c r="K3215">
        <v>5.85</v>
      </c>
      <c r="L3215" s="2">
        <v>6</v>
      </c>
      <c r="M3215">
        <v>0</v>
      </c>
      <c r="N3215" s="2">
        <v>0</v>
      </c>
      <c r="O3215">
        <v>-1.2</v>
      </c>
      <c r="P3215" t="s">
        <v>100</v>
      </c>
      <c r="Q3215">
        <v>0</v>
      </c>
      <c r="R3215" t="s">
        <v>145</v>
      </c>
      <c r="S3215">
        <v>0</v>
      </c>
    </row>
    <row r="3216" spans="1:19">
      <c r="A3216" t="s">
        <v>35</v>
      </c>
      <c r="B3216" t="s">
        <v>4204</v>
      </c>
      <c r="C3216">
        <f>"C118354XSA"</f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1</v>
      </c>
      <c r="K3216">
        <v>5.85</v>
      </c>
      <c r="L3216" s="2">
        <v>6</v>
      </c>
      <c r="M3216">
        <v>0</v>
      </c>
      <c r="N3216" s="2">
        <v>0</v>
      </c>
      <c r="O3216">
        <v>-1.2</v>
      </c>
      <c r="P3216" t="s">
        <v>100</v>
      </c>
      <c r="Q3216">
        <v>0</v>
      </c>
      <c r="R3216" t="s">
        <v>145</v>
      </c>
      <c r="S3216">
        <v>0</v>
      </c>
    </row>
    <row r="3217" spans="1:19">
      <c r="A3217" t="s">
        <v>35</v>
      </c>
      <c r="B3217" t="s">
        <v>2606</v>
      </c>
      <c r="C3217">
        <f>"SDR233"</f>
        <v>0</v>
      </c>
      <c r="D3217">
        <v>1</v>
      </c>
      <c r="E3217">
        <v>0</v>
      </c>
      <c r="F3217">
        <v>0</v>
      </c>
      <c r="G3217">
        <v>0</v>
      </c>
      <c r="H3217">
        <v>1</v>
      </c>
      <c r="I3217">
        <v>0</v>
      </c>
      <c r="J3217">
        <v>1</v>
      </c>
      <c r="K3217">
        <v>2.691</v>
      </c>
      <c r="L3217" s="2">
        <v>3</v>
      </c>
      <c r="M3217">
        <v>0</v>
      </c>
      <c r="N3217" s="2">
        <v>0</v>
      </c>
      <c r="O3217">
        <v>-1.2</v>
      </c>
      <c r="P3217" t="s">
        <v>100</v>
      </c>
      <c r="Q3217">
        <v>0</v>
      </c>
      <c r="R3217" t="s">
        <v>145</v>
      </c>
      <c r="S3217">
        <v>0</v>
      </c>
    </row>
    <row r="3218" spans="1:19">
      <c r="A3218" t="s">
        <v>35</v>
      </c>
      <c r="B3218" t="s">
        <v>4214</v>
      </c>
      <c r="C3218">
        <f>"54B1230582XL"</f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1</v>
      </c>
      <c r="K3218">
        <v>10.35</v>
      </c>
      <c r="L3218" s="2">
        <v>10</v>
      </c>
      <c r="M3218">
        <v>0</v>
      </c>
      <c r="N3218" s="2">
        <v>0</v>
      </c>
      <c r="O3218">
        <v>-1.2</v>
      </c>
      <c r="P3218" t="s">
        <v>100</v>
      </c>
      <c r="Q3218">
        <v>0</v>
      </c>
      <c r="R3218" t="s">
        <v>145</v>
      </c>
      <c r="S3218">
        <v>0</v>
      </c>
    </row>
    <row r="3219" spans="1:19">
      <c r="A3219" t="s">
        <v>35</v>
      </c>
      <c r="B3219" t="s">
        <v>4232</v>
      </c>
      <c r="C3219">
        <f>"B109048XSG"</f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1</v>
      </c>
      <c r="K3219">
        <v>5.31</v>
      </c>
      <c r="L3219" s="2">
        <v>5</v>
      </c>
      <c r="M3219">
        <v>0</v>
      </c>
      <c r="N3219" s="2">
        <v>0</v>
      </c>
      <c r="O3219">
        <v>-1.2</v>
      </c>
      <c r="P3219" t="s">
        <v>100</v>
      </c>
      <c r="Q3219">
        <v>0</v>
      </c>
      <c r="R3219" t="s">
        <v>145</v>
      </c>
      <c r="S3219">
        <v>0</v>
      </c>
    </row>
    <row r="3220" spans="1:19">
      <c r="A3220" t="s">
        <v>35</v>
      </c>
      <c r="B3220" t="s">
        <v>4191</v>
      </c>
      <c r="C3220">
        <f>"B1090483XLV"</f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1</v>
      </c>
      <c r="K3220">
        <v>8.505000000000001</v>
      </c>
      <c r="L3220" s="2">
        <v>9</v>
      </c>
      <c r="M3220">
        <v>0</v>
      </c>
      <c r="N3220" s="2">
        <v>0</v>
      </c>
      <c r="O3220">
        <v>-1.2</v>
      </c>
      <c r="P3220" t="s">
        <v>100</v>
      </c>
      <c r="Q3220">
        <v>0</v>
      </c>
      <c r="R3220" t="s">
        <v>145</v>
      </c>
      <c r="S3220">
        <v>0</v>
      </c>
    </row>
    <row r="3221" spans="1:19">
      <c r="A3221" t="s">
        <v>35</v>
      </c>
      <c r="B3221" t="s">
        <v>4914</v>
      </c>
      <c r="C3221">
        <f>"ZS006ALAM"</f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1</v>
      </c>
      <c r="K3221">
        <v>1.701</v>
      </c>
      <c r="L3221" s="2">
        <v>2</v>
      </c>
      <c r="M3221">
        <v>0</v>
      </c>
      <c r="N3221" s="2">
        <v>0</v>
      </c>
      <c r="O3221">
        <v>-1.2</v>
      </c>
      <c r="P3221" t="s">
        <v>100</v>
      </c>
      <c r="Q3221">
        <v>0</v>
      </c>
      <c r="R3221" t="s">
        <v>145</v>
      </c>
      <c r="S3221">
        <v>0</v>
      </c>
    </row>
    <row r="3222" spans="1:19">
      <c r="A3222" t="s">
        <v>35</v>
      </c>
      <c r="B3222" t="s">
        <v>9291</v>
      </c>
      <c r="C3222">
        <f>"HH309SCE"</f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1</v>
      </c>
      <c r="K3222">
        <v>4.491</v>
      </c>
      <c r="L3222" s="2">
        <v>4</v>
      </c>
      <c r="M3222">
        <v>0</v>
      </c>
      <c r="N3222" s="2">
        <v>0</v>
      </c>
      <c r="O3222">
        <v>-1.2</v>
      </c>
      <c r="P3222" t="s">
        <v>100</v>
      </c>
      <c r="Q3222">
        <v>0</v>
      </c>
      <c r="R3222" t="s">
        <v>145</v>
      </c>
      <c r="S3222">
        <v>0</v>
      </c>
    </row>
    <row r="3223" spans="1:19">
      <c r="A3223" t="s">
        <v>35</v>
      </c>
      <c r="B3223" t="s">
        <v>4887</v>
      </c>
      <c r="C3223">
        <f>"TRWS"</f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1</v>
      </c>
      <c r="K3223">
        <v>12.35</v>
      </c>
      <c r="L3223" s="2">
        <v>12</v>
      </c>
      <c r="M3223">
        <v>0</v>
      </c>
      <c r="N3223" s="2">
        <v>0</v>
      </c>
      <c r="O3223">
        <v>-1.2</v>
      </c>
      <c r="P3223" t="s">
        <v>100</v>
      </c>
      <c r="Q3223">
        <v>0</v>
      </c>
      <c r="R3223" t="s">
        <v>145</v>
      </c>
      <c r="S3223">
        <v>0</v>
      </c>
    </row>
    <row r="3224" spans="1:19">
      <c r="A3224" t="s">
        <v>35</v>
      </c>
      <c r="B3224" t="s">
        <v>4888</v>
      </c>
      <c r="C3224">
        <f>"TRWM"</f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1</v>
      </c>
      <c r="K3224">
        <v>15.909</v>
      </c>
      <c r="L3224" s="2">
        <v>16</v>
      </c>
      <c r="M3224">
        <v>0</v>
      </c>
      <c r="N3224" s="2">
        <v>0</v>
      </c>
      <c r="O3224">
        <v>-1.2</v>
      </c>
      <c r="P3224" t="s">
        <v>100</v>
      </c>
      <c r="Q3224">
        <v>0</v>
      </c>
      <c r="R3224" t="s">
        <v>145</v>
      </c>
      <c r="S3224">
        <v>0</v>
      </c>
    </row>
    <row r="3225" spans="1:19">
      <c r="A3225" t="s">
        <v>35</v>
      </c>
      <c r="B3225" t="s">
        <v>4561</v>
      </c>
      <c r="C3225">
        <f>"LL313MNA"</f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1</v>
      </c>
      <c r="K3225">
        <v>4.995</v>
      </c>
      <c r="L3225" s="2">
        <v>5</v>
      </c>
      <c r="M3225">
        <v>0</v>
      </c>
      <c r="N3225" s="2">
        <v>0</v>
      </c>
      <c r="O3225">
        <v>-1.2</v>
      </c>
      <c r="P3225" t="s">
        <v>100</v>
      </c>
      <c r="Q3225">
        <v>0</v>
      </c>
      <c r="R3225" t="s">
        <v>145</v>
      </c>
      <c r="S3225">
        <v>0</v>
      </c>
    </row>
    <row r="3226" spans="1:19">
      <c r="A3226" t="s">
        <v>35</v>
      </c>
      <c r="B3226" t="s">
        <v>4895</v>
      </c>
      <c r="C3226">
        <f>"1816"</f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1</v>
      </c>
      <c r="K3226">
        <v>4.455</v>
      </c>
      <c r="L3226" s="2">
        <v>4</v>
      </c>
      <c r="M3226">
        <v>0</v>
      </c>
      <c r="N3226" s="2">
        <v>0</v>
      </c>
      <c r="O3226">
        <v>-1.2</v>
      </c>
      <c r="P3226" t="s">
        <v>100</v>
      </c>
      <c r="Q3226">
        <v>0</v>
      </c>
      <c r="R3226" t="s">
        <v>145</v>
      </c>
      <c r="S3226">
        <v>0</v>
      </c>
    </row>
    <row r="3227" spans="1:19">
      <c r="A3227" t="s">
        <v>35</v>
      </c>
      <c r="B3227" t="s">
        <v>2802</v>
      </c>
      <c r="C3227">
        <f>"B1180624XLA"</f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1</v>
      </c>
      <c r="K3227">
        <v>8.324999999999999</v>
      </c>
      <c r="L3227" s="2">
        <v>8</v>
      </c>
      <c r="M3227">
        <v>0</v>
      </c>
      <c r="N3227" s="2">
        <v>0</v>
      </c>
      <c r="O3227">
        <v>-1.2</v>
      </c>
      <c r="P3227" t="s">
        <v>100</v>
      </c>
      <c r="Q3227">
        <v>0</v>
      </c>
      <c r="R3227" t="s">
        <v>145</v>
      </c>
      <c r="S3227">
        <v>0</v>
      </c>
    </row>
    <row r="3228" spans="1:19">
      <c r="A3228" t="s">
        <v>35</v>
      </c>
      <c r="B3228" t="s">
        <v>2870</v>
      </c>
      <c r="C3228">
        <f>"B1180624XLG"</f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1</v>
      </c>
      <c r="K3228">
        <v>8.324999999999999</v>
      </c>
      <c r="L3228" s="2">
        <v>8</v>
      </c>
      <c r="M3228">
        <v>0</v>
      </c>
      <c r="N3228" s="2">
        <v>0</v>
      </c>
      <c r="O3228">
        <v>-1.2</v>
      </c>
      <c r="P3228" t="s">
        <v>100</v>
      </c>
      <c r="Q3228">
        <v>0</v>
      </c>
      <c r="R3228" t="s">
        <v>145</v>
      </c>
      <c r="S3228">
        <v>0</v>
      </c>
    </row>
    <row r="3229" spans="1:19">
      <c r="A3229" t="s">
        <v>35</v>
      </c>
      <c r="B3229" t="s">
        <v>3279</v>
      </c>
      <c r="C3229">
        <f>"B1180623XLR"</f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1</v>
      </c>
      <c r="K3229">
        <v>7.425</v>
      </c>
      <c r="L3229" s="2">
        <v>7</v>
      </c>
      <c r="M3229">
        <v>0</v>
      </c>
      <c r="N3229" s="2">
        <v>0</v>
      </c>
      <c r="O3229">
        <v>-1.2</v>
      </c>
      <c r="P3229" t="s">
        <v>100</v>
      </c>
      <c r="Q3229">
        <v>0</v>
      </c>
      <c r="R3229" t="s">
        <v>145</v>
      </c>
      <c r="S3229">
        <v>0</v>
      </c>
    </row>
    <row r="3230" spans="1:19">
      <c r="A3230" t="s">
        <v>35</v>
      </c>
      <c r="B3230" t="s">
        <v>4155</v>
      </c>
      <c r="C3230">
        <f>"B1180623XLG"</f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1</v>
      </c>
      <c r="K3230">
        <v>7.425</v>
      </c>
      <c r="L3230" s="2">
        <v>7</v>
      </c>
      <c r="M3230">
        <v>0</v>
      </c>
      <c r="N3230" s="2">
        <v>0</v>
      </c>
      <c r="O3230">
        <v>-1.2</v>
      </c>
      <c r="P3230" t="s">
        <v>100</v>
      </c>
      <c r="Q3230">
        <v>0</v>
      </c>
      <c r="R3230" t="s">
        <v>145</v>
      </c>
      <c r="S3230">
        <v>0</v>
      </c>
    </row>
    <row r="3231" spans="1:19">
      <c r="A3231" t="s">
        <v>35</v>
      </c>
      <c r="B3231" t="s">
        <v>4156</v>
      </c>
      <c r="C3231">
        <f>"B1180624XLR"</f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1</v>
      </c>
      <c r="K3231">
        <v>8.324999999999999</v>
      </c>
      <c r="L3231" s="2">
        <v>8</v>
      </c>
      <c r="M3231">
        <v>0</v>
      </c>
      <c r="N3231" s="2">
        <v>0</v>
      </c>
      <c r="O3231">
        <v>-1.2</v>
      </c>
      <c r="P3231" t="s">
        <v>100</v>
      </c>
      <c r="Q3231">
        <v>0</v>
      </c>
      <c r="R3231" t="s">
        <v>145</v>
      </c>
      <c r="S3231">
        <v>0</v>
      </c>
    </row>
    <row r="3232" spans="1:19">
      <c r="A3232" t="s">
        <v>35</v>
      </c>
      <c r="B3232" t="s">
        <v>4008</v>
      </c>
      <c r="C3232">
        <f>"6835XLA"</f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1</v>
      </c>
      <c r="K3232">
        <v>9.81</v>
      </c>
      <c r="L3232" s="2">
        <v>10</v>
      </c>
      <c r="M3232">
        <v>0</v>
      </c>
      <c r="N3232" s="2">
        <v>0</v>
      </c>
      <c r="O3232">
        <v>-1.2</v>
      </c>
      <c r="P3232" t="s">
        <v>100</v>
      </c>
      <c r="Q3232">
        <v>0</v>
      </c>
      <c r="R3232" t="s">
        <v>145</v>
      </c>
      <c r="S3232">
        <v>0</v>
      </c>
    </row>
    <row r="3233" spans="1:19">
      <c r="A3233" t="s">
        <v>35</v>
      </c>
      <c r="B3233" t="s">
        <v>4158</v>
      </c>
      <c r="C3233">
        <f>"B1180622XLR"</f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1</v>
      </c>
      <c r="K3233">
        <v>6.66</v>
      </c>
      <c r="L3233" s="2">
        <v>7</v>
      </c>
      <c r="M3233">
        <v>0</v>
      </c>
      <c r="N3233" s="2">
        <v>0</v>
      </c>
      <c r="O3233">
        <v>-1.2</v>
      </c>
      <c r="P3233" t="s">
        <v>100</v>
      </c>
      <c r="Q3233">
        <v>0</v>
      </c>
      <c r="R3233" t="s">
        <v>145</v>
      </c>
      <c r="S3233">
        <v>0</v>
      </c>
    </row>
    <row r="3234" spans="1:19">
      <c r="A3234" t="s">
        <v>35</v>
      </c>
      <c r="B3234" t="s">
        <v>4159</v>
      </c>
      <c r="C3234">
        <f>"B1180622XLG"</f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1</v>
      </c>
      <c r="K3234">
        <v>6.66</v>
      </c>
      <c r="L3234" s="2">
        <v>7</v>
      </c>
      <c r="M3234">
        <v>0</v>
      </c>
      <c r="N3234" s="2">
        <v>0</v>
      </c>
      <c r="O3234">
        <v>-1.2</v>
      </c>
      <c r="P3234" t="s">
        <v>100</v>
      </c>
      <c r="Q3234">
        <v>0</v>
      </c>
      <c r="R3234" t="s">
        <v>145</v>
      </c>
      <c r="S3234">
        <v>0</v>
      </c>
    </row>
    <row r="3235" spans="1:19">
      <c r="A3235" t="s">
        <v>35</v>
      </c>
      <c r="B3235" t="s">
        <v>2839</v>
      </c>
      <c r="C3235">
        <f>"B118062XSG"</f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1</v>
      </c>
      <c r="K3235">
        <v>4.41</v>
      </c>
      <c r="L3235" s="2">
        <v>4</v>
      </c>
      <c r="M3235">
        <v>0</v>
      </c>
      <c r="N3235" s="2">
        <v>0</v>
      </c>
      <c r="O3235">
        <v>-1.2</v>
      </c>
      <c r="P3235" t="s">
        <v>100</v>
      </c>
      <c r="Q3235">
        <v>0</v>
      </c>
      <c r="R3235" t="s">
        <v>145</v>
      </c>
      <c r="S3235">
        <v>0</v>
      </c>
    </row>
    <row r="3236" spans="1:19">
      <c r="A3236" t="s">
        <v>35</v>
      </c>
      <c r="B3236" t="s">
        <v>2793</v>
      </c>
      <c r="C3236">
        <f>"B118062XSA"</f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1</v>
      </c>
      <c r="K3236">
        <v>4.41</v>
      </c>
      <c r="L3236" s="2">
        <v>4</v>
      </c>
      <c r="M3236">
        <v>0</v>
      </c>
      <c r="N3236" s="2">
        <v>0</v>
      </c>
      <c r="O3236">
        <v>-1.2</v>
      </c>
      <c r="P3236" t="s">
        <v>100</v>
      </c>
      <c r="Q3236">
        <v>0</v>
      </c>
      <c r="R3236" t="s">
        <v>145</v>
      </c>
      <c r="S3236">
        <v>0</v>
      </c>
    </row>
    <row r="3237" spans="1:19">
      <c r="A3237" t="s">
        <v>35</v>
      </c>
      <c r="B3237" t="s">
        <v>2779</v>
      </c>
      <c r="C3237">
        <f>"B118062XLG"</f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1</v>
      </c>
      <c r="K3237">
        <v>6.03</v>
      </c>
      <c r="L3237" s="2">
        <v>6</v>
      </c>
      <c r="M3237">
        <v>0</v>
      </c>
      <c r="N3237" s="2">
        <v>0</v>
      </c>
      <c r="O3237">
        <v>-1.2</v>
      </c>
      <c r="P3237" t="s">
        <v>100</v>
      </c>
      <c r="Q3237">
        <v>0</v>
      </c>
      <c r="R3237" t="s">
        <v>145</v>
      </c>
      <c r="S3237">
        <v>0</v>
      </c>
    </row>
    <row r="3238" spans="1:19">
      <c r="A3238" t="s">
        <v>35</v>
      </c>
      <c r="B3238" t="s">
        <v>4899</v>
      </c>
      <c r="C3238">
        <f>"PQ113ROS"</f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1</v>
      </c>
      <c r="K3238">
        <v>1.305</v>
      </c>
      <c r="L3238" s="2">
        <v>1</v>
      </c>
      <c r="M3238">
        <v>0</v>
      </c>
      <c r="N3238" s="2">
        <v>0</v>
      </c>
      <c r="O3238">
        <v>-1.2</v>
      </c>
      <c r="P3238" t="s">
        <v>100</v>
      </c>
      <c r="Q3238">
        <v>0</v>
      </c>
      <c r="R3238" t="s">
        <v>145</v>
      </c>
      <c r="S3238">
        <v>0</v>
      </c>
    </row>
    <row r="3239" spans="1:19">
      <c r="A3239" t="s">
        <v>35</v>
      </c>
      <c r="B3239" t="s">
        <v>4900</v>
      </c>
      <c r="C3239">
        <f>"PQ113ROJ"</f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1</v>
      </c>
      <c r="K3239">
        <v>1.305</v>
      </c>
      <c r="L3239" s="2">
        <v>1</v>
      </c>
      <c r="M3239">
        <v>0</v>
      </c>
      <c r="N3239" s="2">
        <v>0</v>
      </c>
      <c r="O3239">
        <v>-1.2</v>
      </c>
      <c r="P3239" t="s">
        <v>100</v>
      </c>
      <c r="Q3239">
        <v>0</v>
      </c>
      <c r="R3239" t="s">
        <v>145</v>
      </c>
      <c r="S3239">
        <v>0</v>
      </c>
    </row>
    <row r="3240" spans="1:19">
      <c r="A3240" t="s">
        <v>35</v>
      </c>
      <c r="B3240" t="s">
        <v>9494</v>
      </c>
      <c r="C3240">
        <f>"HH095XLCE"</f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1</v>
      </c>
      <c r="K3240">
        <v>11.205</v>
      </c>
      <c r="L3240" s="2">
        <v>11</v>
      </c>
      <c r="M3240">
        <v>0</v>
      </c>
      <c r="N3240" s="2">
        <v>0</v>
      </c>
      <c r="O3240">
        <v>-1.2</v>
      </c>
      <c r="P3240" t="s">
        <v>100</v>
      </c>
      <c r="Q3240">
        <v>0</v>
      </c>
      <c r="R3240" t="s">
        <v>145</v>
      </c>
      <c r="S3240">
        <v>0</v>
      </c>
    </row>
    <row r="3241" spans="1:19">
      <c r="A3241" t="s">
        <v>35</v>
      </c>
      <c r="B3241" t="s">
        <v>9600</v>
      </c>
      <c r="C3241">
        <f>"HH095SV"</f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1</v>
      </c>
      <c r="K3241">
        <v>8.01</v>
      </c>
      <c r="L3241" s="2">
        <v>8</v>
      </c>
      <c r="M3241">
        <v>0</v>
      </c>
      <c r="N3241" s="2">
        <v>0</v>
      </c>
      <c r="O3241">
        <v>-1.2</v>
      </c>
      <c r="P3241" t="s">
        <v>100</v>
      </c>
      <c r="Q3241">
        <v>0</v>
      </c>
      <c r="R3241" t="s">
        <v>145</v>
      </c>
      <c r="S3241">
        <v>0</v>
      </c>
    </row>
    <row r="3242" spans="1:19">
      <c r="A3242" t="s">
        <v>35</v>
      </c>
      <c r="B3242" t="s">
        <v>9451</v>
      </c>
      <c r="C3242">
        <f>"HH095SCE"</f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1</v>
      </c>
      <c r="K3242">
        <v>8.01</v>
      </c>
      <c r="L3242" s="2">
        <v>8</v>
      </c>
      <c r="M3242">
        <v>0</v>
      </c>
      <c r="N3242" s="2">
        <v>0</v>
      </c>
      <c r="O3242">
        <v>-1.2</v>
      </c>
      <c r="P3242" t="s">
        <v>100</v>
      </c>
      <c r="Q3242">
        <v>0</v>
      </c>
      <c r="R3242" t="s">
        <v>145</v>
      </c>
      <c r="S3242">
        <v>0</v>
      </c>
    </row>
    <row r="3243" spans="1:19">
      <c r="A3243" t="s">
        <v>35</v>
      </c>
      <c r="B3243" t="s">
        <v>9712</v>
      </c>
      <c r="C3243">
        <f>"HH095MV"</f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1</v>
      </c>
      <c r="K3243">
        <v>9.404999999999999</v>
      </c>
      <c r="L3243" s="2">
        <v>9</v>
      </c>
      <c r="M3243">
        <v>0</v>
      </c>
      <c r="N3243" s="2">
        <v>0</v>
      </c>
      <c r="O3243">
        <v>-1.2</v>
      </c>
      <c r="P3243" t="s">
        <v>100</v>
      </c>
      <c r="Q3243">
        <v>0</v>
      </c>
      <c r="R3243" t="s">
        <v>145</v>
      </c>
      <c r="S3243">
        <v>0</v>
      </c>
    </row>
    <row r="3244" spans="1:19">
      <c r="A3244" t="s">
        <v>35</v>
      </c>
      <c r="B3244" t="s">
        <v>4157</v>
      </c>
      <c r="C3244">
        <f>"B1180623XLA"</f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1</v>
      </c>
      <c r="K3244">
        <v>7.425</v>
      </c>
      <c r="L3244" s="2">
        <v>7</v>
      </c>
      <c r="M3244">
        <v>0</v>
      </c>
      <c r="N3244" s="2">
        <v>0</v>
      </c>
      <c r="O3244">
        <v>-1.2</v>
      </c>
      <c r="P3244" t="s">
        <v>100</v>
      </c>
      <c r="Q3244">
        <v>0</v>
      </c>
      <c r="R3244" t="s">
        <v>145</v>
      </c>
      <c r="S3244">
        <v>0</v>
      </c>
    </row>
    <row r="3245" spans="1:19">
      <c r="A3245" t="s">
        <v>35</v>
      </c>
      <c r="B3245" t="s">
        <v>4875</v>
      </c>
      <c r="C3245">
        <f>"LS196B"</f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1</v>
      </c>
      <c r="K3245">
        <v>9.81</v>
      </c>
      <c r="L3245" s="2">
        <v>10</v>
      </c>
      <c r="M3245">
        <v>0</v>
      </c>
      <c r="N3245" s="2">
        <v>0</v>
      </c>
      <c r="O3245">
        <v>-1.2</v>
      </c>
      <c r="P3245" t="s">
        <v>100</v>
      </c>
      <c r="Q3245">
        <v>0</v>
      </c>
      <c r="R3245" t="s">
        <v>145</v>
      </c>
      <c r="S3245">
        <v>0</v>
      </c>
    </row>
    <row r="3246" spans="1:19">
      <c r="A3246" t="s">
        <v>35</v>
      </c>
      <c r="B3246" t="s">
        <v>8172</v>
      </c>
      <c r="C3246">
        <f>"54B109073SR"</f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1</v>
      </c>
      <c r="K3246">
        <v>6.53</v>
      </c>
      <c r="L3246" s="2">
        <v>7</v>
      </c>
      <c r="M3246">
        <v>0</v>
      </c>
      <c r="N3246" s="2">
        <v>0</v>
      </c>
      <c r="O3246">
        <v>-1.2</v>
      </c>
      <c r="P3246" t="s">
        <v>100</v>
      </c>
      <c r="Q3246">
        <v>0</v>
      </c>
      <c r="R3246" t="s">
        <v>145</v>
      </c>
      <c r="S3246">
        <v>0</v>
      </c>
    </row>
    <row r="3247" spans="1:19">
      <c r="A3247" t="s">
        <v>35</v>
      </c>
      <c r="B3247" t="s">
        <v>8174</v>
      </c>
      <c r="C3247">
        <f>"54B109073LR"</f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1</v>
      </c>
      <c r="K3247">
        <v>7.434</v>
      </c>
      <c r="L3247" s="2">
        <v>7</v>
      </c>
      <c r="M3247">
        <v>0</v>
      </c>
      <c r="N3247" s="2">
        <v>0</v>
      </c>
      <c r="O3247">
        <v>-1.2</v>
      </c>
      <c r="P3247" t="s">
        <v>100</v>
      </c>
      <c r="Q3247">
        <v>0</v>
      </c>
      <c r="R3247" t="s">
        <v>145</v>
      </c>
      <c r="S3247">
        <v>0</v>
      </c>
    </row>
    <row r="3248" spans="1:19">
      <c r="A3248" t="s">
        <v>35</v>
      </c>
      <c r="B3248" t="s">
        <v>8178</v>
      </c>
      <c r="C3248">
        <f>"54B109073XSG"</f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1</v>
      </c>
      <c r="K3248">
        <v>6.273</v>
      </c>
      <c r="L3248" s="2">
        <v>6</v>
      </c>
      <c r="M3248">
        <v>0</v>
      </c>
      <c r="N3248" s="2">
        <v>0</v>
      </c>
      <c r="O3248">
        <v>-1.2</v>
      </c>
      <c r="P3248" t="s">
        <v>100</v>
      </c>
      <c r="Q3248">
        <v>0</v>
      </c>
      <c r="R3248" t="s">
        <v>145</v>
      </c>
      <c r="S3248">
        <v>0</v>
      </c>
    </row>
    <row r="3249" spans="1:19">
      <c r="A3249" t="s">
        <v>35</v>
      </c>
      <c r="B3249" t="s">
        <v>8180</v>
      </c>
      <c r="C3249">
        <f>"54B109073SG"</f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1</v>
      </c>
      <c r="K3249">
        <v>6.53</v>
      </c>
      <c r="L3249" s="2">
        <v>7</v>
      </c>
      <c r="M3249">
        <v>0</v>
      </c>
      <c r="N3249" s="2">
        <v>0</v>
      </c>
      <c r="O3249">
        <v>-1.2</v>
      </c>
      <c r="P3249" t="s">
        <v>100</v>
      </c>
      <c r="Q3249">
        <v>0</v>
      </c>
      <c r="R3249" t="s">
        <v>145</v>
      </c>
      <c r="S3249">
        <v>0</v>
      </c>
    </row>
    <row r="3250" spans="1:19">
      <c r="A3250" t="s">
        <v>35</v>
      </c>
      <c r="B3250" t="s">
        <v>8182</v>
      </c>
      <c r="C3250">
        <f>"54B109073LG"</f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1</v>
      </c>
      <c r="K3250">
        <v>7.434</v>
      </c>
      <c r="L3250" s="2">
        <v>7</v>
      </c>
      <c r="M3250">
        <v>0</v>
      </c>
      <c r="N3250" s="2">
        <v>0</v>
      </c>
      <c r="O3250">
        <v>-1.2</v>
      </c>
      <c r="P3250" t="s">
        <v>100</v>
      </c>
      <c r="Q3250">
        <v>0</v>
      </c>
      <c r="R3250" t="s">
        <v>145</v>
      </c>
      <c r="S3250">
        <v>0</v>
      </c>
    </row>
    <row r="3251" spans="1:19">
      <c r="A3251" t="s">
        <v>35</v>
      </c>
      <c r="B3251" t="s">
        <v>5209</v>
      </c>
      <c r="C3251">
        <f>"WPS008AM"</f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1</v>
      </c>
      <c r="K3251">
        <v>711</v>
      </c>
      <c r="L3251" s="2">
        <v>711</v>
      </c>
      <c r="M3251">
        <v>0</v>
      </c>
      <c r="N3251" s="2">
        <v>0</v>
      </c>
      <c r="O3251">
        <v>-1.2</v>
      </c>
      <c r="P3251" t="s">
        <v>100</v>
      </c>
      <c r="Q3251">
        <v>0</v>
      </c>
      <c r="R3251" t="s">
        <v>145</v>
      </c>
      <c r="S3251">
        <v>0</v>
      </c>
    </row>
    <row r="3252" spans="1:19">
      <c r="A3252" t="s">
        <v>35</v>
      </c>
      <c r="B3252" t="s">
        <v>2974</v>
      </c>
      <c r="C3252">
        <f>"683XLGO"</f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1</v>
      </c>
      <c r="K3252">
        <v>5.85</v>
      </c>
      <c r="L3252" s="2">
        <v>6</v>
      </c>
      <c r="M3252">
        <v>0</v>
      </c>
      <c r="N3252" s="2">
        <v>0</v>
      </c>
      <c r="O3252">
        <v>-1.2</v>
      </c>
      <c r="P3252" t="s">
        <v>100</v>
      </c>
      <c r="Q3252">
        <v>0</v>
      </c>
      <c r="R3252" t="s">
        <v>145</v>
      </c>
      <c r="S3252">
        <v>0</v>
      </c>
    </row>
    <row r="3253" spans="1:19">
      <c r="A3253" t="s">
        <v>35</v>
      </c>
      <c r="B3253" t="s">
        <v>9459</v>
      </c>
      <c r="C3253">
        <f>"H60015XLROJ"</f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1</v>
      </c>
      <c r="K3253">
        <v>5.805</v>
      </c>
      <c r="L3253" s="2">
        <v>6</v>
      </c>
      <c r="M3253">
        <v>0</v>
      </c>
      <c r="N3253" s="2">
        <v>0</v>
      </c>
      <c r="O3253">
        <v>-1.2</v>
      </c>
      <c r="P3253" t="s">
        <v>100</v>
      </c>
      <c r="Q3253">
        <v>0</v>
      </c>
      <c r="R3253" t="s">
        <v>145</v>
      </c>
      <c r="S3253">
        <v>0</v>
      </c>
    </row>
    <row r="3254" spans="1:19">
      <c r="A3254" t="s">
        <v>35</v>
      </c>
      <c r="B3254" t="s">
        <v>2750</v>
      </c>
      <c r="C3254">
        <f>"B19220LM"</f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1</v>
      </c>
      <c r="K3254">
        <v>9.449999999999999</v>
      </c>
      <c r="L3254" s="2">
        <v>9</v>
      </c>
      <c r="M3254">
        <v>0</v>
      </c>
      <c r="N3254" s="2">
        <v>0</v>
      </c>
      <c r="O3254">
        <v>-1.2</v>
      </c>
      <c r="P3254" t="s">
        <v>100</v>
      </c>
      <c r="Q3254">
        <v>0</v>
      </c>
      <c r="R3254" t="s">
        <v>145</v>
      </c>
      <c r="S3254">
        <v>0</v>
      </c>
    </row>
    <row r="3255" spans="1:19">
      <c r="A3255" t="s">
        <v>35</v>
      </c>
      <c r="B3255" t="s">
        <v>4882</v>
      </c>
      <c r="C3255">
        <f>"WIN40"</f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1</v>
      </c>
      <c r="K3255">
        <v>3.555</v>
      </c>
      <c r="L3255" s="2">
        <v>4</v>
      </c>
      <c r="M3255">
        <v>0</v>
      </c>
      <c r="N3255" s="2">
        <v>0</v>
      </c>
      <c r="O3255">
        <v>-1.2</v>
      </c>
      <c r="P3255" t="s">
        <v>100</v>
      </c>
      <c r="Q3255">
        <v>0</v>
      </c>
      <c r="R3255" t="s">
        <v>145</v>
      </c>
      <c r="S3255">
        <v>0</v>
      </c>
    </row>
    <row r="3256" spans="1:19">
      <c r="A3256" t="s">
        <v>35</v>
      </c>
      <c r="B3256" t="s">
        <v>9547</v>
      </c>
      <c r="C3256">
        <f>"JW9026"</f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1</v>
      </c>
      <c r="K3256">
        <v>2.16</v>
      </c>
      <c r="L3256" s="2">
        <v>2</v>
      </c>
      <c r="M3256">
        <v>0</v>
      </c>
      <c r="N3256" s="2">
        <v>0</v>
      </c>
      <c r="O3256">
        <v>-1.2</v>
      </c>
      <c r="P3256" t="s">
        <v>100</v>
      </c>
      <c r="Q3256">
        <v>0</v>
      </c>
      <c r="R3256" t="s">
        <v>145</v>
      </c>
      <c r="S3256">
        <v>0</v>
      </c>
    </row>
    <row r="3257" spans="1:19">
      <c r="A3257" t="s">
        <v>35</v>
      </c>
      <c r="B3257" t="s">
        <v>9293</v>
      </c>
      <c r="C3257">
        <f>"HH095LROS"</f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1</v>
      </c>
      <c r="K3257">
        <v>8.550000000000001</v>
      </c>
      <c r="L3257" s="2">
        <v>9</v>
      </c>
      <c r="M3257">
        <v>0</v>
      </c>
      <c r="N3257" s="2">
        <v>0</v>
      </c>
      <c r="O3257">
        <v>-1.2</v>
      </c>
      <c r="P3257" t="s">
        <v>100</v>
      </c>
      <c r="Q3257">
        <v>0</v>
      </c>
      <c r="R3257" t="s">
        <v>145</v>
      </c>
      <c r="S3257">
        <v>0</v>
      </c>
    </row>
    <row r="3258" spans="1:19">
      <c r="A3258" t="s">
        <v>35</v>
      </c>
      <c r="B3258" t="s">
        <v>9295</v>
      </c>
      <c r="C3258">
        <f>"HH095LNE"</f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1</v>
      </c>
      <c r="K3258">
        <v>9.81</v>
      </c>
      <c r="L3258" s="2">
        <v>10</v>
      </c>
      <c r="M3258">
        <v>0</v>
      </c>
      <c r="N3258" s="2">
        <v>0</v>
      </c>
      <c r="O3258">
        <v>-1.2</v>
      </c>
      <c r="P3258" t="s">
        <v>100</v>
      </c>
      <c r="Q3258">
        <v>0</v>
      </c>
      <c r="R3258" t="s">
        <v>145</v>
      </c>
      <c r="S3258">
        <v>0</v>
      </c>
    </row>
    <row r="3259" spans="1:19">
      <c r="A3259" t="s">
        <v>35</v>
      </c>
      <c r="B3259" t="s">
        <v>9312</v>
      </c>
      <c r="C3259">
        <f>"HH095LMC"</f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1</v>
      </c>
      <c r="K3259">
        <v>9.81</v>
      </c>
      <c r="L3259" s="2">
        <v>10</v>
      </c>
      <c r="M3259">
        <v>0</v>
      </c>
      <c r="N3259" s="2">
        <v>0</v>
      </c>
      <c r="O3259">
        <v>-1.2</v>
      </c>
      <c r="P3259" t="s">
        <v>100</v>
      </c>
      <c r="Q3259">
        <v>0</v>
      </c>
      <c r="R3259" t="s">
        <v>145</v>
      </c>
      <c r="S3259">
        <v>0</v>
      </c>
    </row>
    <row r="3260" spans="1:19">
      <c r="A3260" t="s">
        <v>35</v>
      </c>
      <c r="B3260" t="s">
        <v>6753</v>
      </c>
      <c r="C3260">
        <f>"XYLED01"</f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1</v>
      </c>
      <c r="K3260">
        <v>11.25</v>
      </c>
      <c r="L3260" s="2">
        <v>11</v>
      </c>
      <c r="M3260">
        <v>0</v>
      </c>
      <c r="N3260" s="2">
        <v>0</v>
      </c>
      <c r="O3260">
        <v>-1.2</v>
      </c>
      <c r="P3260" t="s">
        <v>100</v>
      </c>
      <c r="Q3260">
        <v>0</v>
      </c>
      <c r="R3260" t="s">
        <v>145</v>
      </c>
      <c r="S3260">
        <v>0</v>
      </c>
    </row>
    <row r="3261" spans="1:19">
      <c r="A3261" t="s">
        <v>35</v>
      </c>
      <c r="B3261" t="s">
        <v>4415</v>
      </c>
      <c r="C3261">
        <f>"25395874"</f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1</v>
      </c>
      <c r="K3261">
        <v>6.448</v>
      </c>
      <c r="L3261" s="2">
        <v>6</v>
      </c>
      <c r="M3261">
        <v>0</v>
      </c>
      <c r="N3261" s="2">
        <v>0</v>
      </c>
      <c r="O3261">
        <v>-1.2</v>
      </c>
      <c r="P3261" t="s">
        <v>100</v>
      </c>
      <c r="Q3261">
        <v>0</v>
      </c>
      <c r="R3261" t="s">
        <v>145</v>
      </c>
      <c r="S3261">
        <v>0</v>
      </c>
    </row>
    <row r="3262" spans="1:19">
      <c r="A3262" t="s">
        <v>35</v>
      </c>
      <c r="B3262" t="s">
        <v>6781</v>
      </c>
      <c r="C3262">
        <f>"JW5041M"</f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1</v>
      </c>
      <c r="K3262">
        <v>801</v>
      </c>
      <c r="L3262" s="2">
        <v>801</v>
      </c>
      <c r="M3262">
        <v>0</v>
      </c>
      <c r="N3262" s="2">
        <v>0</v>
      </c>
      <c r="O3262">
        <v>-1.2</v>
      </c>
      <c r="P3262" t="s">
        <v>100</v>
      </c>
      <c r="Q3262">
        <v>0</v>
      </c>
      <c r="R3262" t="s">
        <v>145</v>
      </c>
      <c r="S3262">
        <v>0</v>
      </c>
    </row>
    <row r="3263" spans="1:19">
      <c r="A3263" t="s">
        <v>35</v>
      </c>
      <c r="B3263" t="s">
        <v>4957</v>
      </c>
      <c r="C3263">
        <f>"SL111C"</f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1</v>
      </c>
      <c r="K3263">
        <v>1.701</v>
      </c>
      <c r="L3263" s="2">
        <v>2</v>
      </c>
      <c r="M3263">
        <v>0</v>
      </c>
      <c r="N3263" s="2">
        <v>0</v>
      </c>
      <c r="O3263">
        <v>-1.2</v>
      </c>
      <c r="P3263" t="s">
        <v>100</v>
      </c>
      <c r="Q3263">
        <v>0</v>
      </c>
      <c r="R3263" t="s">
        <v>145</v>
      </c>
      <c r="S3263">
        <v>0</v>
      </c>
    </row>
    <row r="3264" spans="1:19">
      <c r="A3264" t="s">
        <v>35</v>
      </c>
      <c r="B3264" t="s">
        <v>4906</v>
      </c>
      <c r="C3264">
        <f>"DN141"</f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1</v>
      </c>
      <c r="K3264">
        <v>1.89</v>
      </c>
      <c r="L3264" s="2">
        <v>2</v>
      </c>
      <c r="M3264">
        <v>0</v>
      </c>
      <c r="N3264" s="2">
        <v>0</v>
      </c>
      <c r="O3264">
        <v>-1.2</v>
      </c>
      <c r="P3264" t="s">
        <v>100</v>
      </c>
      <c r="Q3264">
        <v>0</v>
      </c>
      <c r="R3264" t="s">
        <v>145</v>
      </c>
      <c r="S3264">
        <v>0</v>
      </c>
    </row>
    <row r="3265" spans="1:19">
      <c r="A3265" t="s">
        <v>35</v>
      </c>
      <c r="B3265" t="s">
        <v>4910</v>
      </c>
      <c r="C3265">
        <f>"ZS006ASCAL"</f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1</v>
      </c>
      <c r="K3265">
        <v>1.431</v>
      </c>
      <c r="L3265" s="2">
        <v>1</v>
      </c>
      <c r="M3265">
        <v>0</v>
      </c>
      <c r="N3265" s="2">
        <v>0</v>
      </c>
      <c r="O3265">
        <v>-1.2</v>
      </c>
      <c r="P3265" t="s">
        <v>100</v>
      </c>
      <c r="Q3265">
        <v>0</v>
      </c>
      <c r="R3265" t="s">
        <v>145</v>
      </c>
      <c r="S3265">
        <v>0</v>
      </c>
    </row>
    <row r="3266" spans="1:19">
      <c r="A3266" t="s">
        <v>35</v>
      </c>
      <c r="B3266" t="s">
        <v>4911</v>
      </c>
      <c r="C3266">
        <f>"ZS006ASAM"</f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1</v>
      </c>
      <c r="K3266">
        <v>1.431</v>
      </c>
      <c r="L3266" s="2">
        <v>1</v>
      </c>
      <c r="M3266">
        <v>0</v>
      </c>
      <c r="N3266" s="2">
        <v>0</v>
      </c>
      <c r="O3266">
        <v>-1.2</v>
      </c>
      <c r="P3266" t="s">
        <v>100</v>
      </c>
      <c r="Q3266">
        <v>0</v>
      </c>
      <c r="R3266" t="s">
        <v>145</v>
      </c>
      <c r="S3266">
        <v>0</v>
      </c>
    </row>
    <row r="3267" spans="1:19">
      <c r="A3267" t="s">
        <v>35</v>
      </c>
      <c r="B3267" t="s">
        <v>4913</v>
      </c>
      <c r="C3267">
        <f>"ZS006AMAM"</f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1</v>
      </c>
      <c r="K3267">
        <v>1.521</v>
      </c>
      <c r="L3267" s="2">
        <v>2</v>
      </c>
      <c r="M3267">
        <v>0</v>
      </c>
      <c r="N3267" s="2">
        <v>0</v>
      </c>
      <c r="O3267">
        <v>-1.2</v>
      </c>
      <c r="P3267" t="s">
        <v>100</v>
      </c>
      <c r="Q3267">
        <v>0</v>
      </c>
      <c r="R3267" t="s">
        <v>145</v>
      </c>
      <c r="S3267">
        <v>0</v>
      </c>
    </row>
    <row r="3268" spans="1:19">
      <c r="A3268" t="s">
        <v>35</v>
      </c>
      <c r="B3268" t="s">
        <v>4884</v>
      </c>
      <c r="C3268">
        <f>"LS171VL"</f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1</v>
      </c>
      <c r="K3268">
        <v>4.05</v>
      </c>
      <c r="L3268" s="2">
        <v>4</v>
      </c>
      <c r="M3268">
        <v>0</v>
      </c>
      <c r="N3268" s="2">
        <v>0</v>
      </c>
      <c r="O3268">
        <v>-1.2</v>
      </c>
      <c r="P3268" t="s">
        <v>100</v>
      </c>
      <c r="Q3268">
        <v>0</v>
      </c>
      <c r="R3268" t="s">
        <v>145</v>
      </c>
      <c r="S3268">
        <v>0</v>
      </c>
    </row>
    <row r="3269" spans="1:19">
      <c r="A3269" t="s">
        <v>35</v>
      </c>
      <c r="B3269" t="s">
        <v>4123</v>
      </c>
      <c r="C3269">
        <f>"6833XLGC"</f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1</v>
      </c>
      <c r="K3269">
        <v>7.65</v>
      </c>
      <c r="L3269" s="2">
        <v>8</v>
      </c>
      <c r="M3269">
        <v>0</v>
      </c>
      <c r="N3269" s="2">
        <v>0</v>
      </c>
      <c r="O3269">
        <v>-1.2</v>
      </c>
      <c r="P3269" t="s">
        <v>100</v>
      </c>
      <c r="Q3269">
        <v>0</v>
      </c>
      <c r="R3269" t="s">
        <v>145</v>
      </c>
      <c r="S3269">
        <v>0</v>
      </c>
    </row>
    <row r="3270" spans="1:19">
      <c r="A3270" t="s">
        <v>35</v>
      </c>
      <c r="B3270" t="s">
        <v>4111</v>
      </c>
      <c r="C3270">
        <f>"6832XLGC"</f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1</v>
      </c>
      <c r="K3270">
        <v>7.65</v>
      </c>
      <c r="L3270" s="2">
        <v>8</v>
      </c>
      <c r="M3270">
        <v>0</v>
      </c>
      <c r="N3270" s="2">
        <v>0</v>
      </c>
      <c r="O3270">
        <v>-1.2</v>
      </c>
      <c r="P3270" t="s">
        <v>100</v>
      </c>
      <c r="Q3270">
        <v>0</v>
      </c>
      <c r="R3270" t="s">
        <v>145</v>
      </c>
      <c r="S3270">
        <v>0</v>
      </c>
    </row>
    <row r="3271" spans="1:19">
      <c r="A3271" t="s">
        <v>35</v>
      </c>
      <c r="B3271" t="s">
        <v>8020</v>
      </c>
      <c r="C3271">
        <f>"FEP120RA"</f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1</v>
      </c>
      <c r="K3271">
        <v>26.55</v>
      </c>
      <c r="L3271" s="2">
        <v>27</v>
      </c>
      <c r="M3271">
        <v>0</v>
      </c>
      <c r="N3271" s="2">
        <v>0</v>
      </c>
      <c r="O3271">
        <v>-1.2</v>
      </c>
      <c r="P3271" t="s">
        <v>100</v>
      </c>
      <c r="Q3271">
        <v>0</v>
      </c>
      <c r="R3271" t="s">
        <v>145</v>
      </c>
      <c r="S3271">
        <v>0</v>
      </c>
    </row>
    <row r="3272" spans="1:19">
      <c r="A3272" t="s">
        <v>35</v>
      </c>
      <c r="B3272" t="s">
        <v>8021</v>
      </c>
      <c r="C3272">
        <f>"FEP120P"</f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1</v>
      </c>
      <c r="K3272">
        <v>26.55</v>
      </c>
      <c r="L3272" s="2">
        <v>27</v>
      </c>
      <c r="M3272">
        <v>0</v>
      </c>
      <c r="N3272" s="2">
        <v>0</v>
      </c>
      <c r="O3272">
        <v>-1.2</v>
      </c>
      <c r="P3272" t="s">
        <v>100</v>
      </c>
      <c r="Q3272">
        <v>0</v>
      </c>
      <c r="R3272" t="s">
        <v>145</v>
      </c>
      <c r="S3272">
        <v>0</v>
      </c>
    </row>
    <row r="3273" spans="1:19">
      <c r="A3273" t="s">
        <v>35</v>
      </c>
      <c r="B3273" t="s">
        <v>9586</v>
      </c>
      <c r="C3273">
        <f>"HH095XXSCE"</f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1</v>
      </c>
      <c r="K3273">
        <v>5.625</v>
      </c>
      <c r="L3273" s="2">
        <v>6</v>
      </c>
      <c r="M3273">
        <v>0</v>
      </c>
      <c r="N3273" s="2">
        <v>0</v>
      </c>
      <c r="O3273">
        <v>-1.2</v>
      </c>
      <c r="P3273" t="s">
        <v>100</v>
      </c>
      <c r="Q3273">
        <v>0</v>
      </c>
      <c r="R3273" t="s">
        <v>145</v>
      </c>
      <c r="S3273">
        <v>0</v>
      </c>
    </row>
    <row r="3274" spans="1:19">
      <c r="A3274" t="s">
        <v>35</v>
      </c>
      <c r="B3274" t="s">
        <v>9589</v>
      </c>
      <c r="C3274">
        <f>"HH095XXLROJ"</f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1</v>
      </c>
      <c r="K3274">
        <v>10.791</v>
      </c>
      <c r="L3274" s="2">
        <v>11</v>
      </c>
      <c r="M3274">
        <v>0</v>
      </c>
      <c r="N3274" s="2">
        <v>0</v>
      </c>
      <c r="O3274">
        <v>-1.2</v>
      </c>
      <c r="P3274" t="s">
        <v>100</v>
      </c>
      <c r="Q3274">
        <v>0</v>
      </c>
      <c r="R3274" t="s">
        <v>145</v>
      </c>
      <c r="S3274">
        <v>0</v>
      </c>
    </row>
    <row r="3275" spans="1:19">
      <c r="A3275" t="s">
        <v>35</v>
      </c>
      <c r="B3275" t="s">
        <v>9590</v>
      </c>
      <c r="C3275">
        <f>"HH095XXLNE"</f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1</v>
      </c>
      <c r="K3275">
        <v>10.791</v>
      </c>
      <c r="L3275" s="2">
        <v>11</v>
      </c>
      <c r="M3275">
        <v>0</v>
      </c>
      <c r="N3275" s="2">
        <v>0</v>
      </c>
      <c r="O3275">
        <v>-1.2</v>
      </c>
      <c r="P3275" t="s">
        <v>100</v>
      </c>
      <c r="Q3275">
        <v>0</v>
      </c>
      <c r="R3275" t="s">
        <v>145</v>
      </c>
      <c r="S3275">
        <v>0</v>
      </c>
    </row>
    <row r="3276" spans="1:19">
      <c r="A3276" t="s">
        <v>35</v>
      </c>
      <c r="B3276" t="s">
        <v>4950</v>
      </c>
      <c r="C3276">
        <f>"1761SCA"</f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1</v>
      </c>
      <c r="K3276">
        <v>0</v>
      </c>
      <c r="L3276" s="2">
        <v>0</v>
      </c>
      <c r="M3276">
        <v>0</v>
      </c>
      <c r="N3276" s="2">
        <v>0</v>
      </c>
      <c r="O3276">
        <v>-1.2</v>
      </c>
      <c r="P3276" t="s">
        <v>100</v>
      </c>
      <c r="Q3276">
        <v>0</v>
      </c>
      <c r="R3276" t="s">
        <v>145</v>
      </c>
      <c r="S3276">
        <v>0</v>
      </c>
    </row>
    <row r="3277" spans="1:19">
      <c r="A3277" t="s">
        <v>35</v>
      </c>
      <c r="B3277" t="s">
        <v>4953</v>
      </c>
      <c r="C3277">
        <f>"1761MCA"</f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1</v>
      </c>
      <c r="K3277">
        <v>0</v>
      </c>
      <c r="L3277" s="2">
        <v>0</v>
      </c>
      <c r="M3277">
        <v>0</v>
      </c>
      <c r="N3277" s="2">
        <v>0</v>
      </c>
      <c r="O3277">
        <v>-1.2</v>
      </c>
      <c r="P3277" t="s">
        <v>100</v>
      </c>
      <c r="Q3277">
        <v>0</v>
      </c>
      <c r="R3277" t="s">
        <v>145</v>
      </c>
      <c r="S3277">
        <v>0</v>
      </c>
    </row>
    <row r="3278" spans="1:19">
      <c r="A3278" t="s">
        <v>35</v>
      </c>
      <c r="B3278" t="s">
        <v>4954</v>
      </c>
      <c r="C3278">
        <f>"1761LROJ"</f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1</v>
      </c>
      <c r="K3278">
        <v>0</v>
      </c>
      <c r="L3278" s="2">
        <v>0</v>
      </c>
      <c r="M3278">
        <v>0</v>
      </c>
      <c r="N3278" s="2">
        <v>0</v>
      </c>
      <c r="O3278">
        <v>-1.2</v>
      </c>
      <c r="P3278" t="s">
        <v>100</v>
      </c>
      <c r="Q3278">
        <v>0</v>
      </c>
      <c r="R3278" t="s">
        <v>145</v>
      </c>
      <c r="S3278">
        <v>0</v>
      </c>
    </row>
    <row r="3279" spans="1:19">
      <c r="A3279" t="s">
        <v>35</v>
      </c>
      <c r="B3279" t="s">
        <v>4167</v>
      </c>
      <c r="C3279">
        <f>"B116003SV"</f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1</v>
      </c>
      <c r="K3279">
        <v>7.785</v>
      </c>
      <c r="L3279" s="2">
        <v>8</v>
      </c>
      <c r="M3279">
        <v>0</v>
      </c>
      <c r="N3279" s="2">
        <v>0</v>
      </c>
      <c r="O3279">
        <v>-1.2</v>
      </c>
      <c r="P3279" t="s">
        <v>100</v>
      </c>
      <c r="Q3279">
        <v>0</v>
      </c>
      <c r="R3279" t="s">
        <v>145</v>
      </c>
      <c r="S3279">
        <v>0</v>
      </c>
    </row>
    <row r="3280" spans="1:19">
      <c r="A3280" t="s">
        <v>35</v>
      </c>
      <c r="B3280" t="s">
        <v>7959</v>
      </c>
      <c r="C3280">
        <f>"JW2610MO"</f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1</v>
      </c>
      <c r="K3280">
        <v>1.08</v>
      </c>
      <c r="L3280" s="2">
        <v>1</v>
      </c>
      <c r="M3280">
        <v>0</v>
      </c>
      <c r="N3280" s="2">
        <v>0</v>
      </c>
      <c r="O3280">
        <v>-1.2</v>
      </c>
      <c r="P3280" t="s">
        <v>100</v>
      </c>
      <c r="Q3280">
        <v>0</v>
      </c>
      <c r="R3280" t="s">
        <v>145</v>
      </c>
      <c r="S3280">
        <v>0</v>
      </c>
    </row>
    <row r="3281" spans="1:19">
      <c r="A3281" t="s">
        <v>35</v>
      </c>
      <c r="B3281" t="s">
        <v>7941</v>
      </c>
      <c r="C3281">
        <f>"CLCL"</f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1</v>
      </c>
      <c r="K3281">
        <v>19.575</v>
      </c>
      <c r="L3281" s="2">
        <v>20</v>
      </c>
      <c r="M3281">
        <v>0</v>
      </c>
      <c r="N3281" s="2">
        <v>0</v>
      </c>
      <c r="O3281">
        <v>-1.2</v>
      </c>
      <c r="P3281" t="s">
        <v>100</v>
      </c>
      <c r="Q3281">
        <v>0</v>
      </c>
      <c r="R3281" t="s">
        <v>145</v>
      </c>
      <c r="S3281">
        <v>0</v>
      </c>
    </row>
    <row r="3282" spans="1:19">
      <c r="A3282" t="s">
        <v>35</v>
      </c>
      <c r="B3282" t="s">
        <v>8012</v>
      </c>
      <c r="C3282">
        <f>"FN70H"</f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1</v>
      </c>
      <c r="K3282">
        <v>7.11</v>
      </c>
      <c r="L3282" s="2">
        <v>7</v>
      </c>
      <c r="M3282">
        <v>0</v>
      </c>
      <c r="N3282" s="2">
        <v>0</v>
      </c>
      <c r="O3282">
        <v>-1.2</v>
      </c>
      <c r="P3282" t="s">
        <v>100</v>
      </c>
      <c r="Q3282">
        <v>0</v>
      </c>
      <c r="R3282" t="s">
        <v>145</v>
      </c>
      <c r="S3282">
        <v>0</v>
      </c>
    </row>
    <row r="3283" spans="1:19">
      <c r="A3283" t="s">
        <v>35</v>
      </c>
      <c r="B3283" t="s">
        <v>7918</v>
      </c>
      <c r="C3283">
        <f>"FN110H"</f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1</v>
      </c>
      <c r="K3283">
        <v>17.91</v>
      </c>
      <c r="L3283" s="2">
        <v>18</v>
      </c>
      <c r="M3283">
        <v>0</v>
      </c>
      <c r="N3283" s="2">
        <v>0</v>
      </c>
      <c r="O3283">
        <v>-1.2</v>
      </c>
      <c r="P3283" t="s">
        <v>100</v>
      </c>
      <c r="Q3283">
        <v>0</v>
      </c>
      <c r="R3283" t="s">
        <v>145</v>
      </c>
      <c r="S3283">
        <v>0</v>
      </c>
    </row>
    <row r="3284" spans="1:19">
      <c r="A3284" t="s">
        <v>35</v>
      </c>
      <c r="B3284" t="s">
        <v>8024</v>
      </c>
      <c r="C3284">
        <f>"FEP120C"</f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1</v>
      </c>
      <c r="K3284">
        <v>22.41</v>
      </c>
      <c r="L3284" s="2">
        <v>22</v>
      </c>
      <c r="M3284">
        <v>0</v>
      </c>
      <c r="N3284" s="2">
        <v>0</v>
      </c>
      <c r="O3284">
        <v>-1.2</v>
      </c>
      <c r="P3284" t="s">
        <v>100</v>
      </c>
      <c r="Q3284">
        <v>0</v>
      </c>
      <c r="R3284" t="s">
        <v>145</v>
      </c>
      <c r="S3284">
        <v>0</v>
      </c>
    </row>
    <row r="3285" spans="1:19">
      <c r="A3285" t="s">
        <v>35</v>
      </c>
      <c r="B3285" t="s">
        <v>8028</v>
      </c>
      <c r="C3285">
        <f>"FEP100VIN"</f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1</v>
      </c>
      <c r="K3285">
        <v>16.11</v>
      </c>
      <c r="L3285" s="2">
        <v>16</v>
      </c>
      <c r="M3285">
        <v>0</v>
      </c>
      <c r="N3285" s="2">
        <v>0</v>
      </c>
      <c r="O3285">
        <v>-1.2</v>
      </c>
      <c r="P3285" t="s">
        <v>100</v>
      </c>
      <c r="Q3285">
        <v>0</v>
      </c>
      <c r="R3285" t="s">
        <v>145</v>
      </c>
      <c r="S3285">
        <v>0</v>
      </c>
    </row>
    <row r="3286" spans="1:19">
      <c r="A3286" t="s">
        <v>35</v>
      </c>
      <c r="B3286" t="s">
        <v>8015</v>
      </c>
      <c r="C3286">
        <f>"FEP100RO"</f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1</v>
      </c>
      <c r="K3286">
        <v>16.11</v>
      </c>
      <c r="L3286" s="2">
        <v>16</v>
      </c>
      <c r="M3286">
        <v>0</v>
      </c>
      <c r="N3286" s="2">
        <v>0</v>
      </c>
      <c r="O3286">
        <v>-1.2</v>
      </c>
      <c r="P3286" t="s">
        <v>100</v>
      </c>
      <c r="Q3286">
        <v>0</v>
      </c>
      <c r="R3286" t="s">
        <v>145</v>
      </c>
      <c r="S3286">
        <v>0</v>
      </c>
    </row>
    <row r="3287" spans="1:19">
      <c r="A3287" t="s">
        <v>35</v>
      </c>
      <c r="B3287" t="s">
        <v>4055</v>
      </c>
      <c r="C3287">
        <f>"C1183543XLA"</f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1</v>
      </c>
      <c r="K3287">
        <v>9.936</v>
      </c>
      <c r="L3287" s="2">
        <v>10</v>
      </c>
      <c r="M3287">
        <v>0</v>
      </c>
      <c r="N3287" s="2">
        <v>0</v>
      </c>
      <c r="O3287">
        <v>-1.2</v>
      </c>
      <c r="P3287" t="s">
        <v>100</v>
      </c>
      <c r="Q3287">
        <v>0</v>
      </c>
      <c r="R3287" t="s">
        <v>145</v>
      </c>
      <c r="S3287">
        <v>0</v>
      </c>
    </row>
    <row r="3288" spans="1:19">
      <c r="A3288" t="s">
        <v>35</v>
      </c>
      <c r="B3288" t="s">
        <v>4076</v>
      </c>
      <c r="C3288">
        <f>"C1183542XLC"</f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1</v>
      </c>
      <c r="K3288">
        <v>8.91</v>
      </c>
      <c r="L3288" s="2">
        <v>9</v>
      </c>
      <c r="M3288">
        <v>0</v>
      </c>
      <c r="N3288" s="2">
        <v>0</v>
      </c>
      <c r="O3288">
        <v>-1.2</v>
      </c>
      <c r="P3288" t="s">
        <v>100</v>
      </c>
      <c r="Q3288">
        <v>0</v>
      </c>
      <c r="R3288" t="s">
        <v>145</v>
      </c>
      <c r="S3288">
        <v>0</v>
      </c>
    </row>
    <row r="3289" spans="1:19">
      <c r="A3289" t="s">
        <v>35</v>
      </c>
      <c r="B3289" t="s">
        <v>4093</v>
      </c>
      <c r="C3289">
        <f>"C1183542XLA"</f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1</v>
      </c>
      <c r="K3289">
        <v>8.91</v>
      </c>
      <c r="L3289" s="2">
        <v>9</v>
      </c>
      <c r="M3289">
        <v>0</v>
      </c>
      <c r="N3289" s="2">
        <v>0</v>
      </c>
      <c r="O3289">
        <v>-1.2</v>
      </c>
      <c r="P3289" t="s">
        <v>100</v>
      </c>
      <c r="Q3289">
        <v>0</v>
      </c>
      <c r="R3289" t="s">
        <v>145</v>
      </c>
      <c r="S3289">
        <v>0</v>
      </c>
    </row>
    <row r="3290" spans="1:19">
      <c r="A3290" t="s">
        <v>35</v>
      </c>
      <c r="B3290" t="s">
        <v>4094</v>
      </c>
      <c r="C3290">
        <f>"b1090062XLA"</f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1</v>
      </c>
      <c r="K3290">
        <v>8.91</v>
      </c>
      <c r="L3290" s="2">
        <v>9</v>
      </c>
      <c r="M3290">
        <v>0</v>
      </c>
      <c r="N3290" s="2">
        <v>0</v>
      </c>
      <c r="O3290">
        <v>-1.2</v>
      </c>
      <c r="P3290" t="s">
        <v>100</v>
      </c>
      <c r="Q3290">
        <v>0</v>
      </c>
      <c r="R3290" t="s">
        <v>145</v>
      </c>
      <c r="S3290">
        <v>0</v>
      </c>
    </row>
    <row r="3291" spans="1:19">
      <c r="A3291" t="s">
        <v>35</v>
      </c>
      <c r="B3291" t="s">
        <v>4007</v>
      </c>
      <c r="C3291">
        <f>"6835XLGC"</f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1</v>
      </c>
      <c r="K3291">
        <v>8.720000000000001</v>
      </c>
      <c r="L3291" s="2">
        <v>9</v>
      </c>
      <c r="M3291">
        <v>0</v>
      </c>
      <c r="N3291" s="2">
        <v>0</v>
      </c>
      <c r="O3291">
        <v>-1.2</v>
      </c>
      <c r="P3291" t="s">
        <v>100</v>
      </c>
      <c r="Q3291">
        <v>0</v>
      </c>
      <c r="R3291" t="s">
        <v>145</v>
      </c>
      <c r="S3291">
        <v>0</v>
      </c>
    </row>
    <row r="3292" spans="1:19">
      <c r="A3292" t="s">
        <v>35</v>
      </c>
      <c r="B3292" t="s">
        <v>7937</v>
      </c>
      <c r="C3292">
        <f>"CLDD"</f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1</v>
      </c>
      <c r="K3292">
        <v>14.715</v>
      </c>
      <c r="L3292" s="2">
        <v>15</v>
      </c>
      <c r="M3292">
        <v>0</v>
      </c>
      <c r="N3292" s="2">
        <v>0</v>
      </c>
      <c r="O3292">
        <v>-1.2</v>
      </c>
      <c r="P3292" t="s">
        <v>100</v>
      </c>
      <c r="Q3292">
        <v>0</v>
      </c>
      <c r="R3292" t="s">
        <v>145</v>
      </c>
      <c r="S3292">
        <v>0</v>
      </c>
    </row>
    <row r="3293" spans="1:19">
      <c r="A3293" t="s">
        <v>35</v>
      </c>
      <c r="B3293" t="s">
        <v>7961</v>
      </c>
      <c r="C3293">
        <f>"JW2610"</f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1</v>
      </c>
      <c r="K3293">
        <v>981</v>
      </c>
      <c r="L3293" s="2">
        <v>981</v>
      </c>
      <c r="M3293">
        <v>0</v>
      </c>
      <c r="N3293" s="2">
        <v>0</v>
      </c>
      <c r="O3293">
        <v>-1.2</v>
      </c>
      <c r="P3293" t="s">
        <v>100</v>
      </c>
      <c r="Q3293">
        <v>0</v>
      </c>
      <c r="R3293" t="s">
        <v>145</v>
      </c>
      <c r="S3293">
        <v>0</v>
      </c>
    </row>
    <row r="3294" spans="1:19">
      <c r="A3294" t="s">
        <v>35</v>
      </c>
      <c r="B3294" t="s">
        <v>7967</v>
      </c>
      <c r="C3294">
        <f>"JW2608ROS"</f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1</v>
      </c>
      <c r="K3294">
        <v>810</v>
      </c>
      <c r="L3294" s="2">
        <v>810</v>
      </c>
      <c r="M3294">
        <v>0</v>
      </c>
      <c r="N3294" s="2">
        <v>0</v>
      </c>
      <c r="O3294">
        <v>-1.2</v>
      </c>
      <c r="P3294" t="s">
        <v>100</v>
      </c>
      <c r="Q3294">
        <v>0</v>
      </c>
      <c r="R3294" t="s">
        <v>145</v>
      </c>
      <c r="S3294">
        <v>0</v>
      </c>
    </row>
    <row r="3295" spans="1:19">
      <c r="A3295" t="s">
        <v>35</v>
      </c>
      <c r="B3295" t="s">
        <v>2660</v>
      </c>
      <c r="C3295">
        <f>"KSJXS"</f>
        <v>0</v>
      </c>
      <c r="D3295">
        <v>0</v>
      </c>
      <c r="E3295">
        <v>1</v>
      </c>
      <c r="F3295">
        <v>0</v>
      </c>
      <c r="G3295">
        <v>0</v>
      </c>
      <c r="H3295">
        <v>1</v>
      </c>
      <c r="I3295">
        <v>0</v>
      </c>
      <c r="J3295">
        <v>1</v>
      </c>
      <c r="K3295">
        <v>1.08</v>
      </c>
      <c r="L3295" s="2">
        <v>1</v>
      </c>
      <c r="M3295">
        <v>0</v>
      </c>
      <c r="N3295" s="2">
        <v>0</v>
      </c>
      <c r="O3295">
        <v>-1.2</v>
      </c>
      <c r="P3295" t="s">
        <v>100</v>
      </c>
      <c r="Q3295">
        <v>0</v>
      </c>
      <c r="R3295" t="s">
        <v>145</v>
      </c>
      <c r="S3295">
        <v>0</v>
      </c>
    </row>
    <row r="3296" spans="1:19">
      <c r="A3296" t="s">
        <v>35</v>
      </c>
      <c r="B3296" t="s">
        <v>2391</v>
      </c>
      <c r="C3296">
        <f>"C608MO"</f>
        <v>0</v>
      </c>
      <c r="D3296">
        <v>0</v>
      </c>
      <c r="E3296">
        <v>0</v>
      </c>
      <c r="F3296">
        <v>1</v>
      </c>
      <c r="G3296">
        <v>0</v>
      </c>
      <c r="H3296">
        <v>1</v>
      </c>
      <c r="I3296">
        <v>0</v>
      </c>
      <c r="J3296">
        <v>1</v>
      </c>
      <c r="K3296">
        <v>0</v>
      </c>
      <c r="L3296" s="2">
        <v>0</v>
      </c>
      <c r="M3296">
        <v>0</v>
      </c>
      <c r="N3296" s="2">
        <v>0</v>
      </c>
      <c r="O3296">
        <v>-1.2</v>
      </c>
      <c r="P3296" t="s">
        <v>100</v>
      </c>
      <c r="Q3296">
        <v>0</v>
      </c>
      <c r="R3296" t="s">
        <v>145</v>
      </c>
      <c r="S3296">
        <v>0</v>
      </c>
    </row>
    <row r="3297" spans="1:19">
      <c r="A3297" t="s">
        <v>35</v>
      </c>
      <c r="B3297" t="s">
        <v>2444</v>
      </c>
      <c r="C3297">
        <f>"TQ073C"</f>
        <v>0</v>
      </c>
      <c r="D3297">
        <v>0</v>
      </c>
      <c r="E3297">
        <v>0</v>
      </c>
      <c r="F3297">
        <v>1</v>
      </c>
      <c r="G3297">
        <v>0</v>
      </c>
      <c r="H3297">
        <v>1</v>
      </c>
      <c r="I3297">
        <v>0</v>
      </c>
      <c r="J3297">
        <v>1</v>
      </c>
      <c r="K3297">
        <v>342</v>
      </c>
      <c r="L3297" s="2">
        <v>342</v>
      </c>
      <c r="M3297">
        <v>0</v>
      </c>
      <c r="N3297" s="2">
        <v>0</v>
      </c>
      <c r="O3297">
        <v>-1.2</v>
      </c>
      <c r="P3297" t="s">
        <v>100</v>
      </c>
      <c r="Q3297">
        <v>0</v>
      </c>
      <c r="R3297" t="s">
        <v>145</v>
      </c>
      <c r="S3297">
        <v>0</v>
      </c>
    </row>
    <row r="3298" spans="1:19">
      <c r="A3298" t="s">
        <v>35</v>
      </c>
      <c r="B3298" t="s">
        <v>9477</v>
      </c>
      <c r="C3298">
        <f>"HH095LMO"</f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1</v>
      </c>
      <c r="K3298">
        <v>9.81</v>
      </c>
      <c r="L3298" s="2">
        <v>10</v>
      </c>
      <c r="M3298">
        <v>0</v>
      </c>
      <c r="N3298" s="2">
        <v>0</v>
      </c>
      <c r="O3298">
        <v>-1.2</v>
      </c>
      <c r="P3298" t="s">
        <v>100</v>
      </c>
      <c r="Q3298">
        <v>0</v>
      </c>
      <c r="R3298" t="s">
        <v>145</v>
      </c>
      <c r="S3298">
        <v>0</v>
      </c>
    </row>
    <row r="3299" spans="1:19">
      <c r="A3299" t="s">
        <v>35</v>
      </c>
      <c r="B3299" t="s">
        <v>9479</v>
      </c>
      <c r="C3299">
        <f>"HH095LCE"</f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1</v>
      </c>
      <c r="K3299">
        <v>8.550000000000001</v>
      </c>
      <c r="L3299" s="2">
        <v>9</v>
      </c>
      <c r="M3299">
        <v>0</v>
      </c>
      <c r="N3299" s="2">
        <v>0</v>
      </c>
      <c r="O3299">
        <v>-1.2</v>
      </c>
      <c r="P3299" t="s">
        <v>100</v>
      </c>
      <c r="Q3299">
        <v>0</v>
      </c>
      <c r="R3299" t="s">
        <v>145</v>
      </c>
      <c r="S3299">
        <v>0</v>
      </c>
    </row>
    <row r="3300" spans="1:19">
      <c r="A3300" t="s">
        <v>35</v>
      </c>
      <c r="B3300" t="s">
        <v>9288</v>
      </c>
      <c r="C3300">
        <f>"HH309SNA"</f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1</v>
      </c>
      <c r="K3300">
        <v>4.491</v>
      </c>
      <c r="L3300" s="2">
        <v>4</v>
      </c>
      <c r="M3300">
        <v>0</v>
      </c>
      <c r="N3300" s="2">
        <v>0</v>
      </c>
      <c r="O3300">
        <v>-1.2</v>
      </c>
      <c r="P3300" t="s">
        <v>100</v>
      </c>
      <c r="Q3300">
        <v>0</v>
      </c>
      <c r="R3300" t="s">
        <v>145</v>
      </c>
      <c r="S3300">
        <v>0</v>
      </c>
    </row>
    <row r="3301" spans="1:19">
      <c r="A3301" t="s">
        <v>35</v>
      </c>
      <c r="B3301" t="s">
        <v>9290</v>
      </c>
      <c r="C3301">
        <f>"HH309SGR"</f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1</v>
      </c>
      <c r="K3301">
        <v>4.491</v>
      </c>
      <c r="L3301" s="2">
        <v>4</v>
      </c>
      <c r="M3301">
        <v>0</v>
      </c>
      <c r="N3301" s="2">
        <v>0</v>
      </c>
      <c r="O3301">
        <v>-1.2</v>
      </c>
      <c r="P3301" t="s">
        <v>100</v>
      </c>
      <c r="Q3301">
        <v>0</v>
      </c>
      <c r="R3301" t="s">
        <v>145</v>
      </c>
      <c r="S3301">
        <v>0</v>
      </c>
    </row>
    <row r="3302" spans="1:19">
      <c r="A3302" t="s">
        <v>35</v>
      </c>
      <c r="B3302" t="s">
        <v>8031</v>
      </c>
      <c r="C3302">
        <f>"FEP120VI"</f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1</v>
      </c>
      <c r="K3302">
        <v>26.55</v>
      </c>
      <c r="L3302" s="2">
        <v>27</v>
      </c>
      <c r="M3302">
        <v>0</v>
      </c>
      <c r="N3302" s="2">
        <v>0</v>
      </c>
      <c r="O3302">
        <v>-1.2</v>
      </c>
      <c r="P3302" t="s">
        <v>100</v>
      </c>
      <c r="Q3302">
        <v>0</v>
      </c>
      <c r="R3302" t="s">
        <v>145</v>
      </c>
      <c r="S3302">
        <v>0</v>
      </c>
    </row>
    <row r="3303" spans="1:19">
      <c r="A3303" t="s">
        <v>35</v>
      </c>
      <c r="B3303" t="s">
        <v>7957</v>
      </c>
      <c r="C3303">
        <f>"JW2610VE"</f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1</v>
      </c>
      <c r="K3303">
        <v>1.08</v>
      </c>
      <c r="L3303" s="2">
        <v>1</v>
      </c>
      <c r="M3303">
        <v>0</v>
      </c>
      <c r="N3303" s="2">
        <v>0</v>
      </c>
      <c r="O3303">
        <v>-1.2</v>
      </c>
      <c r="P3303" t="s">
        <v>100</v>
      </c>
      <c r="Q3303">
        <v>0</v>
      </c>
      <c r="R3303" t="s">
        <v>145</v>
      </c>
      <c r="S3303">
        <v>0</v>
      </c>
    </row>
    <row r="3304" spans="1:19">
      <c r="A3304" t="s">
        <v>35</v>
      </c>
      <c r="B3304" t="s">
        <v>4106</v>
      </c>
      <c r="C3304">
        <f>"6833XLGO"</f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1</v>
      </c>
      <c r="K3304">
        <v>7.65</v>
      </c>
      <c r="L3304" s="2">
        <v>8</v>
      </c>
      <c r="M3304">
        <v>0</v>
      </c>
      <c r="N3304" s="2">
        <v>0</v>
      </c>
      <c r="O3304">
        <v>-1.2</v>
      </c>
      <c r="P3304" t="s">
        <v>100</v>
      </c>
      <c r="Q3304">
        <v>0</v>
      </c>
      <c r="R3304" t="s">
        <v>145</v>
      </c>
      <c r="S3304">
        <v>0</v>
      </c>
    </row>
    <row r="3305" spans="1:19">
      <c r="A3305" t="s">
        <v>35</v>
      </c>
      <c r="B3305" t="s">
        <v>9715</v>
      </c>
      <c r="C3305">
        <f>"HH095MNE"</f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1</v>
      </c>
      <c r="K3305">
        <v>8.090999999999999</v>
      </c>
      <c r="L3305" s="2">
        <v>8</v>
      </c>
      <c r="M3305">
        <v>0</v>
      </c>
      <c r="N3305" s="2">
        <v>0</v>
      </c>
      <c r="O3305">
        <v>-1.2</v>
      </c>
      <c r="P3305" t="s">
        <v>100</v>
      </c>
      <c r="Q3305">
        <v>0</v>
      </c>
      <c r="R3305" t="s">
        <v>145</v>
      </c>
      <c r="S3305">
        <v>0</v>
      </c>
    </row>
    <row r="3306" spans="1:19">
      <c r="A3306" t="s">
        <v>35</v>
      </c>
      <c r="B3306" t="s">
        <v>9716</v>
      </c>
      <c r="C3306">
        <f>"HH095MMC"</f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1</v>
      </c>
      <c r="K3306">
        <v>9.404999999999999</v>
      </c>
      <c r="L3306" s="2">
        <v>9</v>
      </c>
      <c r="M3306">
        <v>0</v>
      </c>
      <c r="N3306" s="2">
        <v>0</v>
      </c>
      <c r="O3306">
        <v>-1.2</v>
      </c>
      <c r="P3306" t="s">
        <v>100</v>
      </c>
      <c r="Q3306">
        <v>0</v>
      </c>
      <c r="R3306" t="s">
        <v>145</v>
      </c>
      <c r="S3306">
        <v>0</v>
      </c>
    </row>
    <row r="3307" spans="1:19">
      <c r="A3307" t="s">
        <v>35</v>
      </c>
      <c r="B3307" t="s">
        <v>9717</v>
      </c>
      <c r="C3307">
        <f>"HH095MMO"</f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1</v>
      </c>
      <c r="K3307">
        <v>8.090999999999999</v>
      </c>
      <c r="L3307" s="2">
        <v>8</v>
      </c>
      <c r="M3307">
        <v>0</v>
      </c>
      <c r="N3307" s="2">
        <v>0</v>
      </c>
      <c r="O3307">
        <v>-1.2</v>
      </c>
      <c r="P3307" t="s">
        <v>100</v>
      </c>
      <c r="Q3307">
        <v>0</v>
      </c>
      <c r="R3307" t="s">
        <v>145</v>
      </c>
      <c r="S3307">
        <v>0</v>
      </c>
    </row>
    <row r="3308" spans="1:19">
      <c r="A3308" t="s">
        <v>35</v>
      </c>
      <c r="B3308" t="s">
        <v>2535</v>
      </c>
      <c r="C3308">
        <f>"PQ113AZ"</f>
        <v>0</v>
      </c>
      <c r="D3308">
        <v>0</v>
      </c>
      <c r="E3308">
        <v>1</v>
      </c>
      <c r="F3308">
        <v>0</v>
      </c>
      <c r="G3308">
        <v>0</v>
      </c>
      <c r="H3308">
        <v>1</v>
      </c>
      <c r="I3308">
        <v>0</v>
      </c>
      <c r="J3308">
        <v>1</v>
      </c>
      <c r="K3308">
        <v>1.305</v>
      </c>
      <c r="L3308" s="2">
        <v>1</v>
      </c>
      <c r="M3308">
        <v>0</v>
      </c>
      <c r="N3308" s="2">
        <v>0</v>
      </c>
      <c r="O3308">
        <v>-1.2</v>
      </c>
      <c r="P3308" t="s">
        <v>100</v>
      </c>
      <c r="Q3308">
        <v>0</v>
      </c>
      <c r="R3308" t="s">
        <v>145</v>
      </c>
      <c r="S3308">
        <v>0</v>
      </c>
    </row>
    <row r="3309" spans="1:19">
      <c r="A3309" t="s">
        <v>35</v>
      </c>
      <c r="B3309" t="s">
        <v>2778</v>
      </c>
      <c r="C3309">
        <f>"B118062XLA"</f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1</v>
      </c>
      <c r="K3309">
        <v>6.03</v>
      </c>
      <c r="L3309" s="2">
        <v>6</v>
      </c>
      <c r="M3309">
        <v>0</v>
      </c>
      <c r="N3309" s="2">
        <v>0</v>
      </c>
      <c r="O3309">
        <v>-1.2</v>
      </c>
      <c r="P3309" t="s">
        <v>100</v>
      </c>
      <c r="Q3309">
        <v>0</v>
      </c>
      <c r="R3309" t="s">
        <v>145</v>
      </c>
      <c r="S3309">
        <v>0</v>
      </c>
    </row>
    <row r="3310" spans="1:19">
      <c r="A3310" t="s">
        <v>35</v>
      </c>
      <c r="B3310" t="s">
        <v>2776</v>
      </c>
      <c r="C3310">
        <f>"B118062SR"</f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1</v>
      </c>
      <c r="K3310">
        <v>4.68</v>
      </c>
      <c r="L3310" s="2">
        <v>5</v>
      </c>
      <c r="M3310">
        <v>0</v>
      </c>
      <c r="N3310" s="2">
        <v>0</v>
      </c>
      <c r="O3310">
        <v>-1.2</v>
      </c>
      <c r="P3310" t="s">
        <v>100</v>
      </c>
      <c r="Q3310">
        <v>0</v>
      </c>
      <c r="R3310" t="s">
        <v>145</v>
      </c>
      <c r="S3310">
        <v>0</v>
      </c>
    </row>
    <row r="3311" spans="1:19">
      <c r="A3311" t="s">
        <v>35</v>
      </c>
      <c r="B3311" t="s">
        <v>2771</v>
      </c>
      <c r="C3311">
        <f>"B118062SA"</f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1</v>
      </c>
      <c r="K3311">
        <v>4.68</v>
      </c>
      <c r="L3311" s="2">
        <v>5</v>
      </c>
      <c r="M3311">
        <v>0</v>
      </c>
      <c r="N3311" s="2">
        <v>0</v>
      </c>
      <c r="O3311">
        <v>-1.2</v>
      </c>
      <c r="P3311" t="s">
        <v>100</v>
      </c>
      <c r="Q3311">
        <v>0</v>
      </c>
      <c r="R3311" t="s">
        <v>145</v>
      </c>
      <c r="S3311">
        <v>0</v>
      </c>
    </row>
    <row r="3312" spans="1:19">
      <c r="A3312" t="s">
        <v>35</v>
      </c>
      <c r="B3312" t="s">
        <v>2764</v>
      </c>
      <c r="C3312">
        <f>"B118062MR"</f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1</v>
      </c>
      <c r="K3312">
        <v>4.905</v>
      </c>
      <c r="L3312" s="2">
        <v>5</v>
      </c>
      <c r="M3312">
        <v>0</v>
      </c>
      <c r="N3312" s="2">
        <v>0</v>
      </c>
      <c r="O3312">
        <v>-1.2</v>
      </c>
      <c r="P3312" t="s">
        <v>100</v>
      </c>
      <c r="Q3312">
        <v>0</v>
      </c>
      <c r="R3312" t="s">
        <v>145</v>
      </c>
      <c r="S3312">
        <v>0</v>
      </c>
    </row>
    <row r="3313" spans="1:19">
      <c r="A3313" t="s">
        <v>35</v>
      </c>
      <c r="B3313" t="s">
        <v>2754</v>
      </c>
      <c r="C3313">
        <f>"B118062MG"</f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1</v>
      </c>
      <c r="K3313">
        <v>4.905</v>
      </c>
      <c r="L3313" s="2">
        <v>5</v>
      </c>
      <c r="M3313">
        <v>0</v>
      </c>
      <c r="N3313" s="2">
        <v>0</v>
      </c>
      <c r="O3313">
        <v>-1.2</v>
      </c>
      <c r="P3313" t="s">
        <v>100</v>
      </c>
      <c r="Q3313">
        <v>0</v>
      </c>
      <c r="R3313" t="s">
        <v>145</v>
      </c>
      <c r="S3313">
        <v>0</v>
      </c>
    </row>
    <row r="3314" spans="1:19">
      <c r="A3314" t="s">
        <v>35</v>
      </c>
      <c r="B3314" t="s">
        <v>2761</v>
      </c>
      <c r="C3314">
        <f>"B118062LG"</f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1</v>
      </c>
      <c r="K3314">
        <v>5.31</v>
      </c>
      <c r="L3314" s="2">
        <v>5</v>
      </c>
      <c r="M3314">
        <v>0</v>
      </c>
      <c r="N3314" s="2">
        <v>0</v>
      </c>
      <c r="O3314">
        <v>-1.2</v>
      </c>
      <c r="P3314" t="s">
        <v>100</v>
      </c>
      <c r="Q3314">
        <v>0</v>
      </c>
      <c r="R3314" t="s">
        <v>145</v>
      </c>
      <c r="S3314">
        <v>0</v>
      </c>
    </row>
    <row r="3315" spans="1:19">
      <c r="A3315" t="s">
        <v>35</v>
      </c>
      <c r="B3315" t="s">
        <v>2803</v>
      </c>
      <c r="C3315">
        <f>"B118062LA"</f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1</v>
      </c>
      <c r="K3315">
        <v>5.31</v>
      </c>
      <c r="L3315" s="2">
        <v>5</v>
      </c>
      <c r="M3315">
        <v>0</v>
      </c>
      <c r="N3315" s="2">
        <v>0</v>
      </c>
      <c r="O3315">
        <v>-1.2</v>
      </c>
      <c r="P3315" t="s">
        <v>100</v>
      </c>
      <c r="Q3315">
        <v>0</v>
      </c>
      <c r="R3315" t="s">
        <v>145</v>
      </c>
      <c r="S3315">
        <v>0</v>
      </c>
    </row>
    <row r="3316" spans="1:19">
      <c r="A3316" t="s">
        <v>35</v>
      </c>
      <c r="B3316" t="s">
        <v>4898</v>
      </c>
      <c r="C3316">
        <f>"PQ113V"</f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1</v>
      </c>
      <c r="K3316">
        <v>1.305</v>
      </c>
      <c r="L3316" s="2">
        <v>1</v>
      </c>
      <c r="M3316">
        <v>0</v>
      </c>
      <c r="N3316" s="2">
        <v>0</v>
      </c>
      <c r="O3316">
        <v>-1.2</v>
      </c>
      <c r="P3316" t="s">
        <v>100</v>
      </c>
      <c r="Q3316">
        <v>0</v>
      </c>
      <c r="R3316" t="s">
        <v>145</v>
      </c>
      <c r="S3316">
        <v>0</v>
      </c>
    </row>
    <row r="3317" spans="1:19">
      <c r="A3317" t="s">
        <v>35</v>
      </c>
      <c r="B3317" t="s">
        <v>9714</v>
      </c>
      <c r="C3317">
        <f>"HH095MROJ"</f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1</v>
      </c>
      <c r="K3317">
        <v>9.404999999999999</v>
      </c>
      <c r="L3317" s="2">
        <v>9</v>
      </c>
      <c r="M3317">
        <v>0</v>
      </c>
      <c r="N3317" s="2">
        <v>0</v>
      </c>
      <c r="O3317">
        <v>-1.2</v>
      </c>
      <c r="P3317" t="s">
        <v>100</v>
      </c>
      <c r="Q3317">
        <v>0</v>
      </c>
      <c r="R3317" t="s">
        <v>145</v>
      </c>
      <c r="S3317">
        <v>0</v>
      </c>
    </row>
    <row r="3318" spans="1:19">
      <c r="A3318" t="s">
        <v>35</v>
      </c>
      <c r="B3318" t="s">
        <v>2661</v>
      </c>
      <c r="C3318">
        <f>"LS147R"</f>
        <v>0</v>
      </c>
      <c r="D3318">
        <v>0</v>
      </c>
      <c r="E3318">
        <v>0</v>
      </c>
      <c r="F3318">
        <v>1</v>
      </c>
      <c r="G3318">
        <v>0</v>
      </c>
      <c r="H3318">
        <v>1</v>
      </c>
      <c r="I3318">
        <v>0</v>
      </c>
      <c r="J3318">
        <v>1</v>
      </c>
      <c r="K3318">
        <v>3.591</v>
      </c>
      <c r="L3318" s="2">
        <v>4</v>
      </c>
      <c r="M3318">
        <v>0</v>
      </c>
      <c r="N3318" s="2">
        <v>0</v>
      </c>
      <c r="O3318">
        <v>-1.2</v>
      </c>
      <c r="P3318" t="s">
        <v>100</v>
      </c>
      <c r="Q3318">
        <v>0</v>
      </c>
      <c r="R3318" t="s">
        <v>145</v>
      </c>
      <c r="S3318">
        <v>0</v>
      </c>
    </row>
    <row r="3319" spans="1:19">
      <c r="A3319" t="s">
        <v>35</v>
      </c>
      <c r="B3319" t="s">
        <v>7011</v>
      </c>
      <c r="C3319">
        <f>"6006066"</f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1</v>
      </c>
      <c r="K3319">
        <v>3</v>
      </c>
      <c r="L3319" s="2">
        <v>3</v>
      </c>
      <c r="M3319">
        <v>0</v>
      </c>
      <c r="N3319" s="2">
        <v>0</v>
      </c>
      <c r="O3319">
        <v>-1.2</v>
      </c>
      <c r="P3319" t="s">
        <v>100</v>
      </c>
      <c r="Q3319">
        <v>0</v>
      </c>
      <c r="R3319" t="s">
        <v>145</v>
      </c>
      <c r="S3319">
        <v>0</v>
      </c>
    </row>
    <row r="3320" spans="1:19">
      <c r="A3320" t="s">
        <v>35</v>
      </c>
      <c r="B3320" t="s">
        <v>7012</v>
      </c>
      <c r="C3320">
        <f>"6006065"</f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1</v>
      </c>
      <c r="K3320">
        <v>3</v>
      </c>
      <c r="L3320" s="2">
        <v>3</v>
      </c>
      <c r="M3320">
        <v>0</v>
      </c>
      <c r="N3320" s="2">
        <v>0</v>
      </c>
      <c r="O3320">
        <v>-1.2</v>
      </c>
      <c r="P3320" t="s">
        <v>100</v>
      </c>
      <c r="Q3320">
        <v>0</v>
      </c>
      <c r="R3320" t="s">
        <v>145</v>
      </c>
      <c r="S3320">
        <v>0</v>
      </c>
    </row>
    <row r="3321" spans="1:19">
      <c r="A3321" t="s">
        <v>35</v>
      </c>
      <c r="B3321" t="s">
        <v>7013</v>
      </c>
      <c r="C3321">
        <f>"6006064"</f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1</v>
      </c>
      <c r="K3321">
        <v>3</v>
      </c>
      <c r="L3321" s="2">
        <v>3</v>
      </c>
      <c r="M3321">
        <v>0</v>
      </c>
      <c r="N3321" s="2">
        <v>0</v>
      </c>
      <c r="O3321">
        <v>-1.2</v>
      </c>
      <c r="P3321" t="s">
        <v>100</v>
      </c>
      <c r="Q3321">
        <v>0</v>
      </c>
      <c r="R3321" t="s">
        <v>145</v>
      </c>
      <c r="S3321">
        <v>0</v>
      </c>
    </row>
    <row r="3322" spans="1:19">
      <c r="A3322" t="s">
        <v>35</v>
      </c>
      <c r="B3322" t="s">
        <v>8100</v>
      </c>
      <c r="C3322">
        <f>"JXW18035S"</f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1</v>
      </c>
      <c r="K3322">
        <v>6.21</v>
      </c>
      <c r="L3322" s="2">
        <v>6</v>
      </c>
      <c r="M3322">
        <v>0</v>
      </c>
      <c r="N3322" s="2">
        <v>0</v>
      </c>
      <c r="O3322">
        <v>-1.2</v>
      </c>
      <c r="P3322" t="s">
        <v>100</v>
      </c>
      <c r="Q3322">
        <v>0</v>
      </c>
      <c r="R3322" t="s">
        <v>145</v>
      </c>
      <c r="S3322">
        <v>0</v>
      </c>
    </row>
    <row r="3323" spans="1:19">
      <c r="A3323" t="s">
        <v>35</v>
      </c>
      <c r="B3323" t="s">
        <v>3271</v>
      </c>
      <c r="C3323">
        <f>"BO3134HA5H"</f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1</v>
      </c>
      <c r="K3323">
        <v>3.78</v>
      </c>
      <c r="L3323" s="2">
        <v>4</v>
      </c>
      <c r="M3323">
        <v>0</v>
      </c>
      <c r="N3323" s="2">
        <v>0</v>
      </c>
      <c r="O3323">
        <v>-1.2</v>
      </c>
      <c r="P3323" t="s">
        <v>100</v>
      </c>
      <c r="Q3323">
        <v>0</v>
      </c>
      <c r="R3323" t="s">
        <v>145</v>
      </c>
      <c r="S3323">
        <v>0</v>
      </c>
    </row>
    <row r="3324" spans="1:19">
      <c r="A3324" t="s">
        <v>35</v>
      </c>
      <c r="B3324" t="s">
        <v>3272</v>
      </c>
      <c r="C3324">
        <f>"BO3134HA5F"</f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1</v>
      </c>
      <c r="K3324">
        <v>3.78</v>
      </c>
      <c r="L3324" s="2">
        <v>4</v>
      </c>
      <c r="M3324">
        <v>0</v>
      </c>
      <c r="N3324" s="2">
        <v>0</v>
      </c>
      <c r="O3324">
        <v>-1.2</v>
      </c>
      <c r="P3324" t="s">
        <v>100</v>
      </c>
      <c r="Q3324">
        <v>0</v>
      </c>
      <c r="R3324" t="s">
        <v>145</v>
      </c>
      <c r="S3324">
        <v>0</v>
      </c>
    </row>
    <row r="3325" spans="1:19">
      <c r="A3325" t="s">
        <v>35</v>
      </c>
      <c r="B3325" t="s">
        <v>7769</v>
      </c>
      <c r="C3325">
        <f>"187A544XLAZ"</f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1</v>
      </c>
      <c r="K3325">
        <v>2.241</v>
      </c>
      <c r="L3325" s="2">
        <v>2</v>
      </c>
      <c r="M3325">
        <v>0</v>
      </c>
      <c r="N3325" s="2">
        <v>0</v>
      </c>
      <c r="O3325">
        <v>-1.2</v>
      </c>
      <c r="P3325" t="s">
        <v>100</v>
      </c>
      <c r="Q3325">
        <v>0</v>
      </c>
      <c r="R3325" t="s">
        <v>145</v>
      </c>
      <c r="S3325">
        <v>0</v>
      </c>
    </row>
    <row r="3326" spans="1:19">
      <c r="A3326" t="s">
        <v>35</v>
      </c>
      <c r="B3326" t="s">
        <v>7770</v>
      </c>
      <c r="C3326">
        <f>"187A543XLROS"</f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1</v>
      </c>
      <c r="K3326">
        <v>1.98</v>
      </c>
      <c r="L3326" s="2">
        <v>2</v>
      </c>
      <c r="M3326">
        <v>0</v>
      </c>
      <c r="N3326" s="2">
        <v>0</v>
      </c>
      <c r="O3326">
        <v>-1.2</v>
      </c>
      <c r="P3326" t="s">
        <v>100</v>
      </c>
      <c r="Q3326">
        <v>0</v>
      </c>
      <c r="R3326" t="s">
        <v>145</v>
      </c>
      <c r="S3326">
        <v>0</v>
      </c>
    </row>
    <row r="3327" spans="1:19">
      <c r="A3327" t="s">
        <v>35</v>
      </c>
      <c r="B3327" t="s">
        <v>7663</v>
      </c>
      <c r="C3327">
        <f>"KW6005SG"</f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1</v>
      </c>
      <c r="K3327">
        <v>3.885</v>
      </c>
      <c r="L3327" s="2">
        <v>4</v>
      </c>
      <c r="M3327">
        <v>0</v>
      </c>
      <c r="N3327" s="2">
        <v>0</v>
      </c>
      <c r="O3327">
        <v>-1.2</v>
      </c>
      <c r="P3327" t="s">
        <v>100</v>
      </c>
      <c r="Q3327">
        <v>0</v>
      </c>
      <c r="R3327" t="s">
        <v>145</v>
      </c>
      <c r="S3327">
        <v>0</v>
      </c>
    </row>
    <row r="3328" spans="1:19">
      <c r="A3328" t="s">
        <v>35</v>
      </c>
      <c r="B3328" t="s">
        <v>8313</v>
      </c>
      <c r="C3328">
        <f>"WPS237"</f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1</v>
      </c>
      <c r="K3328">
        <v>1.251</v>
      </c>
      <c r="L3328" s="2">
        <v>1</v>
      </c>
      <c r="M3328">
        <v>0</v>
      </c>
      <c r="N3328" s="2">
        <v>0</v>
      </c>
      <c r="O3328">
        <v>-1.2</v>
      </c>
      <c r="P3328" t="s">
        <v>100</v>
      </c>
      <c r="Q3328">
        <v>0</v>
      </c>
      <c r="R3328" t="s">
        <v>145</v>
      </c>
      <c r="S3328">
        <v>0</v>
      </c>
    </row>
    <row r="3329" spans="1:19">
      <c r="A3329" t="s">
        <v>35</v>
      </c>
      <c r="B3329" t="s">
        <v>8754</v>
      </c>
      <c r="C3329">
        <f>"92804CXL"</f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1</v>
      </c>
      <c r="K3329">
        <v>17.01</v>
      </c>
      <c r="L3329" s="2">
        <v>17</v>
      </c>
      <c r="M3329">
        <v>0</v>
      </c>
      <c r="N3329" s="2">
        <v>0</v>
      </c>
      <c r="O3329">
        <v>-1.2</v>
      </c>
      <c r="P3329" t="s">
        <v>100</v>
      </c>
      <c r="Q3329">
        <v>0</v>
      </c>
      <c r="R3329" t="s">
        <v>145</v>
      </c>
      <c r="S3329">
        <v>0</v>
      </c>
    </row>
    <row r="3330" spans="1:19">
      <c r="A3330" t="s">
        <v>35</v>
      </c>
      <c r="B3330" t="s">
        <v>5013</v>
      </c>
      <c r="C3330">
        <f>"1837MAM"</f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1</v>
      </c>
      <c r="K3330">
        <v>3.51</v>
      </c>
      <c r="L3330" s="2">
        <v>4</v>
      </c>
      <c r="M3330">
        <v>0</v>
      </c>
      <c r="N3330" s="2">
        <v>0</v>
      </c>
      <c r="O3330">
        <v>-1.2</v>
      </c>
      <c r="P3330" t="s">
        <v>100</v>
      </c>
      <c r="Q3330">
        <v>0</v>
      </c>
      <c r="R3330" t="s">
        <v>145</v>
      </c>
      <c r="S3330">
        <v>0</v>
      </c>
    </row>
    <row r="3331" spans="1:19">
      <c r="A3331" t="s">
        <v>35</v>
      </c>
      <c r="B3331" t="s">
        <v>5774</v>
      </c>
      <c r="C3331">
        <f>"BL6"</f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1</v>
      </c>
      <c r="K3331">
        <v>50.31</v>
      </c>
      <c r="L3331" s="2">
        <v>50</v>
      </c>
      <c r="M3331">
        <v>0</v>
      </c>
      <c r="N3331" s="2">
        <v>0</v>
      </c>
      <c r="O3331">
        <v>-1.2</v>
      </c>
      <c r="P3331" t="s">
        <v>100</v>
      </c>
      <c r="Q3331">
        <v>0</v>
      </c>
      <c r="R3331" t="s">
        <v>145</v>
      </c>
      <c r="S3331">
        <v>0</v>
      </c>
    </row>
    <row r="3332" spans="1:19">
      <c r="A3332" t="s">
        <v>35</v>
      </c>
      <c r="B3332" t="s">
        <v>5775</v>
      </c>
      <c r="C3332">
        <f>"BL4"</f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1</v>
      </c>
      <c r="K3332">
        <v>40.05</v>
      </c>
      <c r="L3332" s="2">
        <v>40</v>
      </c>
      <c r="M3332">
        <v>0</v>
      </c>
      <c r="N3332" s="2">
        <v>0</v>
      </c>
      <c r="O3332">
        <v>-1.2</v>
      </c>
      <c r="P3332" t="s">
        <v>100</v>
      </c>
      <c r="Q3332">
        <v>0</v>
      </c>
      <c r="R3332" t="s">
        <v>145</v>
      </c>
      <c r="S3332">
        <v>0</v>
      </c>
    </row>
    <row r="3333" spans="1:19">
      <c r="A3333" t="s">
        <v>35</v>
      </c>
      <c r="B3333" t="s">
        <v>8422</v>
      </c>
      <c r="C3333">
        <f>"X033"</f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1</v>
      </c>
      <c r="K3333">
        <v>648</v>
      </c>
      <c r="L3333" s="2">
        <v>648</v>
      </c>
      <c r="M3333">
        <v>0</v>
      </c>
      <c r="N3333" s="2">
        <v>0</v>
      </c>
      <c r="O3333">
        <v>-1.2</v>
      </c>
      <c r="P3333" t="s">
        <v>100</v>
      </c>
      <c r="Q3333">
        <v>0</v>
      </c>
      <c r="R3333" t="s">
        <v>145</v>
      </c>
      <c r="S3333">
        <v>0</v>
      </c>
    </row>
    <row r="3334" spans="1:19">
      <c r="A3334" t="s">
        <v>35</v>
      </c>
      <c r="B3334" t="s">
        <v>3258</v>
      </c>
      <c r="C3334">
        <f>"BO3057BULL"</f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1</v>
      </c>
      <c r="K3334">
        <v>0</v>
      </c>
      <c r="L3334" s="2">
        <v>0</v>
      </c>
      <c r="M3334">
        <v>0</v>
      </c>
      <c r="N3334" s="2">
        <v>0</v>
      </c>
      <c r="O3334">
        <v>-1.2</v>
      </c>
      <c r="P3334" t="s">
        <v>100</v>
      </c>
      <c r="Q3334">
        <v>0</v>
      </c>
      <c r="R3334" t="s">
        <v>145</v>
      </c>
      <c r="S3334">
        <v>0</v>
      </c>
    </row>
    <row r="3335" spans="1:19">
      <c r="A3335" t="s">
        <v>35</v>
      </c>
      <c r="B3335" t="s">
        <v>7584</v>
      </c>
      <c r="C3335">
        <f>"8455L"</f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1</v>
      </c>
      <c r="K3335">
        <v>12.15</v>
      </c>
      <c r="L3335" s="2">
        <v>12</v>
      </c>
      <c r="M3335">
        <v>0</v>
      </c>
      <c r="N3335" s="2">
        <v>0</v>
      </c>
      <c r="O3335">
        <v>-1.2</v>
      </c>
      <c r="P3335" t="s">
        <v>100</v>
      </c>
      <c r="Q3335">
        <v>0</v>
      </c>
      <c r="R3335" t="s">
        <v>145</v>
      </c>
      <c r="S3335">
        <v>0</v>
      </c>
    </row>
    <row r="3336" spans="1:19">
      <c r="A3336" t="s">
        <v>35</v>
      </c>
      <c r="B3336" t="s">
        <v>2643</v>
      </c>
      <c r="C3336">
        <f>"KM4050CEL"</f>
        <v>0</v>
      </c>
      <c r="D3336">
        <v>1</v>
      </c>
      <c r="E3336">
        <v>0</v>
      </c>
      <c r="F3336">
        <v>0</v>
      </c>
      <c r="G3336">
        <v>0</v>
      </c>
      <c r="H3336">
        <v>1</v>
      </c>
      <c r="I3336">
        <v>0</v>
      </c>
      <c r="J3336">
        <v>1</v>
      </c>
      <c r="K3336">
        <v>6.291</v>
      </c>
      <c r="L3336" s="2">
        <v>6</v>
      </c>
      <c r="M3336">
        <v>0</v>
      </c>
      <c r="N3336" s="2">
        <v>0</v>
      </c>
      <c r="O3336">
        <v>-1.2</v>
      </c>
      <c r="P3336" t="s">
        <v>100</v>
      </c>
      <c r="Q3336">
        <v>0</v>
      </c>
      <c r="R3336" t="s">
        <v>145</v>
      </c>
      <c r="S3336">
        <v>0</v>
      </c>
    </row>
    <row r="3337" spans="1:19">
      <c r="A3337" t="s">
        <v>35</v>
      </c>
      <c r="B3337" t="s">
        <v>5526</v>
      </c>
      <c r="C3337">
        <f>"KF8056G"</f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1</v>
      </c>
      <c r="K3337">
        <v>28.072</v>
      </c>
      <c r="L3337" s="2">
        <v>28</v>
      </c>
      <c r="M3337">
        <v>0</v>
      </c>
      <c r="N3337" s="2">
        <v>0</v>
      </c>
      <c r="O3337">
        <v>-1.2</v>
      </c>
      <c r="P3337" t="s">
        <v>100</v>
      </c>
      <c r="Q3337">
        <v>0</v>
      </c>
      <c r="R3337" t="s">
        <v>145</v>
      </c>
      <c r="S3337">
        <v>0</v>
      </c>
    </row>
    <row r="3338" spans="1:19">
      <c r="A3338" t="s">
        <v>35</v>
      </c>
      <c r="B3338" t="s">
        <v>4075</v>
      </c>
      <c r="C3338">
        <f>"35096B"</f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1</v>
      </c>
      <c r="K3338">
        <v>26.91</v>
      </c>
      <c r="L3338" s="2">
        <v>27</v>
      </c>
      <c r="M3338">
        <v>0</v>
      </c>
      <c r="N3338" s="2">
        <v>0</v>
      </c>
      <c r="O3338">
        <v>-1.2</v>
      </c>
      <c r="P3338" t="s">
        <v>100</v>
      </c>
      <c r="Q3338">
        <v>0</v>
      </c>
      <c r="R3338" t="s">
        <v>145</v>
      </c>
      <c r="S3338">
        <v>0</v>
      </c>
    </row>
    <row r="3339" spans="1:19">
      <c r="A3339" t="s">
        <v>35</v>
      </c>
      <c r="B3339" t="s">
        <v>7760</v>
      </c>
      <c r="C3339">
        <f>"KM4050BE"</f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1</v>
      </c>
      <c r="K3339">
        <v>6.291</v>
      </c>
      <c r="L3339" s="2">
        <v>6</v>
      </c>
      <c r="M3339">
        <v>0</v>
      </c>
      <c r="N3339" s="2">
        <v>0</v>
      </c>
      <c r="O3339">
        <v>-1.2</v>
      </c>
      <c r="P3339" t="s">
        <v>100</v>
      </c>
      <c r="Q3339">
        <v>0</v>
      </c>
      <c r="R3339" t="s">
        <v>145</v>
      </c>
      <c r="S3339">
        <v>0</v>
      </c>
    </row>
    <row r="3340" spans="1:19">
      <c r="A3340" t="s">
        <v>35</v>
      </c>
      <c r="B3340" t="s">
        <v>7096</v>
      </c>
      <c r="C3340">
        <f>"2071XL"</f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1</v>
      </c>
      <c r="K3340">
        <v>5.508</v>
      </c>
      <c r="L3340" s="2">
        <v>6</v>
      </c>
      <c r="M3340">
        <v>0</v>
      </c>
      <c r="N3340" s="2">
        <v>0</v>
      </c>
      <c r="O3340">
        <v>-1.2</v>
      </c>
      <c r="P3340" t="s">
        <v>100</v>
      </c>
      <c r="Q3340">
        <v>0</v>
      </c>
      <c r="R3340" t="s">
        <v>145</v>
      </c>
      <c r="S3340">
        <v>0</v>
      </c>
    </row>
    <row r="3341" spans="1:19">
      <c r="A3341" t="s">
        <v>35</v>
      </c>
      <c r="B3341" t="s">
        <v>5914</v>
      </c>
      <c r="C3341">
        <f>"ZCM10R"</f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1</v>
      </c>
      <c r="K3341">
        <v>6.75</v>
      </c>
      <c r="L3341" s="2">
        <v>7</v>
      </c>
      <c r="M3341">
        <v>0</v>
      </c>
      <c r="N3341" s="2">
        <v>0</v>
      </c>
      <c r="O3341">
        <v>-1.2</v>
      </c>
      <c r="P3341" t="s">
        <v>100</v>
      </c>
      <c r="Q3341">
        <v>0</v>
      </c>
      <c r="R3341" t="s">
        <v>145</v>
      </c>
      <c r="S3341">
        <v>0</v>
      </c>
    </row>
    <row r="3342" spans="1:19">
      <c r="A3342" t="s">
        <v>35</v>
      </c>
      <c r="B3342" t="s">
        <v>7621</v>
      </c>
      <c r="C3342">
        <f>"KW6030LNG"</f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1</v>
      </c>
      <c r="K3342">
        <v>20.25</v>
      </c>
      <c r="L3342" s="2">
        <v>20</v>
      </c>
      <c r="M3342">
        <v>0</v>
      </c>
      <c r="N3342" s="2">
        <v>0</v>
      </c>
      <c r="O3342">
        <v>-1.2</v>
      </c>
      <c r="P3342" t="s">
        <v>100</v>
      </c>
      <c r="Q3342">
        <v>0</v>
      </c>
      <c r="R3342" t="s">
        <v>145</v>
      </c>
      <c r="S3342">
        <v>0</v>
      </c>
    </row>
    <row r="3343" spans="1:19">
      <c r="A3343" t="s">
        <v>35</v>
      </c>
      <c r="B3343" t="s">
        <v>7622</v>
      </c>
      <c r="C3343">
        <f>"KW6030LMR"</f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1</v>
      </c>
      <c r="K3343">
        <v>20.25</v>
      </c>
      <c r="L3343" s="2">
        <v>20</v>
      </c>
      <c r="M3343">
        <v>0</v>
      </c>
      <c r="N3343" s="2">
        <v>0</v>
      </c>
      <c r="O3343">
        <v>-1.2</v>
      </c>
      <c r="P3343" t="s">
        <v>100</v>
      </c>
      <c r="Q3343">
        <v>0</v>
      </c>
      <c r="R3343" t="s">
        <v>145</v>
      </c>
      <c r="S3343">
        <v>0</v>
      </c>
    </row>
    <row r="3344" spans="1:19">
      <c r="A3344" t="s">
        <v>35</v>
      </c>
      <c r="B3344" t="s">
        <v>7623</v>
      </c>
      <c r="C3344">
        <f>"8404"</f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1</v>
      </c>
      <c r="K3344">
        <v>11.61</v>
      </c>
      <c r="L3344" s="2">
        <v>12</v>
      </c>
      <c r="M3344">
        <v>0</v>
      </c>
      <c r="N3344" s="2">
        <v>0</v>
      </c>
      <c r="O3344">
        <v>-1.2</v>
      </c>
      <c r="P3344" t="s">
        <v>100</v>
      </c>
      <c r="Q3344">
        <v>0</v>
      </c>
      <c r="R3344" t="s">
        <v>145</v>
      </c>
      <c r="S3344">
        <v>0</v>
      </c>
    </row>
    <row r="3345" spans="1:19">
      <c r="A3345" t="s">
        <v>35</v>
      </c>
      <c r="B3345" t="s">
        <v>7710</v>
      </c>
      <c r="C3345">
        <f>"QSSF2463"</f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1</v>
      </c>
      <c r="K3345">
        <v>24.111</v>
      </c>
      <c r="L3345" s="2">
        <v>24</v>
      </c>
      <c r="M3345">
        <v>0</v>
      </c>
      <c r="N3345" s="2">
        <v>0</v>
      </c>
      <c r="O3345">
        <v>-1.2</v>
      </c>
      <c r="P3345" t="s">
        <v>100</v>
      </c>
      <c r="Q3345">
        <v>0</v>
      </c>
      <c r="R3345" t="s">
        <v>145</v>
      </c>
      <c r="S3345">
        <v>0</v>
      </c>
    </row>
    <row r="3346" spans="1:19">
      <c r="A3346" t="s">
        <v>35</v>
      </c>
      <c r="B3346" t="s">
        <v>7677</v>
      </c>
      <c r="C3346">
        <f>"8403"</f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1</v>
      </c>
      <c r="K3346">
        <v>10.71</v>
      </c>
      <c r="L3346" s="2">
        <v>11</v>
      </c>
      <c r="M3346">
        <v>0</v>
      </c>
      <c r="N3346" s="2">
        <v>0</v>
      </c>
      <c r="O3346">
        <v>-1.2</v>
      </c>
      <c r="P3346" t="s">
        <v>100</v>
      </c>
      <c r="Q3346">
        <v>0</v>
      </c>
      <c r="R3346" t="s">
        <v>145</v>
      </c>
      <c r="S3346">
        <v>0</v>
      </c>
    </row>
    <row r="3347" spans="1:19">
      <c r="A3347" t="s">
        <v>35</v>
      </c>
      <c r="B3347" t="s">
        <v>7658</v>
      </c>
      <c r="C3347">
        <f>"8322MAR"</f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1</v>
      </c>
      <c r="K3347">
        <v>17.52</v>
      </c>
      <c r="L3347" s="2">
        <v>18</v>
      </c>
      <c r="M3347">
        <v>0</v>
      </c>
      <c r="N3347" s="2">
        <v>0</v>
      </c>
      <c r="O3347">
        <v>-1.2</v>
      </c>
      <c r="P3347" t="s">
        <v>100</v>
      </c>
      <c r="Q3347">
        <v>0</v>
      </c>
      <c r="R3347" t="s">
        <v>145</v>
      </c>
      <c r="S3347">
        <v>0</v>
      </c>
    </row>
    <row r="3348" spans="1:19">
      <c r="A3348" t="s">
        <v>35</v>
      </c>
      <c r="B3348" t="s">
        <v>4366</v>
      </c>
      <c r="C3348">
        <f>"1966G"</f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1</v>
      </c>
      <c r="K3348">
        <v>15.291</v>
      </c>
      <c r="L3348" s="2">
        <v>15</v>
      </c>
      <c r="M3348">
        <v>0</v>
      </c>
      <c r="N3348" s="2">
        <v>0</v>
      </c>
      <c r="O3348">
        <v>-1.2</v>
      </c>
      <c r="P3348" t="s">
        <v>100</v>
      </c>
      <c r="Q3348">
        <v>0</v>
      </c>
      <c r="R3348" t="s">
        <v>145</v>
      </c>
      <c r="S3348">
        <v>0</v>
      </c>
    </row>
    <row r="3349" spans="1:19">
      <c r="A3349" t="s">
        <v>35</v>
      </c>
      <c r="B3349" t="s">
        <v>2877</v>
      </c>
      <c r="C3349">
        <f>"96588CEL"</f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1</v>
      </c>
      <c r="K3349">
        <v>6.085</v>
      </c>
      <c r="L3349" s="2">
        <v>6</v>
      </c>
      <c r="M3349">
        <v>0</v>
      </c>
      <c r="N3349" s="2">
        <v>0</v>
      </c>
      <c r="O3349">
        <v>-1.2</v>
      </c>
      <c r="P3349" t="s">
        <v>100</v>
      </c>
      <c r="Q3349">
        <v>0</v>
      </c>
      <c r="R3349" t="s">
        <v>145</v>
      </c>
      <c r="S3349">
        <v>0</v>
      </c>
    </row>
    <row r="3350" spans="1:19">
      <c r="A3350" t="s">
        <v>35</v>
      </c>
      <c r="B3350" t="s">
        <v>2980</v>
      </c>
      <c r="C3350">
        <f>"6952GR"</f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1</v>
      </c>
      <c r="K3350">
        <v>3.285</v>
      </c>
      <c r="L3350" s="2">
        <v>3</v>
      </c>
      <c r="M3350">
        <v>0</v>
      </c>
      <c r="N3350" s="2">
        <v>0</v>
      </c>
      <c r="O3350">
        <v>-1.2</v>
      </c>
      <c r="P3350" t="s">
        <v>100</v>
      </c>
      <c r="Q3350">
        <v>0</v>
      </c>
      <c r="R3350" t="s">
        <v>145</v>
      </c>
      <c r="S3350">
        <v>0</v>
      </c>
    </row>
    <row r="3351" spans="1:19">
      <c r="A3351" t="s">
        <v>35</v>
      </c>
      <c r="B3351" t="s">
        <v>3671</v>
      </c>
      <c r="C3351">
        <f>"PT005SA"</f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1</v>
      </c>
      <c r="K3351">
        <v>3.375</v>
      </c>
      <c r="L3351" s="2">
        <v>3</v>
      </c>
      <c r="M3351">
        <v>0</v>
      </c>
      <c r="N3351" s="2">
        <v>0</v>
      </c>
      <c r="O3351">
        <v>-1.2</v>
      </c>
      <c r="P3351" t="s">
        <v>100</v>
      </c>
      <c r="Q3351">
        <v>0</v>
      </c>
      <c r="R3351" t="s">
        <v>145</v>
      </c>
      <c r="S3351">
        <v>0</v>
      </c>
    </row>
    <row r="3352" spans="1:19">
      <c r="A3352" t="s">
        <v>35</v>
      </c>
      <c r="B3352" t="s">
        <v>5418</v>
      </c>
      <c r="C3352">
        <f>"B109323XLR"</f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1</v>
      </c>
      <c r="K3352">
        <v>7.02</v>
      </c>
      <c r="L3352" s="2">
        <v>7</v>
      </c>
      <c r="M3352">
        <v>0</v>
      </c>
      <c r="N3352" s="2">
        <v>0</v>
      </c>
      <c r="O3352">
        <v>-1.2</v>
      </c>
      <c r="P3352" t="s">
        <v>100</v>
      </c>
      <c r="Q3352">
        <v>0</v>
      </c>
      <c r="R3352" t="s">
        <v>145</v>
      </c>
      <c r="S3352">
        <v>0</v>
      </c>
    </row>
    <row r="3353" spans="1:19">
      <c r="A3353" t="s">
        <v>35</v>
      </c>
      <c r="B3353" t="s">
        <v>2496</v>
      </c>
      <c r="C3353">
        <f>"ER193"</f>
        <v>0</v>
      </c>
      <c r="D3353">
        <v>1</v>
      </c>
      <c r="E3353">
        <v>0</v>
      </c>
      <c r="F3353">
        <v>0</v>
      </c>
      <c r="G3353">
        <v>0</v>
      </c>
      <c r="H3353">
        <v>1</v>
      </c>
      <c r="I3353">
        <v>0</v>
      </c>
      <c r="J3353">
        <v>1</v>
      </c>
      <c r="K3353">
        <v>7.11</v>
      </c>
      <c r="L3353" s="2">
        <v>7</v>
      </c>
      <c r="M3353">
        <v>0</v>
      </c>
      <c r="N3353" s="2">
        <v>0</v>
      </c>
      <c r="O3353">
        <v>-1.2</v>
      </c>
      <c r="P3353" t="s">
        <v>100</v>
      </c>
      <c r="Q3353">
        <v>0</v>
      </c>
      <c r="R3353" t="s">
        <v>145</v>
      </c>
      <c r="S3353">
        <v>0</v>
      </c>
    </row>
    <row r="3354" spans="1:19">
      <c r="A3354" t="s">
        <v>35</v>
      </c>
      <c r="B3354" t="s">
        <v>5174</v>
      </c>
      <c r="C3354">
        <f>"1837PL"</f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1</v>
      </c>
      <c r="K3354">
        <v>3.78</v>
      </c>
      <c r="L3354" s="2">
        <v>4</v>
      </c>
      <c r="M3354">
        <v>0</v>
      </c>
      <c r="N3354" s="2">
        <v>0</v>
      </c>
      <c r="O3354">
        <v>-1.2</v>
      </c>
      <c r="P3354" t="s">
        <v>100</v>
      </c>
      <c r="Q3354">
        <v>0</v>
      </c>
      <c r="R3354" t="s">
        <v>145</v>
      </c>
      <c r="S3354">
        <v>0</v>
      </c>
    </row>
    <row r="3355" spans="1:19">
      <c r="A3355" t="s">
        <v>35</v>
      </c>
      <c r="B3355" t="s">
        <v>4994</v>
      </c>
      <c r="C3355">
        <f>"1837LL"</f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1</v>
      </c>
      <c r="K3355">
        <v>3.78</v>
      </c>
      <c r="L3355" s="2">
        <v>4</v>
      </c>
      <c r="M3355">
        <v>0</v>
      </c>
      <c r="N3355" s="2">
        <v>0</v>
      </c>
      <c r="O3355">
        <v>-1.2</v>
      </c>
      <c r="P3355" t="s">
        <v>100</v>
      </c>
      <c r="Q3355">
        <v>0</v>
      </c>
      <c r="R3355" t="s">
        <v>145</v>
      </c>
      <c r="S3355">
        <v>0</v>
      </c>
    </row>
    <row r="3356" spans="1:19">
      <c r="A3356" t="s">
        <v>35</v>
      </c>
      <c r="B3356" t="s">
        <v>3356</v>
      </c>
      <c r="C3356">
        <f>"1811SGN"</f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1</v>
      </c>
      <c r="K3356">
        <v>10</v>
      </c>
      <c r="L3356" s="2">
        <v>10</v>
      </c>
      <c r="M3356">
        <v>0</v>
      </c>
      <c r="N3356" s="2">
        <v>0</v>
      </c>
      <c r="O3356">
        <v>-1.2</v>
      </c>
      <c r="P3356" t="s">
        <v>100</v>
      </c>
      <c r="Q3356">
        <v>0</v>
      </c>
      <c r="R3356" t="s">
        <v>145</v>
      </c>
      <c r="S3356">
        <v>0</v>
      </c>
    </row>
    <row r="3357" spans="1:19">
      <c r="A3357" t="s">
        <v>35</v>
      </c>
      <c r="B3357" t="s">
        <v>3358</v>
      </c>
      <c r="C3357">
        <f>"305CA"</f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1</v>
      </c>
      <c r="K3357">
        <v>6.291</v>
      </c>
      <c r="L3357" s="2">
        <v>6</v>
      </c>
      <c r="M3357">
        <v>0</v>
      </c>
      <c r="N3357" s="2">
        <v>0</v>
      </c>
      <c r="O3357">
        <v>-1.2</v>
      </c>
      <c r="P3357" t="s">
        <v>100</v>
      </c>
      <c r="Q3357">
        <v>0</v>
      </c>
      <c r="R3357" t="s">
        <v>145</v>
      </c>
      <c r="S3357">
        <v>0</v>
      </c>
    </row>
    <row r="3358" spans="1:19">
      <c r="A3358" t="s">
        <v>35</v>
      </c>
      <c r="B3358" t="s">
        <v>7028</v>
      </c>
      <c r="C3358">
        <f>"XQ34XL"</f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1</v>
      </c>
      <c r="K3358">
        <v>2.52</v>
      </c>
      <c r="L3358" s="2">
        <v>3</v>
      </c>
      <c r="M3358">
        <v>0</v>
      </c>
      <c r="N3358" s="2">
        <v>0</v>
      </c>
      <c r="O3358">
        <v>-1.2</v>
      </c>
      <c r="P3358" t="s">
        <v>100</v>
      </c>
      <c r="Q3358">
        <v>0</v>
      </c>
      <c r="R3358" t="s">
        <v>145</v>
      </c>
      <c r="S3358">
        <v>0</v>
      </c>
    </row>
    <row r="3359" spans="1:19">
      <c r="A3359" t="s">
        <v>35</v>
      </c>
      <c r="B3359" t="s">
        <v>7078</v>
      </c>
      <c r="C3359">
        <f>"2071M"</f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1</v>
      </c>
      <c r="K3359">
        <v>6.39</v>
      </c>
      <c r="L3359" s="2">
        <v>6</v>
      </c>
      <c r="M3359">
        <v>0</v>
      </c>
      <c r="N3359" s="2">
        <v>0</v>
      </c>
      <c r="O3359">
        <v>-1.2</v>
      </c>
      <c r="P3359" t="s">
        <v>100</v>
      </c>
      <c r="Q3359">
        <v>0</v>
      </c>
      <c r="R3359" t="s">
        <v>145</v>
      </c>
      <c r="S3359">
        <v>0</v>
      </c>
    </row>
    <row r="3360" spans="1:19">
      <c r="A3360" t="s">
        <v>35</v>
      </c>
      <c r="B3360" t="s">
        <v>2505</v>
      </c>
      <c r="C3360">
        <f>"HDD178OR"</f>
        <v>0</v>
      </c>
      <c r="D3360">
        <v>0</v>
      </c>
      <c r="E3360">
        <v>1</v>
      </c>
      <c r="F3360">
        <v>0</v>
      </c>
      <c r="G3360">
        <v>0</v>
      </c>
      <c r="H3360">
        <v>1</v>
      </c>
      <c r="I3360">
        <v>0</v>
      </c>
      <c r="J3360">
        <v>1</v>
      </c>
      <c r="K3360">
        <v>891</v>
      </c>
      <c r="L3360" s="2">
        <v>891</v>
      </c>
      <c r="M3360">
        <v>0</v>
      </c>
      <c r="N3360" s="2">
        <v>0</v>
      </c>
      <c r="O3360">
        <v>-1.2</v>
      </c>
      <c r="P3360" t="s">
        <v>100</v>
      </c>
      <c r="Q3360">
        <v>0</v>
      </c>
      <c r="R3360" t="s">
        <v>145</v>
      </c>
      <c r="S3360">
        <v>0</v>
      </c>
    </row>
    <row r="3361" spans="1:19">
      <c r="A3361" t="s">
        <v>35</v>
      </c>
      <c r="B3361" t="s">
        <v>8469</v>
      </c>
      <c r="C3361">
        <f>"HDD178MIX"</f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1</v>
      </c>
      <c r="K3361">
        <v>675</v>
      </c>
      <c r="L3361" s="2">
        <v>675</v>
      </c>
      <c r="M3361">
        <v>0</v>
      </c>
      <c r="N3361" s="2">
        <v>0</v>
      </c>
      <c r="O3361">
        <v>-1.2</v>
      </c>
      <c r="P3361" t="s">
        <v>100</v>
      </c>
      <c r="Q3361">
        <v>0</v>
      </c>
      <c r="R3361" t="s">
        <v>145</v>
      </c>
      <c r="S3361">
        <v>0</v>
      </c>
    </row>
    <row r="3362" spans="1:19">
      <c r="A3362" t="s">
        <v>35</v>
      </c>
      <c r="B3362" t="s">
        <v>8323</v>
      </c>
      <c r="C3362">
        <f>"PT278B"</f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1</v>
      </c>
      <c r="K3362">
        <v>1.98</v>
      </c>
      <c r="L3362" s="2">
        <v>2</v>
      </c>
      <c r="M3362">
        <v>0</v>
      </c>
      <c r="N3362" s="2">
        <v>0</v>
      </c>
      <c r="O3362">
        <v>-1.2</v>
      </c>
      <c r="P3362" t="s">
        <v>100</v>
      </c>
      <c r="Q3362">
        <v>0</v>
      </c>
      <c r="R3362" t="s">
        <v>145</v>
      </c>
      <c r="S3362">
        <v>0</v>
      </c>
    </row>
    <row r="3363" spans="1:19">
      <c r="A3363" t="s">
        <v>35</v>
      </c>
      <c r="B3363" t="s">
        <v>7125</v>
      </c>
      <c r="C3363">
        <f>"6006072"</f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1</v>
      </c>
      <c r="K3363">
        <v>2</v>
      </c>
      <c r="L3363" s="2">
        <v>2</v>
      </c>
      <c r="M3363">
        <v>0</v>
      </c>
      <c r="N3363" s="2">
        <v>0</v>
      </c>
      <c r="O3363">
        <v>-1.2</v>
      </c>
      <c r="P3363" t="s">
        <v>100</v>
      </c>
      <c r="Q3363">
        <v>0</v>
      </c>
      <c r="R3363" t="s">
        <v>145</v>
      </c>
      <c r="S3363">
        <v>0</v>
      </c>
    </row>
    <row r="3364" spans="1:19">
      <c r="A3364" t="s">
        <v>35</v>
      </c>
      <c r="B3364" t="s">
        <v>2501</v>
      </c>
      <c r="C3364">
        <f>"HDD177COLA"</f>
        <v>0</v>
      </c>
      <c r="D3364">
        <v>0</v>
      </c>
      <c r="E3364">
        <v>1</v>
      </c>
      <c r="F3364">
        <v>0</v>
      </c>
      <c r="G3364">
        <v>0</v>
      </c>
      <c r="H3364">
        <v>1</v>
      </c>
      <c r="I3364">
        <v>0</v>
      </c>
      <c r="J3364">
        <v>1</v>
      </c>
      <c r="K3364">
        <v>270</v>
      </c>
      <c r="L3364" s="2">
        <v>270</v>
      </c>
      <c r="M3364">
        <v>0</v>
      </c>
      <c r="N3364" s="2">
        <v>0</v>
      </c>
      <c r="O3364">
        <v>-1.2</v>
      </c>
      <c r="P3364" t="s">
        <v>100</v>
      </c>
      <c r="Q3364">
        <v>0</v>
      </c>
      <c r="R3364" t="s">
        <v>145</v>
      </c>
      <c r="S3364">
        <v>0</v>
      </c>
    </row>
    <row r="3365" spans="1:19">
      <c r="A3365" t="s">
        <v>35</v>
      </c>
      <c r="B3365" t="s">
        <v>5421</v>
      </c>
      <c r="C3365">
        <f>"B109323SR"</f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1</v>
      </c>
      <c r="K3365">
        <v>5.58</v>
      </c>
      <c r="L3365" s="2">
        <v>6</v>
      </c>
      <c r="M3365">
        <v>0</v>
      </c>
      <c r="N3365" s="2">
        <v>0</v>
      </c>
      <c r="O3365">
        <v>-1.2</v>
      </c>
      <c r="P3365" t="s">
        <v>100</v>
      </c>
      <c r="Q3365">
        <v>0</v>
      </c>
      <c r="R3365" t="s">
        <v>145</v>
      </c>
      <c r="S3365">
        <v>0</v>
      </c>
    </row>
    <row r="3366" spans="1:19">
      <c r="A3366" t="s">
        <v>35</v>
      </c>
      <c r="B3366" t="s">
        <v>6264</v>
      </c>
      <c r="C3366">
        <f>"832250"</f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1</v>
      </c>
      <c r="K3366">
        <v>0</v>
      </c>
      <c r="L3366" s="2">
        <v>0</v>
      </c>
      <c r="M3366">
        <v>0</v>
      </c>
      <c r="N3366" s="2">
        <v>0</v>
      </c>
      <c r="O3366">
        <v>-1.2</v>
      </c>
      <c r="P3366" t="s">
        <v>100</v>
      </c>
      <c r="Q3366">
        <v>0</v>
      </c>
      <c r="R3366" t="s">
        <v>145</v>
      </c>
      <c r="S3366">
        <v>0</v>
      </c>
    </row>
    <row r="3367" spans="1:19">
      <c r="A3367" t="s">
        <v>35</v>
      </c>
      <c r="B3367" t="s">
        <v>5546</v>
      </c>
      <c r="C3367">
        <f>"KF8009"</f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1</v>
      </c>
      <c r="K3367">
        <v>23.8</v>
      </c>
      <c r="L3367" s="2">
        <v>24</v>
      </c>
      <c r="M3367">
        <v>0</v>
      </c>
      <c r="N3367" s="2">
        <v>0</v>
      </c>
      <c r="O3367">
        <v>-1.2</v>
      </c>
      <c r="P3367" t="s">
        <v>100</v>
      </c>
      <c r="Q3367">
        <v>0</v>
      </c>
      <c r="R3367" t="s">
        <v>145</v>
      </c>
      <c r="S3367">
        <v>0</v>
      </c>
    </row>
    <row r="3368" spans="1:19">
      <c r="A3368" t="s">
        <v>35</v>
      </c>
      <c r="B3368" t="s">
        <v>5545</v>
      </c>
      <c r="C3368">
        <f>"LZ1GRIS"</f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1</v>
      </c>
      <c r="K3368">
        <v>4.894</v>
      </c>
      <c r="L3368" s="2">
        <v>5</v>
      </c>
      <c r="M3368">
        <v>0</v>
      </c>
      <c r="N3368" s="2">
        <v>0</v>
      </c>
      <c r="O3368">
        <v>-1.2</v>
      </c>
      <c r="P3368" t="s">
        <v>100</v>
      </c>
      <c r="Q3368">
        <v>0</v>
      </c>
      <c r="R3368" t="s">
        <v>145</v>
      </c>
      <c r="S3368">
        <v>0</v>
      </c>
    </row>
    <row r="3369" spans="1:19">
      <c r="A3369" t="s">
        <v>35</v>
      </c>
      <c r="B3369" t="s">
        <v>8411</v>
      </c>
      <c r="C3369">
        <f>"QZWJ020"</f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1</v>
      </c>
      <c r="K3369">
        <v>3.51</v>
      </c>
      <c r="L3369" s="2">
        <v>4</v>
      </c>
      <c r="M3369">
        <v>0</v>
      </c>
      <c r="N3369" s="2">
        <v>0</v>
      </c>
      <c r="O3369">
        <v>-1.2</v>
      </c>
      <c r="P3369" t="s">
        <v>100</v>
      </c>
      <c r="Q3369">
        <v>0</v>
      </c>
      <c r="R3369" t="s">
        <v>145</v>
      </c>
      <c r="S3369">
        <v>0</v>
      </c>
    </row>
    <row r="3370" spans="1:19">
      <c r="A3370" t="s">
        <v>35</v>
      </c>
      <c r="B3370" t="s">
        <v>8511</v>
      </c>
      <c r="C3370">
        <f>"PG01"</f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1</v>
      </c>
      <c r="K3370">
        <v>17.55</v>
      </c>
      <c r="L3370" s="2">
        <v>18</v>
      </c>
      <c r="M3370">
        <v>0</v>
      </c>
      <c r="N3370" s="2">
        <v>0</v>
      </c>
      <c r="O3370">
        <v>-1.2</v>
      </c>
      <c r="P3370" t="s">
        <v>100</v>
      </c>
      <c r="Q3370">
        <v>0</v>
      </c>
      <c r="R3370" t="s">
        <v>145</v>
      </c>
      <c r="S3370">
        <v>0</v>
      </c>
    </row>
    <row r="3371" spans="1:19">
      <c r="A3371" t="s">
        <v>35</v>
      </c>
      <c r="B3371" t="s">
        <v>3859</v>
      </c>
      <c r="C3371">
        <f>"8625"</f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1</v>
      </c>
      <c r="K3371">
        <v>1.908</v>
      </c>
      <c r="L3371" s="2">
        <v>2</v>
      </c>
      <c r="M3371">
        <v>0</v>
      </c>
      <c r="N3371" s="2">
        <v>0</v>
      </c>
      <c r="O3371">
        <v>-1.2</v>
      </c>
      <c r="P3371" t="s">
        <v>100</v>
      </c>
      <c r="Q3371">
        <v>0</v>
      </c>
      <c r="R3371" t="s">
        <v>145</v>
      </c>
      <c r="S3371">
        <v>0</v>
      </c>
    </row>
    <row r="3372" spans="1:19">
      <c r="A3372" t="s">
        <v>35</v>
      </c>
      <c r="B3372" t="s">
        <v>5351</v>
      </c>
      <c r="C3372">
        <f>"VNV1"</f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1</v>
      </c>
      <c r="K3372">
        <v>0</v>
      </c>
      <c r="L3372" s="2">
        <v>0</v>
      </c>
      <c r="M3372">
        <v>0</v>
      </c>
      <c r="N3372" s="2">
        <v>0</v>
      </c>
      <c r="O3372">
        <v>-1.2</v>
      </c>
      <c r="P3372" t="s">
        <v>100</v>
      </c>
      <c r="Q3372">
        <v>0</v>
      </c>
      <c r="R3372" t="s">
        <v>145</v>
      </c>
      <c r="S3372">
        <v>0</v>
      </c>
    </row>
    <row r="3373" spans="1:19">
      <c r="A3373" t="s">
        <v>35</v>
      </c>
      <c r="B3373" t="s">
        <v>6374</v>
      </c>
      <c r="C3373">
        <f>"870400"</f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1</v>
      </c>
      <c r="K3373">
        <v>8.01</v>
      </c>
      <c r="L3373" s="2">
        <v>8</v>
      </c>
      <c r="M3373">
        <v>0</v>
      </c>
      <c r="N3373" s="2">
        <v>0</v>
      </c>
      <c r="O3373">
        <v>-1.2</v>
      </c>
      <c r="P3373" t="s">
        <v>100</v>
      </c>
      <c r="Q3373">
        <v>0</v>
      </c>
      <c r="R3373" t="s">
        <v>145</v>
      </c>
      <c r="S3373">
        <v>0</v>
      </c>
    </row>
    <row r="3374" spans="1:19">
      <c r="A3374" t="s">
        <v>35</v>
      </c>
      <c r="B3374" t="s">
        <v>3233</v>
      </c>
      <c r="C3374">
        <f>"TQ10121R"</f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1</v>
      </c>
      <c r="K3374">
        <v>891</v>
      </c>
      <c r="L3374" s="2">
        <v>891</v>
      </c>
      <c r="M3374">
        <v>0</v>
      </c>
      <c r="N3374" s="2">
        <v>0</v>
      </c>
      <c r="O3374">
        <v>-1.2</v>
      </c>
      <c r="P3374" t="s">
        <v>100</v>
      </c>
      <c r="Q3374">
        <v>0</v>
      </c>
      <c r="R3374" t="s">
        <v>145</v>
      </c>
      <c r="S3374">
        <v>0</v>
      </c>
    </row>
    <row r="3375" spans="1:19">
      <c r="A3375" t="s">
        <v>35</v>
      </c>
      <c r="B3375" t="s">
        <v>3234</v>
      </c>
      <c r="C3375">
        <f>"TQ10121M"</f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1</v>
      </c>
      <c r="K3375">
        <v>891</v>
      </c>
      <c r="L3375" s="2">
        <v>891</v>
      </c>
      <c r="M3375">
        <v>0</v>
      </c>
      <c r="N3375" s="2">
        <v>0</v>
      </c>
      <c r="O3375">
        <v>-1.2</v>
      </c>
      <c r="P3375" t="s">
        <v>100</v>
      </c>
      <c r="Q3375">
        <v>0</v>
      </c>
      <c r="R3375" t="s">
        <v>145</v>
      </c>
      <c r="S3375">
        <v>0</v>
      </c>
    </row>
    <row r="3376" spans="1:19">
      <c r="A3376" t="s">
        <v>35</v>
      </c>
      <c r="B3376" t="s">
        <v>3236</v>
      </c>
      <c r="C3376">
        <f>"TQ26V"</f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1</v>
      </c>
      <c r="K3376">
        <v>630</v>
      </c>
      <c r="L3376" s="2">
        <v>630</v>
      </c>
      <c r="M3376">
        <v>0</v>
      </c>
      <c r="N3376" s="2">
        <v>0</v>
      </c>
      <c r="O3376">
        <v>-1.2</v>
      </c>
      <c r="P3376" t="s">
        <v>100</v>
      </c>
      <c r="Q3376">
        <v>0</v>
      </c>
      <c r="R3376" t="s">
        <v>145</v>
      </c>
      <c r="S3376">
        <v>0</v>
      </c>
    </row>
    <row r="3377" spans="1:19">
      <c r="A3377" t="s">
        <v>35</v>
      </c>
      <c r="B3377" t="s">
        <v>2567</v>
      </c>
      <c r="C3377">
        <f>"MSP002CALIP"</f>
        <v>0</v>
      </c>
      <c r="D3377">
        <v>0</v>
      </c>
      <c r="E3377">
        <v>0</v>
      </c>
      <c r="F3377">
        <v>1</v>
      </c>
      <c r="G3377">
        <v>0</v>
      </c>
      <c r="H3377">
        <v>1</v>
      </c>
      <c r="I3377">
        <v>0</v>
      </c>
      <c r="J3377">
        <v>1</v>
      </c>
      <c r="K3377">
        <v>6.291</v>
      </c>
      <c r="L3377" s="2">
        <v>6</v>
      </c>
      <c r="M3377">
        <v>0</v>
      </c>
      <c r="N3377" s="2">
        <v>0</v>
      </c>
      <c r="O3377">
        <v>-1.2</v>
      </c>
      <c r="P3377" t="s">
        <v>100</v>
      </c>
      <c r="Q3377">
        <v>0</v>
      </c>
      <c r="R3377" t="s">
        <v>145</v>
      </c>
      <c r="S3377">
        <v>0</v>
      </c>
    </row>
    <row r="3378" spans="1:19">
      <c r="A3378" t="s">
        <v>35</v>
      </c>
      <c r="B3378" t="s">
        <v>7794</v>
      </c>
      <c r="C3378">
        <f>"187A54SAZ"</f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1</v>
      </c>
      <c r="K3378">
        <v>1.305</v>
      </c>
      <c r="L3378" s="2">
        <v>1</v>
      </c>
      <c r="M3378">
        <v>0</v>
      </c>
      <c r="N3378" s="2">
        <v>0</v>
      </c>
      <c r="O3378">
        <v>-1.2</v>
      </c>
      <c r="P3378" t="s">
        <v>100</v>
      </c>
      <c r="Q3378">
        <v>0</v>
      </c>
      <c r="R3378" t="s">
        <v>145</v>
      </c>
      <c r="S3378">
        <v>0</v>
      </c>
    </row>
    <row r="3379" spans="1:19">
      <c r="A3379" t="s">
        <v>35</v>
      </c>
      <c r="B3379" t="s">
        <v>7796</v>
      </c>
      <c r="C3379">
        <f>"187A54MBL"</f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1</v>
      </c>
      <c r="K3379">
        <v>1.35</v>
      </c>
      <c r="L3379" s="2">
        <v>1</v>
      </c>
      <c r="M3379">
        <v>0</v>
      </c>
      <c r="N3379" s="2">
        <v>0</v>
      </c>
      <c r="O3379">
        <v>-1.2</v>
      </c>
      <c r="P3379" t="s">
        <v>100</v>
      </c>
      <c r="Q3379">
        <v>0</v>
      </c>
      <c r="R3379" t="s">
        <v>145</v>
      </c>
      <c r="S3379">
        <v>0</v>
      </c>
    </row>
    <row r="3380" spans="1:19">
      <c r="A3380" t="s">
        <v>35</v>
      </c>
      <c r="B3380" t="s">
        <v>7763</v>
      </c>
      <c r="C3380">
        <f>"187A54LBL"</f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1</v>
      </c>
      <c r="K3380">
        <v>1.485</v>
      </c>
      <c r="L3380" s="2">
        <v>1</v>
      </c>
      <c r="M3380">
        <v>0</v>
      </c>
      <c r="N3380" s="2">
        <v>0</v>
      </c>
      <c r="O3380">
        <v>-1.2</v>
      </c>
      <c r="P3380" t="s">
        <v>100</v>
      </c>
      <c r="Q3380">
        <v>0</v>
      </c>
      <c r="R3380" t="s">
        <v>145</v>
      </c>
      <c r="S3380">
        <v>0</v>
      </c>
    </row>
    <row r="3381" spans="1:19">
      <c r="A3381" t="s">
        <v>35</v>
      </c>
      <c r="B3381" t="s">
        <v>7765</v>
      </c>
      <c r="C3381">
        <f>"187A545XLBUR"</f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1</v>
      </c>
      <c r="K3381">
        <v>2.61</v>
      </c>
      <c r="L3381" s="2">
        <v>3</v>
      </c>
      <c r="M3381">
        <v>0</v>
      </c>
      <c r="N3381" s="2">
        <v>0</v>
      </c>
      <c r="O3381">
        <v>-1.2</v>
      </c>
      <c r="P3381" t="s">
        <v>100</v>
      </c>
      <c r="Q3381">
        <v>0</v>
      </c>
      <c r="R3381" t="s">
        <v>145</v>
      </c>
      <c r="S3381">
        <v>0</v>
      </c>
    </row>
    <row r="3382" spans="1:19">
      <c r="A3382" t="s">
        <v>35</v>
      </c>
      <c r="B3382" t="s">
        <v>7789</v>
      </c>
      <c r="C3382">
        <f>"1805S"</f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1</v>
      </c>
      <c r="K3382">
        <v>1.521</v>
      </c>
      <c r="L3382" s="2">
        <v>2</v>
      </c>
      <c r="M3382">
        <v>0</v>
      </c>
      <c r="N3382" s="2">
        <v>0</v>
      </c>
      <c r="O3382">
        <v>-1.2</v>
      </c>
      <c r="P3382" t="s">
        <v>100</v>
      </c>
      <c r="Q3382">
        <v>0</v>
      </c>
      <c r="R3382" t="s">
        <v>145</v>
      </c>
      <c r="S3382">
        <v>0</v>
      </c>
    </row>
    <row r="3383" spans="1:19">
      <c r="A3383" t="s">
        <v>35</v>
      </c>
      <c r="B3383" t="s">
        <v>7707</v>
      </c>
      <c r="C3383">
        <f>"1805L"</f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1</v>
      </c>
      <c r="K3383">
        <v>1.611</v>
      </c>
      <c r="L3383" s="2">
        <v>2</v>
      </c>
      <c r="M3383">
        <v>0</v>
      </c>
      <c r="N3383" s="2">
        <v>0</v>
      </c>
      <c r="O3383">
        <v>-1.2</v>
      </c>
      <c r="P3383" t="s">
        <v>100</v>
      </c>
      <c r="Q3383">
        <v>0</v>
      </c>
      <c r="R3383" t="s">
        <v>145</v>
      </c>
      <c r="S3383">
        <v>0</v>
      </c>
    </row>
    <row r="3384" spans="1:19">
      <c r="A3384" t="s">
        <v>35</v>
      </c>
      <c r="B3384" t="s">
        <v>7772</v>
      </c>
      <c r="C3384">
        <f>"187A543XLAZ"</f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1</v>
      </c>
      <c r="K3384">
        <v>1.98</v>
      </c>
      <c r="L3384" s="2">
        <v>2</v>
      </c>
      <c r="M3384">
        <v>0</v>
      </c>
      <c r="N3384" s="2">
        <v>0</v>
      </c>
      <c r="O3384">
        <v>-1.2</v>
      </c>
      <c r="P3384" t="s">
        <v>100</v>
      </c>
      <c r="Q3384">
        <v>0</v>
      </c>
      <c r="R3384" t="s">
        <v>145</v>
      </c>
      <c r="S3384">
        <v>0</v>
      </c>
    </row>
    <row r="3385" spans="1:19">
      <c r="A3385" t="s">
        <v>35</v>
      </c>
      <c r="B3385" t="s">
        <v>9152</v>
      </c>
      <c r="C3385">
        <f>"FB870SVE"</f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1</v>
      </c>
      <c r="K3385">
        <v>2.385</v>
      </c>
      <c r="L3385" s="2">
        <v>2</v>
      </c>
      <c r="M3385">
        <v>0</v>
      </c>
      <c r="N3385" s="2">
        <v>0</v>
      </c>
      <c r="O3385">
        <v>-1.2</v>
      </c>
      <c r="P3385" t="s">
        <v>100</v>
      </c>
      <c r="Q3385">
        <v>0</v>
      </c>
      <c r="R3385" t="s">
        <v>145</v>
      </c>
      <c r="S3385">
        <v>0</v>
      </c>
    </row>
    <row r="3386" spans="1:19">
      <c r="A3386" t="s">
        <v>35</v>
      </c>
      <c r="B3386" t="s">
        <v>2609</v>
      </c>
      <c r="C3386">
        <f>"FB870LA"</f>
        <v>0</v>
      </c>
      <c r="D3386">
        <v>1</v>
      </c>
      <c r="E3386">
        <v>0</v>
      </c>
      <c r="F3386">
        <v>0</v>
      </c>
      <c r="G3386">
        <v>0</v>
      </c>
      <c r="H3386">
        <v>1</v>
      </c>
      <c r="I3386">
        <v>0</v>
      </c>
      <c r="J3386">
        <v>1</v>
      </c>
      <c r="K3386">
        <v>2.691</v>
      </c>
      <c r="L3386" s="2">
        <v>3</v>
      </c>
      <c r="M3386">
        <v>0</v>
      </c>
      <c r="N3386" s="2">
        <v>0</v>
      </c>
      <c r="O3386">
        <v>-1.2</v>
      </c>
      <c r="P3386" t="s">
        <v>100</v>
      </c>
      <c r="Q3386">
        <v>0</v>
      </c>
      <c r="R3386" t="s">
        <v>145</v>
      </c>
      <c r="S3386">
        <v>0</v>
      </c>
    </row>
    <row r="3387" spans="1:19">
      <c r="A3387" t="s">
        <v>35</v>
      </c>
      <c r="B3387" t="s">
        <v>2476</v>
      </c>
      <c r="C3387">
        <f>"CT455"</f>
        <v>0</v>
      </c>
      <c r="D3387">
        <v>0</v>
      </c>
      <c r="E3387">
        <v>1</v>
      </c>
      <c r="F3387">
        <v>0</v>
      </c>
      <c r="G3387">
        <v>0</v>
      </c>
      <c r="H3387">
        <v>1</v>
      </c>
      <c r="I3387">
        <v>0</v>
      </c>
      <c r="J3387">
        <v>1</v>
      </c>
      <c r="K3387">
        <v>675</v>
      </c>
      <c r="L3387" s="2">
        <v>675</v>
      </c>
      <c r="M3387">
        <v>0</v>
      </c>
      <c r="N3387" s="2">
        <v>0</v>
      </c>
      <c r="O3387">
        <v>-1.2</v>
      </c>
      <c r="P3387" t="s">
        <v>100</v>
      </c>
      <c r="Q3387">
        <v>0</v>
      </c>
      <c r="R3387" t="s">
        <v>145</v>
      </c>
      <c r="S3387">
        <v>0</v>
      </c>
    </row>
    <row r="3388" spans="1:19">
      <c r="A3388" t="s">
        <v>35</v>
      </c>
      <c r="B3388" t="s">
        <v>7080</v>
      </c>
      <c r="C3388">
        <f>"6006067"</f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1</v>
      </c>
      <c r="K3388">
        <v>2</v>
      </c>
      <c r="L3388" s="2">
        <v>2</v>
      </c>
      <c r="M3388">
        <v>0</v>
      </c>
      <c r="N3388" s="2">
        <v>0</v>
      </c>
      <c r="O3388">
        <v>-1.2</v>
      </c>
      <c r="P3388" t="s">
        <v>100</v>
      </c>
      <c r="Q3388">
        <v>0</v>
      </c>
      <c r="R3388" t="s">
        <v>145</v>
      </c>
      <c r="S3388">
        <v>0</v>
      </c>
    </row>
    <row r="3389" spans="1:19">
      <c r="A3389" t="s">
        <v>35</v>
      </c>
      <c r="B3389" t="s">
        <v>7774</v>
      </c>
      <c r="C3389">
        <f>"187A54SBL"</f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1</v>
      </c>
      <c r="K3389">
        <v>1.305</v>
      </c>
      <c r="L3389" s="2">
        <v>1</v>
      </c>
      <c r="M3389">
        <v>0</v>
      </c>
      <c r="N3389" s="2">
        <v>0</v>
      </c>
      <c r="O3389">
        <v>-1.2</v>
      </c>
      <c r="P3389" t="s">
        <v>100</v>
      </c>
      <c r="Q3389">
        <v>0</v>
      </c>
      <c r="R3389" t="s">
        <v>145</v>
      </c>
      <c r="S3389">
        <v>0</v>
      </c>
    </row>
    <row r="3390" spans="1:19">
      <c r="A3390" t="s">
        <v>35</v>
      </c>
      <c r="B3390" t="s">
        <v>3691</v>
      </c>
      <c r="C3390">
        <f>"AGMAZ"</f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1</v>
      </c>
      <c r="K3390">
        <v>1.75</v>
      </c>
      <c r="L3390" s="2">
        <v>2</v>
      </c>
      <c r="M3390">
        <v>0</v>
      </c>
      <c r="N3390" s="2">
        <v>0</v>
      </c>
      <c r="O3390">
        <v>-1.2</v>
      </c>
      <c r="P3390" t="s">
        <v>100</v>
      </c>
      <c r="Q3390">
        <v>0</v>
      </c>
      <c r="R3390" t="s">
        <v>145</v>
      </c>
      <c r="S3390">
        <v>0</v>
      </c>
    </row>
    <row r="3391" spans="1:19">
      <c r="A3391" t="s">
        <v>35</v>
      </c>
      <c r="B3391" t="s">
        <v>3597</v>
      </c>
      <c r="C3391">
        <f>"AGMAM"</f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1</v>
      </c>
      <c r="K3391">
        <v>1.75</v>
      </c>
      <c r="L3391" s="2">
        <v>2</v>
      </c>
      <c r="M3391">
        <v>0</v>
      </c>
      <c r="N3391" s="2">
        <v>0</v>
      </c>
      <c r="O3391">
        <v>-1.2</v>
      </c>
      <c r="P3391" t="s">
        <v>100</v>
      </c>
      <c r="Q3391">
        <v>0</v>
      </c>
      <c r="R3391" t="s">
        <v>145</v>
      </c>
      <c r="S3391">
        <v>0</v>
      </c>
    </row>
    <row r="3392" spans="1:19">
      <c r="A3392" t="s">
        <v>35</v>
      </c>
      <c r="B3392" t="s">
        <v>3769</v>
      </c>
      <c r="C3392">
        <f>"23HT27"</f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1</v>
      </c>
      <c r="K3392">
        <v>2.573</v>
      </c>
      <c r="L3392" s="2">
        <v>3</v>
      </c>
      <c r="M3392">
        <v>0</v>
      </c>
      <c r="N3392" s="2">
        <v>0</v>
      </c>
      <c r="O3392">
        <v>-1.2</v>
      </c>
      <c r="P3392" t="s">
        <v>100</v>
      </c>
      <c r="Q3392">
        <v>0</v>
      </c>
      <c r="R3392" t="s">
        <v>145</v>
      </c>
      <c r="S3392">
        <v>0</v>
      </c>
    </row>
    <row r="3393" spans="1:19">
      <c r="A3393" t="s">
        <v>35</v>
      </c>
      <c r="B3393" t="s">
        <v>3907</v>
      </c>
      <c r="C3393">
        <f>"MSPB10VER"</f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1</v>
      </c>
      <c r="K3393">
        <v>4.893</v>
      </c>
      <c r="L3393" s="2">
        <v>5</v>
      </c>
      <c r="M3393">
        <v>0</v>
      </c>
      <c r="N3393" s="2">
        <v>0</v>
      </c>
      <c r="O3393">
        <v>-1.2</v>
      </c>
      <c r="P3393" t="s">
        <v>100</v>
      </c>
      <c r="Q3393">
        <v>0</v>
      </c>
      <c r="R3393" t="s">
        <v>145</v>
      </c>
      <c r="S3393">
        <v>0</v>
      </c>
    </row>
    <row r="3394" spans="1:19">
      <c r="A3394" t="s">
        <v>35</v>
      </c>
      <c r="B3394" t="s">
        <v>7761</v>
      </c>
      <c r="C3394">
        <f>"W1402"</f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1</v>
      </c>
      <c r="K3394">
        <v>2.205</v>
      </c>
      <c r="L3394" s="2">
        <v>2</v>
      </c>
      <c r="M3394">
        <v>0</v>
      </c>
      <c r="N3394" s="2">
        <v>0</v>
      </c>
      <c r="O3394">
        <v>-1.2</v>
      </c>
      <c r="P3394" t="s">
        <v>100</v>
      </c>
      <c r="Q3394">
        <v>0</v>
      </c>
      <c r="R3394" t="s">
        <v>145</v>
      </c>
      <c r="S3394">
        <v>0</v>
      </c>
    </row>
    <row r="3395" spans="1:19">
      <c r="A3395" t="s">
        <v>35</v>
      </c>
      <c r="B3395" t="s">
        <v>7615</v>
      </c>
      <c r="C3395">
        <f>"8406"</f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1</v>
      </c>
      <c r="K3395">
        <v>16.65</v>
      </c>
      <c r="L3395" s="2">
        <v>17</v>
      </c>
      <c r="M3395">
        <v>0</v>
      </c>
      <c r="N3395" s="2">
        <v>0</v>
      </c>
      <c r="O3395">
        <v>-1.2</v>
      </c>
      <c r="P3395" t="s">
        <v>100</v>
      </c>
      <c r="Q3395">
        <v>0</v>
      </c>
      <c r="R3395" t="s">
        <v>145</v>
      </c>
      <c r="S3395">
        <v>0</v>
      </c>
    </row>
    <row r="3396" spans="1:19">
      <c r="A3396" t="s">
        <v>35</v>
      </c>
      <c r="B3396" t="s">
        <v>3264</v>
      </c>
      <c r="C3396">
        <f>"BO3135HA5RGC"</f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1</v>
      </c>
      <c r="K3396">
        <v>0</v>
      </c>
      <c r="L3396" s="2">
        <v>0</v>
      </c>
      <c r="M3396">
        <v>0</v>
      </c>
      <c r="N3396" s="2">
        <v>0</v>
      </c>
      <c r="O3396">
        <v>-1.2</v>
      </c>
      <c r="P3396" t="s">
        <v>100</v>
      </c>
      <c r="Q3396">
        <v>0</v>
      </c>
      <c r="R3396" t="s">
        <v>145</v>
      </c>
      <c r="S3396">
        <v>0</v>
      </c>
    </row>
    <row r="3397" spans="1:19">
      <c r="A3397" t="s">
        <v>35</v>
      </c>
      <c r="B3397" t="s">
        <v>3265</v>
      </c>
      <c r="C3397">
        <f>"BO3135HA5PG"</f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1</v>
      </c>
      <c r="K3397">
        <v>0</v>
      </c>
      <c r="L3397" s="2">
        <v>0</v>
      </c>
      <c r="M3397">
        <v>0</v>
      </c>
      <c r="N3397" s="2">
        <v>0</v>
      </c>
      <c r="O3397">
        <v>-1.2</v>
      </c>
      <c r="P3397" t="s">
        <v>100</v>
      </c>
      <c r="Q3397">
        <v>0</v>
      </c>
      <c r="R3397" t="s">
        <v>145</v>
      </c>
      <c r="S3397">
        <v>0</v>
      </c>
    </row>
    <row r="3398" spans="1:19">
      <c r="A3398" t="s">
        <v>35</v>
      </c>
      <c r="B3398" t="s">
        <v>3267</v>
      </c>
      <c r="C3398">
        <f>"BO3135HA5F"</f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1</v>
      </c>
      <c r="K3398">
        <v>0</v>
      </c>
      <c r="L3398" s="2">
        <v>0</v>
      </c>
      <c r="M3398">
        <v>0</v>
      </c>
      <c r="N3398" s="2">
        <v>0</v>
      </c>
      <c r="O3398">
        <v>-1.2</v>
      </c>
      <c r="P3398" t="s">
        <v>100</v>
      </c>
      <c r="Q3398">
        <v>0</v>
      </c>
      <c r="R3398" t="s">
        <v>145</v>
      </c>
      <c r="S3398">
        <v>0</v>
      </c>
    </row>
    <row r="3399" spans="1:19">
      <c r="A3399" t="s">
        <v>35</v>
      </c>
      <c r="B3399" t="s">
        <v>3186</v>
      </c>
      <c r="C3399">
        <f>"BO3135HA5D"</f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1</v>
      </c>
      <c r="K3399">
        <v>0</v>
      </c>
      <c r="L3399" s="2">
        <v>0</v>
      </c>
      <c r="M3399">
        <v>0</v>
      </c>
      <c r="N3399" s="2">
        <v>0</v>
      </c>
      <c r="O3399">
        <v>-1.2</v>
      </c>
      <c r="P3399" t="s">
        <v>100</v>
      </c>
      <c r="Q3399">
        <v>0</v>
      </c>
      <c r="R3399" t="s">
        <v>145</v>
      </c>
      <c r="S3399">
        <v>0</v>
      </c>
    </row>
    <row r="3400" spans="1:19">
      <c r="A3400" t="s">
        <v>35</v>
      </c>
      <c r="B3400" t="s">
        <v>3188</v>
      </c>
      <c r="C3400">
        <f>"BO3134HA5RGC"</f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1</v>
      </c>
      <c r="K3400">
        <v>3.78</v>
      </c>
      <c r="L3400" s="2">
        <v>4</v>
      </c>
      <c r="M3400">
        <v>0</v>
      </c>
      <c r="N3400" s="2">
        <v>0</v>
      </c>
      <c r="O3400">
        <v>-1.2</v>
      </c>
      <c r="P3400" t="s">
        <v>100</v>
      </c>
      <c r="Q3400">
        <v>0</v>
      </c>
      <c r="R3400" t="s">
        <v>145</v>
      </c>
      <c r="S3400">
        <v>0</v>
      </c>
    </row>
    <row r="3401" spans="1:19">
      <c r="A3401" t="s">
        <v>35</v>
      </c>
      <c r="B3401" t="s">
        <v>3232</v>
      </c>
      <c r="C3401">
        <f>"TQ10121V"</f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1</v>
      </c>
      <c r="K3401">
        <v>891</v>
      </c>
      <c r="L3401" s="2">
        <v>891</v>
      </c>
      <c r="M3401">
        <v>0</v>
      </c>
      <c r="N3401" s="2">
        <v>0</v>
      </c>
      <c r="O3401">
        <v>-1.2</v>
      </c>
      <c r="P3401" t="s">
        <v>100</v>
      </c>
      <c r="Q3401">
        <v>0</v>
      </c>
      <c r="R3401" t="s">
        <v>145</v>
      </c>
      <c r="S3401">
        <v>0</v>
      </c>
    </row>
    <row r="3402" spans="1:19">
      <c r="A3402" t="s">
        <v>35</v>
      </c>
      <c r="B3402" t="s">
        <v>7111</v>
      </c>
      <c r="C3402">
        <f>"6006076"</f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1</v>
      </c>
      <c r="K3402">
        <v>2</v>
      </c>
      <c r="L3402" s="2">
        <v>2</v>
      </c>
      <c r="M3402">
        <v>0</v>
      </c>
      <c r="N3402" s="2">
        <v>0</v>
      </c>
      <c r="O3402">
        <v>-1.2</v>
      </c>
      <c r="P3402" t="s">
        <v>100</v>
      </c>
      <c r="Q3402">
        <v>0</v>
      </c>
      <c r="R3402" t="s">
        <v>145</v>
      </c>
      <c r="S3402">
        <v>0</v>
      </c>
    </row>
    <row r="3403" spans="1:19">
      <c r="A3403" t="s">
        <v>35</v>
      </c>
      <c r="B3403" t="s">
        <v>7120</v>
      </c>
      <c r="C3403">
        <f>"3117CXXL"</f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1</v>
      </c>
      <c r="K3403">
        <v>5.985</v>
      </c>
      <c r="L3403" s="2">
        <v>6</v>
      </c>
      <c r="M3403">
        <v>0</v>
      </c>
      <c r="N3403" s="2">
        <v>0</v>
      </c>
      <c r="O3403">
        <v>-1.2</v>
      </c>
      <c r="P3403" t="s">
        <v>100</v>
      </c>
      <c r="Q3403">
        <v>0</v>
      </c>
      <c r="R3403" t="s">
        <v>145</v>
      </c>
      <c r="S3403">
        <v>0</v>
      </c>
    </row>
    <row r="3404" spans="1:19">
      <c r="A3404" t="s">
        <v>35</v>
      </c>
      <c r="B3404" t="s">
        <v>7121</v>
      </c>
      <c r="C3404">
        <f>"3117CXL"</f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1</v>
      </c>
      <c r="K3404">
        <v>5.805</v>
      </c>
      <c r="L3404" s="2">
        <v>6</v>
      </c>
      <c r="M3404">
        <v>0</v>
      </c>
      <c r="N3404" s="2">
        <v>0</v>
      </c>
      <c r="O3404">
        <v>-1.2</v>
      </c>
      <c r="P3404" t="s">
        <v>100</v>
      </c>
      <c r="Q3404">
        <v>0</v>
      </c>
      <c r="R3404" t="s">
        <v>145</v>
      </c>
      <c r="S3404">
        <v>0</v>
      </c>
    </row>
    <row r="3405" spans="1:19">
      <c r="A3405" t="s">
        <v>35</v>
      </c>
      <c r="B3405" t="s">
        <v>5065</v>
      </c>
      <c r="C3405">
        <f>"S22"</f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1</v>
      </c>
      <c r="K3405">
        <v>6.21</v>
      </c>
      <c r="L3405" s="2">
        <v>6</v>
      </c>
      <c r="M3405">
        <v>0</v>
      </c>
      <c r="N3405" s="2">
        <v>0</v>
      </c>
      <c r="O3405">
        <v>-1.2</v>
      </c>
      <c r="P3405" t="s">
        <v>100</v>
      </c>
      <c r="Q3405">
        <v>0</v>
      </c>
      <c r="R3405" t="s">
        <v>145</v>
      </c>
      <c r="S3405">
        <v>0</v>
      </c>
    </row>
    <row r="3406" spans="1:19">
      <c r="A3406" t="s">
        <v>35</v>
      </c>
      <c r="B3406" t="s">
        <v>5026</v>
      </c>
      <c r="C3406">
        <f>"25395876"</f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1</v>
      </c>
      <c r="K3406">
        <v>5.056</v>
      </c>
      <c r="L3406" s="2">
        <v>5</v>
      </c>
      <c r="M3406">
        <v>0</v>
      </c>
      <c r="N3406" s="2">
        <v>0</v>
      </c>
      <c r="O3406">
        <v>-1.2</v>
      </c>
      <c r="P3406" t="s">
        <v>100</v>
      </c>
      <c r="Q3406">
        <v>0</v>
      </c>
      <c r="R3406" t="s">
        <v>145</v>
      </c>
      <c r="S3406">
        <v>0</v>
      </c>
    </row>
    <row r="3407" spans="1:19">
      <c r="A3407" t="s">
        <v>35</v>
      </c>
      <c r="B3407" t="s">
        <v>5027</v>
      </c>
      <c r="C3407">
        <f>"25395867"</f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1</v>
      </c>
      <c r="K3407">
        <v>4.593</v>
      </c>
      <c r="L3407" s="2">
        <v>5</v>
      </c>
      <c r="M3407">
        <v>0</v>
      </c>
      <c r="N3407" s="2">
        <v>0</v>
      </c>
      <c r="O3407">
        <v>-1.2</v>
      </c>
      <c r="P3407" t="s">
        <v>100</v>
      </c>
      <c r="Q3407">
        <v>0</v>
      </c>
      <c r="R3407" t="s">
        <v>145</v>
      </c>
      <c r="S3407">
        <v>0</v>
      </c>
    </row>
    <row r="3408" spans="1:19">
      <c r="A3408" t="s">
        <v>35</v>
      </c>
      <c r="B3408" t="s">
        <v>2683</v>
      </c>
      <c r="C3408">
        <f>"KM5090BE"</f>
        <v>0</v>
      </c>
      <c r="D3408">
        <v>1</v>
      </c>
      <c r="E3408">
        <v>0</v>
      </c>
      <c r="F3408">
        <v>0</v>
      </c>
      <c r="G3408">
        <v>0</v>
      </c>
      <c r="H3408">
        <v>1</v>
      </c>
      <c r="I3408">
        <v>0</v>
      </c>
      <c r="J3408">
        <v>1</v>
      </c>
      <c r="K3408">
        <v>8.91</v>
      </c>
      <c r="L3408" s="2">
        <v>9</v>
      </c>
      <c r="M3408">
        <v>0</v>
      </c>
      <c r="N3408" s="2">
        <v>0</v>
      </c>
      <c r="O3408">
        <v>-1.2</v>
      </c>
      <c r="P3408" t="s">
        <v>100</v>
      </c>
      <c r="Q3408">
        <v>0</v>
      </c>
      <c r="R3408" t="s">
        <v>145</v>
      </c>
      <c r="S3408">
        <v>0</v>
      </c>
    </row>
    <row r="3409" spans="1:19">
      <c r="A3409" t="s">
        <v>35</v>
      </c>
      <c r="B3409" t="s">
        <v>3275</v>
      </c>
      <c r="C3409">
        <f>"BO3139HA5CE"</f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1</v>
      </c>
      <c r="K3409">
        <v>3.591</v>
      </c>
      <c r="L3409" s="2">
        <v>4</v>
      </c>
      <c r="M3409">
        <v>0</v>
      </c>
      <c r="N3409" s="2">
        <v>0</v>
      </c>
      <c r="O3409">
        <v>-1.2</v>
      </c>
      <c r="P3409" t="s">
        <v>100</v>
      </c>
      <c r="Q3409">
        <v>0</v>
      </c>
      <c r="R3409" t="s">
        <v>145</v>
      </c>
      <c r="S3409">
        <v>0</v>
      </c>
    </row>
    <row r="3410" spans="1:19">
      <c r="A3410" t="s">
        <v>35</v>
      </c>
      <c r="B3410" t="s">
        <v>3255</v>
      </c>
      <c r="C3410">
        <f>"TQ871C"</f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1</v>
      </c>
      <c r="K3410">
        <v>1.341</v>
      </c>
      <c r="L3410" s="2">
        <v>1</v>
      </c>
      <c r="M3410">
        <v>0</v>
      </c>
      <c r="N3410" s="2">
        <v>0</v>
      </c>
      <c r="O3410">
        <v>-1.2</v>
      </c>
      <c r="P3410" t="s">
        <v>100</v>
      </c>
      <c r="Q3410">
        <v>0</v>
      </c>
      <c r="R3410" t="s">
        <v>145</v>
      </c>
      <c r="S3410">
        <v>0</v>
      </c>
    </row>
    <row r="3411" spans="1:19">
      <c r="A3411" t="s">
        <v>35</v>
      </c>
      <c r="B3411" t="s">
        <v>3256</v>
      </c>
      <c r="C3411">
        <f>"TQ871V"</f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1</v>
      </c>
      <c r="K3411">
        <v>1.341</v>
      </c>
      <c r="L3411" s="2">
        <v>1</v>
      </c>
      <c r="M3411">
        <v>0</v>
      </c>
      <c r="N3411" s="2">
        <v>0</v>
      </c>
      <c r="O3411">
        <v>-1.2</v>
      </c>
      <c r="P3411" t="s">
        <v>100</v>
      </c>
      <c r="Q3411">
        <v>0</v>
      </c>
      <c r="R3411" t="s">
        <v>145</v>
      </c>
      <c r="S3411">
        <v>0</v>
      </c>
    </row>
    <row r="3412" spans="1:19">
      <c r="A3412" t="s">
        <v>35</v>
      </c>
      <c r="B3412" t="s">
        <v>3230</v>
      </c>
      <c r="C3412">
        <f>"10021M"</f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1</v>
      </c>
      <c r="K3412">
        <v>1.215</v>
      </c>
      <c r="L3412" s="2">
        <v>1</v>
      </c>
      <c r="M3412">
        <v>0</v>
      </c>
      <c r="N3412" s="2">
        <v>0</v>
      </c>
      <c r="O3412">
        <v>-1.2</v>
      </c>
      <c r="P3412" t="s">
        <v>100</v>
      </c>
      <c r="Q3412">
        <v>0</v>
      </c>
      <c r="R3412" t="s">
        <v>145</v>
      </c>
      <c r="S3412">
        <v>0</v>
      </c>
    </row>
    <row r="3413" spans="1:19">
      <c r="A3413" t="s">
        <v>35</v>
      </c>
      <c r="B3413" t="s">
        <v>3908</v>
      </c>
      <c r="C3413">
        <f>"MSPB10GR"</f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1</v>
      </c>
      <c r="K3413">
        <v>4.893</v>
      </c>
      <c r="L3413" s="2">
        <v>5</v>
      </c>
      <c r="M3413">
        <v>0</v>
      </c>
      <c r="N3413" s="2">
        <v>0</v>
      </c>
      <c r="O3413">
        <v>-1.2</v>
      </c>
      <c r="P3413" t="s">
        <v>100</v>
      </c>
      <c r="Q3413">
        <v>0</v>
      </c>
      <c r="R3413" t="s">
        <v>145</v>
      </c>
      <c r="S3413">
        <v>0</v>
      </c>
    </row>
    <row r="3414" spans="1:19">
      <c r="A3414" t="s">
        <v>35</v>
      </c>
      <c r="B3414" t="s">
        <v>6518</v>
      </c>
      <c r="C3414">
        <f>"XQ22XLMO"</f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1</v>
      </c>
      <c r="K3414">
        <v>3.591</v>
      </c>
      <c r="L3414" s="2">
        <v>4</v>
      </c>
      <c r="M3414">
        <v>0</v>
      </c>
      <c r="N3414" s="2">
        <v>0</v>
      </c>
      <c r="O3414">
        <v>-1.2</v>
      </c>
      <c r="P3414" t="s">
        <v>100</v>
      </c>
      <c r="Q3414">
        <v>0</v>
      </c>
      <c r="R3414" t="s">
        <v>145</v>
      </c>
      <c r="S3414">
        <v>0</v>
      </c>
    </row>
    <row r="3415" spans="1:19">
      <c r="A3415" t="s">
        <v>35</v>
      </c>
      <c r="B3415" t="s">
        <v>6519</v>
      </c>
      <c r="C3415">
        <f>"XQ22XL"</f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1</v>
      </c>
      <c r="K3415">
        <v>3.591</v>
      </c>
      <c r="L3415" s="2">
        <v>4</v>
      </c>
      <c r="M3415">
        <v>0</v>
      </c>
      <c r="N3415" s="2">
        <v>0</v>
      </c>
      <c r="O3415">
        <v>-1.2</v>
      </c>
      <c r="P3415" t="s">
        <v>100</v>
      </c>
      <c r="Q3415">
        <v>0</v>
      </c>
      <c r="R3415" t="s">
        <v>145</v>
      </c>
      <c r="S3415">
        <v>0</v>
      </c>
    </row>
    <row r="3416" spans="1:19">
      <c r="A3416" t="s">
        <v>35</v>
      </c>
      <c r="B3416" t="s">
        <v>6520</v>
      </c>
      <c r="C3416">
        <f>"XQ22SRO"</f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1</v>
      </c>
      <c r="K3416">
        <v>3.105</v>
      </c>
      <c r="L3416" s="2">
        <v>3</v>
      </c>
      <c r="M3416">
        <v>0</v>
      </c>
      <c r="N3416" s="2">
        <v>0</v>
      </c>
      <c r="O3416">
        <v>-1.2</v>
      </c>
      <c r="P3416" t="s">
        <v>100</v>
      </c>
      <c r="Q3416">
        <v>0</v>
      </c>
      <c r="R3416" t="s">
        <v>145</v>
      </c>
      <c r="S3416">
        <v>0</v>
      </c>
    </row>
    <row r="3417" spans="1:19">
      <c r="A3417" t="s">
        <v>35</v>
      </c>
      <c r="B3417" t="s">
        <v>6684</v>
      </c>
      <c r="C3417">
        <f>"XQ22SMO"</f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1</v>
      </c>
      <c r="K3417">
        <v>3.105</v>
      </c>
      <c r="L3417" s="2">
        <v>3</v>
      </c>
      <c r="M3417">
        <v>0</v>
      </c>
      <c r="N3417" s="2">
        <v>0</v>
      </c>
      <c r="O3417">
        <v>-1.2</v>
      </c>
      <c r="P3417" t="s">
        <v>100</v>
      </c>
      <c r="Q3417">
        <v>0</v>
      </c>
      <c r="R3417" t="s">
        <v>145</v>
      </c>
      <c r="S3417">
        <v>0</v>
      </c>
    </row>
    <row r="3418" spans="1:19">
      <c r="A3418" t="s">
        <v>35</v>
      </c>
      <c r="B3418" t="s">
        <v>6818</v>
      </c>
      <c r="C3418">
        <f>"XQ22MRO"</f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1</v>
      </c>
      <c r="K3418">
        <v>3.465</v>
      </c>
      <c r="L3418" s="2">
        <v>3</v>
      </c>
      <c r="M3418">
        <v>0</v>
      </c>
      <c r="N3418" s="2">
        <v>0</v>
      </c>
      <c r="O3418">
        <v>-1.2</v>
      </c>
      <c r="P3418" t="s">
        <v>100</v>
      </c>
      <c r="Q3418">
        <v>0</v>
      </c>
      <c r="R3418" t="s">
        <v>145</v>
      </c>
      <c r="S3418">
        <v>0</v>
      </c>
    </row>
    <row r="3419" spans="1:19">
      <c r="A3419" t="s">
        <v>35</v>
      </c>
      <c r="B3419" t="s">
        <v>5885</v>
      </c>
      <c r="C3419">
        <f>"C408"</f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1</v>
      </c>
      <c r="K3419">
        <v>4.635</v>
      </c>
      <c r="L3419" s="2">
        <v>5</v>
      </c>
      <c r="M3419">
        <v>0</v>
      </c>
      <c r="N3419" s="2">
        <v>0</v>
      </c>
      <c r="O3419">
        <v>-1.2</v>
      </c>
      <c r="P3419" t="s">
        <v>100</v>
      </c>
      <c r="Q3419">
        <v>0</v>
      </c>
      <c r="R3419" t="s">
        <v>145</v>
      </c>
      <c r="S3419">
        <v>0</v>
      </c>
    </row>
    <row r="3420" spans="1:19">
      <c r="A3420" t="s">
        <v>35</v>
      </c>
      <c r="B3420" t="s">
        <v>5820</v>
      </c>
      <c r="C3420">
        <f>"C608"</f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1</v>
      </c>
      <c r="K3420">
        <v>765</v>
      </c>
      <c r="L3420" s="2">
        <v>765</v>
      </c>
      <c r="M3420">
        <v>0</v>
      </c>
      <c r="N3420" s="2">
        <v>0</v>
      </c>
      <c r="O3420">
        <v>-1.2</v>
      </c>
      <c r="P3420" t="s">
        <v>100</v>
      </c>
      <c r="Q3420">
        <v>0</v>
      </c>
      <c r="R3420" t="s">
        <v>145</v>
      </c>
      <c r="S3420">
        <v>0</v>
      </c>
    </row>
    <row r="3421" spans="1:19">
      <c r="A3421" t="s">
        <v>35</v>
      </c>
      <c r="B3421" t="s">
        <v>2319</v>
      </c>
      <c r="C3421">
        <f>"XB09072AM"</f>
        <v>0</v>
      </c>
      <c r="D3421">
        <v>0</v>
      </c>
      <c r="E3421">
        <v>2</v>
      </c>
      <c r="F3421">
        <v>0</v>
      </c>
      <c r="G3421">
        <v>0</v>
      </c>
      <c r="H3421">
        <v>2</v>
      </c>
      <c r="I3421">
        <v>0</v>
      </c>
      <c r="J3421">
        <v>1</v>
      </c>
      <c r="K3421">
        <v>5.355</v>
      </c>
      <c r="L3421" s="2">
        <v>5</v>
      </c>
      <c r="M3421">
        <v>0</v>
      </c>
      <c r="N3421" s="2">
        <v>0</v>
      </c>
      <c r="O3421">
        <v>-1.2</v>
      </c>
      <c r="P3421" t="s">
        <v>100</v>
      </c>
      <c r="Q3421">
        <v>0</v>
      </c>
      <c r="R3421" t="s">
        <v>145</v>
      </c>
      <c r="S3421">
        <v>0</v>
      </c>
    </row>
    <row r="3422" spans="1:19">
      <c r="A3422" t="s">
        <v>35</v>
      </c>
      <c r="B3422" t="s">
        <v>5422</v>
      </c>
      <c r="C3422">
        <f>"B109323SC"</f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1</v>
      </c>
      <c r="K3422">
        <v>5.58</v>
      </c>
      <c r="L3422" s="2">
        <v>6</v>
      </c>
      <c r="M3422">
        <v>0</v>
      </c>
      <c r="N3422" s="2">
        <v>0</v>
      </c>
      <c r="O3422">
        <v>-1.2</v>
      </c>
      <c r="P3422" t="s">
        <v>100</v>
      </c>
      <c r="Q3422">
        <v>0</v>
      </c>
      <c r="R3422" t="s">
        <v>145</v>
      </c>
      <c r="S3422">
        <v>0</v>
      </c>
    </row>
    <row r="3423" spans="1:19">
      <c r="A3423" t="s">
        <v>35</v>
      </c>
      <c r="B3423" t="s">
        <v>5090</v>
      </c>
      <c r="C3423">
        <f>"B109323MC"</f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1</v>
      </c>
      <c r="K3423">
        <v>5.805</v>
      </c>
      <c r="L3423" s="2">
        <v>6</v>
      </c>
      <c r="M3423">
        <v>0</v>
      </c>
      <c r="N3423" s="2">
        <v>0</v>
      </c>
      <c r="O3423">
        <v>-1.2</v>
      </c>
      <c r="P3423" t="s">
        <v>100</v>
      </c>
      <c r="Q3423">
        <v>0</v>
      </c>
      <c r="R3423" t="s">
        <v>145</v>
      </c>
      <c r="S3423">
        <v>0</v>
      </c>
    </row>
    <row r="3424" spans="1:19">
      <c r="A3424" t="s">
        <v>35</v>
      </c>
      <c r="B3424" t="s">
        <v>5149</v>
      </c>
      <c r="C3424">
        <f>"1812CREDM"</f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1</v>
      </c>
      <c r="K3424">
        <v>3.825</v>
      </c>
      <c r="L3424" s="2">
        <v>4</v>
      </c>
      <c r="M3424">
        <v>0</v>
      </c>
      <c r="N3424" s="2">
        <v>0</v>
      </c>
      <c r="O3424">
        <v>-1.2</v>
      </c>
      <c r="P3424" t="s">
        <v>100</v>
      </c>
      <c r="Q3424">
        <v>0</v>
      </c>
      <c r="R3424" t="s">
        <v>145</v>
      </c>
      <c r="S3424">
        <v>0</v>
      </c>
    </row>
    <row r="3425" spans="1:19">
      <c r="A3425" t="s">
        <v>35</v>
      </c>
      <c r="B3425" t="s">
        <v>7655</v>
      </c>
      <c r="C3425">
        <f>"CCCXL"</f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1</v>
      </c>
      <c r="K3425">
        <v>16.65</v>
      </c>
      <c r="L3425" s="2">
        <v>17</v>
      </c>
      <c r="M3425">
        <v>0</v>
      </c>
      <c r="N3425" s="2">
        <v>0</v>
      </c>
      <c r="O3425">
        <v>-1.2</v>
      </c>
      <c r="P3425" t="s">
        <v>100</v>
      </c>
      <c r="Q3425">
        <v>0</v>
      </c>
      <c r="R3425" t="s">
        <v>145</v>
      </c>
      <c r="S3425">
        <v>0</v>
      </c>
    </row>
    <row r="3426" spans="1:19">
      <c r="A3426" t="s">
        <v>35</v>
      </c>
      <c r="B3426" t="s">
        <v>5783</v>
      </c>
      <c r="C3426">
        <f>"B115044XLG"</f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1</v>
      </c>
      <c r="K3426">
        <v>4.86</v>
      </c>
      <c r="L3426" s="2">
        <v>5</v>
      </c>
      <c r="M3426">
        <v>0</v>
      </c>
      <c r="N3426" s="2">
        <v>0</v>
      </c>
      <c r="O3426">
        <v>-1.2</v>
      </c>
      <c r="P3426" t="s">
        <v>100</v>
      </c>
      <c r="Q3426">
        <v>0</v>
      </c>
      <c r="R3426" t="s">
        <v>145</v>
      </c>
      <c r="S3426">
        <v>0</v>
      </c>
    </row>
    <row r="3427" spans="1:19">
      <c r="A3427" t="s">
        <v>35</v>
      </c>
      <c r="B3427" t="s">
        <v>5784</v>
      </c>
      <c r="C3427">
        <f>"B115044XLB"</f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1</v>
      </c>
      <c r="K3427">
        <v>4.86</v>
      </c>
      <c r="L3427" s="2">
        <v>5</v>
      </c>
      <c r="M3427">
        <v>0</v>
      </c>
      <c r="N3427" s="2">
        <v>0</v>
      </c>
      <c r="O3427">
        <v>-1.2</v>
      </c>
      <c r="P3427" t="s">
        <v>100</v>
      </c>
      <c r="Q3427">
        <v>0</v>
      </c>
      <c r="R3427" t="s">
        <v>145</v>
      </c>
      <c r="S3427">
        <v>0</v>
      </c>
    </row>
    <row r="3428" spans="1:19">
      <c r="A3428" t="s">
        <v>35</v>
      </c>
      <c r="B3428" t="s">
        <v>3200</v>
      </c>
      <c r="C3428">
        <f>"B115044SB"</f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1</v>
      </c>
      <c r="K3428">
        <v>3.15</v>
      </c>
      <c r="L3428" s="2">
        <v>3</v>
      </c>
      <c r="M3428">
        <v>0</v>
      </c>
      <c r="N3428" s="2">
        <v>0</v>
      </c>
      <c r="O3428">
        <v>-1.2</v>
      </c>
      <c r="P3428" t="s">
        <v>100</v>
      </c>
      <c r="Q3428">
        <v>0</v>
      </c>
      <c r="R3428" t="s">
        <v>145</v>
      </c>
      <c r="S3428">
        <v>0</v>
      </c>
    </row>
    <row r="3429" spans="1:19">
      <c r="A3429" t="s">
        <v>35</v>
      </c>
      <c r="B3429" t="s">
        <v>5762</v>
      </c>
      <c r="C3429">
        <f>"YP33XXLM"</f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1</v>
      </c>
      <c r="K3429">
        <v>2.385</v>
      </c>
      <c r="L3429" s="2">
        <v>2</v>
      </c>
      <c r="M3429">
        <v>0</v>
      </c>
      <c r="N3429" s="2">
        <v>0</v>
      </c>
      <c r="O3429">
        <v>-1.2</v>
      </c>
      <c r="P3429" t="s">
        <v>100</v>
      </c>
      <c r="Q3429">
        <v>0</v>
      </c>
      <c r="R3429" t="s">
        <v>145</v>
      </c>
      <c r="S3429">
        <v>0</v>
      </c>
    </row>
    <row r="3430" spans="1:19">
      <c r="A3430" t="s">
        <v>35</v>
      </c>
      <c r="B3430" t="s">
        <v>2621</v>
      </c>
      <c r="C3430">
        <f>"YP33XLM"</f>
        <v>0</v>
      </c>
      <c r="D3430">
        <v>0</v>
      </c>
      <c r="E3430">
        <v>1</v>
      </c>
      <c r="F3430">
        <v>0</v>
      </c>
      <c r="G3430">
        <v>0</v>
      </c>
      <c r="H3430">
        <v>1</v>
      </c>
      <c r="I3430">
        <v>0</v>
      </c>
      <c r="J3430">
        <v>1</v>
      </c>
      <c r="K3430">
        <v>2.205</v>
      </c>
      <c r="L3430" s="2">
        <v>2</v>
      </c>
      <c r="M3430">
        <v>0</v>
      </c>
      <c r="N3430" s="2">
        <v>0</v>
      </c>
      <c r="O3430">
        <v>-1.2</v>
      </c>
      <c r="P3430" t="s">
        <v>100</v>
      </c>
      <c r="Q3430">
        <v>0</v>
      </c>
      <c r="R3430" t="s">
        <v>145</v>
      </c>
      <c r="S3430">
        <v>0</v>
      </c>
    </row>
    <row r="3431" spans="1:19">
      <c r="A3431" t="s">
        <v>35</v>
      </c>
      <c r="B3431" t="s">
        <v>7890</v>
      </c>
      <c r="C3431">
        <f>"JXV1808"</f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1</v>
      </c>
      <c r="K3431">
        <v>13.491</v>
      </c>
      <c r="L3431" s="2">
        <v>13</v>
      </c>
      <c r="M3431">
        <v>0</v>
      </c>
      <c r="N3431" s="2">
        <v>0</v>
      </c>
      <c r="O3431">
        <v>-1.2</v>
      </c>
      <c r="P3431" t="s">
        <v>100</v>
      </c>
      <c r="Q3431">
        <v>0</v>
      </c>
      <c r="R3431" t="s">
        <v>145</v>
      </c>
      <c r="S3431">
        <v>0</v>
      </c>
    </row>
    <row r="3432" spans="1:19">
      <c r="A3432" t="s">
        <v>35</v>
      </c>
      <c r="B3432" t="s">
        <v>7895</v>
      </c>
      <c r="C3432">
        <f>"KW6037LA"</f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1</v>
      </c>
      <c r="K3432">
        <v>13.05</v>
      </c>
      <c r="L3432" s="2">
        <v>13</v>
      </c>
      <c r="M3432">
        <v>0</v>
      </c>
      <c r="N3432" s="2">
        <v>0</v>
      </c>
      <c r="O3432">
        <v>-1.2</v>
      </c>
      <c r="P3432" t="s">
        <v>100</v>
      </c>
      <c r="Q3432">
        <v>0</v>
      </c>
      <c r="R3432" t="s">
        <v>145</v>
      </c>
      <c r="S3432">
        <v>0</v>
      </c>
    </row>
    <row r="3433" spans="1:19">
      <c r="A3433" t="s">
        <v>35</v>
      </c>
      <c r="B3433" t="s">
        <v>2514</v>
      </c>
      <c r="C3433">
        <f>"PT005SV"</f>
        <v>0</v>
      </c>
      <c r="D3433">
        <v>0</v>
      </c>
      <c r="E3433">
        <v>1</v>
      </c>
      <c r="F3433">
        <v>0</v>
      </c>
      <c r="G3433">
        <v>0</v>
      </c>
      <c r="H3433">
        <v>1</v>
      </c>
      <c r="I3433">
        <v>0</v>
      </c>
      <c r="J3433">
        <v>1</v>
      </c>
      <c r="K3433">
        <v>3.375</v>
      </c>
      <c r="L3433" s="2">
        <v>3</v>
      </c>
      <c r="M3433">
        <v>0</v>
      </c>
      <c r="N3433" s="2">
        <v>0</v>
      </c>
      <c r="O3433">
        <v>-1.2</v>
      </c>
      <c r="P3433" t="s">
        <v>100</v>
      </c>
      <c r="Q3433">
        <v>0</v>
      </c>
      <c r="R3433" t="s">
        <v>145</v>
      </c>
      <c r="S3433">
        <v>0</v>
      </c>
    </row>
    <row r="3434" spans="1:19">
      <c r="A3434" t="s">
        <v>35</v>
      </c>
      <c r="B3434" t="s">
        <v>4360</v>
      </c>
      <c r="C3434">
        <f>"PT005MV"</f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1</v>
      </c>
      <c r="K3434">
        <v>3.915</v>
      </c>
      <c r="L3434" s="2">
        <v>4</v>
      </c>
      <c r="M3434">
        <v>0</v>
      </c>
      <c r="N3434" s="2">
        <v>0</v>
      </c>
      <c r="O3434">
        <v>-1.2</v>
      </c>
      <c r="P3434" t="s">
        <v>100</v>
      </c>
      <c r="Q3434">
        <v>0</v>
      </c>
      <c r="R3434" t="s">
        <v>145</v>
      </c>
      <c r="S3434">
        <v>0</v>
      </c>
    </row>
    <row r="3435" spans="1:19">
      <c r="A3435" t="s">
        <v>35</v>
      </c>
      <c r="B3435" t="s">
        <v>3669</v>
      </c>
      <c r="C3435">
        <f>"PT005SROS"</f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1</v>
      </c>
      <c r="K3435">
        <v>3.375</v>
      </c>
      <c r="L3435" s="2">
        <v>3</v>
      </c>
      <c r="M3435">
        <v>0</v>
      </c>
      <c r="N3435" s="2">
        <v>0</v>
      </c>
      <c r="O3435">
        <v>-1.2</v>
      </c>
      <c r="P3435" t="s">
        <v>100</v>
      </c>
      <c r="Q3435">
        <v>0</v>
      </c>
      <c r="R3435" t="s">
        <v>145</v>
      </c>
      <c r="S3435">
        <v>0</v>
      </c>
    </row>
    <row r="3436" spans="1:19">
      <c r="A3436" t="s">
        <v>35</v>
      </c>
      <c r="B3436" t="s">
        <v>5334</v>
      </c>
      <c r="C3436">
        <f>"B1093233XLR"</f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1</v>
      </c>
      <c r="K3436">
        <v>8.505000000000001</v>
      </c>
      <c r="L3436" s="2">
        <v>9</v>
      </c>
      <c r="M3436">
        <v>0</v>
      </c>
      <c r="N3436" s="2">
        <v>0</v>
      </c>
      <c r="O3436">
        <v>-1.2</v>
      </c>
      <c r="P3436" t="s">
        <v>100</v>
      </c>
      <c r="Q3436">
        <v>0</v>
      </c>
      <c r="R3436" t="s">
        <v>145</v>
      </c>
      <c r="S3436">
        <v>0</v>
      </c>
    </row>
    <row r="3437" spans="1:19">
      <c r="A3437" t="s">
        <v>35</v>
      </c>
      <c r="B3437" t="s">
        <v>9698</v>
      </c>
      <c r="C3437">
        <f>"KE3276D"</f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1</v>
      </c>
      <c r="K3437">
        <v>4.581</v>
      </c>
      <c r="L3437" s="2">
        <v>5</v>
      </c>
      <c r="M3437">
        <v>0</v>
      </c>
      <c r="N3437" s="2">
        <v>0</v>
      </c>
      <c r="O3437">
        <v>-1.2</v>
      </c>
      <c r="P3437" t="s">
        <v>100</v>
      </c>
      <c r="Q3437">
        <v>0</v>
      </c>
      <c r="R3437" t="s">
        <v>145</v>
      </c>
      <c r="S3437">
        <v>0</v>
      </c>
    </row>
    <row r="3438" spans="1:19">
      <c r="A3438" t="s">
        <v>35</v>
      </c>
      <c r="B3438" t="s">
        <v>4199</v>
      </c>
      <c r="C3438">
        <f>"54B1230583XL"</f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1</v>
      </c>
      <c r="K3438">
        <v>11.25</v>
      </c>
      <c r="L3438" s="2">
        <v>11</v>
      </c>
      <c r="M3438">
        <v>0</v>
      </c>
      <c r="N3438" s="2">
        <v>0</v>
      </c>
      <c r="O3438">
        <v>-1.2</v>
      </c>
      <c r="P3438" t="s">
        <v>100</v>
      </c>
      <c r="Q3438">
        <v>0</v>
      </c>
      <c r="R3438" t="s">
        <v>145</v>
      </c>
      <c r="S3438">
        <v>0</v>
      </c>
    </row>
    <row r="3439" spans="1:19">
      <c r="A3439" t="s">
        <v>35</v>
      </c>
      <c r="B3439" t="s">
        <v>5140</v>
      </c>
      <c r="C3439">
        <f>"01361"</f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1</v>
      </c>
      <c r="K3439">
        <v>3.591</v>
      </c>
      <c r="L3439" s="2">
        <v>4</v>
      </c>
      <c r="M3439">
        <v>0</v>
      </c>
      <c r="N3439" s="2">
        <v>0</v>
      </c>
      <c r="O3439">
        <v>-1.2</v>
      </c>
      <c r="P3439" t="s">
        <v>100</v>
      </c>
      <c r="Q3439">
        <v>0</v>
      </c>
      <c r="R3439" t="s">
        <v>145</v>
      </c>
      <c r="S3439">
        <v>0</v>
      </c>
    </row>
    <row r="3440" spans="1:19">
      <c r="A3440" t="s">
        <v>35</v>
      </c>
      <c r="B3440" t="s">
        <v>10108</v>
      </c>
      <c r="C3440">
        <f>"XB1813NS"</f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1</v>
      </c>
      <c r="K3440">
        <v>7.785</v>
      </c>
      <c r="L3440" s="2">
        <v>8</v>
      </c>
      <c r="M3440">
        <v>0</v>
      </c>
      <c r="N3440" s="2">
        <v>0</v>
      </c>
      <c r="O3440">
        <v>-1.2</v>
      </c>
      <c r="P3440" t="s">
        <v>100</v>
      </c>
      <c r="Q3440">
        <v>0</v>
      </c>
      <c r="R3440" t="s">
        <v>145</v>
      </c>
      <c r="S3440">
        <v>0</v>
      </c>
    </row>
    <row r="3441" spans="1:19">
      <c r="A3441" t="s">
        <v>35</v>
      </c>
      <c r="B3441" t="s">
        <v>5381</v>
      </c>
      <c r="C3441">
        <f>"B1093234XLR"</f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1</v>
      </c>
      <c r="K3441">
        <v>9.225</v>
      </c>
      <c r="L3441" s="2">
        <v>9</v>
      </c>
      <c r="M3441">
        <v>0</v>
      </c>
      <c r="N3441" s="2">
        <v>0</v>
      </c>
      <c r="O3441">
        <v>-1.2</v>
      </c>
      <c r="P3441" t="s">
        <v>100</v>
      </c>
      <c r="Q3441">
        <v>0</v>
      </c>
      <c r="R3441" t="s">
        <v>145</v>
      </c>
      <c r="S3441">
        <v>0</v>
      </c>
    </row>
    <row r="3442" spans="1:19">
      <c r="A3442" t="s">
        <v>35</v>
      </c>
      <c r="B3442" t="s">
        <v>5382</v>
      </c>
      <c r="C3442">
        <f>"B1093234XLC"</f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1</v>
      </c>
      <c r="K3442">
        <v>9.225</v>
      </c>
      <c r="L3442" s="2">
        <v>9</v>
      </c>
      <c r="M3442">
        <v>0</v>
      </c>
      <c r="N3442" s="2">
        <v>0</v>
      </c>
      <c r="O3442">
        <v>-1.2</v>
      </c>
      <c r="P3442" t="s">
        <v>100</v>
      </c>
      <c r="Q3442">
        <v>0</v>
      </c>
      <c r="R3442" t="s">
        <v>145</v>
      </c>
      <c r="S3442">
        <v>0</v>
      </c>
    </row>
    <row r="3443" spans="1:19">
      <c r="A3443" t="s">
        <v>35</v>
      </c>
      <c r="B3443" t="s">
        <v>5847</v>
      </c>
      <c r="C3443">
        <f>"XDB433G"</f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1</v>
      </c>
      <c r="K3443">
        <v>17.91</v>
      </c>
      <c r="L3443" s="2">
        <v>18</v>
      </c>
      <c r="M3443">
        <v>0</v>
      </c>
      <c r="N3443" s="2">
        <v>0</v>
      </c>
      <c r="O3443">
        <v>-1.2</v>
      </c>
      <c r="P3443" t="s">
        <v>100</v>
      </c>
      <c r="Q3443">
        <v>0</v>
      </c>
      <c r="R3443" t="s">
        <v>145</v>
      </c>
      <c r="S3443">
        <v>0</v>
      </c>
    </row>
    <row r="3444" spans="1:19">
      <c r="A3444" t="s">
        <v>35</v>
      </c>
      <c r="B3444" t="s">
        <v>5941</v>
      </c>
      <c r="C3444">
        <f>"M1"</f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1</v>
      </c>
      <c r="K3444">
        <v>9.891</v>
      </c>
      <c r="L3444" s="2">
        <v>10</v>
      </c>
      <c r="M3444">
        <v>0</v>
      </c>
      <c r="N3444" s="2">
        <v>0</v>
      </c>
      <c r="O3444">
        <v>-1.2</v>
      </c>
      <c r="P3444" t="s">
        <v>100</v>
      </c>
      <c r="Q3444">
        <v>0</v>
      </c>
      <c r="R3444" t="s">
        <v>145</v>
      </c>
      <c r="S3444">
        <v>0</v>
      </c>
    </row>
    <row r="3445" spans="1:19">
      <c r="A3445" t="s">
        <v>35</v>
      </c>
      <c r="B3445" t="s">
        <v>6907</v>
      </c>
      <c r="C3445">
        <f>"HCJ011SROS"</f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1</v>
      </c>
      <c r="K3445">
        <v>0</v>
      </c>
      <c r="L3445" s="2">
        <v>0</v>
      </c>
      <c r="M3445">
        <v>0</v>
      </c>
      <c r="N3445" s="2">
        <v>0</v>
      </c>
      <c r="O3445">
        <v>-1.2</v>
      </c>
      <c r="P3445" t="s">
        <v>100</v>
      </c>
      <c r="Q3445">
        <v>0</v>
      </c>
      <c r="R3445" t="s">
        <v>145</v>
      </c>
      <c r="S3445">
        <v>0</v>
      </c>
    </row>
    <row r="3446" spans="1:19">
      <c r="A3446" t="s">
        <v>35</v>
      </c>
      <c r="B3446" t="s">
        <v>6514</v>
      </c>
      <c r="C3446">
        <f>"XQ22XSRO"</f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1</v>
      </c>
      <c r="K3446">
        <v>2.925</v>
      </c>
      <c r="L3446" s="2">
        <v>3</v>
      </c>
      <c r="M3446">
        <v>0</v>
      </c>
      <c r="N3446" s="2">
        <v>0</v>
      </c>
      <c r="O3446">
        <v>-1.2</v>
      </c>
      <c r="P3446" t="s">
        <v>100</v>
      </c>
      <c r="Q3446">
        <v>0</v>
      </c>
      <c r="R3446" t="s">
        <v>145</v>
      </c>
      <c r="S3446">
        <v>0</v>
      </c>
    </row>
    <row r="3447" spans="1:19">
      <c r="A3447" t="s">
        <v>35</v>
      </c>
      <c r="B3447" t="s">
        <v>4346</v>
      </c>
      <c r="C3447">
        <f>"SA1VE"</f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1</v>
      </c>
      <c r="K3447">
        <v>13.41</v>
      </c>
      <c r="L3447" s="2">
        <v>13</v>
      </c>
      <c r="M3447">
        <v>0</v>
      </c>
      <c r="N3447" s="2">
        <v>0</v>
      </c>
      <c r="O3447">
        <v>-1.2</v>
      </c>
      <c r="P3447" t="s">
        <v>100</v>
      </c>
      <c r="Q3447">
        <v>0</v>
      </c>
      <c r="R3447" t="s">
        <v>145</v>
      </c>
      <c r="S3447">
        <v>0</v>
      </c>
    </row>
    <row r="3448" spans="1:19">
      <c r="A3448" t="s">
        <v>35</v>
      </c>
      <c r="B3448" t="s">
        <v>5881</v>
      </c>
      <c r="C3448">
        <f>"pp168c"</f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1</v>
      </c>
      <c r="K3448">
        <v>46.9</v>
      </c>
      <c r="L3448" s="2">
        <v>47</v>
      </c>
      <c r="M3448">
        <v>0</v>
      </c>
      <c r="N3448" s="2">
        <v>0</v>
      </c>
      <c r="O3448">
        <v>-1.2</v>
      </c>
      <c r="P3448" t="s">
        <v>100</v>
      </c>
      <c r="Q3448">
        <v>0</v>
      </c>
      <c r="R3448" t="s">
        <v>145</v>
      </c>
      <c r="S3448">
        <v>0</v>
      </c>
    </row>
    <row r="3449" spans="1:19">
      <c r="A3449" t="s">
        <v>35</v>
      </c>
      <c r="B3449" t="s">
        <v>3777</v>
      </c>
      <c r="C3449">
        <f>"KC6011AZ"</f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1</v>
      </c>
      <c r="K3449">
        <v>2.205</v>
      </c>
      <c r="L3449" s="2">
        <v>2</v>
      </c>
      <c r="M3449">
        <v>0</v>
      </c>
      <c r="N3449" s="2">
        <v>0</v>
      </c>
      <c r="O3449">
        <v>-1.2</v>
      </c>
      <c r="P3449" t="s">
        <v>100</v>
      </c>
      <c r="Q3449">
        <v>0</v>
      </c>
      <c r="R3449" t="s">
        <v>145</v>
      </c>
      <c r="S3449">
        <v>0</v>
      </c>
    </row>
    <row r="3450" spans="1:19">
      <c r="A3450" t="s">
        <v>35</v>
      </c>
      <c r="B3450" t="s">
        <v>3781</v>
      </c>
      <c r="C3450">
        <f>"1207MNE"</f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1</v>
      </c>
      <c r="K3450">
        <v>1.755</v>
      </c>
      <c r="L3450" s="2">
        <v>2</v>
      </c>
      <c r="M3450">
        <v>0</v>
      </c>
      <c r="N3450" s="2">
        <v>0</v>
      </c>
      <c r="O3450">
        <v>-1.2</v>
      </c>
      <c r="P3450" t="s">
        <v>100</v>
      </c>
      <c r="Q3450">
        <v>0</v>
      </c>
      <c r="R3450" t="s">
        <v>145</v>
      </c>
      <c r="S3450">
        <v>0</v>
      </c>
    </row>
    <row r="3451" spans="1:19">
      <c r="A3451" t="s">
        <v>35</v>
      </c>
      <c r="B3451" t="s">
        <v>3782</v>
      </c>
      <c r="C3451">
        <f>"1207MGR"</f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1</v>
      </c>
      <c r="K3451">
        <v>1.755</v>
      </c>
      <c r="L3451" s="2">
        <v>2</v>
      </c>
      <c r="M3451">
        <v>0</v>
      </c>
      <c r="N3451" s="2">
        <v>0</v>
      </c>
      <c r="O3451">
        <v>-1.2</v>
      </c>
      <c r="P3451" t="s">
        <v>100</v>
      </c>
      <c r="Q3451">
        <v>0</v>
      </c>
      <c r="R3451" t="s">
        <v>145</v>
      </c>
      <c r="S3451">
        <v>0</v>
      </c>
    </row>
    <row r="3452" spans="1:19">
      <c r="A3452" t="s">
        <v>35</v>
      </c>
      <c r="B3452" t="s">
        <v>8978</v>
      </c>
      <c r="C3452">
        <f>"T031"</f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1</v>
      </c>
      <c r="K3452">
        <v>4.05</v>
      </c>
      <c r="L3452" s="2">
        <v>4</v>
      </c>
      <c r="M3452">
        <v>0</v>
      </c>
      <c r="N3452" s="2">
        <v>0</v>
      </c>
      <c r="O3452">
        <v>-1.2</v>
      </c>
      <c r="P3452" t="s">
        <v>100</v>
      </c>
      <c r="Q3452">
        <v>0</v>
      </c>
      <c r="R3452" t="s">
        <v>145</v>
      </c>
      <c r="S3452">
        <v>0</v>
      </c>
    </row>
    <row r="3453" spans="1:19">
      <c r="A3453" t="s">
        <v>35</v>
      </c>
      <c r="B3453" t="s">
        <v>2714</v>
      </c>
      <c r="C3453">
        <f>"X1341XLV"</f>
        <v>0</v>
      </c>
      <c r="D3453">
        <v>0</v>
      </c>
      <c r="E3453">
        <v>1</v>
      </c>
      <c r="F3453">
        <v>0</v>
      </c>
      <c r="G3453">
        <v>0</v>
      </c>
      <c r="H3453">
        <v>1</v>
      </c>
      <c r="I3453">
        <v>0</v>
      </c>
      <c r="J3453">
        <v>1</v>
      </c>
      <c r="K3453">
        <v>4.185</v>
      </c>
      <c r="L3453" s="2">
        <v>4</v>
      </c>
      <c r="M3453">
        <v>0</v>
      </c>
      <c r="N3453" s="2">
        <v>0</v>
      </c>
      <c r="O3453">
        <v>-1.2</v>
      </c>
      <c r="P3453" t="s">
        <v>100</v>
      </c>
      <c r="Q3453">
        <v>0</v>
      </c>
      <c r="R3453" t="s">
        <v>145</v>
      </c>
      <c r="S3453">
        <v>0</v>
      </c>
    </row>
    <row r="3454" spans="1:19">
      <c r="A3454" t="s">
        <v>35</v>
      </c>
      <c r="B3454" t="s">
        <v>5364</v>
      </c>
      <c r="C3454">
        <f>"B7162l"</f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1</v>
      </c>
      <c r="K3454">
        <v>4.914</v>
      </c>
      <c r="L3454" s="2">
        <v>5</v>
      </c>
      <c r="M3454">
        <v>0</v>
      </c>
      <c r="N3454" s="2">
        <v>0</v>
      </c>
      <c r="O3454">
        <v>-1.2</v>
      </c>
      <c r="P3454" t="s">
        <v>100</v>
      </c>
      <c r="Q3454">
        <v>0</v>
      </c>
      <c r="R3454" t="s">
        <v>145</v>
      </c>
      <c r="S3454">
        <v>0</v>
      </c>
    </row>
    <row r="3455" spans="1:19">
      <c r="A3455" t="s">
        <v>35</v>
      </c>
      <c r="B3455" t="s">
        <v>2712</v>
      </c>
      <c r="C3455">
        <f>"SDR221"</f>
        <v>0</v>
      </c>
      <c r="D3455">
        <v>0</v>
      </c>
      <c r="E3455">
        <v>1</v>
      </c>
      <c r="F3455">
        <v>0</v>
      </c>
      <c r="G3455">
        <v>0</v>
      </c>
      <c r="H3455">
        <v>1</v>
      </c>
      <c r="I3455">
        <v>0</v>
      </c>
      <c r="J3455">
        <v>1</v>
      </c>
      <c r="K3455">
        <v>1.98</v>
      </c>
      <c r="L3455" s="2">
        <v>2</v>
      </c>
      <c r="M3455">
        <v>0</v>
      </c>
      <c r="N3455" s="2">
        <v>0</v>
      </c>
      <c r="O3455">
        <v>-1.2</v>
      </c>
      <c r="P3455" t="s">
        <v>100</v>
      </c>
      <c r="Q3455">
        <v>0</v>
      </c>
      <c r="R3455" t="s">
        <v>145</v>
      </c>
      <c r="S3455">
        <v>0</v>
      </c>
    </row>
    <row r="3456" spans="1:19">
      <c r="A3456" t="s">
        <v>35</v>
      </c>
      <c r="B3456" t="s">
        <v>7650</v>
      </c>
      <c r="C3456">
        <f>"PT015MCCEL"</f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1</v>
      </c>
      <c r="K3456">
        <v>2.88</v>
      </c>
      <c r="L3456" s="2">
        <v>3</v>
      </c>
      <c r="M3456">
        <v>0</v>
      </c>
      <c r="N3456" s="2">
        <v>0</v>
      </c>
      <c r="O3456">
        <v>-1.2</v>
      </c>
      <c r="P3456" t="s">
        <v>100</v>
      </c>
      <c r="Q3456">
        <v>0</v>
      </c>
      <c r="R3456" t="s">
        <v>145</v>
      </c>
      <c r="S3456">
        <v>0</v>
      </c>
    </row>
    <row r="3457" spans="1:19">
      <c r="A3457" t="s">
        <v>35</v>
      </c>
      <c r="B3457" t="s">
        <v>8653</v>
      </c>
      <c r="C3457">
        <f>"H3503"</f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1</v>
      </c>
      <c r="K3457">
        <v>7.191</v>
      </c>
      <c r="L3457" s="2">
        <v>7</v>
      </c>
      <c r="M3457">
        <v>0</v>
      </c>
      <c r="N3457" s="2">
        <v>0</v>
      </c>
      <c r="O3457">
        <v>-1.2</v>
      </c>
      <c r="P3457" t="s">
        <v>100</v>
      </c>
      <c r="Q3457">
        <v>0</v>
      </c>
      <c r="R3457" t="s">
        <v>145</v>
      </c>
      <c r="S3457">
        <v>0</v>
      </c>
    </row>
    <row r="3458" spans="1:19">
      <c r="A3458" t="s">
        <v>35</v>
      </c>
      <c r="B3458" t="s">
        <v>8762</v>
      </c>
      <c r="C3458">
        <f>"PF012"</f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1</v>
      </c>
      <c r="K3458">
        <v>23.31</v>
      </c>
      <c r="L3458" s="2">
        <v>23</v>
      </c>
      <c r="M3458">
        <v>0</v>
      </c>
      <c r="N3458" s="2">
        <v>0</v>
      </c>
      <c r="O3458">
        <v>-1.2</v>
      </c>
      <c r="P3458" t="s">
        <v>100</v>
      </c>
      <c r="Q3458">
        <v>0</v>
      </c>
      <c r="R3458" t="s">
        <v>145</v>
      </c>
      <c r="S3458">
        <v>0</v>
      </c>
    </row>
    <row r="3459" spans="1:19">
      <c r="A3459" t="s">
        <v>35</v>
      </c>
      <c r="B3459" t="s">
        <v>8747</v>
      </c>
      <c r="C3459">
        <f>"PF011"</f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1</v>
      </c>
      <c r="K3459">
        <v>13.05</v>
      </c>
      <c r="L3459" s="2">
        <v>13</v>
      </c>
      <c r="M3459">
        <v>0</v>
      </c>
      <c r="N3459" s="2">
        <v>0</v>
      </c>
      <c r="O3459">
        <v>-1.2</v>
      </c>
      <c r="P3459" t="s">
        <v>100</v>
      </c>
      <c r="Q3459">
        <v>0</v>
      </c>
      <c r="R3459" t="s">
        <v>145</v>
      </c>
      <c r="S3459">
        <v>0</v>
      </c>
    </row>
    <row r="3460" spans="1:19">
      <c r="A3460" t="s">
        <v>35</v>
      </c>
      <c r="B3460" t="s">
        <v>10223</v>
      </c>
      <c r="C3460">
        <f>"ER038"</f>
        <v>0</v>
      </c>
      <c r="D3460">
        <v>0</v>
      </c>
      <c r="E3460">
        <v>0</v>
      </c>
      <c r="F3460">
        <v>1</v>
      </c>
      <c r="G3460">
        <v>0</v>
      </c>
      <c r="H3460">
        <v>1</v>
      </c>
      <c r="I3460">
        <v>0</v>
      </c>
      <c r="J3460">
        <v>1</v>
      </c>
      <c r="K3460">
        <v>1.98</v>
      </c>
      <c r="L3460" s="2">
        <v>2</v>
      </c>
      <c r="M3460">
        <v>0</v>
      </c>
      <c r="N3460" s="2">
        <v>0</v>
      </c>
      <c r="O3460">
        <v>-1.2</v>
      </c>
      <c r="P3460" t="s">
        <v>11055</v>
      </c>
      <c r="Q3460">
        <v>-365</v>
      </c>
      <c r="R3460" t="s">
        <v>11188</v>
      </c>
      <c r="S3460">
        <v>0</v>
      </c>
    </row>
    <row r="3461" spans="1:19">
      <c r="A3461" t="s">
        <v>35</v>
      </c>
      <c r="B3461" t="s">
        <v>3780</v>
      </c>
      <c r="C3461">
        <f>"1207MROS"</f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1</v>
      </c>
      <c r="K3461">
        <v>1.755</v>
      </c>
      <c r="L3461" s="2">
        <v>2</v>
      </c>
      <c r="M3461">
        <v>0</v>
      </c>
      <c r="N3461" s="2">
        <v>0</v>
      </c>
      <c r="O3461">
        <v>-1.2</v>
      </c>
      <c r="P3461" t="s">
        <v>100</v>
      </c>
      <c r="Q3461">
        <v>0</v>
      </c>
      <c r="R3461" t="s">
        <v>145</v>
      </c>
      <c r="S3461">
        <v>0</v>
      </c>
    </row>
    <row r="3462" spans="1:19">
      <c r="A3462" t="s">
        <v>35</v>
      </c>
      <c r="B3462" t="s">
        <v>3214</v>
      </c>
      <c r="C3462">
        <f>"YP193MR"</f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1</v>
      </c>
      <c r="K3462">
        <v>3.465</v>
      </c>
      <c r="L3462" s="2">
        <v>3</v>
      </c>
      <c r="M3462">
        <v>0</v>
      </c>
      <c r="N3462" s="2">
        <v>0</v>
      </c>
      <c r="O3462">
        <v>-1.2</v>
      </c>
      <c r="P3462" t="s">
        <v>100</v>
      </c>
      <c r="Q3462">
        <v>0</v>
      </c>
      <c r="R3462" t="s">
        <v>145</v>
      </c>
      <c r="S3462">
        <v>0</v>
      </c>
    </row>
    <row r="3463" spans="1:19">
      <c r="A3463" t="s">
        <v>35</v>
      </c>
      <c r="B3463" t="s">
        <v>3217</v>
      </c>
      <c r="C3463">
        <f>"O09934"</f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1</v>
      </c>
      <c r="K3463">
        <v>0</v>
      </c>
      <c r="L3463" s="2">
        <v>0</v>
      </c>
      <c r="M3463">
        <v>0</v>
      </c>
      <c r="N3463" s="2">
        <v>0</v>
      </c>
      <c r="O3463">
        <v>-1.2</v>
      </c>
      <c r="P3463" t="s">
        <v>100</v>
      </c>
      <c r="Q3463">
        <v>0</v>
      </c>
      <c r="R3463" t="s">
        <v>145</v>
      </c>
      <c r="S3463">
        <v>0</v>
      </c>
    </row>
    <row r="3464" spans="1:19">
      <c r="A3464" t="s">
        <v>35</v>
      </c>
      <c r="B3464" t="s">
        <v>3218</v>
      </c>
      <c r="C3464">
        <f>"YP192SN"</f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1</v>
      </c>
      <c r="K3464">
        <v>3.15</v>
      </c>
      <c r="L3464" s="2">
        <v>3</v>
      </c>
      <c r="M3464">
        <v>0</v>
      </c>
      <c r="N3464" s="2">
        <v>0</v>
      </c>
      <c r="O3464">
        <v>-1.2</v>
      </c>
      <c r="P3464" t="s">
        <v>100</v>
      </c>
      <c r="Q3464">
        <v>0</v>
      </c>
      <c r="R3464" t="s">
        <v>145</v>
      </c>
      <c r="S3464">
        <v>0</v>
      </c>
    </row>
    <row r="3465" spans="1:19">
      <c r="A3465" t="s">
        <v>35</v>
      </c>
      <c r="B3465" t="s">
        <v>3219</v>
      </c>
      <c r="C3465">
        <f>"YP192MN"</f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1</v>
      </c>
      <c r="K3465">
        <v>3.465</v>
      </c>
      <c r="L3465" s="2">
        <v>3</v>
      </c>
      <c r="M3465">
        <v>0</v>
      </c>
      <c r="N3465" s="2">
        <v>0</v>
      </c>
      <c r="O3465">
        <v>-1.2</v>
      </c>
      <c r="P3465" t="s">
        <v>100</v>
      </c>
      <c r="Q3465">
        <v>0</v>
      </c>
      <c r="R3465" t="s">
        <v>145</v>
      </c>
      <c r="S3465">
        <v>0</v>
      </c>
    </row>
    <row r="3466" spans="1:19">
      <c r="A3466" t="s">
        <v>35</v>
      </c>
      <c r="B3466" t="s">
        <v>3205</v>
      </c>
      <c r="C3466">
        <f>"YP192MG"</f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1</v>
      </c>
      <c r="K3466">
        <v>3.465</v>
      </c>
      <c r="L3466" s="2">
        <v>3</v>
      </c>
      <c r="M3466">
        <v>0</v>
      </c>
      <c r="N3466" s="2">
        <v>0</v>
      </c>
      <c r="O3466">
        <v>-1.2</v>
      </c>
      <c r="P3466" t="s">
        <v>100</v>
      </c>
      <c r="Q3466">
        <v>0</v>
      </c>
      <c r="R3466" t="s">
        <v>145</v>
      </c>
      <c r="S3466">
        <v>0</v>
      </c>
    </row>
    <row r="3467" spans="1:19">
      <c r="A3467" t="s">
        <v>35</v>
      </c>
      <c r="B3467" t="s">
        <v>3162</v>
      </c>
      <c r="C3467">
        <f>"YP192SG"</f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1</v>
      </c>
      <c r="K3467">
        <v>3.15</v>
      </c>
      <c r="L3467" s="2">
        <v>3</v>
      </c>
      <c r="M3467">
        <v>0</v>
      </c>
      <c r="N3467" s="2">
        <v>0</v>
      </c>
      <c r="O3467">
        <v>-1.2</v>
      </c>
      <c r="P3467" t="s">
        <v>100</v>
      </c>
      <c r="Q3467">
        <v>0</v>
      </c>
      <c r="R3467" t="s">
        <v>145</v>
      </c>
      <c r="S3467">
        <v>0</v>
      </c>
    </row>
    <row r="3468" spans="1:19">
      <c r="A3468" t="s">
        <v>35</v>
      </c>
      <c r="B3468" t="s">
        <v>2629</v>
      </c>
      <c r="C3468">
        <f>"8377S"</f>
        <v>0</v>
      </c>
      <c r="D3468">
        <v>0</v>
      </c>
      <c r="E3468">
        <v>0</v>
      </c>
      <c r="F3468">
        <v>1</v>
      </c>
      <c r="G3468">
        <v>0</v>
      </c>
      <c r="H3468">
        <v>1</v>
      </c>
      <c r="I3468">
        <v>0</v>
      </c>
      <c r="J3468">
        <v>1</v>
      </c>
      <c r="K3468">
        <v>9.585000000000001</v>
      </c>
      <c r="L3468" s="2">
        <v>10</v>
      </c>
      <c r="M3468">
        <v>0</v>
      </c>
      <c r="N3468" s="2">
        <v>0</v>
      </c>
      <c r="O3468">
        <v>-1.2</v>
      </c>
      <c r="P3468" t="s">
        <v>100</v>
      </c>
      <c r="Q3468">
        <v>0</v>
      </c>
      <c r="R3468" t="s">
        <v>145</v>
      </c>
      <c r="S3468">
        <v>0</v>
      </c>
    </row>
    <row r="3469" spans="1:19">
      <c r="A3469" t="s">
        <v>35</v>
      </c>
      <c r="B3469" t="s">
        <v>7679</v>
      </c>
      <c r="C3469">
        <f>"8377M"</f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1</v>
      </c>
      <c r="K3469">
        <v>12.15</v>
      </c>
      <c r="L3469" s="2">
        <v>12</v>
      </c>
      <c r="M3469">
        <v>0</v>
      </c>
      <c r="N3469" s="2">
        <v>0</v>
      </c>
      <c r="O3469">
        <v>-1.2</v>
      </c>
      <c r="P3469" t="s">
        <v>100</v>
      </c>
      <c r="Q3469">
        <v>0</v>
      </c>
      <c r="R3469" t="s">
        <v>145</v>
      </c>
      <c r="S3469">
        <v>0</v>
      </c>
    </row>
    <row r="3470" spans="1:19">
      <c r="A3470" t="s">
        <v>35</v>
      </c>
      <c r="B3470" t="s">
        <v>5733</v>
      </c>
      <c r="C3470">
        <f>"9001163V"</f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1</v>
      </c>
      <c r="K3470">
        <v>981</v>
      </c>
      <c r="L3470" s="2">
        <v>981</v>
      </c>
      <c r="M3470">
        <v>0</v>
      </c>
      <c r="N3470" s="2">
        <v>0</v>
      </c>
      <c r="O3470">
        <v>-1.2</v>
      </c>
      <c r="P3470" t="s">
        <v>100</v>
      </c>
      <c r="Q3470">
        <v>0</v>
      </c>
      <c r="R3470" t="s">
        <v>145</v>
      </c>
      <c r="S3470">
        <v>0</v>
      </c>
    </row>
    <row r="3471" spans="1:19">
      <c r="A3471" t="s">
        <v>35</v>
      </c>
      <c r="B3471" t="s">
        <v>8327</v>
      </c>
      <c r="C3471">
        <f>"DC3100C"</f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1</v>
      </c>
      <c r="K3471">
        <v>1.26</v>
      </c>
      <c r="L3471" s="2">
        <v>1</v>
      </c>
      <c r="M3471">
        <v>0</v>
      </c>
      <c r="N3471" s="2">
        <v>0</v>
      </c>
      <c r="O3471">
        <v>-1.2</v>
      </c>
      <c r="P3471" t="s">
        <v>100</v>
      </c>
      <c r="Q3471">
        <v>0</v>
      </c>
      <c r="R3471" t="s">
        <v>145</v>
      </c>
      <c r="S3471">
        <v>0</v>
      </c>
    </row>
    <row r="3472" spans="1:19">
      <c r="A3472" t="s">
        <v>35</v>
      </c>
      <c r="B3472" t="s">
        <v>3672</v>
      </c>
      <c r="C3472">
        <f>"PT005MA"</f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1</v>
      </c>
      <c r="K3472">
        <v>3.915</v>
      </c>
      <c r="L3472" s="2">
        <v>4</v>
      </c>
      <c r="M3472">
        <v>0</v>
      </c>
      <c r="N3472" s="2">
        <v>0</v>
      </c>
      <c r="O3472">
        <v>-1.2</v>
      </c>
      <c r="P3472" t="s">
        <v>100</v>
      </c>
      <c r="Q3472">
        <v>0</v>
      </c>
      <c r="R3472" t="s">
        <v>145</v>
      </c>
      <c r="S3472">
        <v>0</v>
      </c>
    </row>
    <row r="3473" spans="1:19">
      <c r="A3473" t="s">
        <v>35</v>
      </c>
      <c r="B3473" t="s">
        <v>5336</v>
      </c>
      <c r="C3473">
        <f>"B1093233XLA"</f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1</v>
      </c>
      <c r="K3473">
        <v>8.505000000000001</v>
      </c>
      <c r="L3473" s="2">
        <v>9</v>
      </c>
      <c r="M3473">
        <v>0</v>
      </c>
      <c r="N3473" s="2">
        <v>0</v>
      </c>
      <c r="O3473">
        <v>-1.2</v>
      </c>
      <c r="P3473" t="s">
        <v>100</v>
      </c>
      <c r="Q3473">
        <v>0</v>
      </c>
      <c r="R3473" t="s">
        <v>145</v>
      </c>
      <c r="S3473">
        <v>0</v>
      </c>
    </row>
    <row r="3474" spans="1:19">
      <c r="A3474" t="s">
        <v>35</v>
      </c>
      <c r="B3474" t="s">
        <v>3709</v>
      </c>
      <c r="C3474">
        <f>"919ROS"</f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1</v>
      </c>
      <c r="K3474">
        <v>8.550000000000001</v>
      </c>
      <c r="L3474" s="2">
        <v>9</v>
      </c>
      <c r="M3474">
        <v>0</v>
      </c>
      <c r="N3474" s="2">
        <v>0</v>
      </c>
      <c r="O3474">
        <v>-1.2</v>
      </c>
      <c r="P3474" t="s">
        <v>100</v>
      </c>
      <c r="Q3474">
        <v>0</v>
      </c>
      <c r="R3474" t="s">
        <v>145</v>
      </c>
      <c r="S3474">
        <v>0</v>
      </c>
    </row>
    <row r="3475" spans="1:19">
      <c r="A3475" t="s">
        <v>35</v>
      </c>
      <c r="B3475" t="s">
        <v>3713</v>
      </c>
      <c r="C3475">
        <f>"PT002"</f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1</v>
      </c>
      <c r="K3475">
        <v>5.391</v>
      </c>
      <c r="L3475" s="2">
        <v>5</v>
      </c>
      <c r="M3475">
        <v>0</v>
      </c>
      <c r="N3475" s="2">
        <v>0</v>
      </c>
      <c r="O3475">
        <v>-1.2</v>
      </c>
      <c r="P3475" t="s">
        <v>100</v>
      </c>
      <c r="Q3475">
        <v>0</v>
      </c>
      <c r="R3475" t="s">
        <v>145</v>
      </c>
      <c r="S3475">
        <v>0</v>
      </c>
    </row>
    <row r="3476" spans="1:19">
      <c r="A3476" t="s">
        <v>35</v>
      </c>
      <c r="B3476" t="s">
        <v>4356</v>
      </c>
      <c r="C3476">
        <f>"PT004B"</f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1</v>
      </c>
      <c r="K3476">
        <v>5.391</v>
      </c>
      <c r="L3476" s="2">
        <v>5</v>
      </c>
      <c r="M3476">
        <v>0</v>
      </c>
      <c r="N3476" s="2">
        <v>0</v>
      </c>
      <c r="O3476">
        <v>-1.2</v>
      </c>
      <c r="P3476" t="s">
        <v>100</v>
      </c>
      <c r="Q3476">
        <v>0</v>
      </c>
      <c r="R3476" t="s">
        <v>145</v>
      </c>
      <c r="S3476">
        <v>0</v>
      </c>
    </row>
    <row r="3477" spans="1:19">
      <c r="A3477" t="s">
        <v>35</v>
      </c>
      <c r="B3477" t="s">
        <v>4359</v>
      </c>
      <c r="C3477">
        <f>"PT003"</f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1</v>
      </c>
      <c r="K3477">
        <v>5.391</v>
      </c>
      <c r="L3477" s="2">
        <v>5</v>
      </c>
      <c r="M3477">
        <v>0</v>
      </c>
      <c r="N3477" s="2">
        <v>0</v>
      </c>
      <c r="O3477">
        <v>-1.2</v>
      </c>
      <c r="P3477" t="s">
        <v>100</v>
      </c>
      <c r="Q3477">
        <v>0</v>
      </c>
      <c r="R3477" t="s">
        <v>145</v>
      </c>
      <c r="S3477">
        <v>0</v>
      </c>
    </row>
    <row r="3478" spans="1:19">
      <c r="A3478" t="s">
        <v>35</v>
      </c>
      <c r="B3478" t="s">
        <v>3201</v>
      </c>
      <c r="C3478">
        <f>"B115044MG"</f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1</v>
      </c>
      <c r="K3478">
        <v>3.375</v>
      </c>
      <c r="L3478" s="2">
        <v>3</v>
      </c>
      <c r="M3478">
        <v>0</v>
      </c>
      <c r="N3478" s="2">
        <v>0</v>
      </c>
      <c r="O3478">
        <v>-1.2</v>
      </c>
      <c r="P3478" t="s">
        <v>100</v>
      </c>
      <c r="Q3478">
        <v>0</v>
      </c>
      <c r="R3478" t="s">
        <v>145</v>
      </c>
      <c r="S3478">
        <v>0</v>
      </c>
    </row>
    <row r="3479" spans="1:19">
      <c r="A3479" t="s">
        <v>35</v>
      </c>
      <c r="B3479" t="s">
        <v>3202</v>
      </c>
      <c r="C3479">
        <f>"B115044MB"</f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1</v>
      </c>
      <c r="K3479">
        <v>3.375</v>
      </c>
      <c r="L3479" s="2">
        <v>3</v>
      </c>
      <c r="M3479">
        <v>0</v>
      </c>
      <c r="N3479" s="2">
        <v>0</v>
      </c>
      <c r="O3479">
        <v>-1.2</v>
      </c>
      <c r="P3479" t="s">
        <v>100</v>
      </c>
      <c r="Q3479">
        <v>0</v>
      </c>
      <c r="R3479" t="s">
        <v>145</v>
      </c>
      <c r="S3479">
        <v>0</v>
      </c>
    </row>
    <row r="3480" spans="1:19">
      <c r="A3480" t="s">
        <v>35</v>
      </c>
      <c r="B3480" t="s">
        <v>3220</v>
      </c>
      <c r="C3480">
        <f>"B1150444XLG"</f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1</v>
      </c>
      <c r="K3480">
        <v>7.02</v>
      </c>
      <c r="L3480" s="2">
        <v>7</v>
      </c>
      <c r="M3480">
        <v>0</v>
      </c>
      <c r="N3480" s="2">
        <v>0</v>
      </c>
      <c r="O3480">
        <v>-1.2</v>
      </c>
      <c r="P3480" t="s">
        <v>100</v>
      </c>
      <c r="Q3480">
        <v>0</v>
      </c>
      <c r="R3480" t="s">
        <v>145</v>
      </c>
      <c r="S3480">
        <v>0</v>
      </c>
    </row>
    <row r="3481" spans="1:19">
      <c r="A3481" t="s">
        <v>35</v>
      </c>
      <c r="B3481" t="s">
        <v>3206</v>
      </c>
      <c r="C3481">
        <f>"B1150444XLB"</f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1</v>
      </c>
      <c r="K3481">
        <v>7.02</v>
      </c>
      <c r="L3481" s="2">
        <v>7</v>
      </c>
      <c r="M3481">
        <v>0</v>
      </c>
      <c r="N3481" s="2">
        <v>0</v>
      </c>
      <c r="O3481">
        <v>-1.2</v>
      </c>
      <c r="P3481" t="s">
        <v>100</v>
      </c>
      <c r="Q3481">
        <v>0</v>
      </c>
      <c r="R3481" t="s">
        <v>145</v>
      </c>
      <c r="S3481">
        <v>0</v>
      </c>
    </row>
    <row r="3482" spans="1:19">
      <c r="A3482" t="s">
        <v>35</v>
      </c>
      <c r="B3482" t="s">
        <v>3208</v>
      </c>
      <c r="C3482">
        <f>"B1150443XLB"</f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1</v>
      </c>
      <c r="K3482">
        <v>6.3</v>
      </c>
      <c r="L3482" s="2">
        <v>6</v>
      </c>
      <c r="M3482">
        <v>0</v>
      </c>
      <c r="N3482" s="2">
        <v>0</v>
      </c>
      <c r="O3482">
        <v>-1.2</v>
      </c>
      <c r="P3482" t="s">
        <v>100</v>
      </c>
      <c r="Q3482">
        <v>0</v>
      </c>
      <c r="R3482" t="s">
        <v>145</v>
      </c>
      <c r="S3482">
        <v>0</v>
      </c>
    </row>
    <row r="3483" spans="1:19">
      <c r="A3483" t="s">
        <v>35</v>
      </c>
      <c r="B3483" t="s">
        <v>5699</v>
      </c>
      <c r="C3483">
        <f>"YT012R"</f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1</v>
      </c>
      <c r="K3483">
        <v>11.691</v>
      </c>
      <c r="L3483" s="2">
        <v>12</v>
      </c>
      <c r="M3483">
        <v>0</v>
      </c>
      <c r="N3483" s="2">
        <v>0</v>
      </c>
      <c r="O3483">
        <v>-1.2</v>
      </c>
      <c r="P3483" t="s">
        <v>100</v>
      </c>
      <c r="Q3483">
        <v>0</v>
      </c>
      <c r="R3483" t="s">
        <v>145</v>
      </c>
      <c r="S3483">
        <v>0</v>
      </c>
    </row>
    <row r="3484" spans="1:19">
      <c r="A3484" t="s">
        <v>35</v>
      </c>
      <c r="B3484" t="s">
        <v>5701</v>
      </c>
      <c r="C3484">
        <f>"WXD0005"</f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1</v>
      </c>
      <c r="K3484">
        <v>8.91</v>
      </c>
      <c r="L3484" s="2">
        <v>9</v>
      </c>
      <c r="M3484">
        <v>0</v>
      </c>
      <c r="N3484" s="2">
        <v>0</v>
      </c>
      <c r="O3484">
        <v>-1.2</v>
      </c>
      <c r="P3484" t="s">
        <v>100</v>
      </c>
      <c r="Q3484">
        <v>0</v>
      </c>
      <c r="R3484" t="s">
        <v>145</v>
      </c>
      <c r="S3484">
        <v>0</v>
      </c>
    </row>
    <row r="3485" spans="1:19">
      <c r="A3485" t="s">
        <v>35</v>
      </c>
      <c r="B3485" t="s">
        <v>3706</v>
      </c>
      <c r="C3485">
        <f>"SA1NA"</f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1</v>
      </c>
      <c r="K3485">
        <v>13.41</v>
      </c>
      <c r="L3485" s="2">
        <v>13</v>
      </c>
      <c r="M3485">
        <v>0</v>
      </c>
      <c r="N3485" s="2">
        <v>0</v>
      </c>
      <c r="O3485">
        <v>-1.2</v>
      </c>
      <c r="P3485" t="s">
        <v>100</v>
      </c>
      <c r="Q3485">
        <v>0</v>
      </c>
      <c r="R3485" t="s">
        <v>145</v>
      </c>
      <c r="S3485">
        <v>0</v>
      </c>
    </row>
    <row r="3486" spans="1:19">
      <c r="A3486" t="s">
        <v>35</v>
      </c>
      <c r="B3486" t="s">
        <v>5337</v>
      </c>
      <c r="C3486">
        <f>"B1093232XLR"</f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1</v>
      </c>
      <c r="K3486">
        <v>7.74</v>
      </c>
      <c r="L3486" s="2">
        <v>8</v>
      </c>
      <c r="M3486">
        <v>0</v>
      </c>
      <c r="N3486" s="2">
        <v>0</v>
      </c>
      <c r="O3486">
        <v>-1.2</v>
      </c>
      <c r="P3486" t="s">
        <v>100</v>
      </c>
      <c r="Q3486">
        <v>0</v>
      </c>
      <c r="R3486" t="s">
        <v>145</v>
      </c>
      <c r="S3486">
        <v>0</v>
      </c>
    </row>
    <row r="3487" spans="1:19">
      <c r="A3487" t="s">
        <v>35</v>
      </c>
      <c r="B3487" t="s">
        <v>5338</v>
      </c>
      <c r="C3487">
        <f>"B1093232XLC"</f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1</v>
      </c>
      <c r="K3487">
        <v>7.74</v>
      </c>
      <c r="L3487" s="2">
        <v>8</v>
      </c>
      <c r="M3487">
        <v>0</v>
      </c>
      <c r="N3487" s="2">
        <v>0</v>
      </c>
      <c r="O3487">
        <v>-1.2</v>
      </c>
      <c r="P3487" t="s">
        <v>100</v>
      </c>
      <c r="Q3487">
        <v>0</v>
      </c>
      <c r="R3487" t="s">
        <v>145</v>
      </c>
      <c r="S3487">
        <v>0</v>
      </c>
    </row>
    <row r="3488" spans="1:19">
      <c r="A3488" t="s">
        <v>35</v>
      </c>
      <c r="B3488" t="s">
        <v>7867</v>
      </c>
      <c r="C3488">
        <f>"COO2841M"</f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1</v>
      </c>
      <c r="K3488">
        <v>17.91</v>
      </c>
      <c r="L3488" s="2">
        <v>18</v>
      </c>
      <c r="M3488">
        <v>0</v>
      </c>
      <c r="N3488" s="2">
        <v>0</v>
      </c>
      <c r="O3488">
        <v>-1.2</v>
      </c>
      <c r="P3488" t="s">
        <v>100</v>
      </c>
      <c r="Q3488">
        <v>0</v>
      </c>
      <c r="R3488" t="s">
        <v>145</v>
      </c>
      <c r="S3488">
        <v>0</v>
      </c>
    </row>
    <row r="3489" spans="1:19">
      <c r="A3489" t="s">
        <v>35</v>
      </c>
      <c r="B3489" t="s">
        <v>5808</v>
      </c>
      <c r="C3489">
        <f>"B115044XSG"</f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1</v>
      </c>
      <c r="K3489">
        <v>2.925</v>
      </c>
      <c r="L3489" s="2">
        <v>3</v>
      </c>
      <c r="M3489">
        <v>0</v>
      </c>
      <c r="N3489" s="2">
        <v>0</v>
      </c>
      <c r="O3489">
        <v>-1.2</v>
      </c>
      <c r="P3489" t="s">
        <v>100</v>
      </c>
      <c r="Q3489">
        <v>0</v>
      </c>
      <c r="R3489" t="s">
        <v>145</v>
      </c>
      <c r="S3489">
        <v>0</v>
      </c>
    </row>
    <row r="3490" spans="1:19">
      <c r="A3490" t="s">
        <v>35</v>
      </c>
      <c r="B3490" t="s">
        <v>8301</v>
      </c>
      <c r="C3490">
        <f>"YSQ01MO"</f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1</v>
      </c>
      <c r="K3490">
        <v>17.91</v>
      </c>
      <c r="L3490" s="2">
        <v>18</v>
      </c>
      <c r="M3490">
        <v>0</v>
      </c>
      <c r="N3490" s="2">
        <v>0</v>
      </c>
      <c r="O3490">
        <v>-1.2</v>
      </c>
      <c r="P3490" t="s">
        <v>100</v>
      </c>
      <c r="Q3490">
        <v>0</v>
      </c>
      <c r="R3490" t="s">
        <v>145</v>
      </c>
      <c r="S3490">
        <v>0</v>
      </c>
    </row>
    <row r="3491" spans="1:19">
      <c r="A3491" t="s">
        <v>35</v>
      </c>
      <c r="B3491" t="s">
        <v>9329</v>
      </c>
      <c r="C3491">
        <f>"TR072"</f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1</v>
      </c>
      <c r="K3491">
        <v>1.611</v>
      </c>
      <c r="L3491" s="2">
        <v>2</v>
      </c>
      <c r="M3491">
        <v>0</v>
      </c>
      <c r="N3491" s="2">
        <v>0</v>
      </c>
      <c r="O3491">
        <v>-1.2</v>
      </c>
      <c r="P3491" t="s">
        <v>100</v>
      </c>
      <c r="Q3491">
        <v>0</v>
      </c>
      <c r="R3491" t="s">
        <v>145</v>
      </c>
      <c r="S3491">
        <v>0</v>
      </c>
    </row>
    <row r="3492" spans="1:19">
      <c r="A3492" t="s">
        <v>35</v>
      </c>
      <c r="B3492" t="s">
        <v>9615</v>
      </c>
      <c r="C3492">
        <f>"PCE085"</f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1</v>
      </c>
      <c r="K3492">
        <v>5.974</v>
      </c>
      <c r="L3492" s="2">
        <v>6</v>
      </c>
      <c r="M3492">
        <v>0</v>
      </c>
      <c r="N3492" s="2">
        <v>0</v>
      </c>
      <c r="O3492">
        <v>-1.2</v>
      </c>
      <c r="P3492" t="s">
        <v>100</v>
      </c>
      <c r="Q3492">
        <v>0</v>
      </c>
      <c r="R3492" t="s">
        <v>145</v>
      </c>
      <c r="S3492">
        <v>0</v>
      </c>
    </row>
    <row r="3493" spans="1:19">
      <c r="A3493" t="s">
        <v>35</v>
      </c>
      <c r="B3493" t="s">
        <v>9401</v>
      </c>
      <c r="C3493">
        <f>"RD016N"</f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1</v>
      </c>
      <c r="K3493">
        <v>14.391</v>
      </c>
      <c r="L3493" s="2">
        <v>14</v>
      </c>
      <c r="M3493">
        <v>0</v>
      </c>
      <c r="N3493" s="2">
        <v>0</v>
      </c>
      <c r="O3493">
        <v>-1.2</v>
      </c>
      <c r="P3493" t="s">
        <v>100</v>
      </c>
      <c r="Q3493">
        <v>0</v>
      </c>
      <c r="R3493" t="s">
        <v>145</v>
      </c>
      <c r="S3493">
        <v>0</v>
      </c>
    </row>
    <row r="3494" spans="1:19">
      <c r="A3494" t="s">
        <v>35</v>
      </c>
      <c r="B3494" t="s">
        <v>9408</v>
      </c>
      <c r="C3494">
        <f>"MF897"</f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1</v>
      </c>
      <c r="K3494">
        <v>13.05</v>
      </c>
      <c r="L3494" s="2">
        <v>13</v>
      </c>
      <c r="M3494">
        <v>0</v>
      </c>
      <c r="N3494" s="2">
        <v>0</v>
      </c>
      <c r="O3494">
        <v>-1.2</v>
      </c>
      <c r="P3494" t="s">
        <v>100</v>
      </c>
      <c r="Q3494">
        <v>0</v>
      </c>
      <c r="R3494" t="s">
        <v>145</v>
      </c>
      <c r="S3494">
        <v>0</v>
      </c>
    </row>
    <row r="3495" spans="1:19">
      <c r="A3495" t="s">
        <v>35</v>
      </c>
      <c r="B3495" t="s">
        <v>5155</v>
      </c>
      <c r="C3495">
        <f>"LV09092TYS"</f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1</v>
      </c>
      <c r="K3495">
        <v>3.591</v>
      </c>
      <c r="L3495" s="2">
        <v>4</v>
      </c>
      <c r="M3495">
        <v>0</v>
      </c>
      <c r="N3495" s="2">
        <v>0</v>
      </c>
      <c r="O3495">
        <v>-1.2</v>
      </c>
      <c r="P3495" t="s">
        <v>100</v>
      </c>
      <c r="Q3495">
        <v>0</v>
      </c>
      <c r="R3495" t="s">
        <v>145</v>
      </c>
      <c r="S3495">
        <v>0</v>
      </c>
    </row>
    <row r="3496" spans="1:19">
      <c r="A3496" t="s">
        <v>35</v>
      </c>
      <c r="B3496" t="s">
        <v>5156</v>
      </c>
      <c r="C3496">
        <f>"LV09092TYM"</f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1</v>
      </c>
      <c r="K3496">
        <v>3.825</v>
      </c>
      <c r="L3496" s="2">
        <v>4</v>
      </c>
      <c r="M3496">
        <v>0</v>
      </c>
      <c r="N3496" s="2">
        <v>0</v>
      </c>
      <c r="O3496">
        <v>-1.2</v>
      </c>
      <c r="P3496" t="s">
        <v>100</v>
      </c>
      <c r="Q3496">
        <v>0</v>
      </c>
      <c r="R3496" t="s">
        <v>145</v>
      </c>
      <c r="S3496">
        <v>0</v>
      </c>
    </row>
    <row r="3497" spans="1:19">
      <c r="A3497" t="s">
        <v>35</v>
      </c>
      <c r="B3497" t="s">
        <v>5417</v>
      </c>
      <c r="C3497">
        <f>"B109323XSA"</f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1</v>
      </c>
      <c r="K3497">
        <v>5.31</v>
      </c>
      <c r="L3497" s="2">
        <v>5</v>
      </c>
      <c r="M3497">
        <v>0</v>
      </c>
      <c r="N3497" s="2">
        <v>0</v>
      </c>
      <c r="O3497">
        <v>-1.2</v>
      </c>
      <c r="P3497" t="s">
        <v>100</v>
      </c>
      <c r="Q3497">
        <v>0</v>
      </c>
      <c r="R3497" t="s">
        <v>145</v>
      </c>
      <c r="S3497">
        <v>0</v>
      </c>
    </row>
    <row r="3498" spans="1:19">
      <c r="A3498" t="s">
        <v>35</v>
      </c>
      <c r="B3498" t="s">
        <v>8367</v>
      </c>
      <c r="C3498">
        <f>"ATLAS20V"</f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1</v>
      </c>
      <c r="K3498">
        <v>9.891</v>
      </c>
      <c r="L3498" s="2">
        <v>10</v>
      </c>
      <c r="M3498">
        <v>0</v>
      </c>
      <c r="N3498" s="2">
        <v>0</v>
      </c>
      <c r="O3498">
        <v>-1.2</v>
      </c>
      <c r="P3498" t="s">
        <v>100</v>
      </c>
      <c r="Q3498">
        <v>0</v>
      </c>
      <c r="R3498" t="s">
        <v>145</v>
      </c>
      <c r="S3498">
        <v>0</v>
      </c>
    </row>
    <row r="3499" spans="1:19">
      <c r="A3499" t="s">
        <v>35</v>
      </c>
      <c r="B3499" t="s">
        <v>8355</v>
      </c>
      <c r="C3499">
        <f>"ATLAS20CE"</f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1</v>
      </c>
      <c r="K3499">
        <v>15.75</v>
      </c>
      <c r="L3499" s="2">
        <v>16</v>
      </c>
      <c r="M3499">
        <v>0</v>
      </c>
      <c r="N3499" s="2">
        <v>0</v>
      </c>
      <c r="O3499">
        <v>-1.2</v>
      </c>
      <c r="P3499" t="s">
        <v>100</v>
      </c>
      <c r="Q3499">
        <v>0</v>
      </c>
      <c r="R3499" t="s">
        <v>145</v>
      </c>
      <c r="S3499">
        <v>0</v>
      </c>
    </row>
    <row r="3500" spans="1:19">
      <c r="A3500" t="s">
        <v>35</v>
      </c>
      <c r="B3500" t="s">
        <v>8358</v>
      </c>
      <c r="C3500">
        <f>"ATLAS10CE"</f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1</v>
      </c>
      <c r="K3500">
        <v>11.61</v>
      </c>
      <c r="L3500" s="2">
        <v>12</v>
      </c>
      <c r="M3500">
        <v>0</v>
      </c>
      <c r="N3500" s="2">
        <v>0</v>
      </c>
      <c r="O3500">
        <v>-1.2</v>
      </c>
      <c r="P3500" t="s">
        <v>100</v>
      </c>
      <c r="Q3500">
        <v>0</v>
      </c>
      <c r="R3500" t="s">
        <v>145</v>
      </c>
      <c r="S3500">
        <v>0</v>
      </c>
    </row>
    <row r="3501" spans="1:19">
      <c r="A3501" t="s">
        <v>35</v>
      </c>
      <c r="B3501" t="s">
        <v>2541</v>
      </c>
      <c r="C3501">
        <f>"7011242"</f>
        <v>0</v>
      </c>
      <c r="D3501">
        <v>0</v>
      </c>
      <c r="E3501">
        <v>0</v>
      </c>
      <c r="F3501">
        <v>1</v>
      </c>
      <c r="G3501">
        <v>0</v>
      </c>
      <c r="H3501">
        <v>1</v>
      </c>
      <c r="I3501">
        <v>0</v>
      </c>
      <c r="J3501">
        <v>1</v>
      </c>
      <c r="K3501">
        <v>9.5</v>
      </c>
      <c r="L3501" s="2">
        <v>10</v>
      </c>
      <c r="M3501">
        <v>0</v>
      </c>
      <c r="N3501" s="2">
        <v>0</v>
      </c>
      <c r="O3501">
        <v>-1.2</v>
      </c>
      <c r="P3501" t="s">
        <v>100</v>
      </c>
      <c r="Q3501">
        <v>0</v>
      </c>
      <c r="R3501" t="s">
        <v>145</v>
      </c>
      <c r="S3501">
        <v>0</v>
      </c>
    </row>
    <row r="3502" spans="1:19">
      <c r="A3502" t="s">
        <v>35</v>
      </c>
      <c r="B3502" t="s">
        <v>2207</v>
      </c>
      <c r="C3502">
        <f>"FURLL"</f>
        <v>0</v>
      </c>
      <c r="D3502">
        <v>2</v>
      </c>
      <c r="E3502">
        <v>0</v>
      </c>
      <c r="F3502">
        <v>0</v>
      </c>
      <c r="G3502">
        <v>0</v>
      </c>
      <c r="H3502">
        <v>2</v>
      </c>
      <c r="I3502">
        <v>0</v>
      </c>
      <c r="J3502">
        <v>1</v>
      </c>
      <c r="K3502">
        <v>3.825</v>
      </c>
      <c r="L3502" s="2">
        <v>4</v>
      </c>
      <c r="M3502">
        <v>0</v>
      </c>
      <c r="N3502" s="2">
        <v>0</v>
      </c>
      <c r="O3502">
        <v>-1.2</v>
      </c>
      <c r="P3502" t="s">
        <v>100</v>
      </c>
      <c r="Q3502">
        <v>0</v>
      </c>
      <c r="R3502" t="s">
        <v>145</v>
      </c>
      <c r="S3502">
        <v>0</v>
      </c>
    </row>
    <row r="3503" spans="1:19">
      <c r="A3503" t="s">
        <v>35</v>
      </c>
      <c r="B3503" t="s">
        <v>7062</v>
      </c>
      <c r="C3503">
        <f>"LS152VE"</f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1</v>
      </c>
      <c r="K3503">
        <v>3.591</v>
      </c>
      <c r="L3503" s="2">
        <v>4</v>
      </c>
      <c r="M3503">
        <v>0</v>
      </c>
      <c r="N3503" s="2">
        <v>0</v>
      </c>
      <c r="O3503">
        <v>-1.2</v>
      </c>
      <c r="P3503" t="s">
        <v>100</v>
      </c>
      <c r="Q3503">
        <v>0</v>
      </c>
      <c r="R3503" t="s">
        <v>145</v>
      </c>
      <c r="S3503">
        <v>0</v>
      </c>
    </row>
    <row r="3504" spans="1:19">
      <c r="A3504" t="s">
        <v>35</v>
      </c>
      <c r="B3504" t="s">
        <v>7047</v>
      </c>
      <c r="C3504">
        <f>"LS152GR"</f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1</v>
      </c>
      <c r="K3504">
        <v>3.591</v>
      </c>
      <c r="L3504" s="2">
        <v>4</v>
      </c>
      <c r="M3504">
        <v>0</v>
      </c>
      <c r="N3504" s="2">
        <v>0</v>
      </c>
      <c r="O3504">
        <v>-1.2</v>
      </c>
      <c r="P3504" t="s">
        <v>100</v>
      </c>
      <c r="Q3504">
        <v>0</v>
      </c>
      <c r="R3504" t="s">
        <v>145</v>
      </c>
      <c r="S3504">
        <v>0</v>
      </c>
    </row>
    <row r="3505" spans="1:19">
      <c r="A3505" t="s">
        <v>35</v>
      </c>
      <c r="B3505" t="s">
        <v>2670</v>
      </c>
      <c r="C3505">
        <f>"LS152CEL"</f>
        <v>0</v>
      </c>
      <c r="D3505">
        <v>0</v>
      </c>
      <c r="E3505">
        <v>0</v>
      </c>
      <c r="F3505">
        <v>1</v>
      </c>
      <c r="G3505">
        <v>0</v>
      </c>
      <c r="H3505">
        <v>1</v>
      </c>
      <c r="I3505">
        <v>0</v>
      </c>
      <c r="J3505">
        <v>1</v>
      </c>
      <c r="K3505">
        <v>3.591</v>
      </c>
      <c r="L3505" s="2">
        <v>4</v>
      </c>
      <c r="M3505">
        <v>0</v>
      </c>
      <c r="N3505" s="2">
        <v>0</v>
      </c>
      <c r="O3505">
        <v>-1.2</v>
      </c>
      <c r="P3505" t="s">
        <v>100</v>
      </c>
      <c r="Q3505">
        <v>0</v>
      </c>
      <c r="R3505" t="s">
        <v>145</v>
      </c>
      <c r="S3505">
        <v>0</v>
      </c>
    </row>
    <row r="3506" spans="1:19">
      <c r="A3506" t="s">
        <v>35</v>
      </c>
      <c r="B3506" t="s">
        <v>8283</v>
      </c>
      <c r="C3506">
        <f>"RTW04NA"</f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1</v>
      </c>
      <c r="K3506">
        <v>3.51</v>
      </c>
      <c r="L3506" s="2">
        <v>4</v>
      </c>
      <c r="M3506">
        <v>0</v>
      </c>
      <c r="N3506" s="2">
        <v>0</v>
      </c>
      <c r="O3506">
        <v>-1.2</v>
      </c>
      <c r="P3506" t="s">
        <v>100</v>
      </c>
      <c r="Q3506">
        <v>0</v>
      </c>
      <c r="R3506" t="s">
        <v>145</v>
      </c>
      <c r="S3506">
        <v>0</v>
      </c>
    </row>
    <row r="3507" spans="1:19">
      <c r="A3507" t="s">
        <v>35</v>
      </c>
      <c r="B3507" t="s">
        <v>5925</v>
      </c>
      <c r="C3507">
        <f>"JN002"</f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1</v>
      </c>
      <c r="K3507">
        <v>2.7</v>
      </c>
      <c r="L3507" s="2">
        <v>3</v>
      </c>
      <c r="M3507">
        <v>0</v>
      </c>
      <c r="N3507" s="2">
        <v>0</v>
      </c>
      <c r="O3507">
        <v>-1.2</v>
      </c>
      <c r="P3507" t="s">
        <v>100</v>
      </c>
      <c r="Q3507">
        <v>0</v>
      </c>
      <c r="R3507" t="s">
        <v>145</v>
      </c>
      <c r="S3507">
        <v>0</v>
      </c>
    </row>
    <row r="3508" spans="1:19">
      <c r="A3508" t="s">
        <v>35</v>
      </c>
      <c r="B3508" t="s">
        <v>5415</v>
      </c>
      <c r="C3508">
        <f>"B109323XSR"</f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1</v>
      </c>
      <c r="K3508">
        <v>5.31</v>
      </c>
      <c r="L3508" s="2">
        <v>5</v>
      </c>
      <c r="M3508">
        <v>0</v>
      </c>
      <c r="N3508" s="2">
        <v>0</v>
      </c>
      <c r="O3508">
        <v>-1.2</v>
      </c>
      <c r="P3508" t="s">
        <v>100</v>
      </c>
      <c r="Q3508">
        <v>0</v>
      </c>
      <c r="R3508" t="s">
        <v>145</v>
      </c>
      <c r="S3508">
        <v>0</v>
      </c>
    </row>
    <row r="3509" spans="1:19">
      <c r="A3509" t="s">
        <v>35</v>
      </c>
      <c r="B3509" t="s">
        <v>5416</v>
      </c>
      <c r="C3509">
        <f>"B109323XSC"</f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1</v>
      </c>
      <c r="K3509">
        <v>5.31</v>
      </c>
      <c r="L3509" s="2">
        <v>5</v>
      </c>
      <c r="M3509">
        <v>0</v>
      </c>
      <c r="N3509" s="2">
        <v>0</v>
      </c>
      <c r="O3509">
        <v>-1.2</v>
      </c>
      <c r="P3509" t="s">
        <v>100</v>
      </c>
      <c r="Q3509">
        <v>0</v>
      </c>
      <c r="R3509" t="s">
        <v>145</v>
      </c>
      <c r="S3509">
        <v>0</v>
      </c>
    </row>
    <row r="3510" spans="1:19">
      <c r="A3510" t="s">
        <v>35</v>
      </c>
      <c r="B3510" t="s">
        <v>5157</v>
      </c>
      <c r="C3510">
        <f>"LV09092TYL"</f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1</v>
      </c>
      <c r="K3510">
        <v>4.05</v>
      </c>
      <c r="L3510" s="2">
        <v>4</v>
      </c>
      <c r="M3510">
        <v>0</v>
      </c>
      <c r="N3510" s="2">
        <v>0</v>
      </c>
      <c r="O3510">
        <v>-1.2</v>
      </c>
      <c r="P3510" t="s">
        <v>100</v>
      </c>
      <c r="Q3510">
        <v>0</v>
      </c>
      <c r="R3510" t="s">
        <v>145</v>
      </c>
      <c r="S3510">
        <v>0</v>
      </c>
    </row>
    <row r="3511" spans="1:19">
      <c r="A3511" t="s">
        <v>35</v>
      </c>
      <c r="B3511" t="s">
        <v>9387</v>
      </c>
      <c r="C3511">
        <f>"PT015XSA"</f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1</v>
      </c>
      <c r="K3511">
        <v>2.385</v>
      </c>
      <c r="L3511" s="2">
        <v>2</v>
      </c>
      <c r="M3511">
        <v>0</v>
      </c>
      <c r="N3511" s="2">
        <v>0</v>
      </c>
      <c r="O3511">
        <v>-1.2</v>
      </c>
      <c r="P3511" t="s">
        <v>100</v>
      </c>
      <c r="Q3511">
        <v>0</v>
      </c>
      <c r="R3511" t="s">
        <v>145</v>
      </c>
      <c r="S3511">
        <v>0</v>
      </c>
    </row>
    <row r="3512" spans="1:19">
      <c r="A3512" t="s">
        <v>35</v>
      </c>
      <c r="B3512" t="s">
        <v>3140</v>
      </c>
      <c r="C3512">
        <f>"BO3053ZAM"</f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1</v>
      </c>
      <c r="K3512">
        <v>0</v>
      </c>
      <c r="L3512" s="2">
        <v>0</v>
      </c>
      <c r="M3512">
        <v>0</v>
      </c>
      <c r="N3512" s="2">
        <v>0</v>
      </c>
      <c r="O3512">
        <v>-1.2</v>
      </c>
      <c r="P3512" t="s">
        <v>100</v>
      </c>
      <c r="Q3512">
        <v>0</v>
      </c>
      <c r="R3512" t="s">
        <v>145</v>
      </c>
      <c r="S3512">
        <v>0</v>
      </c>
    </row>
    <row r="3513" spans="1:19">
      <c r="A3513" t="s">
        <v>35</v>
      </c>
      <c r="B3513" t="s">
        <v>3141</v>
      </c>
      <c r="C3513">
        <f>"BO3048ZV"</f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1</v>
      </c>
      <c r="K3513">
        <v>1.755</v>
      </c>
      <c r="L3513" s="2">
        <v>2</v>
      </c>
      <c r="M3513">
        <v>0</v>
      </c>
      <c r="N3513" s="2">
        <v>0</v>
      </c>
      <c r="O3513">
        <v>-1.2</v>
      </c>
      <c r="P3513" t="s">
        <v>100</v>
      </c>
      <c r="Q3513">
        <v>0</v>
      </c>
      <c r="R3513" t="s">
        <v>145</v>
      </c>
      <c r="S3513">
        <v>0</v>
      </c>
    </row>
    <row r="3514" spans="1:19">
      <c r="A3514" t="s">
        <v>35</v>
      </c>
      <c r="B3514" t="s">
        <v>3142</v>
      </c>
      <c r="C3514">
        <f>"BO3048ZROS"</f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1</v>
      </c>
      <c r="K3514">
        <v>1.755</v>
      </c>
      <c r="L3514" s="2">
        <v>2</v>
      </c>
      <c r="M3514">
        <v>0</v>
      </c>
      <c r="N3514" s="2">
        <v>0</v>
      </c>
      <c r="O3514">
        <v>-1.2</v>
      </c>
      <c r="P3514" t="s">
        <v>100</v>
      </c>
      <c r="Q3514">
        <v>0</v>
      </c>
      <c r="R3514" t="s">
        <v>145</v>
      </c>
      <c r="S3514">
        <v>0</v>
      </c>
    </row>
    <row r="3515" spans="1:19">
      <c r="A3515" t="s">
        <v>35</v>
      </c>
      <c r="B3515" t="s">
        <v>7524</v>
      </c>
      <c r="C3515">
        <f>"P08N"</f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1</v>
      </c>
      <c r="K3515">
        <v>0</v>
      </c>
      <c r="L3515" s="2">
        <v>0</v>
      </c>
      <c r="M3515">
        <v>0</v>
      </c>
      <c r="N3515" s="2">
        <v>0</v>
      </c>
      <c r="O3515">
        <v>-1.2</v>
      </c>
      <c r="P3515" t="s">
        <v>100</v>
      </c>
      <c r="Q3515">
        <v>0</v>
      </c>
      <c r="R3515" t="s">
        <v>145</v>
      </c>
      <c r="S3515">
        <v>0</v>
      </c>
    </row>
    <row r="3516" spans="1:19">
      <c r="A3516" t="s">
        <v>35</v>
      </c>
      <c r="B3516" t="s">
        <v>7510</v>
      </c>
      <c r="C3516">
        <f>"6011M"</f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1</v>
      </c>
      <c r="K3516">
        <v>17.91</v>
      </c>
      <c r="L3516" s="2">
        <v>18</v>
      </c>
      <c r="M3516">
        <v>0</v>
      </c>
      <c r="N3516" s="2">
        <v>0</v>
      </c>
      <c r="O3516">
        <v>-1.2</v>
      </c>
      <c r="P3516" t="s">
        <v>100</v>
      </c>
      <c r="Q3516">
        <v>0</v>
      </c>
      <c r="R3516" t="s">
        <v>145</v>
      </c>
      <c r="S3516">
        <v>0</v>
      </c>
    </row>
    <row r="3517" spans="1:19">
      <c r="A3517" t="s">
        <v>35</v>
      </c>
      <c r="B3517" t="s">
        <v>7393</v>
      </c>
      <c r="C3517">
        <f>"PT015XLCCUA"</f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1</v>
      </c>
      <c r="K3517">
        <v>0</v>
      </c>
      <c r="L3517" s="2">
        <v>0</v>
      </c>
      <c r="M3517">
        <v>0</v>
      </c>
      <c r="N3517" s="2">
        <v>0</v>
      </c>
      <c r="O3517">
        <v>-1.2</v>
      </c>
      <c r="P3517" t="s">
        <v>100</v>
      </c>
      <c r="Q3517">
        <v>0</v>
      </c>
      <c r="R3517" t="s">
        <v>145</v>
      </c>
      <c r="S3517">
        <v>0</v>
      </c>
    </row>
    <row r="3518" spans="1:19">
      <c r="A3518" t="s">
        <v>35</v>
      </c>
      <c r="B3518" t="s">
        <v>2544</v>
      </c>
      <c r="C3518">
        <f>"KF8817"</f>
        <v>0</v>
      </c>
      <c r="D3518">
        <v>0</v>
      </c>
      <c r="E3518">
        <v>1</v>
      </c>
      <c r="F3518">
        <v>0</v>
      </c>
      <c r="G3518">
        <v>0</v>
      </c>
      <c r="H3518">
        <v>1</v>
      </c>
      <c r="I3518">
        <v>0</v>
      </c>
      <c r="J3518">
        <v>1</v>
      </c>
      <c r="K3518">
        <v>17.55</v>
      </c>
      <c r="L3518" s="2">
        <v>18</v>
      </c>
      <c r="M3518">
        <v>0</v>
      </c>
      <c r="N3518" s="2">
        <v>0</v>
      </c>
      <c r="O3518">
        <v>-1.2</v>
      </c>
      <c r="P3518" t="s">
        <v>100</v>
      </c>
      <c r="Q3518">
        <v>0</v>
      </c>
      <c r="R3518" t="s">
        <v>145</v>
      </c>
      <c r="S3518">
        <v>0</v>
      </c>
    </row>
    <row r="3519" spans="1:19">
      <c r="A3519" t="s">
        <v>35</v>
      </c>
      <c r="B3519" t="s">
        <v>5666</v>
      </c>
      <c r="C3519">
        <f>"AD1001"</f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1</v>
      </c>
      <c r="K3519">
        <v>3.15</v>
      </c>
      <c r="L3519" s="2">
        <v>3</v>
      </c>
      <c r="M3519">
        <v>0</v>
      </c>
      <c r="N3519" s="2">
        <v>0</v>
      </c>
      <c r="O3519">
        <v>-1.2</v>
      </c>
      <c r="P3519" t="s">
        <v>100</v>
      </c>
      <c r="Q3519">
        <v>0</v>
      </c>
      <c r="R3519" t="s">
        <v>145</v>
      </c>
      <c r="S3519">
        <v>0</v>
      </c>
    </row>
    <row r="3520" spans="1:19">
      <c r="A3520" t="s">
        <v>35</v>
      </c>
      <c r="B3520" t="s">
        <v>5498</v>
      </c>
      <c r="C3520">
        <f>"HDDZ75UNID"</f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1</v>
      </c>
      <c r="K3520">
        <v>214</v>
      </c>
      <c r="L3520" s="2">
        <v>214</v>
      </c>
      <c r="M3520">
        <v>0</v>
      </c>
      <c r="N3520" s="2">
        <v>0</v>
      </c>
      <c r="O3520">
        <v>-1.2</v>
      </c>
      <c r="P3520" t="s">
        <v>100</v>
      </c>
      <c r="Q3520">
        <v>0</v>
      </c>
      <c r="R3520" t="s">
        <v>145</v>
      </c>
      <c r="S3520">
        <v>0</v>
      </c>
    </row>
    <row r="3521" spans="1:19">
      <c r="A3521" t="s">
        <v>35</v>
      </c>
      <c r="B3521" t="s">
        <v>7197</v>
      </c>
      <c r="C3521">
        <f>"LS286A"</f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1</v>
      </c>
      <c r="K3521">
        <v>2.691</v>
      </c>
      <c r="L3521" s="2">
        <v>3</v>
      </c>
      <c r="M3521">
        <v>0</v>
      </c>
      <c r="N3521" s="2">
        <v>0</v>
      </c>
      <c r="O3521">
        <v>-1.2</v>
      </c>
      <c r="P3521" t="s">
        <v>100</v>
      </c>
      <c r="Q3521">
        <v>0</v>
      </c>
      <c r="R3521" t="s">
        <v>145</v>
      </c>
      <c r="S3521">
        <v>0</v>
      </c>
    </row>
    <row r="3522" spans="1:19">
      <c r="A3522" t="s">
        <v>35</v>
      </c>
      <c r="B3522" t="s">
        <v>7084</v>
      </c>
      <c r="C3522">
        <f>"6006075"</f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1</v>
      </c>
      <c r="K3522">
        <v>4</v>
      </c>
      <c r="L3522" s="2">
        <v>4</v>
      </c>
      <c r="M3522">
        <v>0</v>
      </c>
      <c r="N3522" s="2">
        <v>0</v>
      </c>
      <c r="O3522">
        <v>-1.2</v>
      </c>
      <c r="P3522" t="s">
        <v>100</v>
      </c>
      <c r="Q3522">
        <v>0</v>
      </c>
      <c r="R3522" t="s">
        <v>145</v>
      </c>
      <c r="S3522">
        <v>0</v>
      </c>
    </row>
    <row r="3523" spans="1:19">
      <c r="A3523" t="s">
        <v>35</v>
      </c>
      <c r="B3523" t="s">
        <v>5255</v>
      </c>
      <c r="C3523">
        <f>"CT175"</f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1</v>
      </c>
      <c r="K3523">
        <v>711</v>
      </c>
      <c r="L3523" s="2">
        <v>711</v>
      </c>
      <c r="M3523">
        <v>0</v>
      </c>
      <c r="N3523" s="2">
        <v>0</v>
      </c>
      <c r="O3523">
        <v>-1.2</v>
      </c>
      <c r="P3523" t="s">
        <v>100</v>
      </c>
      <c r="Q3523">
        <v>0</v>
      </c>
      <c r="R3523" t="s">
        <v>145</v>
      </c>
      <c r="S3523">
        <v>0</v>
      </c>
    </row>
    <row r="3524" spans="1:19">
      <c r="A3524" t="s">
        <v>35</v>
      </c>
      <c r="B3524" t="s">
        <v>2347</v>
      </c>
      <c r="C3524">
        <f>"TC0058ROS"</f>
        <v>0</v>
      </c>
      <c r="D3524">
        <v>0</v>
      </c>
      <c r="E3524">
        <v>0</v>
      </c>
      <c r="F3524">
        <v>1</v>
      </c>
      <c r="G3524">
        <v>0</v>
      </c>
      <c r="H3524">
        <v>1</v>
      </c>
      <c r="I3524">
        <v>0</v>
      </c>
      <c r="J3524">
        <v>1</v>
      </c>
      <c r="K3524">
        <v>675</v>
      </c>
      <c r="L3524" s="2">
        <v>675</v>
      </c>
      <c r="M3524">
        <v>0</v>
      </c>
      <c r="N3524" s="2">
        <v>0</v>
      </c>
      <c r="O3524">
        <v>-1.2</v>
      </c>
      <c r="P3524" t="s">
        <v>100</v>
      </c>
      <c r="Q3524">
        <v>0</v>
      </c>
      <c r="R3524" t="s">
        <v>145</v>
      </c>
      <c r="S3524">
        <v>0</v>
      </c>
    </row>
    <row r="3525" spans="1:19">
      <c r="A3525" t="s">
        <v>35</v>
      </c>
      <c r="B3525" t="s">
        <v>2348</v>
      </c>
      <c r="C3525">
        <f>"TC0058MO"</f>
        <v>0</v>
      </c>
      <c r="D3525">
        <v>0</v>
      </c>
      <c r="E3525">
        <v>1</v>
      </c>
      <c r="F3525">
        <v>0</v>
      </c>
      <c r="G3525">
        <v>0</v>
      </c>
      <c r="H3525">
        <v>1</v>
      </c>
      <c r="I3525">
        <v>0</v>
      </c>
      <c r="J3525">
        <v>1</v>
      </c>
      <c r="K3525">
        <v>675</v>
      </c>
      <c r="L3525" s="2">
        <v>675</v>
      </c>
      <c r="M3525">
        <v>0</v>
      </c>
      <c r="N3525" s="2">
        <v>0</v>
      </c>
      <c r="O3525">
        <v>-1.2</v>
      </c>
      <c r="P3525" t="s">
        <v>100</v>
      </c>
      <c r="Q3525">
        <v>0</v>
      </c>
      <c r="R3525" t="s">
        <v>145</v>
      </c>
      <c r="S3525">
        <v>0</v>
      </c>
    </row>
    <row r="3526" spans="1:19">
      <c r="A3526" t="s">
        <v>35</v>
      </c>
      <c r="B3526" t="s">
        <v>5258</v>
      </c>
      <c r="C3526">
        <f>"TC0058CEL"</f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1</v>
      </c>
      <c r="K3526">
        <v>675</v>
      </c>
      <c r="L3526" s="2">
        <v>675</v>
      </c>
      <c r="M3526">
        <v>0</v>
      </c>
      <c r="N3526" s="2">
        <v>0</v>
      </c>
      <c r="O3526">
        <v>-1.2</v>
      </c>
      <c r="P3526" t="s">
        <v>100</v>
      </c>
      <c r="Q3526">
        <v>0</v>
      </c>
      <c r="R3526" t="s">
        <v>145</v>
      </c>
      <c r="S3526">
        <v>0</v>
      </c>
    </row>
    <row r="3527" spans="1:19">
      <c r="A3527" t="s">
        <v>35</v>
      </c>
      <c r="B3527" t="s">
        <v>2396</v>
      </c>
      <c r="C3527">
        <f>"TC0057ROS"</f>
        <v>0</v>
      </c>
      <c r="D3527">
        <v>1</v>
      </c>
      <c r="E3527">
        <v>0</v>
      </c>
      <c r="F3527">
        <v>0</v>
      </c>
      <c r="G3527">
        <v>0</v>
      </c>
      <c r="H3527">
        <v>1</v>
      </c>
      <c r="I3527">
        <v>0</v>
      </c>
      <c r="J3527">
        <v>1</v>
      </c>
      <c r="K3527">
        <v>855</v>
      </c>
      <c r="L3527" s="2">
        <v>855</v>
      </c>
      <c r="M3527">
        <v>0</v>
      </c>
      <c r="N3527" s="2">
        <v>0</v>
      </c>
      <c r="O3527">
        <v>-1.2</v>
      </c>
      <c r="P3527" t="s">
        <v>100</v>
      </c>
      <c r="Q3527">
        <v>0</v>
      </c>
      <c r="R3527" t="s">
        <v>145</v>
      </c>
      <c r="S3527">
        <v>0</v>
      </c>
    </row>
    <row r="3528" spans="1:19">
      <c r="A3528" t="s">
        <v>35</v>
      </c>
      <c r="B3528" t="s">
        <v>2185</v>
      </c>
      <c r="C3528">
        <f>"TC0018ROS"</f>
        <v>0</v>
      </c>
      <c r="D3528">
        <v>2</v>
      </c>
      <c r="E3528">
        <v>0</v>
      </c>
      <c r="F3528">
        <v>0</v>
      </c>
      <c r="G3528">
        <v>0</v>
      </c>
      <c r="H3528">
        <v>2</v>
      </c>
      <c r="I3528">
        <v>0</v>
      </c>
      <c r="J3528">
        <v>1</v>
      </c>
      <c r="K3528">
        <v>585</v>
      </c>
      <c r="L3528" s="2">
        <v>585</v>
      </c>
      <c r="M3528">
        <v>0</v>
      </c>
      <c r="N3528" s="2">
        <v>0</v>
      </c>
      <c r="O3528">
        <v>-1.2</v>
      </c>
      <c r="P3528" t="s">
        <v>100</v>
      </c>
      <c r="Q3528">
        <v>0</v>
      </c>
      <c r="R3528" t="s">
        <v>145</v>
      </c>
      <c r="S3528">
        <v>0</v>
      </c>
    </row>
    <row r="3529" spans="1:19">
      <c r="A3529" t="s">
        <v>35</v>
      </c>
      <c r="B3529" t="s">
        <v>8472</v>
      </c>
      <c r="C3529">
        <f>"FB526SCP"</f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1</v>
      </c>
      <c r="K3529">
        <v>6.291</v>
      </c>
      <c r="L3529" s="2">
        <v>6</v>
      </c>
      <c r="M3529">
        <v>0</v>
      </c>
      <c r="N3529" s="2">
        <v>0</v>
      </c>
      <c r="O3529">
        <v>-1.2</v>
      </c>
      <c r="P3529" t="s">
        <v>100</v>
      </c>
      <c r="Q3529">
        <v>0</v>
      </c>
      <c r="R3529" t="s">
        <v>145</v>
      </c>
      <c r="S3529">
        <v>0</v>
      </c>
    </row>
    <row r="3530" spans="1:19">
      <c r="A3530" t="s">
        <v>35</v>
      </c>
      <c r="B3530" t="s">
        <v>8489</v>
      </c>
      <c r="C3530">
        <f>"FB526MDC"</f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1</v>
      </c>
      <c r="K3530">
        <v>5.76</v>
      </c>
      <c r="L3530" s="2">
        <v>6</v>
      </c>
      <c r="M3530">
        <v>0</v>
      </c>
      <c r="N3530" s="2">
        <v>0</v>
      </c>
      <c r="O3530">
        <v>-1.2</v>
      </c>
      <c r="P3530" t="s">
        <v>100</v>
      </c>
      <c r="Q3530">
        <v>0</v>
      </c>
      <c r="R3530" t="s">
        <v>145</v>
      </c>
      <c r="S3530">
        <v>0</v>
      </c>
    </row>
    <row r="3531" spans="1:19">
      <c r="A3531" t="s">
        <v>35</v>
      </c>
      <c r="B3531" t="s">
        <v>8490</v>
      </c>
      <c r="C3531">
        <f>"FB526MCP"</f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1</v>
      </c>
      <c r="K3531">
        <v>6.525</v>
      </c>
      <c r="L3531" s="2">
        <v>7</v>
      </c>
      <c r="M3531">
        <v>0</v>
      </c>
      <c r="N3531" s="2">
        <v>0</v>
      </c>
      <c r="O3531">
        <v>-1.2</v>
      </c>
      <c r="P3531" t="s">
        <v>100</v>
      </c>
      <c r="Q3531">
        <v>0</v>
      </c>
      <c r="R3531" t="s">
        <v>145</v>
      </c>
      <c r="S3531">
        <v>0</v>
      </c>
    </row>
    <row r="3532" spans="1:19">
      <c r="A3532" t="s">
        <v>35</v>
      </c>
      <c r="B3532" t="s">
        <v>8491</v>
      </c>
      <c r="C3532">
        <f>"FB526LRP"</f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1</v>
      </c>
      <c r="K3532">
        <v>6.021</v>
      </c>
      <c r="L3532" s="2">
        <v>6</v>
      </c>
      <c r="M3532">
        <v>0</v>
      </c>
      <c r="N3532" s="2">
        <v>0</v>
      </c>
      <c r="O3532">
        <v>-1.2</v>
      </c>
      <c r="P3532" t="s">
        <v>100</v>
      </c>
      <c r="Q3532">
        <v>0</v>
      </c>
      <c r="R3532" t="s">
        <v>145</v>
      </c>
      <c r="S3532">
        <v>0</v>
      </c>
    </row>
    <row r="3533" spans="1:19">
      <c r="A3533" t="s">
        <v>35</v>
      </c>
      <c r="B3533" t="s">
        <v>5250</v>
      </c>
      <c r="C3533">
        <f>"WPS013MOR"</f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1</v>
      </c>
      <c r="K3533">
        <v>498</v>
      </c>
      <c r="L3533" s="2">
        <v>498</v>
      </c>
      <c r="M3533">
        <v>0</v>
      </c>
      <c r="N3533" s="2">
        <v>0</v>
      </c>
      <c r="O3533">
        <v>-1.2</v>
      </c>
      <c r="P3533" t="s">
        <v>100</v>
      </c>
      <c r="Q3533">
        <v>0</v>
      </c>
      <c r="R3533" t="s">
        <v>145</v>
      </c>
      <c r="S3533">
        <v>0</v>
      </c>
    </row>
    <row r="3534" spans="1:19">
      <c r="A3534" t="s">
        <v>35</v>
      </c>
      <c r="B3534" t="s">
        <v>2270</v>
      </c>
      <c r="C3534">
        <f>"HDD145A"</f>
        <v>0</v>
      </c>
      <c r="D3534">
        <v>2</v>
      </c>
      <c r="E3534">
        <v>0</v>
      </c>
      <c r="F3534">
        <v>0</v>
      </c>
      <c r="G3534">
        <v>0</v>
      </c>
      <c r="H3534">
        <v>2</v>
      </c>
      <c r="I3534">
        <v>0</v>
      </c>
      <c r="J3534">
        <v>1</v>
      </c>
      <c r="K3534">
        <v>711</v>
      </c>
      <c r="L3534" s="2">
        <v>711</v>
      </c>
      <c r="M3534">
        <v>0</v>
      </c>
      <c r="N3534" s="2">
        <v>0</v>
      </c>
      <c r="O3534">
        <v>-1.2</v>
      </c>
      <c r="P3534" t="s">
        <v>100</v>
      </c>
      <c r="Q3534">
        <v>0</v>
      </c>
      <c r="R3534" t="s">
        <v>145</v>
      </c>
      <c r="S3534">
        <v>0</v>
      </c>
    </row>
    <row r="3535" spans="1:19">
      <c r="A3535" t="s">
        <v>35</v>
      </c>
      <c r="B3535" t="s">
        <v>5246</v>
      </c>
      <c r="C3535">
        <f>"TC2042GR"</f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1</v>
      </c>
      <c r="K3535">
        <v>711</v>
      </c>
      <c r="L3535" s="2">
        <v>711</v>
      </c>
      <c r="M3535">
        <v>0</v>
      </c>
      <c r="N3535" s="2">
        <v>0</v>
      </c>
      <c r="O3535">
        <v>-1.2</v>
      </c>
      <c r="P3535" t="s">
        <v>100</v>
      </c>
      <c r="Q3535">
        <v>0</v>
      </c>
      <c r="R3535" t="s">
        <v>145</v>
      </c>
      <c r="S3535">
        <v>0</v>
      </c>
    </row>
    <row r="3536" spans="1:19">
      <c r="A3536" t="s">
        <v>35</v>
      </c>
      <c r="B3536" t="s">
        <v>2056</v>
      </c>
      <c r="C3536">
        <f>"TC0072VE"</f>
        <v>0</v>
      </c>
      <c r="D3536">
        <v>3</v>
      </c>
      <c r="E3536">
        <v>0</v>
      </c>
      <c r="F3536">
        <v>0</v>
      </c>
      <c r="G3536">
        <v>0</v>
      </c>
      <c r="H3536">
        <v>3</v>
      </c>
      <c r="I3536">
        <v>0</v>
      </c>
      <c r="J3536">
        <v>1</v>
      </c>
      <c r="K3536">
        <v>765</v>
      </c>
      <c r="L3536" s="2">
        <v>765</v>
      </c>
      <c r="M3536">
        <v>0</v>
      </c>
      <c r="N3536" s="2">
        <v>0</v>
      </c>
      <c r="O3536">
        <v>-1.2</v>
      </c>
      <c r="P3536" t="s">
        <v>100</v>
      </c>
      <c r="Q3536">
        <v>0</v>
      </c>
      <c r="R3536" t="s">
        <v>145</v>
      </c>
      <c r="S3536">
        <v>0</v>
      </c>
    </row>
    <row r="3537" spans="1:19">
      <c r="A3537" t="s">
        <v>35</v>
      </c>
      <c r="B3537" t="s">
        <v>5249</v>
      </c>
      <c r="C3537">
        <f>"TC0072ROS"</f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1</v>
      </c>
      <c r="K3537">
        <v>765</v>
      </c>
      <c r="L3537" s="2">
        <v>765</v>
      </c>
      <c r="M3537">
        <v>0</v>
      </c>
      <c r="N3537" s="2">
        <v>0</v>
      </c>
      <c r="O3537">
        <v>-1.2</v>
      </c>
      <c r="P3537" t="s">
        <v>100</v>
      </c>
      <c r="Q3537">
        <v>0</v>
      </c>
      <c r="R3537" t="s">
        <v>145</v>
      </c>
      <c r="S3537">
        <v>0</v>
      </c>
    </row>
    <row r="3538" spans="1:19">
      <c r="A3538" t="s">
        <v>35</v>
      </c>
      <c r="B3538" t="s">
        <v>2358</v>
      </c>
      <c r="C3538">
        <f>"TC0072MO"</f>
        <v>0</v>
      </c>
      <c r="D3538">
        <v>1</v>
      </c>
      <c r="E3538">
        <v>0</v>
      </c>
      <c r="F3538">
        <v>0</v>
      </c>
      <c r="G3538">
        <v>0</v>
      </c>
      <c r="H3538">
        <v>1</v>
      </c>
      <c r="I3538">
        <v>0</v>
      </c>
      <c r="J3538">
        <v>1</v>
      </c>
      <c r="K3538">
        <v>765</v>
      </c>
      <c r="L3538" s="2">
        <v>765</v>
      </c>
      <c r="M3538">
        <v>0</v>
      </c>
      <c r="N3538" s="2">
        <v>0</v>
      </c>
      <c r="O3538">
        <v>-1.2</v>
      </c>
      <c r="P3538" t="s">
        <v>100</v>
      </c>
      <c r="Q3538">
        <v>0</v>
      </c>
      <c r="R3538" t="s">
        <v>145</v>
      </c>
      <c r="S3538">
        <v>0</v>
      </c>
    </row>
    <row r="3539" spans="1:19">
      <c r="A3539" t="s">
        <v>35</v>
      </c>
      <c r="B3539" t="s">
        <v>7217</v>
      </c>
      <c r="C3539">
        <f>"2960MIXCAF"</f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1</v>
      </c>
      <c r="K3539">
        <v>0</v>
      </c>
      <c r="L3539" s="2">
        <v>0</v>
      </c>
      <c r="M3539">
        <v>0</v>
      </c>
      <c r="N3539" s="2">
        <v>0</v>
      </c>
      <c r="O3539">
        <v>-1.2</v>
      </c>
      <c r="P3539" t="s">
        <v>100</v>
      </c>
      <c r="Q3539">
        <v>0</v>
      </c>
      <c r="R3539" t="s">
        <v>145</v>
      </c>
      <c r="S3539">
        <v>0</v>
      </c>
    </row>
    <row r="3540" spans="1:19">
      <c r="A3540" t="s">
        <v>35</v>
      </c>
      <c r="B3540" t="s">
        <v>7207</v>
      </c>
      <c r="C3540">
        <f>"LS299NA"</f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1</v>
      </c>
      <c r="K3540">
        <v>0</v>
      </c>
      <c r="L3540" s="2">
        <v>0</v>
      </c>
      <c r="M3540">
        <v>0</v>
      </c>
      <c r="N3540" s="2">
        <v>0</v>
      </c>
      <c r="O3540">
        <v>-1.2</v>
      </c>
      <c r="P3540" t="s">
        <v>100</v>
      </c>
      <c r="Q3540">
        <v>0</v>
      </c>
      <c r="R3540" t="s">
        <v>145</v>
      </c>
      <c r="S3540">
        <v>0</v>
      </c>
    </row>
    <row r="3541" spans="1:19">
      <c r="A3541" t="s">
        <v>35</v>
      </c>
      <c r="B3541" t="s">
        <v>7208</v>
      </c>
      <c r="C3541">
        <f>"LS299G"</f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1</v>
      </c>
      <c r="K3541">
        <v>0</v>
      </c>
      <c r="L3541" s="2">
        <v>0</v>
      </c>
      <c r="M3541">
        <v>0</v>
      </c>
      <c r="N3541" s="2">
        <v>0</v>
      </c>
      <c r="O3541">
        <v>-1.2</v>
      </c>
      <c r="P3541" t="s">
        <v>100</v>
      </c>
      <c r="Q3541">
        <v>0</v>
      </c>
      <c r="R3541" t="s">
        <v>145</v>
      </c>
      <c r="S3541">
        <v>0</v>
      </c>
    </row>
    <row r="3542" spans="1:19">
      <c r="A3542" t="s">
        <v>35</v>
      </c>
      <c r="B3542" t="s">
        <v>7237</v>
      </c>
      <c r="C3542">
        <f>"TQ00181ROS"</f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1</v>
      </c>
      <c r="K3542">
        <v>2.475</v>
      </c>
      <c r="L3542" s="2">
        <v>2</v>
      </c>
      <c r="M3542">
        <v>0</v>
      </c>
      <c r="N3542" s="2">
        <v>0</v>
      </c>
      <c r="O3542">
        <v>-1.2</v>
      </c>
      <c r="P3542" t="s">
        <v>100</v>
      </c>
      <c r="Q3542">
        <v>0</v>
      </c>
      <c r="R3542" t="s">
        <v>145</v>
      </c>
      <c r="S3542">
        <v>0</v>
      </c>
    </row>
    <row r="3543" spans="1:19">
      <c r="A3543" t="s">
        <v>35</v>
      </c>
      <c r="B3543" t="s">
        <v>8290</v>
      </c>
      <c r="C3543">
        <f>"ABT2ROJNE"</f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1</v>
      </c>
      <c r="K3543">
        <v>2.61</v>
      </c>
      <c r="L3543" s="2">
        <v>3</v>
      </c>
      <c r="M3543">
        <v>0</v>
      </c>
      <c r="N3543" s="2">
        <v>0</v>
      </c>
      <c r="O3543">
        <v>-1.2</v>
      </c>
      <c r="P3543" t="s">
        <v>100</v>
      </c>
      <c r="Q3543">
        <v>0</v>
      </c>
      <c r="R3543" t="s">
        <v>145</v>
      </c>
      <c r="S3543">
        <v>0</v>
      </c>
    </row>
    <row r="3544" spans="1:19">
      <c r="A3544" t="s">
        <v>35</v>
      </c>
      <c r="B3544" t="s">
        <v>9039</v>
      </c>
      <c r="C3544">
        <f>"FB526XLDCOL"</f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1</v>
      </c>
      <c r="K3544">
        <v>7.425</v>
      </c>
      <c r="L3544" s="2">
        <v>7</v>
      </c>
      <c r="M3544">
        <v>0</v>
      </c>
      <c r="N3544" s="2">
        <v>0</v>
      </c>
      <c r="O3544">
        <v>-1.2</v>
      </c>
      <c r="P3544" t="s">
        <v>100</v>
      </c>
      <c r="Q3544">
        <v>0</v>
      </c>
      <c r="R3544" t="s">
        <v>145</v>
      </c>
      <c r="S3544">
        <v>0</v>
      </c>
    </row>
    <row r="3545" spans="1:19">
      <c r="A3545" t="s">
        <v>35</v>
      </c>
      <c r="B3545" t="s">
        <v>9041</v>
      </c>
      <c r="C3545">
        <f>"FB526SRP"</f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1</v>
      </c>
      <c r="K3545">
        <v>6.291</v>
      </c>
      <c r="L3545" s="2">
        <v>6</v>
      </c>
      <c r="M3545">
        <v>0</v>
      </c>
      <c r="N3545" s="2">
        <v>0</v>
      </c>
      <c r="O3545">
        <v>-1.2</v>
      </c>
      <c r="P3545" t="s">
        <v>100</v>
      </c>
      <c r="Q3545">
        <v>0</v>
      </c>
      <c r="R3545" t="s">
        <v>145</v>
      </c>
      <c r="S3545">
        <v>0</v>
      </c>
    </row>
    <row r="3546" spans="1:19">
      <c r="A3546" t="s">
        <v>35</v>
      </c>
      <c r="B3546" t="s">
        <v>6569</v>
      </c>
      <c r="C3546">
        <f>"CC309XSCNN"</f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1</v>
      </c>
      <c r="K3546">
        <v>3.141</v>
      </c>
      <c r="L3546" s="2">
        <v>3</v>
      </c>
      <c r="M3546">
        <v>0</v>
      </c>
      <c r="N3546" s="2">
        <v>0</v>
      </c>
      <c r="O3546">
        <v>-1.2</v>
      </c>
      <c r="P3546" t="s">
        <v>100</v>
      </c>
      <c r="Q3546">
        <v>0</v>
      </c>
      <c r="R3546" t="s">
        <v>145</v>
      </c>
      <c r="S3546">
        <v>0</v>
      </c>
    </row>
    <row r="3547" spans="1:19">
      <c r="A3547" t="s">
        <v>35</v>
      </c>
      <c r="B3547" t="s">
        <v>7221</v>
      </c>
      <c r="C3547">
        <f>"PT015XXLFA"</f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1</v>
      </c>
      <c r="K3547">
        <v>0</v>
      </c>
      <c r="L3547" s="2">
        <v>0</v>
      </c>
      <c r="M3547">
        <v>0</v>
      </c>
      <c r="N3547" s="2">
        <v>0</v>
      </c>
      <c r="O3547">
        <v>-1.2</v>
      </c>
      <c r="P3547" t="s">
        <v>100</v>
      </c>
      <c r="Q3547">
        <v>0</v>
      </c>
      <c r="R3547" t="s">
        <v>145</v>
      </c>
      <c r="S3547">
        <v>0</v>
      </c>
    </row>
    <row r="3548" spans="1:19">
      <c r="A3548" t="s">
        <v>35</v>
      </c>
      <c r="B3548" t="s">
        <v>7562</v>
      </c>
      <c r="C3548">
        <f>"PT015XXLAZ"</f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1</v>
      </c>
      <c r="K3548">
        <v>3.591</v>
      </c>
      <c r="L3548" s="2">
        <v>4</v>
      </c>
      <c r="M3548">
        <v>0</v>
      </c>
      <c r="N3548" s="2">
        <v>0</v>
      </c>
      <c r="O3548">
        <v>-1.2</v>
      </c>
      <c r="P3548" t="s">
        <v>100</v>
      </c>
      <c r="Q3548">
        <v>0</v>
      </c>
      <c r="R3548" t="s">
        <v>145</v>
      </c>
      <c r="S3548">
        <v>0</v>
      </c>
    </row>
    <row r="3549" spans="1:19">
      <c r="A3549" t="s">
        <v>35</v>
      </c>
      <c r="B3549" t="s">
        <v>9285</v>
      </c>
      <c r="C3549">
        <f>"PT015XSAZ"</f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1</v>
      </c>
      <c r="K3549">
        <v>2.385</v>
      </c>
      <c r="L3549" s="2">
        <v>2</v>
      </c>
      <c r="M3549">
        <v>0</v>
      </c>
      <c r="N3549" s="2">
        <v>0</v>
      </c>
      <c r="O3549">
        <v>-1.2</v>
      </c>
      <c r="P3549" t="s">
        <v>100</v>
      </c>
      <c r="Q3549">
        <v>0</v>
      </c>
      <c r="R3549" t="s">
        <v>145</v>
      </c>
      <c r="S3549">
        <v>0</v>
      </c>
    </row>
    <row r="3550" spans="1:19">
      <c r="A3550" t="s">
        <v>35</v>
      </c>
      <c r="B3550" t="s">
        <v>9383</v>
      </c>
      <c r="C3550">
        <f>"PT015XSFN"</f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1</v>
      </c>
      <c r="K3550">
        <v>0</v>
      </c>
      <c r="L3550" s="2">
        <v>0</v>
      </c>
      <c r="M3550">
        <v>0</v>
      </c>
      <c r="N3550" s="2">
        <v>0</v>
      </c>
      <c r="O3550">
        <v>-1.2</v>
      </c>
      <c r="P3550" t="s">
        <v>100</v>
      </c>
      <c r="Q3550">
        <v>0</v>
      </c>
      <c r="R3550" t="s">
        <v>145</v>
      </c>
      <c r="S3550">
        <v>0</v>
      </c>
    </row>
    <row r="3551" spans="1:19">
      <c r="A3551" t="s">
        <v>35</v>
      </c>
      <c r="B3551" t="s">
        <v>9384</v>
      </c>
      <c r="C3551">
        <f>"PT015XSDROJ"</f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1</v>
      </c>
      <c r="K3551">
        <v>2.385</v>
      </c>
      <c r="L3551" s="2">
        <v>2</v>
      </c>
      <c r="M3551">
        <v>0</v>
      </c>
      <c r="N3551" s="2">
        <v>0</v>
      </c>
      <c r="O3551">
        <v>-1.2</v>
      </c>
      <c r="P3551" t="s">
        <v>100</v>
      </c>
      <c r="Q3551">
        <v>0</v>
      </c>
      <c r="R3551" t="s">
        <v>145</v>
      </c>
      <c r="S3551">
        <v>0</v>
      </c>
    </row>
    <row r="3552" spans="1:19">
      <c r="A3552" t="s">
        <v>35</v>
      </c>
      <c r="B3552" t="s">
        <v>3049</v>
      </c>
      <c r="C3552">
        <f>"BO3044ZROS"</f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1</v>
      </c>
      <c r="K3552">
        <v>1.665</v>
      </c>
      <c r="L3552" s="2">
        <v>2</v>
      </c>
      <c r="M3552">
        <v>0</v>
      </c>
      <c r="N3552" s="2">
        <v>0</v>
      </c>
      <c r="O3552">
        <v>-1.2</v>
      </c>
      <c r="P3552" t="s">
        <v>100</v>
      </c>
      <c r="Q3552">
        <v>0</v>
      </c>
      <c r="R3552" t="s">
        <v>145</v>
      </c>
      <c r="S3552">
        <v>0</v>
      </c>
    </row>
    <row r="3553" spans="1:19">
      <c r="A3553" t="s">
        <v>35</v>
      </c>
      <c r="B3553" t="s">
        <v>3051</v>
      </c>
      <c r="C3553">
        <f>"BO3044ZAM"</f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1</v>
      </c>
      <c r="K3553">
        <v>1.665</v>
      </c>
      <c r="L3553" s="2">
        <v>2</v>
      </c>
      <c r="M3553">
        <v>0</v>
      </c>
      <c r="N3553" s="2">
        <v>0</v>
      </c>
      <c r="O3553">
        <v>-1.2</v>
      </c>
      <c r="P3553" t="s">
        <v>100</v>
      </c>
      <c r="Q3553">
        <v>0</v>
      </c>
      <c r="R3553" t="s">
        <v>145</v>
      </c>
      <c r="S3553">
        <v>0</v>
      </c>
    </row>
    <row r="3554" spans="1:19">
      <c r="A3554" t="s">
        <v>35</v>
      </c>
      <c r="B3554" t="s">
        <v>3137</v>
      </c>
      <c r="C3554">
        <f>"BO3053ZV"</f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1</v>
      </c>
      <c r="K3554">
        <v>2.43</v>
      </c>
      <c r="L3554" s="2">
        <v>2</v>
      </c>
      <c r="M3554">
        <v>0</v>
      </c>
      <c r="N3554" s="2">
        <v>0</v>
      </c>
      <c r="O3554">
        <v>-1.2</v>
      </c>
      <c r="P3554" t="s">
        <v>100</v>
      </c>
      <c r="Q3554">
        <v>0</v>
      </c>
      <c r="R3554" t="s">
        <v>145</v>
      </c>
      <c r="S3554">
        <v>0</v>
      </c>
    </row>
    <row r="3555" spans="1:19">
      <c r="A3555" t="s">
        <v>35</v>
      </c>
      <c r="B3555" t="s">
        <v>2552</v>
      </c>
      <c r="C3555">
        <f>"15GG"</f>
        <v>0</v>
      </c>
      <c r="D3555">
        <v>1</v>
      </c>
      <c r="E3555">
        <v>0</v>
      </c>
      <c r="F3555">
        <v>0</v>
      </c>
      <c r="G3555">
        <v>0</v>
      </c>
      <c r="H3555">
        <v>1</v>
      </c>
      <c r="I3555">
        <v>0</v>
      </c>
      <c r="J3555">
        <v>1</v>
      </c>
      <c r="K3555">
        <v>981</v>
      </c>
      <c r="L3555" s="2">
        <v>981</v>
      </c>
      <c r="M3555">
        <v>0</v>
      </c>
      <c r="N3555" s="2">
        <v>0</v>
      </c>
      <c r="O3555">
        <v>-1.2</v>
      </c>
      <c r="P3555" t="s">
        <v>100</v>
      </c>
      <c r="Q3555">
        <v>0</v>
      </c>
      <c r="R3555" t="s">
        <v>145</v>
      </c>
      <c r="S3555">
        <v>0</v>
      </c>
    </row>
    <row r="3556" spans="1:19">
      <c r="A3556" t="s">
        <v>35</v>
      </c>
      <c r="B3556" t="s">
        <v>6576</v>
      </c>
      <c r="C3556">
        <f>"JWZ1935"</f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1</v>
      </c>
      <c r="K3556">
        <v>1.008</v>
      </c>
      <c r="L3556" s="2">
        <v>1</v>
      </c>
      <c r="M3556">
        <v>0</v>
      </c>
      <c r="N3556" s="2">
        <v>0</v>
      </c>
      <c r="O3556">
        <v>-1.2</v>
      </c>
      <c r="P3556" t="s">
        <v>100</v>
      </c>
      <c r="Q3556">
        <v>0</v>
      </c>
      <c r="R3556" t="s">
        <v>145</v>
      </c>
      <c r="S3556">
        <v>0</v>
      </c>
    </row>
    <row r="3557" spans="1:19">
      <c r="A3557" t="s">
        <v>35</v>
      </c>
      <c r="B3557" t="s">
        <v>6562</v>
      </c>
      <c r="C3557">
        <f>"JWZ1630"</f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1</v>
      </c>
      <c r="K3557">
        <v>810</v>
      </c>
      <c r="L3557" s="2">
        <v>810</v>
      </c>
      <c r="M3557">
        <v>0</v>
      </c>
      <c r="N3557" s="2">
        <v>0</v>
      </c>
      <c r="O3557">
        <v>-1.2</v>
      </c>
      <c r="P3557" t="s">
        <v>100</v>
      </c>
      <c r="Q3557">
        <v>0</v>
      </c>
      <c r="R3557" t="s">
        <v>145</v>
      </c>
      <c r="S3557">
        <v>0</v>
      </c>
    </row>
    <row r="3558" spans="1:19">
      <c r="A3558" t="s">
        <v>35</v>
      </c>
      <c r="B3558" t="s">
        <v>7220</v>
      </c>
      <c r="C3558">
        <f>"PT015XXLFMOR"</f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1</v>
      </c>
      <c r="K3558">
        <v>3.591</v>
      </c>
      <c r="L3558" s="2">
        <v>4</v>
      </c>
      <c r="M3558">
        <v>0</v>
      </c>
      <c r="N3558" s="2">
        <v>0</v>
      </c>
      <c r="O3558">
        <v>-1.2</v>
      </c>
      <c r="P3558" t="s">
        <v>100</v>
      </c>
      <c r="Q3558">
        <v>0</v>
      </c>
      <c r="R3558" t="s">
        <v>145</v>
      </c>
      <c r="S3558">
        <v>0</v>
      </c>
    </row>
    <row r="3559" spans="1:19">
      <c r="A3559" t="s">
        <v>35</v>
      </c>
      <c r="B3559" t="s">
        <v>2209</v>
      </c>
      <c r="C3559">
        <f>"KE3206PS"</f>
        <v>0</v>
      </c>
      <c r="D3559">
        <v>2</v>
      </c>
      <c r="E3559">
        <v>0</v>
      </c>
      <c r="F3559">
        <v>0</v>
      </c>
      <c r="G3559">
        <v>0</v>
      </c>
      <c r="H3559">
        <v>2</v>
      </c>
      <c r="I3559">
        <v>0</v>
      </c>
      <c r="J3559">
        <v>1</v>
      </c>
      <c r="K3559">
        <v>1.926</v>
      </c>
      <c r="L3559" s="2">
        <v>2</v>
      </c>
      <c r="M3559">
        <v>0</v>
      </c>
      <c r="N3559" s="2">
        <v>0</v>
      </c>
      <c r="O3559">
        <v>-1.2</v>
      </c>
      <c r="P3559" t="s">
        <v>100</v>
      </c>
      <c r="Q3559">
        <v>0</v>
      </c>
      <c r="R3559" t="s">
        <v>145</v>
      </c>
      <c r="S3559">
        <v>0</v>
      </c>
    </row>
    <row r="3560" spans="1:19">
      <c r="A3560" t="s">
        <v>35</v>
      </c>
      <c r="B3560" t="s">
        <v>8131</v>
      </c>
      <c r="C3560">
        <f>"HD28XS"</f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1</v>
      </c>
      <c r="K3560">
        <v>2.385</v>
      </c>
      <c r="L3560" s="2">
        <v>2</v>
      </c>
      <c r="M3560">
        <v>0</v>
      </c>
      <c r="N3560" s="2">
        <v>0</v>
      </c>
      <c r="O3560">
        <v>-1.2</v>
      </c>
      <c r="P3560" t="s">
        <v>100</v>
      </c>
      <c r="Q3560">
        <v>0</v>
      </c>
      <c r="R3560" t="s">
        <v>145</v>
      </c>
      <c r="S3560">
        <v>0</v>
      </c>
    </row>
    <row r="3561" spans="1:19">
      <c r="A3561" t="s">
        <v>35</v>
      </c>
      <c r="B3561" t="s">
        <v>8114</v>
      </c>
      <c r="C3561">
        <f>"HD21XXL"</f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1</v>
      </c>
      <c r="K3561">
        <v>4.455</v>
      </c>
      <c r="L3561" s="2">
        <v>4</v>
      </c>
      <c r="M3561">
        <v>0</v>
      </c>
      <c r="N3561" s="2">
        <v>0</v>
      </c>
      <c r="O3561">
        <v>-1.2</v>
      </c>
      <c r="P3561" t="s">
        <v>100</v>
      </c>
      <c r="Q3561">
        <v>0</v>
      </c>
      <c r="R3561" t="s">
        <v>145</v>
      </c>
      <c r="S3561">
        <v>0</v>
      </c>
    </row>
    <row r="3562" spans="1:19">
      <c r="A3562" t="s">
        <v>35</v>
      </c>
      <c r="B3562" t="s">
        <v>7884</v>
      </c>
      <c r="C3562">
        <f>"Q5AXXLCH"</f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1</v>
      </c>
      <c r="K3562">
        <v>5.085</v>
      </c>
      <c r="L3562" s="2">
        <v>5</v>
      </c>
      <c r="M3562">
        <v>0</v>
      </c>
      <c r="N3562" s="2">
        <v>0</v>
      </c>
      <c r="O3562">
        <v>-1.2</v>
      </c>
      <c r="P3562" t="s">
        <v>100</v>
      </c>
      <c r="Q3562">
        <v>0</v>
      </c>
      <c r="R3562" t="s">
        <v>145</v>
      </c>
      <c r="S3562">
        <v>0</v>
      </c>
    </row>
    <row r="3563" spans="1:19">
      <c r="A3563" t="s">
        <v>35</v>
      </c>
      <c r="B3563" t="s">
        <v>7885</v>
      </c>
      <c r="C3563">
        <f>"Q5AXXLCN"</f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1</v>
      </c>
      <c r="K3563">
        <v>5.085</v>
      </c>
      <c r="L3563" s="2">
        <v>5</v>
      </c>
      <c r="M3563">
        <v>0</v>
      </c>
      <c r="N3563" s="2">
        <v>0</v>
      </c>
      <c r="O3563">
        <v>-1.2</v>
      </c>
      <c r="P3563" t="s">
        <v>100</v>
      </c>
      <c r="Q3563">
        <v>0</v>
      </c>
      <c r="R3563" t="s">
        <v>145</v>
      </c>
      <c r="S3563">
        <v>0</v>
      </c>
    </row>
    <row r="3564" spans="1:19">
      <c r="A3564" t="s">
        <v>35</v>
      </c>
      <c r="B3564" t="s">
        <v>7901</v>
      </c>
      <c r="C3564">
        <f>"Q5AXLR"</f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1</v>
      </c>
      <c r="K3564">
        <v>4.491</v>
      </c>
      <c r="L3564" s="2">
        <v>4</v>
      </c>
      <c r="M3564">
        <v>0</v>
      </c>
      <c r="N3564" s="2">
        <v>0</v>
      </c>
      <c r="O3564">
        <v>-1.2</v>
      </c>
      <c r="P3564" t="s">
        <v>100</v>
      </c>
      <c r="Q3564">
        <v>0</v>
      </c>
      <c r="R3564" t="s">
        <v>145</v>
      </c>
      <c r="S3564">
        <v>0</v>
      </c>
    </row>
    <row r="3565" spans="1:19">
      <c r="A3565" t="s">
        <v>35</v>
      </c>
      <c r="B3565" t="s">
        <v>2529</v>
      </c>
      <c r="C3565">
        <f>"Q5AXLCH"</f>
        <v>0</v>
      </c>
      <c r="D3565">
        <v>1</v>
      </c>
      <c r="E3565">
        <v>0</v>
      </c>
      <c r="F3565">
        <v>0</v>
      </c>
      <c r="G3565">
        <v>0</v>
      </c>
      <c r="H3565">
        <v>1</v>
      </c>
      <c r="I3565">
        <v>0</v>
      </c>
      <c r="J3565">
        <v>1</v>
      </c>
      <c r="K3565">
        <v>4.491</v>
      </c>
      <c r="L3565" s="2">
        <v>4</v>
      </c>
      <c r="M3565">
        <v>0</v>
      </c>
      <c r="N3565" s="2">
        <v>0</v>
      </c>
      <c r="O3565">
        <v>-1.2</v>
      </c>
      <c r="P3565" t="s">
        <v>100</v>
      </c>
      <c r="Q3565">
        <v>0</v>
      </c>
      <c r="R3565" t="s">
        <v>145</v>
      </c>
      <c r="S3565">
        <v>0</v>
      </c>
    </row>
    <row r="3566" spans="1:19">
      <c r="A3566" t="s">
        <v>35</v>
      </c>
      <c r="B3566" t="s">
        <v>8203</v>
      </c>
      <c r="C3566">
        <f>"Q5ASMA"</f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1</v>
      </c>
      <c r="K3566">
        <v>3.06</v>
      </c>
      <c r="L3566" s="2">
        <v>3</v>
      </c>
      <c r="M3566">
        <v>0</v>
      </c>
      <c r="N3566" s="2">
        <v>0</v>
      </c>
      <c r="O3566">
        <v>-1.2</v>
      </c>
      <c r="P3566" t="s">
        <v>100</v>
      </c>
      <c r="Q3566">
        <v>0</v>
      </c>
      <c r="R3566" t="s">
        <v>145</v>
      </c>
      <c r="S3566">
        <v>0</v>
      </c>
    </row>
    <row r="3567" spans="1:19">
      <c r="A3567" t="s">
        <v>35</v>
      </c>
      <c r="B3567" t="s">
        <v>6213</v>
      </c>
      <c r="C3567">
        <f>"2392"</f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1</v>
      </c>
      <c r="K3567">
        <v>1.665</v>
      </c>
      <c r="L3567" s="2">
        <v>2</v>
      </c>
      <c r="M3567">
        <v>0</v>
      </c>
      <c r="N3567" s="2">
        <v>0</v>
      </c>
      <c r="O3567">
        <v>-1.2</v>
      </c>
      <c r="P3567" t="s">
        <v>100</v>
      </c>
      <c r="Q3567">
        <v>0</v>
      </c>
      <c r="R3567" t="s">
        <v>145</v>
      </c>
      <c r="S3567">
        <v>0</v>
      </c>
    </row>
    <row r="3568" spans="1:19">
      <c r="A3568" t="s">
        <v>35</v>
      </c>
      <c r="B3568" t="s">
        <v>2559</v>
      </c>
      <c r="C3568">
        <f>"980302"</f>
        <v>0</v>
      </c>
      <c r="D3568">
        <v>1</v>
      </c>
      <c r="E3568">
        <v>0</v>
      </c>
      <c r="F3568">
        <v>0</v>
      </c>
      <c r="G3568">
        <v>0</v>
      </c>
      <c r="H3568">
        <v>1</v>
      </c>
      <c r="I3568">
        <v>0</v>
      </c>
      <c r="J3568">
        <v>1</v>
      </c>
      <c r="K3568">
        <v>2.565</v>
      </c>
      <c r="L3568" s="2">
        <v>3</v>
      </c>
      <c r="M3568">
        <v>0</v>
      </c>
      <c r="N3568" s="2">
        <v>0</v>
      </c>
      <c r="O3568">
        <v>-1.2</v>
      </c>
      <c r="P3568" t="s">
        <v>100</v>
      </c>
      <c r="Q3568">
        <v>0</v>
      </c>
      <c r="R3568" t="s">
        <v>145</v>
      </c>
      <c r="S3568">
        <v>0</v>
      </c>
    </row>
    <row r="3569" spans="1:19">
      <c r="A3569" t="s">
        <v>35</v>
      </c>
      <c r="B3569" t="s">
        <v>9241</v>
      </c>
      <c r="C3569">
        <f>"ER070"</f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1</v>
      </c>
      <c r="K3569">
        <v>4.491</v>
      </c>
      <c r="L3569" s="2">
        <v>4</v>
      </c>
      <c r="M3569">
        <v>0</v>
      </c>
      <c r="N3569" s="2">
        <v>0</v>
      </c>
      <c r="O3569">
        <v>-1.2</v>
      </c>
      <c r="P3569" t="s">
        <v>100</v>
      </c>
      <c r="Q3569">
        <v>0</v>
      </c>
      <c r="R3569" t="s">
        <v>145</v>
      </c>
      <c r="S3569">
        <v>0</v>
      </c>
    </row>
    <row r="3570" spans="1:19">
      <c r="A3570" t="s">
        <v>35</v>
      </c>
      <c r="B3570" t="s">
        <v>5251</v>
      </c>
      <c r="C3570">
        <f>"WPS013FUC"</f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1</v>
      </c>
      <c r="K3570">
        <v>0</v>
      </c>
      <c r="L3570" s="2">
        <v>0</v>
      </c>
      <c r="M3570">
        <v>0</v>
      </c>
      <c r="N3570" s="2">
        <v>0</v>
      </c>
      <c r="O3570">
        <v>-1.2</v>
      </c>
      <c r="P3570" t="s">
        <v>100</v>
      </c>
      <c r="Q3570">
        <v>0</v>
      </c>
      <c r="R3570" t="s">
        <v>145</v>
      </c>
      <c r="S3570">
        <v>0</v>
      </c>
    </row>
    <row r="3571" spans="1:19">
      <c r="A3571" t="s">
        <v>35</v>
      </c>
      <c r="B3571" t="s">
        <v>6615</v>
      </c>
      <c r="C3571">
        <f>"CC309SRC"</f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1</v>
      </c>
      <c r="K3571">
        <v>3.285</v>
      </c>
      <c r="L3571" s="2">
        <v>3</v>
      </c>
      <c r="M3571">
        <v>0</v>
      </c>
      <c r="N3571" s="2">
        <v>0</v>
      </c>
      <c r="O3571">
        <v>-1.2</v>
      </c>
      <c r="P3571" t="s">
        <v>100</v>
      </c>
      <c r="Q3571">
        <v>0</v>
      </c>
      <c r="R3571" t="s">
        <v>145</v>
      </c>
      <c r="S3571">
        <v>0</v>
      </c>
    </row>
    <row r="3572" spans="1:19">
      <c r="A3572" t="s">
        <v>35</v>
      </c>
      <c r="B3572" t="s">
        <v>5228</v>
      </c>
      <c r="C3572">
        <f>"TC0029MO"</f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1</v>
      </c>
      <c r="K3572">
        <v>981</v>
      </c>
      <c r="L3572" s="2">
        <v>981</v>
      </c>
      <c r="M3572">
        <v>0</v>
      </c>
      <c r="N3572" s="2">
        <v>0</v>
      </c>
      <c r="O3572">
        <v>-1.2</v>
      </c>
      <c r="P3572" t="s">
        <v>100</v>
      </c>
      <c r="Q3572">
        <v>0</v>
      </c>
      <c r="R3572" t="s">
        <v>145</v>
      </c>
      <c r="S3572">
        <v>0</v>
      </c>
    </row>
    <row r="3573" spans="1:19">
      <c r="A3573" t="s">
        <v>35</v>
      </c>
      <c r="B3573" t="s">
        <v>8753</v>
      </c>
      <c r="C3573">
        <f>"92804NL"</f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1</v>
      </c>
      <c r="K3573">
        <v>14.85</v>
      </c>
      <c r="L3573" s="2">
        <v>15</v>
      </c>
      <c r="M3573">
        <v>0</v>
      </c>
      <c r="N3573" s="2">
        <v>0</v>
      </c>
      <c r="O3573">
        <v>-1.2</v>
      </c>
      <c r="P3573" t="s">
        <v>100</v>
      </c>
      <c r="Q3573">
        <v>0</v>
      </c>
      <c r="R3573" t="s">
        <v>145</v>
      </c>
      <c r="S3573">
        <v>0</v>
      </c>
    </row>
    <row r="3574" spans="1:19">
      <c r="A3574" t="s">
        <v>35</v>
      </c>
      <c r="B3574" t="s">
        <v>4198</v>
      </c>
      <c r="C3574">
        <f>"54B1230584XL"</f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1</v>
      </c>
      <c r="K3574">
        <v>12.146</v>
      </c>
      <c r="L3574" s="2">
        <v>12</v>
      </c>
      <c r="M3574">
        <v>0</v>
      </c>
      <c r="N3574" s="2">
        <v>0</v>
      </c>
      <c r="O3574">
        <v>-1.2</v>
      </c>
      <c r="P3574" t="s">
        <v>100</v>
      </c>
      <c r="Q3574">
        <v>0</v>
      </c>
      <c r="R3574" t="s">
        <v>145</v>
      </c>
      <c r="S3574">
        <v>0</v>
      </c>
    </row>
    <row r="3575" spans="1:19">
      <c r="A3575" t="s">
        <v>35</v>
      </c>
      <c r="B3575" t="s">
        <v>8757</v>
      </c>
      <c r="C3575">
        <f>"92804CL"</f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1</v>
      </c>
      <c r="K3575">
        <v>14.85</v>
      </c>
      <c r="L3575" s="2">
        <v>15</v>
      </c>
      <c r="M3575">
        <v>0</v>
      </c>
      <c r="N3575" s="2">
        <v>0</v>
      </c>
      <c r="O3575">
        <v>-1.2</v>
      </c>
      <c r="P3575" t="s">
        <v>100</v>
      </c>
      <c r="Q3575">
        <v>0</v>
      </c>
      <c r="R3575" t="s">
        <v>145</v>
      </c>
      <c r="S3575">
        <v>0</v>
      </c>
    </row>
    <row r="3576" spans="1:19">
      <c r="A3576" t="s">
        <v>35</v>
      </c>
      <c r="B3576" t="s">
        <v>9249</v>
      </c>
      <c r="C3576">
        <f>"TC2063G"</f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1</v>
      </c>
      <c r="K3576">
        <v>621</v>
      </c>
      <c r="L3576" s="2">
        <v>621</v>
      </c>
      <c r="M3576">
        <v>0</v>
      </c>
      <c r="N3576" s="2">
        <v>0</v>
      </c>
      <c r="O3576">
        <v>-1.2</v>
      </c>
      <c r="P3576" t="s">
        <v>100</v>
      </c>
      <c r="Q3576">
        <v>0</v>
      </c>
      <c r="R3576" t="s">
        <v>145</v>
      </c>
      <c r="S3576">
        <v>0</v>
      </c>
    </row>
    <row r="3577" spans="1:19">
      <c r="A3577" t="s">
        <v>35</v>
      </c>
      <c r="B3577" t="s">
        <v>2439</v>
      </c>
      <c r="C3577">
        <f>"TC2063CEL"</f>
        <v>0</v>
      </c>
      <c r="D3577">
        <v>0</v>
      </c>
      <c r="E3577">
        <v>0</v>
      </c>
      <c r="F3577">
        <v>1</v>
      </c>
      <c r="G3577">
        <v>0</v>
      </c>
      <c r="H3577">
        <v>1</v>
      </c>
      <c r="I3577">
        <v>0</v>
      </c>
      <c r="J3577">
        <v>1</v>
      </c>
      <c r="K3577">
        <v>621</v>
      </c>
      <c r="L3577" s="2">
        <v>621</v>
      </c>
      <c r="M3577">
        <v>0</v>
      </c>
      <c r="N3577" s="2">
        <v>0</v>
      </c>
      <c r="O3577">
        <v>-1.2</v>
      </c>
      <c r="P3577" t="s">
        <v>100</v>
      </c>
      <c r="Q3577">
        <v>0</v>
      </c>
      <c r="R3577" t="s">
        <v>145</v>
      </c>
      <c r="S3577">
        <v>0</v>
      </c>
    </row>
    <row r="3578" spans="1:19">
      <c r="A3578" t="s">
        <v>35</v>
      </c>
      <c r="B3578" t="s">
        <v>9251</v>
      </c>
      <c r="C3578">
        <f>"DGY130"</f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1</v>
      </c>
      <c r="K3578">
        <v>855</v>
      </c>
      <c r="L3578" s="2">
        <v>855</v>
      </c>
      <c r="M3578">
        <v>0</v>
      </c>
      <c r="N3578" s="2">
        <v>0</v>
      </c>
      <c r="O3578">
        <v>-1.2</v>
      </c>
      <c r="P3578" t="s">
        <v>100</v>
      </c>
      <c r="Q3578">
        <v>0</v>
      </c>
      <c r="R3578" t="s">
        <v>145</v>
      </c>
      <c r="S3578">
        <v>0</v>
      </c>
    </row>
    <row r="3579" spans="1:19">
      <c r="A3579" t="s">
        <v>35</v>
      </c>
      <c r="B3579" t="s">
        <v>9236</v>
      </c>
      <c r="C3579">
        <f>"CBT22"</f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1</v>
      </c>
      <c r="K3579">
        <v>1.035</v>
      </c>
      <c r="L3579" s="2">
        <v>1</v>
      </c>
      <c r="M3579">
        <v>0</v>
      </c>
      <c r="N3579" s="2">
        <v>0</v>
      </c>
      <c r="O3579">
        <v>-1.2</v>
      </c>
      <c r="P3579" t="s">
        <v>100</v>
      </c>
      <c r="Q3579">
        <v>0</v>
      </c>
      <c r="R3579" t="s">
        <v>145</v>
      </c>
      <c r="S3579">
        <v>0</v>
      </c>
    </row>
    <row r="3580" spans="1:19">
      <c r="A3580" t="s">
        <v>35</v>
      </c>
      <c r="B3580" t="s">
        <v>9193</v>
      </c>
      <c r="C3580">
        <f>"SDR111A"</f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1</v>
      </c>
      <c r="K3580">
        <v>1.431</v>
      </c>
      <c r="L3580" s="2">
        <v>1</v>
      </c>
      <c r="M3580">
        <v>0</v>
      </c>
      <c r="N3580" s="2">
        <v>0</v>
      </c>
      <c r="O3580">
        <v>-1.2</v>
      </c>
      <c r="P3580" t="s">
        <v>100</v>
      </c>
      <c r="Q3580">
        <v>0</v>
      </c>
      <c r="R3580" t="s">
        <v>145</v>
      </c>
      <c r="S3580">
        <v>0</v>
      </c>
    </row>
    <row r="3581" spans="1:19">
      <c r="A3581" t="s">
        <v>35</v>
      </c>
      <c r="B3581" t="s">
        <v>406</v>
      </c>
      <c r="C3581">
        <f>"JWZ1032XL"</f>
        <v>0</v>
      </c>
      <c r="D3581">
        <v>0</v>
      </c>
      <c r="E3581">
        <v>0</v>
      </c>
      <c r="F3581">
        <v>46</v>
      </c>
      <c r="G3581">
        <v>0</v>
      </c>
      <c r="H3581">
        <v>46</v>
      </c>
      <c r="I3581">
        <v>0</v>
      </c>
      <c r="J3581">
        <v>1</v>
      </c>
      <c r="K3581">
        <v>1.305</v>
      </c>
      <c r="L3581" s="2">
        <v>1</v>
      </c>
      <c r="M3581">
        <v>0</v>
      </c>
      <c r="N3581" s="2">
        <v>0</v>
      </c>
      <c r="O3581">
        <v>-1.2</v>
      </c>
      <c r="P3581" t="s">
        <v>100</v>
      </c>
      <c r="Q3581">
        <v>1.305</v>
      </c>
      <c r="R3581" t="s">
        <v>145</v>
      </c>
      <c r="S3581">
        <v>0</v>
      </c>
    </row>
    <row r="3582" spans="1:19">
      <c r="A3582" t="s">
        <v>35</v>
      </c>
      <c r="B3582" t="s">
        <v>6654</v>
      </c>
      <c r="C3582">
        <f>"CC309SVNG"</f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1</v>
      </c>
      <c r="K3582">
        <v>3.285</v>
      </c>
      <c r="L3582" s="2">
        <v>3</v>
      </c>
      <c r="M3582">
        <v>0</v>
      </c>
      <c r="N3582" s="2">
        <v>0</v>
      </c>
      <c r="O3582">
        <v>-1.2</v>
      </c>
      <c r="P3582" t="s">
        <v>100</v>
      </c>
      <c r="Q3582">
        <v>0</v>
      </c>
      <c r="R3582" t="s">
        <v>145</v>
      </c>
      <c r="S3582">
        <v>0</v>
      </c>
    </row>
    <row r="3583" spans="1:19">
      <c r="A3583" t="s">
        <v>35</v>
      </c>
      <c r="B3583" t="s">
        <v>5268</v>
      </c>
      <c r="C3583">
        <f>"wps013AMA"</f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1</v>
      </c>
      <c r="K3583">
        <v>498</v>
      </c>
      <c r="L3583" s="2">
        <v>498</v>
      </c>
      <c r="M3583">
        <v>0</v>
      </c>
      <c r="N3583" s="2">
        <v>0</v>
      </c>
      <c r="O3583">
        <v>-1.2</v>
      </c>
      <c r="P3583" t="s">
        <v>100</v>
      </c>
      <c r="Q3583">
        <v>0</v>
      </c>
      <c r="R3583" t="s">
        <v>145</v>
      </c>
      <c r="S3583">
        <v>0</v>
      </c>
    </row>
    <row r="3584" spans="1:19">
      <c r="A3584" t="s">
        <v>35</v>
      </c>
      <c r="B3584" t="s">
        <v>2548</v>
      </c>
      <c r="C3584">
        <f>"HDD181CS"</f>
        <v>0</v>
      </c>
      <c r="D3584">
        <v>0</v>
      </c>
      <c r="E3584">
        <v>1</v>
      </c>
      <c r="F3584">
        <v>0</v>
      </c>
      <c r="G3584">
        <v>0</v>
      </c>
      <c r="H3584">
        <v>1</v>
      </c>
      <c r="I3584">
        <v>0</v>
      </c>
      <c r="J3584">
        <v>1</v>
      </c>
      <c r="K3584">
        <v>855</v>
      </c>
      <c r="L3584" s="2">
        <v>855</v>
      </c>
      <c r="M3584">
        <v>0</v>
      </c>
      <c r="N3584" s="2">
        <v>0</v>
      </c>
      <c r="O3584">
        <v>-1.2</v>
      </c>
      <c r="P3584" t="s">
        <v>100</v>
      </c>
      <c r="Q3584">
        <v>0</v>
      </c>
      <c r="R3584" t="s">
        <v>145</v>
      </c>
      <c r="S3584">
        <v>0</v>
      </c>
    </row>
    <row r="3585" spans="1:19">
      <c r="A3585" t="s">
        <v>35</v>
      </c>
      <c r="B3585" t="s">
        <v>2557</v>
      </c>
      <c r="C3585">
        <f>"970311"</f>
        <v>0</v>
      </c>
      <c r="D3585">
        <v>0</v>
      </c>
      <c r="E3585">
        <v>1</v>
      </c>
      <c r="F3585">
        <v>0</v>
      </c>
      <c r="G3585">
        <v>0</v>
      </c>
      <c r="H3585">
        <v>1</v>
      </c>
      <c r="I3585">
        <v>0</v>
      </c>
      <c r="J3585">
        <v>1</v>
      </c>
      <c r="K3585">
        <v>2.385</v>
      </c>
      <c r="L3585" s="2">
        <v>2</v>
      </c>
      <c r="M3585">
        <v>0</v>
      </c>
      <c r="N3585" s="2">
        <v>0</v>
      </c>
      <c r="O3585">
        <v>-1.2</v>
      </c>
      <c r="P3585" t="s">
        <v>100</v>
      </c>
      <c r="Q3585">
        <v>0</v>
      </c>
      <c r="R3585" t="s">
        <v>145</v>
      </c>
      <c r="S3585">
        <v>0</v>
      </c>
    </row>
    <row r="3586" spans="1:19">
      <c r="A3586" t="s">
        <v>35</v>
      </c>
      <c r="B3586" t="s">
        <v>8122</v>
      </c>
      <c r="C3586">
        <f>"QSPT010"</f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1</v>
      </c>
      <c r="K3586">
        <v>10.35</v>
      </c>
      <c r="L3586" s="2">
        <v>10</v>
      </c>
      <c r="M3586">
        <v>0</v>
      </c>
      <c r="N3586" s="2">
        <v>0</v>
      </c>
      <c r="O3586">
        <v>-1.2</v>
      </c>
      <c r="P3586" t="s">
        <v>100</v>
      </c>
      <c r="Q3586">
        <v>0</v>
      </c>
      <c r="R3586" t="s">
        <v>145</v>
      </c>
      <c r="S3586">
        <v>0</v>
      </c>
    </row>
    <row r="3587" spans="1:19">
      <c r="A3587" t="s">
        <v>35</v>
      </c>
      <c r="B3587" t="s">
        <v>5263</v>
      </c>
      <c r="C3587">
        <f>"TC0018CEL"</f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1</v>
      </c>
      <c r="K3587">
        <v>585</v>
      </c>
      <c r="L3587" s="2">
        <v>585</v>
      </c>
      <c r="M3587">
        <v>0</v>
      </c>
      <c r="N3587" s="2">
        <v>0</v>
      </c>
      <c r="O3587">
        <v>-1.2</v>
      </c>
      <c r="P3587" t="s">
        <v>100</v>
      </c>
      <c r="Q3587">
        <v>0</v>
      </c>
      <c r="R3587" t="s">
        <v>145</v>
      </c>
      <c r="S3587">
        <v>0</v>
      </c>
    </row>
    <row r="3588" spans="1:19">
      <c r="A3588" t="s">
        <v>35</v>
      </c>
      <c r="B3588" t="s">
        <v>5266</v>
      </c>
      <c r="C3588">
        <f>"CT118"</f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1</v>
      </c>
      <c r="K3588">
        <v>855</v>
      </c>
      <c r="L3588" s="2">
        <v>855</v>
      </c>
      <c r="M3588">
        <v>0</v>
      </c>
      <c r="N3588" s="2">
        <v>0</v>
      </c>
      <c r="O3588">
        <v>-1.2</v>
      </c>
      <c r="P3588" t="s">
        <v>100</v>
      </c>
      <c r="Q3588">
        <v>0</v>
      </c>
      <c r="R3588" t="s">
        <v>145</v>
      </c>
      <c r="S3588">
        <v>0</v>
      </c>
    </row>
    <row r="3589" spans="1:19">
      <c r="A3589" t="s">
        <v>35</v>
      </c>
      <c r="B3589" t="s">
        <v>6572</v>
      </c>
      <c r="C3589">
        <f>"PQ013"</f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1</v>
      </c>
      <c r="K3589">
        <v>675</v>
      </c>
      <c r="L3589" s="2">
        <v>675</v>
      </c>
      <c r="M3589">
        <v>0</v>
      </c>
      <c r="N3589" s="2">
        <v>0</v>
      </c>
      <c r="O3589">
        <v>-1.2</v>
      </c>
      <c r="P3589" t="s">
        <v>100</v>
      </c>
      <c r="Q3589">
        <v>0</v>
      </c>
      <c r="R3589" t="s">
        <v>145</v>
      </c>
      <c r="S3589">
        <v>0</v>
      </c>
    </row>
    <row r="3590" spans="1:19">
      <c r="A3590" t="s">
        <v>35</v>
      </c>
      <c r="B3590" t="s">
        <v>2091</v>
      </c>
      <c r="C3590">
        <f>"SDR115"</f>
        <v>0</v>
      </c>
      <c r="D3590">
        <v>3</v>
      </c>
      <c r="E3590">
        <v>0</v>
      </c>
      <c r="F3590">
        <v>0</v>
      </c>
      <c r="G3590">
        <v>0</v>
      </c>
      <c r="H3590">
        <v>3</v>
      </c>
      <c r="I3590">
        <v>0</v>
      </c>
      <c r="J3590">
        <v>1</v>
      </c>
      <c r="K3590">
        <v>2.331</v>
      </c>
      <c r="L3590" s="2">
        <v>2</v>
      </c>
      <c r="M3590">
        <v>0</v>
      </c>
      <c r="N3590" s="2">
        <v>0</v>
      </c>
      <c r="O3590">
        <v>-1.2</v>
      </c>
      <c r="P3590" t="s">
        <v>100</v>
      </c>
      <c r="Q3590">
        <v>0</v>
      </c>
      <c r="R3590" t="s">
        <v>145</v>
      </c>
      <c r="S3590">
        <v>0</v>
      </c>
    </row>
    <row r="3591" spans="1:19">
      <c r="A3591" t="s">
        <v>35</v>
      </c>
      <c r="B3591" t="s">
        <v>2356</v>
      </c>
      <c r="C3591">
        <f>"DM2044"</f>
        <v>0</v>
      </c>
      <c r="D3591">
        <v>1</v>
      </c>
      <c r="E3591">
        <v>0</v>
      </c>
      <c r="F3591">
        <v>0</v>
      </c>
      <c r="G3591">
        <v>0</v>
      </c>
      <c r="H3591">
        <v>1</v>
      </c>
      <c r="I3591">
        <v>0</v>
      </c>
      <c r="J3591">
        <v>1</v>
      </c>
      <c r="K3591">
        <v>2.61</v>
      </c>
      <c r="L3591" s="2">
        <v>3</v>
      </c>
      <c r="M3591">
        <v>0</v>
      </c>
      <c r="N3591" s="2">
        <v>0</v>
      </c>
      <c r="O3591">
        <v>-1.2</v>
      </c>
      <c r="P3591" t="s">
        <v>100</v>
      </c>
      <c r="Q3591">
        <v>0</v>
      </c>
      <c r="R3591" t="s">
        <v>145</v>
      </c>
      <c r="S3591">
        <v>0</v>
      </c>
    </row>
    <row r="3592" spans="1:19">
      <c r="A3592" t="s">
        <v>35</v>
      </c>
      <c r="B3592" t="s">
        <v>7465</v>
      </c>
      <c r="C3592">
        <f>"FB517LM"</f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1</v>
      </c>
      <c r="K3592">
        <v>7.65</v>
      </c>
      <c r="L3592" s="2">
        <v>8</v>
      </c>
      <c r="M3592">
        <v>0</v>
      </c>
      <c r="N3592" s="2">
        <v>0</v>
      </c>
      <c r="O3592">
        <v>-1.2</v>
      </c>
      <c r="P3592" t="s">
        <v>100</v>
      </c>
      <c r="Q3592">
        <v>0</v>
      </c>
      <c r="R3592" t="s">
        <v>145</v>
      </c>
      <c r="S3592">
        <v>0</v>
      </c>
    </row>
    <row r="3593" spans="1:19">
      <c r="A3593" t="s">
        <v>35</v>
      </c>
      <c r="B3593" t="s">
        <v>8197</v>
      </c>
      <c r="C3593">
        <f>"WBC008L"</f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1</v>
      </c>
      <c r="K3593">
        <v>3.27</v>
      </c>
      <c r="L3593" s="2">
        <v>3</v>
      </c>
      <c r="M3593">
        <v>0</v>
      </c>
      <c r="N3593" s="2">
        <v>0</v>
      </c>
      <c r="O3593">
        <v>-1.2</v>
      </c>
      <c r="P3593" t="s">
        <v>100</v>
      </c>
      <c r="Q3593">
        <v>0</v>
      </c>
      <c r="R3593" t="s">
        <v>145</v>
      </c>
      <c r="S3593">
        <v>0</v>
      </c>
    </row>
    <row r="3594" spans="1:19">
      <c r="A3594" t="s">
        <v>35</v>
      </c>
      <c r="B3594" t="s">
        <v>7482</v>
      </c>
      <c r="C3594">
        <f>"JGTTT"</f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1</v>
      </c>
      <c r="K3594">
        <v>5.461</v>
      </c>
      <c r="L3594" s="2">
        <v>5</v>
      </c>
      <c r="M3594">
        <v>0</v>
      </c>
      <c r="N3594" s="2">
        <v>0</v>
      </c>
      <c r="O3594">
        <v>-1.2</v>
      </c>
      <c r="P3594" t="s">
        <v>100</v>
      </c>
      <c r="Q3594">
        <v>0</v>
      </c>
      <c r="R3594" t="s">
        <v>145</v>
      </c>
      <c r="S3594">
        <v>0</v>
      </c>
    </row>
    <row r="3595" spans="1:19">
      <c r="A3595" t="s">
        <v>35</v>
      </c>
      <c r="B3595" t="s">
        <v>7420</v>
      </c>
      <c r="C3595">
        <f>"PT015SAZ"</f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1</v>
      </c>
      <c r="K3595">
        <v>2.61</v>
      </c>
      <c r="L3595" s="2">
        <v>3</v>
      </c>
      <c r="M3595">
        <v>0</v>
      </c>
      <c r="N3595" s="2">
        <v>0</v>
      </c>
      <c r="O3595">
        <v>-1.2</v>
      </c>
      <c r="P3595" t="s">
        <v>100</v>
      </c>
      <c r="Q3595">
        <v>0</v>
      </c>
      <c r="R3595" t="s">
        <v>145</v>
      </c>
      <c r="S3595">
        <v>0</v>
      </c>
    </row>
    <row r="3596" spans="1:19">
      <c r="A3596" t="s">
        <v>35</v>
      </c>
      <c r="B3596" t="s">
        <v>7564</v>
      </c>
      <c r="C3596">
        <f>"PT015MCCUA"</f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1</v>
      </c>
      <c r="K3596">
        <v>0</v>
      </c>
      <c r="L3596" s="2">
        <v>0</v>
      </c>
      <c r="M3596">
        <v>0</v>
      </c>
      <c r="N3596" s="2">
        <v>0</v>
      </c>
      <c r="O3596">
        <v>-1.2</v>
      </c>
      <c r="P3596" t="s">
        <v>100</v>
      </c>
      <c r="Q3596">
        <v>0</v>
      </c>
      <c r="R3596" t="s">
        <v>145</v>
      </c>
      <c r="S3596">
        <v>0</v>
      </c>
    </row>
    <row r="3597" spans="1:19">
      <c r="A3597" t="s">
        <v>35</v>
      </c>
      <c r="B3597" t="s">
        <v>2480</v>
      </c>
      <c r="C3597">
        <f>"1250"</f>
        <v>0</v>
      </c>
      <c r="D3597">
        <v>0</v>
      </c>
      <c r="E3597">
        <v>0</v>
      </c>
      <c r="F3597">
        <v>1</v>
      </c>
      <c r="G3597">
        <v>0</v>
      </c>
      <c r="H3597">
        <v>1</v>
      </c>
      <c r="I3597">
        <v>0</v>
      </c>
      <c r="J3597">
        <v>1</v>
      </c>
      <c r="K3597">
        <v>35.928</v>
      </c>
      <c r="L3597" s="2">
        <v>36</v>
      </c>
      <c r="M3597">
        <v>0</v>
      </c>
      <c r="N3597" s="2">
        <v>0</v>
      </c>
      <c r="O3597">
        <v>-1.2</v>
      </c>
      <c r="P3597" t="s">
        <v>100</v>
      </c>
      <c r="Q3597">
        <v>0</v>
      </c>
      <c r="R3597" t="s">
        <v>145</v>
      </c>
      <c r="S3597">
        <v>0</v>
      </c>
    </row>
    <row r="3598" spans="1:19">
      <c r="A3598" t="s">
        <v>35</v>
      </c>
      <c r="B3598" t="s">
        <v>5599</v>
      </c>
      <c r="C3598">
        <f>"EZ3001ROS"</f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1</v>
      </c>
      <c r="K3598">
        <v>4.9</v>
      </c>
      <c r="L3598" s="2">
        <v>5</v>
      </c>
      <c r="M3598">
        <v>0</v>
      </c>
      <c r="N3598" s="2">
        <v>0</v>
      </c>
      <c r="O3598">
        <v>-1.2</v>
      </c>
      <c r="P3598" t="s">
        <v>100</v>
      </c>
      <c r="Q3598">
        <v>0</v>
      </c>
      <c r="R3598" t="s">
        <v>145</v>
      </c>
      <c r="S3598">
        <v>0</v>
      </c>
    </row>
    <row r="3599" spans="1:19">
      <c r="A3599" t="s">
        <v>35</v>
      </c>
      <c r="B3599" t="s">
        <v>6570</v>
      </c>
      <c r="C3599">
        <f>"CC309XSAC"</f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1</v>
      </c>
      <c r="K3599">
        <v>3.141</v>
      </c>
      <c r="L3599" s="2">
        <v>3</v>
      </c>
      <c r="M3599">
        <v>0</v>
      </c>
      <c r="N3599" s="2">
        <v>0</v>
      </c>
      <c r="O3599">
        <v>-1.2</v>
      </c>
      <c r="P3599" t="s">
        <v>100</v>
      </c>
      <c r="Q3599">
        <v>0</v>
      </c>
      <c r="R3599" t="s">
        <v>145</v>
      </c>
      <c r="S3599">
        <v>0</v>
      </c>
    </row>
    <row r="3600" spans="1:19">
      <c r="A3600" t="s">
        <v>35</v>
      </c>
      <c r="B3600" t="s">
        <v>6595</v>
      </c>
      <c r="C3600">
        <f>"CC309XSACN"</f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1</v>
      </c>
      <c r="K3600">
        <v>3.141</v>
      </c>
      <c r="L3600" s="2">
        <v>3</v>
      </c>
      <c r="M3600">
        <v>0</v>
      </c>
      <c r="N3600" s="2">
        <v>0</v>
      </c>
      <c r="O3600">
        <v>-1.2</v>
      </c>
      <c r="P3600" t="s">
        <v>100</v>
      </c>
      <c r="Q3600">
        <v>0</v>
      </c>
      <c r="R3600" t="s">
        <v>145</v>
      </c>
      <c r="S3600">
        <v>0</v>
      </c>
    </row>
    <row r="3601" spans="1:19">
      <c r="A3601" t="s">
        <v>35</v>
      </c>
      <c r="B3601" t="s">
        <v>8675</v>
      </c>
      <c r="C3601">
        <f>"DB821MS"</f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1</v>
      </c>
      <c r="K3601">
        <v>7.191</v>
      </c>
      <c r="L3601" s="2">
        <v>7</v>
      </c>
      <c r="M3601">
        <v>0</v>
      </c>
      <c r="N3601" s="2">
        <v>0</v>
      </c>
      <c r="O3601">
        <v>-1.2</v>
      </c>
      <c r="P3601" t="s">
        <v>100</v>
      </c>
      <c r="Q3601">
        <v>0</v>
      </c>
      <c r="R3601" t="s">
        <v>145</v>
      </c>
      <c r="S3601">
        <v>0</v>
      </c>
    </row>
    <row r="3602" spans="1:19">
      <c r="A3602" t="s">
        <v>35</v>
      </c>
      <c r="B3602" t="s">
        <v>8499</v>
      </c>
      <c r="C3602">
        <f>"8710"</f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1</v>
      </c>
      <c r="K3602">
        <v>1.395</v>
      </c>
      <c r="L3602" s="2">
        <v>1</v>
      </c>
      <c r="M3602">
        <v>0</v>
      </c>
      <c r="N3602" s="2">
        <v>0</v>
      </c>
      <c r="O3602">
        <v>-1.2</v>
      </c>
      <c r="P3602" t="s">
        <v>100</v>
      </c>
      <c r="Q3602">
        <v>0</v>
      </c>
      <c r="R3602" t="s">
        <v>145</v>
      </c>
      <c r="S3602">
        <v>0</v>
      </c>
    </row>
    <row r="3603" spans="1:19">
      <c r="A3603" t="s">
        <v>35</v>
      </c>
      <c r="B3603" t="s">
        <v>9119</v>
      </c>
      <c r="C3603">
        <f>"8715"</f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1</v>
      </c>
      <c r="K3603">
        <v>1.665</v>
      </c>
      <c r="L3603" s="2">
        <v>2</v>
      </c>
      <c r="M3603">
        <v>0</v>
      </c>
      <c r="N3603" s="2">
        <v>0</v>
      </c>
      <c r="O3603">
        <v>-1.2</v>
      </c>
      <c r="P3603" t="s">
        <v>100</v>
      </c>
      <c r="Q3603">
        <v>0</v>
      </c>
      <c r="R3603" t="s">
        <v>145</v>
      </c>
      <c r="S3603">
        <v>0</v>
      </c>
    </row>
    <row r="3604" spans="1:19">
      <c r="A3604" t="s">
        <v>35</v>
      </c>
      <c r="B3604" t="s">
        <v>7863</v>
      </c>
      <c r="C3604">
        <f>"1837S"</f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1</v>
      </c>
      <c r="K3604">
        <v>2.88</v>
      </c>
      <c r="L3604" s="2">
        <v>3</v>
      </c>
      <c r="M3604">
        <v>0</v>
      </c>
      <c r="N3604" s="2">
        <v>0</v>
      </c>
      <c r="O3604">
        <v>-1.2</v>
      </c>
      <c r="P3604" t="s">
        <v>100</v>
      </c>
      <c r="Q3604">
        <v>0</v>
      </c>
      <c r="R3604" t="s">
        <v>145</v>
      </c>
      <c r="S3604">
        <v>0</v>
      </c>
    </row>
    <row r="3605" spans="1:19">
      <c r="A3605" t="s">
        <v>35</v>
      </c>
      <c r="B3605" t="s">
        <v>8138</v>
      </c>
      <c r="C3605">
        <f>"ELI121C"</f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1</v>
      </c>
      <c r="K3605">
        <v>3.15</v>
      </c>
      <c r="L3605" s="2">
        <v>3</v>
      </c>
      <c r="M3605">
        <v>0</v>
      </c>
      <c r="N3605" s="2">
        <v>0</v>
      </c>
      <c r="O3605">
        <v>-1.2</v>
      </c>
      <c r="P3605" t="s">
        <v>100</v>
      </c>
      <c r="Q3605">
        <v>0</v>
      </c>
      <c r="R3605" t="s">
        <v>145</v>
      </c>
      <c r="S3605">
        <v>0</v>
      </c>
    </row>
    <row r="3606" spans="1:19">
      <c r="A3606" t="s">
        <v>35</v>
      </c>
      <c r="B3606" t="s">
        <v>2510</v>
      </c>
      <c r="C3606">
        <f>"PT015SCCUA"</f>
        <v>0</v>
      </c>
      <c r="D3606">
        <v>0</v>
      </c>
      <c r="E3606">
        <v>0</v>
      </c>
      <c r="F3606">
        <v>1</v>
      </c>
      <c r="G3606">
        <v>0</v>
      </c>
      <c r="H3606">
        <v>1</v>
      </c>
      <c r="I3606">
        <v>0</v>
      </c>
      <c r="J3606">
        <v>1</v>
      </c>
      <c r="K3606">
        <v>2.61</v>
      </c>
      <c r="L3606" s="2">
        <v>3</v>
      </c>
      <c r="M3606">
        <v>0</v>
      </c>
      <c r="N3606" s="2">
        <v>0</v>
      </c>
      <c r="O3606">
        <v>-1.2</v>
      </c>
      <c r="P3606" t="s">
        <v>100</v>
      </c>
      <c r="Q3606">
        <v>0</v>
      </c>
      <c r="R3606" t="s">
        <v>145</v>
      </c>
      <c r="S3606">
        <v>0</v>
      </c>
    </row>
    <row r="3607" spans="1:19">
      <c r="A3607" t="s">
        <v>35</v>
      </c>
      <c r="B3607" t="s">
        <v>5427</v>
      </c>
      <c r="C3607">
        <f>"VVHAXS"</f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1</v>
      </c>
      <c r="K3607">
        <v>1</v>
      </c>
      <c r="L3607" s="2">
        <v>1</v>
      </c>
      <c r="M3607">
        <v>0</v>
      </c>
      <c r="N3607" s="2">
        <v>0</v>
      </c>
      <c r="O3607">
        <v>-1.2</v>
      </c>
      <c r="P3607" t="s">
        <v>100</v>
      </c>
      <c r="Q3607">
        <v>0</v>
      </c>
      <c r="R3607" t="s">
        <v>145</v>
      </c>
      <c r="S3607">
        <v>0</v>
      </c>
    </row>
    <row r="3608" spans="1:19">
      <c r="A3608" t="s">
        <v>35</v>
      </c>
      <c r="B3608" t="s">
        <v>2596</v>
      </c>
      <c r="C3608">
        <f>"HDD129"</f>
        <v>0</v>
      </c>
      <c r="D3608">
        <v>1</v>
      </c>
      <c r="E3608">
        <v>0</v>
      </c>
      <c r="F3608">
        <v>0</v>
      </c>
      <c r="G3608">
        <v>0</v>
      </c>
      <c r="H3608">
        <v>1</v>
      </c>
      <c r="I3608">
        <v>0</v>
      </c>
      <c r="J3608">
        <v>1</v>
      </c>
      <c r="K3608">
        <v>711</v>
      </c>
      <c r="L3608" s="2">
        <v>711</v>
      </c>
      <c r="M3608">
        <v>0</v>
      </c>
      <c r="N3608" s="2">
        <v>0</v>
      </c>
      <c r="O3608">
        <v>-1.2</v>
      </c>
      <c r="P3608" t="s">
        <v>100</v>
      </c>
      <c r="Q3608">
        <v>0</v>
      </c>
      <c r="R3608" t="s">
        <v>145</v>
      </c>
      <c r="S3608">
        <v>0</v>
      </c>
    </row>
    <row r="3609" spans="1:19">
      <c r="A3609" t="s">
        <v>35</v>
      </c>
      <c r="B3609" t="s">
        <v>9113</v>
      </c>
      <c r="C3609">
        <f>"CWB015MAZ"</f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1</v>
      </c>
      <c r="K3609">
        <v>12.555</v>
      </c>
      <c r="L3609" s="2">
        <v>13</v>
      </c>
      <c r="M3609">
        <v>0</v>
      </c>
      <c r="N3609" s="2">
        <v>0</v>
      </c>
      <c r="O3609">
        <v>-1.2</v>
      </c>
      <c r="P3609" t="s">
        <v>100</v>
      </c>
      <c r="Q3609">
        <v>0</v>
      </c>
      <c r="R3609" t="s">
        <v>145</v>
      </c>
      <c r="S3609">
        <v>0</v>
      </c>
    </row>
    <row r="3610" spans="1:19">
      <c r="A3610" t="s">
        <v>35</v>
      </c>
      <c r="B3610" t="s">
        <v>9252</v>
      </c>
      <c r="C3610">
        <f>"CWB015LROJ"</f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1</v>
      </c>
      <c r="K3610">
        <v>12.591</v>
      </c>
      <c r="L3610" s="2">
        <v>13</v>
      </c>
      <c r="M3610">
        <v>0</v>
      </c>
      <c r="N3610" s="2">
        <v>0</v>
      </c>
      <c r="O3610">
        <v>-1.2</v>
      </c>
      <c r="P3610" t="s">
        <v>100</v>
      </c>
      <c r="Q3610">
        <v>0</v>
      </c>
      <c r="R3610" t="s">
        <v>145</v>
      </c>
      <c r="S3610">
        <v>0</v>
      </c>
    </row>
    <row r="3611" spans="1:19">
      <c r="A3611" t="s">
        <v>35</v>
      </c>
      <c r="B3611" t="s">
        <v>9237</v>
      </c>
      <c r="C3611">
        <f>"CWB015LGR"</f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1</v>
      </c>
      <c r="K3611">
        <v>12.591</v>
      </c>
      <c r="L3611" s="2">
        <v>13</v>
      </c>
      <c r="M3611">
        <v>0</v>
      </c>
      <c r="N3611" s="2">
        <v>0</v>
      </c>
      <c r="O3611">
        <v>-1.2</v>
      </c>
      <c r="P3611" t="s">
        <v>100</v>
      </c>
      <c r="Q3611">
        <v>0</v>
      </c>
      <c r="R3611" t="s">
        <v>145</v>
      </c>
      <c r="S3611">
        <v>0</v>
      </c>
    </row>
    <row r="3612" spans="1:19">
      <c r="A3612" t="s">
        <v>35</v>
      </c>
      <c r="B3612" t="s">
        <v>9238</v>
      </c>
      <c r="C3612">
        <f>"CWB015LAZ"</f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1</v>
      </c>
      <c r="K3612">
        <v>12.591</v>
      </c>
      <c r="L3612" s="2">
        <v>13</v>
      </c>
      <c r="M3612">
        <v>0</v>
      </c>
      <c r="N3612" s="2">
        <v>0</v>
      </c>
      <c r="O3612">
        <v>-1.2</v>
      </c>
      <c r="P3612" t="s">
        <v>100</v>
      </c>
      <c r="Q3612">
        <v>0</v>
      </c>
      <c r="R3612" t="s">
        <v>145</v>
      </c>
      <c r="S3612">
        <v>0</v>
      </c>
    </row>
    <row r="3613" spans="1:19">
      <c r="A3613" t="s">
        <v>35</v>
      </c>
      <c r="B3613" t="s">
        <v>5475</v>
      </c>
      <c r="C3613">
        <f>"KF8055G"</f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1</v>
      </c>
      <c r="K3613">
        <v>14.63</v>
      </c>
      <c r="L3613" s="2">
        <v>15</v>
      </c>
      <c r="M3613">
        <v>0</v>
      </c>
      <c r="N3613" s="2">
        <v>0</v>
      </c>
      <c r="O3613">
        <v>-1.2</v>
      </c>
      <c r="P3613" t="s">
        <v>100</v>
      </c>
      <c r="Q3613">
        <v>0</v>
      </c>
      <c r="R3613" t="s">
        <v>145</v>
      </c>
      <c r="S3613">
        <v>0</v>
      </c>
    </row>
    <row r="3614" spans="1:19">
      <c r="A3614" t="s">
        <v>35</v>
      </c>
      <c r="B3614" t="s">
        <v>2451</v>
      </c>
      <c r="C3614">
        <f>"BA046MA"</f>
        <v>0</v>
      </c>
      <c r="D3614">
        <v>1</v>
      </c>
      <c r="E3614">
        <v>0</v>
      </c>
      <c r="F3614">
        <v>0</v>
      </c>
      <c r="G3614">
        <v>0</v>
      </c>
      <c r="H3614">
        <v>1</v>
      </c>
      <c r="I3614">
        <v>0</v>
      </c>
      <c r="J3614">
        <v>1</v>
      </c>
      <c r="K3614">
        <v>945</v>
      </c>
      <c r="L3614" s="2">
        <v>945</v>
      </c>
      <c r="M3614">
        <v>0</v>
      </c>
      <c r="N3614" s="2">
        <v>0</v>
      </c>
      <c r="O3614">
        <v>-1.2</v>
      </c>
      <c r="P3614" t="s">
        <v>100</v>
      </c>
      <c r="Q3614">
        <v>0</v>
      </c>
      <c r="R3614" t="s">
        <v>145</v>
      </c>
      <c r="S3614">
        <v>0</v>
      </c>
    </row>
    <row r="3615" spans="1:19">
      <c r="A3615" t="s">
        <v>35</v>
      </c>
      <c r="B3615" t="s">
        <v>9225</v>
      </c>
      <c r="C3615">
        <f>"FS3202"</f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1</v>
      </c>
      <c r="K3615">
        <v>13.455</v>
      </c>
      <c r="L3615" s="2">
        <v>13</v>
      </c>
      <c r="M3615">
        <v>0</v>
      </c>
      <c r="N3615" s="2">
        <v>0</v>
      </c>
      <c r="O3615">
        <v>-1.2</v>
      </c>
      <c r="P3615" t="s">
        <v>100</v>
      </c>
      <c r="Q3615">
        <v>0</v>
      </c>
      <c r="R3615" t="s">
        <v>145</v>
      </c>
      <c r="S3615">
        <v>0</v>
      </c>
    </row>
    <row r="3616" spans="1:19">
      <c r="A3616" t="s">
        <v>35</v>
      </c>
      <c r="B3616" t="s">
        <v>2584</v>
      </c>
      <c r="C3616">
        <f>"HDDZ71"</f>
        <v>0</v>
      </c>
      <c r="D3616">
        <v>0</v>
      </c>
      <c r="E3616">
        <v>0</v>
      </c>
      <c r="F3616">
        <v>1</v>
      </c>
      <c r="G3616">
        <v>0</v>
      </c>
      <c r="H3616">
        <v>1</v>
      </c>
      <c r="I3616">
        <v>0</v>
      </c>
      <c r="J3616">
        <v>1</v>
      </c>
      <c r="K3616">
        <v>4.95</v>
      </c>
      <c r="L3616" s="2">
        <v>5</v>
      </c>
      <c r="M3616">
        <v>0</v>
      </c>
      <c r="N3616" s="2">
        <v>0</v>
      </c>
      <c r="O3616">
        <v>-1.2</v>
      </c>
      <c r="P3616" t="s">
        <v>100</v>
      </c>
      <c r="Q3616">
        <v>0</v>
      </c>
      <c r="R3616" t="s">
        <v>145</v>
      </c>
      <c r="S3616">
        <v>0</v>
      </c>
    </row>
    <row r="3617" spans="1:19">
      <c r="A3617" t="s">
        <v>35</v>
      </c>
      <c r="B3617" t="s">
        <v>5500</v>
      </c>
      <c r="C3617">
        <f>"BA001"</f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1</v>
      </c>
      <c r="K3617">
        <v>405</v>
      </c>
      <c r="L3617" s="2">
        <v>405</v>
      </c>
      <c r="M3617">
        <v>0</v>
      </c>
      <c r="N3617" s="2">
        <v>0</v>
      </c>
      <c r="O3617">
        <v>-1.2</v>
      </c>
      <c r="P3617" t="s">
        <v>100</v>
      </c>
      <c r="Q3617">
        <v>0</v>
      </c>
      <c r="R3617" t="s">
        <v>145</v>
      </c>
      <c r="S3617">
        <v>0</v>
      </c>
    </row>
    <row r="3618" spans="1:19">
      <c r="A3618" t="s">
        <v>35</v>
      </c>
      <c r="B3618" t="s">
        <v>9012</v>
      </c>
      <c r="C3618">
        <f>"HDD016M"</f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1</v>
      </c>
      <c r="K3618">
        <v>711</v>
      </c>
      <c r="L3618" s="2">
        <v>711</v>
      </c>
      <c r="M3618">
        <v>0</v>
      </c>
      <c r="N3618" s="2">
        <v>0</v>
      </c>
      <c r="O3618">
        <v>-1.2</v>
      </c>
      <c r="P3618" t="s">
        <v>100</v>
      </c>
      <c r="Q3618">
        <v>0</v>
      </c>
      <c r="R3618" t="s">
        <v>145</v>
      </c>
      <c r="S3618">
        <v>0</v>
      </c>
    </row>
    <row r="3619" spans="1:19">
      <c r="A3619" t="s">
        <v>35</v>
      </c>
      <c r="B3619" t="s">
        <v>7736</v>
      </c>
      <c r="C3619">
        <f>"FB6734XLA"</f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1</v>
      </c>
      <c r="K3619">
        <v>6.12</v>
      </c>
      <c r="L3619" s="2">
        <v>6</v>
      </c>
      <c r="M3619">
        <v>0</v>
      </c>
      <c r="N3619" s="2">
        <v>0</v>
      </c>
      <c r="O3619">
        <v>-1.2</v>
      </c>
      <c r="P3619" t="s">
        <v>100</v>
      </c>
      <c r="Q3619">
        <v>0</v>
      </c>
      <c r="R3619" t="s">
        <v>145</v>
      </c>
      <c r="S3619">
        <v>0</v>
      </c>
    </row>
    <row r="3620" spans="1:19">
      <c r="A3620" t="s">
        <v>35</v>
      </c>
      <c r="B3620" t="s">
        <v>8430</v>
      </c>
      <c r="C3620">
        <f>"88004"</f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1</v>
      </c>
      <c r="K3620">
        <v>1.98</v>
      </c>
      <c r="L3620" s="2">
        <v>2</v>
      </c>
      <c r="M3620">
        <v>0</v>
      </c>
      <c r="N3620" s="2">
        <v>0</v>
      </c>
      <c r="O3620">
        <v>-1.2</v>
      </c>
      <c r="P3620" t="s">
        <v>100</v>
      </c>
      <c r="Q3620">
        <v>0</v>
      </c>
      <c r="R3620" t="s">
        <v>145</v>
      </c>
      <c r="S3620">
        <v>0</v>
      </c>
    </row>
    <row r="3621" spans="1:19">
      <c r="A3621" t="s">
        <v>35</v>
      </c>
      <c r="B3621" t="s">
        <v>8431</v>
      </c>
      <c r="C3621">
        <f>"145075"</f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1</v>
      </c>
      <c r="K3621">
        <v>3.591</v>
      </c>
      <c r="L3621" s="2">
        <v>4</v>
      </c>
      <c r="M3621">
        <v>0</v>
      </c>
      <c r="N3621" s="2">
        <v>0</v>
      </c>
      <c r="O3621">
        <v>-1.2</v>
      </c>
      <c r="P3621" t="s">
        <v>100</v>
      </c>
      <c r="Q3621">
        <v>0</v>
      </c>
      <c r="R3621" t="s">
        <v>145</v>
      </c>
      <c r="S3621">
        <v>0</v>
      </c>
    </row>
    <row r="3622" spans="1:19">
      <c r="A3622" t="s">
        <v>35</v>
      </c>
      <c r="B3622" t="s">
        <v>7345</v>
      </c>
      <c r="C3622">
        <f>"GSQS001SCEL"</f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1</v>
      </c>
      <c r="K3622">
        <v>1.791</v>
      </c>
      <c r="L3622" s="2">
        <v>2</v>
      </c>
      <c r="M3622">
        <v>0</v>
      </c>
      <c r="N3622" s="2">
        <v>0</v>
      </c>
      <c r="O3622">
        <v>-1.2</v>
      </c>
      <c r="P3622" t="s">
        <v>100</v>
      </c>
      <c r="Q3622">
        <v>0</v>
      </c>
      <c r="R3622" t="s">
        <v>145</v>
      </c>
      <c r="S3622">
        <v>0</v>
      </c>
    </row>
    <row r="3623" spans="1:19">
      <c r="A3623" t="s">
        <v>35</v>
      </c>
      <c r="B3623" t="s">
        <v>9114</v>
      </c>
      <c r="C3623">
        <f>"G15"</f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1</v>
      </c>
      <c r="K3623">
        <v>2.025</v>
      </c>
      <c r="L3623" s="2">
        <v>2</v>
      </c>
      <c r="M3623">
        <v>0</v>
      </c>
      <c r="N3623" s="2">
        <v>0</v>
      </c>
      <c r="O3623">
        <v>-1.2</v>
      </c>
      <c r="P3623" t="s">
        <v>100</v>
      </c>
      <c r="Q3623">
        <v>0</v>
      </c>
      <c r="R3623" t="s">
        <v>145</v>
      </c>
      <c r="S3623">
        <v>0</v>
      </c>
    </row>
    <row r="3624" spans="1:19">
      <c r="A3624" t="s">
        <v>35</v>
      </c>
      <c r="B3624" t="s">
        <v>7266</v>
      </c>
      <c r="C3624">
        <f>"LS154ROS"</f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1</v>
      </c>
      <c r="K3624">
        <v>5.85</v>
      </c>
      <c r="L3624" s="2">
        <v>6</v>
      </c>
      <c r="M3624">
        <v>0</v>
      </c>
      <c r="N3624" s="2">
        <v>0</v>
      </c>
      <c r="O3624">
        <v>-1.2</v>
      </c>
      <c r="P3624" t="s">
        <v>100</v>
      </c>
      <c r="Q3624">
        <v>0</v>
      </c>
      <c r="R3624" t="s">
        <v>145</v>
      </c>
      <c r="S3624">
        <v>0</v>
      </c>
    </row>
    <row r="3625" spans="1:19">
      <c r="A3625" t="s">
        <v>35</v>
      </c>
      <c r="B3625" t="s">
        <v>7267</v>
      </c>
      <c r="C3625">
        <f>"LS154NE"</f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1</v>
      </c>
      <c r="K3625">
        <v>5.85</v>
      </c>
      <c r="L3625" s="2">
        <v>6</v>
      </c>
      <c r="M3625">
        <v>0</v>
      </c>
      <c r="N3625" s="2">
        <v>0</v>
      </c>
      <c r="O3625">
        <v>-1.2</v>
      </c>
      <c r="P3625" t="s">
        <v>100</v>
      </c>
      <c r="Q3625">
        <v>0</v>
      </c>
      <c r="R3625" t="s">
        <v>145</v>
      </c>
      <c r="S3625">
        <v>0</v>
      </c>
    </row>
    <row r="3626" spans="1:19">
      <c r="A3626" t="s">
        <v>35</v>
      </c>
      <c r="B3626" t="s">
        <v>7289</v>
      </c>
      <c r="C3626">
        <f>"54B109324XSG"</f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1</v>
      </c>
      <c r="K3626">
        <v>6.183</v>
      </c>
      <c r="L3626" s="2">
        <v>6</v>
      </c>
      <c r="M3626">
        <v>0</v>
      </c>
      <c r="N3626" s="2">
        <v>0</v>
      </c>
      <c r="O3626">
        <v>-1.2</v>
      </c>
      <c r="P3626" t="s">
        <v>100</v>
      </c>
      <c r="Q3626">
        <v>0</v>
      </c>
      <c r="R3626" t="s">
        <v>145</v>
      </c>
      <c r="S3626">
        <v>0</v>
      </c>
    </row>
    <row r="3627" spans="1:19">
      <c r="A3627" t="s">
        <v>35</v>
      </c>
      <c r="B3627" t="s">
        <v>7290</v>
      </c>
      <c r="C3627">
        <f>"54B109324XLG"</f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1</v>
      </c>
      <c r="K3627">
        <v>8.324999999999999</v>
      </c>
      <c r="L3627" s="2">
        <v>8</v>
      </c>
      <c r="M3627">
        <v>0</v>
      </c>
      <c r="N3627" s="2">
        <v>0</v>
      </c>
      <c r="O3627">
        <v>-1.2</v>
      </c>
      <c r="P3627" t="s">
        <v>100</v>
      </c>
      <c r="Q3627">
        <v>0</v>
      </c>
      <c r="R3627" t="s">
        <v>145</v>
      </c>
      <c r="S3627">
        <v>0</v>
      </c>
    </row>
    <row r="3628" spans="1:19">
      <c r="A3628" t="s">
        <v>35</v>
      </c>
      <c r="B3628" t="s">
        <v>7291</v>
      </c>
      <c r="C3628">
        <f>"54B109324MG"</f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1</v>
      </c>
      <c r="K3628">
        <v>6.516</v>
      </c>
      <c r="L3628" s="2">
        <v>7</v>
      </c>
      <c r="M3628">
        <v>0</v>
      </c>
      <c r="N3628" s="2">
        <v>0</v>
      </c>
      <c r="O3628">
        <v>-1.2</v>
      </c>
      <c r="P3628" t="s">
        <v>100</v>
      </c>
      <c r="Q3628">
        <v>0</v>
      </c>
      <c r="R3628" t="s">
        <v>145</v>
      </c>
      <c r="S3628">
        <v>0</v>
      </c>
    </row>
    <row r="3629" spans="1:19">
      <c r="A3629" t="s">
        <v>35</v>
      </c>
      <c r="B3629" t="s">
        <v>7282</v>
      </c>
      <c r="C3629">
        <f>"54B109324XLB"</f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1</v>
      </c>
      <c r="K3629">
        <v>8.324999999999999</v>
      </c>
      <c r="L3629" s="2">
        <v>8</v>
      </c>
      <c r="M3629">
        <v>0</v>
      </c>
      <c r="N3629" s="2">
        <v>0</v>
      </c>
      <c r="O3629">
        <v>-1.2</v>
      </c>
      <c r="P3629" t="s">
        <v>100</v>
      </c>
      <c r="Q3629">
        <v>0</v>
      </c>
      <c r="R3629" t="s">
        <v>145</v>
      </c>
      <c r="S3629">
        <v>0</v>
      </c>
    </row>
    <row r="3630" spans="1:19">
      <c r="A3630" t="s">
        <v>35</v>
      </c>
      <c r="B3630" t="s">
        <v>5501</v>
      </c>
      <c r="C3630">
        <f>"BA046SV"</f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1</v>
      </c>
      <c r="K3630">
        <v>720</v>
      </c>
      <c r="L3630" s="2">
        <v>720</v>
      </c>
      <c r="M3630">
        <v>0</v>
      </c>
      <c r="N3630" s="2">
        <v>0</v>
      </c>
      <c r="O3630">
        <v>-1.2</v>
      </c>
      <c r="P3630" t="s">
        <v>100</v>
      </c>
      <c r="Q3630">
        <v>0</v>
      </c>
      <c r="R3630" t="s">
        <v>145</v>
      </c>
      <c r="S3630">
        <v>0</v>
      </c>
    </row>
    <row r="3631" spans="1:19">
      <c r="A3631" t="s">
        <v>35</v>
      </c>
      <c r="B3631" t="s">
        <v>7085</v>
      </c>
      <c r="C3631">
        <f>"6006084"</f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1</v>
      </c>
      <c r="K3631">
        <v>3.2</v>
      </c>
      <c r="L3631" s="2">
        <v>3</v>
      </c>
      <c r="M3631">
        <v>0</v>
      </c>
      <c r="N3631" s="2">
        <v>0</v>
      </c>
      <c r="O3631">
        <v>-1.2</v>
      </c>
      <c r="P3631" t="s">
        <v>100</v>
      </c>
      <c r="Q3631">
        <v>0</v>
      </c>
      <c r="R3631" t="s">
        <v>145</v>
      </c>
      <c r="S3631">
        <v>0</v>
      </c>
    </row>
    <row r="3632" spans="1:19">
      <c r="A3632" t="s">
        <v>35</v>
      </c>
      <c r="B3632" t="s">
        <v>7089</v>
      </c>
      <c r="C3632">
        <f>"6006082"</f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1</v>
      </c>
      <c r="K3632">
        <v>4</v>
      </c>
      <c r="L3632" s="2">
        <v>4</v>
      </c>
      <c r="M3632">
        <v>0</v>
      </c>
      <c r="N3632" s="2">
        <v>0</v>
      </c>
      <c r="O3632">
        <v>-1.2</v>
      </c>
      <c r="P3632" t="s">
        <v>100</v>
      </c>
      <c r="Q3632">
        <v>0</v>
      </c>
      <c r="R3632" t="s">
        <v>145</v>
      </c>
      <c r="S3632">
        <v>0</v>
      </c>
    </row>
    <row r="3633" spans="1:19">
      <c r="A3633" t="s">
        <v>35</v>
      </c>
      <c r="B3633" t="s">
        <v>9092</v>
      </c>
      <c r="C3633">
        <f>"df027e"</f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1</v>
      </c>
      <c r="K3633">
        <v>711</v>
      </c>
      <c r="L3633" s="2">
        <v>711</v>
      </c>
      <c r="M3633">
        <v>0</v>
      </c>
      <c r="N3633" s="2">
        <v>0</v>
      </c>
      <c r="O3633">
        <v>-1.2</v>
      </c>
      <c r="P3633" t="s">
        <v>100</v>
      </c>
      <c r="Q3633">
        <v>0</v>
      </c>
      <c r="R3633" t="s">
        <v>145</v>
      </c>
      <c r="S3633">
        <v>0</v>
      </c>
    </row>
    <row r="3634" spans="1:19">
      <c r="A3634" t="s">
        <v>35</v>
      </c>
      <c r="B3634" t="s">
        <v>7074</v>
      </c>
      <c r="C3634">
        <f>"6006080"</f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1</v>
      </c>
      <c r="K3634">
        <v>2</v>
      </c>
      <c r="L3634" s="2">
        <v>2</v>
      </c>
      <c r="M3634">
        <v>0</v>
      </c>
      <c r="N3634" s="2">
        <v>0</v>
      </c>
      <c r="O3634">
        <v>-1.2</v>
      </c>
      <c r="P3634" t="s">
        <v>100</v>
      </c>
      <c r="Q3634">
        <v>0</v>
      </c>
      <c r="R3634" t="s">
        <v>145</v>
      </c>
      <c r="S3634">
        <v>0</v>
      </c>
    </row>
    <row r="3635" spans="1:19">
      <c r="A3635" t="s">
        <v>35</v>
      </c>
      <c r="B3635" t="s">
        <v>7075</v>
      </c>
      <c r="C3635">
        <f>"6006078"</f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1</v>
      </c>
      <c r="K3635">
        <v>2</v>
      </c>
      <c r="L3635" s="2">
        <v>2</v>
      </c>
      <c r="M3635">
        <v>0</v>
      </c>
      <c r="N3635" s="2">
        <v>0</v>
      </c>
      <c r="O3635">
        <v>-1.2</v>
      </c>
      <c r="P3635" t="s">
        <v>100</v>
      </c>
      <c r="Q3635">
        <v>0</v>
      </c>
      <c r="R3635" t="s">
        <v>145</v>
      </c>
      <c r="S3635">
        <v>0</v>
      </c>
    </row>
    <row r="3636" spans="1:19">
      <c r="A3636" t="s">
        <v>35</v>
      </c>
      <c r="B3636" t="s">
        <v>7076</v>
      </c>
      <c r="C3636">
        <f>"6006079"</f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1</v>
      </c>
      <c r="K3636">
        <v>2</v>
      </c>
      <c r="L3636" s="2">
        <v>2</v>
      </c>
      <c r="M3636">
        <v>0</v>
      </c>
      <c r="N3636" s="2">
        <v>0</v>
      </c>
      <c r="O3636">
        <v>-1.2</v>
      </c>
      <c r="P3636" t="s">
        <v>100</v>
      </c>
      <c r="Q3636">
        <v>0</v>
      </c>
      <c r="R3636" t="s">
        <v>145</v>
      </c>
      <c r="S3636">
        <v>0</v>
      </c>
    </row>
    <row r="3637" spans="1:19">
      <c r="A3637" t="s">
        <v>35</v>
      </c>
      <c r="B3637" t="s">
        <v>7077</v>
      </c>
      <c r="C3637">
        <f>"6006070"</f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1</v>
      </c>
      <c r="K3637">
        <v>3</v>
      </c>
      <c r="L3637" s="2">
        <v>3</v>
      </c>
      <c r="M3637">
        <v>0</v>
      </c>
      <c r="N3637" s="2">
        <v>0</v>
      </c>
      <c r="O3637">
        <v>-1.2</v>
      </c>
      <c r="P3637" t="s">
        <v>100</v>
      </c>
      <c r="Q3637">
        <v>0</v>
      </c>
      <c r="R3637" t="s">
        <v>145</v>
      </c>
      <c r="S3637">
        <v>0</v>
      </c>
    </row>
    <row r="3638" spans="1:19">
      <c r="A3638" t="s">
        <v>35</v>
      </c>
      <c r="B3638" t="s">
        <v>7094</v>
      </c>
      <c r="C3638">
        <f>"6006069"</f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1</v>
      </c>
      <c r="K3638">
        <v>2</v>
      </c>
      <c r="L3638" s="2">
        <v>2</v>
      </c>
      <c r="M3638">
        <v>0</v>
      </c>
      <c r="N3638" s="2">
        <v>0</v>
      </c>
      <c r="O3638">
        <v>-1.2</v>
      </c>
      <c r="P3638" t="s">
        <v>100</v>
      </c>
      <c r="Q3638">
        <v>0</v>
      </c>
      <c r="R3638" t="s">
        <v>145</v>
      </c>
      <c r="S3638">
        <v>0</v>
      </c>
    </row>
    <row r="3639" spans="1:19">
      <c r="A3639" t="s">
        <v>35</v>
      </c>
      <c r="B3639" t="s">
        <v>2473</v>
      </c>
      <c r="C3639">
        <f>"WPS287NA"</f>
        <v>0</v>
      </c>
      <c r="D3639">
        <v>0</v>
      </c>
      <c r="E3639">
        <v>0</v>
      </c>
      <c r="F3639">
        <v>1</v>
      </c>
      <c r="G3639">
        <v>0</v>
      </c>
      <c r="H3639">
        <v>1</v>
      </c>
      <c r="I3639">
        <v>0</v>
      </c>
      <c r="J3639">
        <v>1</v>
      </c>
      <c r="K3639">
        <v>1.791</v>
      </c>
      <c r="L3639" s="2">
        <v>2</v>
      </c>
      <c r="M3639">
        <v>0</v>
      </c>
      <c r="N3639" s="2">
        <v>0</v>
      </c>
      <c r="O3639">
        <v>-1.2</v>
      </c>
      <c r="P3639" t="s">
        <v>100</v>
      </c>
      <c r="Q3639">
        <v>0</v>
      </c>
      <c r="R3639" t="s">
        <v>145</v>
      </c>
      <c r="S3639">
        <v>0</v>
      </c>
    </row>
    <row r="3640" spans="1:19">
      <c r="A3640" t="s">
        <v>35</v>
      </c>
      <c r="B3640" t="s">
        <v>8400</v>
      </c>
      <c r="C3640">
        <f>"WPS287AZ"</f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1</v>
      </c>
      <c r="K3640">
        <v>2.691</v>
      </c>
      <c r="L3640" s="2">
        <v>3</v>
      </c>
      <c r="M3640">
        <v>0</v>
      </c>
      <c r="N3640" s="2">
        <v>0</v>
      </c>
      <c r="O3640">
        <v>-1.2</v>
      </c>
      <c r="P3640" t="s">
        <v>100</v>
      </c>
      <c r="Q3640">
        <v>0</v>
      </c>
      <c r="R3640" t="s">
        <v>145</v>
      </c>
      <c r="S3640">
        <v>0</v>
      </c>
    </row>
    <row r="3641" spans="1:19">
      <c r="A3641" t="s">
        <v>35</v>
      </c>
      <c r="B3641" t="s">
        <v>2522</v>
      </c>
      <c r="C3641">
        <f>"178529"</f>
        <v>0</v>
      </c>
      <c r="D3641">
        <v>1</v>
      </c>
      <c r="E3641">
        <v>0</v>
      </c>
      <c r="F3641">
        <v>0</v>
      </c>
      <c r="G3641">
        <v>0</v>
      </c>
      <c r="H3641">
        <v>1</v>
      </c>
      <c r="I3641">
        <v>0</v>
      </c>
      <c r="J3641">
        <v>1</v>
      </c>
      <c r="K3641">
        <v>3.825</v>
      </c>
      <c r="L3641" s="2">
        <v>4</v>
      </c>
      <c r="M3641">
        <v>0</v>
      </c>
      <c r="N3641" s="2">
        <v>0</v>
      </c>
      <c r="O3641">
        <v>-1.2</v>
      </c>
      <c r="P3641" t="s">
        <v>100</v>
      </c>
      <c r="Q3641">
        <v>0</v>
      </c>
      <c r="R3641" t="s">
        <v>145</v>
      </c>
      <c r="S3641">
        <v>0</v>
      </c>
    </row>
    <row r="3642" spans="1:19">
      <c r="A3642" t="s">
        <v>35</v>
      </c>
      <c r="B3642" t="s">
        <v>5426</v>
      </c>
      <c r="C3642">
        <f>"VVHBM"</f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1</v>
      </c>
      <c r="K3642">
        <v>1</v>
      </c>
      <c r="L3642" s="2">
        <v>1</v>
      </c>
      <c r="M3642">
        <v>0</v>
      </c>
      <c r="N3642" s="2">
        <v>0</v>
      </c>
      <c r="O3642">
        <v>-1.2</v>
      </c>
      <c r="P3642" t="s">
        <v>100</v>
      </c>
      <c r="Q3642">
        <v>0</v>
      </c>
      <c r="R3642" t="s">
        <v>145</v>
      </c>
      <c r="S3642">
        <v>0</v>
      </c>
    </row>
    <row r="3643" spans="1:19">
      <c r="A3643" t="s">
        <v>35</v>
      </c>
      <c r="B3643" t="s">
        <v>9126</v>
      </c>
      <c r="C3643">
        <f>"CWB015SAZ"</f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1</v>
      </c>
      <c r="K3643">
        <v>12.105</v>
      </c>
      <c r="L3643" s="2">
        <v>12</v>
      </c>
      <c r="M3643">
        <v>0</v>
      </c>
      <c r="N3643" s="2">
        <v>0</v>
      </c>
      <c r="O3643">
        <v>-1.2</v>
      </c>
      <c r="P3643" t="s">
        <v>100</v>
      </c>
      <c r="Q3643">
        <v>0</v>
      </c>
      <c r="R3643" t="s">
        <v>145</v>
      </c>
      <c r="S3643">
        <v>0</v>
      </c>
    </row>
    <row r="3644" spans="1:19">
      <c r="A3644" t="s">
        <v>35</v>
      </c>
      <c r="B3644" t="s">
        <v>9127</v>
      </c>
      <c r="C3644">
        <f>"CWB015MROJ"</f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1</v>
      </c>
      <c r="K3644">
        <v>12.555</v>
      </c>
      <c r="L3644" s="2">
        <v>13</v>
      </c>
      <c r="M3644">
        <v>0</v>
      </c>
      <c r="N3644" s="2">
        <v>0</v>
      </c>
      <c r="O3644">
        <v>-1.2</v>
      </c>
      <c r="P3644" t="s">
        <v>100</v>
      </c>
      <c r="Q3644">
        <v>0</v>
      </c>
      <c r="R3644" t="s">
        <v>145</v>
      </c>
      <c r="S3644">
        <v>0</v>
      </c>
    </row>
    <row r="3645" spans="1:19">
      <c r="A3645" t="s">
        <v>35</v>
      </c>
      <c r="B3645" t="s">
        <v>9128</v>
      </c>
      <c r="C3645">
        <f>"CWB015MGR"</f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1</v>
      </c>
      <c r="K3645">
        <v>12.555</v>
      </c>
      <c r="L3645" s="2">
        <v>13</v>
      </c>
      <c r="M3645">
        <v>0</v>
      </c>
      <c r="N3645" s="2">
        <v>0</v>
      </c>
      <c r="O3645">
        <v>-1.2</v>
      </c>
      <c r="P3645" t="s">
        <v>100</v>
      </c>
      <c r="Q3645">
        <v>0</v>
      </c>
      <c r="R3645" t="s">
        <v>145</v>
      </c>
      <c r="S3645">
        <v>0</v>
      </c>
    </row>
    <row r="3646" spans="1:19">
      <c r="A3646" t="s">
        <v>35</v>
      </c>
      <c r="B3646" t="s">
        <v>7293</v>
      </c>
      <c r="C3646">
        <f>"54B109324XSB"</f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1</v>
      </c>
      <c r="K3646">
        <v>6.183</v>
      </c>
      <c r="L3646" s="2">
        <v>6</v>
      </c>
      <c r="M3646">
        <v>0</v>
      </c>
      <c r="N3646" s="2">
        <v>0</v>
      </c>
      <c r="O3646">
        <v>-1.2</v>
      </c>
      <c r="P3646" t="s">
        <v>100</v>
      </c>
      <c r="Q3646">
        <v>0</v>
      </c>
      <c r="R3646" t="s">
        <v>145</v>
      </c>
      <c r="S3646">
        <v>0</v>
      </c>
    </row>
    <row r="3647" spans="1:19">
      <c r="A3647" t="s">
        <v>35</v>
      </c>
      <c r="B3647" t="s">
        <v>7750</v>
      </c>
      <c r="C3647">
        <f>"187A54XXLROS"</f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1</v>
      </c>
      <c r="K3647">
        <v>1.791</v>
      </c>
      <c r="L3647" s="2">
        <v>2</v>
      </c>
      <c r="M3647">
        <v>0</v>
      </c>
      <c r="N3647" s="2">
        <v>0</v>
      </c>
      <c r="O3647">
        <v>-1.2</v>
      </c>
      <c r="P3647" t="s">
        <v>100</v>
      </c>
      <c r="Q3647">
        <v>0</v>
      </c>
      <c r="R3647" t="s">
        <v>145</v>
      </c>
      <c r="S3647">
        <v>0</v>
      </c>
    </row>
    <row r="3648" spans="1:19">
      <c r="A3648" t="s">
        <v>35</v>
      </c>
      <c r="B3648" t="s">
        <v>7754</v>
      </c>
      <c r="C3648">
        <f>"187A54XSBL"</f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1</v>
      </c>
      <c r="K3648">
        <v>1.17</v>
      </c>
      <c r="L3648" s="2">
        <v>1</v>
      </c>
      <c r="M3648">
        <v>0</v>
      </c>
      <c r="N3648" s="2">
        <v>0</v>
      </c>
      <c r="O3648">
        <v>-1.2</v>
      </c>
      <c r="P3648" t="s">
        <v>100</v>
      </c>
      <c r="Q3648">
        <v>0</v>
      </c>
      <c r="R3648" t="s">
        <v>145</v>
      </c>
      <c r="S3648">
        <v>0</v>
      </c>
    </row>
    <row r="3649" spans="1:19">
      <c r="A3649" t="s">
        <v>35</v>
      </c>
      <c r="B3649" t="s">
        <v>5331</v>
      </c>
      <c r="C3649">
        <f>"MSP009TA"</f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1</v>
      </c>
      <c r="K3649">
        <v>14.85</v>
      </c>
      <c r="L3649" s="2">
        <v>15</v>
      </c>
      <c r="M3649">
        <v>0</v>
      </c>
      <c r="N3649" s="2">
        <v>0</v>
      </c>
      <c r="O3649">
        <v>-1.2</v>
      </c>
      <c r="P3649" t="s">
        <v>100</v>
      </c>
      <c r="Q3649">
        <v>0</v>
      </c>
      <c r="R3649" t="s">
        <v>145</v>
      </c>
      <c r="S3649">
        <v>0</v>
      </c>
    </row>
    <row r="3650" spans="1:19">
      <c r="A3650" t="s">
        <v>35</v>
      </c>
      <c r="B3650" t="s">
        <v>5395</v>
      </c>
      <c r="C3650">
        <f>"MI1CAF"</f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1</v>
      </c>
      <c r="K3650">
        <v>2.025</v>
      </c>
      <c r="L3650" s="2">
        <v>2</v>
      </c>
      <c r="M3650">
        <v>0</v>
      </c>
      <c r="N3650" s="2">
        <v>0</v>
      </c>
      <c r="O3650">
        <v>-1.2</v>
      </c>
      <c r="P3650" t="s">
        <v>100</v>
      </c>
      <c r="Q3650">
        <v>0</v>
      </c>
      <c r="R3650" t="s">
        <v>145</v>
      </c>
      <c r="S3650">
        <v>0</v>
      </c>
    </row>
    <row r="3651" spans="1:19">
      <c r="A3651" t="s">
        <v>35</v>
      </c>
      <c r="B3651" t="s">
        <v>5473</v>
      </c>
      <c r="C3651">
        <f>"KF8215"</f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1</v>
      </c>
      <c r="K3651">
        <v>0</v>
      </c>
      <c r="L3651" s="2">
        <v>0</v>
      </c>
      <c r="M3651">
        <v>0</v>
      </c>
      <c r="N3651" s="2">
        <v>0</v>
      </c>
      <c r="O3651">
        <v>-1.2</v>
      </c>
      <c r="P3651" t="s">
        <v>100</v>
      </c>
      <c r="Q3651">
        <v>0</v>
      </c>
      <c r="R3651" t="s">
        <v>145</v>
      </c>
      <c r="S3651">
        <v>0</v>
      </c>
    </row>
    <row r="3652" spans="1:19">
      <c r="A3652" t="s">
        <v>35</v>
      </c>
      <c r="B3652" t="s">
        <v>2353</v>
      </c>
      <c r="C3652">
        <f>"kf8238"</f>
        <v>0</v>
      </c>
      <c r="D3652">
        <v>1</v>
      </c>
      <c r="E3652">
        <v>0</v>
      </c>
      <c r="F3652">
        <v>0</v>
      </c>
      <c r="G3652">
        <v>0</v>
      </c>
      <c r="H3652">
        <v>1</v>
      </c>
      <c r="I3652">
        <v>0</v>
      </c>
      <c r="J3652">
        <v>1</v>
      </c>
      <c r="K3652">
        <v>58.03</v>
      </c>
      <c r="L3652" s="2">
        <v>58</v>
      </c>
      <c r="M3652">
        <v>0</v>
      </c>
      <c r="N3652" s="2">
        <v>0</v>
      </c>
      <c r="O3652">
        <v>-1.2</v>
      </c>
      <c r="P3652" t="s">
        <v>100</v>
      </c>
      <c r="Q3652">
        <v>0</v>
      </c>
      <c r="R3652" t="s">
        <v>145</v>
      </c>
      <c r="S3652">
        <v>0</v>
      </c>
    </row>
    <row r="3653" spans="1:19">
      <c r="A3653" t="s">
        <v>35</v>
      </c>
      <c r="B3653" t="s">
        <v>5424</v>
      </c>
      <c r="C3653">
        <f>"VFPL"</f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1</v>
      </c>
      <c r="K3653">
        <v>2.35</v>
      </c>
      <c r="L3653" s="2">
        <v>2</v>
      </c>
      <c r="M3653">
        <v>0</v>
      </c>
      <c r="N3653" s="2">
        <v>0</v>
      </c>
      <c r="O3653">
        <v>-1.2</v>
      </c>
      <c r="P3653" t="s">
        <v>100</v>
      </c>
      <c r="Q3653">
        <v>0</v>
      </c>
      <c r="R3653" t="s">
        <v>145</v>
      </c>
      <c r="S3653">
        <v>0</v>
      </c>
    </row>
    <row r="3654" spans="1:19">
      <c r="A3654" t="s">
        <v>35</v>
      </c>
      <c r="B3654" t="s">
        <v>2462</v>
      </c>
      <c r="C3654">
        <f>"ER018"</f>
        <v>0</v>
      </c>
      <c r="D3654">
        <v>1</v>
      </c>
      <c r="E3654">
        <v>0</v>
      </c>
      <c r="F3654">
        <v>0</v>
      </c>
      <c r="G3654">
        <v>0</v>
      </c>
      <c r="H3654">
        <v>1</v>
      </c>
      <c r="I3654">
        <v>0</v>
      </c>
      <c r="J3654">
        <v>1</v>
      </c>
      <c r="K3654">
        <v>3.285</v>
      </c>
      <c r="L3654" s="2">
        <v>3</v>
      </c>
      <c r="M3654">
        <v>0</v>
      </c>
      <c r="N3654" s="2">
        <v>0</v>
      </c>
      <c r="O3654">
        <v>-1.2</v>
      </c>
      <c r="P3654" t="s">
        <v>100</v>
      </c>
      <c r="Q3654">
        <v>0</v>
      </c>
      <c r="R3654" t="s">
        <v>145</v>
      </c>
      <c r="S3654">
        <v>0</v>
      </c>
    </row>
    <row r="3655" spans="1:19">
      <c r="A3655" t="s">
        <v>35</v>
      </c>
      <c r="B3655" t="s">
        <v>7163</v>
      </c>
      <c r="C3655">
        <f>"NT038ESTREL"</f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1</v>
      </c>
      <c r="K3655">
        <v>675</v>
      </c>
      <c r="L3655" s="2">
        <v>675</v>
      </c>
      <c r="M3655">
        <v>0</v>
      </c>
      <c r="N3655" s="2">
        <v>0</v>
      </c>
      <c r="O3655">
        <v>-1.2</v>
      </c>
      <c r="P3655" t="s">
        <v>100</v>
      </c>
      <c r="Q3655">
        <v>0</v>
      </c>
      <c r="R3655" t="s">
        <v>145</v>
      </c>
      <c r="S3655">
        <v>0</v>
      </c>
    </row>
    <row r="3656" spans="1:19">
      <c r="A3656" t="s">
        <v>35</v>
      </c>
      <c r="B3656" t="s">
        <v>7362</v>
      </c>
      <c r="C3656">
        <f>"SPS019NAR"</f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1</v>
      </c>
      <c r="K3656">
        <v>4.41</v>
      </c>
      <c r="L3656" s="2">
        <v>4</v>
      </c>
      <c r="M3656">
        <v>0</v>
      </c>
      <c r="N3656" s="2">
        <v>0</v>
      </c>
      <c r="O3656">
        <v>-1.2</v>
      </c>
      <c r="P3656" t="s">
        <v>100</v>
      </c>
      <c r="Q3656">
        <v>0</v>
      </c>
      <c r="R3656" t="s">
        <v>145</v>
      </c>
      <c r="S3656">
        <v>0</v>
      </c>
    </row>
    <row r="3657" spans="1:19">
      <c r="A3657" t="s">
        <v>35</v>
      </c>
      <c r="B3657" t="s">
        <v>7363</v>
      </c>
      <c r="C3657">
        <f>"SPS020MOR"</f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1</v>
      </c>
      <c r="K3657">
        <v>6.291</v>
      </c>
      <c r="L3657" s="2">
        <v>6</v>
      </c>
      <c r="M3657">
        <v>0</v>
      </c>
      <c r="N3657" s="2">
        <v>0</v>
      </c>
      <c r="O3657">
        <v>-1.2</v>
      </c>
      <c r="P3657" t="s">
        <v>100</v>
      </c>
      <c r="Q3657">
        <v>0</v>
      </c>
      <c r="R3657" t="s">
        <v>145</v>
      </c>
      <c r="S3657">
        <v>0</v>
      </c>
    </row>
    <row r="3658" spans="1:19">
      <c r="A3658" t="s">
        <v>35</v>
      </c>
      <c r="B3658" t="s">
        <v>7365</v>
      </c>
      <c r="C3658">
        <f>"SPS021NA"</f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1</v>
      </c>
      <c r="K3658">
        <v>8.01</v>
      </c>
      <c r="L3658" s="2">
        <v>8</v>
      </c>
      <c r="M3658">
        <v>0</v>
      </c>
      <c r="N3658" s="2">
        <v>0</v>
      </c>
      <c r="O3658">
        <v>-1.2</v>
      </c>
      <c r="P3658" t="s">
        <v>100</v>
      </c>
      <c r="Q3658">
        <v>0</v>
      </c>
      <c r="R3658" t="s">
        <v>145</v>
      </c>
      <c r="S3658">
        <v>0</v>
      </c>
    </row>
    <row r="3659" spans="1:19">
      <c r="A3659" t="s">
        <v>35</v>
      </c>
      <c r="B3659" t="s">
        <v>7366</v>
      </c>
      <c r="C3659">
        <f>"SPS021MO"</f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1</v>
      </c>
      <c r="K3659">
        <v>8.01</v>
      </c>
      <c r="L3659" s="2">
        <v>8</v>
      </c>
      <c r="M3659">
        <v>0</v>
      </c>
      <c r="N3659" s="2">
        <v>0</v>
      </c>
      <c r="O3659">
        <v>-1.2</v>
      </c>
      <c r="P3659" t="s">
        <v>100</v>
      </c>
      <c r="Q3659">
        <v>0</v>
      </c>
      <c r="R3659" t="s">
        <v>145</v>
      </c>
      <c r="S3659">
        <v>0</v>
      </c>
    </row>
    <row r="3660" spans="1:19">
      <c r="A3660" t="s">
        <v>35</v>
      </c>
      <c r="B3660" t="s">
        <v>7308</v>
      </c>
      <c r="C3660">
        <f>"VMT17"</f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1</v>
      </c>
      <c r="K3660">
        <v>3.105</v>
      </c>
      <c r="L3660" s="2">
        <v>3</v>
      </c>
      <c r="M3660">
        <v>0</v>
      </c>
      <c r="N3660" s="2">
        <v>0</v>
      </c>
      <c r="O3660">
        <v>-1.2</v>
      </c>
      <c r="P3660" t="s">
        <v>100</v>
      </c>
      <c r="Q3660">
        <v>0</v>
      </c>
      <c r="R3660" t="s">
        <v>145</v>
      </c>
      <c r="S3660">
        <v>0</v>
      </c>
    </row>
    <row r="3661" spans="1:19">
      <c r="A3661" t="s">
        <v>35</v>
      </c>
      <c r="B3661" t="s">
        <v>9105</v>
      </c>
      <c r="C3661">
        <f>"JYHW18"</f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1</v>
      </c>
      <c r="K3661">
        <v>6.75</v>
      </c>
      <c r="L3661" s="2">
        <v>7</v>
      </c>
      <c r="M3661">
        <v>0</v>
      </c>
      <c r="N3661" s="2">
        <v>0</v>
      </c>
      <c r="O3661">
        <v>-1.2</v>
      </c>
      <c r="P3661" t="s">
        <v>100</v>
      </c>
      <c r="Q3661">
        <v>0</v>
      </c>
      <c r="R3661" t="s">
        <v>145</v>
      </c>
      <c r="S3661">
        <v>0</v>
      </c>
    </row>
    <row r="3662" spans="1:19">
      <c r="A3662" t="s">
        <v>35</v>
      </c>
      <c r="B3662" t="s">
        <v>7349</v>
      </c>
      <c r="C3662">
        <f>"GSQS002MCEL"</f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1</v>
      </c>
      <c r="K3662">
        <v>2.205</v>
      </c>
      <c r="L3662" s="2">
        <v>2</v>
      </c>
      <c r="M3662">
        <v>0</v>
      </c>
      <c r="N3662" s="2">
        <v>0</v>
      </c>
      <c r="O3662">
        <v>-1.2</v>
      </c>
      <c r="P3662" t="s">
        <v>100</v>
      </c>
      <c r="Q3662">
        <v>0</v>
      </c>
      <c r="R3662" t="s">
        <v>145</v>
      </c>
      <c r="S3662">
        <v>0</v>
      </c>
    </row>
    <row r="3663" spans="1:19">
      <c r="A3663" t="s">
        <v>35</v>
      </c>
      <c r="B3663" t="s">
        <v>7353</v>
      </c>
      <c r="C3663">
        <f>"GSQS003LCEL"</f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1</v>
      </c>
      <c r="K3663">
        <v>2.385</v>
      </c>
      <c r="L3663" s="2">
        <v>2</v>
      </c>
      <c r="M3663">
        <v>0</v>
      </c>
      <c r="N3663" s="2">
        <v>0</v>
      </c>
      <c r="O3663">
        <v>-1.2</v>
      </c>
      <c r="P3663" t="s">
        <v>100</v>
      </c>
      <c r="Q3663">
        <v>0</v>
      </c>
      <c r="R3663" t="s">
        <v>145</v>
      </c>
      <c r="S3663">
        <v>0</v>
      </c>
    </row>
    <row r="3664" spans="1:19">
      <c r="A3664" t="s">
        <v>35</v>
      </c>
      <c r="B3664" t="s">
        <v>7355</v>
      </c>
      <c r="C3664">
        <f>"4210V"</f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1</v>
      </c>
      <c r="K3664">
        <v>4.41</v>
      </c>
      <c r="L3664" s="2">
        <v>4</v>
      </c>
      <c r="M3664">
        <v>0</v>
      </c>
      <c r="N3664" s="2">
        <v>0</v>
      </c>
      <c r="O3664">
        <v>-1.2</v>
      </c>
      <c r="P3664" t="s">
        <v>100</v>
      </c>
      <c r="Q3664">
        <v>0</v>
      </c>
      <c r="R3664" t="s">
        <v>145</v>
      </c>
      <c r="S3664">
        <v>0</v>
      </c>
    </row>
    <row r="3665" spans="1:19">
      <c r="A3665" t="s">
        <v>35</v>
      </c>
      <c r="B3665" t="s">
        <v>7359</v>
      </c>
      <c r="C3665">
        <f>"CL02N"</f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1</v>
      </c>
      <c r="K3665">
        <v>1.701</v>
      </c>
      <c r="L3665" s="2">
        <v>2</v>
      </c>
      <c r="M3665">
        <v>0</v>
      </c>
      <c r="N3665" s="2">
        <v>0</v>
      </c>
      <c r="O3665">
        <v>-1.2</v>
      </c>
      <c r="P3665" t="s">
        <v>100</v>
      </c>
      <c r="Q3665">
        <v>0</v>
      </c>
      <c r="R3665" t="s">
        <v>145</v>
      </c>
      <c r="S3665">
        <v>0</v>
      </c>
    </row>
    <row r="3666" spans="1:19">
      <c r="A3666" t="s">
        <v>35</v>
      </c>
      <c r="B3666" t="s">
        <v>7249</v>
      </c>
      <c r="C3666">
        <f>"54B109324SB"</f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1</v>
      </c>
      <c r="K3666">
        <v>6.282</v>
      </c>
      <c r="L3666" s="2">
        <v>6</v>
      </c>
      <c r="M3666">
        <v>0</v>
      </c>
      <c r="N3666" s="2">
        <v>0</v>
      </c>
      <c r="O3666">
        <v>-1.2</v>
      </c>
      <c r="P3666" t="s">
        <v>100</v>
      </c>
      <c r="Q3666">
        <v>0</v>
      </c>
      <c r="R3666" t="s">
        <v>145</v>
      </c>
      <c r="S3666">
        <v>0</v>
      </c>
    </row>
    <row r="3667" spans="1:19">
      <c r="A3667" t="s">
        <v>35</v>
      </c>
      <c r="B3667" t="s">
        <v>7269</v>
      </c>
      <c r="C3667">
        <f>"LS154BL"</f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1</v>
      </c>
      <c r="K3667">
        <v>5.85</v>
      </c>
      <c r="L3667" s="2">
        <v>6</v>
      </c>
      <c r="M3667">
        <v>0</v>
      </c>
      <c r="N3667" s="2">
        <v>0</v>
      </c>
      <c r="O3667">
        <v>-1.2</v>
      </c>
      <c r="P3667" t="s">
        <v>100</v>
      </c>
      <c r="Q3667">
        <v>0</v>
      </c>
      <c r="R3667" t="s">
        <v>145</v>
      </c>
      <c r="S3667">
        <v>0</v>
      </c>
    </row>
    <row r="3668" spans="1:19">
      <c r="A3668" t="s">
        <v>35</v>
      </c>
      <c r="B3668" t="s">
        <v>7435</v>
      </c>
      <c r="C3668">
        <f>"FB673XLV"</f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1</v>
      </c>
      <c r="K3668">
        <v>5.31</v>
      </c>
      <c r="L3668" s="2">
        <v>5</v>
      </c>
      <c r="M3668">
        <v>0</v>
      </c>
      <c r="N3668" s="2">
        <v>0</v>
      </c>
      <c r="O3668">
        <v>-1.2</v>
      </c>
      <c r="P3668" t="s">
        <v>100</v>
      </c>
      <c r="Q3668">
        <v>0</v>
      </c>
      <c r="R3668" t="s">
        <v>145</v>
      </c>
      <c r="S3668">
        <v>0</v>
      </c>
    </row>
    <row r="3669" spans="1:19">
      <c r="A3669" t="s">
        <v>35</v>
      </c>
      <c r="B3669" t="s">
        <v>7715</v>
      </c>
      <c r="C3669">
        <f>"FB673SR"</f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1</v>
      </c>
      <c r="K3669">
        <v>4.491</v>
      </c>
      <c r="L3669" s="2">
        <v>4</v>
      </c>
      <c r="M3669">
        <v>0</v>
      </c>
      <c r="N3669" s="2">
        <v>0</v>
      </c>
      <c r="O3669">
        <v>-1.2</v>
      </c>
      <c r="P3669" t="s">
        <v>100</v>
      </c>
      <c r="Q3669">
        <v>0</v>
      </c>
      <c r="R3669" t="s">
        <v>145</v>
      </c>
      <c r="S3669">
        <v>0</v>
      </c>
    </row>
    <row r="3670" spans="1:19">
      <c r="A3670" t="s">
        <v>35</v>
      </c>
      <c r="B3670" t="s">
        <v>7351</v>
      </c>
      <c r="C3670">
        <f>"SPS020CEL"</f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1</v>
      </c>
      <c r="K3670">
        <v>6.291</v>
      </c>
      <c r="L3670" s="2">
        <v>6</v>
      </c>
      <c r="M3670">
        <v>0</v>
      </c>
      <c r="N3670" s="2">
        <v>0</v>
      </c>
      <c r="O3670">
        <v>-1.2</v>
      </c>
      <c r="P3670" t="s">
        <v>100</v>
      </c>
      <c r="Q3670">
        <v>0</v>
      </c>
      <c r="R3670" t="s">
        <v>145</v>
      </c>
      <c r="S3670">
        <v>0</v>
      </c>
    </row>
    <row r="3671" spans="1:19">
      <c r="A3671" t="s">
        <v>35</v>
      </c>
      <c r="B3671" t="s">
        <v>9019</v>
      </c>
      <c r="C3671">
        <f>"PT310V"</f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1</v>
      </c>
      <c r="K3671">
        <v>1.791</v>
      </c>
      <c r="L3671" s="2">
        <v>2</v>
      </c>
      <c r="M3671">
        <v>0</v>
      </c>
      <c r="N3671" s="2">
        <v>0</v>
      </c>
      <c r="O3671">
        <v>-1.2</v>
      </c>
      <c r="P3671" t="s">
        <v>100</v>
      </c>
      <c r="Q3671">
        <v>0</v>
      </c>
      <c r="R3671" t="s">
        <v>145</v>
      </c>
      <c r="S3671">
        <v>0</v>
      </c>
    </row>
    <row r="3672" spans="1:19">
      <c r="A3672" t="s">
        <v>35</v>
      </c>
      <c r="B3672" t="s">
        <v>9023</v>
      </c>
      <c r="C3672">
        <f>"HDD167F"</f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1</v>
      </c>
      <c r="K3672">
        <v>801</v>
      </c>
      <c r="L3672" s="2">
        <v>801</v>
      </c>
      <c r="M3672">
        <v>0</v>
      </c>
      <c r="N3672" s="2">
        <v>0</v>
      </c>
      <c r="O3672">
        <v>-1.2</v>
      </c>
      <c r="P3672" t="s">
        <v>100</v>
      </c>
      <c r="Q3672">
        <v>0</v>
      </c>
      <c r="R3672" t="s">
        <v>145</v>
      </c>
      <c r="S3672">
        <v>0</v>
      </c>
    </row>
    <row r="3673" spans="1:19">
      <c r="A3673" t="s">
        <v>35</v>
      </c>
      <c r="B3673" t="s">
        <v>2539</v>
      </c>
      <c r="C3673">
        <f>"HDD164B"</f>
        <v>0</v>
      </c>
      <c r="D3673">
        <v>0</v>
      </c>
      <c r="E3673">
        <v>0</v>
      </c>
      <c r="F3673">
        <v>1</v>
      </c>
      <c r="G3673">
        <v>0</v>
      </c>
      <c r="H3673">
        <v>1</v>
      </c>
      <c r="I3673">
        <v>0</v>
      </c>
      <c r="J3673">
        <v>1</v>
      </c>
      <c r="K3673">
        <v>1.341</v>
      </c>
      <c r="L3673" s="2">
        <v>1</v>
      </c>
      <c r="M3673">
        <v>0</v>
      </c>
      <c r="N3673" s="2">
        <v>0</v>
      </c>
      <c r="O3673">
        <v>-1.2</v>
      </c>
      <c r="P3673" t="s">
        <v>100</v>
      </c>
      <c r="Q3673">
        <v>0</v>
      </c>
      <c r="R3673" t="s">
        <v>145</v>
      </c>
      <c r="S3673">
        <v>0</v>
      </c>
    </row>
    <row r="3674" spans="1:19">
      <c r="A3674" t="s">
        <v>35</v>
      </c>
      <c r="B3674" t="s">
        <v>9111</v>
      </c>
      <c r="C3674">
        <f>"PT310O"</f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1</v>
      </c>
      <c r="K3674">
        <v>1.791</v>
      </c>
      <c r="L3674" s="2">
        <v>2</v>
      </c>
      <c r="M3674">
        <v>0</v>
      </c>
      <c r="N3674" s="2">
        <v>0</v>
      </c>
      <c r="O3674">
        <v>-1.2</v>
      </c>
      <c r="P3674" t="s">
        <v>100</v>
      </c>
      <c r="Q3674">
        <v>0</v>
      </c>
      <c r="R3674" t="s">
        <v>145</v>
      </c>
      <c r="S3674">
        <v>0</v>
      </c>
    </row>
    <row r="3675" spans="1:19">
      <c r="A3675" t="s">
        <v>35</v>
      </c>
      <c r="B3675" t="s">
        <v>7184</v>
      </c>
      <c r="C3675">
        <f>"LS246MOR"</f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1</v>
      </c>
      <c r="K3675">
        <v>2.205</v>
      </c>
      <c r="L3675" s="2">
        <v>2</v>
      </c>
      <c r="M3675">
        <v>0</v>
      </c>
      <c r="N3675" s="2">
        <v>0</v>
      </c>
      <c r="O3675">
        <v>-1.2</v>
      </c>
      <c r="P3675" t="s">
        <v>100</v>
      </c>
      <c r="Q3675">
        <v>0</v>
      </c>
      <c r="R3675" t="s">
        <v>145</v>
      </c>
      <c r="S3675">
        <v>0</v>
      </c>
    </row>
    <row r="3676" spans="1:19">
      <c r="A3676" t="s">
        <v>35</v>
      </c>
      <c r="B3676" t="s">
        <v>9057</v>
      </c>
      <c r="C3676">
        <f>"GE32"</f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1</v>
      </c>
      <c r="K3676">
        <v>4.725</v>
      </c>
      <c r="L3676" s="2">
        <v>5</v>
      </c>
      <c r="M3676">
        <v>0</v>
      </c>
      <c r="N3676" s="2">
        <v>0</v>
      </c>
      <c r="O3676">
        <v>-1.2</v>
      </c>
      <c r="P3676" t="s">
        <v>100</v>
      </c>
      <c r="Q3676">
        <v>0</v>
      </c>
      <c r="R3676" t="s">
        <v>145</v>
      </c>
      <c r="S3676">
        <v>0</v>
      </c>
    </row>
    <row r="3677" spans="1:19">
      <c r="A3677" t="s">
        <v>35</v>
      </c>
      <c r="B3677" t="s">
        <v>9010</v>
      </c>
      <c r="C3677">
        <f>"GE47"</f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1</v>
      </c>
      <c r="K3677">
        <v>5.175</v>
      </c>
      <c r="L3677" s="2">
        <v>5</v>
      </c>
      <c r="M3677">
        <v>0</v>
      </c>
      <c r="N3677" s="2">
        <v>0</v>
      </c>
      <c r="O3677">
        <v>-1.2</v>
      </c>
      <c r="P3677" t="s">
        <v>100</v>
      </c>
      <c r="Q3677">
        <v>0</v>
      </c>
      <c r="R3677" t="s">
        <v>145</v>
      </c>
      <c r="S3677">
        <v>0</v>
      </c>
    </row>
    <row r="3678" spans="1:19">
      <c r="A3678" t="s">
        <v>35</v>
      </c>
      <c r="B3678" t="s">
        <v>2574</v>
      </c>
      <c r="C3678">
        <f>"MDD500"</f>
        <v>0</v>
      </c>
      <c r="D3678">
        <v>0</v>
      </c>
      <c r="E3678">
        <v>1</v>
      </c>
      <c r="F3678">
        <v>0</v>
      </c>
      <c r="G3678">
        <v>0</v>
      </c>
      <c r="H3678">
        <v>1</v>
      </c>
      <c r="I3678">
        <v>0</v>
      </c>
      <c r="J3678">
        <v>1</v>
      </c>
      <c r="K3678">
        <v>7.65</v>
      </c>
      <c r="L3678" s="2">
        <v>8</v>
      </c>
      <c r="M3678">
        <v>0</v>
      </c>
      <c r="N3678" s="2">
        <v>0</v>
      </c>
      <c r="O3678">
        <v>-1.2</v>
      </c>
      <c r="P3678" t="s">
        <v>100</v>
      </c>
      <c r="Q3678">
        <v>0</v>
      </c>
      <c r="R3678" t="s">
        <v>145</v>
      </c>
      <c r="S3678">
        <v>0</v>
      </c>
    </row>
    <row r="3679" spans="1:19">
      <c r="A3679" t="s">
        <v>35</v>
      </c>
      <c r="B3679" t="s">
        <v>7250</v>
      </c>
      <c r="C3679">
        <f>"54B109324MB"</f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1</v>
      </c>
      <c r="K3679">
        <v>6.516</v>
      </c>
      <c r="L3679" s="2">
        <v>7</v>
      </c>
      <c r="M3679">
        <v>0</v>
      </c>
      <c r="N3679" s="2">
        <v>0</v>
      </c>
      <c r="O3679">
        <v>-1.2</v>
      </c>
      <c r="P3679" t="s">
        <v>100</v>
      </c>
      <c r="Q3679">
        <v>0</v>
      </c>
      <c r="R3679" t="s">
        <v>145</v>
      </c>
      <c r="S3679">
        <v>0</v>
      </c>
    </row>
    <row r="3680" spans="1:19">
      <c r="A3680" t="s">
        <v>35</v>
      </c>
      <c r="B3680" t="s">
        <v>7251</v>
      </c>
      <c r="C3680">
        <f>"54B109324LB"</f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1</v>
      </c>
      <c r="K3680">
        <v>6.705</v>
      </c>
      <c r="L3680" s="2">
        <v>7</v>
      </c>
      <c r="M3680">
        <v>0</v>
      </c>
      <c r="N3680" s="2">
        <v>0</v>
      </c>
      <c r="O3680">
        <v>-1.2</v>
      </c>
      <c r="P3680" t="s">
        <v>100</v>
      </c>
      <c r="Q3680">
        <v>0</v>
      </c>
      <c r="R3680" t="s">
        <v>145</v>
      </c>
      <c r="S3680">
        <v>0</v>
      </c>
    </row>
    <row r="3681" spans="1:19">
      <c r="A3681" t="s">
        <v>35</v>
      </c>
      <c r="B3681" t="s">
        <v>7252</v>
      </c>
      <c r="C3681">
        <f>"54B1093244XLB"</f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1</v>
      </c>
      <c r="K3681">
        <v>10.665</v>
      </c>
      <c r="L3681" s="2">
        <v>11</v>
      </c>
      <c r="M3681">
        <v>0</v>
      </c>
      <c r="N3681" s="2">
        <v>0</v>
      </c>
      <c r="O3681">
        <v>-1.2</v>
      </c>
      <c r="P3681" t="s">
        <v>100</v>
      </c>
      <c r="Q3681">
        <v>0</v>
      </c>
      <c r="R3681" t="s">
        <v>145</v>
      </c>
      <c r="S3681">
        <v>0</v>
      </c>
    </row>
    <row r="3682" spans="1:19">
      <c r="A3682" t="s">
        <v>35</v>
      </c>
      <c r="B3682" t="s">
        <v>7253</v>
      </c>
      <c r="C3682">
        <f>"54B1093243XLB"</f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1</v>
      </c>
      <c r="K3682">
        <v>9.773999999999999</v>
      </c>
      <c r="L3682" s="2">
        <v>10</v>
      </c>
      <c r="M3682">
        <v>0</v>
      </c>
      <c r="N3682" s="2">
        <v>0</v>
      </c>
      <c r="O3682">
        <v>-1.2</v>
      </c>
      <c r="P3682" t="s">
        <v>100</v>
      </c>
      <c r="Q3682">
        <v>0</v>
      </c>
      <c r="R3682" t="s">
        <v>145</v>
      </c>
      <c r="S3682">
        <v>0</v>
      </c>
    </row>
    <row r="3683" spans="1:19">
      <c r="A3683" t="s">
        <v>35</v>
      </c>
      <c r="B3683" t="s">
        <v>7254</v>
      </c>
      <c r="C3683">
        <f>"54B1093242XLB"</f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1</v>
      </c>
      <c r="K3683">
        <v>8.91</v>
      </c>
      <c r="L3683" s="2">
        <v>9</v>
      </c>
      <c r="M3683">
        <v>0</v>
      </c>
      <c r="N3683" s="2">
        <v>0</v>
      </c>
      <c r="O3683">
        <v>-1.2</v>
      </c>
      <c r="P3683" t="s">
        <v>100</v>
      </c>
      <c r="Q3683">
        <v>0</v>
      </c>
      <c r="R3683" t="s">
        <v>145</v>
      </c>
      <c r="S3683">
        <v>0</v>
      </c>
    </row>
    <row r="3684" spans="1:19">
      <c r="A3684" t="s">
        <v>35</v>
      </c>
      <c r="B3684" t="s">
        <v>9074</v>
      </c>
      <c r="C3684">
        <f>"XX209"</f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1</v>
      </c>
      <c r="K3684">
        <v>1.791</v>
      </c>
      <c r="L3684" s="2">
        <v>2</v>
      </c>
      <c r="M3684">
        <v>0</v>
      </c>
      <c r="N3684" s="2">
        <v>0</v>
      </c>
      <c r="O3684">
        <v>-1.2</v>
      </c>
      <c r="P3684" t="s">
        <v>100</v>
      </c>
      <c r="Q3684">
        <v>0</v>
      </c>
      <c r="R3684" t="s">
        <v>145</v>
      </c>
      <c r="S3684">
        <v>0</v>
      </c>
    </row>
    <row r="3685" spans="1:19">
      <c r="A3685" t="s">
        <v>35</v>
      </c>
      <c r="B3685" t="s">
        <v>7343</v>
      </c>
      <c r="C3685">
        <f>"GSQS001SROJ"</f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1</v>
      </c>
      <c r="K3685">
        <v>1.791</v>
      </c>
      <c r="L3685" s="2">
        <v>2</v>
      </c>
      <c r="M3685">
        <v>0</v>
      </c>
      <c r="N3685" s="2">
        <v>0</v>
      </c>
      <c r="O3685">
        <v>-1.2</v>
      </c>
      <c r="P3685" t="s">
        <v>100</v>
      </c>
      <c r="Q3685">
        <v>0</v>
      </c>
      <c r="R3685" t="s">
        <v>145</v>
      </c>
      <c r="S3685">
        <v>0</v>
      </c>
    </row>
    <row r="3686" spans="1:19">
      <c r="A3686" t="s">
        <v>35</v>
      </c>
      <c r="B3686" t="s">
        <v>9121</v>
      </c>
      <c r="C3686">
        <f>"CWB015XLROJ"</f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1</v>
      </c>
      <c r="K3686">
        <v>13.005</v>
      </c>
      <c r="L3686" s="2">
        <v>13</v>
      </c>
      <c r="M3686">
        <v>0</v>
      </c>
      <c r="N3686" s="2">
        <v>0</v>
      </c>
      <c r="O3686">
        <v>-1.2</v>
      </c>
      <c r="P3686" t="s">
        <v>100</v>
      </c>
      <c r="Q3686">
        <v>0</v>
      </c>
      <c r="R3686" t="s">
        <v>145</v>
      </c>
      <c r="S3686">
        <v>0</v>
      </c>
    </row>
    <row r="3687" spans="1:19">
      <c r="A3687" t="s">
        <v>35</v>
      </c>
      <c r="B3687" t="s">
        <v>9122</v>
      </c>
      <c r="C3687">
        <f>"CWB015XLGR"</f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1</v>
      </c>
      <c r="K3687">
        <v>13.005</v>
      </c>
      <c r="L3687" s="2">
        <v>13</v>
      </c>
      <c r="M3687">
        <v>0</v>
      </c>
      <c r="N3687" s="2">
        <v>0</v>
      </c>
      <c r="O3687">
        <v>-1.2</v>
      </c>
      <c r="P3687" t="s">
        <v>100</v>
      </c>
      <c r="Q3687">
        <v>0</v>
      </c>
      <c r="R3687" t="s">
        <v>145</v>
      </c>
      <c r="S3687">
        <v>0</v>
      </c>
    </row>
    <row r="3688" spans="1:19">
      <c r="A3688" t="s">
        <v>35</v>
      </c>
      <c r="B3688" t="s">
        <v>5244</v>
      </c>
      <c r="C3688">
        <f>"TC2042ROS"</f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1</v>
      </c>
      <c r="K3688">
        <v>711</v>
      </c>
      <c r="L3688" s="2">
        <v>711</v>
      </c>
      <c r="M3688">
        <v>0</v>
      </c>
      <c r="N3688" s="2">
        <v>0</v>
      </c>
      <c r="O3688">
        <v>-1.2</v>
      </c>
      <c r="P3688" t="s">
        <v>100</v>
      </c>
      <c r="Q3688">
        <v>0</v>
      </c>
      <c r="R3688" t="s">
        <v>145</v>
      </c>
      <c r="S3688">
        <v>0</v>
      </c>
    </row>
    <row r="3689" spans="1:19">
      <c r="A3689" t="s">
        <v>35</v>
      </c>
      <c r="B3689" t="s">
        <v>7421</v>
      </c>
      <c r="C3689">
        <f>"FB673SA"</f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1</v>
      </c>
      <c r="K3689">
        <v>4.41</v>
      </c>
      <c r="L3689" s="2">
        <v>4</v>
      </c>
      <c r="M3689">
        <v>0</v>
      </c>
      <c r="N3689" s="2">
        <v>0</v>
      </c>
      <c r="O3689">
        <v>-1.2</v>
      </c>
      <c r="P3689" t="s">
        <v>100</v>
      </c>
      <c r="Q3689">
        <v>0</v>
      </c>
      <c r="R3689" t="s">
        <v>145</v>
      </c>
      <c r="S3689">
        <v>0</v>
      </c>
    </row>
    <row r="3690" spans="1:19">
      <c r="A3690" t="s">
        <v>35</v>
      </c>
      <c r="B3690" t="s">
        <v>7326</v>
      </c>
      <c r="C3690">
        <f>"NT038PINTA"</f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1</v>
      </c>
      <c r="K3690">
        <v>675</v>
      </c>
      <c r="L3690" s="2">
        <v>675</v>
      </c>
      <c r="M3690">
        <v>0</v>
      </c>
      <c r="N3690" s="2">
        <v>0</v>
      </c>
      <c r="O3690">
        <v>-1.2</v>
      </c>
      <c r="P3690" t="s">
        <v>100</v>
      </c>
      <c r="Q3690">
        <v>0</v>
      </c>
      <c r="R3690" t="s">
        <v>145</v>
      </c>
      <c r="S3690">
        <v>0</v>
      </c>
    </row>
    <row r="3691" spans="1:19">
      <c r="A3691" t="s">
        <v>35</v>
      </c>
      <c r="B3691" t="s">
        <v>2684</v>
      </c>
      <c r="C3691">
        <f>"TQ0111ROS"</f>
        <v>0</v>
      </c>
      <c r="D3691">
        <v>1</v>
      </c>
      <c r="E3691">
        <v>0</v>
      </c>
      <c r="F3691">
        <v>0</v>
      </c>
      <c r="G3691">
        <v>0</v>
      </c>
      <c r="H3691">
        <v>1</v>
      </c>
      <c r="I3691">
        <v>0</v>
      </c>
      <c r="J3691">
        <v>1</v>
      </c>
      <c r="K3691">
        <v>1.161</v>
      </c>
      <c r="L3691" s="2">
        <v>1</v>
      </c>
      <c r="M3691">
        <v>0</v>
      </c>
      <c r="N3691" s="2">
        <v>0</v>
      </c>
      <c r="O3691">
        <v>-1.2</v>
      </c>
      <c r="P3691" t="s">
        <v>100</v>
      </c>
      <c r="Q3691">
        <v>0</v>
      </c>
      <c r="R3691" t="s">
        <v>145</v>
      </c>
      <c r="S3691">
        <v>0</v>
      </c>
    </row>
    <row r="3692" spans="1:19">
      <c r="A3692" t="s">
        <v>35</v>
      </c>
      <c r="B3692" t="s">
        <v>7721</v>
      </c>
      <c r="C3692">
        <f>"FB673MA"</f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1</v>
      </c>
      <c r="K3692">
        <v>4.86</v>
      </c>
      <c r="L3692" s="2">
        <v>5</v>
      </c>
      <c r="M3692">
        <v>0</v>
      </c>
      <c r="N3692" s="2">
        <v>0</v>
      </c>
      <c r="O3692">
        <v>-1.2</v>
      </c>
      <c r="P3692" t="s">
        <v>100</v>
      </c>
      <c r="Q3692">
        <v>0</v>
      </c>
      <c r="R3692" t="s">
        <v>145</v>
      </c>
      <c r="S3692">
        <v>0</v>
      </c>
    </row>
    <row r="3693" spans="1:19">
      <c r="A3693" t="s">
        <v>35</v>
      </c>
      <c r="B3693" t="s">
        <v>7722</v>
      </c>
      <c r="C3693">
        <f>"FB673LV"</f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1</v>
      </c>
      <c r="K3693">
        <v>4.86</v>
      </c>
      <c r="L3693" s="2">
        <v>5</v>
      </c>
      <c r="M3693">
        <v>0</v>
      </c>
      <c r="N3693" s="2">
        <v>0</v>
      </c>
      <c r="O3693">
        <v>-1.2</v>
      </c>
      <c r="P3693" t="s">
        <v>100</v>
      </c>
      <c r="Q3693">
        <v>0</v>
      </c>
      <c r="R3693" t="s">
        <v>145</v>
      </c>
      <c r="S3693">
        <v>0</v>
      </c>
    </row>
    <row r="3694" spans="1:19">
      <c r="A3694" t="s">
        <v>35</v>
      </c>
      <c r="B3694" t="s">
        <v>7430</v>
      </c>
      <c r="C3694">
        <f>"B1922SR"</f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1</v>
      </c>
      <c r="K3694">
        <v>6.84</v>
      </c>
      <c r="L3694" s="2">
        <v>7</v>
      </c>
      <c r="M3694">
        <v>0</v>
      </c>
      <c r="N3694" s="2">
        <v>0</v>
      </c>
      <c r="O3694">
        <v>-1.2</v>
      </c>
      <c r="P3694" t="s">
        <v>100</v>
      </c>
      <c r="Q3694">
        <v>0</v>
      </c>
      <c r="R3694" t="s">
        <v>145</v>
      </c>
      <c r="S3694">
        <v>0</v>
      </c>
    </row>
    <row r="3695" spans="1:19">
      <c r="A3695" t="s">
        <v>35</v>
      </c>
      <c r="B3695" t="s">
        <v>9996</v>
      </c>
      <c r="C3695">
        <f>"LH100LR"</f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1</v>
      </c>
      <c r="K3695">
        <v>5.31</v>
      </c>
      <c r="L3695" s="2">
        <v>5</v>
      </c>
      <c r="M3695">
        <v>0</v>
      </c>
      <c r="N3695" s="2">
        <v>0</v>
      </c>
      <c r="O3695">
        <v>-1.2</v>
      </c>
      <c r="P3695" t="s">
        <v>100</v>
      </c>
      <c r="Q3695">
        <v>0</v>
      </c>
      <c r="R3695" t="s">
        <v>145</v>
      </c>
      <c r="S3695">
        <v>0</v>
      </c>
    </row>
    <row r="3696" spans="1:19">
      <c r="A3696" t="s">
        <v>35</v>
      </c>
      <c r="B3696" t="s">
        <v>2225</v>
      </c>
      <c r="C3696">
        <f>"KF2008A"</f>
        <v>0</v>
      </c>
      <c r="D3696">
        <v>0</v>
      </c>
      <c r="E3696">
        <v>0</v>
      </c>
      <c r="F3696">
        <v>2</v>
      </c>
      <c r="G3696">
        <v>0</v>
      </c>
      <c r="H3696">
        <v>2</v>
      </c>
      <c r="I3696">
        <v>0</v>
      </c>
      <c r="J3696">
        <v>1</v>
      </c>
      <c r="K3696">
        <v>8.33</v>
      </c>
      <c r="L3696" s="2">
        <v>8</v>
      </c>
      <c r="M3696">
        <v>0</v>
      </c>
      <c r="N3696" s="2">
        <v>0</v>
      </c>
      <c r="O3696">
        <v>-1.2</v>
      </c>
      <c r="P3696" t="s">
        <v>100</v>
      </c>
      <c r="Q3696">
        <v>0</v>
      </c>
      <c r="R3696" t="s">
        <v>145</v>
      </c>
      <c r="S3696">
        <v>0</v>
      </c>
    </row>
    <row r="3697" spans="1:19">
      <c r="A3697" t="s">
        <v>35</v>
      </c>
      <c r="B3697" t="s">
        <v>5509</v>
      </c>
      <c r="C3697">
        <f>"KF8304"</f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1</v>
      </c>
      <c r="K3697">
        <v>7.191</v>
      </c>
      <c r="L3697" s="2">
        <v>7</v>
      </c>
      <c r="M3697">
        <v>0</v>
      </c>
      <c r="N3697" s="2">
        <v>0</v>
      </c>
      <c r="O3697">
        <v>-1.2</v>
      </c>
      <c r="P3697" t="s">
        <v>100</v>
      </c>
      <c r="Q3697">
        <v>0</v>
      </c>
      <c r="R3697" t="s">
        <v>145</v>
      </c>
      <c r="S3697">
        <v>0</v>
      </c>
    </row>
    <row r="3698" spans="1:19">
      <c r="A3698" t="s">
        <v>35</v>
      </c>
      <c r="B3698" t="s">
        <v>2361</v>
      </c>
      <c r="C3698">
        <f>"PP150CAM"</f>
        <v>0</v>
      </c>
      <c r="D3698">
        <v>1</v>
      </c>
      <c r="E3698">
        <v>0</v>
      </c>
      <c r="F3698">
        <v>0</v>
      </c>
      <c r="G3698">
        <v>0</v>
      </c>
      <c r="H3698">
        <v>1</v>
      </c>
      <c r="I3698">
        <v>0</v>
      </c>
      <c r="J3698">
        <v>1</v>
      </c>
      <c r="K3698">
        <v>36.9</v>
      </c>
      <c r="L3698" s="2">
        <v>37</v>
      </c>
      <c r="M3698">
        <v>0</v>
      </c>
      <c r="N3698" s="2">
        <v>0</v>
      </c>
      <c r="O3698">
        <v>-1.2</v>
      </c>
      <c r="P3698" t="s">
        <v>100</v>
      </c>
      <c r="Q3698">
        <v>0</v>
      </c>
      <c r="R3698" t="s">
        <v>145</v>
      </c>
      <c r="S3698">
        <v>0</v>
      </c>
    </row>
    <row r="3699" spans="1:19">
      <c r="A3699" t="s">
        <v>35</v>
      </c>
      <c r="B3699" t="s">
        <v>5446</v>
      </c>
      <c r="C3699">
        <f>"SA0175AZ"</f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1</v>
      </c>
      <c r="K3699">
        <v>0</v>
      </c>
      <c r="L3699" s="2">
        <v>0</v>
      </c>
      <c r="M3699">
        <v>0</v>
      </c>
      <c r="N3699" s="2">
        <v>0</v>
      </c>
      <c r="O3699">
        <v>-1.2</v>
      </c>
      <c r="P3699" t="s">
        <v>100</v>
      </c>
      <c r="Q3699">
        <v>0</v>
      </c>
      <c r="R3699" t="s">
        <v>145</v>
      </c>
      <c r="S3699">
        <v>0</v>
      </c>
    </row>
    <row r="3700" spans="1:19">
      <c r="A3700" t="s">
        <v>35</v>
      </c>
      <c r="B3700" t="s">
        <v>5401</v>
      </c>
      <c r="C3700">
        <f>"SA0110BL"</f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1</v>
      </c>
      <c r="K3700">
        <v>855</v>
      </c>
      <c r="L3700" s="2">
        <v>855</v>
      </c>
      <c r="M3700">
        <v>0</v>
      </c>
      <c r="N3700" s="2">
        <v>0</v>
      </c>
      <c r="O3700">
        <v>-1.2</v>
      </c>
      <c r="P3700" t="s">
        <v>100</v>
      </c>
      <c r="Q3700">
        <v>0</v>
      </c>
      <c r="R3700" t="s">
        <v>145</v>
      </c>
      <c r="S3700">
        <v>0</v>
      </c>
    </row>
    <row r="3701" spans="1:19">
      <c r="A3701" t="s">
        <v>35</v>
      </c>
      <c r="B3701" t="s">
        <v>8289</v>
      </c>
      <c r="C3701">
        <f>"ABT1AZBL"</f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1</v>
      </c>
      <c r="K3701">
        <v>3.51</v>
      </c>
      <c r="L3701" s="2">
        <v>4</v>
      </c>
      <c r="M3701">
        <v>0</v>
      </c>
      <c r="N3701" s="2">
        <v>0</v>
      </c>
      <c r="O3701">
        <v>-1.2</v>
      </c>
      <c r="P3701" t="s">
        <v>100</v>
      </c>
      <c r="Q3701">
        <v>0</v>
      </c>
      <c r="R3701" t="s">
        <v>145</v>
      </c>
      <c r="S3701">
        <v>0</v>
      </c>
    </row>
    <row r="3702" spans="1:19">
      <c r="A3702" t="s">
        <v>35</v>
      </c>
      <c r="B3702" t="s">
        <v>7313</v>
      </c>
      <c r="C3702">
        <f>"62640"</f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1</v>
      </c>
      <c r="K3702">
        <v>17.91</v>
      </c>
      <c r="L3702" s="2">
        <v>18</v>
      </c>
      <c r="M3702">
        <v>0</v>
      </c>
      <c r="N3702" s="2">
        <v>0</v>
      </c>
      <c r="O3702">
        <v>-1.2</v>
      </c>
      <c r="P3702" t="s">
        <v>100</v>
      </c>
      <c r="Q3702">
        <v>0</v>
      </c>
      <c r="R3702" t="s">
        <v>145</v>
      </c>
      <c r="S3702">
        <v>0</v>
      </c>
    </row>
    <row r="3703" spans="1:19">
      <c r="A3703" t="s">
        <v>35</v>
      </c>
      <c r="B3703" t="s">
        <v>7423</v>
      </c>
      <c r="C3703">
        <f>"FB673MV"</f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1</v>
      </c>
      <c r="K3703">
        <v>4.86</v>
      </c>
      <c r="L3703" s="2">
        <v>5</v>
      </c>
      <c r="M3703">
        <v>0</v>
      </c>
      <c r="N3703" s="2">
        <v>0</v>
      </c>
      <c r="O3703">
        <v>-1.2</v>
      </c>
      <c r="P3703" t="s">
        <v>100</v>
      </c>
      <c r="Q3703">
        <v>0</v>
      </c>
      <c r="R3703" t="s">
        <v>145</v>
      </c>
      <c r="S3703">
        <v>0</v>
      </c>
    </row>
    <row r="3704" spans="1:19">
      <c r="A3704" t="s">
        <v>35</v>
      </c>
      <c r="B3704" t="s">
        <v>1991</v>
      </c>
      <c r="C3704">
        <f>"ZSQ02"</f>
        <v>0</v>
      </c>
      <c r="D3704">
        <v>2</v>
      </c>
      <c r="E3704">
        <v>1</v>
      </c>
      <c r="F3704">
        <v>1</v>
      </c>
      <c r="G3704">
        <v>0</v>
      </c>
      <c r="H3704">
        <v>4</v>
      </c>
      <c r="I3704">
        <v>1</v>
      </c>
      <c r="J3704">
        <v>2</v>
      </c>
      <c r="K3704">
        <v>1.062</v>
      </c>
      <c r="L3704" s="2">
        <v>1</v>
      </c>
      <c r="M3704">
        <v>0</v>
      </c>
      <c r="N3704" s="2">
        <v>0</v>
      </c>
      <c r="O3704">
        <v>-1.4</v>
      </c>
      <c r="P3704" t="s">
        <v>100</v>
      </c>
      <c r="Q3704">
        <v>0</v>
      </c>
      <c r="R3704" t="s">
        <v>145</v>
      </c>
      <c r="S3704">
        <v>0</v>
      </c>
    </row>
    <row r="3705" spans="1:19">
      <c r="A3705" t="s">
        <v>35</v>
      </c>
      <c r="B3705" t="s">
        <v>1906</v>
      </c>
      <c r="C3705">
        <f>"3103CE"</f>
        <v>0</v>
      </c>
      <c r="D3705">
        <v>0</v>
      </c>
      <c r="E3705">
        <v>4</v>
      </c>
      <c r="F3705">
        <v>2</v>
      </c>
      <c r="G3705">
        <v>0</v>
      </c>
      <c r="H3705">
        <v>6</v>
      </c>
      <c r="I3705">
        <v>1</v>
      </c>
      <c r="J3705">
        <v>2</v>
      </c>
      <c r="K3705">
        <v>19.097</v>
      </c>
      <c r="L3705" s="2">
        <v>10</v>
      </c>
      <c r="M3705">
        <v>0</v>
      </c>
      <c r="N3705" s="2">
        <v>0</v>
      </c>
      <c r="O3705">
        <v>-1.4</v>
      </c>
      <c r="P3705" t="s">
        <v>100</v>
      </c>
      <c r="Q3705">
        <v>0</v>
      </c>
      <c r="R3705" t="s">
        <v>145</v>
      </c>
      <c r="S3705">
        <v>0</v>
      </c>
    </row>
    <row r="3706" spans="1:19">
      <c r="A3706" t="s">
        <v>35</v>
      </c>
      <c r="B3706" t="s">
        <v>1890</v>
      </c>
      <c r="C3706">
        <f>"PS9031"</f>
        <v>0</v>
      </c>
      <c r="D3706">
        <v>2</v>
      </c>
      <c r="E3706">
        <v>0</v>
      </c>
      <c r="F3706">
        <v>4</v>
      </c>
      <c r="G3706">
        <v>0</v>
      </c>
      <c r="H3706">
        <v>6</v>
      </c>
      <c r="I3706">
        <v>1</v>
      </c>
      <c r="J3706">
        <v>2</v>
      </c>
      <c r="K3706">
        <v>4.05</v>
      </c>
      <c r="L3706" s="2">
        <v>2</v>
      </c>
      <c r="M3706">
        <v>0</v>
      </c>
      <c r="N3706" s="2">
        <v>0</v>
      </c>
      <c r="O3706">
        <v>-1.4</v>
      </c>
      <c r="P3706" t="s">
        <v>100</v>
      </c>
      <c r="Q3706">
        <v>0</v>
      </c>
      <c r="R3706" t="s">
        <v>145</v>
      </c>
      <c r="S3706">
        <v>0</v>
      </c>
    </row>
    <row r="3707" spans="1:19">
      <c r="A3707" t="s">
        <v>35</v>
      </c>
      <c r="B3707" t="s">
        <v>240</v>
      </c>
      <c r="C3707">
        <f>"CK1021"</f>
        <v>0</v>
      </c>
      <c r="D3707">
        <v>18</v>
      </c>
      <c r="E3707">
        <v>6</v>
      </c>
      <c r="F3707">
        <v>11</v>
      </c>
      <c r="G3707">
        <v>4</v>
      </c>
      <c r="H3707">
        <v>39</v>
      </c>
      <c r="I3707">
        <v>8.5</v>
      </c>
      <c r="J3707">
        <v>15</v>
      </c>
      <c r="K3707">
        <v>12.825</v>
      </c>
      <c r="L3707" s="2">
        <v>1</v>
      </c>
      <c r="M3707">
        <v>0</v>
      </c>
      <c r="N3707" s="2">
        <v>0</v>
      </c>
      <c r="O3707">
        <v>-1.5</v>
      </c>
      <c r="P3707" t="s">
        <v>10775</v>
      </c>
      <c r="Q3707">
        <v>916</v>
      </c>
      <c r="R3707" t="s">
        <v>11105</v>
      </c>
      <c r="S3707">
        <v>0</v>
      </c>
    </row>
    <row r="3708" spans="1:19">
      <c r="A3708" t="s">
        <v>35</v>
      </c>
      <c r="B3708" t="s">
        <v>1687</v>
      </c>
      <c r="C3708">
        <f>"HDD146CE"</f>
        <v>0</v>
      </c>
      <c r="D3708">
        <v>2</v>
      </c>
      <c r="E3708">
        <v>0</v>
      </c>
      <c r="F3708">
        <v>0</v>
      </c>
      <c r="G3708">
        <v>1</v>
      </c>
      <c r="H3708">
        <v>3</v>
      </c>
      <c r="I3708">
        <v>0.5</v>
      </c>
      <c r="J3708">
        <v>6</v>
      </c>
      <c r="K3708">
        <v>3.402</v>
      </c>
      <c r="L3708" s="2">
        <v>1</v>
      </c>
      <c r="M3708">
        <v>0</v>
      </c>
      <c r="N3708" s="2">
        <v>0</v>
      </c>
      <c r="O3708">
        <v>-1.699999999999999</v>
      </c>
      <c r="P3708" t="s">
        <v>11033</v>
      </c>
      <c r="Q3708">
        <v>65</v>
      </c>
      <c r="R3708" t="s">
        <v>11189</v>
      </c>
      <c r="S3708">
        <v>1</v>
      </c>
    </row>
    <row r="3709" spans="1:19">
      <c r="A3709" t="s">
        <v>35</v>
      </c>
      <c r="B3709" t="s">
        <v>1798</v>
      </c>
      <c r="C3709">
        <f>"TF1033"</f>
        <v>0</v>
      </c>
      <c r="D3709">
        <v>4</v>
      </c>
      <c r="E3709">
        <v>3</v>
      </c>
      <c r="F3709">
        <v>3</v>
      </c>
      <c r="G3709">
        <v>0</v>
      </c>
      <c r="H3709">
        <v>10</v>
      </c>
      <c r="I3709">
        <v>3</v>
      </c>
      <c r="J3709">
        <v>4</v>
      </c>
      <c r="K3709">
        <v>4.32</v>
      </c>
      <c r="L3709" s="2">
        <v>1</v>
      </c>
      <c r="M3709">
        <v>0</v>
      </c>
      <c r="N3709" s="2">
        <v>0</v>
      </c>
      <c r="O3709">
        <v>-1.8</v>
      </c>
      <c r="P3709" t="s">
        <v>100</v>
      </c>
      <c r="Q3709">
        <v>0</v>
      </c>
      <c r="R3709" t="s">
        <v>145</v>
      </c>
      <c r="S3709">
        <v>0</v>
      </c>
    </row>
    <row r="3710" spans="1:19">
      <c r="A3710" t="s">
        <v>35</v>
      </c>
      <c r="B3710" t="s">
        <v>2019</v>
      </c>
      <c r="C3710">
        <f>"CTB61"</f>
        <v>0</v>
      </c>
      <c r="D3710">
        <v>3</v>
      </c>
      <c r="E3710">
        <v>0</v>
      </c>
      <c r="F3710">
        <v>1</v>
      </c>
      <c r="G3710">
        <v>0</v>
      </c>
      <c r="H3710">
        <v>4</v>
      </c>
      <c r="I3710">
        <v>0.5</v>
      </c>
      <c r="J3710">
        <v>2</v>
      </c>
      <c r="K3710">
        <v>1.71</v>
      </c>
      <c r="L3710" s="2">
        <v>1</v>
      </c>
      <c r="M3710">
        <v>0</v>
      </c>
      <c r="N3710" s="2">
        <v>0</v>
      </c>
      <c r="O3710">
        <v>-1.9</v>
      </c>
      <c r="P3710" t="s">
        <v>100</v>
      </c>
      <c r="Q3710">
        <v>0</v>
      </c>
      <c r="R3710" t="s">
        <v>145</v>
      </c>
      <c r="S3710">
        <v>0</v>
      </c>
    </row>
    <row r="3711" spans="1:19">
      <c r="A3711" t="s">
        <v>35</v>
      </c>
      <c r="B3711" t="s">
        <v>1521</v>
      </c>
      <c r="C3711">
        <f>"JWZ1010XL"</f>
        <v>0</v>
      </c>
      <c r="D3711">
        <v>0</v>
      </c>
      <c r="E3711">
        <v>1</v>
      </c>
      <c r="F3711">
        <v>22</v>
      </c>
      <c r="G3711">
        <v>0</v>
      </c>
      <c r="H3711">
        <v>23</v>
      </c>
      <c r="I3711">
        <v>0.5</v>
      </c>
      <c r="J3711">
        <v>2</v>
      </c>
      <c r="K3711">
        <v>2.61</v>
      </c>
      <c r="L3711" s="2">
        <v>1</v>
      </c>
      <c r="M3711">
        <v>0</v>
      </c>
      <c r="N3711" s="2">
        <v>0</v>
      </c>
      <c r="O3711">
        <v>-1.9</v>
      </c>
      <c r="P3711" t="s">
        <v>100</v>
      </c>
      <c r="Q3711">
        <v>0</v>
      </c>
      <c r="R3711" t="s">
        <v>145</v>
      </c>
      <c r="S3711">
        <v>0</v>
      </c>
    </row>
    <row r="3712" spans="1:19">
      <c r="A3712" t="s">
        <v>35</v>
      </c>
      <c r="B3712" t="s">
        <v>1548</v>
      </c>
      <c r="C3712">
        <f>"JWZ1010L"</f>
        <v>0</v>
      </c>
      <c r="D3712">
        <v>1</v>
      </c>
      <c r="E3712">
        <v>18</v>
      </c>
      <c r="F3712">
        <v>0</v>
      </c>
      <c r="G3712">
        <v>0</v>
      </c>
      <c r="H3712">
        <v>19</v>
      </c>
      <c r="I3712">
        <v>0.5</v>
      </c>
      <c r="J3712">
        <v>2</v>
      </c>
      <c r="K3712">
        <v>2.07</v>
      </c>
      <c r="L3712" s="2">
        <v>1</v>
      </c>
      <c r="M3712">
        <v>0</v>
      </c>
      <c r="N3712" s="2">
        <v>0</v>
      </c>
      <c r="O3712">
        <v>-1.9</v>
      </c>
      <c r="P3712" t="s">
        <v>100</v>
      </c>
      <c r="Q3712">
        <v>1.035</v>
      </c>
      <c r="R3712" t="s">
        <v>145</v>
      </c>
      <c r="S3712">
        <v>0</v>
      </c>
    </row>
    <row r="3713" spans="1:19">
      <c r="A3713" t="s">
        <v>35</v>
      </c>
      <c r="B3713" t="s">
        <v>2250</v>
      </c>
      <c r="C3713">
        <f>"154409"</f>
        <v>0</v>
      </c>
      <c r="D3713">
        <v>0</v>
      </c>
      <c r="E3713">
        <v>1</v>
      </c>
      <c r="F3713">
        <v>1</v>
      </c>
      <c r="G3713">
        <v>0</v>
      </c>
      <c r="H3713">
        <v>2</v>
      </c>
      <c r="I3713">
        <v>0.5</v>
      </c>
      <c r="J3713">
        <v>2</v>
      </c>
      <c r="K3713">
        <v>3.96</v>
      </c>
      <c r="L3713" s="2">
        <v>2</v>
      </c>
      <c r="M3713">
        <v>0</v>
      </c>
      <c r="N3713" s="2">
        <v>0</v>
      </c>
      <c r="O3713">
        <v>-1.9</v>
      </c>
      <c r="P3713" t="s">
        <v>100</v>
      </c>
      <c r="Q3713">
        <v>0</v>
      </c>
      <c r="R3713" t="s">
        <v>145</v>
      </c>
      <c r="S3713">
        <v>0</v>
      </c>
    </row>
    <row r="3714" spans="1:19">
      <c r="A3714" t="s">
        <v>35</v>
      </c>
      <c r="B3714" t="s">
        <v>2262</v>
      </c>
      <c r="C3714">
        <f>"SDR120"</f>
        <v>0</v>
      </c>
      <c r="D3714">
        <v>1</v>
      </c>
      <c r="E3714">
        <v>1</v>
      </c>
      <c r="F3714">
        <v>0</v>
      </c>
      <c r="G3714">
        <v>0</v>
      </c>
      <c r="H3714">
        <v>2</v>
      </c>
      <c r="I3714">
        <v>0.5</v>
      </c>
      <c r="J3714">
        <v>2</v>
      </c>
      <c r="K3714">
        <v>2.862</v>
      </c>
      <c r="L3714" s="2">
        <v>1</v>
      </c>
      <c r="M3714">
        <v>0</v>
      </c>
      <c r="N3714" s="2">
        <v>0</v>
      </c>
      <c r="O3714">
        <v>-1.9</v>
      </c>
      <c r="P3714" t="s">
        <v>100</v>
      </c>
      <c r="Q3714">
        <v>0</v>
      </c>
      <c r="R3714" t="s">
        <v>145</v>
      </c>
      <c r="S3714">
        <v>0</v>
      </c>
    </row>
    <row r="3715" spans="1:19">
      <c r="A3715" t="s">
        <v>35</v>
      </c>
      <c r="B3715" t="s">
        <v>2211</v>
      </c>
      <c r="C3715">
        <f>"BO3062"</f>
        <v>0</v>
      </c>
      <c r="D3715">
        <v>0</v>
      </c>
      <c r="E3715">
        <v>1</v>
      </c>
      <c r="F3715">
        <v>1</v>
      </c>
      <c r="G3715">
        <v>0</v>
      </c>
      <c r="H3715">
        <v>2</v>
      </c>
      <c r="I3715">
        <v>0.5</v>
      </c>
      <c r="J3715">
        <v>2</v>
      </c>
      <c r="K3715">
        <v>4.482</v>
      </c>
      <c r="L3715" s="2">
        <v>2</v>
      </c>
      <c r="M3715">
        <v>0</v>
      </c>
      <c r="N3715" s="2">
        <v>0</v>
      </c>
      <c r="O3715">
        <v>-1.9</v>
      </c>
      <c r="P3715" t="s">
        <v>100</v>
      </c>
      <c r="Q3715">
        <v>0</v>
      </c>
      <c r="R3715" t="s">
        <v>145</v>
      </c>
      <c r="S3715">
        <v>0</v>
      </c>
    </row>
    <row r="3716" spans="1:19">
      <c r="A3716" t="s">
        <v>35</v>
      </c>
      <c r="B3716" t="s">
        <v>2088</v>
      </c>
      <c r="C3716">
        <f>"SDR113"</f>
        <v>0</v>
      </c>
      <c r="D3716">
        <v>2</v>
      </c>
      <c r="E3716">
        <v>0</v>
      </c>
      <c r="F3716">
        <v>1</v>
      </c>
      <c r="G3716">
        <v>0</v>
      </c>
      <c r="H3716">
        <v>3</v>
      </c>
      <c r="I3716">
        <v>0.5</v>
      </c>
      <c r="J3716">
        <v>2</v>
      </c>
      <c r="K3716">
        <v>1.53</v>
      </c>
      <c r="L3716" s="2">
        <v>1</v>
      </c>
      <c r="M3716">
        <v>0</v>
      </c>
      <c r="N3716" s="2">
        <v>0</v>
      </c>
      <c r="O3716">
        <v>-1.9</v>
      </c>
      <c r="P3716" t="s">
        <v>100</v>
      </c>
      <c r="Q3716">
        <v>0</v>
      </c>
      <c r="R3716" t="s">
        <v>145</v>
      </c>
      <c r="S3716">
        <v>0</v>
      </c>
    </row>
    <row r="3717" spans="1:19">
      <c r="A3717" t="s">
        <v>35</v>
      </c>
      <c r="B3717" t="s">
        <v>2103</v>
      </c>
      <c r="C3717">
        <f>"KF8040G"</f>
        <v>0</v>
      </c>
      <c r="D3717">
        <v>2</v>
      </c>
      <c r="E3717">
        <v>1</v>
      </c>
      <c r="F3717">
        <v>0</v>
      </c>
      <c r="G3717">
        <v>0</v>
      </c>
      <c r="H3717">
        <v>3</v>
      </c>
      <c r="I3717">
        <v>0.5</v>
      </c>
      <c r="J3717">
        <v>2</v>
      </c>
      <c r="K3717">
        <v>8.82</v>
      </c>
      <c r="L3717" s="2">
        <v>4</v>
      </c>
      <c r="M3717">
        <v>0</v>
      </c>
      <c r="N3717" s="2">
        <v>0</v>
      </c>
      <c r="O3717">
        <v>-1.9</v>
      </c>
      <c r="P3717" t="s">
        <v>100</v>
      </c>
      <c r="Q3717">
        <v>0</v>
      </c>
      <c r="R3717" t="s">
        <v>145</v>
      </c>
      <c r="S3717">
        <v>0</v>
      </c>
    </row>
    <row r="3718" spans="1:19">
      <c r="A3718" t="s">
        <v>35</v>
      </c>
      <c r="B3718" t="s">
        <v>2066</v>
      </c>
      <c r="C3718">
        <f>"XX215"</f>
        <v>0</v>
      </c>
      <c r="D3718">
        <v>1</v>
      </c>
      <c r="E3718">
        <v>0</v>
      </c>
      <c r="F3718">
        <v>2</v>
      </c>
      <c r="G3718">
        <v>0</v>
      </c>
      <c r="H3718">
        <v>3</v>
      </c>
      <c r="I3718">
        <v>0.5</v>
      </c>
      <c r="J3718">
        <v>2</v>
      </c>
      <c r="K3718">
        <v>4.842</v>
      </c>
      <c r="L3718" s="2">
        <v>2</v>
      </c>
      <c r="M3718">
        <v>0</v>
      </c>
      <c r="N3718" s="2">
        <v>0</v>
      </c>
      <c r="O3718">
        <v>-1.9</v>
      </c>
      <c r="P3718" t="s">
        <v>100</v>
      </c>
      <c r="Q3718">
        <v>0</v>
      </c>
      <c r="R3718" t="s">
        <v>145</v>
      </c>
      <c r="S3718">
        <v>0</v>
      </c>
    </row>
    <row r="3719" spans="1:19">
      <c r="A3719" t="s">
        <v>35</v>
      </c>
      <c r="B3719" t="s">
        <v>2183</v>
      </c>
      <c r="C3719">
        <f>"TC0100ROS"</f>
        <v>0</v>
      </c>
      <c r="D3719">
        <v>0</v>
      </c>
      <c r="E3719">
        <v>1</v>
      </c>
      <c r="F3719">
        <v>1</v>
      </c>
      <c r="G3719">
        <v>0</v>
      </c>
      <c r="H3719">
        <v>2</v>
      </c>
      <c r="I3719">
        <v>0.5</v>
      </c>
      <c r="J3719">
        <v>2</v>
      </c>
      <c r="K3719">
        <v>1.539</v>
      </c>
      <c r="L3719" s="2">
        <v>1</v>
      </c>
      <c r="M3719">
        <v>0</v>
      </c>
      <c r="N3719" s="2">
        <v>0</v>
      </c>
      <c r="O3719">
        <v>-1.9</v>
      </c>
      <c r="P3719" t="s">
        <v>100</v>
      </c>
      <c r="Q3719">
        <v>0</v>
      </c>
      <c r="R3719" t="s">
        <v>145</v>
      </c>
      <c r="S3719">
        <v>0</v>
      </c>
    </row>
    <row r="3720" spans="1:19">
      <c r="A3720" t="s">
        <v>35</v>
      </c>
      <c r="B3720" t="s">
        <v>2127</v>
      </c>
      <c r="C3720">
        <f>"TQ073V"</f>
        <v>0</v>
      </c>
      <c r="D3720">
        <v>1</v>
      </c>
      <c r="E3720">
        <v>2</v>
      </c>
      <c r="F3720">
        <v>0</v>
      </c>
      <c r="G3720">
        <v>0</v>
      </c>
      <c r="H3720">
        <v>3</v>
      </c>
      <c r="I3720">
        <v>0.5</v>
      </c>
      <c r="J3720">
        <v>2</v>
      </c>
      <c r="K3720">
        <v>684</v>
      </c>
      <c r="L3720" s="2">
        <v>342</v>
      </c>
      <c r="M3720">
        <v>0</v>
      </c>
      <c r="N3720" s="2">
        <v>0</v>
      </c>
      <c r="O3720">
        <v>-1.9</v>
      </c>
      <c r="P3720" t="s">
        <v>100</v>
      </c>
      <c r="Q3720">
        <v>0</v>
      </c>
      <c r="R3720" t="s">
        <v>145</v>
      </c>
      <c r="S3720">
        <v>0</v>
      </c>
    </row>
    <row r="3721" spans="1:19">
      <c r="A3721" t="s">
        <v>35</v>
      </c>
      <c r="B3721" t="s">
        <v>1855</v>
      </c>
      <c r="C3721">
        <f>"SA0115ROJ"</f>
        <v>0</v>
      </c>
      <c r="D3721">
        <v>1</v>
      </c>
      <c r="E3721">
        <v>0</v>
      </c>
      <c r="F3721">
        <v>6</v>
      </c>
      <c r="G3721">
        <v>0</v>
      </c>
      <c r="H3721">
        <v>7</v>
      </c>
      <c r="I3721">
        <v>0.5</v>
      </c>
      <c r="J3721">
        <v>2</v>
      </c>
      <c r="K3721">
        <v>0</v>
      </c>
      <c r="L3721" s="2">
        <v>0</v>
      </c>
      <c r="M3721">
        <v>0</v>
      </c>
      <c r="N3721" s="2">
        <v>0</v>
      </c>
      <c r="O3721">
        <v>-1.9</v>
      </c>
      <c r="P3721" t="s">
        <v>100</v>
      </c>
      <c r="Q3721">
        <v>0</v>
      </c>
      <c r="R3721" t="s">
        <v>145</v>
      </c>
      <c r="S3721">
        <v>0</v>
      </c>
    </row>
    <row r="3722" spans="1:19">
      <c r="A3722" t="s">
        <v>35</v>
      </c>
      <c r="B3722" t="s">
        <v>2130</v>
      </c>
      <c r="C3722">
        <f>"bri141"</f>
        <v>0</v>
      </c>
      <c r="D3722">
        <v>0</v>
      </c>
      <c r="E3722">
        <v>2</v>
      </c>
      <c r="F3722">
        <v>1</v>
      </c>
      <c r="G3722">
        <v>0</v>
      </c>
      <c r="H3722">
        <v>3</v>
      </c>
      <c r="I3722">
        <v>0.5</v>
      </c>
      <c r="J3722">
        <v>2</v>
      </c>
      <c r="K3722">
        <v>3.582</v>
      </c>
      <c r="L3722" s="2">
        <v>2</v>
      </c>
      <c r="M3722">
        <v>0</v>
      </c>
      <c r="N3722" s="2">
        <v>0</v>
      </c>
      <c r="O3722">
        <v>-1.9</v>
      </c>
      <c r="P3722" t="s">
        <v>100</v>
      </c>
      <c r="Q3722">
        <v>0</v>
      </c>
      <c r="R3722" t="s">
        <v>145</v>
      </c>
      <c r="S3722">
        <v>0</v>
      </c>
    </row>
    <row r="3723" spans="1:19">
      <c r="A3723" t="s">
        <v>35</v>
      </c>
      <c r="B3723" t="s">
        <v>1914</v>
      </c>
      <c r="C3723">
        <f>"BRI9"</f>
        <v>0</v>
      </c>
      <c r="D3723">
        <v>4</v>
      </c>
      <c r="E3723">
        <v>1</v>
      </c>
      <c r="F3723">
        <v>0</v>
      </c>
      <c r="G3723">
        <v>0</v>
      </c>
      <c r="H3723">
        <v>5</v>
      </c>
      <c r="I3723">
        <v>0.5</v>
      </c>
      <c r="J3723">
        <v>2</v>
      </c>
      <c r="K3723">
        <v>3.51</v>
      </c>
      <c r="L3723" s="2">
        <v>2</v>
      </c>
      <c r="M3723">
        <v>0</v>
      </c>
      <c r="N3723" s="2">
        <v>0</v>
      </c>
      <c r="O3723">
        <v>-1.9</v>
      </c>
      <c r="P3723" t="s">
        <v>100</v>
      </c>
      <c r="Q3723">
        <v>0</v>
      </c>
      <c r="R3723" t="s">
        <v>145</v>
      </c>
      <c r="S3723">
        <v>0</v>
      </c>
    </row>
    <row r="3724" spans="1:19">
      <c r="A3724" t="s">
        <v>35</v>
      </c>
      <c r="B3724" t="s">
        <v>1806</v>
      </c>
      <c r="C3724">
        <f>"MSP108V"</f>
        <v>0</v>
      </c>
      <c r="D3724">
        <v>3</v>
      </c>
      <c r="E3724">
        <v>1</v>
      </c>
      <c r="F3724">
        <v>4</v>
      </c>
      <c r="G3724">
        <v>1</v>
      </c>
      <c r="H3724">
        <v>9</v>
      </c>
      <c r="I3724">
        <v>2</v>
      </c>
      <c r="J3724">
        <v>5</v>
      </c>
      <c r="K3724">
        <v>54.81</v>
      </c>
      <c r="L3724" s="2">
        <v>11</v>
      </c>
      <c r="M3724">
        <v>0</v>
      </c>
      <c r="N3724" s="2">
        <v>0</v>
      </c>
      <c r="O3724">
        <v>-2</v>
      </c>
      <c r="P3724" t="s">
        <v>10618</v>
      </c>
      <c r="Q3724">
        <v>1.466</v>
      </c>
      <c r="R3724" t="s">
        <v>10403</v>
      </c>
      <c r="S3724">
        <v>0</v>
      </c>
    </row>
    <row r="3725" spans="1:19">
      <c r="A3725" t="s">
        <v>35</v>
      </c>
      <c r="B3725" t="s">
        <v>1887</v>
      </c>
      <c r="C3725">
        <f>"1080GR"</f>
        <v>0</v>
      </c>
      <c r="D3725">
        <v>0</v>
      </c>
      <c r="E3725">
        <v>3</v>
      </c>
      <c r="F3725">
        <v>3</v>
      </c>
      <c r="G3725">
        <v>0</v>
      </c>
      <c r="H3725">
        <v>6</v>
      </c>
      <c r="I3725">
        <v>1.5</v>
      </c>
      <c r="J3725">
        <v>3</v>
      </c>
      <c r="K3725">
        <v>107.73</v>
      </c>
      <c r="L3725" s="2">
        <v>36</v>
      </c>
      <c r="M3725">
        <v>0</v>
      </c>
      <c r="N3725" s="2">
        <v>0</v>
      </c>
      <c r="O3725">
        <v>-2.1</v>
      </c>
      <c r="P3725" t="s">
        <v>100</v>
      </c>
      <c r="Q3725">
        <v>0</v>
      </c>
      <c r="R3725" t="s">
        <v>145</v>
      </c>
      <c r="S3725">
        <v>0</v>
      </c>
    </row>
    <row r="3726" spans="1:19">
      <c r="A3726" t="s">
        <v>35</v>
      </c>
      <c r="B3726" t="s">
        <v>1567</v>
      </c>
      <c r="C3726">
        <f>"YXCL"</f>
        <v>0</v>
      </c>
      <c r="D3726">
        <v>0</v>
      </c>
      <c r="E3726">
        <v>0</v>
      </c>
      <c r="F3726">
        <v>0</v>
      </c>
      <c r="G3726">
        <v>1</v>
      </c>
      <c r="H3726">
        <v>1</v>
      </c>
      <c r="I3726">
        <v>0</v>
      </c>
      <c r="J3726">
        <v>6</v>
      </c>
      <c r="K3726">
        <v>28.89</v>
      </c>
      <c r="L3726" s="2">
        <v>5</v>
      </c>
      <c r="M3726">
        <v>0</v>
      </c>
      <c r="N3726" s="2">
        <v>0</v>
      </c>
      <c r="O3726">
        <v>-2.199999999999999</v>
      </c>
      <c r="P3726" t="s">
        <v>11056</v>
      </c>
      <c r="Q3726">
        <v>207</v>
      </c>
      <c r="R3726" t="s">
        <v>11190</v>
      </c>
      <c r="S3726">
        <v>1</v>
      </c>
    </row>
    <row r="3727" spans="1:19">
      <c r="A3727" t="s">
        <v>35</v>
      </c>
      <c r="B3727" t="s">
        <v>2338</v>
      </c>
      <c r="C3727">
        <f>"J07"</f>
        <v>0</v>
      </c>
      <c r="D3727">
        <v>0</v>
      </c>
      <c r="E3727">
        <v>0</v>
      </c>
      <c r="F3727">
        <v>0</v>
      </c>
      <c r="G3727">
        <v>1</v>
      </c>
      <c r="H3727">
        <v>1</v>
      </c>
      <c r="I3727">
        <v>0</v>
      </c>
      <c r="J3727">
        <v>6</v>
      </c>
      <c r="K3727">
        <v>8.91</v>
      </c>
      <c r="L3727" s="2">
        <v>1</v>
      </c>
      <c r="M3727">
        <v>0</v>
      </c>
      <c r="N3727" s="2">
        <v>0</v>
      </c>
      <c r="O3727">
        <v>-2.199999999999999</v>
      </c>
      <c r="P3727" t="s">
        <v>10249</v>
      </c>
      <c r="Q3727">
        <v>1.448</v>
      </c>
      <c r="R3727" t="s">
        <v>11191</v>
      </c>
      <c r="S3727">
        <v>1</v>
      </c>
    </row>
    <row r="3728" spans="1:19">
      <c r="A3728" t="s">
        <v>35</v>
      </c>
      <c r="B3728" t="s">
        <v>324</v>
      </c>
      <c r="C3728">
        <f>"D069S"</f>
        <v>0</v>
      </c>
      <c r="D3728">
        <v>0</v>
      </c>
      <c r="E3728">
        <v>0</v>
      </c>
      <c r="F3728">
        <v>0</v>
      </c>
      <c r="G3728">
        <v>1</v>
      </c>
      <c r="H3728">
        <v>1</v>
      </c>
      <c r="I3728">
        <v>0</v>
      </c>
      <c r="J3728">
        <v>6</v>
      </c>
      <c r="K3728">
        <v>19.17</v>
      </c>
      <c r="L3728" s="2">
        <v>3</v>
      </c>
      <c r="M3728">
        <v>0</v>
      </c>
      <c r="N3728" s="2">
        <v>0</v>
      </c>
      <c r="O3728">
        <v>-2.199999999999999</v>
      </c>
      <c r="P3728" t="s">
        <v>11057</v>
      </c>
      <c r="Q3728">
        <v>639</v>
      </c>
      <c r="R3728" t="s">
        <v>10266</v>
      </c>
      <c r="S3728">
        <v>1</v>
      </c>
    </row>
    <row r="3729" spans="1:19">
      <c r="A3729" t="s">
        <v>35</v>
      </c>
      <c r="B3729" t="s">
        <v>345</v>
      </c>
      <c r="C3729">
        <f>"RJ824R"</f>
        <v>0</v>
      </c>
      <c r="D3729">
        <v>0</v>
      </c>
      <c r="E3729">
        <v>0</v>
      </c>
      <c r="F3729">
        <v>0</v>
      </c>
      <c r="G3729">
        <v>1</v>
      </c>
      <c r="H3729">
        <v>1</v>
      </c>
      <c r="I3729">
        <v>0</v>
      </c>
      <c r="J3729">
        <v>6</v>
      </c>
      <c r="K3729">
        <v>17.28</v>
      </c>
      <c r="L3729" s="2">
        <v>3</v>
      </c>
      <c r="M3729">
        <v>0</v>
      </c>
      <c r="N3729" s="2">
        <v>0</v>
      </c>
      <c r="O3729">
        <v>-2.199999999999999</v>
      </c>
      <c r="P3729" t="s">
        <v>11058</v>
      </c>
      <c r="Q3729">
        <v>576</v>
      </c>
      <c r="R3729" t="s">
        <v>10266</v>
      </c>
      <c r="S3729">
        <v>1</v>
      </c>
    </row>
    <row r="3730" spans="1:19">
      <c r="A3730" t="s">
        <v>35</v>
      </c>
      <c r="B3730" t="s">
        <v>1845</v>
      </c>
      <c r="C3730">
        <f>"CAT001CA"</f>
        <v>0</v>
      </c>
      <c r="D3730">
        <v>0</v>
      </c>
      <c r="E3730">
        <v>0</v>
      </c>
      <c r="F3730">
        <v>3</v>
      </c>
      <c r="G3730">
        <v>2</v>
      </c>
      <c r="H3730">
        <v>5</v>
      </c>
      <c r="I3730">
        <v>1</v>
      </c>
      <c r="J3730">
        <v>6</v>
      </c>
      <c r="K3730">
        <v>108.78</v>
      </c>
      <c r="L3730" s="2">
        <v>18</v>
      </c>
      <c r="M3730">
        <v>0</v>
      </c>
      <c r="N3730" s="2">
        <v>0</v>
      </c>
      <c r="O3730">
        <v>-2.199999999999999</v>
      </c>
      <c r="P3730" t="s">
        <v>11059</v>
      </c>
      <c r="Q3730">
        <v>10.781</v>
      </c>
      <c r="R3730" t="s">
        <v>181</v>
      </c>
      <c r="S3730">
        <v>0</v>
      </c>
    </row>
    <row r="3731" spans="1:19">
      <c r="A3731" t="s">
        <v>35</v>
      </c>
      <c r="B3731" t="s">
        <v>1758</v>
      </c>
      <c r="C3731">
        <f>"XDB453A"</f>
        <v>0</v>
      </c>
      <c r="D3731">
        <v>1</v>
      </c>
      <c r="E3731">
        <v>4</v>
      </c>
      <c r="F3731">
        <v>7</v>
      </c>
      <c r="G3731">
        <v>0</v>
      </c>
      <c r="H3731">
        <v>12</v>
      </c>
      <c r="I3731">
        <v>2.5</v>
      </c>
      <c r="J3731">
        <v>4</v>
      </c>
      <c r="K3731">
        <v>34.56</v>
      </c>
      <c r="L3731" s="2">
        <v>9</v>
      </c>
      <c r="M3731">
        <v>0</v>
      </c>
      <c r="N3731" s="2">
        <v>0</v>
      </c>
      <c r="O3731">
        <v>-2.3</v>
      </c>
      <c r="P3731" t="s">
        <v>100</v>
      </c>
      <c r="Q3731">
        <v>0</v>
      </c>
      <c r="R3731" t="s">
        <v>145</v>
      </c>
      <c r="S3731">
        <v>0</v>
      </c>
    </row>
    <row r="3732" spans="1:19">
      <c r="A3732" t="s">
        <v>35</v>
      </c>
      <c r="B3732" t="s">
        <v>9164</v>
      </c>
      <c r="C3732">
        <f>"940104"</f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2</v>
      </c>
      <c r="K3732">
        <v>10.782</v>
      </c>
      <c r="L3732" s="2">
        <v>5</v>
      </c>
      <c r="M3732">
        <v>0</v>
      </c>
      <c r="N3732" s="2">
        <v>0</v>
      </c>
      <c r="O3732">
        <v>-2.4</v>
      </c>
      <c r="P3732" t="s">
        <v>100</v>
      </c>
      <c r="Q3732">
        <v>0</v>
      </c>
      <c r="R3732" t="s">
        <v>145</v>
      </c>
      <c r="S3732">
        <v>0</v>
      </c>
    </row>
    <row r="3733" spans="1:19">
      <c r="A3733" t="s">
        <v>35</v>
      </c>
      <c r="B3733" t="s">
        <v>8817</v>
      </c>
      <c r="C3733">
        <f>"WD05340N"</f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2</v>
      </c>
      <c r="K3733">
        <v>0</v>
      </c>
      <c r="L3733" s="2">
        <v>0</v>
      </c>
      <c r="M3733">
        <v>0</v>
      </c>
      <c r="N3733" s="2">
        <v>0</v>
      </c>
      <c r="O3733">
        <v>-2.4</v>
      </c>
      <c r="P3733" t="s">
        <v>100</v>
      </c>
      <c r="Q3733">
        <v>0</v>
      </c>
      <c r="R3733" t="s">
        <v>145</v>
      </c>
      <c r="S3733">
        <v>0</v>
      </c>
    </row>
    <row r="3734" spans="1:19">
      <c r="A3734" t="s">
        <v>35</v>
      </c>
      <c r="B3734" t="s">
        <v>9125</v>
      </c>
      <c r="C3734">
        <f>"CWB015SGR"</f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2</v>
      </c>
      <c r="K3734">
        <v>24.21</v>
      </c>
      <c r="L3734" s="2">
        <v>12</v>
      </c>
      <c r="M3734">
        <v>0</v>
      </c>
      <c r="N3734" s="2">
        <v>0</v>
      </c>
      <c r="O3734">
        <v>-2.4</v>
      </c>
      <c r="P3734" t="s">
        <v>100</v>
      </c>
      <c r="Q3734">
        <v>0</v>
      </c>
      <c r="R3734" t="s">
        <v>145</v>
      </c>
      <c r="S3734">
        <v>0</v>
      </c>
    </row>
    <row r="3735" spans="1:19">
      <c r="A3735" t="s">
        <v>35</v>
      </c>
      <c r="B3735" t="s">
        <v>7306</v>
      </c>
      <c r="C3735">
        <f>"54B1093242XLG"</f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2</v>
      </c>
      <c r="K3735">
        <v>17.82</v>
      </c>
      <c r="L3735" s="2">
        <v>9</v>
      </c>
      <c r="M3735">
        <v>0</v>
      </c>
      <c r="N3735" s="2">
        <v>0</v>
      </c>
      <c r="O3735">
        <v>-2.4</v>
      </c>
      <c r="P3735" t="s">
        <v>100</v>
      </c>
      <c r="Q3735">
        <v>0</v>
      </c>
      <c r="R3735" t="s">
        <v>145</v>
      </c>
      <c r="S3735">
        <v>0</v>
      </c>
    </row>
    <row r="3736" spans="1:19">
      <c r="A3736" t="s">
        <v>35</v>
      </c>
      <c r="B3736" t="s">
        <v>2947</v>
      </c>
      <c r="C3736">
        <f>"PS1023"</f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2</v>
      </c>
      <c r="K3736">
        <v>6.57</v>
      </c>
      <c r="L3736" s="2">
        <v>3</v>
      </c>
      <c r="M3736">
        <v>0</v>
      </c>
      <c r="N3736" s="2">
        <v>0</v>
      </c>
      <c r="O3736">
        <v>-2.4</v>
      </c>
      <c r="P3736" t="s">
        <v>100</v>
      </c>
      <c r="Q3736">
        <v>0</v>
      </c>
      <c r="R3736" t="s">
        <v>145</v>
      </c>
      <c r="S3736">
        <v>0</v>
      </c>
    </row>
    <row r="3737" spans="1:19">
      <c r="A3737" t="s">
        <v>35</v>
      </c>
      <c r="B3737" t="s">
        <v>8419</v>
      </c>
      <c r="C3737">
        <f>"YY201CUCA"</f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2</v>
      </c>
      <c r="K3737">
        <v>2.61</v>
      </c>
      <c r="L3737" s="2">
        <v>1</v>
      </c>
      <c r="M3737">
        <v>0</v>
      </c>
      <c r="N3737" s="2">
        <v>0</v>
      </c>
      <c r="O3737">
        <v>-2.4</v>
      </c>
      <c r="P3737" t="s">
        <v>100</v>
      </c>
      <c r="Q3737">
        <v>0</v>
      </c>
      <c r="R3737" t="s">
        <v>145</v>
      </c>
      <c r="S3737">
        <v>0</v>
      </c>
    </row>
    <row r="3738" spans="1:19">
      <c r="A3738" t="s">
        <v>35</v>
      </c>
      <c r="B3738" t="s">
        <v>2454</v>
      </c>
      <c r="C3738">
        <f>"MSP008ROSC"</f>
        <v>0</v>
      </c>
      <c r="D3738">
        <v>1</v>
      </c>
      <c r="E3738">
        <v>0</v>
      </c>
      <c r="F3738">
        <v>0</v>
      </c>
      <c r="G3738">
        <v>0</v>
      </c>
      <c r="H3738">
        <v>1</v>
      </c>
      <c r="I3738">
        <v>0</v>
      </c>
      <c r="J3738">
        <v>2</v>
      </c>
      <c r="K3738">
        <v>35.1</v>
      </c>
      <c r="L3738" s="2">
        <v>18</v>
      </c>
      <c r="M3738">
        <v>0</v>
      </c>
      <c r="N3738" s="2">
        <v>0</v>
      </c>
      <c r="O3738">
        <v>-2.4</v>
      </c>
      <c r="P3738" t="s">
        <v>100</v>
      </c>
      <c r="Q3738">
        <v>0</v>
      </c>
      <c r="R3738" t="s">
        <v>145</v>
      </c>
      <c r="S3738">
        <v>0</v>
      </c>
    </row>
    <row r="3739" spans="1:19">
      <c r="A3739" t="s">
        <v>35</v>
      </c>
      <c r="B3739" t="s">
        <v>5017</v>
      </c>
      <c r="C3739">
        <f>"1823MBM"</f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2</v>
      </c>
      <c r="K3739">
        <v>11.43</v>
      </c>
      <c r="L3739" s="2">
        <v>6</v>
      </c>
      <c r="M3739">
        <v>0</v>
      </c>
      <c r="N3739" s="2">
        <v>0</v>
      </c>
      <c r="O3739">
        <v>-2.4</v>
      </c>
      <c r="P3739" t="s">
        <v>100</v>
      </c>
      <c r="Q3739">
        <v>0</v>
      </c>
      <c r="R3739" t="s">
        <v>145</v>
      </c>
      <c r="S3739">
        <v>0</v>
      </c>
    </row>
    <row r="3740" spans="1:19">
      <c r="A3740" t="s">
        <v>35</v>
      </c>
      <c r="B3740" t="s">
        <v>5014</v>
      </c>
      <c r="C3740">
        <f>"1837LAM"</f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2</v>
      </c>
      <c r="K3740">
        <v>7.56</v>
      </c>
      <c r="L3740" s="2">
        <v>4</v>
      </c>
      <c r="M3740">
        <v>0</v>
      </c>
      <c r="N3740" s="2">
        <v>0</v>
      </c>
      <c r="O3740">
        <v>-2.4</v>
      </c>
      <c r="P3740" t="s">
        <v>100</v>
      </c>
      <c r="Q3740">
        <v>0</v>
      </c>
      <c r="R3740" t="s">
        <v>145</v>
      </c>
      <c r="S3740">
        <v>0</v>
      </c>
    </row>
    <row r="3741" spans="1:19">
      <c r="A3741" t="s">
        <v>35</v>
      </c>
      <c r="B3741" t="s">
        <v>9163</v>
      </c>
      <c r="C3741">
        <f>"2441"</f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2</v>
      </c>
      <c r="K3741">
        <v>4.23</v>
      </c>
      <c r="L3741" s="2">
        <v>2</v>
      </c>
      <c r="M3741">
        <v>0</v>
      </c>
      <c r="N3741" s="2">
        <v>0</v>
      </c>
      <c r="O3741">
        <v>-2.4</v>
      </c>
      <c r="P3741" t="s">
        <v>100</v>
      </c>
      <c r="Q3741">
        <v>0</v>
      </c>
      <c r="R3741" t="s">
        <v>145</v>
      </c>
      <c r="S3741">
        <v>0</v>
      </c>
    </row>
    <row r="3742" spans="1:19">
      <c r="A3742" t="s">
        <v>35</v>
      </c>
      <c r="B3742" t="s">
        <v>6912</v>
      </c>
      <c r="C3742">
        <f>"ZJ231VC"</f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2</v>
      </c>
      <c r="K3742">
        <v>5.382</v>
      </c>
      <c r="L3742" s="2">
        <v>3</v>
      </c>
      <c r="M3742">
        <v>0</v>
      </c>
      <c r="N3742" s="2">
        <v>0</v>
      </c>
      <c r="O3742">
        <v>-2.4</v>
      </c>
      <c r="P3742" t="s">
        <v>100</v>
      </c>
      <c r="Q3742">
        <v>0</v>
      </c>
      <c r="R3742" t="s">
        <v>145</v>
      </c>
      <c r="S3742">
        <v>0</v>
      </c>
    </row>
    <row r="3743" spans="1:19">
      <c r="A3743" t="s">
        <v>35</v>
      </c>
      <c r="B3743" t="s">
        <v>5009</v>
      </c>
      <c r="C3743">
        <f>"1837BCL"</f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2</v>
      </c>
      <c r="K3743">
        <v>7.56</v>
      </c>
      <c r="L3743" s="2">
        <v>4</v>
      </c>
      <c r="M3743">
        <v>0</v>
      </c>
      <c r="N3743" s="2">
        <v>0</v>
      </c>
      <c r="O3743">
        <v>-2.4</v>
      </c>
      <c r="P3743" t="s">
        <v>100</v>
      </c>
      <c r="Q3743">
        <v>0</v>
      </c>
      <c r="R3743" t="s">
        <v>145</v>
      </c>
      <c r="S3743">
        <v>0</v>
      </c>
    </row>
    <row r="3744" spans="1:19">
      <c r="A3744" t="s">
        <v>35</v>
      </c>
      <c r="B3744" t="s">
        <v>8365</v>
      </c>
      <c r="C3744">
        <f>"PD20014M"</f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2</v>
      </c>
      <c r="K3744">
        <v>8.94</v>
      </c>
      <c r="L3744" s="2">
        <v>4</v>
      </c>
      <c r="M3744">
        <v>0</v>
      </c>
      <c r="N3744" s="2">
        <v>0</v>
      </c>
      <c r="O3744">
        <v>-2.4</v>
      </c>
      <c r="P3744" t="s">
        <v>100</v>
      </c>
      <c r="Q3744">
        <v>0</v>
      </c>
      <c r="R3744" t="s">
        <v>145</v>
      </c>
      <c r="S3744">
        <v>0</v>
      </c>
    </row>
    <row r="3745" spans="1:19">
      <c r="A3745" t="s">
        <v>35</v>
      </c>
      <c r="B3745" t="s">
        <v>9934</v>
      </c>
      <c r="C3745">
        <f>"FB857XSR"</f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2</v>
      </c>
      <c r="K3745">
        <v>6.642</v>
      </c>
      <c r="L3745" s="2">
        <v>3</v>
      </c>
      <c r="M3745">
        <v>0</v>
      </c>
      <c r="N3745" s="2">
        <v>0</v>
      </c>
      <c r="O3745">
        <v>-2.4</v>
      </c>
      <c r="P3745" t="s">
        <v>100</v>
      </c>
      <c r="Q3745">
        <v>0</v>
      </c>
      <c r="R3745" t="s">
        <v>145</v>
      </c>
      <c r="S3745">
        <v>0</v>
      </c>
    </row>
    <row r="3746" spans="1:19">
      <c r="A3746" t="s">
        <v>35</v>
      </c>
      <c r="B3746" t="s">
        <v>8517</v>
      </c>
      <c r="C3746">
        <f>"KHBZ098"</f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2</v>
      </c>
      <c r="K3746">
        <v>2.25</v>
      </c>
      <c r="L3746" s="2">
        <v>1</v>
      </c>
      <c r="M3746">
        <v>0</v>
      </c>
      <c r="N3746" s="2">
        <v>0</v>
      </c>
      <c r="O3746">
        <v>-2.4</v>
      </c>
      <c r="P3746" t="s">
        <v>100</v>
      </c>
      <c r="Q3746">
        <v>0</v>
      </c>
      <c r="R3746" t="s">
        <v>145</v>
      </c>
      <c r="S3746">
        <v>0</v>
      </c>
    </row>
    <row r="3747" spans="1:19">
      <c r="A3747" t="s">
        <v>35</v>
      </c>
      <c r="B3747" t="s">
        <v>6577</v>
      </c>
      <c r="C3747">
        <f>"HH088MG"</f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2</v>
      </c>
      <c r="K3747">
        <v>18.9</v>
      </c>
      <c r="L3747" s="2">
        <v>9</v>
      </c>
      <c r="M3747">
        <v>0</v>
      </c>
      <c r="N3747" s="2">
        <v>0</v>
      </c>
      <c r="O3747">
        <v>-2.4</v>
      </c>
      <c r="P3747" t="s">
        <v>100</v>
      </c>
      <c r="Q3747">
        <v>0</v>
      </c>
      <c r="R3747" t="s">
        <v>145</v>
      </c>
      <c r="S3747">
        <v>0</v>
      </c>
    </row>
    <row r="3748" spans="1:19">
      <c r="A3748" t="s">
        <v>35</v>
      </c>
      <c r="B3748" t="s">
        <v>2277</v>
      </c>
      <c r="C3748">
        <f>"YSRJ07"</f>
        <v>0</v>
      </c>
      <c r="D3748">
        <v>2</v>
      </c>
      <c r="E3748">
        <v>0</v>
      </c>
      <c r="F3748">
        <v>0</v>
      </c>
      <c r="G3748">
        <v>0</v>
      </c>
      <c r="H3748">
        <v>2</v>
      </c>
      <c r="I3748">
        <v>0</v>
      </c>
      <c r="J3748">
        <v>2</v>
      </c>
      <c r="K3748">
        <v>2.88</v>
      </c>
      <c r="L3748" s="2">
        <v>1</v>
      </c>
      <c r="M3748">
        <v>0</v>
      </c>
      <c r="N3748" s="2">
        <v>0</v>
      </c>
      <c r="O3748">
        <v>-2.4</v>
      </c>
      <c r="P3748" t="s">
        <v>100</v>
      </c>
      <c r="Q3748">
        <v>0</v>
      </c>
      <c r="R3748" t="s">
        <v>145</v>
      </c>
      <c r="S3748">
        <v>0</v>
      </c>
    </row>
    <row r="3749" spans="1:19">
      <c r="A3749" t="s">
        <v>35</v>
      </c>
      <c r="B3749" t="s">
        <v>8009</v>
      </c>
      <c r="C3749">
        <f>"FB511SG"</f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2</v>
      </c>
      <c r="K3749">
        <v>13.5</v>
      </c>
      <c r="L3749" s="2">
        <v>7</v>
      </c>
      <c r="M3749">
        <v>0</v>
      </c>
      <c r="N3749" s="2">
        <v>0</v>
      </c>
      <c r="O3749">
        <v>-2.4</v>
      </c>
      <c r="P3749" t="s">
        <v>100</v>
      </c>
      <c r="Q3749">
        <v>0</v>
      </c>
      <c r="R3749" t="s">
        <v>145</v>
      </c>
      <c r="S3749">
        <v>0</v>
      </c>
    </row>
    <row r="3750" spans="1:19">
      <c r="A3750" t="s">
        <v>35</v>
      </c>
      <c r="B3750" t="s">
        <v>8619</v>
      </c>
      <c r="C3750">
        <f>"FB857LA"</f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2</v>
      </c>
      <c r="K3750">
        <v>7.821</v>
      </c>
      <c r="L3750" s="2">
        <v>4</v>
      </c>
      <c r="M3750">
        <v>0</v>
      </c>
      <c r="N3750" s="2">
        <v>0</v>
      </c>
      <c r="O3750">
        <v>-2.4</v>
      </c>
      <c r="P3750" t="s">
        <v>100</v>
      </c>
      <c r="Q3750">
        <v>0</v>
      </c>
      <c r="R3750" t="s">
        <v>145</v>
      </c>
      <c r="S3750">
        <v>0</v>
      </c>
    </row>
    <row r="3751" spans="1:19">
      <c r="A3751" t="s">
        <v>35</v>
      </c>
      <c r="B3751" t="s">
        <v>2415</v>
      </c>
      <c r="C3751">
        <f>"PR26"</f>
        <v>0</v>
      </c>
      <c r="D3751">
        <v>0</v>
      </c>
      <c r="E3751">
        <v>0</v>
      </c>
      <c r="F3751">
        <v>1</v>
      </c>
      <c r="G3751">
        <v>0</v>
      </c>
      <c r="H3751">
        <v>1</v>
      </c>
      <c r="I3751">
        <v>0</v>
      </c>
      <c r="J3751">
        <v>2</v>
      </c>
      <c r="K3751">
        <v>5.382</v>
      </c>
      <c r="L3751" s="2">
        <v>3</v>
      </c>
      <c r="M3751">
        <v>0</v>
      </c>
      <c r="N3751" s="2">
        <v>0</v>
      </c>
      <c r="O3751">
        <v>-2.4</v>
      </c>
      <c r="P3751" t="s">
        <v>100</v>
      </c>
      <c r="Q3751">
        <v>0</v>
      </c>
      <c r="R3751" t="s">
        <v>145</v>
      </c>
      <c r="S3751">
        <v>0</v>
      </c>
    </row>
    <row r="3752" spans="1:19">
      <c r="A3752" t="s">
        <v>35</v>
      </c>
      <c r="B3752" t="s">
        <v>8426</v>
      </c>
      <c r="C3752">
        <f>"DB821ROS"</f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2</v>
      </c>
      <c r="K3752">
        <v>14.382</v>
      </c>
      <c r="L3752" s="2">
        <v>7</v>
      </c>
      <c r="M3752">
        <v>0</v>
      </c>
      <c r="N3752" s="2">
        <v>0</v>
      </c>
      <c r="O3752">
        <v>-2.4</v>
      </c>
      <c r="P3752" t="s">
        <v>100</v>
      </c>
      <c r="Q3752">
        <v>0</v>
      </c>
      <c r="R3752" t="s">
        <v>145</v>
      </c>
      <c r="S3752">
        <v>0</v>
      </c>
    </row>
    <row r="3753" spans="1:19">
      <c r="A3753" t="s">
        <v>35</v>
      </c>
      <c r="B3753" t="s">
        <v>7303</v>
      </c>
      <c r="C3753">
        <f>"54B109324LG"</f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2</v>
      </c>
      <c r="K3753">
        <v>13.41</v>
      </c>
      <c r="L3753" s="2">
        <v>7</v>
      </c>
      <c r="M3753">
        <v>0</v>
      </c>
      <c r="N3753" s="2">
        <v>0</v>
      </c>
      <c r="O3753">
        <v>-2.4</v>
      </c>
      <c r="P3753" t="s">
        <v>100</v>
      </c>
      <c r="Q3753">
        <v>0</v>
      </c>
      <c r="R3753" t="s">
        <v>145</v>
      </c>
      <c r="S3753">
        <v>0</v>
      </c>
    </row>
    <row r="3754" spans="1:19">
      <c r="A3754" t="s">
        <v>35</v>
      </c>
      <c r="B3754" t="s">
        <v>7304</v>
      </c>
      <c r="C3754">
        <f>"54B1093244XLG"</f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2</v>
      </c>
      <c r="K3754">
        <v>21.342</v>
      </c>
      <c r="L3754" s="2">
        <v>11</v>
      </c>
      <c r="M3754">
        <v>0</v>
      </c>
      <c r="N3754" s="2">
        <v>0</v>
      </c>
      <c r="O3754">
        <v>-2.4</v>
      </c>
      <c r="P3754" t="s">
        <v>100</v>
      </c>
      <c r="Q3754">
        <v>0</v>
      </c>
      <c r="R3754" t="s">
        <v>145</v>
      </c>
      <c r="S3754">
        <v>0</v>
      </c>
    </row>
    <row r="3755" spans="1:19">
      <c r="A3755" t="s">
        <v>35</v>
      </c>
      <c r="B3755" t="s">
        <v>2015</v>
      </c>
      <c r="C3755">
        <f>"PX0977"</f>
        <v>0</v>
      </c>
      <c r="D3755">
        <v>4</v>
      </c>
      <c r="E3755">
        <v>0</v>
      </c>
      <c r="F3755">
        <v>0</v>
      </c>
      <c r="G3755">
        <v>0</v>
      </c>
      <c r="H3755">
        <v>4</v>
      </c>
      <c r="I3755">
        <v>0</v>
      </c>
      <c r="J3755">
        <v>2</v>
      </c>
      <c r="K3755">
        <v>4.682</v>
      </c>
      <c r="L3755" s="2">
        <v>2</v>
      </c>
      <c r="M3755">
        <v>0</v>
      </c>
      <c r="N3755" s="2">
        <v>0</v>
      </c>
      <c r="O3755">
        <v>-2.4</v>
      </c>
      <c r="P3755" t="s">
        <v>100</v>
      </c>
      <c r="Q3755">
        <v>0</v>
      </c>
      <c r="R3755" t="s">
        <v>145</v>
      </c>
      <c r="S3755">
        <v>0</v>
      </c>
    </row>
    <row r="3756" spans="1:19">
      <c r="A3756" t="s">
        <v>35</v>
      </c>
      <c r="B3756" t="s">
        <v>2264</v>
      </c>
      <c r="C3756">
        <f>"LMM"</f>
        <v>0</v>
      </c>
      <c r="D3756">
        <v>0</v>
      </c>
      <c r="E3756">
        <v>2</v>
      </c>
      <c r="F3756">
        <v>0</v>
      </c>
      <c r="G3756">
        <v>0</v>
      </c>
      <c r="H3756">
        <v>2</v>
      </c>
      <c r="I3756">
        <v>0</v>
      </c>
      <c r="J3756">
        <v>2</v>
      </c>
      <c r="K3756">
        <v>7.182</v>
      </c>
      <c r="L3756" s="2">
        <v>4</v>
      </c>
      <c r="M3756">
        <v>0</v>
      </c>
      <c r="N3756" s="2">
        <v>0</v>
      </c>
      <c r="O3756">
        <v>-2.4</v>
      </c>
      <c r="P3756" t="s">
        <v>100</v>
      </c>
      <c r="Q3756">
        <v>0</v>
      </c>
      <c r="R3756" t="s">
        <v>145</v>
      </c>
      <c r="S3756">
        <v>0</v>
      </c>
    </row>
    <row r="3757" spans="1:19">
      <c r="A3757" t="s">
        <v>35</v>
      </c>
      <c r="B3757" t="s">
        <v>5478</v>
      </c>
      <c r="C3757">
        <f>"KF8043"</f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2</v>
      </c>
      <c r="K3757">
        <v>26.46</v>
      </c>
      <c r="L3757" s="2">
        <v>13</v>
      </c>
      <c r="M3757">
        <v>0</v>
      </c>
      <c r="N3757" s="2">
        <v>0</v>
      </c>
      <c r="O3757">
        <v>-2.4</v>
      </c>
      <c r="P3757" t="s">
        <v>100</v>
      </c>
      <c r="Q3757">
        <v>0</v>
      </c>
      <c r="R3757" t="s">
        <v>145</v>
      </c>
      <c r="S3757">
        <v>0</v>
      </c>
    </row>
    <row r="3758" spans="1:19">
      <c r="A3758" t="s">
        <v>35</v>
      </c>
      <c r="B3758" t="s">
        <v>2931</v>
      </c>
      <c r="C3758">
        <f>"PS06030"</f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2</v>
      </c>
      <c r="K3758">
        <v>4.41</v>
      </c>
      <c r="L3758" s="2">
        <v>2</v>
      </c>
      <c r="M3758">
        <v>0</v>
      </c>
      <c r="N3758" s="2">
        <v>0</v>
      </c>
      <c r="O3758">
        <v>-2.4</v>
      </c>
      <c r="P3758" t="s">
        <v>100</v>
      </c>
      <c r="Q3758">
        <v>0</v>
      </c>
      <c r="R3758" t="s">
        <v>145</v>
      </c>
      <c r="S3758">
        <v>0</v>
      </c>
    </row>
    <row r="3759" spans="1:19">
      <c r="A3759" t="s">
        <v>35</v>
      </c>
      <c r="B3759" t="s">
        <v>2368</v>
      </c>
      <c r="C3759">
        <f>"23010"</f>
        <v>0</v>
      </c>
      <c r="D3759">
        <v>1</v>
      </c>
      <c r="E3759">
        <v>0</v>
      </c>
      <c r="F3759">
        <v>0</v>
      </c>
      <c r="G3759">
        <v>0</v>
      </c>
      <c r="H3759">
        <v>1</v>
      </c>
      <c r="I3759">
        <v>0</v>
      </c>
      <c r="J3759">
        <v>2</v>
      </c>
      <c r="K3759">
        <v>12.42</v>
      </c>
      <c r="L3759" s="2">
        <v>6</v>
      </c>
      <c r="M3759">
        <v>0</v>
      </c>
      <c r="N3759" s="2">
        <v>0</v>
      </c>
      <c r="O3759">
        <v>-2.4</v>
      </c>
      <c r="P3759" t="s">
        <v>100</v>
      </c>
      <c r="Q3759">
        <v>0</v>
      </c>
      <c r="R3759" t="s">
        <v>145</v>
      </c>
      <c r="S3759">
        <v>0</v>
      </c>
    </row>
    <row r="3760" spans="1:19">
      <c r="A3760" t="s">
        <v>35</v>
      </c>
      <c r="B3760" t="s">
        <v>2416</v>
      </c>
      <c r="C3760">
        <f>"JWZ1058M"</f>
        <v>0</v>
      </c>
      <c r="D3760">
        <v>1</v>
      </c>
      <c r="E3760">
        <v>0</v>
      </c>
      <c r="F3760">
        <v>0</v>
      </c>
      <c r="G3760">
        <v>0</v>
      </c>
      <c r="H3760">
        <v>1</v>
      </c>
      <c r="I3760">
        <v>0</v>
      </c>
      <c r="J3760">
        <v>2</v>
      </c>
      <c r="K3760">
        <v>1.89</v>
      </c>
      <c r="L3760" s="2">
        <v>1</v>
      </c>
      <c r="M3760">
        <v>0</v>
      </c>
      <c r="N3760" s="2">
        <v>0</v>
      </c>
      <c r="O3760">
        <v>-2.4</v>
      </c>
      <c r="P3760" t="s">
        <v>100</v>
      </c>
      <c r="Q3760">
        <v>0</v>
      </c>
      <c r="R3760" t="s">
        <v>145</v>
      </c>
      <c r="S3760">
        <v>0</v>
      </c>
    </row>
    <row r="3761" spans="1:19">
      <c r="A3761" t="s">
        <v>35</v>
      </c>
      <c r="B3761" t="s">
        <v>7742</v>
      </c>
      <c r="C3761">
        <f>"B19222XLR"</f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2</v>
      </c>
      <c r="K3761">
        <v>20.16</v>
      </c>
      <c r="L3761" s="2">
        <v>10</v>
      </c>
      <c r="M3761">
        <v>0</v>
      </c>
      <c r="N3761" s="2">
        <v>0</v>
      </c>
      <c r="O3761">
        <v>-2.4</v>
      </c>
      <c r="P3761" t="s">
        <v>100</v>
      </c>
      <c r="Q3761">
        <v>0</v>
      </c>
      <c r="R3761" t="s">
        <v>145</v>
      </c>
      <c r="S3761">
        <v>0</v>
      </c>
    </row>
    <row r="3762" spans="1:19">
      <c r="A3762" t="s">
        <v>35</v>
      </c>
      <c r="B3762" t="s">
        <v>9094</v>
      </c>
      <c r="C3762">
        <f>"MCW118"</f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2</v>
      </c>
      <c r="K3762">
        <v>1.242</v>
      </c>
      <c r="L3762" s="2">
        <v>1</v>
      </c>
      <c r="M3762">
        <v>0</v>
      </c>
      <c r="N3762" s="2">
        <v>0</v>
      </c>
      <c r="O3762">
        <v>-2.4</v>
      </c>
      <c r="P3762" t="s">
        <v>100</v>
      </c>
      <c r="Q3762">
        <v>0</v>
      </c>
      <c r="R3762" t="s">
        <v>145</v>
      </c>
      <c r="S3762">
        <v>0</v>
      </c>
    </row>
    <row r="3763" spans="1:19">
      <c r="A3763" t="s">
        <v>35</v>
      </c>
      <c r="B3763" t="s">
        <v>2392</v>
      </c>
      <c r="C3763">
        <f>"ER130"</f>
        <v>0</v>
      </c>
      <c r="D3763">
        <v>0</v>
      </c>
      <c r="E3763">
        <v>1</v>
      </c>
      <c r="F3763">
        <v>0</v>
      </c>
      <c r="G3763">
        <v>0</v>
      </c>
      <c r="H3763">
        <v>1</v>
      </c>
      <c r="I3763">
        <v>0</v>
      </c>
      <c r="J3763">
        <v>2</v>
      </c>
      <c r="K3763">
        <v>7.182</v>
      </c>
      <c r="L3763" s="2">
        <v>4</v>
      </c>
      <c r="M3763">
        <v>0</v>
      </c>
      <c r="N3763" s="2">
        <v>0</v>
      </c>
      <c r="O3763">
        <v>-2.4</v>
      </c>
      <c r="P3763" t="s">
        <v>100</v>
      </c>
      <c r="Q3763">
        <v>0</v>
      </c>
      <c r="R3763" t="s">
        <v>145</v>
      </c>
      <c r="S3763">
        <v>0</v>
      </c>
    </row>
    <row r="3764" spans="1:19">
      <c r="A3764" t="s">
        <v>35</v>
      </c>
      <c r="B3764" t="s">
        <v>2905</v>
      </c>
      <c r="C3764">
        <f>"PGDT064ROJ"</f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2</v>
      </c>
      <c r="K3764">
        <v>8.981999999999999</v>
      </c>
      <c r="L3764" s="2">
        <v>4</v>
      </c>
      <c r="M3764">
        <v>0</v>
      </c>
      <c r="N3764" s="2">
        <v>0</v>
      </c>
      <c r="O3764">
        <v>-2.4</v>
      </c>
      <c r="P3764" t="s">
        <v>100</v>
      </c>
      <c r="Q3764">
        <v>0</v>
      </c>
      <c r="R3764" t="s">
        <v>145</v>
      </c>
      <c r="S3764">
        <v>0</v>
      </c>
    </row>
    <row r="3765" spans="1:19">
      <c r="A3765" t="s">
        <v>35</v>
      </c>
      <c r="B3765" t="s">
        <v>6980</v>
      </c>
      <c r="C3765">
        <f>"ER142"</f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2</v>
      </c>
      <c r="K3765">
        <v>4.482</v>
      </c>
      <c r="L3765" s="2">
        <v>2</v>
      </c>
      <c r="M3765">
        <v>0</v>
      </c>
      <c r="N3765" s="2">
        <v>0</v>
      </c>
      <c r="O3765">
        <v>-2.4</v>
      </c>
      <c r="P3765" t="s">
        <v>100</v>
      </c>
      <c r="Q3765">
        <v>0</v>
      </c>
      <c r="R3765" t="s">
        <v>145</v>
      </c>
      <c r="S3765">
        <v>0</v>
      </c>
    </row>
    <row r="3766" spans="1:19">
      <c r="A3766" t="s">
        <v>35</v>
      </c>
      <c r="B3766" t="s">
        <v>2577</v>
      </c>
      <c r="C3766">
        <f>"749M"</f>
        <v>0</v>
      </c>
      <c r="D3766">
        <v>0</v>
      </c>
      <c r="E3766">
        <v>0</v>
      </c>
      <c r="F3766">
        <v>1</v>
      </c>
      <c r="G3766">
        <v>0</v>
      </c>
      <c r="H3766">
        <v>1</v>
      </c>
      <c r="I3766">
        <v>0</v>
      </c>
      <c r="J3766">
        <v>2</v>
      </c>
      <c r="K3766">
        <v>2.25</v>
      </c>
      <c r="L3766" s="2">
        <v>1</v>
      </c>
      <c r="M3766">
        <v>0</v>
      </c>
      <c r="N3766" s="2">
        <v>0</v>
      </c>
      <c r="O3766">
        <v>-2.4</v>
      </c>
      <c r="P3766" t="s">
        <v>100</v>
      </c>
      <c r="Q3766">
        <v>0</v>
      </c>
      <c r="R3766" t="s">
        <v>145</v>
      </c>
      <c r="S3766">
        <v>0</v>
      </c>
    </row>
    <row r="3767" spans="1:19">
      <c r="A3767" t="s">
        <v>35</v>
      </c>
      <c r="B3767" t="s">
        <v>6798</v>
      </c>
      <c r="C3767">
        <f>"HH088XXLCA"</f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2</v>
      </c>
      <c r="K3767">
        <v>23.202</v>
      </c>
      <c r="L3767" s="2">
        <v>12</v>
      </c>
      <c r="M3767">
        <v>0</v>
      </c>
      <c r="N3767" s="2">
        <v>0</v>
      </c>
      <c r="O3767">
        <v>-2.4</v>
      </c>
      <c r="P3767" t="s">
        <v>100</v>
      </c>
      <c r="Q3767">
        <v>0</v>
      </c>
      <c r="R3767" t="s">
        <v>145</v>
      </c>
      <c r="S3767">
        <v>0</v>
      </c>
    </row>
    <row r="3768" spans="1:19">
      <c r="A3768" t="s">
        <v>35</v>
      </c>
      <c r="B3768" t="s">
        <v>8671</v>
      </c>
      <c r="C3768">
        <f>"DB821RS"</f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2</v>
      </c>
      <c r="K3768">
        <v>14.382</v>
      </c>
      <c r="L3768" s="2">
        <v>7</v>
      </c>
      <c r="M3768">
        <v>0</v>
      </c>
      <c r="N3768" s="2">
        <v>0</v>
      </c>
      <c r="O3768">
        <v>-2.4</v>
      </c>
      <c r="P3768" t="s">
        <v>100</v>
      </c>
      <c r="Q3768">
        <v>0</v>
      </c>
      <c r="R3768" t="s">
        <v>145</v>
      </c>
      <c r="S3768">
        <v>0</v>
      </c>
    </row>
    <row r="3769" spans="1:19">
      <c r="A3769" t="s">
        <v>35</v>
      </c>
      <c r="B3769" t="s">
        <v>6448</v>
      </c>
      <c r="C3769">
        <f>"CC309MACN"</f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2</v>
      </c>
      <c r="K3769">
        <v>7.182</v>
      </c>
      <c r="L3769" s="2">
        <v>4</v>
      </c>
      <c r="M3769">
        <v>0</v>
      </c>
      <c r="N3769" s="2">
        <v>0</v>
      </c>
      <c r="O3769">
        <v>-2.4</v>
      </c>
      <c r="P3769" t="s">
        <v>100</v>
      </c>
      <c r="Q3769">
        <v>0</v>
      </c>
      <c r="R3769" t="s">
        <v>145</v>
      </c>
      <c r="S3769">
        <v>0</v>
      </c>
    </row>
    <row r="3770" spans="1:19">
      <c r="A3770" t="s">
        <v>35</v>
      </c>
      <c r="B3770" t="s">
        <v>7694</v>
      </c>
      <c r="C3770">
        <f>"FB6735XLV"</f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2</v>
      </c>
      <c r="K3770">
        <v>14.841</v>
      </c>
      <c r="L3770" s="2">
        <v>7</v>
      </c>
      <c r="M3770">
        <v>0</v>
      </c>
      <c r="N3770" s="2">
        <v>0</v>
      </c>
      <c r="O3770">
        <v>-2.4</v>
      </c>
      <c r="P3770" t="s">
        <v>100</v>
      </c>
      <c r="Q3770">
        <v>0</v>
      </c>
      <c r="R3770" t="s">
        <v>145</v>
      </c>
      <c r="S3770">
        <v>0</v>
      </c>
    </row>
    <row r="3771" spans="1:19">
      <c r="A3771" t="s">
        <v>35</v>
      </c>
      <c r="B3771" t="s">
        <v>2662</v>
      </c>
      <c r="C3771">
        <f>"187A54XLBL"</f>
        <v>0</v>
      </c>
      <c r="D3771">
        <v>0</v>
      </c>
      <c r="E3771">
        <v>0</v>
      </c>
      <c r="F3771">
        <v>1</v>
      </c>
      <c r="G3771">
        <v>0</v>
      </c>
      <c r="H3771">
        <v>1</v>
      </c>
      <c r="I3771">
        <v>0</v>
      </c>
      <c r="J3771">
        <v>2</v>
      </c>
      <c r="K3771">
        <v>3.24</v>
      </c>
      <c r="L3771" s="2">
        <v>2</v>
      </c>
      <c r="M3771">
        <v>0</v>
      </c>
      <c r="N3771" s="2">
        <v>0</v>
      </c>
      <c r="O3771">
        <v>-2.4</v>
      </c>
      <c r="P3771" t="s">
        <v>100</v>
      </c>
      <c r="Q3771">
        <v>0</v>
      </c>
      <c r="R3771" t="s">
        <v>145</v>
      </c>
      <c r="S3771">
        <v>0</v>
      </c>
    </row>
    <row r="3772" spans="1:19">
      <c r="A3772" t="s">
        <v>35</v>
      </c>
      <c r="B3772" t="s">
        <v>2526</v>
      </c>
      <c r="C3772">
        <f>"YQ11"</f>
        <v>0</v>
      </c>
      <c r="D3772">
        <v>1</v>
      </c>
      <c r="E3772">
        <v>0</v>
      </c>
      <c r="F3772">
        <v>0</v>
      </c>
      <c r="G3772">
        <v>0</v>
      </c>
      <c r="H3772">
        <v>1</v>
      </c>
      <c r="I3772">
        <v>0</v>
      </c>
      <c r="J3772">
        <v>2</v>
      </c>
      <c r="K3772">
        <v>11.7</v>
      </c>
      <c r="L3772" s="2">
        <v>6</v>
      </c>
      <c r="M3772">
        <v>0</v>
      </c>
      <c r="N3772" s="2">
        <v>0</v>
      </c>
      <c r="O3772">
        <v>-2.4</v>
      </c>
      <c r="P3772" t="s">
        <v>100</v>
      </c>
      <c r="Q3772">
        <v>0</v>
      </c>
      <c r="R3772" t="s">
        <v>145</v>
      </c>
      <c r="S3772">
        <v>0</v>
      </c>
    </row>
    <row r="3773" spans="1:19">
      <c r="A3773" t="s">
        <v>35</v>
      </c>
      <c r="B3773" t="s">
        <v>9783</v>
      </c>
      <c r="C3773">
        <f>"EK3002RO"</f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2</v>
      </c>
      <c r="K3773">
        <v>1.992</v>
      </c>
      <c r="L3773" s="2">
        <v>1</v>
      </c>
      <c r="M3773">
        <v>0</v>
      </c>
      <c r="N3773" s="2">
        <v>0</v>
      </c>
      <c r="O3773">
        <v>-2.4</v>
      </c>
      <c r="P3773" t="s">
        <v>100</v>
      </c>
      <c r="Q3773">
        <v>0</v>
      </c>
      <c r="R3773" t="s">
        <v>145</v>
      </c>
      <c r="S3773">
        <v>0</v>
      </c>
    </row>
    <row r="3774" spans="1:19">
      <c r="A3774" t="s">
        <v>35</v>
      </c>
      <c r="B3774" t="s">
        <v>9785</v>
      </c>
      <c r="C3774">
        <f>"EK3002AZ"</f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2</v>
      </c>
      <c r="K3774">
        <v>1.992</v>
      </c>
      <c r="L3774" s="2">
        <v>1</v>
      </c>
      <c r="M3774">
        <v>0</v>
      </c>
      <c r="N3774" s="2">
        <v>0</v>
      </c>
      <c r="O3774">
        <v>-2.4</v>
      </c>
      <c r="P3774" t="s">
        <v>100</v>
      </c>
      <c r="Q3774">
        <v>0</v>
      </c>
      <c r="R3774" t="s">
        <v>145</v>
      </c>
      <c r="S3774">
        <v>0</v>
      </c>
    </row>
    <row r="3775" spans="1:19">
      <c r="A3775" t="s">
        <v>35</v>
      </c>
      <c r="B3775" t="s">
        <v>6584</v>
      </c>
      <c r="C3775">
        <f>"HH088XLAM"</f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2</v>
      </c>
      <c r="K3775">
        <v>21.96</v>
      </c>
      <c r="L3775" s="2">
        <v>11</v>
      </c>
      <c r="M3775">
        <v>0</v>
      </c>
      <c r="N3775" s="2">
        <v>0</v>
      </c>
      <c r="O3775">
        <v>-2.4</v>
      </c>
      <c r="P3775" t="s">
        <v>100</v>
      </c>
      <c r="Q3775">
        <v>0</v>
      </c>
      <c r="R3775" t="s">
        <v>145</v>
      </c>
      <c r="S3775">
        <v>0</v>
      </c>
    </row>
    <row r="3776" spans="1:19">
      <c r="A3776" t="s">
        <v>35</v>
      </c>
      <c r="B3776" t="s">
        <v>8086</v>
      </c>
      <c r="C3776">
        <f>"HD34XL"</f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2</v>
      </c>
      <c r="K3776">
        <v>8.19</v>
      </c>
      <c r="L3776" s="2">
        <v>4</v>
      </c>
      <c r="M3776">
        <v>0</v>
      </c>
      <c r="N3776" s="2">
        <v>0</v>
      </c>
      <c r="O3776">
        <v>-2.4</v>
      </c>
      <c r="P3776" t="s">
        <v>100</v>
      </c>
      <c r="Q3776">
        <v>0</v>
      </c>
      <c r="R3776" t="s">
        <v>145</v>
      </c>
      <c r="S3776">
        <v>0</v>
      </c>
    </row>
    <row r="3777" spans="1:19">
      <c r="A3777" t="s">
        <v>35</v>
      </c>
      <c r="B3777" t="s">
        <v>6588</v>
      </c>
      <c r="C3777">
        <f>"HH088SA"</f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2</v>
      </c>
      <c r="K3777">
        <v>18.9</v>
      </c>
      <c r="L3777" s="2">
        <v>9</v>
      </c>
      <c r="M3777">
        <v>0</v>
      </c>
      <c r="N3777" s="2">
        <v>0</v>
      </c>
      <c r="O3777">
        <v>-2.4</v>
      </c>
      <c r="P3777" t="s">
        <v>100</v>
      </c>
      <c r="Q3777">
        <v>0</v>
      </c>
      <c r="R3777" t="s">
        <v>145</v>
      </c>
      <c r="S3777">
        <v>0</v>
      </c>
    </row>
    <row r="3778" spans="1:19">
      <c r="A3778" t="s">
        <v>35</v>
      </c>
      <c r="B3778" t="s">
        <v>6589</v>
      </c>
      <c r="C3778">
        <f>"HH088MA"</f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2</v>
      </c>
      <c r="K3778">
        <v>23.8</v>
      </c>
      <c r="L3778" s="2">
        <v>12</v>
      </c>
      <c r="M3778">
        <v>0</v>
      </c>
      <c r="N3778" s="2">
        <v>0</v>
      </c>
      <c r="O3778">
        <v>-2.4</v>
      </c>
      <c r="P3778" t="s">
        <v>100</v>
      </c>
      <c r="Q3778">
        <v>0</v>
      </c>
      <c r="R3778" t="s">
        <v>145</v>
      </c>
      <c r="S3778">
        <v>0</v>
      </c>
    </row>
    <row r="3779" spans="1:19">
      <c r="A3779" t="s">
        <v>35</v>
      </c>
      <c r="B3779" t="s">
        <v>2648</v>
      </c>
      <c r="C3779">
        <f>"FB857LV"</f>
        <v>0</v>
      </c>
      <c r="D3779">
        <v>0</v>
      </c>
      <c r="E3779">
        <v>0</v>
      </c>
      <c r="F3779">
        <v>1</v>
      </c>
      <c r="G3779">
        <v>0</v>
      </c>
      <c r="H3779">
        <v>1</v>
      </c>
      <c r="I3779">
        <v>0</v>
      </c>
      <c r="J3779">
        <v>2</v>
      </c>
      <c r="K3779">
        <v>8.082000000000001</v>
      </c>
      <c r="L3779" s="2">
        <v>4</v>
      </c>
      <c r="M3779">
        <v>0</v>
      </c>
      <c r="N3779" s="2">
        <v>0</v>
      </c>
      <c r="O3779">
        <v>-2.4</v>
      </c>
      <c r="P3779" t="s">
        <v>100</v>
      </c>
      <c r="Q3779">
        <v>0</v>
      </c>
      <c r="R3779" t="s">
        <v>145</v>
      </c>
      <c r="S3779">
        <v>0</v>
      </c>
    </row>
    <row r="3780" spans="1:19">
      <c r="A3780" t="s">
        <v>35</v>
      </c>
      <c r="B3780" t="s">
        <v>8137</v>
      </c>
      <c r="C3780">
        <f>"XQ35XL"</f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2</v>
      </c>
      <c r="K3780">
        <v>6.57</v>
      </c>
      <c r="L3780" s="2">
        <v>3</v>
      </c>
      <c r="M3780">
        <v>0</v>
      </c>
      <c r="N3780" s="2">
        <v>0</v>
      </c>
      <c r="O3780">
        <v>-2.4</v>
      </c>
      <c r="P3780" t="s">
        <v>100</v>
      </c>
      <c r="Q3780">
        <v>0</v>
      </c>
      <c r="R3780" t="s">
        <v>145</v>
      </c>
      <c r="S3780">
        <v>0</v>
      </c>
    </row>
    <row r="3781" spans="1:19">
      <c r="A3781" t="s">
        <v>35</v>
      </c>
      <c r="B3781" t="s">
        <v>2469</v>
      </c>
      <c r="C3781">
        <f>"HH088MV"</f>
        <v>0</v>
      </c>
      <c r="D3781">
        <v>1</v>
      </c>
      <c r="E3781">
        <v>0</v>
      </c>
      <c r="F3781">
        <v>0</v>
      </c>
      <c r="G3781">
        <v>0</v>
      </c>
      <c r="H3781">
        <v>1</v>
      </c>
      <c r="I3781">
        <v>0</v>
      </c>
      <c r="J3781">
        <v>2</v>
      </c>
      <c r="K3781">
        <v>18.36</v>
      </c>
      <c r="L3781" s="2">
        <v>9</v>
      </c>
      <c r="M3781">
        <v>0</v>
      </c>
      <c r="N3781" s="2">
        <v>0</v>
      </c>
      <c r="O3781">
        <v>-2.4</v>
      </c>
      <c r="P3781" t="s">
        <v>100</v>
      </c>
      <c r="Q3781">
        <v>0</v>
      </c>
      <c r="R3781" t="s">
        <v>145</v>
      </c>
      <c r="S3781">
        <v>0</v>
      </c>
    </row>
    <row r="3782" spans="1:19">
      <c r="A3782" t="s">
        <v>35</v>
      </c>
      <c r="B3782" t="s">
        <v>6499</v>
      </c>
      <c r="C3782">
        <f>"ZSQ05"</f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2</v>
      </c>
      <c r="K3782">
        <v>1.782</v>
      </c>
      <c r="L3782" s="2">
        <v>1</v>
      </c>
      <c r="M3782">
        <v>0</v>
      </c>
      <c r="N3782" s="2">
        <v>0</v>
      </c>
      <c r="O3782">
        <v>-2.4</v>
      </c>
      <c r="P3782" t="s">
        <v>100</v>
      </c>
      <c r="Q3782">
        <v>0</v>
      </c>
      <c r="R3782" t="s">
        <v>145</v>
      </c>
      <c r="S3782">
        <v>0</v>
      </c>
    </row>
    <row r="3783" spans="1:19">
      <c r="A3783" t="s">
        <v>35</v>
      </c>
      <c r="B3783" t="s">
        <v>8618</v>
      </c>
      <c r="C3783">
        <f>"FB857LR"</f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2</v>
      </c>
      <c r="K3783">
        <v>7.722</v>
      </c>
      <c r="L3783" s="2">
        <v>4</v>
      </c>
      <c r="M3783">
        <v>0</v>
      </c>
      <c r="N3783" s="2">
        <v>0</v>
      </c>
      <c r="O3783">
        <v>-2.4</v>
      </c>
      <c r="P3783" t="s">
        <v>100</v>
      </c>
      <c r="Q3783">
        <v>0</v>
      </c>
      <c r="R3783" t="s">
        <v>145</v>
      </c>
      <c r="S3783">
        <v>0</v>
      </c>
    </row>
    <row r="3784" spans="1:19">
      <c r="A3784" t="s">
        <v>35</v>
      </c>
      <c r="B3784" t="s">
        <v>4990</v>
      </c>
      <c r="C3784">
        <f>"1854CPXS"</f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2</v>
      </c>
      <c r="K3784">
        <v>13.23</v>
      </c>
      <c r="L3784" s="2">
        <v>7</v>
      </c>
      <c r="M3784">
        <v>0</v>
      </c>
      <c r="N3784" s="2">
        <v>0</v>
      </c>
      <c r="O3784">
        <v>-2.4</v>
      </c>
      <c r="P3784" t="s">
        <v>100</v>
      </c>
      <c r="Q3784">
        <v>0</v>
      </c>
      <c r="R3784" t="s">
        <v>145</v>
      </c>
      <c r="S3784">
        <v>0</v>
      </c>
    </row>
    <row r="3785" spans="1:19">
      <c r="A3785" t="s">
        <v>35</v>
      </c>
      <c r="B3785" t="s">
        <v>4777</v>
      </c>
      <c r="C3785">
        <f>"jw0127A"</f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2</v>
      </c>
      <c r="K3785">
        <v>3.582</v>
      </c>
      <c r="L3785" s="2">
        <v>2</v>
      </c>
      <c r="M3785">
        <v>0</v>
      </c>
      <c r="N3785" s="2">
        <v>0</v>
      </c>
      <c r="O3785">
        <v>-2.4</v>
      </c>
      <c r="P3785" t="s">
        <v>100</v>
      </c>
      <c r="Q3785">
        <v>0</v>
      </c>
      <c r="R3785" t="s">
        <v>145</v>
      </c>
      <c r="S3785">
        <v>0</v>
      </c>
    </row>
    <row r="3786" spans="1:19">
      <c r="A3786" t="s">
        <v>35</v>
      </c>
      <c r="B3786" t="s">
        <v>4775</v>
      </c>
      <c r="C3786">
        <f>"JW0127V"</f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2</v>
      </c>
      <c r="K3786">
        <v>3.582</v>
      </c>
      <c r="L3786" s="2">
        <v>2</v>
      </c>
      <c r="M3786">
        <v>0</v>
      </c>
      <c r="N3786" s="2">
        <v>0</v>
      </c>
      <c r="O3786">
        <v>-2.4</v>
      </c>
      <c r="P3786" t="s">
        <v>100</v>
      </c>
      <c r="Q3786">
        <v>0</v>
      </c>
      <c r="R3786" t="s">
        <v>145</v>
      </c>
      <c r="S3786">
        <v>0</v>
      </c>
    </row>
    <row r="3787" spans="1:19">
      <c r="A3787" t="s">
        <v>35</v>
      </c>
      <c r="B3787" t="s">
        <v>2729</v>
      </c>
      <c r="C3787">
        <f>"XQ340XS"</f>
        <v>0</v>
      </c>
      <c r="D3787">
        <v>1</v>
      </c>
      <c r="E3787">
        <v>0</v>
      </c>
      <c r="F3787">
        <v>0</v>
      </c>
      <c r="G3787">
        <v>0</v>
      </c>
      <c r="H3787">
        <v>1</v>
      </c>
      <c r="I3787">
        <v>0</v>
      </c>
      <c r="J3787">
        <v>2</v>
      </c>
      <c r="K3787">
        <v>4.5</v>
      </c>
      <c r="L3787" s="2">
        <v>2</v>
      </c>
      <c r="M3787">
        <v>0</v>
      </c>
      <c r="N3787" s="2">
        <v>0</v>
      </c>
      <c r="O3787">
        <v>-2.4</v>
      </c>
      <c r="P3787" t="s">
        <v>100</v>
      </c>
      <c r="Q3787">
        <v>0</v>
      </c>
      <c r="R3787" t="s">
        <v>145</v>
      </c>
      <c r="S3787">
        <v>0</v>
      </c>
    </row>
    <row r="3788" spans="1:19">
      <c r="A3788" t="s">
        <v>35</v>
      </c>
      <c r="B3788" t="s">
        <v>7098</v>
      </c>
      <c r="C3788">
        <f>"XQ340S"</f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2</v>
      </c>
      <c r="K3788">
        <v>4.95</v>
      </c>
      <c r="L3788" s="2">
        <v>2</v>
      </c>
      <c r="M3788">
        <v>0</v>
      </c>
      <c r="N3788" s="2">
        <v>0</v>
      </c>
      <c r="O3788">
        <v>-2.4</v>
      </c>
      <c r="P3788" t="s">
        <v>100</v>
      </c>
      <c r="Q3788">
        <v>0</v>
      </c>
      <c r="R3788" t="s">
        <v>145</v>
      </c>
      <c r="S3788">
        <v>0</v>
      </c>
    </row>
    <row r="3789" spans="1:19">
      <c r="A3789" t="s">
        <v>35</v>
      </c>
      <c r="B3789" t="s">
        <v>7099</v>
      </c>
      <c r="C3789">
        <f>"XQ340M"</f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2</v>
      </c>
      <c r="K3789">
        <v>5.382</v>
      </c>
      <c r="L3789" s="2">
        <v>3</v>
      </c>
      <c r="M3789">
        <v>0</v>
      </c>
      <c r="N3789" s="2">
        <v>0</v>
      </c>
      <c r="O3789">
        <v>-2.4</v>
      </c>
      <c r="P3789" t="s">
        <v>100</v>
      </c>
      <c r="Q3789">
        <v>0</v>
      </c>
      <c r="R3789" t="s">
        <v>145</v>
      </c>
      <c r="S3789">
        <v>0</v>
      </c>
    </row>
    <row r="3790" spans="1:19">
      <c r="A3790" t="s">
        <v>35</v>
      </c>
      <c r="B3790" t="s">
        <v>7102</v>
      </c>
      <c r="C3790">
        <f>"15423XS"</f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2</v>
      </c>
      <c r="K3790">
        <v>11.61</v>
      </c>
      <c r="L3790" s="2">
        <v>6</v>
      </c>
      <c r="M3790">
        <v>0</v>
      </c>
      <c r="N3790" s="2">
        <v>0</v>
      </c>
      <c r="O3790">
        <v>-2.4</v>
      </c>
      <c r="P3790" t="s">
        <v>100</v>
      </c>
      <c r="Q3790">
        <v>0</v>
      </c>
      <c r="R3790" t="s">
        <v>145</v>
      </c>
      <c r="S3790">
        <v>0</v>
      </c>
    </row>
    <row r="3791" spans="1:19">
      <c r="A3791" t="s">
        <v>35</v>
      </c>
      <c r="B3791" t="s">
        <v>6986</v>
      </c>
      <c r="C3791">
        <f>"HH088XXLC"</f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2</v>
      </c>
      <c r="K3791">
        <v>23.211</v>
      </c>
      <c r="L3791" s="2">
        <v>12</v>
      </c>
      <c r="M3791">
        <v>0</v>
      </c>
      <c r="N3791" s="2">
        <v>0</v>
      </c>
      <c r="O3791">
        <v>-2.4</v>
      </c>
      <c r="P3791" t="s">
        <v>100</v>
      </c>
      <c r="Q3791">
        <v>0</v>
      </c>
      <c r="R3791" t="s">
        <v>145</v>
      </c>
      <c r="S3791">
        <v>0</v>
      </c>
    </row>
    <row r="3792" spans="1:19">
      <c r="A3792" t="s">
        <v>35</v>
      </c>
      <c r="B3792" t="s">
        <v>2513</v>
      </c>
      <c r="C3792">
        <f>"XDB450C"</f>
        <v>0</v>
      </c>
      <c r="D3792">
        <v>0</v>
      </c>
      <c r="E3792">
        <v>1</v>
      </c>
      <c r="F3792">
        <v>0</v>
      </c>
      <c r="G3792">
        <v>0</v>
      </c>
      <c r="H3792">
        <v>1</v>
      </c>
      <c r="I3792">
        <v>0</v>
      </c>
      <c r="J3792">
        <v>2</v>
      </c>
      <c r="K3792">
        <v>107.82</v>
      </c>
      <c r="L3792" s="2">
        <v>54</v>
      </c>
      <c r="M3792">
        <v>0</v>
      </c>
      <c r="N3792" s="2">
        <v>0</v>
      </c>
      <c r="O3792">
        <v>-2.4</v>
      </c>
      <c r="P3792" t="s">
        <v>100</v>
      </c>
      <c r="Q3792">
        <v>0</v>
      </c>
      <c r="R3792" t="s">
        <v>145</v>
      </c>
      <c r="S3792">
        <v>0</v>
      </c>
    </row>
    <row r="3793" spans="1:19">
      <c r="A3793" t="s">
        <v>35</v>
      </c>
      <c r="B3793" t="s">
        <v>3253</v>
      </c>
      <c r="C3793">
        <f>"BO3060"</f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2</v>
      </c>
      <c r="K3793">
        <v>3.402</v>
      </c>
      <c r="L3793" s="2">
        <v>2</v>
      </c>
      <c r="M3793">
        <v>0</v>
      </c>
      <c r="N3793" s="2">
        <v>0</v>
      </c>
      <c r="O3793">
        <v>-2.4</v>
      </c>
      <c r="P3793" t="s">
        <v>100</v>
      </c>
      <c r="Q3793">
        <v>0</v>
      </c>
      <c r="R3793" t="s">
        <v>145</v>
      </c>
      <c r="S3793">
        <v>0</v>
      </c>
    </row>
    <row r="3794" spans="1:19">
      <c r="A3794" t="s">
        <v>35</v>
      </c>
      <c r="B3794" t="s">
        <v>9780</v>
      </c>
      <c r="C3794">
        <f>"EK3003AZ"</f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2</v>
      </c>
      <c r="K3794">
        <v>2.904</v>
      </c>
      <c r="L3794" s="2">
        <v>1</v>
      </c>
      <c r="M3794">
        <v>0</v>
      </c>
      <c r="N3794" s="2">
        <v>0</v>
      </c>
      <c r="O3794">
        <v>-2.4</v>
      </c>
      <c r="P3794" t="s">
        <v>100</v>
      </c>
      <c r="Q3794">
        <v>0</v>
      </c>
      <c r="R3794" t="s">
        <v>145</v>
      </c>
      <c r="S3794">
        <v>0</v>
      </c>
    </row>
    <row r="3795" spans="1:19">
      <c r="A3795" t="s">
        <v>35</v>
      </c>
      <c r="B3795" t="s">
        <v>4717</v>
      </c>
      <c r="C3795">
        <f>"XDB450D"</f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2</v>
      </c>
      <c r="K3795">
        <v>125.82</v>
      </c>
      <c r="L3795" s="2">
        <v>63</v>
      </c>
      <c r="M3795">
        <v>0</v>
      </c>
      <c r="N3795" s="2">
        <v>0</v>
      </c>
      <c r="O3795">
        <v>-2.4</v>
      </c>
      <c r="P3795" t="s">
        <v>100</v>
      </c>
      <c r="Q3795">
        <v>0</v>
      </c>
      <c r="R3795" t="s">
        <v>145</v>
      </c>
      <c r="S3795">
        <v>0</v>
      </c>
    </row>
    <row r="3796" spans="1:19">
      <c r="A3796" t="s">
        <v>35</v>
      </c>
      <c r="B3796" t="s">
        <v>8127</v>
      </c>
      <c r="C3796">
        <f>"54B109032XL"</f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2</v>
      </c>
      <c r="K3796">
        <v>16.758</v>
      </c>
      <c r="L3796" s="2">
        <v>8</v>
      </c>
      <c r="M3796">
        <v>0</v>
      </c>
      <c r="N3796" s="2">
        <v>0</v>
      </c>
      <c r="O3796">
        <v>-2.4</v>
      </c>
      <c r="P3796" t="s">
        <v>100</v>
      </c>
      <c r="Q3796">
        <v>0</v>
      </c>
      <c r="R3796" t="s">
        <v>145</v>
      </c>
      <c r="S3796">
        <v>0</v>
      </c>
    </row>
    <row r="3797" spans="1:19">
      <c r="A3797" t="s">
        <v>35</v>
      </c>
      <c r="B3797" t="s">
        <v>2366</v>
      </c>
      <c r="C3797">
        <f>"KL11"</f>
        <v>0</v>
      </c>
      <c r="D3797">
        <v>0</v>
      </c>
      <c r="E3797">
        <v>0</v>
      </c>
      <c r="F3797">
        <v>1</v>
      </c>
      <c r="G3797">
        <v>0</v>
      </c>
      <c r="H3797">
        <v>1</v>
      </c>
      <c r="I3797">
        <v>0</v>
      </c>
      <c r="J3797">
        <v>2</v>
      </c>
      <c r="K3797">
        <v>2.722</v>
      </c>
      <c r="L3797" s="2">
        <v>1</v>
      </c>
      <c r="M3797">
        <v>0</v>
      </c>
      <c r="N3797" s="2">
        <v>0</v>
      </c>
      <c r="O3797">
        <v>-2.4</v>
      </c>
      <c r="P3797" t="s">
        <v>100</v>
      </c>
      <c r="Q3797">
        <v>0</v>
      </c>
      <c r="R3797" t="s">
        <v>145</v>
      </c>
      <c r="S3797">
        <v>0</v>
      </c>
    </row>
    <row r="3798" spans="1:19">
      <c r="A3798" t="s">
        <v>35</v>
      </c>
      <c r="B3798" t="s">
        <v>6065</v>
      </c>
      <c r="C3798">
        <f>"SPP02"</f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2</v>
      </c>
      <c r="K3798">
        <v>12.42</v>
      </c>
      <c r="L3798" s="2">
        <v>6</v>
      </c>
      <c r="M3798">
        <v>0</v>
      </c>
      <c r="N3798" s="2">
        <v>0</v>
      </c>
      <c r="O3798">
        <v>-2.4</v>
      </c>
      <c r="P3798" t="s">
        <v>100</v>
      </c>
      <c r="Q3798">
        <v>0</v>
      </c>
      <c r="R3798" t="s">
        <v>145</v>
      </c>
      <c r="S3798">
        <v>0</v>
      </c>
    </row>
    <row r="3799" spans="1:19">
      <c r="A3799" t="s">
        <v>35</v>
      </c>
      <c r="B3799" t="s">
        <v>2274</v>
      </c>
      <c r="C3799">
        <f>"SPP05"</f>
        <v>0</v>
      </c>
      <c r="D3799">
        <v>0</v>
      </c>
      <c r="E3799">
        <v>2</v>
      </c>
      <c r="F3799">
        <v>0</v>
      </c>
      <c r="G3799">
        <v>0</v>
      </c>
      <c r="H3799">
        <v>2</v>
      </c>
      <c r="I3799">
        <v>0</v>
      </c>
      <c r="J3799">
        <v>2</v>
      </c>
      <c r="K3799">
        <v>12.42</v>
      </c>
      <c r="L3799" s="2">
        <v>6</v>
      </c>
      <c r="M3799">
        <v>0</v>
      </c>
      <c r="N3799" s="2">
        <v>0</v>
      </c>
      <c r="O3799">
        <v>-2.4</v>
      </c>
      <c r="P3799" t="s">
        <v>100</v>
      </c>
      <c r="Q3799">
        <v>0</v>
      </c>
      <c r="R3799" t="s">
        <v>145</v>
      </c>
      <c r="S3799">
        <v>0</v>
      </c>
    </row>
    <row r="3800" spans="1:19">
      <c r="A3800" t="s">
        <v>35</v>
      </c>
      <c r="B3800" t="s">
        <v>6051</v>
      </c>
      <c r="C3800">
        <f>"SPP03"</f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2</v>
      </c>
      <c r="K3800">
        <v>12.42</v>
      </c>
      <c r="L3800" s="2">
        <v>6</v>
      </c>
      <c r="M3800">
        <v>0</v>
      </c>
      <c r="N3800" s="2">
        <v>0</v>
      </c>
      <c r="O3800">
        <v>-2.4</v>
      </c>
      <c r="P3800" t="s">
        <v>100</v>
      </c>
      <c r="Q3800">
        <v>0</v>
      </c>
      <c r="R3800" t="s">
        <v>145</v>
      </c>
      <c r="S3800">
        <v>0</v>
      </c>
    </row>
    <row r="3801" spans="1:19">
      <c r="A3801" t="s">
        <v>35</v>
      </c>
      <c r="B3801" t="s">
        <v>3268</v>
      </c>
      <c r="C3801">
        <f>"TQ24C"</f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2</v>
      </c>
      <c r="K3801">
        <v>648</v>
      </c>
      <c r="L3801" s="2">
        <v>324</v>
      </c>
      <c r="M3801">
        <v>0</v>
      </c>
      <c r="N3801" s="2">
        <v>0</v>
      </c>
      <c r="O3801">
        <v>-2.4</v>
      </c>
      <c r="P3801" t="s">
        <v>100</v>
      </c>
      <c r="Q3801">
        <v>0</v>
      </c>
      <c r="R3801" t="s">
        <v>145</v>
      </c>
      <c r="S3801">
        <v>0</v>
      </c>
    </row>
    <row r="3802" spans="1:19">
      <c r="A3802" t="s">
        <v>35</v>
      </c>
      <c r="B3802" t="s">
        <v>9867</v>
      </c>
      <c r="C3802">
        <f>"EK3003VE"</f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2</v>
      </c>
      <c r="K3802">
        <v>2.904</v>
      </c>
      <c r="L3802" s="2">
        <v>1</v>
      </c>
      <c r="M3802">
        <v>0</v>
      </c>
      <c r="N3802" s="2">
        <v>0</v>
      </c>
      <c r="O3802">
        <v>-2.4</v>
      </c>
      <c r="P3802" t="s">
        <v>100</v>
      </c>
      <c r="Q3802">
        <v>0</v>
      </c>
      <c r="R3802" t="s">
        <v>145</v>
      </c>
      <c r="S3802">
        <v>0</v>
      </c>
    </row>
    <row r="3803" spans="1:19">
      <c r="A3803" t="s">
        <v>35</v>
      </c>
      <c r="B3803" t="s">
        <v>9131</v>
      </c>
      <c r="C3803">
        <f>"JCUG"</f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2</v>
      </c>
      <c r="K3803">
        <v>11.636</v>
      </c>
      <c r="L3803" s="2">
        <v>6</v>
      </c>
      <c r="M3803">
        <v>0</v>
      </c>
      <c r="N3803" s="2">
        <v>0</v>
      </c>
      <c r="O3803">
        <v>-2.4</v>
      </c>
      <c r="P3803" t="s">
        <v>100</v>
      </c>
      <c r="Q3803">
        <v>0</v>
      </c>
      <c r="R3803" t="s">
        <v>145</v>
      </c>
      <c r="S3803">
        <v>0</v>
      </c>
    </row>
    <row r="3804" spans="1:19">
      <c r="A3804" t="s">
        <v>35</v>
      </c>
      <c r="B3804" t="s">
        <v>896</v>
      </c>
      <c r="C3804">
        <f>"RJ825V"</f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2</v>
      </c>
      <c r="K3804">
        <v>6.48</v>
      </c>
      <c r="L3804" s="2">
        <v>3</v>
      </c>
      <c r="M3804">
        <v>0</v>
      </c>
      <c r="N3804" s="2">
        <v>0</v>
      </c>
      <c r="O3804">
        <v>-2.4</v>
      </c>
      <c r="P3804" t="s">
        <v>100</v>
      </c>
      <c r="Q3804">
        <v>0</v>
      </c>
      <c r="R3804" t="s">
        <v>145</v>
      </c>
      <c r="S3804">
        <v>0</v>
      </c>
    </row>
    <row r="3805" spans="1:19">
      <c r="A3805" t="s">
        <v>35</v>
      </c>
      <c r="B3805" t="s">
        <v>7002</v>
      </c>
      <c r="C3805">
        <f>"HH088XSC"</f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2</v>
      </c>
      <c r="K3805">
        <v>14.22</v>
      </c>
      <c r="L3805" s="2">
        <v>7</v>
      </c>
      <c r="M3805">
        <v>0</v>
      </c>
      <c r="N3805" s="2">
        <v>0</v>
      </c>
      <c r="O3805">
        <v>-2.4</v>
      </c>
      <c r="P3805" t="s">
        <v>100</v>
      </c>
      <c r="Q3805">
        <v>0</v>
      </c>
      <c r="R3805" t="s">
        <v>145</v>
      </c>
      <c r="S3805">
        <v>0</v>
      </c>
    </row>
    <row r="3806" spans="1:19">
      <c r="A3806" t="s">
        <v>35</v>
      </c>
      <c r="B3806" t="s">
        <v>2572</v>
      </c>
      <c r="C3806">
        <f>"PT192K"</f>
        <v>0</v>
      </c>
      <c r="D3806">
        <v>0</v>
      </c>
      <c r="E3806">
        <v>0</v>
      </c>
      <c r="F3806">
        <v>1</v>
      </c>
      <c r="G3806">
        <v>0</v>
      </c>
      <c r="H3806">
        <v>1</v>
      </c>
      <c r="I3806">
        <v>0</v>
      </c>
      <c r="J3806">
        <v>2</v>
      </c>
      <c r="K3806">
        <v>4.86</v>
      </c>
      <c r="L3806" s="2">
        <v>2</v>
      </c>
      <c r="M3806">
        <v>0</v>
      </c>
      <c r="N3806" s="2">
        <v>0</v>
      </c>
      <c r="O3806">
        <v>-2.4</v>
      </c>
      <c r="P3806" t="s">
        <v>100</v>
      </c>
      <c r="Q3806">
        <v>0</v>
      </c>
      <c r="R3806" t="s">
        <v>145</v>
      </c>
      <c r="S3806">
        <v>0</v>
      </c>
    </row>
    <row r="3807" spans="1:19">
      <c r="A3807" t="s">
        <v>35</v>
      </c>
      <c r="B3807" t="s">
        <v>7079</v>
      </c>
      <c r="C3807">
        <f>"6006068"</f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2</v>
      </c>
      <c r="K3807">
        <v>4</v>
      </c>
      <c r="L3807" s="2">
        <v>2</v>
      </c>
      <c r="M3807">
        <v>0</v>
      </c>
      <c r="N3807" s="2">
        <v>0</v>
      </c>
      <c r="O3807">
        <v>-2.4</v>
      </c>
      <c r="P3807" t="s">
        <v>100</v>
      </c>
      <c r="Q3807">
        <v>0</v>
      </c>
      <c r="R3807" t="s">
        <v>145</v>
      </c>
      <c r="S3807">
        <v>0</v>
      </c>
    </row>
    <row r="3808" spans="1:19">
      <c r="A3808" t="s">
        <v>35</v>
      </c>
      <c r="B3808" t="s">
        <v>5352</v>
      </c>
      <c r="C3808">
        <f>"XQ69S"</f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2</v>
      </c>
      <c r="K3808">
        <v>3.582</v>
      </c>
      <c r="L3808" s="2">
        <v>2</v>
      </c>
      <c r="M3808">
        <v>0</v>
      </c>
      <c r="N3808" s="2">
        <v>0</v>
      </c>
      <c r="O3808">
        <v>-2.4</v>
      </c>
      <c r="P3808" t="s">
        <v>100</v>
      </c>
      <c r="Q3808">
        <v>0</v>
      </c>
      <c r="R3808" t="s">
        <v>145</v>
      </c>
      <c r="S3808">
        <v>0</v>
      </c>
    </row>
    <row r="3809" spans="1:19">
      <c r="A3809" t="s">
        <v>35</v>
      </c>
      <c r="B3809" t="s">
        <v>5353</v>
      </c>
      <c r="C3809">
        <f>"XQ69M"</f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2</v>
      </c>
      <c r="K3809">
        <v>4.05</v>
      </c>
      <c r="L3809" s="2">
        <v>2</v>
      </c>
      <c r="M3809">
        <v>0</v>
      </c>
      <c r="N3809" s="2">
        <v>0</v>
      </c>
      <c r="O3809">
        <v>-2.4</v>
      </c>
      <c r="P3809" t="s">
        <v>100</v>
      </c>
      <c r="Q3809">
        <v>0</v>
      </c>
      <c r="R3809" t="s">
        <v>145</v>
      </c>
      <c r="S3809">
        <v>0</v>
      </c>
    </row>
    <row r="3810" spans="1:19">
      <c r="A3810" t="s">
        <v>35</v>
      </c>
      <c r="B3810" t="s">
        <v>5354</v>
      </c>
      <c r="C3810">
        <f>"XQ69L"</f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2</v>
      </c>
      <c r="K3810">
        <v>4.59</v>
      </c>
      <c r="L3810" s="2">
        <v>2</v>
      </c>
      <c r="M3810">
        <v>0</v>
      </c>
      <c r="N3810" s="2">
        <v>0</v>
      </c>
      <c r="O3810">
        <v>-2.4</v>
      </c>
      <c r="P3810" t="s">
        <v>100</v>
      </c>
      <c r="Q3810">
        <v>0</v>
      </c>
      <c r="R3810" t="s">
        <v>145</v>
      </c>
      <c r="S3810">
        <v>0</v>
      </c>
    </row>
    <row r="3811" spans="1:19">
      <c r="A3811" t="s">
        <v>35</v>
      </c>
      <c r="B3811" t="s">
        <v>4798</v>
      </c>
      <c r="C3811">
        <f>"CX3G"</f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2</v>
      </c>
      <c r="K3811">
        <v>2.61</v>
      </c>
      <c r="L3811" s="2">
        <v>1</v>
      </c>
      <c r="M3811">
        <v>0</v>
      </c>
      <c r="N3811" s="2">
        <v>0</v>
      </c>
      <c r="O3811">
        <v>-2.4</v>
      </c>
      <c r="P3811" t="s">
        <v>100</v>
      </c>
      <c r="Q3811">
        <v>0</v>
      </c>
      <c r="R3811" t="s">
        <v>145</v>
      </c>
      <c r="S3811">
        <v>0</v>
      </c>
    </row>
    <row r="3812" spans="1:19">
      <c r="A3812" t="s">
        <v>35</v>
      </c>
      <c r="B3812" t="s">
        <v>5969</v>
      </c>
      <c r="C3812">
        <f>"SPP01"</f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2</v>
      </c>
      <c r="K3812">
        <v>12.42</v>
      </c>
      <c r="L3812" s="2">
        <v>6</v>
      </c>
      <c r="M3812">
        <v>0</v>
      </c>
      <c r="N3812" s="2">
        <v>0</v>
      </c>
      <c r="O3812">
        <v>-2.4</v>
      </c>
      <c r="P3812" t="s">
        <v>100</v>
      </c>
      <c r="Q3812">
        <v>0</v>
      </c>
      <c r="R3812" t="s">
        <v>145</v>
      </c>
      <c r="S3812">
        <v>0</v>
      </c>
    </row>
    <row r="3813" spans="1:19">
      <c r="A3813" t="s">
        <v>35</v>
      </c>
      <c r="B3813" t="s">
        <v>10070</v>
      </c>
      <c r="C3813">
        <f>"FURXLC"</f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2</v>
      </c>
      <c r="K3813">
        <v>8.82</v>
      </c>
      <c r="L3813" s="2">
        <v>4</v>
      </c>
      <c r="M3813">
        <v>0</v>
      </c>
      <c r="N3813" s="2">
        <v>0</v>
      </c>
      <c r="O3813">
        <v>-2.4</v>
      </c>
      <c r="P3813" t="s">
        <v>100</v>
      </c>
      <c r="Q3813">
        <v>0</v>
      </c>
      <c r="R3813" t="s">
        <v>145</v>
      </c>
      <c r="S3813">
        <v>0</v>
      </c>
    </row>
    <row r="3814" spans="1:19">
      <c r="A3814" t="s">
        <v>35</v>
      </c>
      <c r="B3814" t="s">
        <v>5828</v>
      </c>
      <c r="C3814">
        <f>"KF1025C"</f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2</v>
      </c>
      <c r="K3814">
        <v>8.26</v>
      </c>
      <c r="L3814" s="2">
        <v>4</v>
      </c>
      <c r="M3814">
        <v>0</v>
      </c>
      <c r="N3814" s="2">
        <v>0</v>
      </c>
      <c r="O3814">
        <v>-2.4</v>
      </c>
      <c r="P3814" t="s">
        <v>100</v>
      </c>
      <c r="Q3814">
        <v>0</v>
      </c>
      <c r="R3814" t="s">
        <v>145</v>
      </c>
      <c r="S3814">
        <v>0</v>
      </c>
    </row>
    <row r="3815" spans="1:19">
      <c r="A3815" t="s">
        <v>35</v>
      </c>
      <c r="B3815" t="s">
        <v>5829</v>
      </c>
      <c r="C3815">
        <f>"KF8076"</f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2</v>
      </c>
      <c r="K3815">
        <v>41.86</v>
      </c>
      <c r="L3815" s="2">
        <v>21</v>
      </c>
      <c r="M3815">
        <v>0</v>
      </c>
      <c r="N3815" s="2">
        <v>0</v>
      </c>
      <c r="O3815">
        <v>-2.4</v>
      </c>
      <c r="P3815" t="s">
        <v>100</v>
      </c>
      <c r="Q3815">
        <v>0</v>
      </c>
      <c r="R3815" t="s">
        <v>145</v>
      </c>
      <c r="S3815">
        <v>0</v>
      </c>
    </row>
    <row r="3816" spans="1:19">
      <c r="A3816" t="s">
        <v>35</v>
      </c>
      <c r="B3816" t="s">
        <v>5856</v>
      </c>
      <c r="C3816">
        <f>"23HT11"</f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2</v>
      </c>
      <c r="K3816">
        <v>9.786</v>
      </c>
      <c r="L3816" s="2">
        <v>5</v>
      </c>
      <c r="M3816">
        <v>0</v>
      </c>
      <c r="N3816" s="2">
        <v>0</v>
      </c>
      <c r="O3816">
        <v>-2.4</v>
      </c>
      <c r="P3816" t="s">
        <v>100</v>
      </c>
      <c r="Q3816">
        <v>0</v>
      </c>
      <c r="R3816" t="s">
        <v>145</v>
      </c>
      <c r="S3816">
        <v>0</v>
      </c>
    </row>
    <row r="3817" spans="1:19">
      <c r="A3817" t="s">
        <v>35</v>
      </c>
      <c r="B3817" t="s">
        <v>5145</v>
      </c>
      <c r="C3817">
        <f>"XB09072ROJ"</f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2</v>
      </c>
      <c r="K3817">
        <v>10.71</v>
      </c>
      <c r="L3817" s="2">
        <v>5</v>
      </c>
      <c r="M3817">
        <v>0</v>
      </c>
      <c r="N3817" s="2">
        <v>0</v>
      </c>
      <c r="O3817">
        <v>-2.4</v>
      </c>
      <c r="P3817" t="s">
        <v>100</v>
      </c>
      <c r="Q3817">
        <v>0</v>
      </c>
      <c r="R3817" t="s">
        <v>145</v>
      </c>
      <c r="S3817">
        <v>0</v>
      </c>
    </row>
    <row r="3818" spans="1:19">
      <c r="A3818" t="s">
        <v>35</v>
      </c>
      <c r="B3818" t="s">
        <v>7205</v>
      </c>
      <c r="C3818">
        <f>"LS222CE"</f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2</v>
      </c>
      <c r="K3818">
        <v>12.582</v>
      </c>
      <c r="L3818" s="2">
        <v>6</v>
      </c>
      <c r="M3818">
        <v>0</v>
      </c>
      <c r="N3818" s="2">
        <v>0</v>
      </c>
      <c r="O3818">
        <v>-2.4</v>
      </c>
      <c r="P3818" t="s">
        <v>100</v>
      </c>
      <c r="Q3818">
        <v>0</v>
      </c>
      <c r="R3818" t="s">
        <v>145</v>
      </c>
      <c r="S3818">
        <v>0</v>
      </c>
    </row>
    <row r="3819" spans="1:19">
      <c r="A3819" t="s">
        <v>35</v>
      </c>
      <c r="B3819" t="s">
        <v>6662</v>
      </c>
      <c r="C3819">
        <f>"BBT01XLV"</f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2</v>
      </c>
      <c r="K3819">
        <v>8.82</v>
      </c>
      <c r="L3819" s="2">
        <v>4</v>
      </c>
      <c r="M3819">
        <v>0</v>
      </c>
      <c r="N3819" s="2">
        <v>0</v>
      </c>
      <c r="O3819">
        <v>-2.4</v>
      </c>
      <c r="P3819" t="s">
        <v>100</v>
      </c>
      <c r="Q3819">
        <v>0</v>
      </c>
      <c r="R3819" t="s">
        <v>145</v>
      </c>
      <c r="S3819">
        <v>0</v>
      </c>
    </row>
    <row r="3820" spans="1:19">
      <c r="A3820" t="s">
        <v>35</v>
      </c>
      <c r="B3820" t="s">
        <v>7539</v>
      </c>
      <c r="C3820">
        <f>"M3LBH013"</f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2</v>
      </c>
      <c r="K3820">
        <v>28.782</v>
      </c>
      <c r="L3820" s="2">
        <v>14</v>
      </c>
      <c r="M3820">
        <v>0</v>
      </c>
      <c r="N3820" s="2">
        <v>0</v>
      </c>
      <c r="O3820">
        <v>-2.4</v>
      </c>
      <c r="P3820" t="s">
        <v>100</v>
      </c>
      <c r="Q3820">
        <v>0</v>
      </c>
      <c r="R3820" t="s">
        <v>145</v>
      </c>
      <c r="S3820">
        <v>0</v>
      </c>
    </row>
    <row r="3821" spans="1:19">
      <c r="A3821" t="s">
        <v>35</v>
      </c>
      <c r="B3821" t="s">
        <v>7483</v>
      </c>
      <c r="C3821">
        <f>"980301"</f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2</v>
      </c>
      <c r="K3821">
        <v>4.77</v>
      </c>
      <c r="L3821" s="2">
        <v>2</v>
      </c>
      <c r="M3821">
        <v>0</v>
      </c>
      <c r="N3821" s="2">
        <v>0</v>
      </c>
      <c r="O3821">
        <v>-2.4</v>
      </c>
      <c r="P3821" t="s">
        <v>100</v>
      </c>
      <c r="Q3821">
        <v>0</v>
      </c>
      <c r="R3821" t="s">
        <v>145</v>
      </c>
      <c r="S3821">
        <v>0</v>
      </c>
    </row>
    <row r="3822" spans="1:19">
      <c r="A3822" t="s">
        <v>35</v>
      </c>
      <c r="B3822" t="s">
        <v>2384</v>
      </c>
      <c r="C3822">
        <f>"YXCM"</f>
        <v>0</v>
      </c>
      <c r="D3822">
        <v>0</v>
      </c>
      <c r="E3822">
        <v>0</v>
      </c>
      <c r="F3822">
        <v>1</v>
      </c>
      <c r="G3822">
        <v>0</v>
      </c>
      <c r="H3822">
        <v>1</v>
      </c>
      <c r="I3822">
        <v>0</v>
      </c>
      <c r="J3822">
        <v>2</v>
      </c>
      <c r="K3822">
        <v>8.369999999999999</v>
      </c>
      <c r="L3822" s="2">
        <v>4</v>
      </c>
      <c r="M3822">
        <v>0</v>
      </c>
      <c r="N3822" s="2">
        <v>0</v>
      </c>
      <c r="O3822">
        <v>-2.4</v>
      </c>
      <c r="P3822" t="s">
        <v>100</v>
      </c>
      <c r="Q3822">
        <v>0</v>
      </c>
      <c r="R3822" t="s">
        <v>145</v>
      </c>
      <c r="S3822">
        <v>0</v>
      </c>
    </row>
    <row r="3823" spans="1:19">
      <c r="A3823" t="s">
        <v>35</v>
      </c>
      <c r="B3823" t="s">
        <v>5621</v>
      </c>
      <c r="C3823">
        <f>"SEP20"</f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2</v>
      </c>
      <c r="K3823">
        <v>8.01</v>
      </c>
      <c r="L3823" s="2">
        <v>4</v>
      </c>
      <c r="M3823">
        <v>0</v>
      </c>
      <c r="N3823" s="2">
        <v>0</v>
      </c>
      <c r="O3823">
        <v>-2.4</v>
      </c>
      <c r="P3823" t="s">
        <v>100</v>
      </c>
      <c r="Q3823">
        <v>0</v>
      </c>
      <c r="R3823" t="s">
        <v>145</v>
      </c>
      <c r="S3823">
        <v>0</v>
      </c>
    </row>
    <row r="3824" spans="1:19">
      <c r="A3824" t="s">
        <v>35</v>
      </c>
      <c r="B3824" t="s">
        <v>9137</v>
      </c>
      <c r="C3824">
        <f>"5005877"</f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2</v>
      </c>
      <c r="K3824">
        <v>28.6</v>
      </c>
      <c r="L3824" s="2">
        <v>14</v>
      </c>
      <c r="M3824">
        <v>0</v>
      </c>
      <c r="N3824" s="2">
        <v>0</v>
      </c>
      <c r="O3824">
        <v>-2.4</v>
      </c>
      <c r="P3824" t="s">
        <v>100</v>
      </c>
      <c r="Q3824">
        <v>0</v>
      </c>
      <c r="R3824" t="s">
        <v>145</v>
      </c>
      <c r="S3824">
        <v>0</v>
      </c>
    </row>
    <row r="3825" spans="1:19">
      <c r="A3825" t="s">
        <v>35</v>
      </c>
      <c r="B3825" t="s">
        <v>5590</v>
      </c>
      <c r="C3825">
        <f>"ER020"</f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2</v>
      </c>
      <c r="K3825">
        <v>10.17</v>
      </c>
      <c r="L3825" s="2">
        <v>5</v>
      </c>
      <c r="M3825">
        <v>0</v>
      </c>
      <c r="N3825" s="2">
        <v>0</v>
      </c>
      <c r="O3825">
        <v>-2.4</v>
      </c>
      <c r="P3825" t="s">
        <v>100</v>
      </c>
      <c r="Q3825">
        <v>0</v>
      </c>
      <c r="R3825" t="s">
        <v>145</v>
      </c>
      <c r="S3825">
        <v>0</v>
      </c>
    </row>
    <row r="3826" spans="1:19">
      <c r="A3826" t="s">
        <v>35</v>
      </c>
      <c r="B3826" t="s">
        <v>5598</v>
      </c>
      <c r="C3826">
        <f>"EZ3001VE"</f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2</v>
      </c>
      <c r="K3826">
        <v>15.3</v>
      </c>
      <c r="L3826" s="2">
        <v>8</v>
      </c>
      <c r="M3826">
        <v>0</v>
      </c>
      <c r="N3826" s="2">
        <v>0</v>
      </c>
      <c r="O3826">
        <v>-2.4</v>
      </c>
      <c r="P3826" t="s">
        <v>100</v>
      </c>
      <c r="Q3826">
        <v>0</v>
      </c>
      <c r="R3826" t="s">
        <v>145</v>
      </c>
      <c r="S3826">
        <v>0</v>
      </c>
    </row>
    <row r="3827" spans="1:19">
      <c r="A3827" t="s">
        <v>35</v>
      </c>
      <c r="B3827" t="s">
        <v>2562</v>
      </c>
      <c r="C3827">
        <f>"JWZ1018XL"</f>
        <v>0</v>
      </c>
      <c r="D3827">
        <v>1</v>
      </c>
      <c r="E3827">
        <v>0</v>
      </c>
      <c r="F3827">
        <v>0</v>
      </c>
      <c r="G3827">
        <v>0</v>
      </c>
      <c r="H3827">
        <v>1</v>
      </c>
      <c r="I3827">
        <v>0</v>
      </c>
      <c r="J3827">
        <v>2</v>
      </c>
      <c r="K3827">
        <v>2.61</v>
      </c>
      <c r="L3827" s="2">
        <v>1</v>
      </c>
      <c r="M3827">
        <v>0</v>
      </c>
      <c r="N3827" s="2">
        <v>0</v>
      </c>
      <c r="O3827">
        <v>-2.4</v>
      </c>
      <c r="P3827" t="s">
        <v>100</v>
      </c>
      <c r="Q3827">
        <v>0</v>
      </c>
      <c r="R3827" t="s">
        <v>145</v>
      </c>
      <c r="S3827">
        <v>0</v>
      </c>
    </row>
    <row r="3828" spans="1:19">
      <c r="A3828" t="s">
        <v>35</v>
      </c>
      <c r="B3828" t="s">
        <v>9207</v>
      </c>
      <c r="C3828">
        <f>"HDD011"</f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2</v>
      </c>
      <c r="K3828">
        <v>1.422</v>
      </c>
      <c r="L3828" s="2">
        <v>1</v>
      </c>
      <c r="M3828">
        <v>0</v>
      </c>
      <c r="N3828" s="2">
        <v>0</v>
      </c>
      <c r="O3828">
        <v>-2.4</v>
      </c>
      <c r="P3828" t="s">
        <v>100</v>
      </c>
      <c r="Q3828">
        <v>0</v>
      </c>
      <c r="R3828" t="s">
        <v>145</v>
      </c>
      <c r="S3828">
        <v>0</v>
      </c>
    </row>
    <row r="3829" spans="1:19">
      <c r="A3829" t="s">
        <v>35</v>
      </c>
      <c r="B3829" t="s">
        <v>7206</v>
      </c>
      <c r="C3829">
        <f>"LS299"</f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2</v>
      </c>
      <c r="K3829">
        <v>7.182</v>
      </c>
      <c r="L3829" s="2">
        <v>4</v>
      </c>
      <c r="M3829">
        <v>0</v>
      </c>
      <c r="N3829" s="2">
        <v>0</v>
      </c>
      <c r="O3829">
        <v>-2.4</v>
      </c>
      <c r="P3829" t="s">
        <v>100</v>
      </c>
      <c r="Q3829">
        <v>0</v>
      </c>
      <c r="R3829" t="s">
        <v>145</v>
      </c>
      <c r="S3829">
        <v>0</v>
      </c>
    </row>
    <row r="3830" spans="1:19">
      <c r="A3830" t="s">
        <v>35</v>
      </c>
      <c r="B3830" t="s">
        <v>7240</v>
      </c>
      <c r="C3830">
        <f>"2960MIX"</f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2</v>
      </c>
      <c r="K3830">
        <v>0</v>
      </c>
      <c r="L3830" s="2">
        <v>0</v>
      </c>
      <c r="M3830">
        <v>0</v>
      </c>
      <c r="N3830" s="2">
        <v>0</v>
      </c>
      <c r="O3830">
        <v>-2.4</v>
      </c>
      <c r="P3830" t="s">
        <v>100</v>
      </c>
      <c r="Q3830">
        <v>0</v>
      </c>
      <c r="R3830" t="s">
        <v>145</v>
      </c>
      <c r="S3830">
        <v>0</v>
      </c>
    </row>
    <row r="3831" spans="1:19">
      <c r="A3831" t="s">
        <v>35</v>
      </c>
      <c r="B3831" t="s">
        <v>9040</v>
      </c>
      <c r="C3831">
        <f>"FB526XLDCG"</f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2</v>
      </c>
      <c r="K3831">
        <v>14.85</v>
      </c>
      <c r="L3831" s="2">
        <v>7</v>
      </c>
      <c r="M3831">
        <v>0</v>
      </c>
      <c r="N3831" s="2">
        <v>0</v>
      </c>
      <c r="O3831">
        <v>-2.4</v>
      </c>
      <c r="P3831" t="s">
        <v>100</v>
      </c>
      <c r="Q3831">
        <v>0</v>
      </c>
      <c r="R3831" t="s">
        <v>145</v>
      </c>
      <c r="S3831">
        <v>0</v>
      </c>
    </row>
    <row r="3832" spans="1:19">
      <c r="A3832" t="s">
        <v>35</v>
      </c>
      <c r="B3832" t="s">
        <v>9831</v>
      </c>
      <c r="C3832">
        <f>"PT015XXLMI"</f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2</v>
      </c>
      <c r="K3832">
        <v>3.591</v>
      </c>
      <c r="L3832" s="2">
        <v>2</v>
      </c>
      <c r="M3832">
        <v>0</v>
      </c>
      <c r="N3832" s="2">
        <v>0</v>
      </c>
      <c r="O3832">
        <v>-2.4</v>
      </c>
      <c r="P3832" t="s">
        <v>100</v>
      </c>
      <c r="Q3832">
        <v>0</v>
      </c>
      <c r="R3832" t="s">
        <v>145</v>
      </c>
      <c r="S3832">
        <v>0</v>
      </c>
    </row>
    <row r="3833" spans="1:19">
      <c r="A3833" t="s">
        <v>35</v>
      </c>
      <c r="B3833" t="s">
        <v>3072</v>
      </c>
      <c r="C3833">
        <f>"TQ0351ROS"</f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2</v>
      </c>
      <c r="K3833">
        <v>1.251</v>
      </c>
      <c r="L3833" s="2">
        <v>1</v>
      </c>
      <c r="M3833">
        <v>0</v>
      </c>
      <c r="N3833" s="2">
        <v>0</v>
      </c>
      <c r="O3833">
        <v>-2.4</v>
      </c>
      <c r="P3833" t="s">
        <v>100</v>
      </c>
      <c r="Q3833">
        <v>0</v>
      </c>
      <c r="R3833" t="s">
        <v>145</v>
      </c>
      <c r="S3833">
        <v>0</v>
      </c>
    </row>
    <row r="3834" spans="1:19">
      <c r="A3834" t="s">
        <v>35</v>
      </c>
      <c r="B3834" t="s">
        <v>3136</v>
      </c>
      <c r="C3834">
        <f>"BO3042ZAM"</f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2</v>
      </c>
      <c r="K3834">
        <v>1.422</v>
      </c>
      <c r="L3834" s="2">
        <v>1</v>
      </c>
      <c r="M3834">
        <v>0</v>
      </c>
      <c r="N3834" s="2">
        <v>0</v>
      </c>
      <c r="O3834">
        <v>-2.4</v>
      </c>
      <c r="P3834" t="s">
        <v>100</v>
      </c>
      <c r="Q3834">
        <v>0</v>
      </c>
      <c r="R3834" t="s">
        <v>145</v>
      </c>
      <c r="S3834">
        <v>0</v>
      </c>
    </row>
    <row r="3835" spans="1:19">
      <c r="A3835" t="s">
        <v>35</v>
      </c>
      <c r="B3835" t="s">
        <v>7714</v>
      </c>
      <c r="C3835">
        <f>"FB673SV"</f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2</v>
      </c>
      <c r="K3835">
        <v>8.901</v>
      </c>
      <c r="L3835" s="2">
        <v>4</v>
      </c>
      <c r="M3835">
        <v>0</v>
      </c>
      <c r="N3835" s="2">
        <v>0</v>
      </c>
      <c r="O3835">
        <v>-2.4</v>
      </c>
      <c r="P3835" t="s">
        <v>100</v>
      </c>
      <c r="Q3835">
        <v>0</v>
      </c>
      <c r="R3835" t="s">
        <v>145</v>
      </c>
      <c r="S3835">
        <v>0</v>
      </c>
    </row>
    <row r="3836" spans="1:19">
      <c r="A3836" t="s">
        <v>35</v>
      </c>
      <c r="B3836" t="s">
        <v>2516</v>
      </c>
      <c r="C3836">
        <f>"WBC008M"</f>
        <v>0</v>
      </c>
      <c r="D3836">
        <v>0</v>
      </c>
      <c r="E3836">
        <v>0</v>
      </c>
      <c r="F3836">
        <v>1</v>
      </c>
      <c r="G3836">
        <v>0</v>
      </c>
      <c r="H3836">
        <v>1</v>
      </c>
      <c r="I3836">
        <v>0</v>
      </c>
      <c r="J3836">
        <v>2</v>
      </c>
      <c r="K3836">
        <v>8.369999999999999</v>
      </c>
      <c r="L3836" s="2">
        <v>4</v>
      </c>
      <c r="M3836">
        <v>0</v>
      </c>
      <c r="N3836" s="2">
        <v>0</v>
      </c>
      <c r="O3836">
        <v>-2.4</v>
      </c>
      <c r="P3836" t="s">
        <v>100</v>
      </c>
      <c r="Q3836">
        <v>0</v>
      </c>
      <c r="R3836" t="s">
        <v>145</v>
      </c>
      <c r="S3836">
        <v>0</v>
      </c>
    </row>
    <row r="3837" spans="1:19">
      <c r="A3837" t="s">
        <v>35</v>
      </c>
      <c r="B3837" t="s">
        <v>7825</v>
      </c>
      <c r="C3837">
        <f>"XQ22LMO"</f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2</v>
      </c>
      <c r="K3837">
        <v>6.525</v>
      </c>
      <c r="L3837" s="2">
        <v>3</v>
      </c>
      <c r="M3837">
        <v>0</v>
      </c>
      <c r="N3837" s="2">
        <v>0</v>
      </c>
      <c r="O3837">
        <v>-2.4</v>
      </c>
      <c r="P3837" t="s">
        <v>100</v>
      </c>
      <c r="Q3837">
        <v>0</v>
      </c>
      <c r="R3837" t="s">
        <v>145</v>
      </c>
      <c r="S3837">
        <v>0</v>
      </c>
    </row>
    <row r="3838" spans="1:19">
      <c r="A3838" t="s">
        <v>35</v>
      </c>
      <c r="B3838" t="s">
        <v>6908</v>
      </c>
      <c r="C3838">
        <f>"HCJ011SNA"</f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2</v>
      </c>
      <c r="K3838">
        <v>0</v>
      </c>
      <c r="L3838" s="2">
        <v>0</v>
      </c>
      <c r="M3838">
        <v>0</v>
      </c>
      <c r="N3838" s="2">
        <v>0</v>
      </c>
      <c r="O3838">
        <v>-2.4</v>
      </c>
      <c r="P3838" t="s">
        <v>100</v>
      </c>
      <c r="Q3838">
        <v>0</v>
      </c>
      <c r="R3838" t="s">
        <v>145</v>
      </c>
      <c r="S3838">
        <v>0</v>
      </c>
    </row>
    <row r="3839" spans="1:19">
      <c r="A3839" t="s">
        <v>35</v>
      </c>
      <c r="B3839" t="s">
        <v>7649</v>
      </c>
      <c r="C3839">
        <f>"X1341SV"</f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2</v>
      </c>
      <c r="K3839">
        <v>6.944</v>
      </c>
      <c r="L3839" s="2">
        <v>3</v>
      </c>
      <c r="M3839">
        <v>0</v>
      </c>
      <c r="N3839" s="2">
        <v>0</v>
      </c>
      <c r="O3839">
        <v>-2.4</v>
      </c>
      <c r="P3839" t="s">
        <v>100</v>
      </c>
      <c r="Q3839">
        <v>0</v>
      </c>
      <c r="R3839" t="s">
        <v>145</v>
      </c>
      <c r="S3839">
        <v>0</v>
      </c>
    </row>
    <row r="3840" spans="1:19">
      <c r="A3840" t="s">
        <v>35</v>
      </c>
      <c r="B3840" t="s">
        <v>7646</v>
      </c>
      <c r="C3840">
        <f>"XB1813AS"</f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2</v>
      </c>
      <c r="K3840">
        <v>15.57</v>
      </c>
      <c r="L3840" s="2">
        <v>8</v>
      </c>
      <c r="M3840">
        <v>0</v>
      </c>
      <c r="N3840" s="2">
        <v>0</v>
      </c>
      <c r="O3840">
        <v>-2.4</v>
      </c>
      <c r="P3840" t="s">
        <v>100</v>
      </c>
      <c r="Q3840">
        <v>0</v>
      </c>
      <c r="R3840" t="s">
        <v>145</v>
      </c>
      <c r="S3840">
        <v>0</v>
      </c>
    </row>
    <row r="3841" spans="1:19">
      <c r="A3841" t="s">
        <v>35</v>
      </c>
      <c r="B3841" t="s">
        <v>5261</v>
      </c>
      <c r="C3841">
        <f>"TC0100GR"</f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2</v>
      </c>
      <c r="K3841">
        <v>1.71</v>
      </c>
      <c r="L3841" s="2">
        <v>1</v>
      </c>
      <c r="M3841">
        <v>0</v>
      </c>
      <c r="N3841" s="2">
        <v>0</v>
      </c>
      <c r="O3841">
        <v>-2.4</v>
      </c>
      <c r="P3841" t="s">
        <v>100</v>
      </c>
      <c r="Q3841">
        <v>0</v>
      </c>
      <c r="R3841" t="s">
        <v>145</v>
      </c>
      <c r="S3841">
        <v>0</v>
      </c>
    </row>
    <row r="3842" spans="1:19">
      <c r="A3842" t="s">
        <v>35</v>
      </c>
      <c r="B3842" t="s">
        <v>8492</v>
      </c>
      <c r="C3842">
        <f>"FB526LCP"</f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2</v>
      </c>
      <c r="K3842">
        <v>12.042</v>
      </c>
      <c r="L3842" s="2">
        <v>6</v>
      </c>
      <c r="M3842">
        <v>0</v>
      </c>
      <c r="N3842" s="2">
        <v>0</v>
      </c>
      <c r="O3842">
        <v>-2.4</v>
      </c>
      <c r="P3842" t="s">
        <v>100</v>
      </c>
      <c r="Q3842">
        <v>0</v>
      </c>
      <c r="R3842" t="s">
        <v>145</v>
      </c>
      <c r="S3842">
        <v>0</v>
      </c>
    </row>
    <row r="3843" spans="1:19">
      <c r="A3843" t="s">
        <v>35</v>
      </c>
      <c r="B3843" t="s">
        <v>2547</v>
      </c>
      <c r="C3843">
        <f>"HDD181PCS"</f>
        <v>0</v>
      </c>
      <c r="D3843">
        <v>0</v>
      </c>
      <c r="E3843">
        <v>0</v>
      </c>
      <c r="F3843">
        <v>1</v>
      </c>
      <c r="G3843">
        <v>0</v>
      </c>
      <c r="H3843">
        <v>1</v>
      </c>
      <c r="I3843">
        <v>0</v>
      </c>
      <c r="J3843">
        <v>2</v>
      </c>
      <c r="K3843">
        <v>1.71</v>
      </c>
      <c r="L3843" s="2">
        <v>1</v>
      </c>
      <c r="M3843">
        <v>0</v>
      </c>
      <c r="N3843" s="2">
        <v>0</v>
      </c>
      <c r="O3843">
        <v>-2.4</v>
      </c>
      <c r="P3843" t="s">
        <v>100</v>
      </c>
      <c r="Q3843">
        <v>0</v>
      </c>
      <c r="R3843" t="s">
        <v>145</v>
      </c>
      <c r="S3843">
        <v>0</v>
      </c>
    </row>
    <row r="3844" spans="1:19">
      <c r="A3844" t="s">
        <v>35</v>
      </c>
      <c r="B3844" t="s">
        <v>9016</v>
      </c>
      <c r="C3844">
        <f>"HDD181PCN"</f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2</v>
      </c>
      <c r="K3844">
        <v>1.71</v>
      </c>
      <c r="L3844" s="2">
        <v>1</v>
      </c>
      <c r="M3844">
        <v>0</v>
      </c>
      <c r="N3844" s="2">
        <v>0</v>
      </c>
      <c r="O3844">
        <v>-2.4</v>
      </c>
      <c r="P3844" t="s">
        <v>100</v>
      </c>
      <c r="Q3844">
        <v>0</v>
      </c>
      <c r="R3844" t="s">
        <v>145</v>
      </c>
      <c r="S3844">
        <v>0</v>
      </c>
    </row>
    <row r="3845" spans="1:19">
      <c r="A3845" t="s">
        <v>35</v>
      </c>
      <c r="B3845" t="s">
        <v>5689</v>
      </c>
      <c r="C3845">
        <f>"RD001"</f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2</v>
      </c>
      <c r="K3845">
        <v>6.93</v>
      </c>
      <c r="L3845" s="2">
        <v>3</v>
      </c>
      <c r="M3845">
        <v>0</v>
      </c>
      <c r="N3845" s="2">
        <v>0</v>
      </c>
      <c r="O3845">
        <v>-2.4</v>
      </c>
      <c r="P3845" t="s">
        <v>100</v>
      </c>
      <c r="Q3845">
        <v>0</v>
      </c>
      <c r="R3845" t="s">
        <v>145</v>
      </c>
      <c r="S3845">
        <v>0</v>
      </c>
    </row>
    <row r="3846" spans="1:19">
      <c r="A3846" t="s">
        <v>35</v>
      </c>
      <c r="B3846" t="s">
        <v>3063</v>
      </c>
      <c r="C3846">
        <f>"21502R"</f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2</v>
      </c>
      <c r="K3846">
        <v>6.642</v>
      </c>
      <c r="L3846" s="2">
        <v>3</v>
      </c>
      <c r="M3846">
        <v>0</v>
      </c>
      <c r="N3846" s="2">
        <v>0</v>
      </c>
      <c r="O3846">
        <v>-2.4</v>
      </c>
      <c r="P3846" t="s">
        <v>100</v>
      </c>
      <c r="Q3846">
        <v>0</v>
      </c>
      <c r="R3846" t="s">
        <v>145</v>
      </c>
      <c r="S3846">
        <v>0</v>
      </c>
    </row>
    <row r="3847" spans="1:19">
      <c r="A3847" t="s">
        <v>35</v>
      </c>
      <c r="B3847" t="s">
        <v>7413</v>
      </c>
      <c r="C3847">
        <f>"QSPT012"</f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2</v>
      </c>
      <c r="K3847">
        <v>17.982</v>
      </c>
      <c r="L3847" s="2">
        <v>9</v>
      </c>
      <c r="M3847">
        <v>0</v>
      </c>
      <c r="N3847" s="2">
        <v>0</v>
      </c>
      <c r="O3847">
        <v>-2.4</v>
      </c>
      <c r="P3847" t="s">
        <v>100</v>
      </c>
      <c r="Q3847">
        <v>0</v>
      </c>
      <c r="R3847" t="s">
        <v>145</v>
      </c>
      <c r="S3847">
        <v>0</v>
      </c>
    </row>
    <row r="3848" spans="1:19">
      <c r="A3848" t="s">
        <v>35</v>
      </c>
      <c r="B3848" t="s">
        <v>10048</v>
      </c>
      <c r="C3848">
        <f>"DR111N"</f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2</v>
      </c>
      <c r="K3848">
        <v>28.782</v>
      </c>
      <c r="L3848" s="2">
        <v>14</v>
      </c>
      <c r="M3848">
        <v>0</v>
      </c>
      <c r="N3848" s="2">
        <v>0</v>
      </c>
      <c r="O3848">
        <v>-2.4</v>
      </c>
      <c r="P3848" t="s">
        <v>100</v>
      </c>
      <c r="Q3848">
        <v>0</v>
      </c>
      <c r="R3848" t="s">
        <v>145</v>
      </c>
      <c r="S3848">
        <v>0</v>
      </c>
    </row>
    <row r="3849" spans="1:19">
      <c r="A3849" t="s">
        <v>35</v>
      </c>
      <c r="B3849" t="s">
        <v>7196</v>
      </c>
      <c r="C3849">
        <f>"LS286C"</f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2</v>
      </c>
      <c r="K3849">
        <v>5.382</v>
      </c>
      <c r="L3849" s="2">
        <v>3</v>
      </c>
      <c r="M3849">
        <v>0</v>
      </c>
      <c r="N3849" s="2">
        <v>0</v>
      </c>
      <c r="O3849">
        <v>-2.4</v>
      </c>
      <c r="P3849" t="s">
        <v>100</v>
      </c>
      <c r="Q3849">
        <v>0</v>
      </c>
      <c r="R3849" t="s">
        <v>145</v>
      </c>
      <c r="S3849">
        <v>0</v>
      </c>
    </row>
    <row r="3850" spans="1:19">
      <c r="A3850" t="s">
        <v>35</v>
      </c>
      <c r="B3850" t="s">
        <v>6515</v>
      </c>
      <c r="C3850">
        <f>"XQ22XSMO"</f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2</v>
      </c>
      <c r="K3850">
        <v>5.85</v>
      </c>
      <c r="L3850" s="2">
        <v>3</v>
      </c>
      <c r="M3850">
        <v>0</v>
      </c>
      <c r="N3850" s="2">
        <v>0</v>
      </c>
      <c r="O3850">
        <v>-2.4</v>
      </c>
      <c r="P3850" t="s">
        <v>100</v>
      </c>
      <c r="Q3850">
        <v>0</v>
      </c>
      <c r="R3850" t="s">
        <v>145</v>
      </c>
      <c r="S3850">
        <v>0</v>
      </c>
    </row>
    <row r="3851" spans="1:19">
      <c r="A3851" t="s">
        <v>35</v>
      </c>
      <c r="B3851" t="s">
        <v>2618</v>
      </c>
      <c r="C3851">
        <f>"SZP0009B"</f>
        <v>0</v>
      </c>
      <c r="D3851">
        <v>0</v>
      </c>
      <c r="E3851">
        <v>1</v>
      </c>
      <c r="F3851">
        <v>0</v>
      </c>
      <c r="G3851">
        <v>0</v>
      </c>
      <c r="H3851">
        <v>1</v>
      </c>
      <c r="I3851">
        <v>0</v>
      </c>
      <c r="J3851">
        <v>2</v>
      </c>
      <c r="K3851">
        <v>12.42</v>
      </c>
      <c r="L3851" s="2">
        <v>6</v>
      </c>
      <c r="M3851">
        <v>0</v>
      </c>
      <c r="N3851" s="2">
        <v>0</v>
      </c>
      <c r="O3851">
        <v>-2.4</v>
      </c>
      <c r="P3851" t="s">
        <v>100</v>
      </c>
      <c r="Q3851">
        <v>0</v>
      </c>
      <c r="R3851" t="s">
        <v>145</v>
      </c>
      <c r="S3851">
        <v>0</v>
      </c>
    </row>
    <row r="3852" spans="1:19">
      <c r="A3852" t="s">
        <v>35</v>
      </c>
      <c r="B3852" t="s">
        <v>4187</v>
      </c>
      <c r="C3852">
        <f>"B1092184XLP"</f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2</v>
      </c>
      <c r="K3852">
        <v>22.77</v>
      </c>
      <c r="L3852" s="2">
        <v>11</v>
      </c>
      <c r="M3852">
        <v>0</v>
      </c>
      <c r="N3852" s="2">
        <v>0</v>
      </c>
      <c r="O3852">
        <v>-2.4</v>
      </c>
      <c r="P3852" t="s">
        <v>100</v>
      </c>
      <c r="Q3852">
        <v>0</v>
      </c>
      <c r="R3852" t="s">
        <v>145</v>
      </c>
      <c r="S3852">
        <v>0</v>
      </c>
    </row>
    <row r="3853" spans="1:19">
      <c r="A3853" t="s">
        <v>35</v>
      </c>
      <c r="B3853" t="s">
        <v>4217</v>
      </c>
      <c r="C3853">
        <f>"B1092184XLO"</f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2</v>
      </c>
      <c r="K3853">
        <v>22.77</v>
      </c>
      <c r="L3853" s="2">
        <v>11</v>
      </c>
      <c r="M3853">
        <v>0</v>
      </c>
      <c r="N3853" s="2">
        <v>0</v>
      </c>
      <c r="O3853">
        <v>-2.4</v>
      </c>
      <c r="P3853" t="s">
        <v>100</v>
      </c>
      <c r="Q3853">
        <v>0</v>
      </c>
      <c r="R3853" t="s">
        <v>145</v>
      </c>
      <c r="S3853">
        <v>0</v>
      </c>
    </row>
    <row r="3854" spans="1:19">
      <c r="A3854" t="s">
        <v>35</v>
      </c>
      <c r="B3854" t="s">
        <v>4218</v>
      </c>
      <c r="C3854">
        <f>"B1092183XLP"</f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2</v>
      </c>
      <c r="K3854">
        <v>21.42</v>
      </c>
      <c r="L3854" s="2">
        <v>11</v>
      </c>
      <c r="M3854">
        <v>0</v>
      </c>
      <c r="N3854" s="2">
        <v>0</v>
      </c>
      <c r="O3854">
        <v>-2.4</v>
      </c>
      <c r="P3854" t="s">
        <v>100</v>
      </c>
      <c r="Q3854">
        <v>0</v>
      </c>
      <c r="R3854" t="s">
        <v>145</v>
      </c>
      <c r="S3854">
        <v>0</v>
      </c>
    </row>
    <row r="3855" spans="1:19">
      <c r="A3855" t="s">
        <v>35</v>
      </c>
      <c r="B3855" t="s">
        <v>4219</v>
      </c>
      <c r="C3855">
        <f>"B1092182XLP"</f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2</v>
      </c>
      <c r="K3855">
        <v>19.872</v>
      </c>
      <c r="L3855" s="2">
        <v>10</v>
      </c>
      <c r="M3855">
        <v>0</v>
      </c>
      <c r="N3855" s="2">
        <v>0</v>
      </c>
      <c r="O3855">
        <v>-2.4</v>
      </c>
      <c r="P3855" t="s">
        <v>100</v>
      </c>
      <c r="Q3855">
        <v>0</v>
      </c>
      <c r="R3855" t="s">
        <v>145</v>
      </c>
      <c r="S3855">
        <v>0</v>
      </c>
    </row>
    <row r="3856" spans="1:19">
      <c r="A3856" t="s">
        <v>35</v>
      </c>
      <c r="B3856" t="s">
        <v>7840</v>
      </c>
      <c r="C3856">
        <f>"FEP40GC"</f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2</v>
      </c>
      <c r="K3856">
        <v>8.1</v>
      </c>
      <c r="L3856" s="2">
        <v>4</v>
      </c>
      <c r="M3856">
        <v>0</v>
      </c>
      <c r="N3856" s="2">
        <v>0</v>
      </c>
      <c r="O3856">
        <v>-2.4</v>
      </c>
      <c r="P3856" t="s">
        <v>100</v>
      </c>
      <c r="Q3856">
        <v>0</v>
      </c>
      <c r="R3856" t="s">
        <v>145</v>
      </c>
      <c r="S3856">
        <v>0</v>
      </c>
    </row>
    <row r="3857" spans="1:19">
      <c r="A3857" t="s">
        <v>35</v>
      </c>
      <c r="B3857" t="s">
        <v>7997</v>
      </c>
      <c r="C3857">
        <f>"FEP40RC"</f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2</v>
      </c>
      <c r="K3857">
        <v>8.1</v>
      </c>
      <c r="L3857" s="2">
        <v>4</v>
      </c>
      <c r="M3857">
        <v>0</v>
      </c>
      <c r="N3857" s="2">
        <v>0</v>
      </c>
      <c r="O3857">
        <v>-2.4</v>
      </c>
      <c r="P3857" t="s">
        <v>100</v>
      </c>
      <c r="Q3857">
        <v>0</v>
      </c>
      <c r="R3857" t="s">
        <v>145</v>
      </c>
      <c r="S3857">
        <v>0</v>
      </c>
    </row>
    <row r="3858" spans="1:19">
      <c r="A3858" t="s">
        <v>35</v>
      </c>
      <c r="B3858" t="s">
        <v>7845</v>
      </c>
      <c r="C3858">
        <f>"FEP40CC"</f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2</v>
      </c>
      <c r="K3858">
        <v>8.1</v>
      </c>
      <c r="L3858" s="2">
        <v>4</v>
      </c>
      <c r="M3858">
        <v>0</v>
      </c>
      <c r="N3858" s="2">
        <v>0</v>
      </c>
      <c r="O3858">
        <v>-2.4</v>
      </c>
      <c r="P3858" t="s">
        <v>100</v>
      </c>
      <c r="Q3858">
        <v>0</v>
      </c>
      <c r="R3858" t="s">
        <v>145</v>
      </c>
      <c r="S3858">
        <v>0</v>
      </c>
    </row>
    <row r="3859" spans="1:19">
      <c r="A3859" t="s">
        <v>35</v>
      </c>
      <c r="B3859" t="s">
        <v>5195</v>
      </c>
      <c r="C3859">
        <f>"1812LLRED"</f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2</v>
      </c>
      <c r="K3859">
        <v>7.65</v>
      </c>
      <c r="L3859" s="2">
        <v>4</v>
      </c>
      <c r="M3859">
        <v>0</v>
      </c>
      <c r="N3859" s="2">
        <v>0</v>
      </c>
      <c r="O3859">
        <v>-2.4</v>
      </c>
      <c r="P3859" t="s">
        <v>100</v>
      </c>
      <c r="Q3859">
        <v>0</v>
      </c>
      <c r="R3859" t="s">
        <v>145</v>
      </c>
      <c r="S3859">
        <v>0</v>
      </c>
    </row>
    <row r="3860" spans="1:19">
      <c r="A3860" t="s">
        <v>35</v>
      </c>
      <c r="B3860" t="s">
        <v>2116</v>
      </c>
      <c r="C3860">
        <f>"JQ1500"</f>
        <v>0</v>
      </c>
      <c r="D3860">
        <v>3</v>
      </c>
      <c r="E3860">
        <v>0</v>
      </c>
      <c r="F3860">
        <v>0</v>
      </c>
      <c r="G3860">
        <v>0</v>
      </c>
      <c r="H3860">
        <v>3</v>
      </c>
      <c r="I3860">
        <v>0</v>
      </c>
      <c r="J3860">
        <v>2</v>
      </c>
      <c r="K3860">
        <v>14.22</v>
      </c>
      <c r="L3860" s="2">
        <v>7</v>
      </c>
      <c r="M3860">
        <v>0</v>
      </c>
      <c r="N3860" s="2">
        <v>0</v>
      </c>
      <c r="O3860">
        <v>-2.4</v>
      </c>
      <c r="P3860" t="s">
        <v>100</v>
      </c>
      <c r="Q3860">
        <v>0</v>
      </c>
      <c r="R3860" t="s">
        <v>145</v>
      </c>
      <c r="S3860">
        <v>0</v>
      </c>
    </row>
    <row r="3861" spans="1:19">
      <c r="A3861" t="s">
        <v>35</v>
      </c>
      <c r="B3861" t="s">
        <v>7574</v>
      </c>
      <c r="C3861">
        <f>"PT015XLFMOR"</f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2</v>
      </c>
      <c r="K3861">
        <v>0</v>
      </c>
      <c r="L3861" s="2">
        <v>0</v>
      </c>
      <c r="M3861">
        <v>0</v>
      </c>
      <c r="N3861" s="2">
        <v>0</v>
      </c>
      <c r="O3861">
        <v>-2.4</v>
      </c>
      <c r="P3861" t="s">
        <v>100</v>
      </c>
      <c r="Q3861">
        <v>0</v>
      </c>
      <c r="R3861" t="s">
        <v>145</v>
      </c>
      <c r="S3861">
        <v>0</v>
      </c>
    </row>
    <row r="3862" spans="1:19">
      <c r="A3862" t="s">
        <v>35</v>
      </c>
      <c r="B3862" t="s">
        <v>8119</v>
      </c>
      <c r="C3862">
        <f>"HD21L"</f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2</v>
      </c>
      <c r="K3862">
        <v>7.182</v>
      </c>
      <c r="L3862" s="2">
        <v>4</v>
      </c>
      <c r="M3862">
        <v>0</v>
      </c>
      <c r="N3862" s="2">
        <v>0</v>
      </c>
      <c r="O3862">
        <v>-2.4</v>
      </c>
      <c r="P3862" t="s">
        <v>100</v>
      </c>
      <c r="Q3862">
        <v>0</v>
      </c>
      <c r="R3862" t="s">
        <v>145</v>
      </c>
      <c r="S3862">
        <v>0</v>
      </c>
    </row>
    <row r="3863" spans="1:19">
      <c r="A3863" t="s">
        <v>35</v>
      </c>
      <c r="B3863" t="s">
        <v>1859</v>
      </c>
      <c r="C3863">
        <f>"PCM12030R"</f>
        <v>0</v>
      </c>
      <c r="D3863">
        <v>7</v>
      </c>
      <c r="E3863">
        <v>0</v>
      </c>
      <c r="F3863">
        <v>0</v>
      </c>
      <c r="G3863">
        <v>0</v>
      </c>
      <c r="H3863">
        <v>7</v>
      </c>
      <c r="I3863">
        <v>0</v>
      </c>
      <c r="J3863">
        <v>2</v>
      </c>
      <c r="K3863">
        <v>14.31</v>
      </c>
      <c r="L3863" s="2">
        <v>7</v>
      </c>
      <c r="M3863">
        <v>0</v>
      </c>
      <c r="N3863" s="2">
        <v>0</v>
      </c>
      <c r="O3863">
        <v>-2.4</v>
      </c>
      <c r="P3863" t="s">
        <v>100</v>
      </c>
      <c r="Q3863">
        <v>0</v>
      </c>
      <c r="R3863" t="s">
        <v>145</v>
      </c>
      <c r="S3863">
        <v>0</v>
      </c>
    </row>
    <row r="3864" spans="1:19">
      <c r="A3864" t="s">
        <v>35</v>
      </c>
      <c r="B3864" t="s">
        <v>7907</v>
      </c>
      <c r="C3864">
        <f>"FB011LA"</f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2</v>
      </c>
      <c r="K3864">
        <v>4.23</v>
      </c>
      <c r="L3864" s="2">
        <v>2</v>
      </c>
      <c r="M3864">
        <v>0</v>
      </c>
      <c r="N3864" s="2">
        <v>0</v>
      </c>
      <c r="O3864">
        <v>-2.4</v>
      </c>
      <c r="P3864" t="s">
        <v>100</v>
      </c>
      <c r="Q3864">
        <v>0</v>
      </c>
      <c r="R3864" t="s">
        <v>145</v>
      </c>
      <c r="S3864">
        <v>0</v>
      </c>
    </row>
    <row r="3865" spans="1:19">
      <c r="A3865" t="s">
        <v>35</v>
      </c>
      <c r="B3865" t="s">
        <v>7908</v>
      </c>
      <c r="C3865">
        <f>"Q5AMM"</f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2</v>
      </c>
      <c r="K3865">
        <v>7.182</v>
      </c>
      <c r="L3865" s="2">
        <v>4</v>
      </c>
      <c r="M3865">
        <v>0</v>
      </c>
      <c r="N3865" s="2">
        <v>0</v>
      </c>
      <c r="O3865">
        <v>-2.4</v>
      </c>
      <c r="P3865" t="s">
        <v>100</v>
      </c>
      <c r="Q3865">
        <v>0</v>
      </c>
      <c r="R3865" t="s">
        <v>145</v>
      </c>
      <c r="S3865">
        <v>0</v>
      </c>
    </row>
    <row r="3866" spans="1:19">
      <c r="A3866" t="s">
        <v>35</v>
      </c>
      <c r="B3866" t="s">
        <v>7812</v>
      </c>
      <c r="C3866">
        <f>"Q5ALM"</f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2</v>
      </c>
      <c r="K3866">
        <v>8.01</v>
      </c>
      <c r="L3866" s="2">
        <v>4</v>
      </c>
      <c r="M3866">
        <v>0</v>
      </c>
      <c r="N3866" s="2">
        <v>0</v>
      </c>
      <c r="O3866">
        <v>-2.4</v>
      </c>
      <c r="P3866" t="s">
        <v>100</v>
      </c>
      <c r="Q3866">
        <v>0</v>
      </c>
      <c r="R3866" t="s">
        <v>145</v>
      </c>
      <c r="S3866">
        <v>0</v>
      </c>
    </row>
    <row r="3867" spans="1:19">
      <c r="A3867" t="s">
        <v>35</v>
      </c>
      <c r="B3867" t="s">
        <v>7814</v>
      </c>
      <c r="C3867">
        <f>"Q5ALCN"</f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2</v>
      </c>
      <c r="K3867">
        <v>8.01</v>
      </c>
      <c r="L3867" s="2">
        <v>4</v>
      </c>
      <c r="M3867">
        <v>0</v>
      </c>
      <c r="N3867" s="2">
        <v>0</v>
      </c>
      <c r="O3867">
        <v>-2.4</v>
      </c>
      <c r="P3867" t="s">
        <v>100</v>
      </c>
      <c r="Q3867">
        <v>0</v>
      </c>
      <c r="R3867" t="s">
        <v>145</v>
      </c>
      <c r="S3867">
        <v>0</v>
      </c>
    </row>
    <row r="3868" spans="1:19">
      <c r="A3868" t="s">
        <v>35</v>
      </c>
      <c r="B3868" t="s">
        <v>5226</v>
      </c>
      <c r="C3868">
        <f>"TC0029VE"</f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2</v>
      </c>
      <c r="K3868">
        <v>1.962</v>
      </c>
      <c r="L3868" s="2">
        <v>1</v>
      </c>
      <c r="M3868">
        <v>0</v>
      </c>
      <c r="N3868" s="2">
        <v>0</v>
      </c>
      <c r="O3868">
        <v>-2.4</v>
      </c>
      <c r="P3868" t="s">
        <v>100</v>
      </c>
      <c r="Q3868">
        <v>0</v>
      </c>
      <c r="R3868" t="s">
        <v>145</v>
      </c>
      <c r="S3868">
        <v>0</v>
      </c>
    </row>
    <row r="3869" spans="1:19">
      <c r="A3869" t="s">
        <v>35</v>
      </c>
      <c r="B3869" t="s">
        <v>5227</v>
      </c>
      <c r="C3869">
        <f>"TC0029ROS"</f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2</v>
      </c>
      <c r="K3869">
        <v>1.746</v>
      </c>
      <c r="L3869" s="2">
        <v>1</v>
      </c>
      <c r="M3869">
        <v>0</v>
      </c>
      <c r="N3869" s="2">
        <v>0</v>
      </c>
      <c r="O3869">
        <v>-2.4</v>
      </c>
      <c r="P3869" t="s">
        <v>100</v>
      </c>
      <c r="Q3869">
        <v>0</v>
      </c>
      <c r="R3869" t="s">
        <v>145</v>
      </c>
      <c r="S3869">
        <v>0</v>
      </c>
    </row>
    <row r="3870" spans="1:19">
      <c r="A3870" t="s">
        <v>35</v>
      </c>
      <c r="B3870" t="s">
        <v>2370</v>
      </c>
      <c r="C3870">
        <f>"TC0029FU"</f>
        <v>0</v>
      </c>
      <c r="D3870">
        <v>0</v>
      </c>
      <c r="E3870">
        <v>1</v>
      </c>
      <c r="F3870">
        <v>0</v>
      </c>
      <c r="G3870">
        <v>0</v>
      </c>
      <c r="H3870">
        <v>1</v>
      </c>
      <c r="I3870">
        <v>0</v>
      </c>
      <c r="J3870">
        <v>2</v>
      </c>
      <c r="K3870">
        <v>1.53</v>
      </c>
      <c r="L3870" s="2">
        <v>1</v>
      </c>
      <c r="M3870">
        <v>0</v>
      </c>
      <c r="N3870" s="2">
        <v>0</v>
      </c>
      <c r="O3870">
        <v>-2.4</v>
      </c>
      <c r="P3870" t="s">
        <v>100</v>
      </c>
      <c r="Q3870">
        <v>0</v>
      </c>
      <c r="R3870" t="s">
        <v>145</v>
      </c>
      <c r="S3870">
        <v>0</v>
      </c>
    </row>
    <row r="3871" spans="1:19">
      <c r="A3871" t="s">
        <v>35</v>
      </c>
      <c r="B3871" t="s">
        <v>7321</v>
      </c>
      <c r="C3871">
        <f>"NT038V"</f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2</v>
      </c>
      <c r="K3871">
        <v>1.35</v>
      </c>
      <c r="L3871" s="2">
        <v>1</v>
      </c>
      <c r="M3871">
        <v>0</v>
      </c>
      <c r="N3871" s="2">
        <v>0</v>
      </c>
      <c r="O3871">
        <v>-2.4</v>
      </c>
      <c r="P3871" t="s">
        <v>100</v>
      </c>
      <c r="Q3871">
        <v>0</v>
      </c>
      <c r="R3871" t="s">
        <v>145</v>
      </c>
      <c r="S3871">
        <v>0</v>
      </c>
    </row>
    <row r="3872" spans="1:19">
      <c r="A3872" t="s">
        <v>35</v>
      </c>
      <c r="B3872" t="s">
        <v>2083</v>
      </c>
      <c r="C3872">
        <f>"HDD042SC"</f>
        <v>0</v>
      </c>
      <c r="D3872">
        <v>0</v>
      </c>
      <c r="E3872">
        <v>0</v>
      </c>
      <c r="F3872">
        <v>3</v>
      </c>
      <c r="G3872">
        <v>0</v>
      </c>
      <c r="H3872">
        <v>3</v>
      </c>
      <c r="I3872">
        <v>0</v>
      </c>
      <c r="J3872">
        <v>2</v>
      </c>
      <c r="K3872">
        <v>1.242</v>
      </c>
      <c r="L3872" s="2">
        <v>1</v>
      </c>
      <c r="M3872">
        <v>0</v>
      </c>
      <c r="N3872" s="2">
        <v>0</v>
      </c>
      <c r="O3872">
        <v>-2.4</v>
      </c>
      <c r="P3872" t="s">
        <v>100</v>
      </c>
      <c r="Q3872">
        <v>0</v>
      </c>
      <c r="R3872" t="s">
        <v>145</v>
      </c>
      <c r="S3872">
        <v>0</v>
      </c>
    </row>
    <row r="3873" spans="1:19">
      <c r="A3873" t="s">
        <v>35</v>
      </c>
      <c r="B3873" t="s">
        <v>7189</v>
      </c>
      <c r="C3873">
        <f>"ls287"</f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2</v>
      </c>
      <c r="K3873">
        <v>12.582</v>
      </c>
      <c r="L3873" s="2">
        <v>6</v>
      </c>
      <c r="M3873">
        <v>0</v>
      </c>
      <c r="N3873" s="2">
        <v>0</v>
      </c>
      <c r="O3873">
        <v>-2.4</v>
      </c>
      <c r="P3873" t="s">
        <v>100</v>
      </c>
      <c r="Q3873">
        <v>0</v>
      </c>
      <c r="R3873" t="s">
        <v>145</v>
      </c>
      <c r="S3873">
        <v>0</v>
      </c>
    </row>
    <row r="3874" spans="1:19">
      <c r="A3874" t="s">
        <v>35</v>
      </c>
      <c r="B3874" t="s">
        <v>9067</v>
      </c>
      <c r="C3874">
        <f>"GDXBL"</f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2</v>
      </c>
      <c r="K3874">
        <v>5.382</v>
      </c>
      <c r="L3874" s="2">
        <v>3</v>
      </c>
      <c r="M3874">
        <v>0</v>
      </c>
      <c r="N3874" s="2">
        <v>0</v>
      </c>
      <c r="O3874">
        <v>-2.4</v>
      </c>
      <c r="P3874" t="s">
        <v>100</v>
      </c>
      <c r="Q3874">
        <v>0</v>
      </c>
      <c r="R3874" t="s">
        <v>145</v>
      </c>
      <c r="S3874">
        <v>0</v>
      </c>
    </row>
    <row r="3875" spans="1:19">
      <c r="A3875" t="s">
        <v>35</v>
      </c>
      <c r="B3875" t="s">
        <v>9400</v>
      </c>
      <c r="C3875">
        <f>"PT015XSMC"</f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2</v>
      </c>
      <c r="K3875">
        <v>2.385</v>
      </c>
      <c r="L3875" s="2">
        <v>1</v>
      </c>
      <c r="M3875">
        <v>0</v>
      </c>
      <c r="N3875" s="2">
        <v>0</v>
      </c>
      <c r="O3875">
        <v>-2.4</v>
      </c>
      <c r="P3875" t="s">
        <v>100</v>
      </c>
      <c r="Q3875">
        <v>0</v>
      </c>
      <c r="R3875" t="s">
        <v>145</v>
      </c>
      <c r="S3875">
        <v>0</v>
      </c>
    </row>
    <row r="3876" spans="1:19">
      <c r="A3876" t="s">
        <v>35</v>
      </c>
      <c r="B3876" t="s">
        <v>9993</v>
      </c>
      <c r="C3876">
        <f>"LH100MR"</f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2</v>
      </c>
      <c r="K3876">
        <v>9.9</v>
      </c>
      <c r="L3876" s="2">
        <v>5</v>
      </c>
      <c r="M3876">
        <v>0</v>
      </c>
      <c r="N3876" s="2">
        <v>0</v>
      </c>
      <c r="O3876">
        <v>-2.4</v>
      </c>
      <c r="P3876" t="s">
        <v>100</v>
      </c>
      <c r="Q3876">
        <v>0</v>
      </c>
      <c r="R3876" t="s">
        <v>145</v>
      </c>
      <c r="S3876">
        <v>0</v>
      </c>
    </row>
    <row r="3877" spans="1:19">
      <c r="A3877" t="s">
        <v>35</v>
      </c>
      <c r="B3877" t="s">
        <v>9995</v>
      </c>
      <c r="C3877">
        <f>"LH100MA"</f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2</v>
      </c>
      <c r="K3877">
        <v>9.9</v>
      </c>
      <c r="L3877" s="2">
        <v>5</v>
      </c>
      <c r="M3877">
        <v>0</v>
      </c>
      <c r="N3877" s="2">
        <v>0</v>
      </c>
      <c r="O3877">
        <v>-2.4</v>
      </c>
      <c r="P3877" t="s">
        <v>100</v>
      </c>
      <c r="Q3877">
        <v>0</v>
      </c>
      <c r="R3877" t="s">
        <v>145</v>
      </c>
      <c r="S3877">
        <v>0</v>
      </c>
    </row>
    <row r="3878" spans="1:19">
      <c r="A3878" t="s">
        <v>35</v>
      </c>
      <c r="B3878" t="s">
        <v>9829</v>
      </c>
      <c r="C3878">
        <f>"PT015XXLROJ"</f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2</v>
      </c>
      <c r="K3878">
        <v>7.182</v>
      </c>
      <c r="L3878" s="2">
        <v>4</v>
      </c>
      <c r="M3878">
        <v>0</v>
      </c>
      <c r="N3878" s="2">
        <v>0</v>
      </c>
      <c r="O3878">
        <v>-2.4</v>
      </c>
      <c r="P3878" t="s">
        <v>100</v>
      </c>
      <c r="Q3878">
        <v>0</v>
      </c>
      <c r="R3878" t="s">
        <v>145</v>
      </c>
      <c r="S3878">
        <v>0</v>
      </c>
    </row>
    <row r="3879" spans="1:19">
      <c r="A3879" t="s">
        <v>35</v>
      </c>
      <c r="B3879" t="s">
        <v>5449</v>
      </c>
      <c r="C3879">
        <f>"SA0115BL"</f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2</v>
      </c>
      <c r="K3879">
        <v>0</v>
      </c>
      <c r="L3879" s="2">
        <v>0</v>
      </c>
      <c r="M3879">
        <v>0</v>
      </c>
      <c r="N3879" s="2">
        <v>0</v>
      </c>
      <c r="O3879">
        <v>-2.4</v>
      </c>
      <c r="P3879" t="s">
        <v>100</v>
      </c>
      <c r="Q3879">
        <v>0</v>
      </c>
      <c r="R3879" t="s">
        <v>145</v>
      </c>
      <c r="S3879">
        <v>0</v>
      </c>
    </row>
    <row r="3880" spans="1:19">
      <c r="A3880" t="s">
        <v>35</v>
      </c>
      <c r="B3880" t="s">
        <v>5399</v>
      </c>
      <c r="C3880">
        <f>"SA0115AZ"</f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2</v>
      </c>
      <c r="K3880">
        <v>0</v>
      </c>
      <c r="L3880" s="2">
        <v>0</v>
      </c>
      <c r="M3880">
        <v>0</v>
      </c>
      <c r="N3880" s="2">
        <v>0</v>
      </c>
      <c r="O3880">
        <v>-2.4</v>
      </c>
      <c r="P3880" t="s">
        <v>100</v>
      </c>
      <c r="Q3880">
        <v>0</v>
      </c>
      <c r="R3880" t="s">
        <v>145</v>
      </c>
      <c r="S3880">
        <v>0</v>
      </c>
    </row>
    <row r="3881" spans="1:19">
      <c r="A3881" t="s">
        <v>35</v>
      </c>
      <c r="B3881" t="s">
        <v>2498</v>
      </c>
      <c r="C3881">
        <f>"PT120"</f>
        <v>0</v>
      </c>
      <c r="D3881">
        <v>1</v>
      </c>
      <c r="E3881">
        <v>0</v>
      </c>
      <c r="F3881">
        <v>0</v>
      </c>
      <c r="G3881">
        <v>0</v>
      </c>
      <c r="H3881">
        <v>1</v>
      </c>
      <c r="I3881">
        <v>0</v>
      </c>
      <c r="J3881">
        <v>2</v>
      </c>
      <c r="K3881">
        <v>834</v>
      </c>
      <c r="L3881" s="2">
        <v>417</v>
      </c>
      <c r="M3881">
        <v>0</v>
      </c>
      <c r="N3881" s="2">
        <v>0</v>
      </c>
      <c r="O3881">
        <v>-2.4</v>
      </c>
      <c r="P3881" t="s">
        <v>100</v>
      </c>
      <c r="Q3881">
        <v>0</v>
      </c>
      <c r="R3881" t="s">
        <v>145</v>
      </c>
      <c r="S3881">
        <v>0</v>
      </c>
    </row>
    <row r="3882" spans="1:19">
      <c r="A3882" t="s">
        <v>35</v>
      </c>
      <c r="B3882" t="s">
        <v>6434</v>
      </c>
      <c r="C3882">
        <f>"DN43"</f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2</v>
      </c>
      <c r="K3882">
        <v>1.296</v>
      </c>
      <c r="L3882" s="2">
        <v>1</v>
      </c>
      <c r="M3882">
        <v>0</v>
      </c>
      <c r="N3882" s="2">
        <v>0</v>
      </c>
      <c r="O3882">
        <v>-2.4</v>
      </c>
      <c r="P3882" t="s">
        <v>100</v>
      </c>
      <c r="Q3882">
        <v>0</v>
      </c>
      <c r="R3882" t="s">
        <v>145</v>
      </c>
      <c r="S3882">
        <v>0</v>
      </c>
    </row>
    <row r="3883" spans="1:19">
      <c r="A3883" t="s">
        <v>35</v>
      </c>
      <c r="B3883" t="s">
        <v>2303</v>
      </c>
      <c r="C3883">
        <f>"HP152MC"</f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2</v>
      </c>
      <c r="K3883">
        <v>9.449999999999999</v>
      </c>
      <c r="L3883" s="2">
        <v>5</v>
      </c>
      <c r="M3883">
        <v>0</v>
      </c>
      <c r="N3883" s="2">
        <v>0</v>
      </c>
      <c r="O3883">
        <v>-2.4</v>
      </c>
      <c r="P3883" t="s">
        <v>100</v>
      </c>
      <c r="Q3883">
        <v>0</v>
      </c>
      <c r="R3883" t="s">
        <v>145</v>
      </c>
      <c r="S3883">
        <v>0</v>
      </c>
    </row>
    <row r="3884" spans="1:19">
      <c r="A3884" t="s">
        <v>35</v>
      </c>
      <c r="B3884" t="s">
        <v>2588</v>
      </c>
      <c r="C3884">
        <f>"HD25L"</f>
        <v>0</v>
      </c>
      <c r="D3884">
        <v>0</v>
      </c>
      <c r="E3884">
        <v>1</v>
      </c>
      <c r="F3884">
        <v>0</v>
      </c>
      <c r="G3884">
        <v>0</v>
      </c>
      <c r="H3884">
        <v>1</v>
      </c>
      <c r="I3884">
        <v>0</v>
      </c>
      <c r="J3884">
        <v>2</v>
      </c>
      <c r="K3884">
        <v>6.57</v>
      </c>
      <c r="L3884" s="2">
        <v>3</v>
      </c>
      <c r="M3884">
        <v>0</v>
      </c>
      <c r="N3884" s="2">
        <v>0</v>
      </c>
      <c r="O3884">
        <v>-2.4</v>
      </c>
      <c r="P3884" t="s">
        <v>100</v>
      </c>
      <c r="Q3884">
        <v>0</v>
      </c>
      <c r="R3884" t="s">
        <v>145</v>
      </c>
      <c r="S3884">
        <v>0</v>
      </c>
    </row>
    <row r="3885" spans="1:19">
      <c r="A3885" t="s">
        <v>35</v>
      </c>
      <c r="B3885" t="s">
        <v>6530</v>
      </c>
      <c r="C3885">
        <f>"HP152LCR"</f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2</v>
      </c>
      <c r="K3885">
        <v>0</v>
      </c>
      <c r="L3885" s="2">
        <v>0</v>
      </c>
      <c r="M3885">
        <v>0</v>
      </c>
      <c r="N3885" s="2">
        <v>0</v>
      </c>
      <c r="O3885">
        <v>-2.4</v>
      </c>
      <c r="P3885" t="s">
        <v>100</v>
      </c>
      <c r="Q3885">
        <v>0</v>
      </c>
      <c r="R3885" t="s">
        <v>145</v>
      </c>
      <c r="S3885">
        <v>0</v>
      </c>
    </row>
    <row r="3886" spans="1:19">
      <c r="A3886" t="s">
        <v>35</v>
      </c>
      <c r="B3886" t="s">
        <v>7340</v>
      </c>
      <c r="C3886">
        <f>"WD897"</f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2</v>
      </c>
      <c r="K3886">
        <v>2.79</v>
      </c>
      <c r="L3886" s="2">
        <v>1</v>
      </c>
      <c r="M3886">
        <v>0</v>
      </c>
      <c r="N3886" s="2">
        <v>0</v>
      </c>
      <c r="O3886">
        <v>-2.4</v>
      </c>
      <c r="P3886" t="s">
        <v>100</v>
      </c>
      <c r="Q3886">
        <v>0</v>
      </c>
      <c r="R3886" t="s">
        <v>145</v>
      </c>
      <c r="S3886">
        <v>0</v>
      </c>
    </row>
    <row r="3887" spans="1:19">
      <c r="A3887" t="s">
        <v>35</v>
      </c>
      <c r="B3887" t="s">
        <v>9112</v>
      </c>
      <c r="C3887">
        <f>"ZRD2019138"</f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2</v>
      </c>
      <c r="K3887">
        <v>8.82</v>
      </c>
      <c r="L3887" s="2">
        <v>4</v>
      </c>
      <c r="M3887">
        <v>0</v>
      </c>
      <c r="N3887" s="2">
        <v>0</v>
      </c>
      <c r="O3887">
        <v>-2.4</v>
      </c>
      <c r="P3887" t="s">
        <v>100</v>
      </c>
      <c r="Q3887">
        <v>0</v>
      </c>
      <c r="R3887" t="s">
        <v>145</v>
      </c>
      <c r="S3887">
        <v>0</v>
      </c>
    </row>
    <row r="3888" spans="1:19">
      <c r="A3888" t="s">
        <v>35</v>
      </c>
      <c r="B3888" t="s">
        <v>9129</v>
      </c>
      <c r="C3888">
        <f>"PT310M"</f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2</v>
      </c>
      <c r="K3888">
        <v>3.582</v>
      </c>
      <c r="L3888" s="2">
        <v>2</v>
      </c>
      <c r="M3888">
        <v>0</v>
      </c>
      <c r="N3888" s="2">
        <v>0</v>
      </c>
      <c r="O3888">
        <v>-2.4</v>
      </c>
      <c r="P3888" t="s">
        <v>100</v>
      </c>
      <c r="Q3888">
        <v>0</v>
      </c>
      <c r="R3888" t="s">
        <v>145</v>
      </c>
      <c r="S3888">
        <v>0</v>
      </c>
    </row>
    <row r="3889" spans="1:19">
      <c r="A3889" t="s">
        <v>35</v>
      </c>
      <c r="B3889" t="s">
        <v>2517</v>
      </c>
      <c r="C3889">
        <f>"LS245ROS"</f>
        <v>0</v>
      </c>
      <c r="D3889">
        <v>0</v>
      </c>
      <c r="E3889">
        <v>0</v>
      </c>
      <c r="F3889">
        <v>1</v>
      </c>
      <c r="G3889">
        <v>0</v>
      </c>
      <c r="H3889">
        <v>1</v>
      </c>
      <c r="I3889">
        <v>0</v>
      </c>
      <c r="J3889">
        <v>2</v>
      </c>
      <c r="K3889">
        <v>3.582</v>
      </c>
      <c r="L3889" s="2">
        <v>2</v>
      </c>
      <c r="M3889">
        <v>0</v>
      </c>
      <c r="N3889" s="2">
        <v>0</v>
      </c>
      <c r="O3889">
        <v>-2.4</v>
      </c>
      <c r="P3889" t="s">
        <v>100</v>
      </c>
      <c r="Q3889">
        <v>0</v>
      </c>
      <c r="R3889" t="s">
        <v>145</v>
      </c>
      <c r="S3889">
        <v>0</v>
      </c>
    </row>
    <row r="3890" spans="1:19">
      <c r="A3890" t="s">
        <v>35</v>
      </c>
      <c r="B3890" t="s">
        <v>7185</v>
      </c>
      <c r="C3890">
        <f>"LS246CEL"</f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2</v>
      </c>
      <c r="K3890">
        <v>4.41</v>
      </c>
      <c r="L3890" s="2">
        <v>2</v>
      </c>
      <c r="M3890">
        <v>0</v>
      </c>
      <c r="N3890" s="2">
        <v>0</v>
      </c>
      <c r="O3890">
        <v>-2.4</v>
      </c>
      <c r="P3890" t="s">
        <v>100</v>
      </c>
      <c r="Q3890">
        <v>0</v>
      </c>
      <c r="R3890" t="s">
        <v>145</v>
      </c>
      <c r="S3890">
        <v>0</v>
      </c>
    </row>
    <row r="3891" spans="1:19">
      <c r="A3891" t="s">
        <v>35</v>
      </c>
      <c r="B3891" t="s">
        <v>8204</v>
      </c>
      <c r="C3891">
        <f>"Q5ASCN"</f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2</v>
      </c>
      <c r="K3891">
        <v>6.12</v>
      </c>
      <c r="L3891" s="2">
        <v>3</v>
      </c>
      <c r="M3891">
        <v>0</v>
      </c>
      <c r="N3891" s="2">
        <v>0</v>
      </c>
      <c r="O3891">
        <v>-2.4</v>
      </c>
      <c r="P3891" t="s">
        <v>100</v>
      </c>
      <c r="Q3891">
        <v>0</v>
      </c>
      <c r="R3891" t="s">
        <v>145</v>
      </c>
      <c r="S3891">
        <v>0</v>
      </c>
    </row>
    <row r="3892" spans="1:19">
      <c r="A3892" t="s">
        <v>35</v>
      </c>
      <c r="B3892" t="s">
        <v>6199</v>
      </c>
      <c r="C3892">
        <f>"10225"</f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2</v>
      </c>
      <c r="K3892">
        <v>40.5</v>
      </c>
      <c r="L3892" s="2">
        <v>20</v>
      </c>
      <c r="M3892">
        <v>0</v>
      </c>
      <c r="N3892" s="2">
        <v>0</v>
      </c>
      <c r="O3892">
        <v>-2.4</v>
      </c>
      <c r="P3892" t="s">
        <v>100</v>
      </c>
      <c r="Q3892">
        <v>0</v>
      </c>
      <c r="R3892" t="s">
        <v>145</v>
      </c>
      <c r="S3892">
        <v>0</v>
      </c>
    </row>
    <row r="3893" spans="1:19">
      <c r="A3893" t="s">
        <v>35</v>
      </c>
      <c r="B3893" t="s">
        <v>2737</v>
      </c>
      <c r="C3893">
        <f>"KE4905"</f>
        <v>0</v>
      </c>
      <c r="D3893">
        <v>0</v>
      </c>
      <c r="E3893">
        <v>0</v>
      </c>
      <c r="F3893">
        <v>1</v>
      </c>
      <c r="G3893">
        <v>0</v>
      </c>
      <c r="H3893">
        <v>1</v>
      </c>
      <c r="I3893">
        <v>0</v>
      </c>
      <c r="J3893">
        <v>2</v>
      </c>
      <c r="K3893">
        <v>4.356</v>
      </c>
      <c r="L3893" s="2">
        <v>2</v>
      </c>
      <c r="M3893">
        <v>0</v>
      </c>
      <c r="N3893" s="2">
        <v>0</v>
      </c>
      <c r="O3893">
        <v>-2.4</v>
      </c>
      <c r="P3893" t="s">
        <v>11060</v>
      </c>
      <c r="Q3893">
        <v>-2.015</v>
      </c>
      <c r="R3893" t="s">
        <v>11192</v>
      </c>
      <c r="S3893">
        <v>0</v>
      </c>
    </row>
    <row r="3894" spans="1:19">
      <c r="A3894" t="s">
        <v>35</v>
      </c>
      <c r="B3894" t="s">
        <v>7554</v>
      </c>
      <c r="C3894">
        <f>"PP007A"</f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2</v>
      </c>
      <c r="K3894">
        <v>6.21</v>
      </c>
      <c r="L3894" s="2">
        <v>3</v>
      </c>
      <c r="M3894">
        <v>0</v>
      </c>
      <c r="N3894" s="2">
        <v>0</v>
      </c>
      <c r="O3894">
        <v>-2.4</v>
      </c>
      <c r="P3894" t="s">
        <v>100</v>
      </c>
      <c r="Q3894">
        <v>0</v>
      </c>
      <c r="R3894" t="s">
        <v>145</v>
      </c>
      <c r="S3894">
        <v>0</v>
      </c>
    </row>
    <row r="3895" spans="1:19">
      <c r="A3895" t="s">
        <v>35</v>
      </c>
      <c r="B3895" t="s">
        <v>7556</v>
      </c>
      <c r="C3895">
        <f>"NBGG01XL"</f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2</v>
      </c>
      <c r="K3895">
        <v>12.6</v>
      </c>
      <c r="L3895" s="2">
        <v>6</v>
      </c>
      <c r="M3895">
        <v>0</v>
      </c>
      <c r="N3895" s="2">
        <v>0</v>
      </c>
      <c r="O3895">
        <v>-2.4</v>
      </c>
      <c r="P3895" t="s">
        <v>100</v>
      </c>
      <c r="Q3895">
        <v>0</v>
      </c>
      <c r="R3895" t="s">
        <v>145</v>
      </c>
      <c r="S3895">
        <v>0</v>
      </c>
    </row>
    <row r="3896" spans="1:19">
      <c r="A3896" t="s">
        <v>35</v>
      </c>
      <c r="B3896" t="s">
        <v>5252</v>
      </c>
      <c r="C3896">
        <f>"WPS008MOR"</f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2</v>
      </c>
      <c r="K3896">
        <v>1.422</v>
      </c>
      <c r="L3896" s="2">
        <v>1</v>
      </c>
      <c r="M3896">
        <v>0</v>
      </c>
      <c r="N3896" s="2">
        <v>0</v>
      </c>
      <c r="O3896">
        <v>-2.4</v>
      </c>
      <c r="P3896" t="s">
        <v>100</v>
      </c>
      <c r="Q3896">
        <v>0</v>
      </c>
      <c r="R3896" t="s">
        <v>145</v>
      </c>
      <c r="S3896">
        <v>0</v>
      </c>
    </row>
    <row r="3897" spans="1:19">
      <c r="A3897" t="s">
        <v>35</v>
      </c>
      <c r="B3897" t="s">
        <v>9037</v>
      </c>
      <c r="C3897">
        <f>"24001A"</f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2</v>
      </c>
      <c r="K3897">
        <v>5.22</v>
      </c>
      <c r="L3897" s="2">
        <v>3</v>
      </c>
      <c r="M3897">
        <v>0</v>
      </c>
      <c r="N3897" s="2">
        <v>0</v>
      </c>
      <c r="O3897">
        <v>-2.4</v>
      </c>
      <c r="P3897" t="s">
        <v>100</v>
      </c>
      <c r="Q3897">
        <v>0</v>
      </c>
      <c r="R3897" t="s">
        <v>145</v>
      </c>
      <c r="S3897">
        <v>0</v>
      </c>
    </row>
    <row r="3898" spans="1:19">
      <c r="A3898" t="s">
        <v>35</v>
      </c>
      <c r="B3898" t="s">
        <v>6793</v>
      </c>
      <c r="C3898">
        <f>"HP152SCR"</f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2</v>
      </c>
      <c r="K3898">
        <v>8.981999999999999</v>
      </c>
      <c r="L3898" s="2">
        <v>4</v>
      </c>
      <c r="M3898">
        <v>0</v>
      </c>
      <c r="N3898" s="2">
        <v>0</v>
      </c>
      <c r="O3898">
        <v>-2.4</v>
      </c>
      <c r="P3898" t="s">
        <v>100</v>
      </c>
      <c r="Q3898">
        <v>0</v>
      </c>
      <c r="R3898" t="s">
        <v>145</v>
      </c>
      <c r="S3898">
        <v>0</v>
      </c>
    </row>
    <row r="3899" spans="1:19">
      <c r="A3899" t="s">
        <v>35</v>
      </c>
      <c r="B3899" t="s">
        <v>5229</v>
      </c>
      <c r="C3899">
        <f>"TC0029CA"</f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2</v>
      </c>
      <c r="K3899">
        <v>1.746</v>
      </c>
      <c r="L3899" s="2">
        <v>1</v>
      </c>
      <c r="M3899">
        <v>0</v>
      </c>
      <c r="N3899" s="2">
        <v>0</v>
      </c>
      <c r="O3899">
        <v>-2.4</v>
      </c>
      <c r="P3899" t="s">
        <v>100</v>
      </c>
      <c r="Q3899">
        <v>0</v>
      </c>
      <c r="R3899" t="s">
        <v>145</v>
      </c>
      <c r="S3899">
        <v>0</v>
      </c>
    </row>
    <row r="3900" spans="1:19">
      <c r="A3900" t="s">
        <v>35</v>
      </c>
      <c r="B3900" t="s">
        <v>8755</v>
      </c>
      <c r="C3900">
        <f>"92804CS"</f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2</v>
      </c>
      <c r="K3900">
        <v>24.93</v>
      </c>
      <c r="L3900" s="2">
        <v>12</v>
      </c>
      <c r="M3900">
        <v>0</v>
      </c>
      <c r="N3900" s="2">
        <v>0</v>
      </c>
      <c r="O3900">
        <v>-2.4</v>
      </c>
      <c r="P3900" t="s">
        <v>100</v>
      </c>
      <c r="Q3900">
        <v>0</v>
      </c>
      <c r="R3900" t="s">
        <v>145</v>
      </c>
      <c r="S3900">
        <v>0</v>
      </c>
    </row>
    <row r="3901" spans="1:19">
      <c r="A3901" t="s">
        <v>35</v>
      </c>
      <c r="B3901" t="s">
        <v>5216</v>
      </c>
      <c r="C3901">
        <f>"CT1162"</f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2</v>
      </c>
      <c r="K3901">
        <v>1.53</v>
      </c>
      <c r="L3901" s="2">
        <v>1</v>
      </c>
      <c r="M3901">
        <v>0</v>
      </c>
      <c r="N3901" s="2">
        <v>0</v>
      </c>
      <c r="O3901">
        <v>-2.4</v>
      </c>
      <c r="P3901" t="s">
        <v>100</v>
      </c>
      <c r="Q3901">
        <v>0</v>
      </c>
      <c r="R3901" t="s">
        <v>145</v>
      </c>
      <c r="S3901">
        <v>0</v>
      </c>
    </row>
    <row r="3902" spans="1:19">
      <c r="A3902" t="s">
        <v>35</v>
      </c>
      <c r="B3902" t="s">
        <v>5217</v>
      </c>
      <c r="C3902">
        <f>"TC0028FU"</f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2</v>
      </c>
      <c r="K3902">
        <v>1.962</v>
      </c>
      <c r="L3902" s="2">
        <v>1</v>
      </c>
      <c r="M3902">
        <v>0</v>
      </c>
      <c r="N3902" s="2">
        <v>0</v>
      </c>
      <c r="O3902">
        <v>-2.4</v>
      </c>
      <c r="P3902" t="s">
        <v>100</v>
      </c>
      <c r="Q3902">
        <v>0</v>
      </c>
      <c r="R3902" t="s">
        <v>145</v>
      </c>
      <c r="S3902">
        <v>0</v>
      </c>
    </row>
    <row r="3903" spans="1:19">
      <c r="A3903" t="s">
        <v>35</v>
      </c>
      <c r="B3903" t="s">
        <v>8674</v>
      </c>
      <c r="C3903">
        <f>"DB821MXL"</f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2</v>
      </c>
      <c r="K3903">
        <v>23.22</v>
      </c>
      <c r="L3903" s="2">
        <v>12</v>
      </c>
      <c r="M3903">
        <v>0</v>
      </c>
      <c r="N3903" s="2">
        <v>0</v>
      </c>
      <c r="O3903">
        <v>-2.4</v>
      </c>
      <c r="P3903" t="s">
        <v>100</v>
      </c>
      <c r="Q3903">
        <v>0</v>
      </c>
      <c r="R3903" t="s">
        <v>145</v>
      </c>
      <c r="S3903">
        <v>0</v>
      </c>
    </row>
    <row r="3904" spans="1:19">
      <c r="A3904" t="s">
        <v>35</v>
      </c>
      <c r="B3904" t="s">
        <v>8676</v>
      </c>
      <c r="C3904">
        <f>"DB821MM"</f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2</v>
      </c>
      <c r="K3904">
        <v>17.19</v>
      </c>
      <c r="L3904" s="2">
        <v>9</v>
      </c>
      <c r="M3904">
        <v>0</v>
      </c>
      <c r="N3904" s="2">
        <v>0</v>
      </c>
      <c r="O3904">
        <v>-2.4</v>
      </c>
      <c r="P3904" t="s">
        <v>100</v>
      </c>
      <c r="Q3904">
        <v>0</v>
      </c>
      <c r="R3904" t="s">
        <v>145</v>
      </c>
      <c r="S3904">
        <v>0</v>
      </c>
    </row>
    <row r="3905" spans="1:19">
      <c r="A3905" t="s">
        <v>35</v>
      </c>
      <c r="B3905" t="s">
        <v>8093</v>
      </c>
      <c r="C3905">
        <f>"ELI121A"</f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2</v>
      </c>
      <c r="K3905">
        <v>6.3</v>
      </c>
      <c r="L3905" s="2">
        <v>3</v>
      </c>
      <c r="M3905">
        <v>0</v>
      </c>
      <c r="N3905" s="2">
        <v>0</v>
      </c>
      <c r="O3905">
        <v>-2.4</v>
      </c>
      <c r="P3905" t="s">
        <v>100</v>
      </c>
      <c r="Q3905">
        <v>0</v>
      </c>
      <c r="R3905" t="s">
        <v>145</v>
      </c>
      <c r="S3905">
        <v>0</v>
      </c>
    </row>
    <row r="3906" spans="1:19">
      <c r="A3906" t="s">
        <v>35</v>
      </c>
      <c r="B3906" t="s">
        <v>7883</v>
      </c>
      <c r="C3906">
        <f>"Q5AXXLM"</f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2</v>
      </c>
      <c r="K3906">
        <v>10.17</v>
      </c>
      <c r="L3906" s="2">
        <v>5</v>
      </c>
      <c r="M3906">
        <v>0</v>
      </c>
      <c r="N3906" s="2">
        <v>0</v>
      </c>
      <c r="O3906">
        <v>-2.4</v>
      </c>
      <c r="P3906" t="s">
        <v>100</v>
      </c>
      <c r="Q3906">
        <v>0</v>
      </c>
      <c r="R3906" t="s">
        <v>145</v>
      </c>
      <c r="S3906">
        <v>0</v>
      </c>
    </row>
    <row r="3907" spans="1:19">
      <c r="A3907" t="s">
        <v>35</v>
      </c>
      <c r="B3907" t="s">
        <v>7886</v>
      </c>
      <c r="C3907">
        <f>"Q5AXXLAR"</f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2</v>
      </c>
      <c r="K3907">
        <v>10.17</v>
      </c>
      <c r="L3907" s="2">
        <v>5</v>
      </c>
      <c r="M3907">
        <v>0</v>
      </c>
      <c r="N3907" s="2">
        <v>0</v>
      </c>
      <c r="O3907">
        <v>-2.4</v>
      </c>
      <c r="P3907" t="s">
        <v>100</v>
      </c>
      <c r="Q3907">
        <v>0</v>
      </c>
      <c r="R3907" t="s">
        <v>145</v>
      </c>
      <c r="S3907">
        <v>0</v>
      </c>
    </row>
    <row r="3908" spans="1:19">
      <c r="A3908" t="s">
        <v>35</v>
      </c>
      <c r="B3908" t="s">
        <v>8199</v>
      </c>
      <c r="C3908">
        <f>"Q5AXLHG"</f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2</v>
      </c>
      <c r="K3908">
        <v>8.981999999999999</v>
      </c>
      <c r="L3908" s="2">
        <v>4</v>
      </c>
      <c r="M3908">
        <v>0</v>
      </c>
      <c r="N3908" s="2">
        <v>0</v>
      </c>
      <c r="O3908">
        <v>-2.4</v>
      </c>
      <c r="P3908" t="s">
        <v>100</v>
      </c>
      <c r="Q3908">
        <v>0</v>
      </c>
      <c r="R3908" t="s">
        <v>145</v>
      </c>
      <c r="S3908">
        <v>0</v>
      </c>
    </row>
    <row r="3909" spans="1:19">
      <c r="A3909" t="s">
        <v>35</v>
      </c>
      <c r="B3909" t="s">
        <v>8216</v>
      </c>
      <c r="C3909">
        <f>"Q5AXLCN"</f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2</v>
      </c>
      <c r="K3909">
        <v>8.981999999999999</v>
      </c>
      <c r="L3909" s="2">
        <v>4</v>
      </c>
      <c r="M3909">
        <v>0</v>
      </c>
      <c r="N3909" s="2">
        <v>0</v>
      </c>
      <c r="O3909">
        <v>-2.4</v>
      </c>
      <c r="P3909" t="s">
        <v>100</v>
      </c>
      <c r="Q3909">
        <v>0</v>
      </c>
      <c r="R3909" t="s">
        <v>145</v>
      </c>
      <c r="S3909">
        <v>0</v>
      </c>
    </row>
    <row r="3910" spans="1:19">
      <c r="A3910" t="s">
        <v>35</v>
      </c>
      <c r="B3910" t="s">
        <v>8366</v>
      </c>
      <c r="C3910">
        <f>"DB821ROL"</f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2</v>
      </c>
      <c r="K3910">
        <v>21.42</v>
      </c>
      <c r="L3910" s="2">
        <v>11</v>
      </c>
      <c r="M3910">
        <v>0</v>
      </c>
      <c r="N3910" s="2">
        <v>0</v>
      </c>
      <c r="O3910">
        <v>-2.4</v>
      </c>
      <c r="P3910" t="s">
        <v>100</v>
      </c>
      <c r="Q3910">
        <v>0</v>
      </c>
      <c r="R3910" t="s">
        <v>145</v>
      </c>
      <c r="S3910">
        <v>0</v>
      </c>
    </row>
    <row r="3911" spans="1:19">
      <c r="A3911" t="s">
        <v>35</v>
      </c>
      <c r="B3911" t="s">
        <v>9038</v>
      </c>
      <c r="C3911">
        <f>"24001B"</f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2</v>
      </c>
      <c r="K3911">
        <v>5.22</v>
      </c>
      <c r="L3911" s="2">
        <v>3</v>
      </c>
      <c r="M3911">
        <v>0</v>
      </c>
      <c r="N3911" s="2">
        <v>0</v>
      </c>
      <c r="O3911">
        <v>-2.4</v>
      </c>
      <c r="P3911" t="s">
        <v>100</v>
      </c>
      <c r="Q3911">
        <v>0</v>
      </c>
      <c r="R3911" t="s">
        <v>145</v>
      </c>
      <c r="S3911">
        <v>0</v>
      </c>
    </row>
    <row r="3912" spans="1:19">
      <c r="A3912" t="s">
        <v>35</v>
      </c>
      <c r="B3912" t="s">
        <v>2855</v>
      </c>
      <c r="C3912">
        <f>"B116003XLM"</f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2</v>
      </c>
      <c r="K3912">
        <v>18.45</v>
      </c>
      <c r="L3912" s="2">
        <v>9</v>
      </c>
      <c r="M3912">
        <v>0</v>
      </c>
      <c r="N3912" s="2">
        <v>0</v>
      </c>
      <c r="O3912">
        <v>-2.4</v>
      </c>
      <c r="P3912" t="s">
        <v>100</v>
      </c>
      <c r="Q3912">
        <v>0</v>
      </c>
      <c r="R3912" t="s">
        <v>145</v>
      </c>
      <c r="S3912">
        <v>0</v>
      </c>
    </row>
    <row r="3913" spans="1:19">
      <c r="A3913" t="s">
        <v>35</v>
      </c>
      <c r="B3913" t="s">
        <v>4168</v>
      </c>
      <c r="C3913">
        <f>"B116003SM"</f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2</v>
      </c>
      <c r="K3913">
        <v>15.57</v>
      </c>
      <c r="L3913" s="2">
        <v>8</v>
      </c>
      <c r="M3913">
        <v>0</v>
      </c>
      <c r="N3913" s="2">
        <v>0</v>
      </c>
      <c r="O3913">
        <v>-2.4</v>
      </c>
      <c r="P3913" t="s">
        <v>100</v>
      </c>
      <c r="Q3913">
        <v>0</v>
      </c>
      <c r="R3913" t="s">
        <v>145</v>
      </c>
      <c r="S3913">
        <v>0</v>
      </c>
    </row>
    <row r="3914" spans="1:19">
      <c r="A3914" t="s">
        <v>35</v>
      </c>
      <c r="B3914" t="s">
        <v>4400</v>
      </c>
      <c r="C3914">
        <f>"LS199R"</f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2</v>
      </c>
      <c r="K3914">
        <v>9.9</v>
      </c>
      <c r="L3914" s="2">
        <v>5</v>
      </c>
      <c r="M3914">
        <v>0</v>
      </c>
      <c r="N3914" s="2">
        <v>0</v>
      </c>
      <c r="O3914">
        <v>-2.4</v>
      </c>
      <c r="P3914" t="s">
        <v>100</v>
      </c>
      <c r="Q3914">
        <v>0</v>
      </c>
      <c r="R3914" t="s">
        <v>145</v>
      </c>
      <c r="S3914">
        <v>0</v>
      </c>
    </row>
    <row r="3915" spans="1:19">
      <c r="A3915" t="s">
        <v>35</v>
      </c>
      <c r="B3915" t="s">
        <v>8693</v>
      </c>
      <c r="C3915">
        <f>"ATLAS10B"</f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2</v>
      </c>
      <c r="K3915">
        <v>23.22</v>
      </c>
      <c r="L3915" s="2">
        <v>12</v>
      </c>
      <c r="M3915">
        <v>0</v>
      </c>
      <c r="N3915" s="2">
        <v>0</v>
      </c>
      <c r="O3915">
        <v>-2.4</v>
      </c>
      <c r="P3915" t="s">
        <v>100</v>
      </c>
      <c r="Q3915">
        <v>0</v>
      </c>
      <c r="R3915" t="s">
        <v>145</v>
      </c>
      <c r="S3915">
        <v>0</v>
      </c>
    </row>
    <row r="3916" spans="1:19">
      <c r="A3916" t="s">
        <v>35</v>
      </c>
      <c r="B3916" t="s">
        <v>8696</v>
      </c>
      <c r="C3916">
        <f>"074"</f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2</v>
      </c>
      <c r="K3916">
        <v>142.2</v>
      </c>
      <c r="L3916" s="2">
        <v>71</v>
      </c>
      <c r="M3916">
        <v>0</v>
      </c>
      <c r="N3916" s="2">
        <v>0</v>
      </c>
      <c r="O3916">
        <v>-2.4</v>
      </c>
      <c r="P3916" t="s">
        <v>100</v>
      </c>
      <c r="Q3916">
        <v>0</v>
      </c>
      <c r="R3916" t="s">
        <v>145</v>
      </c>
      <c r="S3916">
        <v>0</v>
      </c>
    </row>
    <row r="3917" spans="1:19">
      <c r="A3917" t="s">
        <v>35</v>
      </c>
      <c r="B3917" t="s">
        <v>8359</v>
      </c>
      <c r="C3917">
        <f>"7011241"</f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2</v>
      </c>
      <c r="K3917">
        <v>11.8</v>
      </c>
      <c r="L3917" s="2">
        <v>6</v>
      </c>
      <c r="M3917">
        <v>0</v>
      </c>
      <c r="N3917" s="2">
        <v>0</v>
      </c>
      <c r="O3917">
        <v>-2.4</v>
      </c>
      <c r="P3917" t="s">
        <v>100</v>
      </c>
      <c r="Q3917">
        <v>0</v>
      </c>
      <c r="R3917" t="s">
        <v>145</v>
      </c>
      <c r="S3917">
        <v>0</v>
      </c>
    </row>
    <row r="3918" spans="1:19">
      <c r="A3918" t="s">
        <v>35</v>
      </c>
      <c r="B3918" t="s">
        <v>5197</v>
      </c>
      <c r="C3918">
        <f>"1812LMBLUE"</f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2</v>
      </c>
      <c r="K3918">
        <v>7.002</v>
      </c>
      <c r="L3918" s="2">
        <v>4</v>
      </c>
      <c r="M3918">
        <v>0</v>
      </c>
      <c r="N3918" s="2">
        <v>0</v>
      </c>
      <c r="O3918">
        <v>-2.4</v>
      </c>
      <c r="P3918" t="s">
        <v>100</v>
      </c>
      <c r="Q3918">
        <v>0</v>
      </c>
      <c r="R3918" t="s">
        <v>145</v>
      </c>
      <c r="S3918">
        <v>0</v>
      </c>
    </row>
    <row r="3919" spans="1:19">
      <c r="A3919" t="s">
        <v>35</v>
      </c>
      <c r="B3919" t="s">
        <v>5201</v>
      </c>
      <c r="C3919">
        <f>"1840CLB"</f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2</v>
      </c>
      <c r="K3919">
        <v>0</v>
      </c>
      <c r="L3919" s="2">
        <v>0</v>
      </c>
      <c r="M3919">
        <v>0</v>
      </c>
      <c r="N3919" s="2">
        <v>0</v>
      </c>
      <c r="O3919">
        <v>-2.4</v>
      </c>
      <c r="P3919" t="s">
        <v>100</v>
      </c>
      <c r="Q3919">
        <v>0</v>
      </c>
      <c r="R3919" t="s">
        <v>145</v>
      </c>
      <c r="S3919">
        <v>0</v>
      </c>
    </row>
    <row r="3920" spans="1:19">
      <c r="A3920" t="s">
        <v>35</v>
      </c>
      <c r="B3920" t="s">
        <v>5148</v>
      </c>
      <c r="C3920">
        <f>"1812CREDS"</f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2</v>
      </c>
      <c r="K3920">
        <v>7.65</v>
      </c>
      <c r="L3920" s="2">
        <v>4</v>
      </c>
      <c r="M3920">
        <v>0</v>
      </c>
      <c r="N3920" s="2">
        <v>0</v>
      </c>
      <c r="O3920">
        <v>-2.4</v>
      </c>
      <c r="P3920" t="s">
        <v>100</v>
      </c>
      <c r="Q3920">
        <v>0</v>
      </c>
      <c r="R3920" t="s">
        <v>145</v>
      </c>
      <c r="S3920">
        <v>0</v>
      </c>
    </row>
    <row r="3921" spans="1:19">
      <c r="A3921" t="s">
        <v>35</v>
      </c>
      <c r="B3921" t="s">
        <v>5765</v>
      </c>
      <c r="C3921">
        <f>"YP333XLM"</f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2</v>
      </c>
      <c r="K3921">
        <v>5.04</v>
      </c>
      <c r="L3921" s="2">
        <v>3</v>
      </c>
      <c r="M3921">
        <v>0</v>
      </c>
      <c r="N3921" s="2">
        <v>0</v>
      </c>
      <c r="O3921">
        <v>-2.4</v>
      </c>
      <c r="P3921" t="s">
        <v>100</v>
      </c>
      <c r="Q3921">
        <v>0</v>
      </c>
      <c r="R3921" t="s">
        <v>145</v>
      </c>
      <c r="S3921">
        <v>0</v>
      </c>
    </row>
    <row r="3922" spans="1:19">
      <c r="A3922" t="s">
        <v>35</v>
      </c>
      <c r="B3922" t="s">
        <v>5335</v>
      </c>
      <c r="C3922">
        <f>"B1093233XLC"</f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2</v>
      </c>
      <c r="K3922">
        <v>17.01</v>
      </c>
      <c r="L3922" s="2">
        <v>9</v>
      </c>
      <c r="M3922">
        <v>0</v>
      </c>
      <c r="N3922" s="2">
        <v>0</v>
      </c>
      <c r="O3922">
        <v>-2.4</v>
      </c>
      <c r="P3922" t="s">
        <v>100</v>
      </c>
      <c r="Q3922">
        <v>0</v>
      </c>
      <c r="R3922" t="s">
        <v>145</v>
      </c>
      <c r="S3922">
        <v>0</v>
      </c>
    </row>
    <row r="3923" spans="1:19">
      <c r="A3923" t="s">
        <v>35</v>
      </c>
      <c r="B3923" t="s">
        <v>7619</v>
      </c>
      <c r="C3923">
        <f>"PD50022"</f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2</v>
      </c>
      <c r="K3923">
        <v>23.2</v>
      </c>
      <c r="L3923" s="2">
        <v>12</v>
      </c>
      <c r="M3923">
        <v>0</v>
      </c>
      <c r="N3923" s="2">
        <v>0</v>
      </c>
      <c r="O3923">
        <v>-2.4</v>
      </c>
      <c r="P3923" t="s">
        <v>100</v>
      </c>
      <c r="Q3923">
        <v>0</v>
      </c>
      <c r="R3923" t="s">
        <v>145</v>
      </c>
      <c r="S3923">
        <v>0</v>
      </c>
    </row>
    <row r="3924" spans="1:19">
      <c r="A3924" t="s">
        <v>35</v>
      </c>
      <c r="B3924" t="s">
        <v>4050</v>
      </c>
      <c r="C3924">
        <f>"B1090064XLA"</f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2</v>
      </c>
      <c r="K3924">
        <v>21.582</v>
      </c>
      <c r="L3924" s="2">
        <v>11</v>
      </c>
      <c r="M3924">
        <v>0</v>
      </c>
      <c r="N3924" s="2">
        <v>0</v>
      </c>
      <c r="O3924">
        <v>-2.4</v>
      </c>
      <c r="P3924" t="s">
        <v>100</v>
      </c>
      <c r="Q3924">
        <v>0</v>
      </c>
      <c r="R3924" t="s">
        <v>145</v>
      </c>
      <c r="S3924">
        <v>0</v>
      </c>
    </row>
    <row r="3925" spans="1:19">
      <c r="A3925" t="s">
        <v>35</v>
      </c>
      <c r="B3925" t="s">
        <v>4053</v>
      </c>
      <c r="C3925">
        <f>"B1090063XLN"</f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2</v>
      </c>
      <c r="K3925">
        <v>19.872</v>
      </c>
      <c r="L3925" s="2">
        <v>10</v>
      </c>
      <c r="M3925">
        <v>0</v>
      </c>
      <c r="N3925" s="2">
        <v>0</v>
      </c>
      <c r="O3925">
        <v>-2.4</v>
      </c>
      <c r="P3925" t="s">
        <v>100</v>
      </c>
      <c r="Q3925">
        <v>0</v>
      </c>
      <c r="R3925" t="s">
        <v>145</v>
      </c>
      <c r="S3925">
        <v>0</v>
      </c>
    </row>
    <row r="3926" spans="1:19">
      <c r="A3926" t="s">
        <v>35</v>
      </c>
      <c r="B3926" t="s">
        <v>2814</v>
      </c>
      <c r="C3926">
        <f>"B11600324XLA"</f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2</v>
      </c>
      <c r="K3926">
        <v>22.77</v>
      </c>
      <c r="L3926" s="2">
        <v>11</v>
      </c>
      <c r="M3926">
        <v>0</v>
      </c>
      <c r="N3926" s="2">
        <v>0</v>
      </c>
      <c r="O3926">
        <v>-2.4</v>
      </c>
      <c r="P3926" t="s">
        <v>100</v>
      </c>
      <c r="Q3926">
        <v>0</v>
      </c>
      <c r="R3926" t="s">
        <v>145</v>
      </c>
      <c r="S3926">
        <v>0</v>
      </c>
    </row>
    <row r="3927" spans="1:19">
      <c r="A3927" t="s">
        <v>35</v>
      </c>
      <c r="B3927" t="s">
        <v>2812</v>
      </c>
      <c r="C3927">
        <f>"B11600323XLV"</f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2</v>
      </c>
      <c r="K3927">
        <v>21.582</v>
      </c>
      <c r="L3927" s="2">
        <v>11</v>
      </c>
      <c r="M3927">
        <v>0</v>
      </c>
      <c r="N3927" s="2">
        <v>0</v>
      </c>
      <c r="O3927">
        <v>-2.4</v>
      </c>
      <c r="P3927" t="s">
        <v>100</v>
      </c>
      <c r="Q3927">
        <v>0</v>
      </c>
      <c r="R3927" t="s">
        <v>145</v>
      </c>
      <c r="S3927">
        <v>0</v>
      </c>
    </row>
    <row r="3928" spans="1:19">
      <c r="A3928" t="s">
        <v>35</v>
      </c>
      <c r="B3928" t="s">
        <v>2810</v>
      </c>
      <c r="C3928">
        <f>"B11600323XLM"</f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2</v>
      </c>
      <c r="K3928">
        <v>21.582</v>
      </c>
      <c r="L3928" s="2">
        <v>11</v>
      </c>
      <c r="M3928">
        <v>0</v>
      </c>
      <c r="N3928" s="2">
        <v>0</v>
      </c>
      <c r="O3928">
        <v>-2.4</v>
      </c>
      <c r="P3928" t="s">
        <v>100</v>
      </c>
      <c r="Q3928">
        <v>0</v>
      </c>
      <c r="R3928" t="s">
        <v>145</v>
      </c>
      <c r="S3928">
        <v>0</v>
      </c>
    </row>
    <row r="3929" spans="1:19">
      <c r="A3929" t="s">
        <v>35</v>
      </c>
      <c r="B3929" t="s">
        <v>2806</v>
      </c>
      <c r="C3929">
        <f>"B1160032XLV"</f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2</v>
      </c>
      <c r="K3929">
        <v>19.872</v>
      </c>
      <c r="L3929" s="2">
        <v>10</v>
      </c>
      <c r="M3929">
        <v>0</v>
      </c>
      <c r="N3929" s="2">
        <v>0</v>
      </c>
      <c r="O3929">
        <v>-2.4</v>
      </c>
      <c r="P3929" t="s">
        <v>100</v>
      </c>
      <c r="Q3929">
        <v>0</v>
      </c>
      <c r="R3929" t="s">
        <v>145</v>
      </c>
      <c r="S3929">
        <v>0</v>
      </c>
    </row>
    <row r="3930" spans="1:19">
      <c r="A3930" t="s">
        <v>35</v>
      </c>
      <c r="B3930" t="s">
        <v>9497</v>
      </c>
      <c r="C3930">
        <f>"PD20016L"</f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2</v>
      </c>
      <c r="K3930">
        <v>10.476</v>
      </c>
      <c r="L3930" s="2">
        <v>5</v>
      </c>
      <c r="M3930">
        <v>0</v>
      </c>
      <c r="N3930" s="2">
        <v>0</v>
      </c>
      <c r="O3930">
        <v>-2.4</v>
      </c>
      <c r="P3930" t="s">
        <v>100</v>
      </c>
      <c r="Q3930">
        <v>0</v>
      </c>
      <c r="R3930" t="s">
        <v>145</v>
      </c>
      <c r="S3930">
        <v>0</v>
      </c>
    </row>
    <row r="3931" spans="1:19">
      <c r="A3931" t="s">
        <v>35</v>
      </c>
      <c r="B3931" t="s">
        <v>4054</v>
      </c>
      <c r="C3931">
        <f>"C1183543XLC"</f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2</v>
      </c>
      <c r="K3931">
        <v>19.872</v>
      </c>
      <c r="L3931" s="2">
        <v>10</v>
      </c>
      <c r="M3931">
        <v>0</v>
      </c>
      <c r="N3931" s="2">
        <v>0</v>
      </c>
      <c r="O3931">
        <v>-2.4</v>
      </c>
      <c r="P3931" t="s">
        <v>100</v>
      </c>
      <c r="Q3931">
        <v>0</v>
      </c>
      <c r="R3931" t="s">
        <v>145</v>
      </c>
      <c r="S3931">
        <v>0</v>
      </c>
    </row>
    <row r="3932" spans="1:19">
      <c r="A3932" t="s">
        <v>35</v>
      </c>
      <c r="B3932" t="s">
        <v>4028</v>
      </c>
      <c r="C3932">
        <f>"B1090062XLV"</f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2</v>
      </c>
      <c r="K3932">
        <v>17.82</v>
      </c>
      <c r="L3932" s="2">
        <v>9</v>
      </c>
      <c r="M3932">
        <v>0</v>
      </c>
      <c r="N3932" s="2">
        <v>0</v>
      </c>
      <c r="O3932">
        <v>-2.4</v>
      </c>
      <c r="P3932" t="s">
        <v>100</v>
      </c>
      <c r="Q3932">
        <v>0</v>
      </c>
      <c r="R3932" t="s">
        <v>145</v>
      </c>
      <c r="S3932">
        <v>0</v>
      </c>
    </row>
    <row r="3933" spans="1:19">
      <c r="A3933" t="s">
        <v>35</v>
      </c>
      <c r="B3933" t="s">
        <v>4097</v>
      </c>
      <c r="C3933">
        <f>"6836XLGC"</f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2</v>
      </c>
      <c r="K3933">
        <v>20</v>
      </c>
      <c r="L3933" s="2">
        <v>10</v>
      </c>
      <c r="M3933">
        <v>0</v>
      </c>
      <c r="N3933" s="2">
        <v>0</v>
      </c>
      <c r="O3933">
        <v>-2.4</v>
      </c>
      <c r="P3933" t="s">
        <v>100</v>
      </c>
      <c r="Q3933">
        <v>0</v>
      </c>
      <c r="R3933" t="s">
        <v>145</v>
      </c>
      <c r="S3933">
        <v>0</v>
      </c>
    </row>
    <row r="3934" spans="1:19">
      <c r="A3934" t="s">
        <v>35</v>
      </c>
      <c r="B3934" t="s">
        <v>4003</v>
      </c>
      <c r="C3934">
        <f>"C118354MV"</f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2</v>
      </c>
      <c r="K3934">
        <v>12.51</v>
      </c>
      <c r="L3934" s="2">
        <v>6</v>
      </c>
      <c r="M3934">
        <v>0</v>
      </c>
      <c r="N3934" s="2">
        <v>0</v>
      </c>
      <c r="O3934">
        <v>-2.4</v>
      </c>
      <c r="P3934" t="s">
        <v>100</v>
      </c>
      <c r="Q3934">
        <v>0</v>
      </c>
      <c r="R3934" t="s">
        <v>145</v>
      </c>
      <c r="S3934">
        <v>0</v>
      </c>
    </row>
    <row r="3935" spans="1:19">
      <c r="A3935" t="s">
        <v>35</v>
      </c>
      <c r="B3935" t="s">
        <v>4037</v>
      </c>
      <c r="C3935">
        <f>"B109006MA"</f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2</v>
      </c>
      <c r="K3935">
        <v>12.51</v>
      </c>
      <c r="L3935" s="2">
        <v>6</v>
      </c>
      <c r="M3935">
        <v>0</v>
      </c>
      <c r="N3935" s="2">
        <v>0</v>
      </c>
      <c r="O3935">
        <v>-2.4</v>
      </c>
      <c r="P3935" t="s">
        <v>100</v>
      </c>
      <c r="Q3935">
        <v>0</v>
      </c>
      <c r="R3935" t="s">
        <v>145</v>
      </c>
      <c r="S3935">
        <v>0</v>
      </c>
    </row>
    <row r="3936" spans="1:19">
      <c r="A3936" t="s">
        <v>35</v>
      </c>
      <c r="B3936" t="s">
        <v>5207</v>
      </c>
      <c r="C3936">
        <f>"1812LMSILVER"</f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2</v>
      </c>
      <c r="K3936">
        <v>7.002</v>
      </c>
      <c r="L3936" s="2">
        <v>4</v>
      </c>
      <c r="M3936">
        <v>0</v>
      </c>
      <c r="N3936" s="2">
        <v>0</v>
      </c>
      <c r="O3936">
        <v>-2.4</v>
      </c>
      <c r="P3936" t="s">
        <v>100</v>
      </c>
      <c r="Q3936">
        <v>0</v>
      </c>
      <c r="R3936" t="s">
        <v>145</v>
      </c>
      <c r="S3936">
        <v>0</v>
      </c>
    </row>
    <row r="3937" spans="1:19">
      <c r="A3937" t="s">
        <v>35</v>
      </c>
      <c r="B3937" t="s">
        <v>4173</v>
      </c>
      <c r="C3937">
        <f>"B116003LV"</f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2</v>
      </c>
      <c r="K3937">
        <v>16.92</v>
      </c>
      <c r="L3937" s="2">
        <v>8</v>
      </c>
      <c r="M3937">
        <v>0</v>
      </c>
      <c r="N3937" s="2">
        <v>0</v>
      </c>
      <c r="O3937">
        <v>-2.4</v>
      </c>
      <c r="P3937" t="s">
        <v>100</v>
      </c>
      <c r="Q3937">
        <v>0</v>
      </c>
      <c r="R3937" t="s">
        <v>145</v>
      </c>
      <c r="S3937">
        <v>0</v>
      </c>
    </row>
    <row r="3938" spans="1:19">
      <c r="A3938" t="s">
        <v>35</v>
      </c>
      <c r="B3938" t="s">
        <v>4175</v>
      </c>
      <c r="C3938">
        <f>"B116003LA"</f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2</v>
      </c>
      <c r="K3938">
        <v>16.92</v>
      </c>
      <c r="L3938" s="2">
        <v>8</v>
      </c>
      <c r="M3938">
        <v>0</v>
      </c>
      <c r="N3938" s="2">
        <v>0</v>
      </c>
      <c r="O3938">
        <v>-2.4</v>
      </c>
      <c r="P3938" t="s">
        <v>100</v>
      </c>
      <c r="Q3938">
        <v>0</v>
      </c>
      <c r="R3938" t="s">
        <v>145</v>
      </c>
      <c r="S3938">
        <v>0</v>
      </c>
    </row>
    <row r="3939" spans="1:19">
      <c r="A3939" t="s">
        <v>35</v>
      </c>
      <c r="B3939" t="s">
        <v>4176</v>
      </c>
      <c r="C3939">
        <f>"B11600324XLV"</f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2</v>
      </c>
      <c r="K3939">
        <v>22.77</v>
      </c>
      <c r="L3939" s="2">
        <v>11</v>
      </c>
      <c r="M3939">
        <v>0</v>
      </c>
      <c r="N3939" s="2">
        <v>0</v>
      </c>
      <c r="O3939">
        <v>-2.4</v>
      </c>
      <c r="P3939" t="s">
        <v>100</v>
      </c>
      <c r="Q3939">
        <v>0</v>
      </c>
      <c r="R3939" t="s">
        <v>145</v>
      </c>
      <c r="S3939">
        <v>0</v>
      </c>
    </row>
    <row r="3940" spans="1:19">
      <c r="A3940" t="s">
        <v>35</v>
      </c>
      <c r="B3940" t="s">
        <v>7958</v>
      </c>
      <c r="C3940">
        <f>"JW2610ROS"</f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2</v>
      </c>
      <c r="K3940">
        <v>2.16</v>
      </c>
      <c r="L3940" s="2">
        <v>1</v>
      </c>
      <c r="M3940">
        <v>0</v>
      </c>
      <c r="N3940" s="2">
        <v>0</v>
      </c>
      <c r="O3940">
        <v>-2.4</v>
      </c>
      <c r="P3940" t="s">
        <v>100</v>
      </c>
      <c r="Q3940">
        <v>0</v>
      </c>
      <c r="R3940" t="s">
        <v>145</v>
      </c>
      <c r="S3940">
        <v>0</v>
      </c>
    </row>
    <row r="3941" spans="1:19">
      <c r="A3941" t="s">
        <v>35</v>
      </c>
      <c r="B3941" t="s">
        <v>6752</v>
      </c>
      <c r="C3941">
        <f>"JW2609ROS"</f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2</v>
      </c>
      <c r="K3941">
        <v>1.782</v>
      </c>
      <c r="L3941" s="2">
        <v>1</v>
      </c>
      <c r="M3941">
        <v>0</v>
      </c>
      <c r="N3941" s="2">
        <v>0</v>
      </c>
      <c r="O3941">
        <v>-2.4</v>
      </c>
      <c r="P3941" t="s">
        <v>100</v>
      </c>
      <c r="Q3941">
        <v>0</v>
      </c>
      <c r="R3941" t="s">
        <v>145</v>
      </c>
      <c r="S3941">
        <v>0</v>
      </c>
    </row>
    <row r="3942" spans="1:19">
      <c r="A3942" t="s">
        <v>35</v>
      </c>
      <c r="B3942" t="s">
        <v>7966</v>
      </c>
      <c r="C3942">
        <f>"JW2608VE"</f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2</v>
      </c>
      <c r="K3942">
        <v>1.62</v>
      </c>
      <c r="L3942" s="2">
        <v>1</v>
      </c>
      <c r="M3942">
        <v>0</v>
      </c>
      <c r="N3942" s="2">
        <v>0</v>
      </c>
      <c r="O3942">
        <v>-2.4</v>
      </c>
      <c r="P3942" t="s">
        <v>100</v>
      </c>
      <c r="Q3942">
        <v>0</v>
      </c>
      <c r="R3942" t="s">
        <v>145</v>
      </c>
      <c r="S3942">
        <v>0</v>
      </c>
    </row>
    <row r="3943" spans="1:19">
      <c r="A3943" t="s">
        <v>35</v>
      </c>
      <c r="B3943" t="s">
        <v>7968</v>
      </c>
      <c r="C3943">
        <f>"JW2608MO"</f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2</v>
      </c>
      <c r="K3943">
        <v>1.62</v>
      </c>
      <c r="L3943" s="2">
        <v>1</v>
      </c>
      <c r="M3943">
        <v>0</v>
      </c>
      <c r="N3943" s="2">
        <v>0</v>
      </c>
      <c r="O3943">
        <v>-2.4</v>
      </c>
      <c r="P3943" t="s">
        <v>100</v>
      </c>
      <c r="Q3943">
        <v>0</v>
      </c>
      <c r="R3943" t="s">
        <v>145</v>
      </c>
      <c r="S3943">
        <v>0</v>
      </c>
    </row>
    <row r="3944" spans="1:19">
      <c r="A3944" t="s">
        <v>35</v>
      </c>
      <c r="B3944" t="s">
        <v>7042</v>
      </c>
      <c r="C3944">
        <f>"MH079ROS"</f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2</v>
      </c>
      <c r="K3944">
        <v>17.82</v>
      </c>
      <c r="L3944" s="2">
        <v>9</v>
      </c>
      <c r="M3944">
        <v>0</v>
      </c>
      <c r="N3944" s="2">
        <v>0</v>
      </c>
      <c r="O3944">
        <v>-2.4</v>
      </c>
      <c r="P3944" t="s">
        <v>100</v>
      </c>
      <c r="Q3944">
        <v>0</v>
      </c>
      <c r="R3944" t="s">
        <v>145</v>
      </c>
      <c r="S3944">
        <v>0</v>
      </c>
    </row>
    <row r="3945" spans="1:19">
      <c r="A3945" t="s">
        <v>35</v>
      </c>
      <c r="B3945" t="s">
        <v>5818</v>
      </c>
      <c r="C3945">
        <f>"B1150442XLG"</f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2</v>
      </c>
      <c r="K3945">
        <v>11.25</v>
      </c>
      <c r="L3945" s="2">
        <v>6</v>
      </c>
      <c r="M3945">
        <v>0</v>
      </c>
      <c r="N3945" s="2">
        <v>0</v>
      </c>
      <c r="O3945">
        <v>-2.4</v>
      </c>
      <c r="P3945" t="s">
        <v>100</v>
      </c>
      <c r="Q3945">
        <v>0</v>
      </c>
      <c r="R3945" t="s">
        <v>145</v>
      </c>
      <c r="S3945">
        <v>0</v>
      </c>
    </row>
    <row r="3946" spans="1:19">
      <c r="A3946" t="s">
        <v>35</v>
      </c>
      <c r="B3946" t="s">
        <v>3215</v>
      </c>
      <c r="C3946">
        <f>"YP193LR"</f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2</v>
      </c>
      <c r="K3946">
        <v>7.182</v>
      </c>
      <c r="L3946" s="2">
        <v>4</v>
      </c>
      <c r="M3946">
        <v>0</v>
      </c>
      <c r="N3946" s="2">
        <v>0</v>
      </c>
      <c r="O3946">
        <v>-2.4</v>
      </c>
      <c r="P3946" t="s">
        <v>100</v>
      </c>
      <c r="Q3946">
        <v>0</v>
      </c>
      <c r="R3946" t="s">
        <v>145</v>
      </c>
      <c r="S3946">
        <v>0</v>
      </c>
    </row>
    <row r="3947" spans="1:19">
      <c r="A3947" t="s">
        <v>35</v>
      </c>
      <c r="B3947" t="s">
        <v>2580</v>
      </c>
      <c r="C3947">
        <f>"COO2834S"</f>
        <v>0</v>
      </c>
      <c r="D3947">
        <v>1</v>
      </c>
      <c r="E3947">
        <v>0</v>
      </c>
      <c r="F3947">
        <v>0</v>
      </c>
      <c r="G3947">
        <v>0</v>
      </c>
      <c r="H3947">
        <v>1</v>
      </c>
      <c r="I3947">
        <v>0</v>
      </c>
      <c r="J3947">
        <v>2</v>
      </c>
      <c r="K3947">
        <v>17.82</v>
      </c>
      <c r="L3947" s="2">
        <v>9</v>
      </c>
      <c r="M3947">
        <v>0</v>
      </c>
      <c r="N3947" s="2">
        <v>0</v>
      </c>
      <c r="O3947">
        <v>-2.4</v>
      </c>
      <c r="P3947" t="s">
        <v>100</v>
      </c>
      <c r="Q3947">
        <v>0</v>
      </c>
      <c r="R3947" t="s">
        <v>145</v>
      </c>
      <c r="S3947">
        <v>0</v>
      </c>
    </row>
    <row r="3948" spans="1:19">
      <c r="A3948" t="s">
        <v>35</v>
      </c>
      <c r="B3948" t="s">
        <v>2857</v>
      </c>
      <c r="C3948">
        <f>"B116003XLV"</f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2</v>
      </c>
      <c r="K3948">
        <v>18.45</v>
      </c>
      <c r="L3948" s="2">
        <v>9</v>
      </c>
      <c r="M3948">
        <v>0</v>
      </c>
      <c r="N3948" s="2">
        <v>0</v>
      </c>
      <c r="O3948">
        <v>-2.4</v>
      </c>
      <c r="P3948" t="s">
        <v>100</v>
      </c>
      <c r="Q3948">
        <v>0</v>
      </c>
      <c r="R3948" t="s">
        <v>145</v>
      </c>
      <c r="S3948">
        <v>0</v>
      </c>
    </row>
    <row r="3949" spans="1:19">
      <c r="A3949" t="s">
        <v>35</v>
      </c>
      <c r="B3949" t="s">
        <v>5151</v>
      </c>
      <c r="C3949">
        <f>"1812CBLUES"</f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2</v>
      </c>
      <c r="K3949">
        <v>5.76</v>
      </c>
      <c r="L3949" s="2">
        <v>3</v>
      </c>
      <c r="M3949">
        <v>0</v>
      </c>
      <c r="N3949" s="2">
        <v>0</v>
      </c>
      <c r="O3949">
        <v>-2.4</v>
      </c>
      <c r="P3949" t="s">
        <v>100</v>
      </c>
      <c r="Q3949">
        <v>0</v>
      </c>
      <c r="R3949" t="s">
        <v>145</v>
      </c>
      <c r="S3949">
        <v>0</v>
      </c>
    </row>
    <row r="3950" spans="1:19">
      <c r="A3950" t="s">
        <v>35</v>
      </c>
      <c r="B3950" t="s">
        <v>5154</v>
      </c>
      <c r="C3950">
        <f>"LV09092TYXL"</f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2</v>
      </c>
      <c r="K3950">
        <v>8.9</v>
      </c>
      <c r="L3950" s="2">
        <v>4</v>
      </c>
      <c r="M3950">
        <v>0</v>
      </c>
      <c r="N3950" s="2">
        <v>0</v>
      </c>
      <c r="O3950">
        <v>-2.4</v>
      </c>
      <c r="P3950" t="s">
        <v>100</v>
      </c>
      <c r="Q3950">
        <v>0</v>
      </c>
      <c r="R3950" t="s">
        <v>145</v>
      </c>
      <c r="S3950">
        <v>0</v>
      </c>
    </row>
    <row r="3951" spans="1:19">
      <c r="A3951" t="s">
        <v>35</v>
      </c>
      <c r="B3951" t="s">
        <v>5158</v>
      </c>
      <c r="C3951">
        <f>"LV09092TPWXL"</f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2</v>
      </c>
      <c r="K3951">
        <v>8.906000000000001</v>
      </c>
      <c r="L3951" s="2">
        <v>4</v>
      </c>
      <c r="M3951">
        <v>0</v>
      </c>
      <c r="N3951" s="2">
        <v>0</v>
      </c>
      <c r="O3951">
        <v>-2.4</v>
      </c>
      <c r="P3951" t="s">
        <v>100</v>
      </c>
      <c r="Q3951">
        <v>0</v>
      </c>
      <c r="R3951" t="s">
        <v>145</v>
      </c>
      <c r="S3951">
        <v>0</v>
      </c>
    </row>
    <row r="3952" spans="1:19">
      <c r="A3952" t="s">
        <v>35</v>
      </c>
      <c r="B3952" t="s">
        <v>2727</v>
      </c>
      <c r="C3952">
        <f>"YT005"</f>
        <v>0</v>
      </c>
      <c r="D3952">
        <v>0</v>
      </c>
      <c r="E3952">
        <v>0</v>
      </c>
      <c r="F3952">
        <v>1</v>
      </c>
      <c r="G3952">
        <v>0</v>
      </c>
      <c r="H3952">
        <v>1</v>
      </c>
      <c r="I3952">
        <v>0</v>
      </c>
      <c r="J3952">
        <v>2</v>
      </c>
      <c r="K3952">
        <v>24.3</v>
      </c>
      <c r="L3952" s="2">
        <v>12</v>
      </c>
      <c r="M3952">
        <v>0</v>
      </c>
      <c r="N3952" s="2">
        <v>0</v>
      </c>
      <c r="O3952">
        <v>-2.4</v>
      </c>
      <c r="P3952" t="s">
        <v>100</v>
      </c>
      <c r="Q3952">
        <v>0</v>
      </c>
      <c r="R3952" t="s">
        <v>145</v>
      </c>
      <c r="S3952">
        <v>0</v>
      </c>
    </row>
    <row r="3953" spans="1:19">
      <c r="A3953" t="s">
        <v>35</v>
      </c>
      <c r="B3953" t="s">
        <v>8356</v>
      </c>
      <c r="C3953">
        <f>"ATLAS20B"</f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2</v>
      </c>
      <c r="K3953">
        <v>31.5</v>
      </c>
      <c r="L3953" s="2">
        <v>16</v>
      </c>
      <c r="M3953">
        <v>0</v>
      </c>
      <c r="N3953" s="2">
        <v>0</v>
      </c>
      <c r="O3953">
        <v>-2.4</v>
      </c>
      <c r="P3953" t="s">
        <v>100</v>
      </c>
      <c r="Q3953">
        <v>0</v>
      </c>
      <c r="R3953" t="s">
        <v>145</v>
      </c>
      <c r="S3953">
        <v>0</v>
      </c>
    </row>
    <row r="3954" spans="1:19">
      <c r="A3954" t="s">
        <v>35</v>
      </c>
      <c r="B3954" t="s">
        <v>4876</v>
      </c>
      <c r="C3954">
        <f>"WD904VE"</f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2</v>
      </c>
      <c r="K3954">
        <v>9.18</v>
      </c>
      <c r="L3954" s="2">
        <v>5</v>
      </c>
      <c r="M3954">
        <v>0</v>
      </c>
      <c r="N3954" s="2">
        <v>0</v>
      </c>
      <c r="O3954">
        <v>-2.4</v>
      </c>
      <c r="P3954" t="s">
        <v>100</v>
      </c>
      <c r="Q3954">
        <v>0</v>
      </c>
      <c r="R3954" t="s">
        <v>145</v>
      </c>
      <c r="S3954">
        <v>0</v>
      </c>
    </row>
    <row r="3955" spans="1:19">
      <c r="A3955" t="s">
        <v>35</v>
      </c>
      <c r="B3955" t="s">
        <v>7987</v>
      </c>
      <c r="C3955">
        <f>"FEP80P"</f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2</v>
      </c>
      <c r="K3955">
        <v>28.62</v>
      </c>
      <c r="L3955" s="2">
        <v>14</v>
      </c>
      <c r="M3955">
        <v>0</v>
      </c>
      <c r="N3955" s="2">
        <v>0</v>
      </c>
      <c r="O3955">
        <v>-2.4</v>
      </c>
      <c r="P3955" t="s">
        <v>100</v>
      </c>
      <c r="Q3955">
        <v>0</v>
      </c>
      <c r="R3955" t="s">
        <v>145</v>
      </c>
      <c r="S3955">
        <v>0</v>
      </c>
    </row>
    <row r="3956" spans="1:19">
      <c r="A3956" t="s">
        <v>35</v>
      </c>
      <c r="B3956" t="s">
        <v>8019</v>
      </c>
      <c r="C3956">
        <f>"FEP120RO"</f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2</v>
      </c>
      <c r="K3956">
        <v>48.96</v>
      </c>
      <c r="L3956" s="2">
        <v>24</v>
      </c>
      <c r="M3956">
        <v>0</v>
      </c>
      <c r="N3956" s="2">
        <v>0</v>
      </c>
      <c r="O3956">
        <v>-2.4</v>
      </c>
      <c r="P3956" t="s">
        <v>100</v>
      </c>
      <c r="Q3956">
        <v>0</v>
      </c>
      <c r="R3956" t="s">
        <v>145</v>
      </c>
      <c r="S3956">
        <v>0</v>
      </c>
    </row>
    <row r="3957" spans="1:19">
      <c r="A3957" t="s">
        <v>35</v>
      </c>
      <c r="B3957" t="s">
        <v>4857</v>
      </c>
      <c r="C3957">
        <f>"1761SROJ"</f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2</v>
      </c>
      <c r="K3957">
        <v>0</v>
      </c>
      <c r="L3957" s="2">
        <v>0</v>
      </c>
      <c r="M3957">
        <v>0</v>
      </c>
      <c r="N3957" s="2">
        <v>0</v>
      </c>
      <c r="O3957">
        <v>-2.4</v>
      </c>
      <c r="P3957" t="s">
        <v>100</v>
      </c>
      <c r="Q3957">
        <v>0</v>
      </c>
      <c r="R3957" t="s">
        <v>145</v>
      </c>
      <c r="S3957">
        <v>0</v>
      </c>
    </row>
    <row r="3958" spans="1:19">
      <c r="A3958" t="s">
        <v>35</v>
      </c>
      <c r="B3958" t="s">
        <v>4951</v>
      </c>
      <c r="C3958">
        <f>"1761MROJ"</f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2</v>
      </c>
      <c r="K3958">
        <v>0</v>
      </c>
      <c r="L3958" s="2">
        <v>0</v>
      </c>
      <c r="M3958">
        <v>0</v>
      </c>
      <c r="N3958" s="2">
        <v>0</v>
      </c>
      <c r="O3958">
        <v>-2.4</v>
      </c>
      <c r="P3958" t="s">
        <v>100</v>
      </c>
      <c r="Q3958">
        <v>0</v>
      </c>
      <c r="R3958" t="s">
        <v>145</v>
      </c>
      <c r="S3958">
        <v>0</v>
      </c>
    </row>
    <row r="3959" spans="1:19">
      <c r="A3959" t="s">
        <v>35</v>
      </c>
      <c r="B3959" t="s">
        <v>2823</v>
      </c>
      <c r="C3959">
        <f>"B116003XSM"</f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2</v>
      </c>
      <c r="K3959">
        <v>15.3</v>
      </c>
      <c r="L3959" s="2">
        <v>8</v>
      </c>
      <c r="M3959">
        <v>0</v>
      </c>
      <c r="N3959" s="2">
        <v>0</v>
      </c>
      <c r="O3959">
        <v>-2.4</v>
      </c>
      <c r="P3959" t="s">
        <v>100</v>
      </c>
      <c r="Q3959">
        <v>0</v>
      </c>
      <c r="R3959" t="s">
        <v>145</v>
      </c>
      <c r="S3959">
        <v>0</v>
      </c>
    </row>
    <row r="3960" spans="1:19">
      <c r="A3960" t="s">
        <v>35</v>
      </c>
      <c r="B3960" t="s">
        <v>2820</v>
      </c>
      <c r="C3960">
        <f>"B116003XSA"</f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2</v>
      </c>
      <c r="K3960">
        <v>15.3</v>
      </c>
      <c r="L3960" s="2">
        <v>8</v>
      </c>
      <c r="M3960">
        <v>0</v>
      </c>
      <c r="N3960" s="2">
        <v>0</v>
      </c>
      <c r="O3960">
        <v>-2.4</v>
      </c>
      <c r="P3960" t="s">
        <v>100</v>
      </c>
      <c r="Q3960">
        <v>0</v>
      </c>
      <c r="R3960" t="s">
        <v>145</v>
      </c>
      <c r="S3960">
        <v>0</v>
      </c>
    </row>
    <row r="3961" spans="1:19">
      <c r="A3961" t="s">
        <v>35</v>
      </c>
      <c r="B3961" t="s">
        <v>2373</v>
      </c>
      <c r="C3961">
        <f>"1055MB"</f>
        <v>0</v>
      </c>
      <c r="D3961">
        <v>0</v>
      </c>
      <c r="E3961">
        <v>0</v>
      </c>
      <c r="F3961">
        <v>1</v>
      </c>
      <c r="G3961">
        <v>0</v>
      </c>
      <c r="H3961">
        <v>1</v>
      </c>
      <c r="I3961">
        <v>0</v>
      </c>
      <c r="J3961">
        <v>2</v>
      </c>
      <c r="K3961">
        <v>28.62</v>
      </c>
      <c r="L3961" s="2">
        <v>14</v>
      </c>
      <c r="M3961">
        <v>0</v>
      </c>
      <c r="N3961" s="2">
        <v>0</v>
      </c>
      <c r="O3961">
        <v>-2.4</v>
      </c>
      <c r="P3961" t="s">
        <v>100</v>
      </c>
      <c r="Q3961">
        <v>0</v>
      </c>
      <c r="R3961" t="s">
        <v>145</v>
      </c>
      <c r="S3961">
        <v>0</v>
      </c>
    </row>
    <row r="3962" spans="1:19">
      <c r="A3962" t="s">
        <v>35</v>
      </c>
      <c r="B3962" t="s">
        <v>6517</v>
      </c>
      <c r="C3962">
        <f>"XQ22XLROS"</f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2</v>
      </c>
      <c r="K3962">
        <v>7.182</v>
      </c>
      <c r="L3962" s="2">
        <v>4</v>
      </c>
      <c r="M3962">
        <v>0</v>
      </c>
      <c r="N3962" s="2">
        <v>0</v>
      </c>
      <c r="O3962">
        <v>-2.4</v>
      </c>
      <c r="P3962" t="s">
        <v>100</v>
      </c>
      <c r="Q3962">
        <v>0</v>
      </c>
      <c r="R3962" t="s">
        <v>145</v>
      </c>
      <c r="S3962">
        <v>0</v>
      </c>
    </row>
    <row r="3963" spans="1:19">
      <c r="A3963" t="s">
        <v>35</v>
      </c>
      <c r="B3963" t="s">
        <v>10189</v>
      </c>
      <c r="C3963">
        <f>"XB09071"</f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2</v>
      </c>
      <c r="K3963">
        <v>10.71</v>
      </c>
      <c r="L3963" s="2">
        <v>5</v>
      </c>
      <c r="M3963">
        <v>0</v>
      </c>
      <c r="N3963" s="2">
        <v>0</v>
      </c>
      <c r="O3963">
        <v>-2.4</v>
      </c>
      <c r="P3963" t="s">
        <v>100</v>
      </c>
      <c r="Q3963">
        <v>0</v>
      </c>
      <c r="R3963" t="s">
        <v>145</v>
      </c>
      <c r="S3963">
        <v>0</v>
      </c>
    </row>
    <row r="3964" spans="1:19">
      <c r="A3964" t="s">
        <v>35</v>
      </c>
      <c r="B3964" t="s">
        <v>10102</v>
      </c>
      <c r="C3964">
        <f>"XB1813RXL"</f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2</v>
      </c>
      <c r="K3964">
        <v>14.589</v>
      </c>
      <c r="L3964" s="2">
        <v>7</v>
      </c>
      <c r="M3964">
        <v>0</v>
      </c>
      <c r="N3964" s="2">
        <v>0</v>
      </c>
      <c r="O3964">
        <v>-2.4</v>
      </c>
      <c r="P3964" t="s">
        <v>100</v>
      </c>
      <c r="Q3964">
        <v>0</v>
      </c>
      <c r="R3964" t="s">
        <v>145</v>
      </c>
      <c r="S3964">
        <v>0</v>
      </c>
    </row>
    <row r="3965" spans="1:19">
      <c r="A3965" t="s">
        <v>35</v>
      </c>
      <c r="B3965" t="s">
        <v>2578</v>
      </c>
      <c r="C3965">
        <f>"XB1813NXL"</f>
        <v>0</v>
      </c>
      <c r="D3965">
        <v>1</v>
      </c>
      <c r="E3965">
        <v>0</v>
      </c>
      <c r="F3965">
        <v>0</v>
      </c>
      <c r="G3965">
        <v>0</v>
      </c>
      <c r="H3965">
        <v>1</v>
      </c>
      <c r="I3965">
        <v>0</v>
      </c>
      <c r="J3965">
        <v>2</v>
      </c>
      <c r="K3965">
        <v>14.589</v>
      </c>
      <c r="L3965" s="2">
        <v>7</v>
      </c>
      <c r="M3965">
        <v>0</v>
      </c>
      <c r="N3965" s="2">
        <v>0</v>
      </c>
      <c r="O3965">
        <v>-2.4</v>
      </c>
      <c r="P3965" t="s">
        <v>100</v>
      </c>
      <c r="Q3965">
        <v>0</v>
      </c>
      <c r="R3965" t="s">
        <v>145</v>
      </c>
      <c r="S3965">
        <v>0</v>
      </c>
    </row>
    <row r="3966" spans="1:19">
      <c r="A3966" t="s">
        <v>35</v>
      </c>
      <c r="B3966" t="s">
        <v>10107</v>
      </c>
      <c r="C3966">
        <f>"XB1813NL"</f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2</v>
      </c>
      <c r="K3966">
        <v>16.65</v>
      </c>
      <c r="L3966" s="2">
        <v>8</v>
      </c>
      <c r="M3966">
        <v>0</v>
      </c>
      <c r="N3966" s="2">
        <v>0</v>
      </c>
      <c r="O3966">
        <v>-2.4</v>
      </c>
      <c r="P3966" t="s">
        <v>100</v>
      </c>
      <c r="Q3966">
        <v>0</v>
      </c>
      <c r="R3966" t="s">
        <v>145</v>
      </c>
      <c r="S3966">
        <v>0</v>
      </c>
    </row>
    <row r="3967" spans="1:19">
      <c r="A3967" t="s">
        <v>35</v>
      </c>
      <c r="B3967" t="s">
        <v>5339</v>
      </c>
      <c r="C3967">
        <f>"B1093232XLA"</f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2</v>
      </c>
      <c r="K3967">
        <v>15.48</v>
      </c>
      <c r="L3967" s="2">
        <v>8</v>
      </c>
      <c r="M3967">
        <v>0</v>
      </c>
      <c r="N3967" s="2">
        <v>0</v>
      </c>
      <c r="O3967">
        <v>-2.4</v>
      </c>
      <c r="P3967" t="s">
        <v>100</v>
      </c>
      <c r="Q3967">
        <v>0</v>
      </c>
      <c r="R3967" t="s">
        <v>145</v>
      </c>
      <c r="S3967">
        <v>0</v>
      </c>
    </row>
    <row r="3968" spans="1:19">
      <c r="A3968" t="s">
        <v>35</v>
      </c>
      <c r="B3968" t="s">
        <v>4194</v>
      </c>
      <c r="C3968">
        <f>"54B123058XL"</f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2</v>
      </c>
      <c r="K3968">
        <v>18.81</v>
      </c>
      <c r="L3968" s="2">
        <v>9</v>
      </c>
      <c r="M3968">
        <v>0</v>
      </c>
      <c r="N3968" s="2">
        <v>0</v>
      </c>
      <c r="O3968">
        <v>-2.4</v>
      </c>
      <c r="P3968" t="s">
        <v>100</v>
      </c>
      <c r="Q3968">
        <v>0</v>
      </c>
      <c r="R3968" t="s">
        <v>145</v>
      </c>
      <c r="S3968">
        <v>0</v>
      </c>
    </row>
    <row r="3969" spans="1:19">
      <c r="A3969" t="s">
        <v>35</v>
      </c>
      <c r="B3969" t="s">
        <v>4233</v>
      </c>
      <c r="C3969">
        <f>"B109048XSV"</f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2</v>
      </c>
      <c r="K3969">
        <v>10.62</v>
      </c>
      <c r="L3969" s="2">
        <v>5</v>
      </c>
      <c r="M3969">
        <v>0</v>
      </c>
      <c r="N3969" s="2">
        <v>0</v>
      </c>
      <c r="O3969">
        <v>-2.4</v>
      </c>
      <c r="P3969" t="s">
        <v>100</v>
      </c>
      <c r="Q3969">
        <v>0</v>
      </c>
      <c r="R3969" t="s">
        <v>145</v>
      </c>
      <c r="S3969">
        <v>0</v>
      </c>
    </row>
    <row r="3970" spans="1:19">
      <c r="A3970" t="s">
        <v>35</v>
      </c>
      <c r="B3970" t="s">
        <v>5128</v>
      </c>
      <c r="C3970">
        <f>"XB09072NE"</f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2</v>
      </c>
      <c r="K3970">
        <v>10.71</v>
      </c>
      <c r="L3970" s="2">
        <v>5</v>
      </c>
      <c r="M3970">
        <v>0</v>
      </c>
      <c r="N3970" s="2">
        <v>0</v>
      </c>
      <c r="O3970">
        <v>-2.4</v>
      </c>
      <c r="P3970" t="s">
        <v>100</v>
      </c>
      <c r="Q3970">
        <v>0</v>
      </c>
      <c r="R3970" t="s">
        <v>145</v>
      </c>
      <c r="S3970">
        <v>0</v>
      </c>
    </row>
    <row r="3971" spans="1:19">
      <c r="A3971" t="s">
        <v>35</v>
      </c>
      <c r="B3971" t="s">
        <v>7628</v>
      </c>
      <c r="C3971">
        <f>"XB09072AZ"</f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2</v>
      </c>
      <c r="K3971">
        <v>10.71</v>
      </c>
      <c r="L3971" s="2">
        <v>5</v>
      </c>
      <c r="M3971">
        <v>0</v>
      </c>
      <c r="N3971" s="2">
        <v>0</v>
      </c>
      <c r="O3971">
        <v>-2.4</v>
      </c>
      <c r="P3971" t="s">
        <v>100</v>
      </c>
      <c r="Q3971">
        <v>0</v>
      </c>
      <c r="R3971" t="s">
        <v>145</v>
      </c>
      <c r="S3971">
        <v>0</v>
      </c>
    </row>
    <row r="3972" spans="1:19">
      <c r="A3972" t="s">
        <v>35</v>
      </c>
      <c r="B3972" t="s">
        <v>2709</v>
      </c>
      <c r="C3972">
        <f>"XB09071AZ"</f>
        <v>0</v>
      </c>
      <c r="D3972">
        <v>0</v>
      </c>
      <c r="E3972">
        <v>0</v>
      </c>
      <c r="F3972">
        <v>1</v>
      </c>
      <c r="G3972">
        <v>0</v>
      </c>
      <c r="H3972">
        <v>1</v>
      </c>
      <c r="I3972">
        <v>0</v>
      </c>
      <c r="J3972">
        <v>2</v>
      </c>
      <c r="K3972">
        <v>10.71</v>
      </c>
      <c r="L3972" s="2">
        <v>5</v>
      </c>
      <c r="M3972">
        <v>0</v>
      </c>
      <c r="N3972" s="2">
        <v>0</v>
      </c>
      <c r="O3972">
        <v>-2.4</v>
      </c>
      <c r="P3972" t="s">
        <v>100</v>
      </c>
      <c r="Q3972">
        <v>0</v>
      </c>
      <c r="R3972" t="s">
        <v>145</v>
      </c>
      <c r="S3972">
        <v>0</v>
      </c>
    </row>
    <row r="3973" spans="1:19">
      <c r="A3973" t="s">
        <v>35</v>
      </c>
      <c r="B3973" t="s">
        <v>4870</v>
      </c>
      <c r="C3973">
        <f>"186G"</f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2</v>
      </c>
      <c r="K3973">
        <v>14.22</v>
      </c>
      <c r="L3973" s="2">
        <v>7</v>
      </c>
      <c r="M3973">
        <v>0</v>
      </c>
      <c r="N3973" s="2">
        <v>0</v>
      </c>
      <c r="O3973">
        <v>-2.4</v>
      </c>
      <c r="P3973" t="s">
        <v>100</v>
      </c>
      <c r="Q3973">
        <v>0</v>
      </c>
      <c r="R3973" t="s">
        <v>145</v>
      </c>
      <c r="S3973">
        <v>0</v>
      </c>
    </row>
    <row r="3974" spans="1:19">
      <c r="A3974" t="s">
        <v>35</v>
      </c>
      <c r="B3974" t="s">
        <v>5379</v>
      </c>
      <c r="C3974">
        <f>"B109323LC"</f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2</v>
      </c>
      <c r="K3974">
        <v>12.6</v>
      </c>
      <c r="L3974" s="2">
        <v>6</v>
      </c>
      <c r="M3974">
        <v>0</v>
      </c>
      <c r="N3974" s="2">
        <v>0</v>
      </c>
      <c r="O3974">
        <v>-2.4</v>
      </c>
      <c r="P3974" t="s">
        <v>100</v>
      </c>
      <c r="Q3974">
        <v>0</v>
      </c>
      <c r="R3974" t="s">
        <v>145</v>
      </c>
      <c r="S3974">
        <v>0</v>
      </c>
    </row>
    <row r="3975" spans="1:19">
      <c r="A3975" t="s">
        <v>35</v>
      </c>
      <c r="B3975" t="s">
        <v>5333</v>
      </c>
      <c r="C3975">
        <f>"B1093234XLA"</f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2</v>
      </c>
      <c r="K3975">
        <v>18.45</v>
      </c>
      <c r="L3975" s="2">
        <v>9</v>
      </c>
      <c r="M3975">
        <v>0</v>
      </c>
      <c r="N3975" s="2">
        <v>0</v>
      </c>
      <c r="O3975">
        <v>-2.4</v>
      </c>
      <c r="P3975" t="s">
        <v>100</v>
      </c>
      <c r="Q3975">
        <v>0</v>
      </c>
      <c r="R3975" t="s">
        <v>145</v>
      </c>
      <c r="S3975">
        <v>0</v>
      </c>
    </row>
    <row r="3976" spans="1:19">
      <c r="A3976" t="s">
        <v>35</v>
      </c>
      <c r="B3976" t="s">
        <v>7200</v>
      </c>
      <c r="C3976">
        <f>"2960MIXROS"</f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2</v>
      </c>
      <c r="K3976">
        <v>0</v>
      </c>
      <c r="L3976" s="2">
        <v>0</v>
      </c>
      <c r="M3976">
        <v>0</v>
      </c>
      <c r="N3976" s="2">
        <v>0</v>
      </c>
      <c r="O3976">
        <v>-2.4</v>
      </c>
      <c r="P3976" t="s">
        <v>100</v>
      </c>
      <c r="Q3976">
        <v>0</v>
      </c>
      <c r="R3976" t="s">
        <v>145</v>
      </c>
      <c r="S3976">
        <v>0</v>
      </c>
    </row>
    <row r="3977" spans="1:19">
      <c r="A3977" t="s">
        <v>35</v>
      </c>
      <c r="B3977" t="s">
        <v>7642</v>
      </c>
      <c r="C3977">
        <f>"XB1813AM"</f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2</v>
      </c>
      <c r="K3977">
        <v>16.11</v>
      </c>
      <c r="L3977" s="2">
        <v>8</v>
      </c>
      <c r="M3977">
        <v>0</v>
      </c>
      <c r="N3977" s="2">
        <v>0</v>
      </c>
      <c r="O3977">
        <v>-2.4</v>
      </c>
      <c r="P3977" t="s">
        <v>100</v>
      </c>
      <c r="Q3977">
        <v>0</v>
      </c>
      <c r="R3977" t="s">
        <v>145</v>
      </c>
      <c r="S3977">
        <v>0</v>
      </c>
    </row>
    <row r="3978" spans="1:19">
      <c r="A3978" t="s">
        <v>35</v>
      </c>
      <c r="B3978" t="s">
        <v>7641</v>
      </c>
      <c r="C3978">
        <f>"XB1813AL"</f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2</v>
      </c>
      <c r="K3978">
        <v>16.65</v>
      </c>
      <c r="L3978" s="2">
        <v>8</v>
      </c>
      <c r="M3978">
        <v>0</v>
      </c>
      <c r="N3978" s="2">
        <v>0</v>
      </c>
      <c r="O3978">
        <v>-2.4</v>
      </c>
      <c r="P3978" t="s">
        <v>100</v>
      </c>
      <c r="Q3978">
        <v>0</v>
      </c>
      <c r="R3978" t="s">
        <v>145</v>
      </c>
      <c r="S3978">
        <v>0</v>
      </c>
    </row>
    <row r="3979" spans="1:19">
      <c r="A3979" t="s">
        <v>35</v>
      </c>
      <c r="B3979" t="s">
        <v>7638</v>
      </c>
      <c r="C3979">
        <f>"XB1813AZS"</f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2</v>
      </c>
      <c r="K3979">
        <v>15.57</v>
      </c>
      <c r="L3979" s="2">
        <v>8</v>
      </c>
      <c r="M3979">
        <v>0</v>
      </c>
      <c r="N3979" s="2">
        <v>0</v>
      </c>
      <c r="O3979">
        <v>-2.4</v>
      </c>
      <c r="P3979" t="s">
        <v>100</v>
      </c>
      <c r="Q3979">
        <v>0</v>
      </c>
      <c r="R3979" t="s">
        <v>145</v>
      </c>
      <c r="S3979">
        <v>0</v>
      </c>
    </row>
    <row r="3980" spans="1:19">
      <c r="A3980" t="s">
        <v>35</v>
      </c>
      <c r="B3980" t="s">
        <v>2419</v>
      </c>
      <c r="C3980">
        <f>"SDR224"</f>
        <v>0</v>
      </c>
      <c r="D3980">
        <v>1</v>
      </c>
      <c r="E3980">
        <v>0</v>
      </c>
      <c r="F3980">
        <v>0</v>
      </c>
      <c r="G3980">
        <v>0</v>
      </c>
      <c r="H3980">
        <v>1</v>
      </c>
      <c r="I3980">
        <v>0</v>
      </c>
      <c r="J3980">
        <v>2</v>
      </c>
      <c r="K3980">
        <v>4.662</v>
      </c>
      <c r="L3980" s="2">
        <v>2</v>
      </c>
      <c r="M3980">
        <v>0</v>
      </c>
      <c r="N3980" s="2">
        <v>0</v>
      </c>
      <c r="O3980">
        <v>-2.4</v>
      </c>
      <c r="P3980" t="s">
        <v>100</v>
      </c>
      <c r="Q3980">
        <v>0</v>
      </c>
      <c r="R3980" t="s">
        <v>145</v>
      </c>
      <c r="S3980">
        <v>0</v>
      </c>
    </row>
    <row r="3981" spans="1:19">
      <c r="A3981" t="s">
        <v>35</v>
      </c>
      <c r="B3981" t="s">
        <v>2479</v>
      </c>
      <c r="C3981">
        <f>"XB1813NM"</f>
        <v>0</v>
      </c>
      <c r="D3981">
        <v>0</v>
      </c>
      <c r="E3981">
        <v>1</v>
      </c>
      <c r="F3981">
        <v>0</v>
      </c>
      <c r="G3981">
        <v>0</v>
      </c>
      <c r="H3981">
        <v>1</v>
      </c>
      <c r="I3981">
        <v>0</v>
      </c>
      <c r="J3981">
        <v>2</v>
      </c>
      <c r="K3981">
        <v>16.11</v>
      </c>
      <c r="L3981" s="2">
        <v>8</v>
      </c>
      <c r="M3981">
        <v>0</v>
      </c>
      <c r="N3981" s="2">
        <v>0</v>
      </c>
      <c r="O3981">
        <v>-2.4</v>
      </c>
      <c r="P3981" t="s">
        <v>100</v>
      </c>
      <c r="Q3981">
        <v>0</v>
      </c>
      <c r="R3981" t="s">
        <v>145</v>
      </c>
      <c r="S3981">
        <v>0</v>
      </c>
    </row>
    <row r="3982" spans="1:19">
      <c r="A3982" t="s">
        <v>35</v>
      </c>
      <c r="B3982" t="s">
        <v>7630</v>
      </c>
      <c r="C3982">
        <f>"7011246"</f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2</v>
      </c>
      <c r="K3982">
        <v>49.8</v>
      </c>
      <c r="L3982" s="2">
        <v>25</v>
      </c>
      <c r="M3982">
        <v>0</v>
      </c>
      <c r="N3982" s="2">
        <v>0</v>
      </c>
      <c r="O3982">
        <v>-2.4</v>
      </c>
      <c r="P3982" t="s">
        <v>100</v>
      </c>
      <c r="Q3982">
        <v>0</v>
      </c>
      <c r="R3982" t="s">
        <v>145</v>
      </c>
      <c r="S3982">
        <v>0</v>
      </c>
    </row>
    <row r="3983" spans="1:19">
      <c r="A3983" t="s">
        <v>35</v>
      </c>
      <c r="B3983" t="s">
        <v>9065</v>
      </c>
      <c r="C3983">
        <f>"10217"</f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2</v>
      </c>
      <c r="K3983">
        <v>268.2</v>
      </c>
      <c r="L3983" s="2">
        <v>134</v>
      </c>
      <c r="M3983">
        <v>0</v>
      </c>
      <c r="N3983" s="2">
        <v>0</v>
      </c>
      <c r="O3983">
        <v>-2.4</v>
      </c>
      <c r="P3983" t="s">
        <v>100</v>
      </c>
      <c r="Q3983">
        <v>0</v>
      </c>
      <c r="R3983" t="s">
        <v>145</v>
      </c>
      <c r="S3983">
        <v>0</v>
      </c>
    </row>
    <row r="3984" spans="1:19">
      <c r="A3984" t="s">
        <v>35</v>
      </c>
      <c r="B3984" t="s">
        <v>5857</v>
      </c>
      <c r="C3984">
        <f>"23HT12"</f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2</v>
      </c>
      <c r="K3984">
        <v>9.786</v>
      </c>
      <c r="L3984" s="2">
        <v>5</v>
      </c>
      <c r="M3984">
        <v>0</v>
      </c>
      <c r="N3984" s="2">
        <v>0</v>
      </c>
      <c r="O3984">
        <v>-2.4</v>
      </c>
      <c r="P3984" t="s">
        <v>100</v>
      </c>
      <c r="Q3984">
        <v>0</v>
      </c>
      <c r="R3984" t="s">
        <v>145</v>
      </c>
      <c r="S3984">
        <v>0</v>
      </c>
    </row>
    <row r="3985" spans="1:19">
      <c r="A3985" t="s">
        <v>35</v>
      </c>
      <c r="B3985" t="s">
        <v>6978</v>
      </c>
      <c r="C3985">
        <f>"HCJ011LNA"</f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2</v>
      </c>
      <c r="K3985">
        <v>1.422</v>
      </c>
      <c r="L3985" s="2">
        <v>1</v>
      </c>
      <c r="M3985">
        <v>0</v>
      </c>
      <c r="N3985" s="2">
        <v>0</v>
      </c>
      <c r="O3985">
        <v>-2.4</v>
      </c>
      <c r="P3985" t="s">
        <v>100</v>
      </c>
      <c r="Q3985">
        <v>0</v>
      </c>
      <c r="R3985" t="s">
        <v>145</v>
      </c>
      <c r="S3985">
        <v>0</v>
      </c>
    </row>
    <row r="3986" spans="1:19">
      <c r="A3986" t="s">
        <v>35</v>
      </c>
      <c r="B3986" t="s">
        <v>5187</v>
      </c>
      <c r="C3986">
        <f>"1840LMR"</f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2</v>
      </c>
      <c r="K3986">
        <v>0</v>
      </c>
      <c r="L3986" s="2">
        <v>0</v>
      </c>
      <c r="M3986">
        <v>0</v>
      </c>
      <c r="N3986" s="2">
        <v>0</v>
      </c>
      <c r="O3986">
        <v>-2.4</v>
      </c>
      <c r="P3986" t="s">
        <v>100</v>
      </c>
      <c r="Q3986">
        <v>0</v>
      </c>
      <c r="R3986" t="s">
        <v>145</v>
      </c>
      <c r="S3986">
        <v>0</v>
      </c>
    </row>
    <row r="3987" spans="1:19">
      <c r="A3987" t="s">
        <v>35</v>
      </c>
      <c r="B3987" t="s">
        <v>4945</v>
      </c>
      <c r="C3987">
        <f>"LL202"</f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2</v>
      </c>
      <c r="K3987">
        <v>15.3</v>
      </c>
      <c r="L3987" s="2">
        <v>8</v>
      </c>
      <c r="M3987">
        <v>0</v>
      </c>
      <c r="N3987" s="2">
        <v>0</v>
      </c>
      <c r="O3987">
        <v>-2.4</v>
      </c>
      <c r="P3987" t="s">
        <v>100</v>
      </c>
      <c r="Q3987">
        <v>0</v>
      </c>
      <c r="R3987" t="s">
        <v>145</v>
      </c>
      <c r="S3987">
        <v>0</v>
      </c>
    </row>
    <row r="3988" spans="1:19">
      <c r="A3988" t="s">
        <v>35</v>
      </c>
      <c r="B3988" t="s">
        <v>9495</v>
      </c>
      <c r="C3988">
        <f>"PD20016S"</f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2</v>
      </c>
      <c r="K3988">
        <v>9.071999999999999</v>
      </c>
      <c r="L3988" s="2">
        <v>5</v>
      </c>
      <c r="M3988">
        <v>0</v>
      </c>
      <c r="N3988" s="2">
        <v>0</v>
      </c>
      <c r="O3988">
        <v>-2.4</v>
      </c>
      <c r="P3988" t="s">
        <v>100</v>
      </c>
      <c r="Q3988">
        <v>0</v>
      </c>
      <c r="R3988" t="s">
        <v>145</v>
      </c>
      <c r="S3988">
        <v>0</v>
      </c>
    </row>
    <row r="3989" spans="1:19">
      <c r="A3989" t="s">
        <v>35</v>
      </c>
      <c r="B3989" t="s">
        <v>2463</v>
      </c>
      <c r="C3989">
        <f>"D14S"</f>
        <v>0</v>
      </c>
      <c r="D3989">
        <v>1</v>
      </c>
      <c r="E3989">
        <v>0</v>
      </c>
      <c r="F3989">
        <v>0</v>
      </c>
      <c r="G3989">
        <v>0</v>
      </c>
      <c r="H3989">
        <v>1</v>
      </c>
      <c r="I3989">
        <v>0</v>
      </c>
      <c r="J3989">
        <v>2</v>
      </c>
      <c r="K3989">
        <v>8.73</v>
      </c>
      <c r="L3989" s="2">
        <v>4</v>
      </c>
      <c r="M3989">
        <v>0</v>
      </c>
      <c r="N3989" s="2">
        <v>0</v>
      </c>
      <c r="O3989">
        <v>-2.4</v>
      </c>
      <c r="P3989" t="s">
        <v>100</v>
      </c>
      <c r="Q3989">
        <v>0</v>
      </c>
      <c r="R3989" t="s">
        <v>145</v>
      </c>
      <c r="S3989">
        <v>0</v>
      </c>
    </row>
    <row r="3990" spans="1:19">
      <c r="A3990" t="s">
        <v>35</v>
      </c>
      <c r="B3990" t="s">
        <v>4154</v>
      </c>
      <c r="C3990">
        <f>"FB681MV"</f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2</v>
      </c>
      <c r="K3990">
        <v>10.782</v>
      </c>
      <c r="L3990" s="2">
        <v>5</v>
      </c>
      <c r="M3990">
        <v>0</v>
      </c>
      <c r="N3990" s="2">
        <v>0</v>
      </c>
      <c r="O3990">
        <v>-2.4</v>
      </c>
      <c r="P3990" t="s">
        <v>100</v>
      </c>
      <c r="Q3990">
        <v>0</v>
      </c>
      <c r="R3990" t="s">
        <v>145</v>
      </c>
      <c r="S3990">
        <v>0</v>
      </c>
    </row>
    <row r="3991" spans="1:19">
      <c r="A3991" t="s">
        <v>35</v>
      </c>
      <c r="B3991" t="s">
        <v>4200</v>
      </c>
      <c r="C3991">
        <f>"FB681LA"</f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2</v>
      </c>
      <c r="K3991">
        <v>11.7</v>
      </c>
      <c r="L3991" s="2">
        <v>6</v>
      </c>
      <c r="M3991">
        <v>0</v>
      </c>
      <c r="N3991" s="2">
        <v>0</v>
      </c>
      <c r="O3991">
        <v>-2.4</v>
      </c>
      <c r="P3991" t="s">
        <v>100</v>
      </c>
      <c r="Q3991">
        <v>0</v>
      </c>
      <c r="R3991" t="s">
        <v>145</v>
      </c>
      <c r="S3991">
        <v>0</v>
      </c>
    </row>
    <row r="3992" spans="1:19">
      <c r="A3992" t="s">
        <v>35</v>
      </c>
      <c r="B3992" t="s">
        <v>4181</v>
      </c>
      <c r="C3992">
        <f>"FB6814XLV"</f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2</v>
      </c>
      <c r="K3992">
        <v>17.1</v>
      </c>
      <c r="L3992" s="2">
        <v>9</v>
      </c>
      <c r="M3992">
        <v>0</v>
      </c>
      <c r="N3992" s="2">
        <v>0</v>
      </c>
      <c r="O3992">
        <v>-2.4</v>
      </c>
      <c r="P3992" t="s">
        <v>100</v>
      </c>
      <c r="Q3992">
        <v>0</v>
      </c>
      <c r="R3992" t="s">
        <v>145</v>
      </c>
      <c r="S3992">
        <v>0</v>
      </c>
    </row>
    <row r="3993" spans="1:19">
      <c r="A3993" t="s">
        <v>35</v>
      </c>
      <c r="B3993" t="s">
        <v>4010</v>
      </c>
      <c r="C3993">
        <f>"B109006LV"</f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2</v>
      </c>
      <c r="K3993">
        <v>14.04</v>
      </c>
      <c r="L3993" s="2">
        <v>7</v>
      </c>
      <c r="M3993">
        <v>0</v>
      </c>
      <c r="N3993" s="2">
        <v>0</v>
      </c>
      <c r="O3993">
        <v>-2.4</v>
      </c>
      <c r="P3993" t="s">
        <v>100</v>
      </c>
      <c r="Q3993">
        <v>0</v>
      </c>
      <c r="R3993" t="s">
        <v>145</v>
      </c>
      <c r="S3993">
        <v>0</v>
      </c>
    </row>
    <row r="3994" spans="1:19">
      <c r="A3994" t="s">
        <v>35</v>
      </c>
      <c r="B3994" t="s">
        <v>4019</v>
      </c>
      <c r="C3994">
        <f>"C1183544XLA"</f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2</v>
      </c>
      <c r="K3994">
        <v>21.582</v>
      </c>
      <c r="L3994" s="2">
        <v>11</v>
      </c>
      <c r="M3994">
        <v>0</v>
      </c>
      <c r="N3994" s="2">
        <v>0</v>
      </c>
      <c r="O3994">
        <v>-2.4</v>
      </c>
      <c r="P3994" t="s">
        <v>100</v>
      </c>
      <c r="Q3994">
        <v>0</v>
      </c>
      <c r="R3994" t="s">
        <v>145</v>
      </c>
      <c r="S3994">
        <v>0</v>
      </c>
    </row>
    <row r="3995" spans="1:19">
      <c r="A3995" t="s">
        <v>35</v>
      </c>
      <c r="B3995" t="s">
        <v>4032</v>
      </c>
      <c r="C3995">
        <f>"B109048LA"</f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2</v>
      </c>
      <c r="K3995">
        <v>12.6</v>
      </c>
      <c r="L3995" s="2">
        <v>6</v>
      </c>
      <c r="M3995">
        <v>0</v>
      </c>
      <c r="N3995" s="2">
        <v>0</v>
      </c>
      <c r="O3995">
        <v>-2.4</v>
      </c>
      <c r="P3995" t="s">
        <v>100</v>
      </c>
      <c r="Q3995">
        <v>0</v>
      </c>
      <c r="R3995" t="s">
        <v>145</v>
      </c>
      <c r="S3995">
        <v>0</v>
      </c>
    </row>
    <row r="3996" spans="1:19">
      <c r="A3996" t="s">
        <v>35</v>
      </c>
      <c r="B3996" t="s">
        <v>4033</v>
      </c>
      <c r="C3996">
        <f>"B1090484XLG"</f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2</v>
      </c>
      <c r="K3996">
        <v>18.45</v>
      </c>
      <c r="L3996" s="2">
        <v>9</v>
      </c>
      <c r="M3996">
        <v>0</v>
      </c>
      <c r="N3996" s="2">
        <v>0</v>
      </c>
      <c r="O3996">
        <v>-2.4</v>
      </c>
      <c r="P3996" t="s">
        <v>100</v>
      </c>
      <c r="Q3996">
        <v>0</v>
      </c>
      <c r="R3996" t="s">
        <v>145</v>
      </c>
      <c r="S3996">
        <v>0</v>
      </c>
    </row>
    <row r="3997" spans="1:19">
      <c r="A3997" t="s">
        <v>35</v>
      </c>
      <c r="B3997" t="s">
        <v>4865</v>
      </c>
      <c r="C3997">
        <f>"1840S"</f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2</v>
      </c>
      <c r="K3997">
        <v>7.11</v>
      </c>
      <c r="L3997" s="2">
        <v>4</v>
      </c>
      <c r="M3997">
        <v>0</v>
      </c>
      <c r="N3997" s="2">
        <v>0</v>
      </c>
      <c r="O3997">
        <v>-2.4</v>
      </c>
      <c r="P3997" t="s">
        <v>100</v>
      </c>
      <c r="Q3997">
        <v>0</v>
      </c>
      <c r="R3997" t="s">
        <v>145</v>
      </c>
      <c r="S3997">
        <v>0</v>
      </c>
    </row>
    <row r="3998" spans="1:19">
      <c r="A3998" t="s">
        <v>35</v>
      </c>
      <c r="B3998" t="s">
        <v>4867</v>
      </c>
      <c r="C3998">
        <f>"1840L"</f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2</v>
      </c>
      <c r="K3998">
        <v>7.11</v>
      </c>
      <c r="L3998" s="2">
        <v>4</v>
      </c>
      <c r="M3998">
        <v>0</v>
      </c>
      <c r="N3998" s="2">
        <v>0</v>
      </c>
      <c r="O3998">
        <v>-2.4</v>
      </c>
      <c r="P3998" t="s">
        <v>100</v>
      </c>
      <c r="Q3998">
        <v>0</v>
      </c>
      <c r="R3998" t="s">
        <v>145</v>
      </c>
      <c r="S3998">
        <v>0</v>
      </c>
    </row>
    <row r="3999" spans="1:19">
      <c r="A3999" t="s">
        <v>35</v>
      </c>
      <c r="B3999" t="s">
        <v>4244</v>
      </c>
      <c r="C3999">
        <f>"B109218MO"</f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2</v>
      </c>
      <c r="K3999">
        <v>16.11</v>
      </c>
      <c r="L3999" s="2">
        <v>8</v>
      </c>
      <c r="M3999">
        <v>0</v>
      </c>
      <c r="N3999" s="2">
        <v>0</v>
      </c>
      <c r="O3999">
        <v>-2.4</v>
      </c>
      <c r="P3999" t="s">
        <v>100</v>
      </c>
      <c r="Q3999">
        <v>0</v>
      </c>
      <c r="R3999" t="s">
        <v>145</v>
      </c>
      <c r="S3999">
        <v>0</v>
      </c>
    </row>
    <row r="4000" spans="1:19">
      <c r="A4000" t="s">
        <v>35</v>
      </c>
      <c r="B4000" t="s">
        <v>4048</v>
      </c>
      <c r="C4000">
        <f>"C118354XSV"</f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2</v>
      </c>
      <c r="K4000">
        <v>11.7</v>
      </c>
      <c r="L4000" s="2">
        <v>6</v>
      </c>
      <c r="M4000">
        <v>0</v>
      </c>
      <c r="N4000" s="2">
        <v>0</v>
      </c>
      <c r="O4000">
        <v>-2.4</v>
      </c>
      <c r="P4000" t="s">
        <v>100</v>
      </c>
      <c r="Q4000">
        <v>0</v>
      </c>
      <c r="R4000" t="s">
        <v>145</v>
      </c>
      <c r="S4000">
        <v>0</v>
      </c>
    </row>
    <row r="4001" spans="1:19">
      <c r="A4001" t="s">
        <v>35</v>
      </c>
      <c r="B4001" t="s">
        <v>7857</v>
      </c>
      <c r="C4001">
        <f>"citycat4kg"</f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2</v>
      </c>
      <c r="K4001">
        <v>0</v>
      </c>
      <c r="L4001" s="2">
        <v>0</v>
      </c>
      <c r="M4001">
        <v>0</v>
      </c>
      <c r="N4001" s="2">
        <v>0</v>
      </c>
      <c r="O4001">
        <v>-2.4</v>
      </c>
      <c r="P4001" t="s">
        <v>100</v>
      </c>
      <c r="Q4001">
        <v>0</v>
      </c>
      <c r="R4001" t="s">
        <v>145</v>
      </c>
      <c r="S4001">
        <v>0</v>
      </c>
    </row>
    <row r="4002" spans="1:19">
      <c r="A4002" t="s">
        <v>35</v>
      </c>
      <c r="B4002" t="s">
        <v>8193</v>
      </c>
      <c r="C4002">
        <f>"CTU"</f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2</v>
      </c>
      <c r="K4002">
        <v>19.198</v>
      </c>
      <c r="L4002" s="2">
        <v>10</v>
      </c>
      <c r="M4002">
        <v>0</v>
      </c>
      <c r="N4002" s="2">
        <v>0</v>
      </c>
      <c r="O4002">
        <v>-2.4</v>
      </c>
      <c r="P4002" t="s">
        <v>100</v>
      </c>
      <c r="Q4002">
        <v>0</v>
      </c>
      <c r="R4002" t="s">
        <v>145</v>
      </c>
      <c r="S4002">
        <v>0</v>
      </c>
    </row>
    <row r="4003" spans="1:19">
      <c r="A4003" t="s">
        <v>35</v>
      </c>
      <c r="B4003" t="s">
        <v>4224</v>
      </c>
      <c r="C4003">
        <f>"FB6813XLV"</f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2</v>
      </c>
      <c r="K4003">
        <v>15.3</v>
      </c>
      <c r="L4003" s="2">
        <v>8</v>
      </c>
      <c r="M4003">
        <v>0</v>
      </c>
      <c r="N4003" s="2">
        <v>0</v>
      </c>
      <c r="O4003">
        <v>-2.4</v>
      </c>
      <c r="P4003" t="s">
        <v>100</v>
      </c>
      <c r="Q4003">
        <v>0</v>
      </c>
      <c r="R4003" t="s">
        <v>145</v>
      </c>
      <c r="S4003">
        <v>0</v>
      </c>
    </row>
    <row r="4004" spans="1:19">
      <c r="A4004" t="s">
        <v>35</v>
      </c>
      <c r="B4004" t="s">
        <v>4056</v>
      </c>
      <c r="C4004">
        <f>"C118354XLC"</f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2</v>
      </c>
      <c r="K4004">
        <v>16.002</v>
      </c>
      <c r="L4004" s="2">
        <v>8</v>
      </c>
      <c r="M4004">
        <v>0</v>
      </c>
      <c r="N4004" s="2">
        <v>0</v>
      </c>
      <c r="O4004">
        <v>-2.4</v>
      </c>
      <c r="P4004" t="s">
        <v>100</v>
      </c>
      <c r="Q4004">
        <v>0</v>
      </c>
      <c r="R4004" t="s">
        <v>145</v>
      </c>
      <c r="S4004">
        <v>0</v>
      </c>
    </row>
    <row r="4005" spans="1:19">
      <c r="A4005" t="s">
        <v>35</v>
      </c>
      <c r="B4005" t="s">
        <v>4058</v>
      </c>
      <c r="C4005">
        <f>"B109006XLA"</f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2</v>
      </c>
      <c r="K4005">
        <v>16.002</v>
      </c>
      <c r="L4005" s="2">
        <v>8</v>
      </c>
      <c r="M4005">
        <v>0</v>
      </c>
      <c r="N4005" s="2">
        <v>0</v>
      </c>
      <c r="O4005">
        <v>-2.4</v>
      </c>
      <c r="P4005" t="s">
        <v>100</v>
      </c>
      <c r="Q4005">
        <v>0</v>
      </c>
      <c r="R4005" t="s">
        <v>145</v>
      </c>
      <c r="S4005">
        <v>0</v>
      </c>
    </row>
    <row r="4006" spans="1:19">
      <c r="A4006" t="s">
        <v>35</v>
      </c>
      <c r="B4006" t="s">
        <v>4000</v>
      </c>
      <c r="C4006">
        <f>"C118354SC"</f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2</v>
      </c>
      <c r="K4006">
        <v>12.15</v>
      </c>
      <c r="L4006" s="2">
        <v>6</v>
      </c>
      <c r="M4006">
        <v>0</v>
      </c>
      <c r="N4006" s="2">
        <v>0</v>
      </c>
      <c r="O4006">
        <v>-2.4</v>
      </c>
      <c r="P4006" t="s">
        <v>100</v>
      </c>
      <c r="Q4006">
        <v>0</v>
      </c>
      <c r="R4006" t="s">
        <v>145</v>
      </c>
      <c r="S4006">
        <v>0</v>
      </c>
    </row>
    <row r="4007" spans="1:19">
      <c r="A4007" t="s">
        <v>35</v>
      </c>
      <c r="B4007" t="s">
        <v>4001</v>
      </c>
      <c r="C4007">
        <f>"B109006SA"</f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2</v>
      </c>
      <c r="K4007">
        <v>12.15</v>
      </c>
      <c r="L4007" s="2">
        <v>6</v>
      </c>
      <c r="M4007">
        <v>0</v>
      </c>
      <c r="N4007" s="2">
        <v>0</v>
      </c>
      <c r="O4007">
        <v>-2.4</v>
      </c>
      <c r="P4007" t="s">
        <v>100</v>
      </c>
      <c r="Q4007">
        <v>0</v>
      </c>
      <c r="R4007" t="s">
        <v>145</v>
      </c>
      <c r="S4007">
        <v>0</v>
      </c>
    </row>
    <row r="4008" spans="1:19">
      <c r="A4008" t="s">
        <v>35</v>
      </c>
      <c r="B4008" t="s">
        <v>4237</v>
      </c>
      <c r="C4008">
        <f>"B109048XLA"</f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2</v>
      </c>
      <c r="K4008">
        <v>14.04</v>
      </c>
      <c r="L4008" s="2">
        <v>7</v>
      </c>
      <c r="M4008">
        <v>0</v>
      </c>
      <c r="N4008" s="2">
        <v>0</v>
      </c>
      <c r="O4008">
        <v>-2.4</v>
      </c>
      <c r="P4008" t="s">
        <v>100</v>
      </c>
      <c r="Q4008">
        <v>0</v>
      </c>
      <c r="R4008" t="s">
        <v>145</v>
      </c>
      <c r="S4008">
        <v>0</v>
      </c>
    </row>
    <row r="4009" spans="1:19">
      <c r="A4009" t="s">
        <v>35</v>
      </c>
      <c r="B4009" t="s">
        <v>4238</v>
      </c>
      <c r="C4009">
        <f>"B109218XSO"</f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2</v>
      </c>
      <c r="K4009">
        <v>15.3</v>
      </c>
      <c r="L4009" s="2">
        <v>8</v>
      </c>
      <c r="M4009">
        <v>0</v>
      </c>
      <c r="N4009" s="2">
        <v>0</v>
      </c>
      <c r="O4009">
        <v>-2.4</v>
      </c>
      <c r="P4009" t="s">
        <v>100</v>
      </c>
      <c r="Q4009">
        <v>0</v>
      </c>
      <c r="R4009" t="s">
        <v>145</v>
      </c>
      <c r="S4009">
        <v>0</v>
      </c>
    </row>
    <row r="4010" spans="1:19">
      <c r="A4010" t="s">
        <v>35</v>
      </c>
      <c r="B4010" t="s">
        <v>4239</v>
      </c>
      <c r="C4010">
        <f>"B109218XLP"</f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2</v>
      </c>
      <c r="K4010">
        <v>18.36</v>
      </c>
      <c r="L4010" s="2">
        <v>9</v>
      </c>
      <c r="M4010">
        <v>0</v>
      </c>
      <c r="N4010" s="2">
        <v>0</v>
      </c>
      <c r="O4010">
        <v>-2.4</v>
      </c>
      <c r="P4010" t="s">
        <v>100</v>
      </c>
      <c r="Q4010">
        <v>0</v>
      </c>
      <c r="R4010" t="s">
        <v>145</v>
      </c>
      <c r="S4010">
        <v>0</v>
      </c>
    </row>
    <row r="4011" spans="1:19">
      <c r="A4011" t="s">
        <v>35</v>
      </c>
      <c r="B4011" t="s">
        <v>4240</v>
      </c>
      <c r="C4011">
        <f>"B109218XLO"</f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2</v>
      </c>
      <c r="K4011">
        <v>18.36</v>
      </c>
      <c r="L4011" s="2">
        <v>9</v>
      </c>
      <c r="M4011">
        <v>0</v>
      </c>
      <c r="N4011" s="2">
        <v>0</v>
      </c>
      <c r="O4011">
        <v>-2.4</v>
      </c>
      <c r="P4011" t="s">
        <v>100</v>
      </c>
      <c r="Q4011">
        <v>0</v>
      </c>
      <c r="R4011" t="s">
        <v>145</v>
      </c>
      <c r="S4011">
        <v>0</v>
      </c>
    </row>
    <row r="4012" spans="1:19">
      <c r="A4012" t="s">
        <v>35</v>
      </c>
      <c r="B4012" t="s">
        <v>4868</v>
      </c>
      <c r="C4012">
        <f>"WD076"</f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2</v>
      </c>
      <c r="K4012">
        <v>2.322</v>
      </c>
      <c r="L4012" s="2">
        <v>1</v>
      </c>
      <c r="M4012">
        <v>0</v>
      </c>
      <c r="N4012" s="2">
        <v>0</v>
      </c>
      <c r="O4012">
        <v>-2.4</v>
      </c>
      <c r="P4012" t="s">
        <v>100</v>
      </c>
      <c r="Q4012">
        <v>0</v>
      </c>
      <c r="R4012" t="s">
        <v>145</v>
      </c>
      <c r="S4012">
        <v>0</v>
      </c>
    </row>
    <row r="4013" spans="1:19">
      <c r="A4013" t="s">
        <v>35</v>
      </c>
      <c r="B4013" t="s">
        <v>4757</v>
      </c>
      <c r="C4013">
        <f>"WIN87AP"</f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2</v>
      </c>
      <c r="K4013">
        <v>3.58</v>
      </c>
      <c r="L4013" s="2">
        <v>2</v>
      </c>
      <c r="M4013">
        <v>0</v>
      </c>
      <c r="N4013" s="2">
        <v>0</v>
      </c>
      <c r="O4013">
        <v>-2.4</v>
      </c>
      <c r="P4013" t="s">
        <v>100</v>
      </c>
      <c r="Q4013">
        <v>0</v>
      </c>
      <c r="R4013" t="s">
        <v>145</v>
      </c>
      <c r="S4013">
        <v>0</v>
      </c>
    </row>
    <row r="4014" spans="1:19">
      <c r="A4014" t="s">
        <v>35</v>
      </c>
      <c r="B4014" t="s">
        <v>6587</v>
      </c>
      <c r="C4014">
        <f>"HH088LAM"</f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2</v>
      </c>
      <c r="K4014">
        <v>19.71</v>
      </c>
      <c r="L4014" s="2">
        <v>10</v>
      </c>
      <c r="M4014">
        <v>0</v>
      </c>
      <c r="N4014" s="2">
        <v>0</v>
      </c>
      <c r="O4014">
        <v>-2.4</v>
      </c>
      <c r="P4014" t="s">
        <v>100</v>
      </c>
      <c r="Q4014">
        <v>0</v>
      </c>
      <c r="R4014" t="s">
        <v>145</v>
      </c>
      <c r="S4014">
        <v>0</v>
      </c>
    </row>
    <row r="4015" spans="1:19">
      <c r="A4015" t="s">
        <v>35</v>
      </c>
      <c r="B4015" t="s">
        <v>8253</v>
      </c>
      <c r="C4015">
        <f>"54B1090833XLG"</f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2</v>
      </c>
      <c r="K4015">
        <v>21.564</v>
      </c>
      <c r="L4015" s="2">
        <v>11</v>
      </c>
      <c r="M4015">
        <v>0</v>
      </c>
      <c r="N4015" s="2">
        <v>0</v>
      </c>
      <c r="O4015">
        <v>-2.4</v>
      </c>
      <c r="P4015" t="s">
        <v>100</v>
      </c>
      <c r="Q4015">
        <v>0</v>
      </c>
      <c r="R4015" t="s">
        <v>145</v>
      </c>
      <c r="S4015">
        <v>0</v>
      </c>
    </row>
    <row r="4016" spans="1:19">
      <c r="A4016" t="s">
        <v>35</v>
      </c>
      <c r="B4016" t="s">
        <v>8256</v>
      </c>
      <c r="C4016">
        <f>"54B109083XLB"</f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2</v>
      </c>
      <c r="K4016">
        <v>17.946</v>
      </c>
      <c r="L4016" s="2">
        <v>9</v>
      </c>
      <c r="M4016">
        <v>0</v>
      </c>
      <c r="N4016" s="2">
        <v>0</v>
      </c>
      <c r="O4016">
        <v>-2.4</v>
      </c>
      <c r="P4016" t="s">
        <v>100</v>
      </c>
      <c r="Q4016">
        <v>0</v>
      </c>
      <c r="R4016" t="s">
        <v>145</v>
      </c>
      <c r="S4016">
        <v>0</v>
      </c>
    </row>
    <row r="4017" spans="1:19">
      <c r="A4017" t="s">
        <v>35</v>
      </c>
      <c r="B4017" t="s">
        <v>8260</v>
      </c>
      <c r="C4017">
        <f>"54B1090834XLB"</f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2</v>
      </c>
      <c r="K4017">
        <v>23.31</v>
      </c>
      <c r="L4017" s="2">
        <v>12</v>
      </c>
      <c r="M4017">
        <v>0</v>
      </c>
      <c r="N4017" s="2">
        <v>0</v>
      </c>
      <c r="O4017">
        <v>-2.4</v>
      </c>
      <c r="P4017" t="s">
        <v>100</v>
      </c>
      <c r="Q4017">
        <v>0</v>
      </c>
      <c r="R4017" t="s">
        <v>145</v>
      </c>
      <c r="S4017">
        <v>0</v>
      </c>
    </row>
    <row r="4018" spans="1:19">
      <c r="A4018" t="s">
        <v>35</v>
      </c>
      <c r="B4018" t="s">
        <v>2059</v>
      </c>
      <c r="C4018">
        <f>"YSRJ08"</f>
        <v>0</v>
      </c>
      <c r="D4018">
        <v>3</v>
      </c>
      <c r="E4018">
        <v>0</v>
      </c>
      <c r="F4018">
        <v>0</v>
      </c>
      <c r="G4018">
        <v>0</v>
      </c>
      <c r="H4018">
        <v>3</v>
      </c>
      <c r="I4018">
        <v>0</v>
      </c>
      <c r="J4018">
        <v>2</v>
      </c>
      <c r="K4018">
        <v>2.862</v>
      </c>
      <c r="L4018" s="2">
        <v>1</v>
      </c>
      <c r="M4018">
        <v>0</v>
      </c>
      <c r="N4018" s="2">
        <v>0</v>
      </c>
      <c r="O4018">
        <v>-2.4</v>
      </c>
      <c r="P4018" t="s">
        <v>100</v>
      </c>
      <c r="Q4018">
        <v>0</v>
      </c>
      <c r="R4018" t="s">
        <v>145</v>
      </c>
      <c r="S4018">
        <v>0</v>
      </c>
    </row>
    <row r="4019" spans="1:19">
      <c r="A4019" t="s">
        <v>35</v>
      </c>
      <c r="B4019" t="s">
        <v>7058</v>
      </c>
      <c r="C4019">
        <f>"NO102ROS"</f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2</v>
      </c>
      <c r="K4019">
        <v>810</v>
      </c>
      <c r="L4019" s="2">
        <v>405</v>
      </c>
      <c r="M4019">
        <v>0</v>
      </c>
      <c r="N4019" s="2">
        <v>0</v>
      </c>
      <c r="O4019">
        <v>-2.4</v>
      </c>
      <c r="P4019" t="s">
        <v>100</v>
      </c>
      <c r="Q4019">
        <v>0</v>
      </c>
      <c r="R4019" t="s">
        <v>145</v>
      </c>
      <c r="S4019">
        <v>0</v>
      </c>
    </row>
    <row r="4020" spans="1:19">
      <c r="A4020" t="s">
        <v>35</v>
      </c>
      <c r="B4020" t="s">
        <v>8324</v>
      </c>
      <c r="C4020">
        <f>"HDD180VE"</f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2</v>
      </c>
      <c r="K4020">
        <v>990</v>
      </c>
      <c r="L4020" s="2">
        <v>495</v>
      </c>
      <c r="M4020">
        <v>0</v>
      </c>
      <c r="N4020" s="2">
        <v>0</v>
      </c>
      <c r="O4020">
        <v>-2.4</v>
      </c>
      <c r="P4020" t="s">
        <v>100</v>
      </c>
      <c r="Q4020">
        <v>0</v>
      </c>
      <c r="R4020" t="s">
        <v>145</v>
      </c>
      <c r="S4020">
        <v>0</v>
      </c>
    </row>
    <row r="4021" spans="1:19">
      <c r="A4021" t="s">
        <v>35</v>
      </c>
      <c r="B4021" t="s">
        <v>8325</v>
      </c>
      <c r="C4021">
        <f>"HDD180BG"</f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2</v>
      </c>
      <c r="K4021">
        <v>990</v>
      </c>
      <c r="L4021" s="2">
        <v>495</v>
      </c>
      <c r="M4021">
        <v>0</v>
      </c>
      <c r="N4021" s="2">
        <v>0</v>
      </c>
      <c r="O4021">
        <v>-2.4</v>
      </c>
      <c r="P4021" t="s">
        <v>100</v>
      </c>
      <c r="Q4021">
        <v>0</v>
      </c>
      <c r="R4021" t="s">
        <v>145</v>
      </c>
      <c r="S4021">
        <v>0</v>
      </c>
    </row>
    <row r="4022" spans="1:19">
      <c r="A4022" t="s">
        <v>35</v>
      </c>
      <c r="B4022" t="s">
        <v>8336</v>
      </c>
      <c r="C4022">
        <f>"HDD177PBL"</f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2</v>
      </c>
      <c r="K4022">
        <v>540</v>
      </c>
      <c r="L4022" s="2">
        <v>270</v>
      </c>
      <c r="M4022">
        <v>0</v>
      </c>
      <c r="N4022" s="2">
        <v>0</v>
      </c>
      <c r="O4022">
        <v>-2.4</v>
      </c>
      <c r="P4022" t="s">
        <v>100</v>
      </c>
      <c r="Q4022">
        <v>0</v>
      </c>
      <c r="R4022" t="s">
        <v>145</v>
      </c>
      <c r="S4022">
        <v>0</v>
      </c>
    </row>
    <row r="4023" spans="1:19">
      <c r="A4023" t="s">
        <v>35</v>
      </c>
      <c r="B4023" t="s">
        <v>8337</v>
      </c>
      <c r="C4023">
        <f>"HDD177PLI"</f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2</v>
      </c>
      <c r="K4023">
        <v>1.35</v>
      </c>
      <c r="L4023" s="2">
        <v>1</v>
      </c>
      <c r="M4023">
        <v>0</v>
      </c>
      <c r="N4023" s="2">
        <v>0</v>
      </c>
      <c r="O4023">
        <v>-2.4</v>
      </c>
      <c r="P4023" t="s">
        <v>100</v>
      </c>
      <c r="Q4023">
        <v>0</v>
      </c>
      <c r="R4023" t="s">
        <v>145</v>
      </c>
      <c r="S4023">
        <v>0</v>
      </c>
    </row>
    <row r="4024" spans="1:19">
      <c r="A4024" t="s">
        <v>35</v>
      </c>
      <c r="B4024" t="s">
        <v>4172</v>
      </c>
      <c r="C4024">
        <f>"B116003MA"</f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2</v>
      </c>
      <c r="K4024">
        <v>15.93</v>
      </c>
      <c r="L4024" s="2">
        <v>8</v>
      </c>
      <c r="M4024">
        <v>0</v>
      </c>
      <c r="N4024" s="2">
        <v>0</v>
      </c>
      <c r="O4024">
        <v>-2.4</v>
      </c>
      <c r="P4024" t="s">
        <v>100</v>
      </c>
      <c r="Q4024">
        <v>0</v>
      </c>
      <c r="R4024" t="s">
        <v>145</v>
      </c>
      <c r="S4024">
        <v>0</v>
      </c>
    </row>
    <row r="4025" spans="1:19">
      <c r="A4025" t="s">
        <v>35</v>
      </c>
      <c r="B4025" t="s">
        <v>7022</v>
      </c>
      <c r="C4025">
        <f>"6006062"</f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2</v>
      </c>
      <c r="K4025">
        <v>8</v>
      </c>
      <c r="L4025" s="2">
        <v>4</v>
      </c>
      <c r="M4025">
        <v>0</v>
      </c>
      <c r="N4025" s="2">
        <v>0</v>
      </c>
      <c r="O4025">
        <v>-2.4</v>
      </c>
      <c r="P4025" t="s">
        <v>100</v>
      </c>
      <c r="Q4025">
        <v>0</v>
      </c>
      <c r="R4025" t="s">
        <v>145</v>
      </c>
      <c r="S4025">
        <v>0</v>
      </c>
    </row>
    <row r="4026" spans="1:19">
      <c r="A4026" t="s">
        <v>35</v>
      </c>
      <c r="B4026" t="s">
        <v>7678</v>
      </c>
      <c r="C4026">
        <f>"8441"</f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2</v>
      </c>
      <c r="K4026">
        <v>23.22</v>
      </c>
      <c r="L4026" s="2">
        <v>12</v>
      </c>
      <c r="M4026">
        <v>0</v>
      </c>
      <c r="N4026" s="2">
        <v>0</v>
      </c>
      <c r="O4026">
        <v>-2.4</v>
      </c>
      <c r="P4026" t="s">
        <v>100</v>
      </c>
      <c r="Q4026">
        <v>0</v>
      </c>
      <c r="R4026" t="s">
        <v>145</v>
      </c>
      <c r="S4026">
        <v>0</v>
      </c>
    </row>
    <row r="4027" spans="1:19">
      <c r="A4027" t="s">
        <v>35</v>
      </c>
      <c r="B4027" t="s">
        <v>2425</v>
      </c>
      <c r="C4027">
        <f>"DS41"</f>
        <v>0</v>
      </c>
      <c r="D4027">
        <v>1</v>
      </c>
      <c r="E4027">
        <v>0</v>
      </c>
      <c r="F4027">
        <v>0</v>
      </c>
      <c r="G4027">
        <v>0</v>
      </c>
      <c r="H4027">
        <v>1</v>
      </c>
      <c r="I4027">
        <v>0</v>
      </c>
      <c r="J4027">
        <v>2</v>
      </c>
      <c r="K4027">
        <v>8.981999999999999</v>
      </c>
      <c r="L4027" s="2">
        <v>4</v>
      </c>
      <c r="M4027">
        <v>0</v>
      </c>
      <c r="N4027" s="2">
        <v>0</v>
      </c>
      <c r="O4027">
        <v>-2.4</v>
      </c>
      <c r="P4027" t="s">
        <v>100</v>
      </c>
      <c r="Q4027">
        <v>0</v>
      </c>
      <c r="R4027" t="s">
        <v>145</v>
      </c>
      <c r="S4027">
        <v>0</v>
      </c>
    </row>
    <row r="4028" spans="1:19">
      <c r="A4028" t="s">
        <v>35</v>
      </c>
      <c r="B4028" t="s">
        <v>2982</v>
      </c>
      <c r="C4028">
        <f>"6952CEL"</f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2</v>
      </c>
      <c r="K4028">
        <v>6.57</v>
      </c>
      <c r="L4028" s="2">
        <v>3</v>
      </c>
      <c r="M4028">
        <v>0</v>
      </c>
      <c r="N4028" s="2">
        <v>0</v>
      </c>
      <c r="O4028">
        <v>-2.4</v>
      </c>
      <c r="P4028" t="s">
        <v>100</v>
      </c>
      <c r="Q4028">
        <v>0</v>
      </c>
      <c r="R4028" t="s">
        <v>145</v>
      </c>
      <c r="S4028">
        <v>0</v>
      </c>
    </row>
    <row r="4029" spans="1:19">
      <c r="A4029" t="s">
        <v>35</v>
      </c>
      <c r="B4029" t="s">
        <v>5420</v>
      </c>
      <c r="C4029">
        <f>"B109323XLA"</f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2</v>
      </c>
      <c r="K4029">
        <v>14.04</v>
      </c>
      <c r="L4029" s="2">
        <v>7</v>
      </c>
      <c r="M4029">
        <v>0</v>
      </c>
      <c r="N4029" s="2">
        <v>0</v>
      </c>
      <c r="O4029">
        <v>-2.4</v>
      </c>
      <c r="P4029" t="s">
        <v>100</v>
      </c>
      <c r="Q4029">
        <v>0</v>
      </c>
      <c r="R4029" t="s">
        <v>145</v>
      </c>
      <c r="S4029">
        <v>0</v>
      </c>
    </row>
    <row r="4030" spans="1:19">
      <c r="A4030" t="s">
        <v>35</v>
      </c>
      <c r="B4030" t="s">
        <v>6992</v>
      </c>
      <c r="C4030">
        <f>"H015XLV"</f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2</v>
      </c>
      <c r="K4030">
        <v>16.4</v>
      </c>
      <c r="L4030" s="2">
        <v>8</v>
      </c>
      <c r="M4030">
        <v>0</v>
      </c>
      <c r="N4030" s="2">
        <v>0</v>
      </c>
      <c r="O4030">
        <v>-2.4</v>
      </c>
      <c r="P4030" t="s">
        <v>100</v>
      </c>
      <c r="Q4030">
        <v>0</v>
      </c>
      <c r="R4030" t="s">
        <v>145</v>
      </c>
      <c r="S4030">
        <v>0</v>
      </c>
    </row>
    <row r="4031" spans="1:19">
      <c r="A4031" t="s">
        <v>35</v>
      </c>
      <c r="B4031" t="s">
        <v>6993</v>
      </c>
      <c r="C4031">
        <f>"H015XLROS"</f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2</v>
      </c>
      <c r="K4031">
        <v>0</v>
      </c>
      <c r="L4031" s="2">
        <v>0</v>
      </c>
      <c r="M4031">
        <v>0</v>
      </c>
      <c r="N4031" s="2">
        <v>0</v>
      </c>
      <c r="O4031">
        <v>-2.4</v>
      </c>
      <c r="P4031" t="s">
        <v>100</v>
      </c>
      <c r="Q4031">
        <v>0</v>
      </c>
      <c r="R4031" t="s">
        <v>145</v>
      </c>
      <c r="S4031">
        <v>0</v>
      </c>
    </row>
    <row r="4032" spans="1:19">
      <c r="A4032" t="s">
        <v>35</v>
      </c>
      <c r="B4032" t="s">
        <v>6994</v>
      </c>
      <c r="C4032">
        <f>"H015XLROJ"</f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2</v>
      </c>
      <c r="K4032">
        <v>0</v>
      </c>
      <c r="L4032" s="2">
        <v>0</v>
      </c>
      <c r="M4032">
        <v>0</v>
      </c>
      <c r="N4032" s="2">
        <v>0</v>
      </c>
      <c r="O4032">
        <v>-2.4</v>
      </c>
      <c r="P4032" t="s">
        <v>100</v>
      </c>
      <c r="Q4032">
        <v>0</v>
      </c>
      <c r="R4032" t="s">
        <v>145</v>
      </c>
      <c r="S4032">
        <v>0</v>
      </c>
    </row>
    <row r="4033" spans="1:19">
      <c r="A4033" t="s">
        <v>35</v>
      </c>
      <c r="B4033" t="s">
        <v>4753</v>
      </c>
      <c r="C4033">
        <f>"WIN86CS"</f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2</v>
      </c>
      <c r="K4033">
        <v>2.61</v>
      </c>
      <c r="L4033" s="2">
        <v>1</v>
      </c>
      <c r="M4033">
        <v>0</v>
      </c>
      <c r="N4033" s="2">
        <v>0</v>
      </c>
      <c r="O4033">
        <v>-2.4</v>
      </c>
      <c r="P4033" t="s">
        <v>100</v>
      </c>
      <c r="Q4033">
        <v>0</v>
      </c>
      <c r="R4033" t="s">
        <v>145</v>
      </c>
      <c r="S4033">
        <v>0</v>
      </c>
    </row>
    <row r="4034" spans="1:19">
      <c r="A4034" t="s">
        <v>35</v>
      </c>
      <c r="B4034" t="s">
        <v>4754</v>
      </c>
      <c r="C4034">
        <f>"WIN86AP"</f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2</v>
      </c>
      <c r="K4034">
        <v>2.61</v>
      </c>
      <c r="L4034" s="2">
        <v>1</v>
      </c>
      <c r="M4034">
        <v>0</v>
      </c>
      <c r="N4034" s="2">
        <v>0</v>
      </c>
      <c r="O4034">
        <v>-2.4</v>
      </c>
      <c r="P4034" t="s">
        <v>100</v>
      </c>
      <c r="Q4034">
        <v>0</v>
      </c>
      <c r="R4034" t="s">
        <v>145</v>
      </c>
      <c r="S4034">
        <v>0</v>
      </c>
    </row>
    <row r="4035" spans="1:19">
      <c r="A4035" t="s">
        <v>35</v>
      </c>
      <c r="B4035" t="s">
        <v>3613</v>
      </c>
      <c r="C4035">
        <f>"1868V"</f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2</v>
      </c>
      <c r="K4035">
        <v>40.32</v>
      </c>
      <c r="L4035" s="2">
        <v>20</v>
      </c>
      <c r="M4035">
        <v>0</v>
      </c>
      <c r="N4035" s="2">
        <v>0</v>
      </c>
      <c r="O4035">
        <v>-2.4</v>
      </c>
      <c r="P4035" t="s">
        <v>100</v>
      </c>
      <c r="Q4035">
        <v>0</v>
      </c>
      <c r="R4035" t="s">
        <v>145</v>
      </c>
      <c r="S4035">
        <v>0</v>
      </c>
    </row>
    <row r="4036" spans="1:19">
      <c r="A4036" t="s">
        <v>35</v>
      </c>
      <c r="B4036" t="s">
        <v>6672</v>
      </c>
      <c r="C4036">
        <f>"4000586"</f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2</v>
      </c>
      <c r="K4036">
        <v>3.6</v>
      </c>
      <c r="L4036" s="2">
        <v>2</v>
      </c>
      <c r="M4036">
        <v>0</v>
      </c>
      <c r="N4036" s="2">
        <v>0</v>
      </c>
      <c r="O4036">
        <v>-2.4</v>
      </c>
      <c r="P4036" t="s">
        <v>100</v>
      </c>
      <c r="Q4036">
        <v>0</v>
      </c>
      <c r="R4036" t="s">
        <v>145</v>
      </c>
      <c r="S4036">
        <v>0</v>
      </c>
    </row>
    <row r="4037" spans="1:19">
      <c r="A4037" t="s">
        <v>35</v>
      </c>
      <c r="B4037" t="s">
        <v>8322</v>
      </c>
      <c r="C4037">
        <f>"HDD177OR"</f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2</v>
      </c>
      <c r="K4037">
        <v>1.35</v>
      </c>
      <c r="L4037" s="2">
        <v>1</v>
      </c>
      <c r="M4037">
        <v>0</v>
      </c>
      <c r="N4037" s="2">
        <v>0</v>
      </c>
      <c r="O4037">
        <v>-2.4</v>
      </c>
      <c r="P4037" t="s">
        <v>100</v>
      </c>
      <c r="Q4037">
        <v>0</v>
      </c>
      <c r="R4037" t="s">
        <v>145</v>
      </c>
      <c r="S4037">
        <v>0</v>
      </c>
    </row>
    <row r="4038" spans="1:19">
      <c r="A4038" t="s">
        <v>35</v>
      </c>
      <c r="B4038" t="s">
        <v>3165</v>
      </c>
      <c r="C4038">
        <f>"BO3057C"</f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2</v>
      </c>
      <c r="K4038">
        <v>8.82</v>
      </c>
      <c r="L4038" s="2">
        <v>4</v>
      </c>
      <c r="M4038">
        <v>0</v>
      </c>
      <c r="N4038" s="2">
        <v>0</v>
      </c>
      <c r="O4038">
        <v>-2.4</v>
      </c>
      <c r="P4038" t="s">
        <v>100</v>
      </c>
      <c r="Q4038">
        <v>0</v>
      </c>
      <c r="R4038" t="s">
        <v>145</v>
      </c>
      <c r="S4038">
        <v>0</v>
      </c>
    </row>
    <row r="4039" spans="1:19">
      <c r="A4039" t="s">
        <v>35</v>
      </c>
      <c r="B4039" t="s">
        <v>3166</v>
      </c>
      <c r="C4039">
        <f>"BO3057CHI"</f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2</v>
      </c>
      <c r="K4039">
        <v>4.41</v>
      </c>
      <c r="L4039" s="2">
        <v>2</v>
      </c>
      <c r="M4039">
        <v>0</v>
      </c>
      <c r="N4039" s="2">
        <v>0</v>
      </c>
      <c r="O4039">
        <v>-2.4</v>
      </c>
      <c r="P4039" t="s">
        <v>100</v>
      </c>
      <c r="Q4039">
        <v>0</v>
      </c>
      <c r="R4039" t="s">
        <v>145</v>
      </c>
      <c r="S4039">
        <v>0</v>
      </c>
    </row>
    <row r="4040" spans="1:19">
      <c r="A4040" t="s">
        <v>35</v>
      </c>
      <c r="B4040" t="s">
        <v>4229</v>
      </c>
      <c r="C4040">
        <f>"B109218LP"</f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2</v>
      </c>
      <c r="K4040">
        <v>17.01</v>
      </c>
      <c r="L4040" s="2">
        <v>9</v>
      </c>
      <c r="M4040">
        <v>0</v>
      </c>
      <c r="N4040" s="2">
        <v>0</v>
      </c>
      <c r="O4040">
        <v>-2.4</v>
      </c>
      <c r="P4040" t="s">
        <v>100</v>
      </c>
      <c r="Q4040">
        <v>0</v>
      </c>
      <c r="R4040" t="s">
        <v>145</v>
      </c>
      <c r="S4040">
        <v>0</v>
      </c>
    </row>
    <row r="4041" spans="1:19">
      <c r="A4041" t="s">
        <v>35</v>
      </c>
      <c r="B4041" t="s">
        <v>5542</v>
      </c>
      <c r="C4041">
        <f>"MZB40L"</f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2</v>
      </c>
      <c r="K4041">
        <v>21.42</v>
      </c>
      <c r="L4041" s="2">
        <v>11</v>
      </c>
      <c r="M4041">
        <v>0</v>
      </c>
      <c r="N4041" s="2">
        <v>0</v>
      </c>
      <c r="O4041">
        <v>-2.4</v>
      </c>
      <c r="P4041" t="s">
        <v>100</v>
      </c>
      <c r="Q4041">
        <v>0</v>
      </c>
      <c r="R4041" t="s">
        <v>145</v>
      </c>
      <c r="S4041">
        <v>0</v>
      </c>
    </row>
    <row r="4042" spans="1:19">
      <c r="A4042" t="s">
        <v>35</v>
      </c>
      <c r="B4042" t="s">
        <v>5543</v>
      </c>
      <c r="C4042">
        <f>"KF8303"</f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2</v>
      </c>
      <c r="K4042">
        <v>11.186</v>
      </c>
      <c r="L4042" s="2">
        <v>6</v>
      </c>
      <c r="M4042">
        <v>0</v>
      </c>
      <c r="N4042" s="2">
        <v>0</v>
      </c>
      <c r="O4042">
        <v>-2.4</v>
      </c>
      <c r="P4042" t="s">
        <v>100</v>
      </c>
      <c r="Q4042">
        <v>0</v>
      </c>
      <c r="R4042" t="s">
        <v>145</v>
      </c>
      <c r="S4042">
        <v>0</v>
      </c>
    </row>
    <row r="4043" spans="1:19">
      <c r="A4043" t="s">
        <v>35</v>
      </c>
      <c r="B4043" t="s">
        <v>2197</v>
      </c>
      <c r="C4043">
        <f>"PA40803"</f>
        <v>0</v>
      </c>
      <c r="D4043">
        <v>0</v>
      </c>
      <c r="E4043">
        <v>2</v>
      </c>
      <c r="F4043">
        <v>0</v>
      </c>
      <c r="G4043">
        <v>0</v>
      </c>
      <c r="H4043">
        <v>2</v>
      </c>
      <c r="I4043">
        <v>0</v>
      </c>
      <c r="J4043">
        <v>2</v>
      </c>
      <c r="K4043">
        <v>5.13</v>
      </c>
      <c r="L4043" s="2">
        <v>3</v>
      </c>
      <c r="M4043">
        <v>0</v>
      </c>
      <c r="N4043" s="2">
        <v>0</v>
      </c>
      <c r="O4043">
        <v>-2.4</v>
      </c>
      <c r="P4043" t="s">
        <v>100</v>
      </c>
      <c r="Q4043">
        <v>0</v>
      </c>
      <c r="R4043" t="s">
        <v>145</v>
      </c>
      <c r="S4043">
        <v>0</v>
      </c>
    </row>
    <row r="4044" spans="1:19">
      <c r="A4044" t="s">
        <v>35</v>
      </c>
      <c r="B4044" t="s">
        <v>7023</v>
      </c>
      <c r="C4044">
        <f>"6006061"</f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2</v>
      </c>
      <c r="K4044">
        <v>6</v>
      </c>
      <c r="L4044" s="2">
        <v>3</v>
      </c>
      <c r="M4044">
        <v>0</v>
      </c>
      <c r="N4044" s="2">
        <v>0</v>
      </c>
      <c r="O4044">
        <v>-2.4</v>
      </c>
      <c r="P4044" t="s">
        <v>100</v>
      </c>
      <c r="Q4044">
        <v>0</v>
      </c>
      <c r="R4044" t="s">
        <v>145</v>
      </c>
      <c r="S4044">
        <v>0</v>
      </c>
    </row>
    <row r="4045" spans="1:19">
      <c r="A4045" t="s">
        <v>35</v>
      </c>
      <c r="B4045" t="s">
        <v>7024</v>
      </c>
      <c r="C4045">
        <f>"6006060"</f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2</v>
      </c>
      <c r="K4045">
        <v>6</v>
      </c>
      <c r="L4045" s="2">
        <v>3</v>
      </c>
      <c r="M4045">
        <v>0</v>
      </c>
      <c r="N4045" s="2">
        <v>0</v>
      </c>
      <c r="O4045">
        <v>-2.4</v>
      </c>
      <c r="P4045" t="s">
        <v>100</v>
      </c>
      <c r="Q4045">
        <v>0</v>
      </c>
      <c r="R4045" t="s">
        <v>145</v>
      </c>
      <c r="S4045">
        <v>0</v>
      </c>
    </row>
    <row r="4046" spans="1:19">
      <c r="A4046" t="s">
        <v>35</v>
      </c>
      <c r="B4046" t="s">
        <v>2628</v>
      </c>
      <c r="C4046">
        <f>"XQ34XS"</f>
        <v>0</v>
      </c>
      <c r="D4046">
        <v>1</v>
      </c>
      <c r="E4046">
        <v>0</v>
      </c>
      <c r="F4046">
        <v>0</v>
      </c>
      <c r="G4046">
        <v>0</v>
      </c>
      <c r="H4046">
        <v>1</v>
      </c>
      <c r="I4046">
        <v>0</v>
      </c>
      <c r="J4046">
        <v>2</v>
      </c>
      <c r="K4046">
        <v>3.582</v>
      </c>
      <c r="L4046" s="2">
        <v>2</v>
      </c>
      <c r="M4046">
        <v>0</v>
      </c>
      <c r="N4046" s="2">
        <v>0</v>
      </c>
      <c r="O4046">
        <v>-2.4</v>
      </c>
      <c r="P4046" t="s">
        <v>100</v>
      </c>
      <c r="Q4046">
        <v>0</v>
      </c>
      <c r="R4046" t="s">
        <v>145</v>
      </c>
      <c r="S4046">
        <v>0</v>
      </c>
    </row>
    <row r="4047" spans="1:19">
      <c r="A4047" t="s">
        <v>35</v>
      </c>
      <c r="B4047" t="s">
        <v>2627</v>
      </c>
      <c r="C4047">
        <f>"XQ34S"</f>
        <v>0</v>
      </c>
      <c r="D4047">
        <v>1</v>
      </c>
      <c r="E4047">
        <v>0</v>
      </c>
      <c r="F4047">
        <v>0</v>
      </c>
      <c r="G4047">
        <v>0</v>
      </c>
      <c r="H4047">
        <v>1</v>
      </c>
      <c r="I4047">
        <v>0</v>
      </c>
      <c r="J4047">
        <v>2</v>
      </c>
      <c r="K4047">
        <v>3.96</v>
      </c>
      <c r="L4047" s="2">
        <v>2</v>
      </c>
      <c r="M4047">
        <v>0</v>
      </c>
      <c r="N4047" s="2">
        <v>0</v>
      </c>
      <c r="O4047">
        <v>-2.4</v>
      </c>
      <c r="P4047" t="s">
        <v>100</v>
      </c>
      <c r="Q4047">
        <v>0</v>
      </c>
      <c r="R4047" t="s">
        <v>145</v>
      </c>
      <c r="S4047">
        <v>0</v>
      </c>
    </row>
    <row r="4048" spans="1:19">
      <c r="A4048" t="s">
        <v>35</v>
      </c>
      <c r="B4048" t="s">
        <v>7030</v>
      </c>
      <c r="C4048">
        <f>"2071XS"</f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2</v>
      </c>
      <c r="K4048">
        <v>11.61</v>
      </c>
      <c r="L4048" s="2">
        <v>6</v>
      </c>
      <c r="M4048">
        <v>0</v>
      </c>
      <c r="N4048" s="2">
        <v>0</v>
      </c>
      <c r="O4048">
        <v>-2.4</v>
      </c>
      <c r="P4048" t="s">
        <v>100</v>
      </c>
      <c r="Q4048">
        <v>0</v>
      </c>
      <c r="R4048" t="s">
        <v>145</v>
      </c>
      <c r="S4048">
        <v>0</v>
      </c>
    </row>
    <row r="4049" spans="1:19">
      <c r="A4049" t="s">
        <v>35</v>
      </c>
      <c r="B4049" t="s">
        <v>4552</v>
      </c>
      <c r="C4049">
        <f>"1701LR"</f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2</v>
      </c>
      <c r="K4049">
        <v>15.57</v>
      </c>
      <c r="L4049" s="2">
        <v>8</v>
      </c>
      <c r="M4049">
        <v>0</v>
      </c>
      <c r="N4049" s="2">
        <v>0</v>
      </c>
      <c r="O4049">
        <v>-2.4</v>
      </c>
      <c r="P4049" t="s">
        <v>100</v>
      </c>
      <c r="Q4049">
        <v>0</v>
      </c>
      <c r="R4049" t="s">
        <v>145</v>
      </c>
      <c r="S4049">
        <v>0</v>
      </c>
    </row>
    <row r="4050" spans="1:19">
      <c r="A4050" t="s">
        <v>35</v>
      </c>
      <c r="B4050" t="s">
        <v>8167</v>
      </c>
      <c r="C4050">
        <f>"54B1090833XLB"</f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2</v>
      </c>
      <c r="K4050">
        <v>21.564</v>
      </c>
      <c r="L4050" s="2">
        <v>11</v>
      </c>
      <c r="M4050">
        <v>0</v>
      </c>
      <c r="N4050" s="2">
        <v>0</v>
      </c>
      <c r="O4050">
        <v>-2.4</v>
      </c>
      <c r="P4050" t="s">
        <v>100</v>
      </c>
      <c r="Q4050">
        <v>0</v>
      </c>
      <c r="R4050" t="s">
        <v>145</v>
      </c>
      <c r="S4050">
        <v>0</v>
      </c>
    </row>
    <row r="4051" spans="1:19">
      <c r="A4051" t="s">
        <v>35</v>
      </c>
      <c r="B4051" t="s">
        <v>2915</v>
      </c>
      <c r="C4051">
        <f>"970312"</f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2</v>
      </c>
      <c r="K4051">
        <v>4.95</v>
      </c>
      <c r="L4051" s="2">
        <v>2</v>
      </c>
      <c r="M4051">
        <v>0</v>
      </c>
      <c r="N4051" s="2">
        <v>0</v>
      </c>
      <c r="O4051">
        <v>-2.4</v>
      </c>
      <c r="P4051" t="s">
        <v>100</v>
      </c>
      <c r="Q4051">
        <v>0</v>
      </c>
      <c r="R4051" t="s">
        <v>145</v>
      </c>
      <c r="S4051">
        <v>0</v>
      </c>
    </row>
    <row r="4052" spans="1:19">
      <c r="A4052" t="s">
        <v>35</v>
      </c>
      <c r="B4052" t="s">
        <v>2927</v>
      </c>
      <c r="C4052">
        <f>"PR09"</f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2</v>
      </c>
      <c r="K4052">
        <v>5.382</v>
      </c>
      <c r="L4052" s="2">
        <v>3</v>
      </c>
      <c r="M4052">
        <v>0</v>
      </c>
      <c r="N4052" s="2">
        <v>0</v>
      </c>
      <c r="O4052">
        <v>-2.4</v>
      </c>
      <c r="P4052" t="s">
        <v>100</v>
      </c>
      <c r="Q4052">
        <v>0</v>
      </c>
      <c r="R4052" t="s">
        <v>145</v>
      </c>
      <c r="S4052">
        <v>0</v>
      </c>
    </row>
    <row r="4053" spans="1:19">
      <c r="A4053" t="s">
        <v>35</v>
      </c>
      <c r="B4053" t="s">
        <v>2896</v>
      </c>
      <c r="C4053">
        <f>"971314"</f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2</v>
      </c>
      <c r="K4053">
        <v>2.43</v>
      </c>
      <c r="L4053" s="2">
        <v>1</v>
      </c>
      <c r="M4053">
        <v>0</v>
      </c>
      <c r="N4053" s="2">
        <v>0</v>
      </c>
      <c r="O4053">
        <v>-2.4</v>
      </c>
      <c r="P4053" t="s">
        <v>100</v>
      </c>
      <c r="Q4053">
        <v>0</v>
      </c>
      <c r="R4053" t="s">
        <v>145</v>
      </c>
      <c r="S4053">
        <v>0</v>
      </c>
    </row>
    <row r="4054" spans="1:19">
      <c r="A4054" t="s">
        <v>35</v>
      </c>
      <c r="B4054" t="s">
        <v>6998</v>
      </c>
      <c r="C4054">
        <f>"HH088XSAC"</f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2</v>
      </c>
      <c r="K4054">
        <v>14.22</v>
      </c>
      <c r="L4054" s="2">
        <v>7</v>
      </c>
      <c r="M4054">
        <v>0</v>
      </c>
      <c r="N4054" s="2">
        <v>0</v>
      </c>
      <c r="O4054">
        <v>-2.4</v>
      </c>
      <c r="P4054" t="s">
        <v>100</v>
      </c>
      <c r="Q4054">
        <v>0</v>
      </c>
      <c r="R4054" t="s">
        <v>145</v>
      </c>
      <c r="S4054">
        <v>0</v>
      </c>
    </row>
    <row r="4055" spans="1:19">
      <c r="A4055" t="s">
        <v>35</v>
      </c>
      <c r="B4055" t="s">
        <v>9544</v>
      </c>
      <c r="C4055">
        <f>"HH088XLAC"</f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2</v>
      </c>
      <c r="K4055">
        <v>21.42</v>
      </c>
      <c r="L4055" s="2">
        <v>11</v>
      </c>
      <c r="M4055">
        <v>0</v>
      </c>
      <c r="N4055" s="2">
        <v>0</v>
      </c>
      <c r="O4055">
        <v>-2.4</v>
      </c>
      <c r="P4055" t="s">
        <v>100</v>
      </c>
      <c r="Q4055">
        <v>0</v>
      </c>
      <c r="R4055" t="s">
        <v>145</v>
      </c>
      <c r="S4055">
        <v>0</v>
      </c>
    </row>
    <row r="4056" spans="1:19">
      <c r="A4056" t="s">
        <v>35</v>
      </c>
      <c r="B4056" t="s">
        <v>2650</v>
      </c>
      <c r="C4056">
        <f>"EK3001CE"</f>
        <v>0</v>
      </c>
      <c r="D4056">
        <v>1</v>
      </c>
      <c r="E4056">
        <v>0</v>
      </c>
      <c r="F4056">
        <v>0</v>
      </c>
      <c r="G4056">
        <v>0</v>
      </c>
      <c r="H4056">
        <v>1</v>
      </c>
      <c r="I4056">
        <v>0</v>
      </c>
      <c r="J4056">
        <v>2</v>
      </c>
      <c r="K4056">
        <v>1.53</v>
      </c>
      <c r="L4056" s="2">
        <v>1</v>
      </c>
      <c r="M4056">
        <v>0</v>
      </c>
      <c r="N4056" s="2">
        <v>0</v>
      </c>
      <c r="O4056">
        <v>-2.4</v>
      </c>
      <c r="P4056" t="s">
        <v>100</v>
      </c>
      <c r="Q4056">
        <v>0</v>
      </c>
      <c r="R4056" t="s">
        <v>145</v>
      </c>
      <c r="S4056">
        <v>0</v>
      </c>
    </row>
    <row r="4057" spans="1:19">
      <c r="A4057" t="s">
        <v>35</v>
      </c>
      <c r="B4057" t="s">
        <v>4710</v>
      </c>
      <c r="C4057">
        <f>"1042HIELO"</f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2</v>
      </c>
      <c r="K4057">
        <v>23.382</v>
      </c>
      <c r="L4057" s="2">
        <v>12</v>
      </c>
      <c r="M4057">
        <v>0</v>
      </c>
      <c r="N4057" s="2">
        <v>0</v>
      </c>
      <c r="O4057">
        <v>-2.4</v>
      </c>
      <c r="P4057" t="s">
        <v>100</v>
      </c>
      <c r="Q4057">
        <v>0</v>
      </c>
      <c r="R4057" t="s">
        <v>145</v>
      </c>
      <c r="S4057">
        <v>0</v>
      </c>
    </row>
    <row r="4058" spans="1:19">
      <c r="A4058" t="s">
        <v>35</v>
      </c>
      <c r="B4058" t="s">
        <v>6871</v>
      </c>
      <c r="C4058">
        <f>"jw0121A"</f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2</v>
      </c>
      <c r="K4058">
        <v>1.53</v>
      </c>
      <c r="L4058" s="2">
        <v>1</v>
      </c>
      <c r="M4058">
        <v>0</v>
      </c>
      <c r="N4058" s="2">
        <v>0</v>
      </c>
      <c r="O4058">
        <v>-2.4</v>
      </c>
      <c r="P4058" t="s">
        <v>100</v>
      </c>
      <c r="Q4058">
        <v>0</v>
      </c>
      <c r="R4058" t="s">
        <v>145</v>
      </c>
      <c r="S4058">
        <v>0</v>
      </c>
    </row>
    <row r="4059" spans="1:19">
      <c r="A4059" t="s">
        <v>35</v>
      </c>
      <c r="B4059" t="s">
        <v>10010</v>
      </c>
      <c r="C4059">
        <f>"HP112M"</f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2</v>
      </c>
      <c r="K4059">
        <v>8.550000000000001</v>
      </c>
      <c r="L4059" s="2">
        <v>4</v>
      </c>
      <c r="M4059">
        <v>0</v>
      </c>
      <c r="N4059" s="2">
        <v>0</v>
      </c>
      <c r="O4059">
        <v>-2.4</v>
      </c>
      <c r="P4059" t="s">
        <v>100</v>
      </c>
      <c r="Q4059">
        <v>0</v>
      </c>
      <c r="R4059" t="s">
        <v>145</v>
      </c>
      <c r="S4059">
        <v>0</v>
      </c>
    </row>
    <row r="4060" spans="1:19">
      <c r="A4060" t="s">
        <v>35</v>
      </c>
      <c r="B4060" t="s">
        <v>9919</v>
      </c>
      <c r="C4060">
        <f>"HP111L"</f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2</v>
      </c>
      <c r="K4060">
        <v>5.22</v>
      </c>
      <c r="L4060" s="2">
        <v>3</v>
      </c>
      <c r="M4060">
        <v>0</v>
      </c>
      <c r="N4060" s="2">
        <v>0</v>
      </c>
      <c r="O4060">
        <v>-2.4</v>
      </c>
      <c r="P4060" t="s">
        <v>100</v>
      </c>
      <c r="Q4060">
        <v>0</v>
      </c>
      <c r="R4060" t="s">
        <v>145</v>
      </c>
      <c r="S4060">
        <v>0</v>
      </c>
    </row>
    <row r="4061" spans="1:19">
      <c r="A4061" t="s">
        <v>35</v>
      </c>
      <c r="B4061" t="s">
        <v>4543</v>
      </c>
      <c r="C4061">
        <f>"jw9013V"</f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2</v>
      </c>
      <c r="K4061">
        <v>5.202</v>
      </c>
      <c r="L4061" s="2">
        <v>3</v>
      </c>
      <c r="M4061">
        <v>0</v>
      </c>
      <c r="N4061" s="2">
        <v>0</v>
      </c>
      <c r="O4061">
        <v>-2.4</v>
      </c>
      <c r="P4061" t="s">
        <v>100</v>
      </c>
      <c r="Q4061">
        <v>0</v>
      </c>
      <c r="R4061" t="s">
        <v>145</v>
      </c>
      <c r="S4061">
        <v>0</v>
      </c>
    </row>
    <row r="4062" spans="1:19">
      <c r="A4062" t="s">
        <v>35</v>
      </c>
      <c r="B4062" t="s">
        <v>7031</v>
      </c>
      <c r="C4062">
        <f>"2071S"</f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2</v>
      </c>
      <c r="K4062">
        <v>12.33</v>
      </c>
      <c r="L4062" s="2">
        <v>6</v>
      </c>
      <c r="M4062">
        <v>0</v>
      </c>
      <c r="N4062" s="2">
        <v>0</v>
      </c>
      <c r="O4062">
        <v>-2.4</v>
      </c>
      <c r="P4062" t="s">
        <v>100</v>
      </c>
      <c r="Q4062">
        <v>0</v>
      </c>
      <c r="R4062" t="s">
        <v>145</v>
      </c>
      <c r="S4062">
        <v>0</v>
      </c>
    </row>
    <row r="4063" spans="1:19">
      <c r="A4063" t="s">
        <v>35</v>
      </c>
      <c r="B4063" t="s">
        <v>4999</v>
      </c>
      <c r="C4063">
        <f>"1837PBL"</f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2</v>
      </c>
      <c r="K4063">
        <v>7.56</v>
      </c>
      <c r="L4063" s="2">
        <v>4</v>
      </c>
      <c r="M4063">
        <v>0</v>
      </c>
      <c r="N4063" s="2">
        <v>0</v>
      </c>
      <c r="O4063">
        <v>-2.4</v>
      </c>
      <c r="P4063" t="s">
        <v>100</v>
      </c>
      <c r="Q4063">
        <v>0</v>
      </c>
      <c r="R4063" t="s">
        <v>145</v>
      </c>
      <c r="S4063">
        <v>0</v>
      </c>
    </row>
    <row r="4064" spans="1:19">
      <c r="A4064" t="s">
        <v>35</v>
      </c>
      <c r="B4064" t="s">
        <v>2644</v>
      </c>
      <c r="C4064">
        <f>"9001163R"</f>
        <v>0</v>
      </c>
      <c r="D4064">
        <v>0</v>
      </c>
      <c r="E4064">
        <v>0</v>
      </c>
      <c r="F4064">
        <v>1</v>
      </c>
      <c r="G4064">
        <v>0</v>
      </c>
      <c r="H4064">
        <v>1</v>
      </c>
      <c r="I4064">
        <v>0</v>
      </c>
      <c r="J4064">
        <v>2</v>
      </c>
      <c r="K4064">
        <v>1.962</v>
      </c>
      <c r="L4064" s="2">
        <v>1</v>
      </c>
      <c r="M4064">
        <v>0</v>
      </c>
      <c r="N4064" s="2">
        <v>0</v>
      </c>
      <c r="O4064">
        <v>-2.4</v>
      </c>
      <c r="P4064" t="s">
        <v>100</v>
      </c>
      <c r="Q4064">
        <v>0</v>
      </c>
      <c r="R4064" t="s">
        <v>145</v>
      </c>
      <c r="S4064">
        <v>0</v>
      </c>
    </row>
    <row r="4065" spans="1:19">
      <c r="A4065" t="s">
        <v>35</v>
      </c>
      <c r="B4065" t="s">
        <v>7015</v>
      </c>
      <c r="C4065">
        <f>"15448S"</f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2</v>
      </c>
      <c r="K4065">
        <v>14.13</v>
      </c>
      <c r="L4065" s="2">
        <v>7</v>
      </c>
      <c r="M4065">
        <v>0</v>
      </c>
      <c r="N4065" s="2">
        <v>0</v>
      </c>
      <c r="O4065">
        <v>-2.4</v>
      </c>
      <c r="P4065" t="s">
        <v>100</v>
      </c>
      <c r="Q4065">
        <v>0</v>
      </c>
      <c r="R4065" t="s">
        <v>145</v>
      </c>
      <c r="S4065">
        <v>0</v>
      </c>
    </row>
    <row r="4066" spans="1:19">
      <c r="A4066" t="s">
        <v>35</v>
      </c>
      <c r="B4066" t="s">
        <v>8329</v>
      </c>
      <c r="C4066">
        <f>"DC3100A"</f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2</v>
      </c>
      <c r="K4066">
        <v>0</v>
      </c>
      <c r="L4066" s="2">
        <v>0</v>
      </c>
      <c r="M4066">
        <v>0</v>
      </c>
      <c r="N4066" s="2">
        <v>0</v>
      </c>
      <c r="O4066">
        <v>-2.4</v>
      </c>
      <c r="P4066" t="s">
        <v>100</v>
      </c>
      <c r="Q4066">
        <v>0</v>
      </c>
      <c r="R4066" t="s">
        <v>145</v>
      </c>
      <c r="S4066">
        <v>0</v>
      </c>
    </row>
    <row r="4067" spans="1:19">
      <c r="A4067" t="s">
        <v>35</v>
      </c>
      <c r="B4067" t="s">
        <v>4347</v>
      </c>
      <c r="C4067">
        <f>"SA1RO"</f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2</v>
      </c>
      <c r="K4067">
        <v>26.82</v>
      </c>
      <c r="L4067" s="2">
        <v>13</v>
      </c>
      <c r="M4067">
        <v>0</v>
      </c>
      <c r="N4067" s="2">
        <v>0</v>
      </c>
      <c r="O4067">
        <v>-2.4</v>
      </c>
      <c r="P4067" t="s">
        <v>100</v>
      </c>
      <c r="Q4067">
        <v>0</v>
      </c>
      <c r="R4067" t="s">
        <v>145</v>
      </c>
      <c r="S4067">
        <v>0</v>
      </c>
    </row>
    <row r="4068" spans="1:19">
      <c r="A4068" t="s">
        <v>35</v>
      </c>
      <c r="B4068" t="s">
        <v>3712</v>
      </c>
      <c r="C4068">
        <f>"PT004N"</f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2</v>
      </c>
      <c r="K4068">
        <v>10.782</v>
      </c>
      <c r="L4068" s="2">
        <v>5</v>
      </c>
      <c r="M4068">
        <v>0</v>
      </c>
      <c r="N4068" s="2">
        <v>0</v>
      </c>
      <c r="O4068">
        <v>-2.4</v>
      </c>
      <c r="P4068" t="s">
        <v>100</v>
      </c>
      <c r="Q4068">
        <v>0</v>
      </c>
      <c r="R4068" t="s">
        <v>145</v>
      </c>
      <c r="S4068">
        <v>0</v>
      </c>
    </row>
    <row r="4069" spans="1:19">
      <c r="A4069" t="s">
        <v>35</v>
      </c>
      <c r="B4069" t="s">
        <v>3204</v>
      </c>
      <c r="C4069">
        <f>"B115044LB"</f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2</v>
      </c>
      <c r="K4069">
        <v>8.1</v>
      </c>
      <c r="L4069" s="2">
        <v>4</v>
      </c>
      <c r="M4069">
        <v>0</v>
      </c>
      <c r="N4069" s="2">
        <v>0</v>
      </c>
      <c r="O4069">
        <v>-2.4</v>
      </c>
      <c r="P4069" t="s">
        <v>100</v>
      </c>
      <c r="Q4069">
        <v>0</v>
      </c>
      <c r="R4069" t="s">
        <v>145</v>
      </c>
      <c r="S4069">
        <v>0</v>
      </c>
    </row>
    <row r="4070" spans="1:19">
      <c r="A4070" t="s">
        <v>35</v>
      </c>
      <c r="B4070" t="s">
        <v>3207</v>
      </c>
      <c r="C4070">
        <f>"B1150443XLG"</f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2</v>
      </c>
      <c r="K4070">
        <v>12.6</v>
      </c>
      <c r="L4070" s="2">
        <v>6</v>
      </c>
      <c r="M4070">
        <v>0</v>
      </c>
      <c r="N4070" s="2">
        <v>0</v>
      </c>
      <c r="O4070">
        <v>-2.4</v>
      </c>
      <c r="P4070" t="s">
        <v>100</v>
      </c>
      <c r="Q4070">
        <v>0</v>
      </c>
      <c r="R4070" t="s">
        <v>145</v>
      </c>
      <c r="S4070">
        <v>0</v>
      </c>
    </row>
    <row r="4071" spans="1:19">
      <c r="A4071" t="s">
        <v>35</v>
      </c>
      <c r="B4071" t="s">
        <v>8282</v>
      </c>
      <c r="C4071">
        <f>"RTW04VE"</f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2</v>
      </c>
      <c r="K4071">
        <v>7.02</v>
      </c>
      <c r="L4071" s="2">
        <v>4</v>
      </c>
      <c r="M4071">
        <v>0</v>
      </c>
      <c r="N4071" s="2">
        <v>0</v>
      </c>
      <c r="O4071">
        <v>-2.4</v>
      </c>
      <c r="P4071" t="s">
        <v>100</v>
      </c>
      <c r="Q4071">
        <v>0</v>
      </c>
      <c r="R4071" t="s">
        <v>145</v>
      </c>
      <c r="S4071">
        <v>0</v>
      </c>
    </row>
    <row r="4072" spans="1:19">
      <c r="A4072" t="s">
        <v>35</v>
      </c>
      <c r="B4072" t="s">
        <v>8398</v>
      </c>
      <c r="C4072">
        <f>"HDD166G"</f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2</v>
      </c>
      <c r="K4072">
        <v>2.43</v>
      </c>
      <c r="L4072" s="2">
        <v>1</v>
      </c>
      <c r="M4072">
        <v>0</v>
      </c>
      <c r="N4072" s="2">
        <v>0</v>
      </c>
      <c r="O4072">
        <v>-2.4</v>
      </c>
      <c r="P4072" t="s">
        <v>100</v>
      </c>
      <c r="Q4072">
        <v>0</v>
      </c>
      <c r="R4072" t="s">
        <v>145</v>
      </c>
      <c r="S4072">
        <v>0</v>
      </c>
    </row>
    <row r="4073" spans="1:19">
      <c r="A4073" t="s">
        <v>35</v>
      </c>
      <c r="B4073" t="s">
        <v>2206</v>
      </c>
      <c r="C4073">
        <f>"TQ107R"</f>
        <v>0</v>
      </c>
      <c r="D4073">
        <v>0</v>
      </c>
      <c r="E4073">
        <v>0</v>
      </c>
      <c r="F4073">
        <v>2</v>
      </c>
      <c r="G4073">
        <v>0</v>
      </c>
      <c r="H4073">
        <v>2</v>
      </c>
      <c r="I4073">
        <v>0</v>
      </c>
      <c r="J4073">
        <v>2</v>
      </c>
      <c r="K4073">
        <v>846</v>
      </c>
      <c r="L4073" s="2">
        <v>423</v>
      </c>
      <c r="M4073">
        <v>0</v>
      </c>
      <c r="N4073" s="2">
        <v>0</v>
      </c>
      <c r="O4073">
        <v>-2.4</v>
      </c>
      <c r="P4073" t="s">
        <v>100</v>
      </c>
      <c r="Q4073">
        <v>0</v>
      </c>
      <c r="R4073" t="s">
        <v>145</v>
      </c>
      <c r="S4073">
        <v>0</v>
      </c>
    </row>
    <row r="4074" spans="1:19">
      <c r="A4074" t="s">
        <v>35</v>
      </c>
      <c r="B4074" t="s">
        <v>10007</v>
      </c>
      <c r="C4074">
        <f>"DN02"</f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2</v>
      </c>
      <c r="K4074">
        <v>4.77</v>
      </c>
      <c r="L4074" s="2">
        <v>2</v>
      </c>
      <c r="M4074">
        <v>0</v>
      </c>
      <c r="N4074" s="2">
        <v>0</v>
      </c>
      <c r="O4074">
        <v>-2.4</v>
      </c>
      <c r="P4074" t="s">
        <v>100</v>
      </c>
      <c r="Q4074">
        <v>0</v>
      </c>
      <c r="R4074" t="s">
        <v>145</v>
      </c>
      <c r="S4074">
        <v>0</v>
      </c>
    </row>
    <row r="4075" spans="1:19">
      <c r="A4075" t="s">
        <v>35</v>
      </c>
      <c r="B4075" t="s">
        <v>2825</v>
      </c>
      <c r="C4075">
        <f>"B116003XSV"</f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2</v>
      </c>
      <c r="K4075">
        <v>15.3</v>
      </c>
      <c r="L4075" s="2">
        <v>8</v>
      </c>
      <c r="M4075">
        <v>0</v>
      </c>
      <c r="N4075" s="2">
        <v>0</v>
      </c>
      <c r="O4075">
        <v>-2.4</v>
      </c>
      <c r="P4075" t="s">
        <v>100</v>
      </c>
      <c r="Q4075">
        <v>0</v>
      </c>
      <c r="R4075" t="s">
        <v>145</v>
      </c>
      <c r="S4075">
        <v>0</v>
      </c>
    </row>
    <row r="4076" spans="1:19">
      <c r="A4076" t="s">
        <v>35</v>
      </c>
      <c r="B4076" t="s">
        <v>4878</v>
      </c>
      <c r="C4076">
        <f>"S95"</f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2</v>
      </c>
      <c r="K4076">
        <v>26.82</v>
      </c>
      <c r="L4076" s="2">
        <v>13</v>
      </c>
      <c r="M4076">
        <v>0</v>
      </c>
      <c r="N4076" s="2">
        <v>0</v>
      </c>
      <c r="O4076">
        <v>-2.4</v>
      </c>
      <c r="P4076" t="s">
        <v>100</v>
      </c>
      <c r="Q4076">
        <v>0</v>
      </c>
      <c r="R4076" t="s">
        <v>145</v>
      </c>
      <c r="S4076">
        <v>0</v>
      </c>
    </row>
    <row r="4077" spans="1:19">
      <c r="A4077" t="s">
        <v>35</v>
      </c>
      <c r="B4077" t="s">
        <v>2563</v>
      </c>
      <c r="C4077">
        <f>"LS173N"</f>
        <v>0</v>
      </c>
      <c r="D4077">
        <v>0</v>
      </c>
      <c r="E4077">
        <v>1</v>
      </c>
      <c r="F4077">
        <v>0</v>
      </c>
      <c r="G4077">
        <v>0</v>
      </c>
      <c r="H4077">
        <v>1</v>
      </c>
      <c r="I4077">
        <v>0</v>
      </c>
      <c r="J4077">
        <v>2</v>
      </c>
      <c r="K4077">
        <v>12.42</v>
      </c>
      <c r="L4077" s="2">
        <v>6</v>
      </c>
      <c r="M4077">
        <v>0</v>
      </c>
      <c r="N4077" s="2">
        <v>0</v>
      </c>
      <c r="O4077">
        <v>-2.4</v>
      </c>
      <c r="P4077" t="s">
        <v>100</v>
      </c>
      <c r="Q4077">
        <v>0</v>
      </c>
      <c r="R4077" t="s">
        <v>145</v>
      </c>
      <c r="S4077">
        <v>0</v>
      </c>
    </row>
    <row r="4078" spans="1:19">
      <c r="A4078" t="s">
        <v>35</v>
      </c>
      <c r="B4078" t="s">
        <v>6743</v>
      </c>
      <c r="C4078">
        <f>"CPCWBM001L"</f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2</v>
      </c>
      <c r="K4078">
        <v>0</v>
      </c>
      <c r="L4078" s="2">
        <v>0</v>
      </c>
      <c r="M4078">
        <v>0</v>
      </c>
      <c r="N4078" s="2">
        <v>0</v>
      </c>
      <c r="O4078">
        <v>-2.4</v>
      </c>
      <c r="P4078" t="s">
        <v>100</v>
      </c>
      <c r="Q4078">
        <v>0</v>
      </c>
      <c r="R4078" t="s">
        <v>145</v>
      </c>
      <c r="S4078">
        <v>0</v>
      </c>
    </row>
    <row r="4079" spans="1:19">
      <c r="A4079" t="s">
        <v>35</v>
      </c>
      <c r="B4079" t="s">
        <v>6754</v>
      </c>
      <c r="C4079">
        <f>"JWZ2012H"</f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2</v>
      </c>
      <c r="K4079">
        <v>1.242</v>
      </c>
      <c r="L4079" s="2">
        <v>1</v>
      </c>
      <c r="M4079">
        <v>0</v>
      </c>
      <c r="N4079" s="2">
        <v>0</v>
      </c>
      <c r="O4079">
        <v>-2.4</v>
      </c>
      <c r="P4079" t="s">
        <v>100</v>
      </c>
      <c r="Q4079">
        <v>0</v>
      </c>
      <c r="R4079" t="s">
        <v>145</v>
      </c>
      <c r="S4079">
        <v>0</v>
      </c>
    </row>
    <row r="4080" spans="1:19">
      <c r="A4080" t="s">
        <v>35</v>
      </c>
      <c r="B4080" t="s">
        <v>6755</v>
      </c>
      <c r="C4080">
        <f>"JWZ2001D"</f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2</v>
      </c>
      <c r="K4080">
        <v>0</v>
      </c>
      <c r="L4080" s="2">
        <v>0</v>
      </c>
      <c r="M4080">
        <v>0</v>
      </c>
      <c r="N4080" s="2">
        <v>0</v>
      </c>
      <c r="O4080">
        <v>-2.4</v>
      </c>
      <c r="P4080" t="s">
        <v>100</v>
      </c>
      <c r="Q4080">
        <v>0</v>
      </c>
      <c r="R4080" t="s">
        <v>145</v>
      </c>
      <c r="S4080">
        <v>0</v>
      </c>
    </row>
    <row r="4081" spans="1:19">
      <c r="A4081" t="s">
        <v>35</v>
      </c>
      <c r="B4081" t="s">
        <v>4418</v>
      </c>
      <c r="C4081">
        <f>"25395863"</f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2</v>
      </c>
      <c r="K4081">
        <v>9.185</v>
      </c>
      <c r="L4081" s="2">
        <v>5</v>
      </c>
      <c r="M4081">
        <v>0</v>
      </c>
      <c r="N4081" s="2">
        <v>0</v>
      </c>
      <c r="O4081">
        <v>-2.4</v>
      </c>
      <c r="P4081" t="s">
        <v>100</v>
      </c>
      <c r="Q4081">
        <v>0</v>
      </c>
      <c r="R4081" t="s">
        <v>145</v>
      </c>
      <c r="S4081">
        <v>0</v>
      </c>
    </row>
    <row r="4082" spans="1:19">
      <c r="A4082" t="s">
        <v>35</v>
      </c>
      <c r="B4082" t="s">
        <v>4419</v>
      </c>
      <c r="C4082">
        <f>"25395864"</f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2</v>
      </c>
      <c r="K4082">
        <v>10.112</v>
      </c>
      <c r="L4082" s="2">
        <v>5</v>
      </c>
      <c r="M4082">
        <v>0</v>
      </c>
      <c r="N4082" s="2">
        <v>0</v>
      </c>
      <c r="O4082">
        <v>-2.4</v>
      </c>
      <c r="P4082" t="s">
        <v>100</v>
      </c>
      <c r="Q4082">
        <v>0</v>
      </c>
      <c r="R4082" t="s">
        <v>145</v>
      </c>
      <c r="S4082">
        <v>0</v>
      </c>
    </row>
    <row r="4083" spans="1:19">
      <c r="A4083" t="s">
        <v>35</v>
      </c>
      <c r="B4083" t="s">
        <v>4886</v>
      </c>
      <c r="C4083">
        <f>"PQ113G"</f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2</v>
      </c>
      <c r="K4083">
        <v>2.61</v>
      </c>
      <c r="L4083" s="2">
        <v>1</v>
      </c>
      <c r="M4083">
        <v>0</v>
      </c>
      <c r="N4083" s="2">
        <v>0</v>
      </c>
      <c r="O4083">
        <v>-2.4</v>
      </c>
      <c r="P4083" t="s">
        <v>100</v>
      </c>
      <c r="Q4083">
        <v>0</v>
      </c>
      <c r="R4083" t="s">
        <v>145</v>
      </c>
      <c r="S4083">
        <v>0</v>
      </c>
    </row>
    <row r="4084" spans="1:19">
      <c r="A4084" t="s">
        <v>35</v>
      </c>
      <c r="B4084" t="s">
        <v>4185</v>
      </c>
      <c r="C4084">
        <f>"B116003SA"</f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2</v>
      </c>
      <c r="K4084">
        <v>15.57</v>
      </c>
      <c r="L4084" s="2">
        <v>8</v>
      </c>
      <c r="M4084">
        <v>0</v>
      </c>
      <c r="N4084" s="2">
        <v>0</v>
      </c>
      <c r="O4084">
        <v>-2.4</v>
      </c>
      <c r="P4084" t="s">
        <v>100</v>
      </c>
      <c r="Q4084">
        <v>0</v>
      </c>
      <c r="R4084" t="s">
        <v>145</v>
      </c>
      <c r="S4084">
        <v>0</v>
      </c>
    </row>
    <row r="4085" spans="1:19">
      <c r="A4085" t="s">
        <v>35</v>
      </c>
      <c r="B4085" t="s">
        <v>4170</v>
      </c>
      <c r="C4085">
        <f>"B116003MV"</f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2</v>
      </c>
      <c r="K4085">
        <v>15.93</v>
      </c>
      <c r="L4085" s="2">
        <v>8</v>
      </c>
      <c r="M4085">
        <v>0</v>
      </c>
      <c r="N4085" s="2">
        <v>0</v>
      </c>
      <c r="O4085">
        <v>-2.4</v>
      </c>
      <c r="P4085" t="s">
        <v>100</v>
      </c>
      <c r="Q4085">
        <v>0</v>
      </c>
      <c r="R4085" t="s">
        <v>145</v>
      </c>
      <c r="S4085">
        <v>0</v>
      </c>
    </row>
    <row r="4086" spans="1:19">
      <c r="A4086" t="s">
        <v>35</v>
      </c>
      <c r="B4086" t="s">
        <v>4171</v>
      </c>
      <c r="C4086">
        <f>"B116003MM"</f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2</v>
      </c>
      <c r="K4086">
        <v>15.93</v>
      </c>
      <c r="L4086" s="2">
        <v>8</v>
      </c>
      <c r="M4086">
        <v>0</v>
      </c>
      <c r="N4086" s="2">
        <v>0</v>
      </c>
      <c r="O4086">
        <v>-2.4</v>
      </c>
      <c r="P4086" t="s">
        <v>100</v>
      </c>
      <c r="Q4086">
        <v>0</v>
      </c>
      <c r="R4086" t="s">
        <v>145</v>
      </c>
      <c r="S4086">
        <v>0</v>
      </c>
    </row>
    <row r="4087" spans="1:19">
      <c r="A4087" t="s">
        <v>35</v>
      </c>
      <c r="B4087" t="s">
        <v>7950</v>
      </c>
      <c r="C4087">
        <f>"SL209B"</f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2</v>
      </c>
      <c r="K4087">
        <v>8.1</v>
      </c>
      <c r="L4087" s="2">
        <v>4</v>
      </c>
      <c r="M4087">
        <v>0</v>
      </c>
      <c r="N4087" s="2">
        <v>0</v>
      </c>
      <c r="O4087">
        <v>-2.4</v>
      </c>
      <c r="P4087" t="s">
        <v>100</v>
      </c>
      <c r="Q4087">
        <v>0</v>
      </c>
      <c r="R4087" t="s">
        <v>145</v>
      </c>
      <c r="S4087">
        <v>0</v>
      </c>
    </row>
    <row r="4088" spans="1:19">
      <c r="A4088" t="s">
        <v>35</v>
      </c>
      <c r="B4088" t="s">
        <v>2445</v>
      </c>
      <c r="C4088">
        <f>"HP111XL"</f>
        <v>0</v>
      </c>
      <c r="D4088">
        <v>0</v>
      </c>
      <c r="E4088">
        <v>1</v>
      </c>
      <c r="F4088">
        <v>0</v>
      </c>
      <c r="G4088">
        <v>0</v>
      </c>
      <c r="H4088">
        <v>1</v>
      </c>
      <c r="I4088">
        <v>0</v>
      </c>
      <c r="J4088">
        <v>2</v>
      </c>
      <c r="K4088">
        <v>5.76</v>
      </c>
      <c r="L4088" s="2">
        <v>3</v>
      </c>
      <c r="M4088">
        <v>0</v>
      </c>
      <c r="N4088" s="2">
        <v>0</v>
      </c>
      <c r="O4088">
        <v>-2.4</v>
      </c>
      <c r="P4088" t="s">
        <v>100</v>
      </c>
      <c r="Q4088">
        <v>0</v>
      </c>
      <c r="R4088" t="s">
        <v>145</v>
      </c>
      <c r="S4088">
        <v>0</v>
      </c>
    </row>
    <row r="4089" spans="1:19">
      <c r="A4089" t="s">
        <v>35</v>
      </c>
      <c r="B4089" t="s">
        <v>9437</v>
      </c>
      <c r="C4089">
        <f>"SP02310"</f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2</v>
      </c>
      <c r="K4089">
        <v>3.3</v>
      </c>
      <c r="L4089" s="2">
        <v>2</v>
      </c>
      <c r="M4089">
        <v>0</v>
      </c>
      <c r="N4089" s="2">
        <v>0</v>
      </c>
      <c r="O4089">
        <v>-2.4</v>
      </c>
      <c r="P4089" t="s">
        <v>100</v>
      </c>
      <c r="Q4089">
        <v>0</v>
      </c>
      <c r="R4089" t="s">
        <v>145</v>
      </c>
      <c r="S4089">
        <v>0</v>
      </c>
    </row>
    <row r="4090" spans="1:19">
      <c r="A4090" t="s">
        <v>35</v>
      </c>
      <c r="B4090" t="s">
        <v>4874</v>
      </c>
      <c r="C4090">
        <f>"LS196N"</f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2</v>
      </c>
      <c r="K4090">
        <v>19.62</v>
      </c>
      <c r="L4090" s="2">
        <v>10</v>
      </c>
      <c r="M4090">
        <v>0</v>
      </c>
      <c r="N4090" s="2">
        <v>0</v>
      </c>
      <c r="O4090">
        <v>-2.4</v>
      </c>
      <c r="P4090" t="s">
        <v>100</v>
      </c>
      <c r="Q4090">
        <v>0</v>
      </c>
      <c r="R4090" t="s">
        <v>145</v>
      </c>
      <c r="S4090">
        <v>0</v>
      </c>
    </row>
    <row r="4091" spans="1:19">
      <c r="A4091" t="s">
        <v>35</v>
      </c>
      <c r="B4091" t="s">
        <v>8173</v>
      </c>
      <c r="C4091">
        <f>"54B109073MR"</f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2</v>
      </c>
      <c r="K4091">
        <v>13.104</v>
      </c>
      <c r="L4091" s="2">
        <v>7</v>
      </c>
      <c r="M4091">
        <v>0</v>
      </c>
      <c r="N4091" s="2">
        <v>0</v>
      </c>
      <c r="O4091">
        <v>-2.4</v>
      </c>
      <c r="P4091" t="s">
        <v>100</v>
      </c>
      <c r="Q4091">
        <v>0</v>
      </c>
      <c r="R4091" t="s">
        <v>145</v>
      </c>
      <c r="S4091">
        <v>0</v>
      </c>
    </row>
    <row r="4092" spans="1:19">
      <c r="A4092" t="s">
        <v>35</v>
      </c>
      <c r="B4092" t="s">
        <v>8176</v>
      </c>
      <c r="C4092">
        <f>"54B1090733XLR"</f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2</v>
      </c>
      <c r="K4092">
        <v>19.566</v>
      </c>
      <c r="L4092" s="2">
        <v>10</v>
      </c>
      <c r="M4092">
        <v>0</v>
      </c>
      <c r="N4092" s="2">
        <v>0</v>
      </c>
      <c r="O4092">
        <v>-2.4</v>
      </c>
      <c r="P4092" t="s">
        <v>100</v>
      </c>
      <c r="Q4092">
        <v>0</v>
      </c>
      <c r="R4092" t="s">
        <v>145</v>
      </c>
      <c r="S4092">
        <v>0</v>
      </c>
    </row>
    <row r="4093" spans="1:19">
      <c r="A4093" t="s">
        <v>35</v>
      </c>
      <c r="B4093" t="s">
        <v>8177</v>
      </c>
      <c r="C4093">
        <f>"54B1090732XLR"</f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2</v>
      </c>
      <c r="K4093">
        <v>17.73</v>
      </c>
      <c r="L4093" s="2">
        <v>9</v>
      </c>
      <c r="M4093">
        <v>0</v>
      </c>
      <c r="N4093" s="2">
        <v>0</v>
      </c>
      <c r="O4093">
        <v>-2.4</v>
      </c>
      <c r="P4093" t="s">
        <v>100</v>
      </c>
      <c r="Q4093">
        <v>0</v>
      </c>
      <c r="R4093" t="s">
        <v>145</v>
      </c>
      <c r="S4093">
        <v>0</v>
      </c>
    </row>
    <row r="4094" spans="1:19">
      <c r="A4094" t="s">
        <v>35</v>
      </c>
      <c r="B4094" t="s">
        <v>8179</v>
      </c>
      <c r="C4094">
        <f>"54B109073XLG"</f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2</v>
      </c>
      <c r="K4094">
        <v>16.632</v>
      </c>
      <c r="L4094" s="2">
        <v>8</v>
      </c>
      <c r="M4094">
        <v>0</v>
      </c>
      <c r="N4094" s="2">
        <v>0</v>
      </c>
      <c r="O4094">
        <v>-2.4</v>
      </c>
      <c r="P4094" t="s">
        <v>100</v>
      </c>
      <c r="Q4094">
        <v>0</v>
      </c>
      <c r="R4094" t="s">
        <v>145</v>
      </c>
      <c r="S4094">
        <v>0</v>
      </c>
    </row>
    <row r="4095" spans="1:19">
      <c r="A4095" t="s">
        <v>35</v>
      </c>
      <c r="B4095" t="s">
        <v>8181</v>
      </c>
      <c r="C4095">
        <f>"54B109073MG"</f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2</v>
      </c>
      <c r="K4095">
        <v>13.104</v>
      </c>
      <c r="L4095" s="2">
        <v>7</v>
      </c>
      <c r="M4095">
        <v>0</v>
      </c>
      <c r="N4095" s="2">
        <v>0</v>
      </c>
      <c r="O4095">
        <v>-2.4</v>
      </c>
      <c r="P4095" t="s">
        <v>100</v>
      </c>
      <c r="Q4095">
        <v>0</v>
      </c>
      <c r="R4095" t="s">
        <v>145</v>
      </c>
      <c r="S4095">
        <v>0</v>
      </c>
    </row>
    <row r="4096" spans="1:19">
      <c r="A4096" t="s">
        <v>35</v>
      </c>
      <c r="B4096" t="s">
        <v>8213</v>
      </c>
      <c r="C4096">
        <f>"54B1090733XLG"</f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2</v>
      </c>
      <c r="K4096">
        <v>19.566</v>
      </c>
      <c r="L4096" s="2">
        <v>10</v>
      </c>
      <c r="M4096">
        <v>0</v>
      </c>
      <c r="N4096" s="2">
        <v>0</v>
      </c>
      <c r="O4096">
        <v>-2.4</v>
      </c>
      <c r="P4096" t="s">
        <v>100</v>
      </c>
      <c r="Q4096">
        <v>0</v>
      </c>
      <c r="R4096" t="s">
        <v>145</v>
      </c>
      <c r="S4096">
        <v>0</v>
      </c>
    </row>
    <row r="4097" spans="1:19">
      <c r="A4097" t="s">
        <v>35</v>
      </c>
      <c r="B4097" t="s">
        <v>2884</v>
      </c>
      <c r="C4097">
        <f>"JY06"</f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2</v>
      </c>
      <c r="K4097">
        <v>3.96</v>
      </c>
      <c r="L4097" s="2">
        <v>2</v>
      </c>
      <c r="M4097">
        <v>0</v>
      </c>
      <c r="N4097" s="2">
        <v>0</v>
      </c>
      <c r="O4097">
        <v>-2.4</v>
      </c>
      <c r="P4097" t="s">
        <v>100</v>
      </c>
      <c r="Q4097">
        <v>0</v>
      </c>
      <c r="R4097" t="s">
        <v>145</v>
      </c>
      <c r="S4097">
        <v>0</v>
      </c>
    </row>
    <row r="4098" spans="1:19">
      <c r="A4098" t="s">
        <v>35</v>
      </c>
      <c r="B4098" t="s">
        <v>6698</v>
      </c>
      <c r="C4098">
        <f>"1761CCELESTEXL"</f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2</v>
      </c>
      <c r="K4098">
        <v>6.822</v>
      </c>
      <c r="L4098" s="2">
        <v>3</v>
      </c>
      <c r="M4098">
        <v>0</v>
      </c>
      <c r="N4098" s="2">
        <v>0</v>
      </c>
      <c r="O4098">
        <v>-2.4</v>
      </c>
      <c r="P4098" t="s">
        <v>100</v>
      </c>
      <c r="Q4098">
        <v>0</v>
      </c>
      <c r="R4098" t="s">
        <v>145</v>
      </c>
      <c r="S4098">
        <v>0</v>
      </c>
    </row>
    <row r="4099" spans="1:19">
      <c r="A4099" t="s">
        <v>35</v>
      </c>
      <c r="B4099" t="s">
        <v>6763</v>
      </c>
      <c r="C4099">
        <f>"1761CCELESTES"</f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2</v>
      </c>
      <c r="K4099">
        <v>0</v>
      </c>
      <c r="L4099" s="2">
        <v>0</v>
      </c>
      <c r="M4099">
        <v>0</v>
      </c>
      <c r="N4099" s="2">
        <v>0</v>
      </c>
      <c r="O4099">
        <v>-2.4</v>
      </c>
      <c r="P4099" t="s">
        <v>100</v>
      </c>
      <c r="Q4099">
        <v>0</v>
      </c>
      <c r="R4099" t="s">
        <v>145</v>
      </c>
      <c r="S4099">
        <v>0</v>
      </c>
    </row>
    <row r="4100" spans="1:19">
      <c r="A4100" t="s">
        <v>35</v>
      </c>
      <c r="B4100" t="s">
        <v>4996</v>
      </c>
      <c r="C4100">
        <f>"1837PBXS"</f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2</v>
      </c>
      <c r="K4100">
        <v>5.31</v>
      </c>
      <c r="L4100" s="2">
        <v>3</v>
      </c>
      <c r="M4100">
        <v>0</v>
      </c>
      <c r="N4100" s="2">
        <v>0</v>
      </c>
      <c r="O4100">
        <v>-2.4</v>
      </c>
      <c r="P4100" t="s">
        <v>100</v>
      </c>
      <c r="Q4100">
        <v>0</v>
      </c>
      <c r="R4100" t="s">
        <v>145</v>
      </c>
      <c r="S4100">
        <v>0</v>
      </c>
    </row>
    <row r="4101" spans="1:19">
      <c r="A4101" t="s">
        <v>35</v>
      </c>
      <c r="B4101" t="s">
        <v>6765</v>
      </c>
      <c r="C4101">
        <f>"1761CMROJ"</f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2</v>
      </c>
      <c r="K4101">
        <v>0</v>
      </c>
      <c r="L4101" s="2">
        <v>0</v>
      </c>
      <c r="M4101">
        <v>0</v>
      </c>
      <c r="N4101" s="2">
        <v>0</v>
      </c>
      <c r="O4101">
        <v>-2.4</v>
      </c>
      <c r="P4101" t="s">
        <v>100</v>
      </c>
      <c r="Q4101">
        <v>0</v>
      </c>
      <c r="R4101" t="s">
        <v>145</v>
      </c>
      <c r="S4101">
        <v>0</v>
      </c>
    </row>
    <row r="4102" spans="1:19">
      <c r="A4102" t="s">
        <v>35</v>
      </c>
      <c r="B4102" t="s">
        <v>4908</v>
      </c>
      <c r="C4102">
        <f>"LL201"</f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2</v>
      </c>
      <c r="K4102">
        <v>6.21</v>
      </c>
      <c r="L4102" s="2">
        <v>3</v>
      </c>
      <c r="M4102">
        <v>0</v>
      </c>
      <c r="N4102" s="2">
        <v>0</v>
      </c>
      <c r="O4102">
        <v>-2.4</v>
      </c>
      <c r="P4102" t="s">
        <v>100</v>
      </c>
      <c r="Q4102">
        <v>0</v>
      </c>
      <c r="R4102" t="s">
        <v>145</v>
      </c>
      <c r="S4102">
        <v>0</v>
      </c>
    </row>
    <row r="4103" spans="1:19">
      <c r="A4103" t="s">
        <v>35</v>
      </c>
      <c r="B4103" t="s">
        <v>2352</v>
      </c>
      <c r="C4103">
        <f>"H015XL"</f>
        <v>0</v>
      </c>
      <c r="D4103">
        <v>0</v>
      </c>
      <c r="E4103">
        <v>0</v>
      </c>
      <c r="F4103">
        <v>1</v>
      </c>
      <c r="G4103">
        <v>0</v>
      </c>
      <c r="H4103">
        <v>1</v>
      </c>
      <c r="I4103">
        <v>0</v>
      </c>
      <c r="J4103">
        <v>2</v>
      </c>
      <c r="K4103">
        <v>8.199999999999999</v>
      </c>
      <c r="L4103" s="2">
        <v>4</v>
      </c>
      <c r="M4103">
        <v>0</v>
      </c>
      <c r="N4103" s="2">
        <v>0</v>
      </c>
      <c r="O4103">
        <v>-2.4</v>
      </c>
      <c r="P4103" t="s">
        <v>100</v>
      </c>
      <c r="Q4103">
        <v>0</v>
      </c>
      <c r="R4103" t="s">
        <v>145</v>
      </c>
      <c r="S4103">
        <v>0</v>
      </c>
    </row>
    <row r="4104" spans="1:19">
      <c r="A4104" t="s">
        <v>35</v>
      </c>
      <c r="B4104" t="s">
        <v>8190</v>
      </c>
      <c r="C4104">
        <f>"54B109073XSR"</f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2</v>
      </c>
      <c r="K4104">
        <v>12.546</v>
      </c>
      <c r="L4104" s="2">
        <v>6</v>
      </c>
      <c r="M4104">
        <v>0</v>
      </c>
      <c r="N4104" s="2">
        <v>0</v>
      </c>
      <c r="O4104">
        <v>-2.4</v>
      </c>
      <c r="P4104" t="s">
        <v>100</v>
      </c>
      <c r="Q4104">
        <v>0</v>
      </c>
      <c r="R4104" t="s">
        <v>145</v>
      </c>
      <c r="S4104">
        <v>0</v>
      </c>
    </row>
    <row r="4105" spans="1:19">
      <c r="A4105" t="s">
        <v>35</v>
      </c>
      <c r="B4105" t="s">
        <v>4338</v>
      </c>
      <c r="C4105">
        <f>"018214833673"</f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2</v>
      </c>
      <c r="K4105">
        <v>0</v>
      </c>
      <c r="L4105" s="2">
        <v>0</v>
      </c>
      <c r="M4105">
        <v>0</v>
      </c>
      <c r="N4105" s="2">
        <v>0</v>
      </c>
      <c r="O4105">
        <v>-2.4</v>
      </c>
      <c r="P4105" t="s">
        <v>100</v>
      </c>
      <c r="Q4105">
        <v>0</v>
      </c>
      <c r="R4105" t="s">
        <v>145</v>
      </c>
      <c r="S4105">
        <v>0</v>
      </c>
    </row>
    <row r="4106" spans="1:19">
      <c r="A4106" t="s">
        <v>35</v>
      </c>
      <c r="B4106" t="s">
        <v>3524</v>
      </c>
      <c r="C4106">
        <f>"9381GC"</f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2</v>
      </c>
      <c r="K4106">
        <v>18.9</v>
      </c>
      <c r="L4106" s="2">
        <v>9</v>
      </c>
      <c r="M4106">
        <v>0</v>
      </c>
      <c r="N4106" s="2">
        <v>0</v>
      </c>
      <c r="O4106">
        <v>-2.4</v>
      </c>
      <c r="P4106" t="s">
        <v>100</v>
      </c>
      <c r="Q4106">
        <v>0</v>
      </c>
      <c r="R4106" t="s">
        <v>145</v>
      </c>
      <c r="S4106">
        <v>0</v>
      </c>
    </row>
    <row r="4107" spans="1:19">
      <c r="A4107" t="s">
        <v>35</v>
      </c>
      <c r="B4107" t="s">
        <v>3526</v>
      </c>
      <c r="C4107">
        <f>"19192B"</f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2</v>
      </c>
      <c r="K4107">
        <v>44.982</v>
      </c>
      <c r="L4107" s="2">
        <v>22</v>
      </c>
      <c r="M4107">
        <v>0</v>
      </c>
      <c r="N4107" s="2">
        <v>0</v>
      </c>
      <c r="O4107">
        <v>-2.4</v>
      </c>
      <c r="P4107" t="s">
        <v>100</v>
      </c>
      <c r="Q4107">
        <v>0</v>
      </c>
      <c r="R4107" t="s">
        <v>145</v>
      </c>
      <c r="S4107">
        <v>0</v>
      </c>
    </row>
    <row r="4108" spans="1:19">
      <c r="A4108" t="s">
        <v>35</v>
      </c>
      <c r="B4108" t="s">
        <v>6768</v>
      </c>
      <c r="C4108">
        <f>"1761CLROJ"</f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2</v>
      </c>
      <c r="K4108">
        <v>0</v>
      </c>
      <c r="L4108" s="2">
        <v>0</v>
      </c>
      <c r="M4108">
        <v>0</v>
      </c>
      <c r="N4108" s="2">
        <v>0</v>
      </c>
      <c r="O4108">
        <v>-2.4</v>
      </c>
      <c r="P4108" t="s">
        <v>100</v>
      </c>
      <c r="Q4108">
        <v>0</v>
      </c>
      <c r="R4108" t="s">
        <v>145</v>
      </c>
      <c r="S4108">
        <v>0</v>
      </c>
    </row>
    <row r="4109" spans="1:19">
      <c r="A4109" t="s">
        <v>35</v>
      </c>
      <c r="B4109" t="s">
        <v>6769</v>
      </c>
      <c r="C4109">
        <f>"1761CCELESTEL"</f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2</v>
      </c>
      <c r="K4109">
        <v>8.1</v>
      </c>
      <c r="L4109" s="2">
        <v>4</v>
      </c>
      <c r="M4109">
        <v>0</v>
      </c>
      <c r="N4109" s="2">
        <v>0</v>
      </c>
      <c r="O4109">
        <v>-2.4</v>
      </c>
      <c r="P4109" t="s">
        <v>100</v>
      </c>
      <c r="Q4109">
        <v>0</v>
      </c>
      <c r="R4109" t="s">
        <v>145</v>
      </c>
      <c r="S4109">
        <v>0</v>
      </c>
    </row>
    <row r="4110" spans="1:19">
      <c r="A4110" t="s">
        <v>35</v>
      </c>
      <c r="B4110" t="s">
        <v>6770</v>
      </c>
      <c r="C4110">
        <f>"1761CALIL"</f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2</v>
      </c>
      <c r="K4110">
        <v>0</v>
      </c>
      <c r="L4110" s="2">
        <v>0</v>
      </c>
      <c r="M4110">
        <v>0</v>
      </c>
      <c r="N4110" s="2">
        <v>0</v>
      </c>
      <c r="O4110">
        <v>-2.4</v>
      </c>
      <c r="P4110" t="s">
        <v>100</v>
      </c>
      <c r="Q4110">
        <v>0</v>
      </c>
      <c r="R4110" t="s">
        <v>145</v>
      </c>
      <c r="S4110">
        <v>0</v>
      </c>
    </row>
    <row r="4111" spans="1:19">
      <c r="A4111" t="s">
        <v>35</v>
      </c>
      <c r="B4111" t="s">
        <v>6681</v>
      </c>
      <c r="C4111">
        <f>"JW5041SN"</f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2</v>
      </c>
      <c r="K4111">
        <v>0</v>
      </c>
      <c r="L4111" s="2">
        <v>0</v>
      </c>
      <c r="M4111">
        <v>0</v>
      </c>
      <c r="N4111" s="2">
        <v>0</v>
      </c>
      <c r="O4111">
        <v>-2.4</v>
      </c>
      <c r="P4111" t="s">
        <v>100</v>
      </c>
      <c r="Q4111">
        <v>0</v>
      </c>
      <c r="R4111" t="s">
        <v>145</v>
      </c>
      <c r="S4111">
        <v>0</v>
      </c>
    </row>
    <row r="4112" spans="1:19">
      <c r="A4112" t="s">
        <v>35</v>
      </c>
      <c r="B4112" t="s">
        <v>4993</v>
      </c>
      <c r="C4112">
        <f>"1837ML"</f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2</v>
      </c>
      <c r="K4112">
        <v>7.02</v>
      </c>
      <c r="L4112" s="2">
        <v>4</v>
      </c>
      <c r="M4112">
        <v>0</v>
      </c>
      <c r="N4112" s="2">
        <v>0</v>
      </c>
      <c r="O4112">
        <v>-2.4</v>
      </c>
      <c r="P4112" t="s">
        <v>100</v>
      </c>
      <c r="Q4112">
        <v>0</v>
      </c>
      <c r="R4112" t="s">
        <v>145</v>
      </c>
      <c r="S4112">
        <v>0</v>
      </c>
    </row>
    <row r="4113" spans="1:19">
      <c r="A4113" t="s">
        <v>35</v>
      </c>
      <c r="B4113" t="s">
        <v>6764</v>
      </c>
      <c r="C4113">
        <f>"1761CALIS"</f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2</v>
      </c>
      <c r="K4113">
        <v>5.76</v>
      </c>
      <c r="L4113" s="2">
        <v>3</v>
      </c>
      <c r="M4113">
        <v>0</v>
      </c>
      <c r="N4113" s="2">
        <v>0</v>
      </c>
      <c r="O4113">
        <v>-2.4</v>
      </c>
      <c r="P4113" t="s">
        <v>100</v>
      </c>
      <c r="Q4113">
        <v>0</v>
      </c>
      <c r="R4113" t="s">
        <v>145</v>
      </c>
      <c r="S4113">
        <v>0</v>
      </c>
    </row>
    <row r="4114" spans="1:19">
      <c r="A4114" t="s">
        <v>35</v>
      </c>
      <c r="B4114" t="s">
        <v>259</v>
      </c>
      <c r="C4114">
        <f>"CK1033"</f>
        <v>0</v>
      </c>
      <c r="D4114">
        <v>6</v>
      </c>
      <c r="E4114">
        <v>8</v>
      </c>
      <c r="F4114">
        <v>5</v>
      </c>
      <c r="G4114">
        <v>2</v>
      </c>
      <c r="H4114">
        <v>21</v>
      </c>
      <c r="I4114">
        <v>5.5</v>
      </c>
      <c r="J4114">
        <v>10</v>
      </c>
      <c r="K4114">
        <v>8.01</v>
      </c>
      <c r="L4114" s="2">
        <v>1</v>
      </c>
      <c r="M4114">
        <v>0</v>
      </c>
      <c r="N4114" s="2">
        <v>0</v>
      </c>
      <c r="O4114">
        <v>-2.5</v>
      </c>
      <c r="P4114" t="s">
        <v>11061</v>
      </c>
      <c r="Q4114">
        <v>818</v>
      </c>
      <c r="R4114" t="s">
        <v>11193</v>
      </c>
      <c r="S4114">
        <v>0</v>
      </c>
    </row>
    <row r="4115" spans="1:19">
      <c r="A4115" t="s">
        <v>35</v>
      </c>
      <c r="B4115" t="s">
        <v>1924</v>
      </c>
      <c r="C4115">
        <f>"XX252"</f>
        <v>0</v>
      </c>
      <c r="D4115">
        <v>3</v>
      </c>
      <c r="E4115">
        <v>1</v>
      </c>
      <c r="F4115">
        <v>1</v>
      </c>
      <c r="G4115">
        <v>0</v>
      </c>
      <c r="H4115">
        <v>5</v>
      </c>
      <c r="I4115">
        <v>1</v>
      </c>
      <c r="J4115">
        <v>3</v>
      </c>
      <c r="K4115">
        <v>8.073</v>
      </c>
      <c r="L4115" s="2">
        <v>3</v>
      </c>
      <c r="M4115">
        <v>0</v>
      </c>
      <c r="N4115" s="2">
        <v>0</v>
      </c>
      <c r="O4115">
        <v>-2.6</v>
      </c>
      <c r="P4115" t="s">
        <v>100</v>
      </c>
      <c r="Q4115">
        <v>0</v>
      </c>
      <c r="R4115" t="s">
        <v>145</v>
      </c>
      <c r="S4115">
        <v>0</v>
      </c>
    </row>
    <row r="4116" spans="1:19">
      <c r="A4116" t="s">
        <v>35</v>
      </c>
      <c r="B4116" t="s">
        <v>2028</v>
      </c>
      <c r="C4116">
        <f>"PS9023"</f>
        <v>0</v>
      </c>
      <c r="D4116">
        <v>2</v>
      </c>
      <c r="E4116">
        <v>2</v>
      </c>
      <c r="F4116">
        <v>0</v>
      </c>
      <c r="G4116">
        <v>0</v>
      </c>
      <c r="H4116">
        <v>4</v>
      </c>
      <c r="I4116">
        <v>1</v>
      </c>
      <c r="J4116">
        <v>3</v>
      </c>
      <c r="K4116">
        <v>9.315</v>
      </c>
      <c r="L4116" s="2">
        <v>3</v>
      </c>
      <c r="M4116">
        <v>0</v>
      </c>
      <c r="N4116" s="2">
        <v>0</v>
      </c>
      <c r="O4116">
        <v>-2.6</v>
      </c>
      <c r="P4116" t="s">
        <v>100</v>
      </c>
      <c r="Q4116">
        <v>0</v>
      </c>
      <c r="R4116" t="s">
        <v>145</v>
      </c>
      <c r="S4116">
        <v>0</v>
      </c>
    </row>
    <row r="4117" spans="1:19">
      <c r="A4117" t="s">
        <v>35</v>
      </c>
      <c r="B4117" t="s">
        <v>2004</v>
      </c>
      <c r="C4117">
        <f>"W0055"</f>
        <v>0</v>
      </c>
      <c r="D4117">
        <v>2</v>
      </c>
      <c r="E4117">
        <v>2</v>
      </c>
      <c r="F4117">
        <v>0</v>
      </c>
      <c r="G4117">
        <v>0</v>
      </c>
      <c r="H4117">
        <v>4</v>
      </c>
      <c r="I4117">
        <v>1</v>
      </c>
      <c r="J4117">
        <v>3</v>
      </c>
      <c r="K4117">
        <v>8.073</v>
      </c>
      <c r="L4117" s="2">
        <v>3</v>
      </c>
      <c r="M4117">
        <v>0</v>
      </c>
      <c r="N4117" s="2">
        <v>0</v>
      </c>
      <c r="O4117">
        <v>-2.6</v>
      </c>
      <c r="P4117" t="s">
        <v>100</v>
      </c>
      <c r="Q4117">
        <v>0</v>
      </c>
      <c r="R4117" t="s">
        <v>145</v>
      </c>
      <c r="S4117">
        <v>0</v>
      </c>
    </row>
    <row r="4118" spans="1:19">
      <c r="A4118" t="s">
        <v>35</v>
      </c>
      <c r="B4118" t="s">
        <v>1897</v>
      </c>
      <c r="C4118">
        <f>"TN44051"</f>
        <v>0</v>
      </c>
      <c r="D4118">
        <v>0</v>
      </c>
      <c r="E4118">
        <v>4</v>
      </c>
      <c r="F4118">
        <v>2</v>
      </c>
      <c r="G4118">
        <v>0</v>
      </c>
      <c r="H4118">
        <v>6</v>
      </c>
      <c r="I4118">
        <v>1</v>
      </c>
      <c r="J4118">
        <v>3</v>
      </c>
      <c r="K4118">
        <v>3.915</v>
      </c>
      <c r="L4118" s="2">
        <v>1</v>
      </c>
      <c r="M4118">
        <v>0</v>
      </c>
      <c r="N4118" s="2">
        <v>0</v>
      </c>
      <c r="O4118">
        <v>-2.6</v>
      </c>
      <c r="P4118" t="s">
        <v>100</v>
      </c>
      <c r="Q4118">
        <v>0</v>
      </c>
      <c r="R4118" t="s">
        <v>145</v>
      </c>
      <c r="S4118">
        <v>0</v>
      </c>
    </row>
    <row r="4119" spans="1:19">
      <c r="A4119" t="s">
        <v>35</v>
      </c>
      <c r="B4119" t="s">
        <v>1816</v>
      </c>
      <c r="C4119">
        <f>"RT3423B"</f>
        <v>0</v>
      </c>
      <c r="D4119">
        <v>7</v>
      </c>
      <c r="E4119">
        <v>2</v>
      </c>
      <c r="F4119">
        <v>0</v>
      </c>
      <c r="G4119">
        <v>0</v>
      </c>
      <c r="H4119">
        <v>9</v>
      </c>
      <c r="I4119">
        <v>1</v>
      </c>
      <c r="J4119">
        <v>3</v>
      </c>
      <c r="K4119">
        <v>9.720000000000001</v>
      </c>
      <c r="L4119" s="2">
        <v>3</v>
      </c>
      <c r="M4119">
        <v>0</v>
      </c>
      <c r="N4119" s="2">
        <v>0</v>
      </c>
      <c r="O4119">
        <v>-2.6</v>
      </c>
      <c r="P4119" t="s">
        <v>100</v>
      </c>
      <c r="Q4119">
        <v>0</v>
      </c>
      <c r="R4119" t="s">
        <v>145</v>
      </c>
      <c r="S4119">
        <v>0</v>
      </c>
    </row>
    <row r="4120" spans="1:19">
      <c r="A4120" t="s">
        <v>35</v>
      </c>
      <c r="B4120" t="s">
        <v>1810</v>
      </c>
      <c r="C4120">
        <f>"TF1042"</f>
        <v>0</v>
      </c>
      <c r="D4120">
        <v>2</v>
      </c>
      <c r="E4120">
        <v>5</v>
      </c>
      <c r="F4120">
        <v>2</v>
      </c>
      <c r="G4120">
        <v>0</v>
      </c>
      <c r="H4120">
        <v>9</v>
      </c>
      <c r="I4120">
        <v>2</v>
      </c>
      <c r="J4120">
        <v>4</v>
      </c>
      <c r="K4120">
        <v>4.32</v>
      </c>
      <c r="L4120" s="2">
        <v>1</v>
      </c>
      <c r="M4120">
        <v>0</v>
      </c>
      <c r="N4120" s="2">
        <v>0</v>
      </c>
      <c r="O4120">
        <v>-2.8</v>
      </c>
      <c r="P4120" t="s">
        <v>100</v>
      </c>
      <c r="Q4120">
        <v>0</v>
      </c>
      <c r="R4120" t="s">
        <v>145</v>
      </c>
      <c r="S4120">
        <v>0</v>
      </c>
    </row>
    <row r="4121" spans="1:19">
      <c r="A4121" t="s">
        <v>35</v>
      </c>
      <c r="B4121" t="s">
        <v>1672</v>
      </c>
      <c r="C4121">
        <f>"KLMT2"</f>
        <v>0</v>
      </c>
      <c r="D4121">
        <v>10</v>
      </c>
      <c r="E4121">
        <v>8</v>
      </c>
      <c r="F4121">
        <v>3</v>
      </c>
      <c r="G4121">
        <v>0</v>
      </c>
      <c r="H4121">
        <v>21</v>
      </c>
      <c r="I4121">
        <v>5.5</v>
      </c>
      <c r="J4121">
        <v>7</v>
      </c>
      <c r="K4121">
        <v>21.735</v>
      </c>
      <c r="L4121" s="2">
        <v>3</v>
      </c>
      <c r="M4121">
        <v>0</v>
      </c>
      <c r="N4121" s="2">
        <v>0</v>
      </c>
      <c r="O4121">
        <v>-2.9</v>
      </c>
      <c r="P4121" t="s">
        <v>100</v>
      </c>
      <c r="Q4121">
        <v>0</v>
      </c>
      <c r="R4121" t="s">
        <v>145</v>
      </c>
      <c r="S4121">
        <v>0</v>
      </c>
    </row>
    <row r="4122" spans="1:19">
      <c r="A4122" t="s">
        <v>35</v>
      </c>
      <c r="B4122" t="s">
        <v>414</v>
      </c>
      <c r="C4122">
        <f>"JWZ1012L"</f>
        <v>0</v>
      </c>
      <c r="D4122">
        <v>1</v>
      </c>
      <c r="E4122">
        <v>52</v>
      </c>
      <c r="F4122">
        <v>0</v>
      </c>
      <c r="G4122">
        <v>0</v>
      </c>
      <c r="H4122">
        <v>53</v>
      </c>
      <c r="I4122">
        <v>0.5</v>
      </c>
      <c r="J4122">
        <v>3</v>
      </c>
      <c r="K4122">
        <v>3.105</v>
      </c>
      <c r="L4122" s="2">
        <v>1</v>
      </c>
      <c r="M4122">
        <v>0</v>
      </c>
      <c r="N4122" s="2">
        <v>0</v>
      </c>
      <c r="O4122">
        <v>-3.1</v>
      </c>
      <c r="P4122" t="s">
        <v>100</v>
      </c>
      <c r="Q4122">
        <v>0</v>
      </c>
      <c r="R4122" t="s">
        <v>145</v>
      </c>
      <c r="S4122">
        <v>0</v>
      </c>
    </row>
    <row r="4123" spans="1:19">
      <c r="A4123" t="s">
        <v>35</v>
      </c>
      <c r="B4123" t="s">
        <v>10232</v>
      </c>
      <c r="C4123">
        <f>"3038"</f>
        <v>0</v>
      </c>
      <c r="D4123">
        <v>1</v>
      </c>
      <c r="E4123">
        <v>0</v>
      </c>
      <c r="F4123">
        <v>2</v>
      </c>
      <c r="G4123">
        <v>0</v>
      </c>
      <c r="H4123">
        <v>3</v>
      </c>
      <c r="I4123">
        <v>0.5</v>
      </c>
      <c r="J4123">
        <v>3</v>
      </c>
      <c r="K4123">
        <v>2.295</v>
      </c>
      <c r="L4123" s="2">
        <v>1</v>
      </c>
      <c r="M4123">
        <v>0</v>
      </c>
      <c r="N4123" s="2">
        <v>0</v>
      </c>
      <c r="O4123">
        <v>-3.1</v>
      </c>
      <c r="P4123" t="s">
        <v>11062</v>
      </c>
      <c r="Q4123">
        <v>-806</v>
      </c>
      <c r="R4123" t="s">
        <v>11194</v>
      </c>
      <c r="S4123">
        <v>0</v>
      </c>
    </row>
    <row r="4124" spans="1:19">
      <c r="A4124" t="s">
        <v>35</v>
      </c>
      <c r="B4124" t="s">
        <v>1920</v>
      </c>
      <c r="C4124">
        <f>"C210CE"</f>
        <v>0</v>
      </c>
      <c r="D4124">
        <v>1</v>
      </c>
      <c r="E4124">
        <v>4</v>
      </c>
      <c r="F4124">
        <v>0</v>
      </c>
      <c r="G4124">
        <v>0</v>
      </c>
      <c r="H4124">
        <v>5</v>
      </c>
      <c r="I4124">
        <v>0.5</v>
      </c>
      <c r="J4124">
        <v>3</v>
      </c>
      <c r="K4124">
        <v>6.279</v>
      </c>
      <c r="L4124" s="2">
        <v>2</v>
      </c>
      <c r="M4124">
        <v>0</v>
      </c>
      <c r="N4124" s="2">
        <v>0</v>
      </c>
      <c r="O4124">
        <v>-3.1</v>
      </c>
      <c r="P4124" t="s">
        <v>100</v>
      </c>
      <c r="Q4124">
        <v>0</v>
      </c>
      <c r="R4124" t="s">
        <v>145</v>
      </c>
      <c r="S4124">
        <v>0</v>
      </c>
    </row>
    <row r="4125" spans="1:19">
      <c r="A4125" t="s">
        <v>35</v>
      </c>
      <c r="B4125" t="s">
        <v>2024</v>
      </c>
      <c r="C4125">
        <f>"LZ1CAFCLA"</f>
        <v>0</v>
      </c>
      <c r="D4125">
        <v>0</v>
      </c>
      <c r="E4125">
        <v>1</v>
      </c>
      <c r="F4125">
        <v>3</v>
      </c>
      <c r="G4125">
        <v>0</v>
      </c>
      <c r="H4125">
        <v>4</v>
      </c>
      <c r="I4125">
        <v>0.5</v>
      </c>
      <c r="J4125">
        <v>3</v>
      </c>
      <c r="K4125">
        <v>14.679</v>
      </c>
      <c r="L4125" s="2">
        <v>5</v>
      </c>
      <c r="M4125">
        <v>0</v>
      </c>
      <c r="N4125" s="2">
        <v>0</v>
      </c>
      <c r="O4125">
        <v>-3.1</v>
      </c>
      <c r="P4125" t="s">
        <v>100</v>
      </c>
      <c r="Q4125">
        <v>0</v>
      </c>
      <c r="R4125" t="s">
        <v>145</v>
      </c>
      <c r="S4125">
        <v>0</v>
      </c>
    </row>
    <row r="4126" spans="1:19">
      <c r="A4126" t="s">
        <v>35</v>
      </c>
      <c r="B4126" t="s">
        <v>10214</v>
      </c>
      <c r="C4126">
        <f>"XDB450E"</f>
        <v>0</v>
      </c>
      <c r="D4126">
        <v>0</v>
      </c>
      <c r="E4126">
        <v>1</v>
      </c>
      <c r="F4126">
        <v>1</v>
      </c>
      <c r="G4126">
        <v>0</v>
      </c>
      <c r="H4126">
        <v>2</v>
      </c>
      <c r="I4126">
        <v>0.5</v>
      </c>
      <c r="J4126">
        <v>3</v>
      </c>
      <c r="K4126">
        <v>223.11</v>
      </c>
      <c r="L4126" s="2">
        <v>74</v>
      </c>
      <c r="M4126">
        <v>0</v>
      </c>
      <c r="N4126" s="2">
        <v>0</v>
      </c>
      <c r="O4126">
        <v>-3.1</v>
      </c>
      <c r="P4126" t="s">
        <v>11063</v>
      </c>
      <c r="Q4126">
        <v>-21.04</v>
      </c>
      <c r="R4126" t="s">
        <v>11195</v>
      </c>
      <c r="S4126">
        <v>0</v>
      </c>
    </row>
    <row r="4127" spans="1:19">
      <c r="A4127" t="s">
        <v>35</v>
      </c>
      <c r="B4127" t="s">
        <v>2084</v>
      </c>
      <c r="C4127">
        <f>"HDD119C"</f>
        <v>0</v>
      </c>
      <c r="D4127">
        <v>1</v>
      </c>
      <c r="E4127">
        <v>2</v>
      </c>
      <c r="F4127">
        <v>0</v>
      </c>
      <c r="G4127">
        <v>0</v>
      </c>
      <c r="H4127">
        <v>3</v>
      </c>
      <c r="I4127">
        <v>0.5</v>
      </c>
      <c r="J4127">
        <v>3</v>
      </c>
      <c r="K4127">
        <v>2.025</v>
      </c>
      <c r="L4127" s="2">
        <v>1</v>
      </c>
      <c r="M4127">
        <v>0</v>
      </c>
      <c r="N4127" s="2">
        <v>0</v>
      </c>
      <c r="O4127">
        <v>-3.1</v>
      </c>
      <c r="P4127" t="s">
        <v>100</v>
      </c>
      <c r="Q4127">
        <v>0</v>
      </c>
      <c r="R4127" t="s">
        <v>145</v>
      </c>
      <c r="S4127">
        <v>0</v>
      </c>
    </row>
    <row r="4128" spans="1:19">
      <c r="A4128" t="s">
        <v>35</v>
      </c>
      <c r="B4128" t="s">
        <v>1650</v>
      </c>
      <c r="C4128">
        <f>"HC044"</f>
        <v>0</v>
      </c>
      <c r="D4128">
        <v>6</v>
      </c>
      <c r="E4128">
        <v>9</v>
      </c>
      <c r="F4128">
        <v>11</v>
      </c>
      <c r="G4128">
        <v>0</v>
      </c>
      <c r="H4128">
        <v>26</v>
      </c>
      <c r="I4128">
        <v>7.5</v>
      </c>
      <c r="J4128">
        <v>9</v>
      </c>
      <c r="K4128">
        <v>41.31</v>
      </c>
      <c r="L4128" s="2">
        <v>5</v>
      </c>
      <c r="M4128">
        <v>0</v>
      </c>
      <c r="N4128" s="2">
        <v>0</v>
      </c>
      <c r="O4128">
        <v>-3.299999999999999</v>
      </c>
      <c r="P4128" t="s">
        <v>100</v>
      </c>
      <c r="Q4128">
        <v>0</v>
      </c>
      <c r="R4128" t="s">
        <v>145</v>
      </c>
      <c r="S4128">
        <v>0</v>
      </c>
    </row>
    <row r="4129" spans="1:19">
      <c r="A4129" t="s">
        <v>35</v>
      </c>
      <c r="B4129" t="s">
        <v>2343</v>
      </c>
      <c r="C4129">
        <f>"DM2042"</f>
        <v>0</v>
      </c>
      <c r="D4129">
        <v>0</v>
      </c>
      <c r="E4129">
        <v>0</v>
      </c>
      <c r="F4129">
        <v>0</v>
      </c>
      <c r="G4129">
        <v>1</v>
      </c>
      <c r="H4129">
        <v>1</v>
      </c>
      <c r="I4129">
        <v>0</v>
      </c>
      <c r="J4129">
        <v>7</v>
      </c>
      <c r="K4129">
        <v>40.95</v>
      </c>
      <c r="L4129" s="2">
        <v>6</v>
      </c>
      <c r="M4129">
        <v>0</v>
      </c>
      <c r="N4129" s="2">
        <v>0</v>
      </c>
      <c r="O4129">
        <v>-3.4</v>
      </c>
      <c r="P4129" t="s">
        <v>11064</v>
      </c>
      <c r="Q4129">
        <v>1.17</v>
      </c>
      <c r="R4129" t="s">
        <v>10266</v>
      </c>
      <c r="S4129">
        <v>1</v>
      </c>
    </row>
    <row r="4130" spans="1:19">
      <c r="A4130" t="s">
        <v>35</v>
      </c>
      <c r="B4130" t="s">
        <v>357</v>
      </c>
      <c r="C4130">
        <f>"ZX011ROS"</f>
        <v>0</v>
      </c>
      <c r="D4130">
        <v>0</v>
      </c>
      <c r="E4130">
        <v>0</v>
      </c>
      <c r="F4130">
        <v>1</v>
      </c>
      <c r="G4130">
        <v>1</v>
      </c>
      <c r="H4130">
        <v>2</v>
      </c>
      <c r="I4130">
        <v>0.5</v>
      </c>
      <c r="J4130">
        <v>5</v>
      </c>
      <c r="K4130">
        <v>6.075</v>
      </c>
      <c r="L4130" s="2">
        <v>1</v>
      </c>
      <c r="M4130">
        <v>0</v>
      </c>
      <c r="N4130" s="2">
        <v>0</v>
      </c>
      <c r="O4130">
        <v>-3.5</v>
      </c>
      <c r="P4130" t="s">
        <v>10319</v>
      </c>
      <c r="Q4130">
        <v>541</v>
      </c>
      <c r="R4130" t="s">
        <v>10370</v>
      </c>
      <c r="S4130">
        <v>0</v>
      </c>
    </row>
    <row r="4131" spans="1:19">
      <c r="A4131" t="s">
        <v>35</v>
      </c>
      <c r="B4131" t="s">
        <v>9082</v>
      </c>
      <c r="C4131">
        <f>"W2017"</f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3</v>
      </c>
      <c r="K4131">
        <v>11.745</v>
      </c>
      <c r="L4131" s="2">
        <v>4</v>
      </c>
      <c r="M4131">
        <v>0</v>
      </c>
      <c r="N4131" s="2">
        <v>0</v>
      </c>
      <c r="O4131">
        <v>-3.6</v>
      </c>
      <c r="P4131" t="s">
        <v>100</v>
      </c>
      <c r="Q4131">
        <v>0</v>
      </c>
      <c r="R4131" t="s">
        <v>145</v>
      </c>
      <c r="S4131">
        <v>0</v>
      </c>
    </row>
    <row r="4132" spans="1:19">
      <c r="A4132" t="s">
        <v>35</v>
      </c>
      <c r="B4132" t="s">
        <v>2389</v>
      </c>
      <c r="C4132">
        <f>"WBC008S"</f>
        <v>0</v>
      </c>
      <c r="D4132">
        <v>0</v>
      </c>
      <c r="E4132">
        <v>0</v>
      </c>
      <c r="F4132">
        <v>1</v>
      </c>
      <c r="G4132">
        <v>0</v>
      </c>
      <c r="H4132">
        <v>1</v>
      </c>
      <c r="I4132">
        <v>0</v>
      </c>
      <c r="J4132">
        <v>3</v>
      </c>
      <c r="K4132">
        <v>11.745</v>
      </c>
      <c r="L4132" s="2">
        <v>4</v>
      </c>
      <c r="M4132">
        <v>0</v>
      </c>
      <c r="N4132" s="2">
        <v>0</v>
      </c>
      <c r="O4132">
        <v>-3.6</v>
      </c>
      <c r="P4132" t="s">
        <v>100</v>
      </c>
      <c r="Q4132">
        <v>0</v>
      </c>
      <c r="R4132" t="s">
        <v>145</v>
      </c>
      <c r="S4132">
        <v>0</v>
      </c>
    </row>
    <row r="4133" spans="1:19">
      <c r="A4133" t="s">
        <v>35</v>
      </c>
      <c r="B4133" t="s">
        <v>9054</v>
      </c>
      <c r="C4133">
        <f>"24001C"</f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3</v>
      </c>
      <c r="K4133">
        <v>7.83</v>
      </c>
      <c r="L4133" s="2">
        <v>3</v>
      </c>
      <c r="M4133">
        <v>0</v>
      </c>
      <c r="N4133" s="2">
        <v>0</v>
      </c>
      <c r="O4133">
        <v>-3.6</v>
      </c>
      <c r="P4133" t="s">
        <v>100</v>
      </c>
      <c r="Q4133">
        <v>0</v>
      </c>
      <c r="R4133" t="s">
        <v>145</v>
      </c>
      <c r="S4133">
        <v>0</v>
      </c>
    </row>
    <row r="4134" spans="1:19">
      <c r="A4134" t="s">
        <v>35</v>
      </c>
      <c r="B4134" t="s">
        <v>9208</v>
      </c>
      <c r="C4134">
        <f>"HDD145R"</f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3</v>
      </c>
      <c r="K4134">
        <v>2.902</v>
      </c>
      <c r="L4134" s="2">
        <v>1</v>
      </c>
      <c r="M4134">
        <v>0</v>
      </c>
      <c r="N4134" s="2">
        <v>0</v>
      </c>
      <c r="O4134">
        <v>-3.6</v>
      </c>
      <c r="P4134" t="s">
        <v>100</v>
      </c>
      <c r="Q4134">
        <v>0</v>
      </c>
      <c r="R4134" t="s">
        <v>145</v>
      </c>
      <c r="S4134">
        <v>0</v>
      </c>
    </row>
    <row r="4135" spans="1:19">
      <c r="A4135" t="s">
        <v>35</v>
      </c>
      <c r="B4135" t="s">
        <v>7431</v>
      </c>
      <c r="C4135">
        <f>"B1922SN"</f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3</v>
      </c>
      <c r="K4135">
        <v>20.52</v>
      </c>
      <c r="L4135" s="2">
        <v>7</v>
      </c>
      <c r="M4135">
        <v>0</v>
      </c>
      <c r="N4135" s="2">
        <v>0</v>
      </c>
      <c r="O4135">
        <v>-3.6</v>
      </c>
      <c r="P4135" t="s">
        <v>100</v>
      </c>
      <c r="Q4135">
        <v>0</v>
      </c>
      <c r="R4135" t="s">
        <v>145</v>
      </c>
      <c r="S4135">
        <v>0</v>
      </c>
    </row>
    <row r="4136" spans="1:19">
      <c r="A4136" t="s">
        <v>35</v>
      </c>
      <c r="B4136" t="s">
        <v>2525</v>
      </c>
      <c r="C4136">
        <f>"LS287VE"</f>
        <v>0</v>
      </c>
      <c r="D4136">
        <v>0</v>
      </c>
      <c r="E4136">
        <v>0</v>
      </c>
      <c r="F4136">
        <v>1</v>
      </c>
      <c r="G4136">
        <v>0</v>
      </c>
      <c r="H4136">
        <v>1</v>
      </c>
      <c r="I4136">
        <v>0</v>
      </c>
      <c r="J4136">
        <v>3</v>
      </c>
      <c r="K4136">
        <v>24.273</v>
      </c>
      <c r="L4136" s="2">
        <v>8</v>
      </c>
      <c r="M4136">
        <v>0</v>
      </c>
      <c r="N4136" s="2">
        <v>0</v>
      </c>
      <c r="O4136">
        <v>-3.6</v>
      </c>
      <c r="P4136" t="s">
        <v>100</v>
      </c>
      <c r="Q4136">
        <v>0</v>
      </c>
      <c r="R4136" t="s">
        <v>145</v>
      </c>
      <c r="S4136">
        <v>0</v>
      </c>
    </row>
    <row r="4137" spans="1:19">
      <c r="A4137" t="s">
        <v>35</v>
      </c>
      <c r="B4137" t="s">
        <v>9036</v>
      </c>
      <c r="C4137">
        <f>"HDD008"</f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3</v>
      </c>
      <c r="K4137">
        <v>1.863</v>
      </c>
      <c r="L4137" s="2">
        <v>1</v>
      </c>
      <c r="M4137">
        <v>0</v>
      </c>
      <c r="N4137" s="2">
        <v>0</v>
      </c>
      <c r="O4137">
        <v>-3.6</v>
      </c>
      <c r="P4137" t="s">
        <v>100</v>
      </c>
      <c r="Q4137">
        <v>0</v>
      </c>
      <c r="R4137" t="s">
        <v>145</v>
      </c>
      <c r="S4137">
        <v>0</v>
      </c>
    </row>
    <row r="4138" spans="1:19">
      <c r="A4138" t="s">
        <v>35</v>
      </c>
      <c r="B4138" t="s">
        <v>2386</v>
      </c>
      <c r="C4138">
        <f>"HXC80"</f>
        <v>0</v>
      </c>
      <c r="D4138">
        <v>0</v>
      </c>
      <c r="E4138">
        <v>1</v>
      </c>
      <c r="F4138">
        <v>0</v>
      </c>
      <c r="G4138">
        <v>0</v>
      </c>
      <c r="H4138">
        <v>1</v>
      </c>
      <c r="I4138">
        <v>0</v>
      </c>
      <c r="J4138">
        <v>3</v>
      </c>
      <c r="K4138">
        <v>5.265</v>
      </c>
      <c r="L4138" s="2">
        <v>2</v>
      </c>
      <c r="M4138">
        <v>0</v>
      </c>
      <c r="N4138" s="2">
        <v>0</v>
      </c>
      <c r="O4138">
        <v>-3.6</v>
      </c>
      <c r="P4138" t="s">
        <v>100</v>
      </c>
      <c r="Q4138">
        <v>0</v>
      </c>
      <c r="R4138" t="s">
        <v>145</v>
      </c>
      <c r="S4138">
        <v>0</v>
      </c>
    </row>
    <row r="4139" spans="1:19">
      <c r="A4139" t="s">
        <v>35</v>
      </c>
      <c r="B4139" t="s">
        <v>5680</v>
      </c>
      <c r="C4139">
        <f>"ER166"</f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3</v>
      </c>
      <c r="K4139">
        <v>10.26</v>
      </c>
      <c r="L4139" s="2">
        <v>3</v>
      </c>
      <c r="M4139">
        <v>0</v>
      </c>
      <c r="N4139" s="2">
        <v>0</v>
      </c>
      <c r="O4139">
        <v>-3.6</v>
      </c>
      <c r="P4139" t="s">
        <v>100</v>
      </c>
      <c r="Q4139">
        <v>0</v>
      </c>
      <c r="R4139" t="s">
        <v>145</v>
      </c>
      <c r="S4139">
        <v>0</v>
      </c>
    </row>
    <row r="4140" spans="1:19">
      <c r="A4140" t="s">
        <v>35</v>
      </c>
      <c r="B4140" t="s">
        <v>5132</v>
      </c>
      <c r="C4140">
        <f>"B7162xl"</f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3</v>
      </c>
      <c r="K4140">
        <v>15.498</v>
      </c>
      <c r="L4140" s="2">
        <v>5</v>
      </c>
      <c r="M4140">
        <v>0</v>
      </c>
      <c r="N4140" s="2">
        <v>0</v>
      </c>
      <c r="O4140">
        <v>-3.6</v>
      </c>
      <c r="P4140" t="s">
        <v>100</v>
      </c>
      <c r="Q4140">
        <v>0</v>
      </c>
      <c r="R4140" t="s">
        <v>145</v>
      </c>
      <c r="S4140">
        <v>0</v>
      </c>
    </row>
    <row r="4141" spans="1:19">
      <c r="A4141" t="s">
        <v>35</v>
      </c>
      <c r="B4141" t="s">
        <v>4197</v>
      </c>
      <c r="C4141">
        <f>"54B123058L"</f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3</v>
      </c>
      <c r="K4141">
        <v>25.65</v>
      </c>
      <c r="L4141" s="2">
        <v>9</v>
      </c>
      <c r="M4141">
        <v>0</v>
      </c>
      <c r="N4141" s="2">
        <v>0</v>
      </c>
      <c r="O4141">
        <v>-3.6</v>
      </c>
      <c r="P4141" t="s">
        <v>100</v>
      </c>
      <c r="Q4141">
        <v>0</v>
      </c>
      <c r="R4141" t="s">
        <v>145</v>
      </c>
      <c r="S4141">
        <v>0</v>
      </c>
    </row>
    <row r="4142" spans="1:19">
      <c r="A4142" t="s">
        <v>35</v>
      </c>
      <c r="B4142" t="s">
        <v>5126</v>
      </c>
      <c r="C4142">
        <f>"1620M"</f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3</v>
      </c>
      <c r="K4142">
        <v>21.195</v>
      </c>
      <c r="L4142" s="2">
        <v>7</v>
      </c>
      <c r="M4142">
        <v>0</v>
      </c>
      <c r="N4142" s="2">
        <v>0</v>
      </c>
      <c r="O4142">
        <v>-3.6</v>
      </c>
      <c r="P4142" t="s">
        <v>100</v>
      </c>
      <c r="Q4142">
        <v>0</v>
      </c>
      <c r="R4142" t="s">
        <v>145</v>
      </c>
      <c r="S4142">
        <v>0</v>
      </c>
    </row>
    <row r="4143" spans="1:19">
      <c r="A4143" t="s">
        <v>35</v>
      </c>
      <c r="B4143" t="s">
        <v>10083</v>
      </c>
      <c r="C4143">
        <f>"CK1028"</f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3</v>
      </c>
      <c r="K4143">
        <v>2.565</v>
      </c>
      <c r="L4143" s="2">
        <v>1</v>
      </c>
      <c r="M4143">
        <v>0</v>
      </c>
      <c r="N4143" s="2">
        <v>0</v>
      </c>
      <c r="O4143">
        <v>-3.6</v>
      </c>
      <c r="P4143" t="s">
        <v>100</v>
      </c>
      <c r="Q4143">
        <v>0</v>
      </c>
      <c r="R4143" t="s">
        <v>145</v>
      </c>
      <c r="S4143">
        <v>0</v>
      </c>
    </row>
    <row r="4144" spans="1:19">
      <c r="A4144" t="s">
        <v>35</v>
      </c>
      <c r="B4144" t="s">
        <v>5125</v>
      </c>
      <c r="C4144">
        <f>"B7162xxl"</f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3</v>
      </c>
      <c r="K4144">
        <v>16.254</v>
      </c>
      <c r="L4144" s="2">
        <v>5</v>
      </c>
      <c r="M4144">
        <v>0</v>
      </c>
      <c r="N4144" s="2">
        <v>0</v>
      </c>
      <c r="O4144">
        <v>-3.6</v>
      </c>
      <c r="P4144" t="s">
        <v>100</v>
      </c>
      <c r="Q4144">
        <v>0</v>
      </c>
      <c r="R4144" t="s">
        <v>145</v>
      </c>
      <c r="S4144">
        <v>0</v>
      </c>
    </row>
    <row r="4145" spans="1:19">
      <c r="A4145" t="s">
        <v>35</v>
      </c>
      <c r="B4145" t="s">
        <v>2092</v>
      </c>
      <c r="C4145">
        <f>"SDR111"</f>
        <v>0</v>
      </c>
      <c r="D4145">
        <v>3</v>
      </c>
      <c r="E4145">
        <v>0</v>
      </c>
      <c r="F4145">
        <v>0</v>
      </c>
      <c r="G4145">
        <v>0</v>
      </c>
      <c r="H4145">
        <v>3</v>
      </c>
      <c r="I4145">
        <v>0</v>
      </c>
      <c r="J4145">
        <v>3</v>
      </c>
      <c r="K4145">
        <v>3.375</v>
      </c>
      <c r="L4145" s="2">
        <v>1</v>
      </c>
      <c r="M4145">
        <v>0</v>
      </c>
      <c r="N4145" s="2">
        <v>0</v>
      </c>
      <c r="O4145">
        <v>-3.6</v>
      </c>
      <c r="P4145" t="s">
        <v>100</v>
      </c>
      <c r="Q4145">
        <v>0</v>
      </c>
      <c r="R4145" t="s">
        <v>145</v>
      </c>
      <c r="S4145">
        <v>0</v>
      </c>
    </row>
    <row r="4146" spans="1:19">
      <c r="A4146" t="s">
        <v>35</v>
      </c>
      <c r="B4146" t="s">
        <v>9144</v>
      </c>
      <c r="C4146">
        <f>"RTW71"</f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3</v>
      </c>
      <c r="K4146">
        <v>4.725</v>
      </c>
      <c r="L4146" s="2">
        <v>2</v>
      </c>
      <c r="M4146">
        <v>0</v>
      </c>
      <c r="N4146" s="2">
        <v>0</v>
      </c>
      <c r="O4146">
        <v>-3.6</v>
      </c>
      <c r="P4146" t="s">
        <v>100</v>
      </c>
      <c r="Q4146">
        <v>0</v>
      </c>
      <c r="R4146" t="s">
        <v>145</v>
      </c>
      <c r="S4146">
        <v>0</v>
      </c>
    </row>
    <row r="4147" spans="1:19">
      <c r="A4147" t="s">
        <v>35</v>
      </c>
      <c r="B4147" t="s">
        <v>5208</v>
      </c>
      <c r="C4147">
        <f>"WPS008CEL"</f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3</v>
      </c>
      <c r="K4147">
        <v>2.133</v>
      </c>
      <c r="L4147" s="2">
        <v>1</v>
      </c>
      <c r="M4147">
        <v>0</v>
      </c>
      <c r="N4147" s="2">
        <v>0</v>
      </c>
      <c r="O4147">
        <v>-3.6</v>
      </c>
      <c r="P4147" t="s">
        <v>100</v>
      </c>
      <c r="Q4147">
        <v>0</v>
      </c>
      <c r="R4147" t="s">
        <v>145</v>
      </c>
      <c r="S4147">
        <v>0</v>
      </c>
    </row>
    <row r="4148" spans="1:19">
      <c r="A4148" t="s">
        <v>35</v>
      </c>
      <c r="B4148" t="s">
        <v>5267</v>
      </c>
      <c r="C4148">
        <f>"WPS008ROS"</f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3</v>
      </c>
      <c r="K4148">
        <v>2.133</v>
      </c>
      <c r="L4148" s="2">
        <v>1</v>
      </c>
      <c r="M4148">
        <v>0</v>
      </c>
      <c r="N4148" s="2">
        <v>0</v>
      </c>
      <c r="O4148">
        <v>-3.6</v>
      </c>
      <c r="P4148" t="s">
        <v>100</v>
      </c>
      <c r="Q4148">
        <v>0</v>
      </c>
      <c r="R4148" t="s">
        <v>145</v>
      </c>
      <c r="S4148">
        <v>0</v>
      </c>
    </row>
    <row r="4149" spans="1:19">
      <c r="A4149" t="s">
        <v>35</v>
      </c>
      <c r="B4149" t="s">
        <v>2351</v>
      </c>
      <c r="C4149">
        <f>"NBGG01M"</f>
        <v>0</v>
      </c>
      <c r="D4149">
        <v>1</v>
      </c>
      <c r="E4149">
        <v>0</v>
      </c>
      <c r="F4149">
        <v>0</v>
      </c>
      <c r="G4149">
        <v>0</v>
      </c>
      <c r="H4149">
        <v>1</v>
      </c>
      <c r="I4149">
        <v>0</v>
      </c>
      <c r="J4149">
        <v>3</v>
      </c>
      <c r="K4149">
        <v>18.63</v>
      </c>
      <c r="L4149" s="2">
        <v>6</v>
      </c>
      <c r="M4149">
        <v>0</v>
      </c>
      <c r="N4149" s="2">
        <v>0</v>
      </c>
      <c r="O4149">
        <v>-3.6</v>
      </c>
      <c r="P4149" t="s">
        <v>100</v>
      </c>
      <c r="Q4149">
        <v>0</v>
      </c>
      <c r="R4149" t="s">
        <v>145</v>
      </c>
      <c r="S4149">
        <v>0</v>
      </c>
    </row>
    <row r="4150" spans="1:19">
      <c r="A4150" t="s">
        <v>35</v>
      </c>
      <c r="B4150" t="s">
        <v>6215</v>
      </c>
      <c r="C4150">
        <f>"10224"</f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3</v>
      </c>
      <c r="K4150">
        <v>60.75</v>
      </c>
      <c r="L4150" s="2">
        <v>20</v>
      </c>
      <c r="M4150">
        <v>0</v>
      </c>
      <c r="N4150" s="2">
        <v>0</v>
      </c>
      <c r="O4150">
        <v>-3.6</v>
      </c>
      <c r="P4150" t="s">
        <v>100</v>
      </c>
      <c r="Q4150">
        <v>0</v>
      </c>
      <c r="R4150" t="s">
        <v>145</v>
      </c>
      <c r="S4150">
        <v>0</v>
      </c>
    </row>
    <row r="4151" spans="1:19">
      <c r="A4151" t="s">
        <v>35</v>
      </c>
      <c r="B4151" t="s">
        <v>2394</v>
      </c>
      <c r="C4151">
        <f>"PCM12030A"</f>
        <v>0</v>
      </c>
      <c r="D4151">
        <v>0</v>
      </c>
      <c r="E4151">
        <v>0</v>
      </c>
      <c r="F4151">
        <v>1</v>
      </c>
      <c r="G4151">
        <v>0</v>
      </c>
      <c r="H4151">
        <v>1</v>
      </c>
      <c r="I4151">
        <v>0</v>
      </c>
      <c r="J4151">
        <v>3</v>
      </c>
      <c r="K4151">
        <v>42.93</v>
      </c>
      <c r="L4151" s="2">
        <v>14</v>
      </c>
      <c r="M4151">
        <v>0</v>
      </c>
      <c r="N4151" s="2">
        <v>0</v>
      </c>
      <c r="O4151">
        <v>-3.6</v>
      </c>
      <c r="P4151" t="s">
        <v>100</v>
      </c>
      <c r="Q4151">
        <v>0</v>
      </c>
      <c r="R4151" t="s">
        <v>145</v>
      </c>
      <c r="S4151">
        <v>0</v>
      </c>
    </row>
    <row r="4152" spans="1:19">
      <c r="A4152" t="s">
        <v>35</v>
      </c>
      <c r="B4152" t="s">
        <v>7859</v>
      </c>
      <c r="C4152">
        <f>"Q5ALAR"</f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3</v>
      </c>
      <c r="K4152">
        <v>12.015</v>
      </c>
      <c r="L4152" s="2">
        <v>4</v>
      </c>
      <c r="M4152">
        <v>0</v>
      </c>
      <c r="N4152" s="2">
        <v>0</v>
      </c>
      <c r="O4152">
        <v>-3.6</v>
      </c>
      <c r="P4152" t="s">
        <v>100</v>
      </c>
      <c r="Q4152">
        <v>0</v>
      </c>
      <c r="R4152" t="s">
        <v>145</v>
      </c>
      <c r="S4152">
        <v>0</v>
      </c>
    </row>
    <row r="4153" spans="1:19">
      <c r="A4153" t="s">
        <v>35</v>
      </c>
      <c r="B4153" t="s">
        <v>6400</v>
      </c>
      <c r="C4153">
        <f>"SK3017"</f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3</v>
      </c>
      <c r="K4153">
        <v>8.640000000000001</v>
      </c>
      <c r="L4153" s="2">
        <v>3</v>
      </c>
      <c r="M4153">
        <v>0</v>
      </c>
      <c r="N4153" s="2">
        <v>0</v>
      </c>
      <c r="O4153">
        <v>-3.6</v>
      </c>
      <c r="P4153" t="s">
        <v>100</v>
      </c>
      <c r="Q4153">
        <v>0</v>
      </c>
      <c r="R4153" t="s">
        <v>145</v>
      </c>
      <c r="S4153">
        <v>0</v>
      </c>
    </row>
    <row r="4154" spans="1:19">
      <c r="A4154" t="s">
        <v>35</v>
      </c>
      <c r="B4154" t="s">
        <v>2718</v>
      </c>
      <c r="C4154">
        <f>"D162"</f>
        <v>0</v>
      </c>
      <c r="D4154">
        <v>0</v>
      </c>
      <c r="E4154">
        <v>1</v>
      </c>
      <c r="F4154">
        <v>0</v>
      </c>
      <c r="G4154">
        <v>0</v>
      </c>
      <c r="H4154">
        <v>1</v>
      </c>
      <c r="I4154">
        <v>0</v>
      </c>
      <c r="J4154">
        <v>3</v>
      </c>
      <c r="K4154">
        <v>12.285</v>
      </c>
      <c r="L4154" s="2">
        <v>4</v>
      </c>
      <c r="M4154">
        <v>0</v>
      </c>
      <c r="N4154" s="2">
        <v>0</v>
      </c>
      <c r="O4154">
        <v>-3.6</v>
      </c>
      <c r="P4154" t="s">
        <v>100</v>
      </c>
      <c r="Q4154">
        <v>0</v>
      </c>
      <c r="R4154" t="s">
        <v>145</v>
      </c>
      <c r="S4154">
        <v>0</v>
      </c>
    </row>
    <row r="4155" spans="1:19">
      <c r="A4155" t="s">
        <v>35</v>
      </c>
      <c r="B4155" t="s">
        <v>9994</v>
      </c>
      <c r="C4155">
        <f>"LH100MM"</f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3</v>
      </c>
      <c r="K4155">
        <v>14.85</v>
      </c>
      <c r="L4155" s="2">
        <v>5</v>
      </c>
      <c r="M4155">
        <v>0</v>
      </c>
      <c r="N4155" s="2">
        <v>0</v>
      </c>
      <c r="O4155">
        <v>-3.6</v>
      </c>
      <c r="P4155" t="s">
        <v>100</v>
      </c>
      <c r="Q4155">
        <v>0</v>
      </c>
      <c r="R4155" t="s">
        <v>145</v>
      </c>
      <c r="S4155">
        <v>0</v>
      </c>
    </row>
    <row r="4156" spans="1:19">
      <c r="A4156" t="s">
        <v>35</v>
      </c>
      <c r="B4156" t="s">
        <v>6436</v>
      </c>
      <c r="C4156">
        <f>"KLO25L"</f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3</v>
      </c>
      <c r="K4156">
        <v>0</v>
      </c>
      <c r="L4156" s="2">
        <v>0</v>
      </c>
      <c r="M4156">
        <v>0</v>
      </c>
      <c r="N4156" s="2">
        <v>0</v>
      </c>
      <c r="O4156">
        <v>-3.6</v>
      </c>
      <c r="P4156" t="s">
        <v>100</v>
      </c>
      <c r="Q4156">
        <v>0</v>
      </c>
      <c r="R4156" t="s">
        <v>145</v>
      </c>
      <c r="S4156">
        <v>0</v>
      </c>
    </row>
    <row r="4157" spans="1:19">
      <c r="A4157" t="s">
        <v>35</v>
      </c>
      <c r="B4157" t="s">
        <v>2303</v>
      </c>
      <c r="C4157">
        <f>"HP152MCR"</f>
        <v>0</v>
      </c>
      <c r="D4157">
        <v>0</v>
      </c>
      <c r="E4157">
        <v>1</v>
      </c>
      <c r="F4157">
        <v>0</v>
      </c>
      <c r="G4157">
        <v>0</v>
      </c>
      <c r="H4157">
        <v>1</v>
      </c>
      <c r="I4157">
        <v>0</v>
      </c>
      <c r="J4157">
        <v>3</v>
      </c>
      <c r="K4157">
        <v>14.175</v>
      </c>
      <c r="L4157" s="2">
        <v>5</v>
      </c>
      <c r="M4157">
        <v>0</v>
      </c>
      <c r="N4157" s="2">
        <v>0</v>
      </c>
      <c r="O4157">
        <v>-3.6</v>
      </c>
      <c r="P4157" t="s">
        <v>100</v>
      </c>
      <c r="Q4157">
        <v>0</v>
      </c>
      <c r="R4157" t="s">
        <v>145</v>
      </c>
      <c r="S4157">
        <v>0</v>
      </c>
    </row>
    <row r="4158" spans="1:19">
      <c r="A4158" t="s">
        <v>35</v>
      </c>
      <c r="B4158" t="s">
        <v>7916</v>
      </c>
      <c r="C4158">
        <f>"DN178"</f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3</v>
      </c>
      <c r="K4158">
        <v>4.293</v>
      </c>
      <c r="L4158" s="2">
        <v>1</v>
      </c>
      <c r="M4158">
        <v>0</v>
      </c>
      <c r="N4158" s="2">
        <v>0</v>
      </c>
      <c r="O4158">
        <v>-3.6</v>
      </c>
      <c r="P4158" t="s">
        <v>100</v>
      </c>
      <c r="Q4158">
        <v>0</v>
      </c>
      <c r="R4158" t="s">
        <v>145</v>
      </c>
      <c r="S4158">
        <v>0</v>
      </c>
    </row>
    <row r="4159" spans="1:19">
      <c r="A4159" t="s">
        <v>35</v>
      </c>
      <c r="B4159" t="s">
        <v>8117</v>
      </c>
      <c r="C4159">
        <f>"HD21S"</f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3</v>
      </c>
      <c r="K4159">
        <v>8.775</v>
      </c>
      <c r="L4159" s="2">
        <v>3</v>
      </c>
      <c r="M4159">
        <v>0</v>
      </c>
      <c r="N4159" s="2">
        <v>0</v>
      </c>
      <c r="O4159">
        <v>-3.6</v>
      </c>
      <c r="P4159" t="s">
        <v>100</v>
      </c>
      <c r="Q4159">
        <v>0</v>
      </c>
      <c r="R4159" t="s">
        <v>145</v>
      </c>
      <c r="S4159">
        <v>0</v>
      </c>
    </row>
    <row r="4160" spans="1:19">
      <c r="A4160" t="s">
        <v>35</v>
      </c>
      <c r="B4160" t="s">
        <v>2314</v>
      </c>
      <c r="C4160">
        <f>"MF904"</f>
        <v>0</v>
      </c>
      <c r="D4160">
        <v>0</v>
      </c>
      <c r="E4160">
        <v>2</v>
      </c>
      <c r="F4160">
        <v>0</v>
      </c>
      <c r="G4160">
        <v>0</v>
      </c>
      <c r="H4160">
        <v>2</v>
      </c>
      <c r="I4160">
        <v>0</v>
      </c>
      <c r="J4160">
        <v>3</v>
      </c>
      <c r="K4160">
        <v>7.965</v>
      </c>
      <c r="L4160" s="2">
        <v>3</v>
      </c>
      <c r="M4160">
        <v>0</v>
      </c>
      <c r="N4160" s="2">
        <v>0</v>
      </c>
      <c r="O4160">
        <v>-3.6</v>
      </c>
      <c r="P4160" t="s">
        <v>100</v>
      </c>
      <c r="Q4160">
        <v>0</v>
      </c>
      <c r="R4160" t="s">
        <v>145</v>
      </c>
      <c r="S4160">
        <v>0</v>
      </c>
    </row>
    <row r="4161" spans="1:19">
      <c r="A4161" t="s">
        <v>35</v>
      </c>
      <c r="B4161" t="s">
        <v>9132</v>
      </c>
      <c r="C4161">
        <f>"PT278V"</f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3</v>
      </c>
      <c r="K4161">
        <v>5.94</v>
      </c>
      <c r="L4161" s="2">
        <v>2</v>
      </c>
      <c r="M4161">
        <v>0</v>
      </c>
      <c r="N4161" s="2">
        <v>0</v>
      </c>
      <c r="O4161">
        <v>-3.6</v>
      </c>
      <c r="P4161" t="s">
        <v>100</v>
      </c>
      <c r="Q4161">
        <v>0</v>
      </c>
      <c r="R4161" t="s">
        <v>145</v>
      </c>
      <c r="S4161">
        <v>0</v>
      </c>
    </row>
    <row r="4162" spans="1:19">
      <c r="A4162" t="s">
        <v>35</v>
      </c>
      <c r="B4162" t="s">
        <v>8758</v>
      </c>
      <c r="C4162">
        <f>"DB821VCXL"</f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3</v>
      </c>
      <c r="K4162">
        <v>34.83</v>
      </c>
      <c r="L4162" s="2">
        <v>12</v>
      </c>
      <c r="M4162">
        <v>0</v>
      </c>
      <c r="N4162" s="2">
        <v>0</v>
      </c>
      <c r="O4162">
        <v>-3.6</v>
      </c>
      <c r="P4162" t="s">
        <v>100</v>
      </c>
      <c r="Q4162">
        <v>0</v>
      </c>
      <c r="R4162" t="s">
        <v>145</v>
      </c>
      <c r="S4162">
        <v>0</v>
      </c>
    </row>
    <row r="4163" spans="1:19">
      <c r="A4163" t="s">
        <v>35</v>
      </c>
      <c r="B4163" t="s">
        <v>8366</v>
      </c>
      <c r="C4163">
        <f>"DB821ROXL"</f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3</v>
      </c>
      <c r="K4163">
        <v>34.83</v>
      </c>
      <c r="L4163" s="2">
        <v>12</v>
      </c>
      <c r="M4163">
        <v>0</v>
      </c>
      <c r="N4163" s="2">
        <v>0</v>
      </c>
      <c r="O4163">
        <v>-3.6</v>
      </c>
      <c r="P4163" t="s">
        <v>100</v>
      </c>
      <c r="Q4163">
        <v>0</v>
      </c>
      <c r="R4163" t="s">
        <v>145</v>
      </c>
      <c r="S4163">
        <v>0</v>
      </c>
    </row>
    <row r="4164" spans="1:19">
      <c r="A4164" t="s">
        <v>35</v>
      </c>
      <c r="B4164" t="s">
        <v>2472</v>
      </c>
      <c r="C4164">
        <f>"DB821VCM"</f>
        <v>0</v>
      </c>
      <c r="D4164">
        <v>0</v>
      </c>
      <c r="E4164">
        <v>0</v>
      </c>
      <c r="F4164">
        <v>1</v>
      </c>
      <c r="G4164">
        <v>0</v>
      </c>
      <c r="H4164">
        <v>1</v>
      </c>
      <c r="I4164">
        <v>0</v>
      </c>
      <c r="J4164">
        <v>3</v>
      </c>
      <c r="K4164">
        <v>25.785</v>
      </c>
      <c r="L4164" s="2">
        <v>9</v>
      </c>
      <c r="M4164">
        <v>0</v>
      </c>
      <c r="N4164" s="2">
        <v>0</v>
      </c>
      <c r="O4164">
        <v>-3.6</v>
      </c>
      <c r="P4164" t="s">
        <v>100</v>
      </c>
      <c r="Q4164">
        <v>0</v>
      </c>
      <c r="R4164" t="s">
        <v>145</v>
      </c>
      <c r="S4164">
        <v>0</v>
      </c>
    </row>
    <row r="4165" spans="1:19">
      <c r="A4165" t="s">
        <v>35</v>
      </c>
      <c r="B4165" t="s">
        <v>2624</v>
      </c>
      <c r="C4165">
        <f>"B1919MA"</f>
        <v>0</v>
      </c>
      <c r="D4165">
        <v>0</v>
      </c>
      <c r="E4165">
        <v>1</v>
      </c>
      <c r="F4165">
        <v>0</v>
      </c>
      <c r="G4165">
        <v>0</v>
      </c>
      <c r="H4165">
        <v>1</v>
      </c>
      <c r="I4165">
        <v>0</v>
      </c>
      <c r="J4165">
        <v>3</v>
      </c>
      <c r="K4165">
        <v>14.85</v>
      </c>
      <c r="L4165" s="2">
        <v>5</v>
      </c>
      <c r="M4165">
        <v>0</v>
      </c>
      <c r="N4165" s="2">
        <v>0</v>
      </c>
      <c r="O4165">
        <v>-3.6</v>
      </c>
      <c r="P4165" t="s">
        <v>100</v>
      </c>
      <c r="Q4165">
        <v>0</v>
      </c>
      <c r="R4165" t="s">
        <v>145</v>
      </c>
      <c r="S4165">
        <v>0</v>
      </c>
    </row>
    <row r="4166" spans="1:19">
      <c r="A4166" t="s">
        <v>35</v>
      </c>
      <c r="B4166" t="s">
        <v>2634</v>
      </c>
      <c r="C4166">
        <f>"B1919LA"</f>
        <v>0</v>
      </c>
      <c r="D4166">
        <v>0</v>
      </c>
      <c r="E4166">
        <v>1</v>
      </c>
      <c r="F4166">
        <v>0</v>
      </c>
      <c r="G4166">
        <v>0</v>
      </c>
      <c r="H4166">
        <v>1</v>
      </c>
      <c r="I4166">
        <v>0</v>
      </c>
      <c r="J4166">
        <v>3</v>
      </c>
      <c r="K4166">
        <v>15.014</v>
      </c>
      <c r="L4166" s="2">
        <v>5</v>
      </c>
      <c r="M4166">
        <v>0</v>
      </c>
      <c r="N4166" s="2">
        <v>0</v>
      </c>
      <c r="O4166">
        <v>-3.6</v>
      </c>
      <c r="P4166" t="s">
        <v>100</v>
      </c>
      <c r="Q4166">
        <v>0</v>
      </c>
      <c r="R4166" t="s">
        <v>145</v>
      </c>
      <c r="S4166">
        <v>0</v>
      </c>
    </row>
    <row r="4167" spans="1:19">
      <c r="A4167" t="s">
        <v>35</v>
      </c>
      <c r="B4167" t="s">
        <v>3237</v>
      </c>
      <c r="C4167">
        <f>"D138S"</f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3</v>
      </c>
      <c r="K4167">
        <v>4.023</v>
      </c>
      <c r="L4167" s="2">
        <v>1</v>
      </c>
      <c r="M4167">
        <v>0</v>
      </c>
      <c r="N4167" s="2">
        <v>0</v>
      </c>
      <c r="O4167">
        <v>-3.6</v>
      </c>
      <c r="P4167" t="s">
        <v>100</v>
      </c>
      <c r="Q4167">
        <v>0</v>
      </c>
      <c r="R4167" t="s">
        <v>145</v>
      </c>
      <c r="S4167">
        <v>0</v>
      </c>
    </row>
    <row r="4168" spans="1:19">
      <c r="A4168" t="s">
        <v>35</v>
      </c>
      <c r="B4168" t="s">
        <v>2362</v>
      </c>
      <c r="C4168">
        <f>"KF8055BE"</f>
        <v>0</v>
      </c>
      <c r="D4168">
        <v>0</v>
      </c>
      <c r="E4168">
        <v>0</v>
      </c>
      <c r="F4168">
        <v>1</v>
      </c>
      <c r="G4168">
        <v>0</v>
      </c>
      <c r="H4168">
        <v>1</v>
      </c>
      <c r="I4168">
        <v>0</v>
      </c>
      <c r="J4168">
        <v>3</v>
      </c>
      <c r="K4168">
        <v>55.497</v>
      </c>
      <c r="L4168" s="2">
        <v>18</v>
      </c>
      <c r="M4168">
        <v>0</v>
      </c>
      <c r="N4168" s="2">
        <v>0</v>
      </c>
      <c r="O4168">
        <v>-3.6</v>
      </c>
      <c r="P4168" t="s">
        <v>100</v>
      </c>
      <c r="Q4168">
        <v>0</v>
      </c>
      <c r="R4168" t="s">
        <v>145</v>
      </c>
      <c r="S4168">
        <v>0</v>
      </c>
    </row>
    <row r="4169" spans="1:19">
      <c r="A4169" t="s">
        <v>35</v>
      </c>
      <c r="B4169" t="s">
        <v>6969</v>
      </c>
      <c r="C4169">
        <f>"DM2036"</f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3</v>
      </c>
      <c r="K4169">
        <v>20.25</v>
      </c>
      <c r="L4169" s="2">
        <v>7</v>
      </c>
      <c r="M4169">
        <v>0</v>
      </c>
      <c r="N4169" s="2">
        <v>0</v>
      </c>
      <c r="O4169">
        <v>-3.6</v>
      </c>
      <c r="P4169" t="s">
        <v>100</v>
      </c>
      <c r="Q4169">
        <v>0</v>
      </c>
      <c r="R4169" t="s">
        <v>145</v>
      </c>
      <c r="S4169">
        <v>0</v>
      </c>
    </row>
    <row r="4170" spans="1:19">
      <c r="A4170" t="s">
        <v>35</v>
      </c>
      <c r="B4170" t="s">
        <v>8154</v>
      </c>
      <c r="C4170">
        <f>"XQ35S"</f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3</v>
      </c>
      <c r="K4170">
        <v>8.073</v>
      </c>
      <c r="L4170" s="2">
        <v>3</v>
      </c>
      <c r="M4170">
        <v>0</v>
      </c>
      <c r="N4170" s="2">
        <v>0</v>
      </c>
      <c r="O4170">
        <v>-3.6</v>
      </c>
      <c r="P4170" t="s">
        <v>100</v>
      </c>
      <c r="Q4170">
        <v>0</v>
      </c>
      <c r="R4170" t="s">
        <v>145</v>
      </c>
      <c r="S4170">
        <v>0</v>
      </c>
    </row>
    <row r="4171" spans="1:19">
      <c r="A4171" t="s">
        <v>35</v>
      </c>
      <c r="B4171" t="s">
        <v>8140</v>
      </c>
      <c r="C4171">
        <f>"XQ35L"</f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3</v>
      </c>
      <c r="K4171">
        <v>9.315</v>
      </c>
      <c r="L4171" s="2">
        <v>3</v>
      </c>
      <c r="M4171">
        <v>0</v>
      </c>
      <c r="N4171" s="2">
        <v>0</v>
      </c>
      <c r="O4171">
        <v>-3.6</v>
      </c>
      <c r="P4171" t="s">
        <v>100</v>
      </c>
      <c r="Q4171">
        <v>0</v>
      </c>
      <c r="R4171" t="s">
        <v>145</v>
      </c>
      <c r="S4171">
        <v>0</v>
      </c>
    </row>
    <row r="4172" spans="1:19">
      <c r="A4172" t="s">
        <v>35</v>
      </c>
      <c r="B4172" t="s">
        <v>8139</v>
      </c>
      <c r="C4172">
        <f>"XQ35M"</f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3</v>
      </c>
      <c r="K4172">
        <v>8.640000000000001</v>
      </c>
      <c r="L4172" s="2">
        <v>3</v>
      </c>
      <c r="M4172">
        <v>0</v>
      </c>
      <c r="N4172" s="2">
        <v>0</v>
      </c>
      <c r="O4172">
        <v>-3.6</v>
      </c>
      <c r="P4172" t="s">
        <v>100</v>
      </c>
      <c r="Q4172">
        <v>0</v>
      </c>
      <c r="R4172" t="s">
        <v>145</v>
      </c>
      <c r="S4172">
        <v>0</v>
      </c>
    </row>
    <row r="4173" spans="1:19">
      <c r="A4173" t="s">
        <v>35</v>
      </c>
      <c r="B4173" t="s">
        <v>2483</v>
      </c>
      <c r="C4173">
        <f>"HD23S"</f>
        <v>0</v>
      </c>
      <c r="D4173">
        <v>0</v>
      </c>
      <c r="E4173">
        <v>1</v>
      </c>
      <c r="F4173">
        <v>0</v>
      </c>
      <c r="G4173">
        <v>0</v>
      </c>
      <c r="H4173">
        <v>1</v>
      </c>
      <c r="I4173">
        <v>0</v>
      </c>
      <c r="J4173">
        <v>3</v>
      </c>
      <c r="K4173">
        <v>8.775</v>
      </c>
      <c r="L4173" s="2">
        <v>3</v>
      </c>
      <c r="M4173">
        <v>0</v>
      </c>
      <c r="N4173" s="2">
        <v>0</v>
      </c>
      <c r="O4173">
        <v>-3.6</v>
      </c>
      <c r="P4173" t="s">
        <v>100</v>
      </c>
      <c r="Q4173">
        <v>0</v>
      </c>
      <c r="R4173" t="s">
        <v>145</v>
      </c>
      <c r="S4173">
        <v>0</v>
      </c>
    </row>
    <row r="4174" spans="1:19">
      <c r="A4174" t="s">
        <v>35</v>
      </c>
      <c r="B4174" t="s">
        <v>2177</v>
      </c>
      <c r="C4174">
        <f>"BRI8"</f>
        <v>0</v>
      </c>
      <c r="D4174">
        <v>0</v>
      </c>
      <c r="E4174">
        <v>2</v>
      </c>
      <c r="F4174">
        <v>0</v>
      </c>
      <c r="G4174">
        <v>0</v>
      </c>
      <c r="H4174">
        <v>2</v>
      </c>
      <c r="I4174">
        <v>0</v>
      </c>
      <c r="J4174">
        <v>3</v>
      </c>
      <c r="K4174">
        <v>4.725</v>
      </c>
      <c r="L4174" s="2">
        <v>2</v>
      </c>
      <c r="M4174">
        <v>0</v>
      </c>
      <c r="N4174" s="2">
        <v>0</v>
      </c>
      <c r="O4174">
        <v>-3.6</v>
      </c>
      <c r="P4174" t="s">
        <v>100</v>
      </c>
      <c r="Q4174">
        <v>0</v>
      </c>
      <c r="R4174" t="s">
        <v>145</v>
      </c>
      <c r="S4174">
        <v>0</v>
      </c>
    </row>
    <row r="4175" spans="1:19">
      <c r="A4175" t="s">
        <v>35</v>
      </c>
      <c r="B4175" t="s">
        <v>7906</v>
      </c>
      <c r="C4175">
        <f>"FB011LC"</f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3</v>
      </c>
      <c r="K4175">
        <v>6.345</v>
      </c>
      <c r="L4175" s="2">
        <v>2</v>
      </c>
      <c r="M4175">
        <v>0</v>
      </c>
      <c r="N4175" s="2">
        <v>0</v>
      </c>
      <c r="O4175">
        <v>-3.6</v>
      </c>
      <c r="P4175" t="s">
        <v>100</v>
      </c>
      <c r="Q4175">
        <v>0</v>
      </c>
      <c r="R4175" t="s">
        <v>145</v>
      </c>
      <c r="S4175">
        <v>0</v>
      </c>
    </row>
    <row r="4176" spans="1:19">
      <c r="A4176" t="s">
        <v>35</v>
      </c>
      <c r="B4176" t="s">
        <v>8534</v>
      </c>
      <c r="C4176">
        <f>"DB821RXL"</f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3</v>
      </c>
      <c r="K4176">
        <v>34.83</v>
      </c>
      <c r="L4176" s="2">
        <v>12</v>
      </c>
      <c r="M4176">
        <v>0</v>
      </c>
      <c r="N4176" s="2">
        <v>0</v>
      </c>
      <c r="O4176">
        <v>-3.6</v>
      </c>
      <c r="P4176" t="s">
        <v>100</v>
      </c>
      <c r="Q4176">
        <v>0</v>
      </c>
      <c r="R4176" t="s">
        <v>145</v>
      </c>
      <c r="S4176">
        <v>0</v>
      </c>
    </row>
    <row r="4177" spans="1:19">
      <c r="A4177" t="s">
        <v>35</v>
      </c>
      <c r="B4177" t="s">
        <v>5234</v>
      </c>
      <c r="C4177">
        <f>"TC0049"</f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3</v>
      </c>
      <c r="K4177">
        <v>2.295</v>
      </c>
      <c r="L4177" s="2">
        <v>1</v>
      </c>
      <c r="M4177">
        <v>0</v>
      </c>
      <c r="N4177" s="2">
        <v>0</v>
      </c>
      <c r="O4177">
        <v>-3.6</v>
      </c>
      <c r="P4177" t="s">
        <v>100</v>
      </c>
      <c r="Q4177">
        <v>0</v>
      </c>
      <c r="R4177" t="s">
        <v>145</v>
      </c>
      <c r="S4177">
        <v>0</v>
      </c>
    </row>
    <row r="4178" spans="1:19">
      <c r="A4178" t="s">
        <v>35</v>
      </c>
      <c r="B4178" t="s">
        <v>6797</v>
      </c>
      <c r="C4178">
        <f>"HH032L"</f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3</v>
      </c>
      <c r="K4178">
        <v>29.16</v>
      </c>
      <c r="L4178" s="2">
        <v>10</v>
      </c>
      <c r="M4178">
        <v>0</v>
      </c>
      <c r="N4178" s="2">
        <v>0</v>
      </c>
      <c r="O4178">
        <v>-3.6</v>
      </c>
      <c r="P4178" t="s">
        <v>100</v>
      </c>
      <c r="Q4178">
        <v>0</v>
      </c>
      <c r="R4178" t="s">
        <v>145</v>
      </c>
      <c r="S4178">
        <v>0</v>
      </c>
    </row>
    <row r="4179" spans="1:19">
      <c r="A4179" t="s">
        <v>35</v>
      </c>
      <c r="B4179" t="s">
        <v>2576</v>
      </c>
      <c r="C4179">
        <f>"749C"</f>
        <v>0</v>
      </c>
      <c r="D4179">
        <v>1</v>
      </c>
      <c r="E4179">
        <v>0</v>
      </c>
      <c r="F4179">
        <v>0</v>
      </c>
      <c r="G4179">
        <v>0</v>
      </c>
      <c r="H4179">
        <v>1</v>
      </c>
      <c r="I4179">
        <v>0</v>
      </c>
      <c r="J4179">
        <v>3</v>
      </c>
      <c r="K4179">
        <v>3.375</v>
      </c>
      <c r="L4179" s="2">
        <v>1</v>
      </c>
      <c r="M4179">
        <v>0</v>
      </c>
      <c r="N4179" s="2">
        <v>0</v>
      </c>
      <c r="O4179">
        <v>-3.6</v>
      </c>
      <c r="P4179" t="s">
        <v>100</v>
      </c>
      <c r="Q4179">
        <v>0</v>
      </c>
      <c r="R4179" t="s">
        <v>145</v>
      </c>
      <c r="S4179">
        <v>0</v>
      </c>
    </row>
    <row r="4180" spans="1:19">
      <c r="A4180" t="s">
        <v>35</v>
      </c>
      <c r="B4180" t="s">
        <v>5301</v>
      </c>
      <c r="C4180">
        <f>"CBT26"</f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3</v>
      </c>
      <c r="K4180">
        <v>3.105</v>
      </c>
      <c r="L4180" s="2">
        <v>1</v>
      </c>
      <c r="M4180">
        <v>0</v>
      </c>
      <c r="N4180" s="2">
        <v>0</v>
      </c>
      <c r="O4180">
        <v>-3.6</v>
      </c>
      <c r="P4180" t="s">
        <v>100</v>
      </c>
      <c r="Q4180">
        <v>0</v>
      </c>
      <c r="R4180" t="s">
        <v>145</v>
      </c>
      <c r="S4180">
        <v>0</v>
      </c>
    </row>
    <row r="4181" spans="1:19">
      <c r="A4181" t="s">
        <v>35</v>
      </c>
      <c r="B4181" t="s">
        <v>6005</v>
      </c>
      <c r="C4181">
        <f>"MSP109A"</f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3</v>
      </c>
      <c r="K4181">
        <v>47.8</v>
      </c>
      <c r="L4181" s="2">
        <v>16</v>
      </c>
      <c r="M4181">
        <v>0</v>
      </c>
      <c r="N4181" s="2">
        <v>0</v>
      </c>
      <c r="O4181">
        <v>-3.6</v>
      </c>
      <c r="P4181" t="s">
        <v>100</v>
      </c>
      <c r="Q4181">
        <v>0</v>
      </c>
      <c r="R4181" t="s">
        <v>145</v>
      </c>
      <c r="S4181">
        <v>0</v>
      </c>
    </row>
    <row r="4182" spans="1:19">
      <c r="A4182" t="s">
        <v>35</v>
      </c>
      <c r="B4182" t="s">
        <v>7305</v>
      </c>
      <c r="C4182">
        <f>"54B1093243XLG"</f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3</v>
      </c>
      <c r="K4182">
        <v>29.322</v>
      </c>
      <c r="L4182" s="2">
        <v>10</v>
      </c>
      <c r="M4182">
        <v>0</v>
      </c>
      <c r="N4182" s="2">
        <v>0</v>
      </c>
      <c r="O4182">
        <v>-3.6</v>
      </c>
      <c r="P4182" t="s">
        <v>100</v>
      </c>
      <c r="Q4182">
        <v>0</v>
      </c>
      <c r="R4182" t="s">
        <v>145</v>
      </c>
      <c r="S4182">
        <v>0</v>
      </c>
    </row>
    <row r="4183" spans="1:19">
      <c r="A4183" t="s">
        <v>35</v>
      </c>
      <c r="B4183" t="s">
        <v>7800</v>
      </c>
      <c r="C4183">
        <f>"D311L"</f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3</v>
      </c>
      <c r="K4183">
        <v>3.348</v>
      </c>
      <c r="L4183" s="2">
        <v>1</v>
      </c>
      <c r="M4183">
        <v>0</v>
      </c>
      <c r="N4183" s="2">
        <v>0</v>
      </c>
      <c r="O4183">
        <v>-3.6</v>
      </c>
      <c r="P4183" t="s">
        <v>100</v>
      </c>
      <c r="Q4183">
        <v>0</v>
      </c>
      <c r="R4183" t="s">
        <v>145</v>
      </c>
      <c r="S4183">
        <v>0</v>
      </c>
    </row>
    <row r="4184" spans="1:19">
      <c r="A4184" t="s">
        <v>35</v>
      </c>
      <c r="B4184" t="s">
        <v>5384</v>
      </c>
      <c r="C4184">
        <f>"3105mixLILA"</f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3</v>
      </c>
      <c r="K4184">
        <v>45.873</v>
      </c>
      <c r="L4184" s="2">
        <v>15</v>
      </c>
      <c r="M4184">
        <v>0</v>
      </c>
      <c r="N4184" s="2">
        <v>0</v>
      </c>
      <c r="O4184">
        <v>-3.6</v>
      </c>
      <c r="P4184" t="s">
        <v>100</v>
      </c>
      <c r="Q4184">
        <v>0</v>
      </c>
      <c r="R4184" t="s">
        <v>145</v>
      </c>
      <c r="S4184">
        <v>0</v>
      </c>
    </row>
    <row r="4185" spans="1:19">
      <c r="A4185" t="s">
        <v>35</v>
      </c>
      <c r="B4185" t="s">
        <v>8365</v>
      </c>
      <c r="C4185">
        <f>"PD20014L"</f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3</v>
      </c>
      <c r="K4185">
        <v>15.84</v>
      </c>
      <c r="L4185" s="2">
        <v>5</v>
      </c>
      <c r="M4185">
        <v>0</v>
      </c>
      <c r="N4185" s="2">
        <v>0</v>
      </c>
      <c r="O4185">
        <v>-3.6</v>
      </c>
      <c r="P4185" t="s">
        <v>100</v>
      </c>
      <c r="Q4185">
        <v>0</v>
      </c>
      <c r="R4185" t="s">
        <v>145</v>
      </c>
      <c r="S4185">
        <v>0</v>
      </c>
    </row>
    <row r="4186" spans="1:19">
      <c r="A4186" t="s">
        <v>35</v>
      </c>
      <c r="B4186" t="s">
        <v>1912</v>
      </c>
      <c r="C4186">
        <f>"XDB403A"</f>
        <v>0</v>
      </c>
      <c r="D4186">
        <v>5</v>
      </c>
      <c r="E4186">
        <v>0</v>
      </c>
      <c r="F4186">
        <v>0</v>
      </c>
      <c r="G4186">
        <v>0</v>
      </c>
      <c r="H4186">
        <v>5</v>
      </c>
      <c r="I4186">
        <v>0</v>
      </c>
      <c r="J4186">
        <v>3</v>
      </c>
      <c r="K4186">
        <v>95.84999999999999</v>
      </c>
      <c r="L4186" s="2">
        <v>32</v>
      </c>
      <c r="M4186">
        <v>0</v>
      </c>
      <c r="N4186" s="2">
        <v>0</v>
      </c>
      <c r="O4186">
        <v>-3.6</v>
      </c>
      <c r="P4186" t="s">
        <v>100</v>
      </c>
      <c r="Q4186">
        <v>0</v>
      </c>
      <c r="R4186" t="s">
        <v>145</v>
      </c>
      <c r="S4186">
        <v>0</v>
      </c>
    </row>
    <row r="4187" spans="1:19">
      <c r="A4187" t="s">
        <v>35</v>
      </c>
      <c r="B4187" t="s">
        <v>8795</v>
      </c>
      <c r="C4187">
        <f>"BP2060CEL"</f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3</v>
      </c>
      <c r="K4187">
        <v>9.449999999999999</v>
      </c>
      <c r="L4187" s="2">
        <v>3</v>
      </c>
      <c r="M4187">
        <v>0</v>
      </c>
      <c r="N4187" s="2">
        <v>0</v>
      </c>
      <c r="O4187">
        <v>-3.6</v>
      </c>
      <c r="P4187" t="s">
        <v>100</v>
      </c>
      <c r="Q4187">
        <v>0</v>
      </c>
      <c r="R4187" t="s">
        <v>145</v>
      </c>
      <c r="S4187">
        <v>0</v>
      </c>
    </row>
    <row r="4188" spans="1:19">
      <c r="A4188" t="s">
        <v>35</v>
      </c>
      <c r="B4188" t="s">
        <v>2468</v>
      </c>
      <c r="C4188">
        <f>"92804RXL"</f>
        <v>0</v>
      </c>
      <c r="D4188">
        <v>1</v>
      </c>
      <c r="E4188">
        <v>0</v>
      </c>
      <c r="F4188">
        <v>0</v>
      </c>
      <c r="G4188">
        <v>0</v>
      </c>
      <c r="H4188">
        <v>1</v>
      </c>
      <c r="I4188">
        <v>0</v>
      </c>
      <c r="J4188">
        <v>3</v>
      </c>
      <c r="K4188">
        <v>51.03</v>
      </c>
      <c r="L4188" s="2">
        <v>17</v>
      </c>
      <c r="M4188">
        <v>0</v>
      </c>
      <c r="N4188" s="2">
        <v>0</v>
      </c>
      <c r="O4188">
        <v>-3.6</v>
      </c>
      <c r="P4188" t="s">
        <v>100</v>
      </c>
      <c r="Q4188">
        <v>0</v>
      </c>
      <c r="R4188" t="s">
        <v>145</v>
      </c>
      <c r="S4188">
        <v>0</v>
      </c>
    </row>
    <row r="4189" spans="1:19">
      <c r="A4189" t="s">
        <v>35</v>
      </c>
      <c r="B4189" t="s">
        <v>8751</v>
      </c>
      <c r="C4189">
        <f>"92804NXL"</f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3</v>
      </c>
      <c r="K4189">
        <v>51.03</v>
      </c>
      <c r="L4189" s="2">
        <v>17</v>
      </c>
      <c r="M4189">
        <v>0</v>
      </c>
      <c r="N4189" s="2">
        <v>0</v>
      </c>
      <c r="O4189">
        <v>-3.6</v>
      </c>
      <c r="P4189" t="s">
        <v>100</v>
      </c>
      <c r="Q4189">
        <v>0</v>
      </c>
      <c r="R4189" t="s">
        <v>145</v>
      </c>
      <c r="S4189">
        <v>0</v>
      </c>
    </row>
    <row r="4190" spans="1:19">
      <c r="A4190" t="s">
        <v>35</v>
      </c>
      <c r="B4190" t="s">
        <v>2461</v>
      </c>
      <c r="C4190">
        <f>"MSP008ROSO"</f>
        <v>0</v>
      </c>
      <c r="D4190">
        <v>0</v>
      </c>
      <c r="E4190">
        <v>1</v>
      </c>
      <c r="F4190">
        <v>0</v>
      </c>
      <c r="G4190">
        <v>0</v>
      </c>
      <c r="H4190">
        <v>1</v>
      </c>
      <c r="I4190">
        <v>0</v>
      </c>
      <c r="J4190">
        <v>3</v>
      </c>
      <c r="K4190">
        <v>48.75</v>
      </c>
      <c r="L4190" s="2">
        <v>16</v>
      </c>
      <c r="M4190">
        <v>0</v>
      </c>
      <c r="N4190" s="2">
        <v>0</v>
      </c>
      <c r="O4190">
        <v>-3.6</v>
      </c>
      <c r="P4190" t="s">
        <v>100</v>
      </c>
      <c r="Q4190">
        <v>0</v>
      </c>
      <c r="R4190" t="s">
        <v>145</v>
      </c>
      <c r="S4190">
        <v>0</v>
      </c>
    </row>
    <row r="4191" spans="1:19">
      <c r="A4191" t="s">
        <v>35</v>
      </c>
      <c r="B4191" t="s">
        <v>5329</v>
      </c>
      <c r="C4191">
        <f>"PS1015"</f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3</v>
      </c>
      <c r="K4191">
        <v>7.685</v>
      </c>
      <c r="L4191" s="2">
        <v>3</v>
      </c>
      <c r="M4191">
        <v>0</v>
      </c>
      <c r="N4191" s="2">
        <v>0</v>
      </c>
      <c r="O4191">
        <v>-3.6</v>
      </c>
      <c r="P4191" t="s">
        <v>100</v>
      </c>
      <c r="Q4191">
        <v>0</v>
      </c>
      <c r="R4191" t="s">
        <v>145</v>
      </c>
      <c r="S4191">
        <v>0</v>
      </c>
    </row>
    <row r="4192" spans="1:19">
      <c r="A4192" t="s">
        <v>35</v>
      </c>
      <c r="B4192" t="s">
        <v>9234</v>
      </c>
      <c r="C4192">
        <f>"FB870MB"</f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3</v>
      </c>
      <c r="K4192">
        <v>7.425</v>
      </c>
      <c r="L4192" s="2">
        <v>2</v>
      </c>
      <c r="M4192">
        <v>0</v>
      </c>
      <c r="N4192" s="2">
        <v>0</v>
      </c>
      <c r="O4192">
        <v>-3.6</v>
      </c>
      <c r="P4192" t="s">
        <v>100</v>
      </c>
      <c r="Q4192">
        <v>0</v>
      </c>
      <c r="R4192" t="s">
        <v>145</v>
      </c>
      <c r="S4192">
        <v>0</v>
      </c>
    </row>
    <row r="4193" spans="1:19">
      <c r="A4193" t="s">
        <v>35</v>
      </c>
      <c r="B4193" t="s">
        <v>4600</v>
      </c>
      <c r="C4193">
        <f>"TID"</f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3</v>
      </c>
      <c r="K4193">
        <v>2.376</v>
      </c>
      <c r="L4193" s="2">
        <v>1</v>
      </c>
      <c r="M4193">
        <v>0</v>
      </c>
      <c r="N4193" s="2">
        <v>0</v>
      </c>
      <c r="O4193">
        <v>-3.6</v>
      </c>
      <c r="P4193" t="s">
        <v>100</v>
      </c>
      <c r="Q4193">
        <v>0</v>
      </c>
      <c r="R4193" t="s">
        <v>145</v>
      </c>
      <c r="S4193">
        <v>0</v>
      </c>
    </row>
    <row r="4194" spans="1:19">
      <c r="A4194" t="s">
        <v>35</v>
      </c>
      <c r="B4194" t="s">
        <v>4628</v>
      </c>
      <c r="C4194">
        <f>"TOPKO92260"</f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3</v>
      </c>
      <c r="K4194">
        <v>16.044</v>
      </c>
      <c r="L4194" s="2">
        <v>5</v>
      </c>
      <c r="M4194">
        <v>0</v>
      </c>
      <c r="N4194" s="2">
        <v>0</v>
      </c>
      <c r="O4194">
        <v>-3.6</v>
      </c>
      <c r="P4194" t="s">
        <v>100</v>
      </c>
      <c r="Q4194">
        <v>0</v>
      </c>
      <c r="R4194" t="s">
        <v>145</v>
      </c>
      <c r="S4194">
        <v>0</v>
      </c>
    </row>
    <row r="4195" spans="1:19">
      <c r="A4195" t="s">
        <v>35</v>
      </c>
      <c r="B4195" t="s">
        <v>4976</v>
      </c>
      <c r="C4195">
        <f>"TOP92261"</f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3</v>
      </c>
      <c r="K4195">
        <v>16.044</v>
      </c>
      <c r="L4195" s="2">
        <v>5</v>
      </c>
      <c r="M4195">
        <v>0</v>
      </c>
      <c r="N4195" s="2">
        <v>0</v>
      </c>
      <c r="O4195">
        <v>-3.6</v>
      </c>
      <c r="P4195" t="s">
        <v>100</v>
      </c>
      <c r="Q4195">
        <v>0</v>
      </c>
      <c r="R4195" t="s">
        <v>145</v>
      </c>
      <c r="S4195">
        <v>0</v>
      </c>
    </row>
    <row r="4196" spans="1:19">
      <c r="A4196" t="s">
        <v>35</v>
      </c>
      <c r="B4196" t="s">
        <v>9922</v>
      </c>
      <c r="C4196">
        <f>"EK3001AM"</f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3</v>
      </c>
      <c r="K4196">
        <v>2.295</v>
      </c>
      <c r="L4196" s="2">
        <v>1</v>
      </c>
      <c r="M4196">
        <v>0</v>
      </c>
      <c r="N4196" s="2">
        <v>0</v>
      </c>
      <c r="O4196">
        <v>-3.6</v>
      </c>
      <c r="P4196" t="s">
        <v>100</v>
      </c>
      <c r="Q4196">
        <v>0</v>
      </c>
      <c r="R4196" t="s">
        <v>145</v>
      </c>
      <c r="S4196">
        <v>0</v>
      </c>
    </row>
    <row r="4197" spans="1:19">
      <c r="A4197" t="s">
        <v>35</v>
      </c>
      <c r="B4197" t="s">
        <v>2641</v>
      </c>
      <c r="C4197">
        <f>"19480"</f>
        <v>0</v>
      </c>
      <c r="D4197">
        <v>1</v>
      </c>
      <c r="E4197">
        <v>0</v>
      </c>
      <c r="F4197">
        <v>0</v>
      </c>
      <c r="G4197">
        <v>0</v>
      </c>
      <c r="H4197">
        <v>1</v>
      </c>
      <c r="I4197">
        <v>0</v>
      </c>
      <c r="J4197">
        <v>3</v>
      </c>
      <c r="K4197">
        <v>1.08</v>
      </c>
      <c r="L4197" s="2">
        <v>0</v>
      </c>
      <c r="M4197">
        <v>0</v>
      </c>
      <c r="N4197" s="2">
        <v>0</v>
      </c>
      <c r="O4197">
        <v>-3.6</v>
      </c>
      <c r="P4197" t="s">
        <v>100</v>
      </c>
      <c r="Q4197">
        <v>0</v>
      </c>
      <c r="R4197" t="s">
        <v>145</v>
      </c>
      <c r="S4197">
        <v>0</v>
      </c>
    </row>
    <row r="4198" spans="1:19">
      <c r="A4198" t="s">
        <v>35</v>
      </c>
      <c r="B4198" t="s">
        <v>7065</v>
      </c>
      <c r="C4198">
        <f>"PT3117XXL"</f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3</v>
      </c>
      <c r="K4198">
        <v>16.173</v>
      </c>
      <c r="L4198" s="2">
        <v>5</v>
      </c>
      <c r="M4198">
        <v>0</v>
      </c>
      <c r="N4198" s="2">
        <v>0</v>
      </c>
      <c r="O4198">
        <v>-3.6</v>
      </c>
      <c r="P4198" t="s">
        <v>100</v>
      </c>
      <c r="Q4198">
        <v>0</v>
      </c>
      <c r="R4198" t="s">
        <v>145</v>
      </c>
      <c r="S4198">
        <v>0</v>
      </c>
    </row>
    <row r="4199" spans="1:19">
      <c r="A4199" t="s">
        <v>35</v>
      </c>
      <c r="B4199" t="s">
        <v>6183</v>
      </c>
      <c r="C4199">
        <f>"LS298"</f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3</v>
      </c>
      <c r="K4199">
        <v>13.473</v>
      </c>
      <c r="L4199" s="2">
        <v>4</v>
      </c>
      <c r="M4199">
        <v>0</v>
      </c>
      <c r="N4199" s="2">
        <v>0</v>
      </c>
      <c r="O4199">
        <v>-3.6</v>
      </c>
      <c r="P4199" t="s">
        <v>100</v>
      </c>
      <c r="Q4199">
        <v>0</v>
      </c>
      <c r="R4199" t="s">
        <v>145</v>
      </c>
      <c r="S4199">
        <v>0</v>
      </c>
    </row>
    <row r="4200" spans="1:19">
      <c r="A4200" t="s">
        <v>35</v>
      </c>
      <c r="B4200" t="s">
        <v>4673</v>
      </c>
      <c r="C4200">
        <f>"1040MEAM"</f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3</v>
      </c>
      <c r="K4200">
        <v>17.85</v>
      </c>
      <c r="L4200" s="2">
        <v>6</v>
      </c>
      <c r="M4200">
        <v>0</v>
      </c>
      <c r="N4200" s="2">
        <v>0</v>
      </c>
      <c r="O4200">
        <v>-3.6</v>
      </c>
      <c r="P4200" t="s">
        <v>100</v>
      </c>
      <c r="Q4200">
        <v>0</v>
      </c>
      <c r="R4200" t="s">
        <v>145</v>
      </c>
      <c r="S4200">
        <v>0</v>
      </c>
    </row>
    <row r="4201" spans="1:19">
      <c r="A4201" t="s">
        <v>35</v>
      </c>
      <c r="B4201" t="s">
        <v>7117</v>
      </c>
      <c r="C4201">
        <f>"3117CXS"</f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3</v>
      </c>
      <c r="K4201">
        <v>14.85</v>
      </c>
      <c r="L4201" s="2">
        <v>5</v>
      </c>
      <c r="M4201">
        <v>0</v>
      </c>
      <c r="N4201" s="2">
        <v>0</v>
      </c>
      <c r="O4201">
        <v>-3.6</v>
      </c>
      <c r="P4201" t="s">
        <v>100</v>
      </c>
      <c r="Q4201">
        <v>0</v>
      </c>
      <c r="R4201" t="s">
        <v>145</v>
      </c>
      <c r="S4201">
        <v>0</v>
      </c>
    </row>
    <row r="4202" spans="1:19">
      <c r="A4202" t="s">
        <v>35</v>
      </c>
      <c r="B4202" t="s">
        <v>8201</v>
      </c>
      <c r="C4202">
        <f>"Q5AXLAR"</f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3</v>
      </c>
      <c r="K4202">
        <v>13.473</v>
      </c>
      <c r="L4202" s="2">
        <v>4</v>
      </c>
      <c r="M4202">
        <v>0</v>
      </c>
      <c r="N4202" s="2">
        <v>0</v>
      </c>
      <c r="O4202">
        <v>-3.6</v>
      </c>
      <c r="P4202" t="s">
        <v>100</v>
      </c>
      <c r="Q4202">
        <v>0</v>
      </c>
      <c r="R4202" t="s">
        <v>145</v>
      </c>
      <c r="S4202">
        <v>0</v>
      </c>
    </row>
    <row r="4203" spans="1:19">
      <c r="A4203" t="s">
        <v>35</v>
      </c>
      <c r="B4203" t="s">
        <v>8966</v>
      </c>
      <c r="C4203">
        <f>"XB09071AM"</f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3</v>
      </c>
      <c r="K4203">
        <v>16.065</v>
      </c>
      <c r="L4203" s="2">
        <v>5</v>
      </c>
      <c r="M4203">
        <v>0</v>
      </c>
      <c r="N4203" s="2">
        <v>0</v>
      </c>
      <c r="O4203">
        <v>-3.6</v>
      </c>
      <c r="P4203" t="s">
        <v>100</v>
      </c>
      <c r="Q4203">
        <v>0</v>
      </c>
      <c r="R4203" t="s">
        <v>145</v>
      </c>
      <c r="S4203">
        <v>0</v>
      </c>
    </row>
    <row r="4204" spans="1:19">
      <c r="A4204" t="s">
        <v>35</v>
      </c>
      <c r="B4204" t="s">
        <v>5142</v>
      </c>
      <c r="C4204">
        <f>"XB09071ROJ"</f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3</v>
      </c>
      <c r="K4204">
        <v>16.065</v>
      </c>
      <c r="L4204" s="2">
        <v>5</v>
      </c>
      <c r="M4204">
        <v>0</v>
      </c>
      <c r="N4204" s="2">
        <v>0</v>
      </c>
      <c r="O4204">
        <v>-3.6</v>
      </c>
      <c r="P4204" t="s">
        <v>100</v>
      </c>
      <c r="Q4204">
        <v>0</v>
      </c>
      <c r="R4204" t="s">
        <v>145</v>
      </c>
      <c r="S4204">
        <v>0</v>
      </c>
    </row>
    <row r="4205" spans="1:19">
      <c r="A4205" t="s">
        <v>35</v>
      </c>
      <c r="B4205" t="s">
        <v>6558</v>
      </c>
      <c r="C4205">
        <f>"PT015SROJ"</f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3</v>
      </c>
      <c r="K4205">
        <v>7.83</v>
      </c>
      <c r="L4205" s="2">
        <v>3</v>
      </c>
      <c r="M4205">
        <v>0</v>
      </c>
      <c r="N4205" s="2">
        <v>0</v>
      </c>
      <c r="O4205">
        <v>-3.6</v>
      </c>
      <c r="P4205" t="s">
        <v>100</v>
      </c>
      <c r="Q4205">
        <v>0</v>
      </c>
      <c r="R4205" t="s">
        <v>145</v>
      </c>
      <c r="S4205">
        <v>0</v>
      </c>
    </row>
    <row r="4206" spans="1:19">
      <c r="A4206" t="s">
        <v>35</v>
      </c>
      <c r="B4206" t="s">
        <v>9830</v>
      </c>
      <c r="C4206">
        <f>"PT015XXLN"</f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3</v>
      </c>
      <c r="K4206">
        <v>0</v>
      </c>
      <c r="L4206" s="2">
        <v>0</v>
      </c>
      <c r="M4206">
        <v>0</v>
      </c>
      <c r="N4206" s="2">
        <v>0</v>
      </c>
      <c r="O4206">
        <v>-3.6</v>
      </c>
      <c r="P4206" t="s">
        <v>100</v>
      </c>
      <c r="Q4206">
        <v>0</v>
      </c>
      <c r="R4206" t="s">
        <v>145</v>
      </c>
      <c r="S4206">
        <v>0</v>
      </c>
    </row>
    <row r="4207" spans="1:19">
      <c r="A4207" t="s">
        <v>35</v>
      </c>
      <c r="B4207" t="s">
        <v>9013</v>
      </c>
      <c r="C4207">
        <f>"HDD016G"</f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3</v>
      </c>
      <c r="K4207">
        <v>2.133</v>
      </c>
      <c r="L4207" s="2">
        <v>1</v>
      </c>
      <c r="M4207">
        <v>0</v>
      </c>
      <c r="N4207" s="2">
        <v>0</v>
      </c>
      <c r="O4207">
        <v>-3.6</v>
      </c>
      <c r="P4207" t="s">
        <v>100</v>
      </c>
      <c r="Q4207">
        <v>0</v>
      </c>
      <c r="R4207" t="s">
        <v>145</v>
      </c>
      <c r="S4207">
        <v>0</v>
      </c>
    </row>
    <row r="4208" spans="1:19">
      <c r="A4208" t="s">
        <v>35</v>
      </c>
      <c r="B4208" t="s">
        <v>7227</v>
      </c>
      <c r="C4208">
        <f>"HCJ011LROS"</f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3</v>
      </c>
      <c r="K4208">
        <v>0</v>
      </c>
      <c r="L4208" s="2">
        <v>0</v>
      </c>
      <c r="M4208">
        <v>0</v>
      </c>
      <c r="N4208" s="2">
        <v>0</v>
      </c>
      <c r="O4208">
        <v>-3.6</v>
      </c>
      <c r="P4208" t="s">
        <v>100</v>
      </c>
      <c r="Q4208">
        <v>0</v>
      </c>
      <c r="R4208" t="s">
        <v>145</v>
      </c>
      <c r="S4208">
        <v>0</v>
      </c>
    </row>
    <row r="4209" spans="1:19">
      <c r="A4209" t="s">
        <v>35</v>
      </c>
      <c r="B4209" t="s">
        <v>8050</v>
      </c>
      <c r="C4209">
        <f>"HD34XXXL"</f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3</v>
      </c>
      <c r="K4209">
        <v>15.795</v>
      </c>
      <c r="L4209" s="2">
        <v>5</v>
      </c>
      <c r="M4209">
        <v>0</v>
      </c>
      <c r="N4209" s="2">
        <v>0</v>
      </c>
      <c r="O4209">
        <v>-3.6</v>
      </c>
      <c r="P4209" t="s">
        <v>100</v>
      </c>
      <c r="Q4209">
        <v>0</v>
      </c>
      <c r="R4209" t="s">
        <v>145</v>
      </c>
      <c r="S4209">
        <v>0</v>
      </c>
    </row>
    <row r="4210" spans="1:19">
      <c r="A4210" t="s">
        <v>35</v>
      </c>
      <c r="B4210" t="s">
        <v>8044</v>
      </c>
      <c r="C4210">
        <f>"KLA2XXL"</f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3</v>
      </c>
      <c r="K4210">
        <v>12.285</v>
      </c>
      <c r="L4210" s="2">
        <v>4</v>
      </c>
      <c r="M4210">
        <v>0</v>
      </c>
      <c r="N4210" s="2">
        <v>0</v>
      </c>
      <c r="O4210">
        <v>-3.6</v>
      </c>
      <c r="P4210" t="s">
        <v>100</v>
      </c>
      <c r="Q4210">
        <v>0</v>
      </c>
      <c r="R4210" t="s">
        <v>145</v>
      </c>
      <c r="S4210">
        <v>0</v>
      </c>
    </row>
    <row r="4211" spans="1:19">
      <c r="A4211" t="s">
        <v>35</v>
      </c>
      <c r="B4211" t="s">
        <v>2460</v>
      </c>
      <c r="C4211">
        <f>"EK3002CA"</f>
        <v>0</v>
      </c>
      <c r="D4211">
        <v>0</v>
      </c>
      <c r="E4211">
        <v>1</v>
      </c>
      <c r="F4211">
        <v>0</v>
      </c>
      <c r="G4211">
        <v>0</v>
      </c>
      <c r="H4211">
        <v>1</v>
      </c>
      <c r="I4211">
        <v>0</v>
      </c>
      <c r="J4211">
        <v>3</v>
      </c>
      <c r="K4211">
        <v>2.988</v>
      </c>
      <c r="L4211" s="2">
        <v>1</v>
      </c>
      <c r="M4211">
        <v>0</v>
      </c>
      <c r="N4211" s="2">
        <v>0</v>
      </c>
      <c r="O4211">
        <v>-3.6</v>
      </c>
      <c r="P4211" t="s">
        <v>100</v>
      </c>
      <c r="Q4211">
        <v>0</v>
      </c>
      <c r="R4211" t="s">
        <v>145</v>
      </c>
      <c r="S4211">
        <v>0</v>
      </c>
    </row>
    <row r="4212" spans="1:19">
      <c r="A4212" t="s">
        <v>35</v>
      </c>
      <c r="B4212" t="s">
        <v>4987</v>
      </c>
      <c r="C4212">
        <f>"1854LVM"</f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3</v>
      </c>
      <c r="K4212">
        <v>22.59</v>
      </c>
      <c r="L4212" s="2">
        <v>8</v>
      </c>
      <c r="M4212">
        <v>0</v>
      </c>
      <c r="N4212" s="2">
        <v>0</v>
      </c>
      <c r="O4212">
        <v>-3.6</v>
      </c>
      <c r="P4212" t="s">
        <v>100</v>
      </c>
      <c r="Q4212">
        <v>0</v>
      </c>
      <c r="R4212" t="s">
        <v>145</v>
      </c>
      <c r="S4212">
        <v>0</v>
      </c>
    </row>
    <row r="4213" spans="1:19">
      <c r="A4213" t="s">
        <v>35</v>
      </c>
      <c r="B4213" t="s">
        <v>7122</v>
      </c>
      <c r="C4213">
        <f>"3117CL"</f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3</v>
      </c>
      <c r="K4213">
        <v>16.74</v>
      </c>
      <c r="L4213" s="2">
        <v>6</v>
      </c>
      <c r="M4213">
        <v>0</v>
      </c>
      <c r="N4213" s="2">
        <v>0</v>
      </c>
      <c r="O4213">
        <v>-3.6</v>
      </c>
      <c r="P4213" t="s">
        <v>100</v>
      </c>
      <c r="Q4213">
        <v>0</v>
      </c>
      <c r="R4213" t="s">
        <v>145</v>
      </c>
      <c r="S4213">
        <v>0</v>
      </c>
    </row>
    <row r="4214" spans="1:19">
      <c r="A4214" t="s">
        <v>35</v>
      </c>
      <c r="B4214" t="s">
        <v>7109</v>
      </c>
      <c r="C4214">
        <f>"PT3117S"</f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3</v>
      </c>
      <c r="K4214">
        <v>13.095</v>
      </c>
      <c r="L4214" s="2">
        <v>4</v>
      </c>
      <c r="M4214">
        <v>0</v>
      </c>
      <c r="N4214" s="2">
        <v>0</v>
      </c>
      <c r="O4214">
        <v>-3.6</v>
      </c>
      <c r="P4214" t="s">
        <v>100</v>
      </c>
      <c r="Q4214">
        <v>0</v>
      </c>
      <c r="R4214" t="s">
        <v>145</v>
      </c>
      <c r="S4214">
        <v>0</v>
      </c>
    </row>
    <row r="4215" spans="1:19">
      <c r="A4215" t="s">
        <v>35</v>
      </c>
      <c r="B4215" t="s">
        <v>7119</v>
      </c>
      <c r="C4215">
        <f>"3117CM"</f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3</v>
      </c>
      <c r="K4215">
        <v>16.173</v>
      </c>
      <c r="L4215" s="2">
        <v>5</v>
      </c>
      <c r="M4215">
        <v>0</v>
      </c>
      <c r="N4215" s="2">
        <v>0</v>
      </c>
      <c r="O4215">
        <v>-3.6</v>
      </c>
      <c r="P4215" t="s">
        <v>100</v>
      </c>
      <c r="Q4215">
        <v>0</v>
      </c>
      <c r="R4215" t="s">
        <v>145</v>
      </c>
      <c r="S4215">
        <v>0</v>
      </c>
    </row>
    <row r="4216" spans="1:19">
      <c r="A4216" t="s">
        <v>35</v>
      </c>
      <c r="B4216" t="s">
        <v>7066</v>
      </c>
      <c r="C4216">
        <f>"PT3117XL"</f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3</v>
      </c>
      <c r="K4216">
        <v>15.255</v>
      </c>
      <c r="L4216" s="2">
        <v>5</v>
      </c>
      <c r="M4216">
        <v>0</v>
      </c>
      <c r="N4216" s="2">
        <v>0</v>
      </c>
      <c r="O4216">
        <v>-3.6</v>
      </c>
      <c r="P4216" t="s">
        <v>100</v>
      </c>
      <c r="Q4216">
        <v>0</v>
      </c>
      <c r="R4216" t="s">
        <v>145</v>
      </c>
      <c r="S4216">
        <v>0</v>
      </c>
    </row>
    <row r="4217" spans="1:19">
      <c r="A4217" t="s">
        <v>35</v>
      </c>
      <c r="B4217" t="s">
        <v>7097</v>
      </c>
      <c r="C4217">
        <f>"2071L"</f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3</v>
      </c>
      <c r="K4217">
        <v>19.845</v>
      </c>
      <c r="L4217" s="2">
        <v>7</v>
      </c>
      <c r="M4217">
        <v>0</v>
      </c>
      <c r="N4217" s="2">
        <v>0</v>
      </c>
      <c r="O4217">
        <v>-3.6</v>
      </c>
      <c r="P4217" t="s">
        <v>100</v>
      </c>
      <c r="Q4217">
        <v>0</v>
      </c>
      <c r="R4217" t="s">
        <v>145</v>
      </c>
      <c r="S4217">
        <v>0</v>
      </c>
    </row>
    <row r="4218" spans="1:19">
      <c r="A4218" t="s">
        <v>35</v>
      </c>
      <c r="B4218" t="s">
        <v>7101</v>
      </c>
      <c r="C4218">
        <f>"XQ340L"</f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3</v>
      </c>
      <c r="K4218">
        <v>8.775</v>
      </c>
      <c r="L4218" s="2">
        <v>3</v>
      </c>
      <c r="M4218">
        <v>0</v>
      </c>
      <c r="N4218" s="2">
        <v>0</v>
      </c>
      <c r="O4218">
        <v>-3.6</v>
      </c>
      <c r="P4218" t="s">
        <v>100</v>
      </c>
      <c r="Q4218">
        <v>0</v>
      </c>
      <c r="R4218" t="s">
        <v>145</v>
      </c>
      <c r="S4218">
        <v>0</v>
      </c>
    </row>
    <row r="4219" spans="1:19">
      <c r="A4219" t="s">
        <v>35</v>
      </c>
      <c r="B4219" t="s">
        <v>3561</v>
      </c>
      <c r="C4219">
        <f>"MSP002V"</f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3</v>
      </c>
      <c r="K4219">
        <v>18.873</v>
      </c>
      <c r="L4219" s="2">
        <v>6</v>
      </c>
      <c r="M4219">
        <v>0</v>
      </c>
      <c r="N4219" s="2">
        <v>0</v>
      </c>
      <c r="O4219">
        <v>-3.6</v>
      </c>
      <c r="P4219" t="s">
        <v>100</v>
      </c>
      <c r="Q4219">
        <v>0</v>
      </c>
      <c r="R4219" t="s">
        <v>145</v>
      </c>
      <c r="S4219">
        <v>0</v>
      </c>
    </row>
    <row r="4220" spans="1:19">
      <c r="A4220" t="s">
        <v>35</v>
      </c>
      <c r="B4220" t="s">
        <v>4930</v>
      </c>
      <c r="C4220">
        <f>"jw0127N"</f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3</v>
      </c>
      <c r="K4220">
        <v>5.373</v>
      </c>
      <c r="L4220" s="2">
        <v>2</v>
      </c>
      <c r="M4220">
        <v>0</v>
      </c>
      <c r="N4220" s="2">
        <v>0</v>
      </c>
      <c r="O4220">
        <v>-3.6</v>
      </c>
      <c r="P4220" t="s">
        <v>100</v>
      </c>
      <c r="Q4220">
        <v>0</v>
      </c>
      <c r="R4220" t="s">
        <v>145</v>
      </c>
      <c r="S4220">
        <v>0</v>
      </c>
    </row>
    <row r="4221" spans="1:19">
      <c r="A4221" t="s">
        <v>35</v>
      </c>
      <c r="B4221" t="s">
        <v>7067</v>
      </c>
      <c r="C4221">
        <f>"PT3117L"</f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3</v>
      </c>
      <c r="K4221">
        <v>14.715</v>
      </c>
      <c r="L4221" s="2">
        <v>5</v>
      </c>
      <c r="M4221">
        <v>0</v>
      </c>
      <c r="N4221" s="2">
        <v>0</v>
      </c>
      <c r="O4221">
        <v>-3.6</v>
      </c>
      <c r="P4221" t="s">
        <v>100</v>
      </c>
      <c r="Q4221">
        <v>0</v>
      </c>
      <c r="R4221" t="s">
        <v>145</v>
      </c>
      <c r="S4221">
        <v>0</v>
      </c>
    </row>
    <row r="4222" spans="1:19">
      <c r="A4222" t="s">
        <v>35</v>
      </c>
      <c r="B4222" t="s">
        <v>7592</v>
      </c>
      <c r="C4222">
        <f>"COO2825L"</f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3</v>
      </c>
      <c r="K4222">
        <v>66.15000000000001</v>
      </c>
      <c r="L4222" s="2">
        <v>22</v>
      </c>
      <c r="M4222">
        <v>0</v>
      </c>
      <c r="N4222" s="2">
        <v>0</v>
      </c>
      <c r="O4222">
        <v>-3.6</v>
      </c>
      <c r="P4222" t="s">
        <v>100</v>
      </c>
      <c r="Q4222">
        <v>0</v>
      </c>
      <c r="R4222" t="s">
        <v>145</v>
      </c>
      <c r="S4222">
        <v>0</v>
      </c>
    </row>
    <row r="4223" spans="1:19">
      <c r="A4223" t="s">
        <v>35</v>
      </c>
      <c r="B4223" t="s">
        <v>7598</v>
      </c>
      <c r="C4223">
        <f>"KM5090ROS"</f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3</v>
      </c>
      <c r="K4223">
        <v>26.73</v>
      </c>
      <c r="L4223" s="2">
        <v>9</v>
      </c>
      <c r="M4223">
        <v>0</v>
      </c>
      <c r="N4223" s="2">
        <v>0</v>
      </c>
      <c r="O4223">
        <v>-3.6</v>
      </c>
      <c r="P4223" t="s">
        <v>100</v>
      </c>
      <c r="Q4223">
        <v>0</v>
      </c>
      <c r="R4223" t="s">
        <v>145</v>
      </c>
      <c r="S4223">
        <v>0</v>
      </c>
    </row>
    <row r="4224" spans="1:19">
      <c r="A4224" t="s">
        <v>35</v>
      </c>
      <c r="B4224" t="s">
        <v>2652</v>
      </c>
      <c r="C4224">
        <f>"NSD14"</f>
        <v>0</v>
      </c>
      <c r="D4224">
        <v>1</v>
      </c>
      <c r="E4224">
        <v>0</v>
      </c>
      <c r="F4224">
        <v>0</v>
      </c>
      <c r="G4224">
        <v>0</v>
      </c>
      <c r="H4224">
        <v>1</v>
      </c>
      <c r="I4224">
        <v>0</v>
      </c>
      <c r="J4224">
        <v>3</v>
      </c>
      <c r="K4224">
        <v>34.83</v>
      </c>
      <c r="L4224" s="2">
        <v>12</v>
      </c>
      <c r="M4224">
        <v>0</v>
      </c>
      <c r="N4224" s="2">
        <v>0</v>
      </c>
      <c r="O4224">
        <v>-3.6</v>
      </c>
      <c r="P4224" t="s">
        <v>100</v>
      </c>
      <c r="Q4224">
        <v>0</v>
      </c>
      <c r="R4224" t="s">
        <v>145</v>
      </c>
      <c r="S4224">
        <v>0</v>
      </c>
    </row>
    <row r="4225" spans="1:19">
      <c r="A4225" t="s">
        <v>35</v>
      </c>
      <c r="B4225" t="s">
        <v>9781</v>
      </c>
      <c r="C4225">
        <f>"EK3003AM"</f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3</v>
      </c>
      <c r="K4225">
        <v>4.356</v>
      </c>
      <c r="L4225" s="2">
        <v>1</v>
      </c>
      <c r="M4225">
        <v>0</v>
      </c>
      <c r="N4225" s="2">
        <v>0</v>
      </c>
      <c r="O4225">
        <v>-3.6</v>
      </c>
      <c r="P4225" t="s">
        <v>100</v>
      </c>
      <c r="Q4225">
        <v>0</v>
      </c>
      <c r="R4225" t="s">
        <v>145</v>
      </c>
      <c r="S4225">
        <v>0</v>
      </c>
    </row>
    <row r="4226" spans="1:19">
      <c r="A4226" t="s">
        <v>35</v>
      </c>
      <c r="B4226" t="s">
        <v>6881</v>
      </c>
      <c r="C4226">
        <f>"JW0122V"</f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3</v>
      </c>
      <c r="K4226">
        <v>2.835</v>
      </c>
      <c r="L4226" s="2">
        <v>1</v>
      </c>
      <c r="M4226">
        <v>0</v>
      </c>
      <c r="N4226" s="2">
        <v>0</v>
      </c>
      <c r="O4226">
        <v>-3.6</v>
      </c>
      <c r="P4226" t="s">
        <v>100</v>
      </c>
      <c r="Q4226">
        <v>0</v>
      </c>
      <c r="R4226" t="s">
        <v>145</v>
      </c>
      <c r="S4226">
        <v>0</v>
      </c>
    </row>
    <row r="4227" spans="1:19">
      <c r="A4227" t="s">
        <v>35</v>
      </c>
      <c r="B4227" t="s">
        <v>2703</v>
      </c>
      <c r="C4227">
        <f>"jw0122A"</f>
        <v>0</v>
      </c>
      <c r="D4227">
        <v>0</v>
      </c>
      <c r="E4227">
        <v>0</v>
      </c>
      <c r="F4227">
        <v>1</v>
      </c>
      <c r="G4227">
        <v>0</v>
      </c>
      <c r="H4227">
        <v>1</v>
      </c>
      <c r="I4227">
        <v>0</v>
      </c>
      <c r="J4227">
        <v>3</v>
      </c>
      <c r="K4227">
        <v>2.835</v>
      </c>
      <c r="L4227" s="2">
        <v>1</v>
      </c>
      <c r="M4227">
        <v>0</v>
      </c>
      <c r="N4227" s="2">
        <v>0</v>
      </c>
      <c r="O4227">
        <v>-3.6</v>
      </c>
      <c r="P4227" t="s">
        <v>100</v>
      </c>
      <c r="Q4227">
        <v>0</v>
      </c>
      <c r="R4227" t="s">
        <v>145</v>
      </c>
      <c r="S4227">
        <v>0</v>
      </c>
    </row>
    <row r="4228" spans="1:19">
      <c r="A4228" t="s">
        <v>35</v>
      </c>
      <c r="B4228" t="s">
        <v>2673</v>
      </c>
      <c r="C4228">
        <f>"PQ03"</f>
        <v>0</v>
      </c>
      <c r="D4228">
        <v>0</v>
      </c>
      <c r="E4228">
        <v>0</v>
      </c>
      <c r="F4228">
        <v>1</v>
      </c>
      <c r="G4228">
        <v>0</v>
      </c>
      <c r="H4228">
        <v>1</v>
      </c>
      <c r="I4228">
        <v>0</v>
      </c>
      <c r="J4228">
        <v>3</v>
      </c>
      <c r="K4228">
        <v>2.673</v>
      </c>
      <c r="L4228" s="2">
        <v>1</v>
      </c>
      <c r="M4228">
        <v>0</v>
      </c>
      <c r="N4228" s="2">
        <v>0</v>
      </c>
      <c r="O4228">
        <v>-3.6</v>
      </c>
      <c r="P4228" t="s">
        <v>100</v>
      </c>
      <c r="Q4228">
        <v>0</v>
      </c>
      <c r="R4228" t="s">
        <v>145</v>
      </c>
      <c r="S4228">
        <v>0</v>
      </c>
    </row>
    <row r="4229" spans="1:19">
      <c r="A4229" t="s">
        <v>35</v>
      </c>
      <c r="B4229" t="s">
        <v>3598</v>
      </c>
      <c r="C4229">
        <f>"23HT26"</f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3</v>
      </c>
      <c r="K4229">
        <v>7.719</v>
      </c>
      <c r="L4229" s="2">
        <v>3</v>
      </c>
      <c r="M4229">
        <v>0</v>
      </c>
      <c r="N4229" s="2">
        <v>0</v>
      </c>
      <c r="O4229">
        <v>-3.6</v>
      </c>
      <c r="P4229" t="s">
        <v>100</v>
      </c>
      <c r="Q4229">
        <v>0</v>
      </c>
      <c r="R4229" t="s">
        <v>145</v>
      </c>
      <c r="S4229">
        <v>0</v>
      </c>
    </row>
    <row r="4230" spans="1:19">
      <c r="A4230" t="s">
        <v>35</v>
      </c>
      <c r="B4230" t="s">
        <v>7605</v>
      </c>
      <c r="C4230">
        <f>"7656L"</f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3</v>
      </c>
      <c r="K4230">
        <v>44.01</v>
      </c>
      <c r="L4230" s="2">
        <v>15</v>
      </c>
      <c r="M4230">
        <v>0</v>
      </c>
      <c r="N4230" s="2">
        <v>0</v>
      </c>
      <c r="O4230">
        <v>-3.6</v>
      </c>
      <c r="P4230" t="s">
        <v>100</v>
      </c>
      <c r="Q4230">
        <v>0</v>
      </c>
      <c r="R4230" t="s">
        <v>145</v>
      </c>
      <c r="S4230">
        <v>0</v>
      </c>
    </row>
    <row r="4231" spans="1:19">
      <c r="A4231" t="s">
        <v>35</v>
      </c>
      <c r="B4231" t="s">
        <v>3189</v>
      </c>
      <c r="C4231">
        <f>"BO3134HA5PG"</f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3</v>
      </c>
      <c r="K4231">
        <v>3.78</v>
      </c>
      <c r="L4231" s="2">
        <v>1</v>
      </c>
      <c r="M4231">
        <v>0</v>
      </c>
      <c r="N4231" s="2">
        <v>0</v>
      </c>
      <c r="O4231">
        <v>-3.6</v>
      </c>
      <c r="P4231" t="s">
        <v>100</v>
      </c>
      <c r="Q4231">
        <v>0</v>
      </c>
      <c r="R4231" t="s">
        <v>145</v>
      </c>
      <c r="S4231">
        <v>0</v>
      </c>
    </row>
    <row r="4232" spans="1:19">
      <c r="A4232" t="s">
        <v>35</v>
      </c>
      <c r="B4232" t="s">
        <v>8518</v>
      </c>
      <c r="C4232">
        <f>"XG011"</f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3</v>
      </c>
      <c r="K4232">
        <v>5.373</v>
      </c>
      <c r="L4232" s="2">
        <v>2</v>
      </c>
      <c r="M4232">
        <v>0</v>
      </c>
      <c r="N4232" s="2">
        <v>0</v>
      </c>
      <c r="O4232">
        <v>-3.6</v>
      </c>
      <c r="P4232" t="s">
        <v>100</v>
      </c>
      <c r="Q4232">
        <v>0</v>
      </c>
      <c r="R4232" t="s">
        <v>145</v>
      </c>
      <c r="S4232">
        <v>0</v>
      </c>
    </row>
    <row r="4233" spans="1:19">
      <c r="A4233" t="s">
        <v>35</v>
      </c>
      <c r="B4233" t="s">
        <v>3190</v>
      </c>
      <c r="C4233">
        <f>"ZYD01"</f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3</v>
      </c>
      <c r="K4233">
        <v>11.34</v>
      </c>
      <c r="L4233" s="2">
        <v>4</v>
      </c>
      <c r="M4233">
        <v>0</v>
      </c>
      <c r="N4233" s="2">
        <v>0</v>
      </c>
      <c r="O4233">
        <v>-3.6</v>
      </c>
      <c r="P4233" t="s">
        <v>100</v>
      </c>
      <c r="Q4233">
        <v>0</v>
      </c>
      <c r="R4233" t="s">
        <v>145</v>
      </c>
      <c r="S4233">
        <v>0</v>
      </c>
    </row>
    <row r="4234" spans="1:19">
      <c r="A4234" t="s">
        <v>35</v>
      </c>
      <c r="B4234" t="s">
        <v>3177</v>
      </c>
      <c r="C4234">
        <f>"LM018AZ"</f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3</v>
      </c>
      <c r="K4234">
        <v>10.665</v>
      </c>
      <c r="L4234" s="2">
        <v>4</v>
      </c>
      <c r="M4234">
        <v>0</v>
      </c>
      <c r="N4234" s="2">
        <v>0</v>
      </c>
      <c r="O4234">
        <v>-3.6</v>
      </c>
      <c r="P4234" t="s">
        <v>100</v>
      </c>
      <c r="Q4234">
        <v>0</v>
      </c>
      <c r="R4234" t="s">
        <v>145</v>
      </c>
      <c r="S4234">
        <v>0</v>
      </c>
    </row>
    <row r="4235" spans="1:19">
      <c r="A4235" t="s">
        <v>35</v>
      </c>
      <c r="B4235" t="s">
        <v>2304</v>
      </c>
      <c r="C4235">
        <f>"D701"</f>
        <v>0</v>
      </c>
      <c r="D4235">
        <v>0</v>
      </c>
      <c r="E4235">
        <v>0</v>
      </c>
      <c r="F4235">
        <v>2</v>
      </c>
      <c r="G4235">
        <v>0</v>
      </c>
      <c r="H4235">
        <v>2</v>
      </c>
      <c r="I4235">
        <v>0</v>
      </c>
      <c r="J4235">
        <v>3</v>
      </c>
      <c r="K4235">
        <v>13.736</v>
      </c>
      <c r="L4235" s="2">
        <v>5</v>
      </c>
      <c r="M4235">
        <v>0</v>
      </c>
      <c r="N4235" s="2">
        <v>0</v>
      </c>
      <c r="O4235">
        <v>-3.6</v>
      </c>
      <c r="P4235" t="s">
        <v>100</v>
      </c>
      <c r="Q4235">
        <v>0</v>
      </c>
      <c r="R4235" t="s">
        <v>145</v>
      </c>
      <c r="S4235">
        <v>0</v>
      </c>
    </row>
    <row r="4236" spans="1:19">
      <c r="A4236" t="s">
        <v>35</v>
      </c>
      <c r="B4236" t="s">
        <v>2702</v>
      </c>
      <c r="C4236">
        <f>"BO3058"</f>
        <v>0</v>
      </c>
      <c r="D4236">
        <v>0</v>
      </c>
      <c r="E4236">
        <v>0</v>
      </c>
      <c r="F4236">
        <v>1</v>
      </c>
      <c r="G4236">
        <v>0</v>
      </c>
      <c r="H4236">
        <v>1</v>
      </c>
      <c r="I4236">
        <v>0</v>
      </c>
      <c r="J4236">
        <v>3</v>
      </c>
      <c r="K4236">
        <v>10.773</v>
      </c>
      <c r="L4236" s="2">
        <v>4</v>
      </c>
      <c r="M4236">
        <v>0</v>
      </c>
      <c r="N4236" s="2">
        <v>0</v>
      </c>
      <c r="O4236">
        <v>-3.6</v>
      </c>
      <c r="P4236" t="s">
        <v>100</v>
      </c>
      <c r="Q4236">
        <v>0</v>
      </c>
      <c r="R4236" t="s">
        <v>145</v>
      </c>
      <c r="S4236">
        <v>0</v>
      </c>
    </row>
    <row r="4237" spans="1:19">
      <c r="A4237" t="s">
        <v>35</v>
      </c>
      <c r="B4237" t="s">
        <v>6579</v>
      </c>
      <c r="C4237">
        <f>"HH088XLC"</f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3</v>
      </c>
      <c r="K4237">
        <v>32.67</v>
      </c>
      <c r="L4237" s="2">
        <v>11</v>
      </c>
      <c r="M4237">
        <v>0</v>
      </c>
      <c r="N4237" s="2">
        <v>0</v>
      </c>
      <c r="O4237">
        <v>-3.6</v>
      </c>
      <c r="P4237" t="s">
        <v>100</v>
      </c>
      <c r="Q4237">
        <v>0</v>
      </c>
      <c r="R4237" t="s">
        <v>145</v>
      </c>
      <c r="S4237">
        <v>0</v>
      </c>
    </row>
    <row r="4238" spans="1:19">
      <c r="A4238" t="s">
        <v>35</v>
      </c>
      <c r="B4238" t="s">
        <v>6583</v>
      </c>
      <c r="C4238">
        <f>"HH088XXLAM"</f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3</v>
      </c>
      <c r="K4238">
        <v>34.83</v>
      </c>
      <c r="L4238" s="2">
        <v>12</v>
      </c>
      <c r="M4238">
        <v>0</v>
      </c>
      <c r="N4238" s="2">
        <v>0</v>
      </c>
      <c r="O4238">
        <v>-3.6</v>
      </c>
      <c r="P4238" t="s">
        <v>100</v>
      </c>
      <c r="Q4238">
        <v>0</v>
      </c>
      <c r="R4238" t="s">
        <v>145</v>
      </c>
      <c r="S4238">
        <v>0</v>
      </c>
    </row>
    <row r="4239" spans="1:19">
      <c r="A4239" t="s">
        <v>35</v>
      </c>
      <c r="B4239" t="s">
        <v>9827</v>
      </c>
      <c r="C4239">
        <f>"EK3003RO"</f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3</v>
      </c>
      <c r="K4239">
        <v>4.356</v>
      </c>
      <c r="L4239" s="2">
        <v>1</v>
      </c>
      <c r="M4239">
        <v>0</v>
      </c>
      <c r="N4239" s="2">
        <v>0</v>
      </c>
      <c r="O4239">
        <v>-3.6</v>
      </c>
      <c r="P4239" t="s">
        <v>100</v>
      </c>
      <c r="Q4239">
        <v>0</v>
      </c>
      <c r="R4239" t="s">
        <v>145</v>
      </c>
      <c r="S4239">
        <v>0</v>
      </c>
    </row>
    <row r="4240" spans="1:19">
      <c r="A4240" t="s">
        <v>35</v>
      </c>
      <c r="B4240" t="s">
        <v>6130</v>
      </c>
      <c r="C4240">
        <f>"(ZD06)"</f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3</v>
      </c>
      <c r="K4240">
        <v>5.265</v>
      </c>
      <c r="L4240" s="2">
        <v>2</v>
      </c>
      <c r="M4240">
        <v>0</v>
      </c>
      <c r="N4240" s="2">
        <v>0</v>
      </c>
      <c r="O4240">
        <v>-3.6</v>
      </c>
      <c r="P4240" t="s">
        <v>100</v>
      </c>
      <c r="Q4240">
        <v>0</v>
      </c>
      <c r="R4240" t="s">
        <v>145</v>
      </c>
      <c r="S4240">
        <v>0</v>
      </c>
    </row>
    <row r="4241" spans="1:19">
      <c r="A4241" t="s">
        <v>35</v>
      </c>
      <c r="B4241" t="s">
        <v>4489</v>
      </c>
      <c r="C4241">
        <f>"1620XL"</f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3</v>
      </c>
      <c r="K4241">
        <v>22.815</v>
      </c>
      <c r="L4241" s="2">
        <v>8</v>
      </c>
      <c r="M4241">
        <v>0</v>
      </c>
      <c r="N4241" s="2">
        <v>0</v>
      </c>
      <c r="O4241">
        <v>-3.6</v>
      </c>
      <c r="P4241" t="s">
        <v>100</v>
      </c>
      <c r="Q4241">
        <v>0</v>
      </c>
      <c r="R4241" t="s">
        <v>145</v>
      </c>
      <c r="S4241">
        <v>0</v>
      </c>
    </row>
    <row r="4242" spans="1:19">
      <c r="A4242" t="s">
        <v>35</v>
      </c>
      <c r="B4242" t="s">
        <v>2948</v>
      </c>
      <c r="C4242">
        <f>"DM2021"</f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3</v>
      </c>
      <c r="K4242">
        <v>14.715</v>
      </c>
      <c r="L4242" s="2">
        <v>5</v>
      </c>
      <c r="M4242">
        <v>0</v>
      </c>
      <c r="N4242" s="2">
        <v>0</v>
      </c>
      <c r="O4242">
        <v>-3.6</v>
      </c>
      <c r="P4242" t="s">
        <v>100</v>
      </c>
      <c r="Q4242">
        <v>0</v>
      </c>
      <c r="R4242" t="s">
        <v>145</v>
      </c>
      <c r="S4242">
        <v>0</v>
      </c>
    </row>
    <row r="4243" spans="1:19">
      <c r="A4243" t="s">
        <v>35</v>
      </c>
      <c r="B4243" t="s">
        <v>2926</v>
      </c>
      <c r="C4243">
        <f>"PR02"</f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3</v>
      </c>
      <c r="K4243">
        <v>8.073</v>
      </c>
      <c r="L4243" s="2">
        <v>3</v>
      </c>
      <c r="M4243">
        <v>0</v>
      </c>
      <c r="N4243" s="2">
        <v>0</v>
      </c>
      <c r="O4243">
        <v>-3.6</v>
      </c>
      <c r="P4243" t="s">
        <v>100</v>
      </c>
      <c r="Q4243">
        <v>0</v>
      </c>
      <c r="R4243" t="s">
        <v>145</v>
      </c>
      <c r="S4243">
        <v>0</v>
      </c>
    </row>
    <row r="4244" spans="1:19">
      <c r="A4244" t="s">
        <v>35</v>
      </c>
      <c r="B4244" t="s">
        <v>2924</v>
      </c>
      <c r="C4244">
        <f>"PR10"</f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3</v>
      </c>
      <c r="K4244">
        <v>8.073</v>
      </c>
      <c r="L4244" s="2">
        <v>3</v>
      </c>
      <c r="M4244">
        <v>0</v>
      </c>
      <c r="N4244" s="2">
        <v>0</v>
      </c>
      <c r="O4244">
        <v>-3.6</v>
      </c>
      <c r="P4244" t="s">
        <v>100</v>
      </c>
      <c r="Q4244">
        <v>0</v>
      </c>
      <c r="R4244" t="s">
        <v>145</v>
      </c>
      <c r="S4244">
        <v>0</v>
      </c>
    </row>
    <row r="4245" spans="1:19">
      <c r="A4245" t="s">
        <v>35</v>
      </c>
      <c r="B4245" t="s">
        <v>4767</v>
      </c>
      <c r="C4245">
        <f>"JW0129V"</f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3</v>
      </c>
      <c r="K4245">
        <v>9.423</v>
      </c>
      <c r="L4245" s="2">
        <v>3</v>
      </c>
      <c r="M4245">
        <v>0</v>
      </c>
      <c r="N4245" s="2">
        <v>0</v>
      </c>
      <c r="O4245">
        <v>-3.6</v>
      </c>
      <c r="P4245" t="s">
        <v>100</v>
      </c>
      <c r="Q4245">
        <v>0</v>
      </c>
      <c r="R4245" t="s">
        <v>145</v>
      </c>
      <c r="S4245">
        <v>0</v>
      </c>
    </row>
    <row r="4246" spans="1:19">
      <c r="A4246" t="s">
        <v>35</v>
      </c>
      <c r="B4246" t="s">
        <v>4769</v>
      </c>
      <c r="C4246">
        <f>"JW0129N"</f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3</v>
      </c>
      <c r="K4246">
        <v>9.423</v>
      </c>
      <c r="L4246" s="2">
        <v>3</v>
      </c>
      <c r="M4246">
        <v>0</v>
      </c>
      <c r="N4246" s="2">
        <v>0</v>
      </c>
      <c r="O4246">
        <v>-3.6</v>
      </c>
      <c r="P4246" t="s">
        <v>100</v>
      </c>
      <c r="Q4246">
        <v>0</v>
      </c>
      <c r="R4246" t="s">
        <v>145</v>
      </c>
      <c r="S4246">
        <v>0</v>
      </c>
    </row>
    <row r="4247" spans="1:19">
      <c r="A4247" t="s">
        <v>35</v>
      </c>
      <c r="B4247" t="s">
        <v>5713</v>
      </c>
      <c r="C4247">
        <f>"KF8302"</f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3</v>
      </c>
      <c r="K4247">
        <v>16.779</v>
      </c>
      <c r="L4247" s="2">
        <v>6</v>
      </c>
      <c r="M4247">
        <v>0</v>
      </c>
      <c r="N4247" s="2">
        <v>0</v>
      </c>
      <c r="O4247">
        <v>-3.6</v>
      </c>
      <c r="P4247" t="s">
        <v>100</v>
      </c>
      <c r="Q4247">
        <v>0</v>
      </c>
      <c r="R4247" t="s">
        <v>145</v>
      </c>
      <c r="S4247">
        <v>0</v>
      </c>
    </row>
    <row r="4248" spans="1:19">
      <c r="A4248" t="s">
        <v>35</v>
      </c>
      <c r="B4248" t="s">
        <v>2406</v>
      </c>
      <c r="C4248">
        <f>"sdr113a"</f>
        <v>0</v>
      </c>
      <c r="D4248">
        <v>0</v>
      </c>
      <c r="E4248">
        <v>1</v>
      </c>
      <c r="F4248">
        <v>0</v>
      </c>
      <c r="G4248">
        <v>0</v>
      </c>
      <c r="H4248">
        <v>1</v>
      </c>
      <c r="I4248">
        <v>0</v>
      </c>
      <c r="J4248">
        <v>3</v>
      </c>
      <c r="K4248">
        <v>3.645</v>
      </c>
      <c r="L4248" s="2">
        <v>1</v>
      </c>
      <c r="M4248">
        <v>0</v>
      </c>
      <c r="N4248" s="2">
        <v>0</v>
      </c>
      <c r="O4248">
        <v>-3.6</v>
      </c>
      <c r="P4248" t="s">
        <v>100</v>
      </c>
      <c r="Q4248">
        <v>0</v>
      </c>
      <c r="R4248" t="s">
        <v>145</v>
      </c>
      <c r="S4248">
        <v>0</v>
      </c>
    </row>
    <row r="4249" spans="1:19">
      <c r="A4249" t="s">
        <v>35</v>
      </c>
      <c r="B4249" t="s">
        <v>7029</v>
      </c>
      <c r="C4249">
        <f>"XQ34L"</f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3</v>
      </c>
      <c r="K4249">
        <v>7.02</v>
      </c>
      <c r="L4249" s="2">
        <v>2</v>
      </c>
      <c r="M4249">
        <v>0</v>
      </c>
      <c r="N4249" s="2">
        <v>0</v>
      </c>
      <c r="O4249">
        <v>-3.6</v>
      </c>
      <c r="P4249" t="s">
        <v>100</v>
      </c>
      <c r="Q4249">
        <v>0</v>
      </c>
      <c r="R4249" t="s">
        <v>145</v>
      </c>
      <c r="S4249">
        <v>0</v>
      </c>
    </row>
    <row r="4250" spans="1:19">
      <c r="A4250" t="s">
        <v>35</v>
      </c>
      <c r="B4250" t="s">
        <v>8320</v>
      </c>
      <c r="C4250">
        <f>"HDD178GR"</f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3</v>
      </c>
      <c r="K4250">
        <v>2.457</v>
      </c>
      <c r="L4250" s="2">
        <v>1</v>
      </c>
      <c r="M4250">
        <v>0</v>
      </c>
      <c r="N4250" s="2">
        <v>0</v>
      </c>
      <c r="O4250">
        <v>-3.6</v>
      </c>
      <c r="P4250" t="s">
        <v>100</v>
      </c>
      <c r="Q4250">
        <v>0</v>
      </c>
      <c r="R4250" t="s">
        <v>145</v>
      </c>
      <c r="S4250">
        <v>0</v>
      </c>
    </row>
    <row r="4251" spans="1:19">
      <c r="A4251" t="s">
        <v>35</v>
      </c>
      <c r="B4251" t="s">
        <v>2893</v>
      </c>
      <c r="C4251">
        <f>"RK50"</f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3</v>
      </c>
      <c r="K4251">
        <v>42.93</v>
      </c>
      <c r="L4251" s="2">
        <v>14</v>
      </c>
      <c r="M4251">
        <v>0</v>
      </c>
      <c r="N4251" s="2">
        <v>0</v>
      </c>
      <c r="O4251">
        <v>-3.6</v>
      </c>
      <c r="P4251" t="s">
        <v>100</v>
      </c>
      <c r="Q4251">
        <v>0</v>
      </c>
      <c r="R4251" t="s">
        <v>145</v>
      </c>
      <c r="S4251">
        <v>0</v>
      </c>
    </row>
    <row r="4252" spans="1:19">
      <c r="A4252" t="s">
        <v>35</v>
      </c>
      <c r="B4252" t="s">
        <v>4502</v>
      </c>
      <c r="C4252">
        <f>"TH4XL"</f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3</v>
      </c>
      <c r="K4252">
        <v>7.47</v>
      </c>
      <c r="L4252" s="2">
        <v>2</v>
      </c>
      <c r="M4252">
        <v>0</v>
      </c>
      <c r="N4252" s="2">
        <v>0</v>
      </c>
      <c r="O4252">
        <v>-3.6</v>
      </c>
      <c r="P4252" t="s">
        <v>100</v>
      </c>
      <c r="Q4252">
        <v>0</v>
      </c>
      <c r="R4252" t="s">
        <v>145</v>
      </c>
      <c r="S4252">
        <v>0</v>
      </c>
    </row>
    <row r="4253" spans="1:19">
      <c r="A4253" t="s">
        <v>35</v>
      </c>
      <c r="B4253" t="s">
        <v>6997</v>
      </c>
      <c r="C4253">
        <f>"HH088XXLAC"</f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3</v>
      </c>
      <c r="K4253">
        <v>34.83</v>
      </c>
      <c r="L4253" s="2">
        <v>12</v>
      </c>
      <c r="M4253">
        <v>0</v>
      </c>
      <c r="N4253" s="2">
        <v>0</v>
      </c>
      <c r="O4253">
        <v>-3.6</v>
      </c>
      <c r="P4253" t="s">
        <v>100</v>
      </c>
      <c r="Q4253">
        <v>0</v>
      </c>
      <c r="R4253" t="s">
        <v>145</v>
      </c>
      <c r="S4253">
        <v>0</v>
      </c>
    </row>
    <row r="4254" spans="1:19">
      <c r="A4254" t="s">
        <v>35</v>
      </c>
      <c r="B4254" t="s">
        <v>2642</v>
      </c>
      <c r="C4254">
        <f>"EK3001RO"</f>
        <v>0</v>
      </c>
      <c r="D4254">
        <v>0</v>
      </c>
      <c r="E4254">
        <v>1</v>
      </c>
      <c r="F4254">
        <v>0</v>
      </c>
      <c r="G4254">
        <v>0</v>
      </c>
      <c r="H4254">
        <v>1</v>
      </c>
      <c r="I4254">
        <v>0</v>
      </c>
      <c r="J4254">
        <v>3</v>
      </c>
      <c r="K4254">
        <v>2.295</v>
      </c>
      <c r="L4254" s="2">
        <v>1</v>
      </c>
      <c r="M4254">
        <v>0</v>
      </c>
      <c r="N4254" s="2">
        <v>0</v>
      </c>
      <c r="O4254">
        <v>-3.6</v>
      </c>
      <c r="P4254" t="s">
        <v>100</v>
      </c>
      <c r="Q4254">
        <v>0</v>
      </c>
      <c r="R4254" t="s">
        <v>145</v>
      </c>
      <c r="S4254">
        <v>0</v>
      </c>
    </row>
    <row r="4255" spans="1:19">
      <c r="A4255" t="s">
        <v>35</v>
      </c>
      <c r="B4255" t="s">
        <v>4576</v>
      </c>
      <c r="C4255">
        <f>"LC100SM"</f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3</v>
      </c>
      <c r="K4255">
        <v>11.88</v>
      </c>
      <c r="L4255" s="2">
        <v>4</v>
      </c>
      <c r="M4255">
        <v>0</v>
      </c>
      <c r="N4255" s="2">
        <v>0</v>
      </c>
      <c r="O4255">
        <v>-3.6</v>
      </c>
      <c r="P4255" t="s">
        <v>100</v>
      </c>
      <c r="Q4255">
        <v>0</v>
      </c>
      <c r="R4255" t="s">
        <v>145</v>
      </c>
      <c r="S4255">
        <v>0</v>
      </c>
    </row>
    <row r="4256" spans="1:19">
      <c r="A4256" t="s">
        <v>35</v>
      </c>
      <c r="B4256" t="s">
        <v>4546</v>
      </c>
      <c r="C4256">
        <f>"1756R"</f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3</v>
      </c>
      <c r="K4256">
        <v>23.355</v>
      </c>
      <c r="L4256" s="2">
        <v>8</v>
      </c>
      <c r="M4256">
        <v>0</v>
      </c>
      <c r="N4256" s="2">
        <v>0</v>
      </c>
      <c r="O4256">
        <v>-3.6</v>
      </c>
      <c r="P4256" t="s">
        <v>100</v>
      </c>
      <c r="Q4256">
        <v>0</v>
      </c>
      <c r="R4256" t="s">
        <v>145</v>
      </c>
      <c r="S4256">
        <v>0</v>
      </c>
    </row>
    <row r="4257" spans="1:19">
      <c r="A4257" t="s">
        <v>35</v>
      </c>
      <c r="B4257" t="s">
        <v>4549</v>
      </c>
      <c r="C4257">
        <f>"jw9013R"</f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3</v>
      </c>
      <c r="K4257">
        <v>7.803</v>
      </c>
      <c r="L4257" s="2">
        <v>3</v>
      </c>
      <c r="M4257">
        <v>0</v>
      </c>
      <c r="N4257" s="2">
        <v>0</v>
      </c>
      <c r="O4257">
        <v>-3.6</v>
      </c>
      <c r="P4257" t="s">
        <v>100</v>
      </c>
      <c r="Q4257">
        <v>0</v>
      </c>
      <c r="R4257" t="s">
        <v>145</v>
      </c>
      <c r="S4257">
        <v>0</v>
      </c>
    </row>
    <row r="4258" spans="1:19">
      <c r="A4258" t="s">
        <v>35</v>
      </c>
      <c r="B4258" t="s">
        <v>6995</v>
      </c>
      <c r="C4258">
        <f>"HH088XSAM"</f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3</v>
      </c>
      <c r="K4258">
        <v>28.5</v>
      </c>
      <c r="L4258" s="2">
        <v>10</v>
      </c>
      <c r="M4258">
        <v>0</v>
      </c>
      <c r="N4258" s="2">
        <v>0</v>
      </c>
      <c r="O4258">
        <v>-3.6</v>
      </c>
      <c r="P4258" t="s">
        <v>100</v>
      </c>
      <c r="Q4258">
        <v>0</v>
      </c>
      <c r="R4258" t="s">
        <v>145</v>
      </c>
      <c r="S4258">
        <v>0</v>
      </c>
    </row>
    <row r="4259" spans="1:19">
      <c r="A4259" t="s">
        <v>35</v>
      </c>
      <c r="B4259" t="s">
        <v>4490</v>
      </c>
      <c r="C4259">
        <f>"1620S"</f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3</v>
      </c>
      <c r="K4259">
        <v>19.845</v>
      </c>
      <c r="L4259" s="2">
        <v>7</v>
      </c>
      <c r="M4259">
        <v>0</v>
      </c>
      <c r="N4259" s="2">
        <v>0</v>
      </c>
      <c r="O4259">
        <v>-3.6</v>
      </c>
      <c r="P4259" t="s">
        <v>100</v>
      </c>
      <c r="Q4259">
        <v>0</v>
      </c>
      <c r="R4259" t="s">
        <v>145</v>
      </c>
      <c r="S4259">
        <v>0</v>
      </c>
    </row>
    <row r="4260" spans="1:19">
      <c r="A4260" t="s">
        <v>35</v>
      </c>
      <c r="B4260" t="s">
        <v>4491</v>
      </c>
      <c r="C4260">
        <f>"1620L"</f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3</v>
      </c>
      <c r="K4260">
        <v>22.275</v>
      </c>
      <c r="L4260" s="2">
        <v>7</v>
      </c>
      <c r="M4260">
        <v>0</v>
      </c>
      <c r="N4260" s="2">
        <v>0</v>
      </c>
      <c r="O4260">
        <v>-3.6</v>
      </c>
      <c r="P4260" t="s">
        <v>100</v>
      </c>
      <c r="Q4260">
        <v>0</v>
      </c>
      <c r="R4260" t="s">
        <v>145</v>
      </c>
      <c r="S4260">
        <v>0</v>
      </c>
    </row>
    <row r="4261" spans="1:19">
      <c r="A4261" t="s">
        <v>35</v>
      </c>
      <c r="B4261" t="s">
        <v>3584</v>
      </c>
      <c r="C4261">
        <f>"1880A"</f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3</v>
      </c>
      <c r="K4261">
        <v>31.05</v>
      </c>
      <c r="L4261" s="2">
        <v>10</v>
      </c>
      <c r="M4261">
        <v>0</v>
      </c>
      <c r="N4261" s="2">
        <v>0</v>
      </c>
      <c r="O4261">
        <v>-3.6</v>
      </c>
      <c r="P4261" t="s">
        <v>100</v>
      </c>
      <c r="Q4261">
        <v>0</v>
      </c>
      <c r="R4261" t="s">
        <v>145</v>
      </c>
      <c r="S4261">
        <v>0</v>
      </c>
    </row>
    <row r="4262" spans="1:19">
      <c r="A4262" t="s">
        <v>35</v>
      </c>
      <c r="B4262" t="s">
        <v>3588</v>
      </c>
      <c r="C4262">
        <f>"A002"</f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3</v>
      </c>
      <c r="K4262">
        <v>40.23</v>
      </c>
      <c r="L4262" s="2">
        <v>13</v>
      </c>
      <c r="M4262">
        <v>0</v>
      </c>
      <c r="N4262" s="2">
        <v>0</v>
      </c>
      <c r="O4262">
        <v>-3.6</v>
      </c>
      <c r="P4262" t="s">
        <v>100</v>
      </c>
      <c r="Q4262">
        <v>0</v>
      </c>
      <c r="R4262" t="s">
        <v>145</v>
      </c>
      <c r="S4262">
        <v>0</v>
      </c>
    </row>
    <row r="4263" spans="1:19">
      <c r="A4263" t="s">
        <v>35</v>
      </c>
      <c r="B4263" t="s">
        <v>7105</v>
      </c>
      <c r="C4263">
        <f>"15423XXL"</f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3</v>
      </c>
      <c r="K4263">
        <v>21.573</v>
      </c>
      <c r="L4263" s="2">
        <v>7</v>
      </c>
      <c r="M4263">
        <v>0</v>
      </c>
      <c r="N4263" s="2">
        <v>0</v>
      </c>
      <c r="O4263">
        <v>-3.6</v>
      </c>
      <c r="P4263" t="s">
        <v>100</v>
      </c>
      <c r="Q4263">
        <v>0</v>
      </c>
      <c r="R4263" t="s">
        <v>145</v>
      </c>
      <c r="S4263">
        <v>0</v>
      </c>
    </row>
    <row r="4264" spans="1:19">
      <c r="A4264" t="s">
        <v>35</v>
      </c>
      <c r="B4264" t="s">
        <v>8474</v>
      </c>
      <c r="C4264">
        <f>"MCW126"</f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3</v>
      </c>
      <c r="K4264">
        <v>1.863</v>
      </c>
      <c r="L4264" s="2">
        <v>1</v>
      </c>
      <c r="M4264">
        <v>0</v>
      </c>
      <c r="N4264" s="2">
        <v>0</v>
      </c>
      <c r="O4264">
        <v>-3.6</v>
      </c>
      <c r="P4264" t="s">
        <v>100</v>
      </c>
      <c r="Q4264">
        <v>0</v>
      </c>
      <c r="R4264" t="s">
        <v>145</v>
      </c>
      <c r="S4264">
        <v>0</v>
      </c>
    </row>
    <row r="4265" spans="1:19">
      <c r="A4265" t="s">
        <v>35</v>
      </c>
      <c r="B4265" t="s">
        <v>7008</v>
      </c>
      <c r="C4265">
        <f>"LS147G"</f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3</v>
      </c>
      <c r="K4265">
        <v>10.773</v>
      </c>
      <c r="L4265" s="2">
        <v>4</v>
      </c>
      <c r="M4265">
        <v>0</v>
      </c>
      <c r="N4265" s="2">
        <v>0</v>
      </c>
      <c r="O4265">
        <v>-3.6</v>
      </c>
      <c r="P4265" t="s">
        <v>100</v>
      </c>
      <c r="Q4265">
        <v>0</v>
      </c>
      <c r="R4265" t="s">
        <v>145</v>
      </c>
      <c r="S4265">
        <v>0</v>
      </c>
    </row>
    <row r="4266" spans="1:19">
      <c r="A4266" t="s">
        <v>35</v>
      </c>
      <c r="B4266" t="s">
        <v>4992</v>
      </c>
      <c r="C4266">
        <f>"1837SL"</f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3</v>
      </c>
      <c r="K4266">
        <v>8.640000000000001</v>
      </c>
      <c r="L4266" s="2">
        <v>3</v>
      </c>
      <c r="M4266">
        <v>0</v>
      </c>
      <c r="N4266" s="2">
        <v>0</v>
      </c>
      <c r="O4266">
        <v>-3.6</v>
      </c>
      <c r="P4266" t="s">
        <v>100</v>
      </c>
      <c r="Q4266">
        <v>0</v>
      </c>
      <c r="R4266" t="s">
        <v>145</v>
      </c>
      <c r="S4266">
        <v>0</v>
      </c>
    </row>
    <row r="4267" spans="1:19">
      <c r="A4267" t="s">
        <v>35</v>
      </c>
      <c r="B4267" t="s">
        <v>4931</v>
      </c>
      <c r="C4267">
        <f>"WIN49VE"</f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3</v>
      </c>
      <c r="K4267">
        <v>0</v>
      </c>
      <c r="L4267" s="2">
        <v>0</v>
      </c>
      <c r="M4267">
        <v>0</v>
      </c>
      <c r="N4267" s="2">
        <v>0</v>
      </c>
      <c r="O4267">
        <v>-3.6</v>
      </c>
      <c r="P4267" t="s">
        <v>100</v>
      </c>
      <c r="Q4267">
        <v>0</v>
      </c>
      <c r="R4267" t="s">
        <v>145</v>
      </c>
      <c r="S4267">
        <v>0</v>
      </c>
    </row>
    <row r="4268" spans="1:19">
      <c r="A4268" t="s">
        <v>35</v>
      </c>
      <c r="B4268" t="s">
        <v>4752</v>
      </c>
      <c r="C4268">
        <f>"WIN86RR"</f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3</v>
      </c>
      <c r="K4268">
        <v>3.915</v>
      </c>
      <c r="L4268" s="2">
        <v>1</v>
      </c>
      <c r="M4268">
        <v>0</v>
      </c>
      <c r="N4268" s="2">
        <v>0</v>
      </c>
      <c r="O4268">
        <v>-3.6</v>
      </c>
      <c r="P4268" t="s">
        <v>100</v>
      </c>
      <c r="Q4268">
        <v>0</v>
      </c>
      <c r="R4268" t="s">
        <v>145</v>
      </c>
      <c r="S4268">
        <v>0</v>
      </c>
    </row>
    <row r="4269" spans="1:19">
      <c r="A4269" t="s">
        <v>35</v>
      </c>
      <c r="B4269" t="s">
        <v>2528</v>
      </c>
      <c r="C4269">
        <f>"HP1123XS"</f>
        <v>0</v>
      </c>
      <c r="D4269">
        <v>0</v>
      </c>
      <c r="E4269">
        <v>0</v>
      </c>
      <c r="F4269">
        <v>1</v>
      </c>
      <c r="G4269">
        <v>0</v>
      </c>
      <c r="H4269">
        <v>1</v>
      </c>
      <c r="I4269">
        <v>0</v>
      </c>
      <c r="J4269">
        <v>3</v>
      </c>
      <c r="K4269">
        <v>9.855</v>
      </c>
      <c r="L4269" s="2">
        <v>3</v>
      </c>
      <c r="M4269">
        <v>0</v>
      </c>
      <c r="N4269" s="2">
        <v>0</v>
      </c>
      <c r="O4269">
        <v>-3.6</v>
      </c>
      <c r="P4269" t="s">
        <v>100</v>
      </c>
      <c r="Q4269">
        <v>0</v>
      </c>
      <c r="R4269" t="s">
        <v>145</v>
      </c>
      <c r="S4269">
        <v>0</v>
      </c>
    </row>
    <row r="4270" spans="1:19">
      <c r="A4270" t="s">
        <v>35</v>
      </c>
      <c r="B4270" t="s">
        <v>4487</v>
      </c>
      <c r="C4270">
        <f>"1620XXL"</f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3</v>
      </c>
      <c r="K4270">
        <v>23.355</v>
      </c>
      <c r="L4270" s="2">
        <v>8</v>
      </c>
      <c r="M4270">
        <v>0</v>
      </c>
      <c r="N4270" s="2">
        <v>0</v>
      </c>
      <c r="O4270">
        <v>-3.6</v>
      </c>
      <c r="P4270" t="s">
        <v>100</v>
      </c>
      <c r="Q4270">
        <v>0</v>
      </c>
      <c r="R4270" t="s">
        <v>145</v>
      </c>
      <c r="S4270">
        <v>0</v>
      </c>
    </row>
    <row r="4271" spans="1:19">
      <c r="A4271" t="s">
        <v>35</v>
      </c>
      <c r="B4271" t="s">
        <v>4488</v>
      </c>
      <c r="C4271">
        <f>"1620XS"</f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3</v>
      </c>
      <c r="K4271">
        <v>18.873</v>
      </c>
      <c r="L4271" s="2">
        <v>6</v>
      </c>
      <c r="M4271">
        <v>0</v>
      </c>
      <c r="N4271" s="2">
        <v>0</v>
      </c>
      <c r="O4271">
        <v>-3.6</v>
      </c>
      <c r="P4271" t="s">
        <v>100</v>
      </c>
      <c r="Q4271">
        <v>0</v>
      </c>
      <c r="R4271" t="s">
        <v>145</v>
      </c>
      <c r="S4271">
        <v>0</v>
      </c>
    </row>
    <row r="4272" spans="1:19">
      <c r="A4272" t="s">
        <v>35</v>
      </c>
      <c r="B4272" t="s">
        <v>2796</v>
      </c>
      <c r="C4272">
        <f>"BOL26BL"</f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3</v>
      </c>
      <c r="K4272">
        <v>2.43</v>
      </c>
      <c r="L4272" s="2">
        <v>1</v>
      </c>
      <c r="M4272">
        <v>0</v>
      </c>
      <c r="N4272" s="2">
        <v>0</v>
      </c>
      <c r="O4272">
        <v>-3.6</v>
      </c>
      <c r="P4272" t="s">
        <v>100</v>
      </c>
      <c r="Q4272">
        <v>0</v>
      </c>
      <c r="R4272" t="s">
        <v>145</v>
      </c>
      <c r="S4272">
        <v>0</v>
      </c>
    </row>
    <row r="4273" spans="1:19">
      <c r="A4273" t="s">
        <v>35</v>
      </c>
      <c r="B4273" t="s">
        <v>4565</v>
      </c>
      <c r="C4273">
        <f>"PQ113"</f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3</v>
      </c>
      <c r="K4273">
        <v>3.645</v>
      </c>
      <c r="L4273" s="2">
        <v>1</v>
      </c>
      <c r="M4273">
        <v>0</v>
      </c>
      <c r="N4273" s="2">
        <v>0</v>
      </c>
      <c r="O4273">
        <v>-3.6</v>
      </c>
      <c r="P4273" t="s">
        <v>100</v>
      </c>
      <c r="Q4273">
        <v>0</v>
      </c>
      <c r="R4273" t="s">
        <v>145</v>
      </c>
      <c r="S4273">
        <v>0</v>
      </c>
    </row>
    <row r="4274" spans="1:19">
      <c r="A4274" t="s">
        <v>35</v>
      </c>
      <c r="B4274" t="s">
        <v>6709</v>
      </c>
      <c r="C4274">
        <f>"DN14"</f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3</v>
      </c>
      <c r="K4274">
        <v>1.809</v>
      </c>
      <c r="L4274" s="2">
        <v>1</v>
      </c>
      <c r="M4274">
        <v>0</v>
      </c>
      <c r="N4274" s="2">
        <v>0</v>
      </c>
      <c r="O4274">
        <v>-3.6</v>
      </c>
      <c r="P4274" t="s">
        <v>100</v>
      </c>
      <c r="Q4274">
        <v>0</v>
      </c>
      <c r="R4274" t="s">
        <v>145</v>
      </c>
      <c r="S4274">
        <v>0</v>
      </c>
    </row>
    <row r="4275" spans="1:19">
      <c r="A4275" t="s">
        <v>35</v>
      </c>
      <c r="B4275" t="s">
        <v>3616</v>
      </c>
      <c r="C4275">
        <f>"1868AR"</f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3</v>
      </c>
      <c r="K4275">
        <v>61.83</v>
      </c>
      <c r="L4275" s="2">
        <v>21</v>
      </c>
      <c r="M4275">
        <v>0</v>
      </c>
      <c r="N4275" s="2">
        <v>0</v>
      </c>
      <c r="O4275">
        <v>-3.6</v>
      </c>
      <c r="P4275" t="s">
        <v>100</v>
      </c>
      <c r="Q4275">
        <v>0</v>
      </c>
      <c r="R4275" t="s">
        <v>145</v>
      </c>
      <c r="S4275">
        <v>0</v>
      </c>
    </row>
    <row r="4276" spans="1:19">
      <c r="A4276" t="s">
        <v>35</v>
      </c>
      <c r="B4276" t="s">
        <v>4756</v>
      </c>
      <c r="C4276">
        <f>"WIN87RR"</f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3</v>
      </c>
      <c r="K4276">
        <v>5.37</v>
      </c>
      <c r="L4276" s="2">
        <v>2</v>
      </c>
      <c r="M4276">
        <v>0</v>
      </c>
      <c r="N4276" s="2">
        <v>0</v>
      </c>
      <c r="O4276">
        <v>-3.6</v>
      </c>
      <c r="P4276" t="s">
        <v>100</v>
      </c>
      <c r="Q4276">
        <v>0</v>
      </c>
      <c r="R4276" t="s">
        <v>145</v>
      </c>
      <c r="S4276">
        <v>0</v>
      </c>
    </row>
    <row r="4277" spans="1:19">
      <c r="A4277" t="s">
        <v>35</v>
      </c>
      <c r="B4277" t="s">
        <v>4958</v>
      </c>
      <c r="C4277">
        <f>"SL111D"</f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3</v>
      </c>
      <c r="K4277">
        <v>4.833</v>
      </c>
      <c r="L4277" s="2">
        <v>2</v>
      </c>
      <c r="M4277">
        <v>0</v>
      </c>
      <c r="N4277" s="2">
        <v>0</v>
      </c>
      <c r="O4277">
        <v>-3.6</v>
      </c>
      <c r="P4277" t="s">
        <v>100</v>
      </c>
      <c r="Q4277">
        <v>0</v>
      </c>
      <c r="R4277" t="s">
        <v>145</v>
      </c>
      <c r="S4277">
        <v>0</v>
      </c>
    </row>
    <row r="4278" spans="1:19">
      <c r="A4278" t="s">
        <v>35</v>
      </c>
      <c r="B4278" t="s">
        <v>9595</v>
      </c>
      <c r="C4278">
        <f>"JW9026V"</f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3</v>
      </c>
      <c r="K4278">
        <v>0</v>
      </c>
      <c r="L4278" s="2">
        <v>0</v>
      </c>
      <c r="M4278">
        <v>0</v>
      </c>
      <c r="N4278" s="2">
        <v>0</v>
      </c>
      <c r="O4278">
        <v>-3.6</v>
      </c>
      <c r="P4278" t="s">
        <v>100</v>
      </c>
      <c r="Q4278">
        <v>0</v>
      </c>
      <c r="R4278" t="s">
        <v>145</v>
      </c>
      <c r="S4278">
        <v>0</v>
      </c>
    </row>
    <row r="4279" spans="1:19">
      <c r="A4279" t="s">
        <v>35</v>
      </c>
      <c r="B4279" t="s">
        <v>6989</v>
      </c>
      <c r="C4279">
        <f>"H015XXLNE"</f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3</v>
      </c>
      <c r="K4279">
        <v>9.449999999999999</v>
      </c>
      <c r="L4279" s="2">
        <v>3</v>
      </c>
      <c r="M4279">
        <v>0</v>
      </c>
      <c r="N4279" s="2">
        <v>0</v>
      </c>
      <c r="O4279">
        <v>-3.6</v>
      </c>
      <c r="P4279" t="s">
        <v>100</v>
      </c>
      <c r="Q4279">
        <v>0</v>
      </c>
      <c r="R4279" t="s">
        <v>145</v>
      </c>
      <c r="S4279">
        <v>0</v>
      </c>
    </row>
    <row r="4280" spans="1:19">
      <c r="A4280" t="s">
        <v>35</v>
      </c>
      <c r="B4280" t="s">
        <v>8175</v>
      </c>
      <c r="C4280">
        <f>"54B1090734XLR"</f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3</v>
      </c>
      <c r="K4280">
        <v>32.103</v>
      </c>
      <c r="L4280" s="2">
        <v>11</v>
      </c>
      <c r="M4280">
        <v>0</v>
      </c>
      <c r="N4280" s="2">
        <v>0</v>
      </c>
      <c r="O4280">
        <v>-3.6</v>
      </c>
      <c r="P4280" t="s">
        <v>100</v>
      </c>
      <c r="Q4280">
        <v>0</v>
      </c>
      <c r="R4280" t="s">
        <v>145</v>
      </c>
      <c r="S4280">
        <v>0</v>
      </c>
    </row>
    <row r="4281" spans="1:19">
      <c r="A4281" t="s">
        <v>35</v>
      </c>
      <c r="B4281" t="s">
        <v>3647</v>
      </c>
      <c r="C4281">
        <f>"PS1024"</f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3</v>
      </c>
      <c r="K4281">
        <v>9.962999999999999</v>
      </c>
      <c r="L4281" s="2">
        <v>3</v>
      </c>
      <c r="M4281">
        <v>0</v>
      </c>
      <c r="N4281" s="2">
        <v>0</v>
      </c>
      <c r="O4281">
        <v>-3.6</v>
      </c>
      <c r="P4281" t="s">
        <v>100</v>
      </c>
      <c r="Q4281">
        <v>0</v>
      </c>
      <c r="R4281" t="s">
        <v>145</v>
      </c>
      <c r="S4281">
        <v>0</v>
      </c>
    </row>
    <row r="4282" spans="1:19">
      <c r="A4282" t="s">
        <v>35</v>
      </c>
      <c r="B4282" t="s">
        <v>8171</v>
      </c>
      <c r="C4282">
        <f>"54B109073XLR"</f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3</v>
      </c>
      <c r="K4282">
        <v>24.948</v>
      </c>
      <c r="L4282" s="2">
        <v>8</v>
      </c>
      <c r="M4282">
        <v>0</v>
      </c>
      <c r="N4282" s="2">
        <v>0</v>
      </c>
      <c r="O4282">
        <v>-3.6</v>
      </c>
      <c r="P4282" t="s">
        <v>100</v>
      </c>
      <c r="Q4282">
        <v>0</v>
      </c>
      <c r="R4282" t="s">
        <v>145</v>
      </c>
      <c r="S4282">
        <v>0</v>
      </c>
    </row>
    <row r="4283" spans="1:19">
      <c r="A4283" t="s">
        <v>35</v>
      </c>
      <c r="B4283" t="s">
        <v>10079</v>
      </c>
      <c r="C4283">
        <f>"HH309LROS"</f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3</v>
      </c>
      <c r="K4283">
        <v>18.873</v>
      </c>
      <c r="L4283" s="2">
        <v>6</v>
      </c>
      <c r="M4283">
        <v>0</v>
      </c>
      <c r="N4283" s="2">
        <v>0</v>
      </c>
      <c r="O4283">
        <v>-3.6</v>
      </c>
      <c r="P4283" t="s">
        <v>100</v>
      </c>
      <c r="Q4283">
        <v>0</v>
      </c>
      <c r="R4283" t="s">
        <v>145</v>
      </c>
      <c r="S4283">
        <v>0</v>
      </c>
    </row>
    <row r="4284" spans="1:19">
      <c r="A4284" t="s">
        <v>35</v>
      </c>
      <c r="B4284" t="s">
        <v>4998</v>
      </c>
      <c r="C4284">
        <f>"1837PBM"</f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3</v>
      </c>
      <c r="K4284">
        <v>10.53</v>
      </c>
      <c r="L4284" s="2">
        <v>4</v>
      </c>
      <c r="M4284">
        <v>0</v>
      </c>
      <c r="N4284" s="2">
        <v>0</v>
      </c>
      <c r="O4284">
        <v>-3.6</v>
      </c>
      <c r="P4284" t="s">
        <v>100</v>
      </c>
      <c r="Q4284">
        <v>0</v>
      </c>
      <c r="R4284" t="s">
        <v>145</v>
      </c>
      <c r="S4284">
        <v>0</v>
      </c>
    </row>
    <row r="4285" spans="1:19">
      <c r="A4285" t="s">
        <v>35</v>
      </c>
      <c r="B4285" t="s">
        <v>4083</v>
      </c>
      <c r="C4285">
        <f>"BK01M"</f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3</v>
      </c>
      <c r="K4285">
        <v>14.679</v>
      </c>
      <c r="L4285" s="2">
        <v>5</v>
      </c>
      <c r="M4285">
        <v>0</v>
      </c>
      <c r="N4285" s="2">
        <v>0</v>
      </c>
      <c r="O4285">
        <v>-3.6</v>
      </c>
      <c r="P4285" t="s">
        <v>100</v>
      </c>
      <c r="Q4285">
        <v>0</v>
      </c>
      <c r="R4285" t="s">
        <v>145</v>
      </c>
      <c r="S4285">
        <v>0</v>
      </c>
    </row>
    <row r="4286" spans="1:19">
      <c r="A4286" t="s">
        <v>35</v>
      </c>
      <c r="B4286" t="s">
        <v>7032</v>
      </c>
      <c r="C4286">
        <f>"15448XXL"</f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3</v>
      </c>
      <c r="K4286">
        <v>24.273</v>
      </c>
      <c r="L4286" s="2">
        <v>8</v>
      </c>
      <c r="M4286">
        <v>0</v>
      </c>
      <c r="N4286" s="2">
        <v>0</v>
      </c>
      <c r="O4286">
        <v>-3.6</v>
      </c>
      <c r="P4286" t="s">
        <v>100</v>
      </c>
      <c r="Q4286">
        <v>0</v>
      </c>
      <c r="R4286" t="s">
        <v>145</v>
      </c>
      <c r="S4286">
        <v>0</v>
      </c>
    </row>
    <row r="4287" spans="1:19">
      <c r="A4287" t="s">
        <v>35</v>
      </c>
      <c r="B4287" t="s">
        <v>7970</v>
      </c>
      <c r="C4287">
        <f>"JW2608AM"</f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3</v>
      </c>
      <c r="K4287">
        <v>2.43</v>
      </c>
      <c r="L4287" s="2">
        <v>1</v>
      </c>
      <c r="M4287">
        <v>0</v>
      </c>
      <c r="N4287" s="2">
        <v>0</v>
      </c>
      <c r="O4287">
        <v>-3.6</v>
      </c>
      <c r="P4287" t="s">
        <v>100</v>
      </c>
      <c r="Q4287">
        <v>0</v>
      </c>
      <c r="R4287" t="s">
        <v>145</v>
      </c>
      <c r="S4287">
        <v>0</v>
      </c>
    </row>
    <row r="4288" spans="1:19">
      <c r="A4288" t="s">
        <v>35</v>
      </c>
      <c r="B4288" t="s">
        <v>2502</v>
      </c>
      <c r="C4288">
        <f>"PS8023"</f>
        <v>0</v>
      </c>
      <c r="D4288">
        <v>1</v>
      </c>
      <c r="E4288">
        <v>0</v>
      </c>
      <c r="F4288">
        <v>0</v>
      </c>
      <c r="G4288">
        <v>0</v>
      </c>
      <c r="H4288">
        <v>1</v>
      </c>
      <c r="I4288">
        <v>0</v>
      </c>
      <c r="J4288">
        <v>3</v>
      </c>
      <c r="K4288">
        <v>8.775</v>
      </c>
      <c r="L4288" s="2">
        <v>3</v>
      </c>
      <c r="M4288">
        <v>0</v>
      </c>
      <c r="N4288" s="2">
        <v>0</v>
      </c>
      <c r="O4288">
        <v>-3.6</v>
      </c>
      <c r="P4288" t="s">
        <v>100</v>
      </c>
      <c r="Q4288">
        <v>0</v>
      </c>
      <c r="R4288" t="s">
        <v>145</v>
      </c>
      <c r="S4288">
        <v>0</v>
      </c>
    </row>
    <row r="4289" spans="1:19">
      <c r="A4289" t="s">
        <v>35</v>
      </c>
      <c r="B4289" t="s">
        <v>2960</v>
      </c>
      <c r="C4289">
        <f>"B192203XLA"</f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3</v>
      </c>
      <c r="K4289">
        <v>33.75</v>
      </c>
      <c r="L4289" s="2">
        <v>11</v>
      </c>
      <c r="M4289">
        <v>0</v>
      </c>
      <c r="N4289" s="2">
        <v>0</v>
      </c>
      <c r="O4289">
        <v>-3.6</v>
      </c>
      <c r="P4289" t="s">
        <v>100</v>
      </c>
      <c r="Q4289">
        <v>0</v>
      </c>
      <c r="R4289" t="s">
        <v>145</v>
      </c>
      <c r="S4289">
        <v>0</v>
      </c>
    </row>
    <row r="4290" spans="1:19">
      <c r="A4290" t="s">
        <v>35</v>
      </c>
      <c r="B4290" t="s">
        <v>4956</v>
      </c>
      <c r="C4290">
        <f>"1761LCAL"</f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3</v>
      </c>
      <c r="K4290">
        <v>0</v>
      </c>
      <c r="L4290" s="2">
        <v>0</v>
      </c>
      <c r="M4290">
        <v>0</v>
      </c>
      <c r="N4290" s="2">
        <v>0</v>
      </c>
      <c r="O4290">
        <v>-3.6</v>
      </c>
      <c r="P4290" t="s">
        <v>100</v>
      </c>
      <c r="Q4290">
        <v>0</v>
      </c>
      <c r="R4290" t="s">
        <v>145</v>
      </c>
      <c r="S4290">
        <v>0</v>
      </c>
    </row>
    <row r="4291" spans="1:19">
      <c r="A4291" t="s">
        <v>35</v>
      </c>
      <c r="B4291" t="s">
        <v>2293</v>
      </c>
      <c r="C4291">
        <f>"LQC17A"</f>
        <v>0</v>
      </c>
      <c r="D4291">
        <v>0</v>
      </c>
      <c r="E4291">
        <v>0</v>
      </c>
      <c r="F4291">
        <v>2</v>
      </c>
      <c r="G4291">
        <v>0</v>
      </c>
      <c r="H4291">
        <v>2</v>
      </c>
      <c r="I4291">
        <v>0</v>
      </c>
      <c r="J4291">
        <v>3</v>
      </c>
      <c r="K4291">
        <v>3.483</v>
      </c>
      <c r="L4291" s="2">
        <v>1</v>
      </c>
      <c r="M4291">
        <v>0</v>
      </c>
      <c r="N4291" s="2">
        <v>0</v>
      </c>
      <c r="O4291">
        <v>-3.6</v>
      </c>
      <c r="P4291" t="s">
        <v>100</v>
      </c>
      <c r="Q4291">
        <v>0</v>
      </c>
      <c r="R4291" t="s">
        <v>145</v>
      </c>
      <c r="S4291">
        <v>0</v>
      </c>
    </row>
    <row r="4292" spans="1:19">
      <c r="A4292" t="s">
        <v>35</v>
      </c>
      <c r="B4292" t="s">
        <v>4174</v>
      </c>
      <c r="C4292">
        <f>"B116003LM"</f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3</v>
      </c>
      <c r="K4292">
        <v>25.38</v>
      </c>
      <c r="L4292" s="2">
        <v>8</v>
      </c>
      <c r="M4292">
        <v>0</v>
      </c>
      <c r="N4292" s="2">
        <v>0</v>
      </c>
      <c r="O4292">
        <v>-3.6</v>
      </c>
      <c r="P4292" t="s">
        <v>100</v>
      </c>
      <c r="Q4292">
        <v>0</v>
      </c>
      <c r="R4292" t="s">
        <v>145</v>
      </c>
      <c r="S4292">
        <v>0</v>
      </c>
    </row>
    <row r="4293" spans="1:19">
      <c r="A4293" t="s">
        <v>35</v>
      </c>
      <c r="B4293" t="s">
        <v>2815</v>
      </c>
      <c r="C4293">
        <f>"B11600324XLM"</f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3</v>
      </c>
      <c r="K4293">
        <v>34.155</v>
      </c>
      <c r="L4293" s="2">
        <v>11</v>
      </c>
      <c r="M4293">
        <v>0</v>
      </c>
      <c r="N4293" s="2">
        <v>0</v>
      </c>
      <c r="O4293">
        <v>-3.6</v>
      </c>
      <c r="P4293" t="s">
        <v>100</v>
      </c>
      <c r="Q4293">
        <v>0</v>
      </c>
      <c r="R4293" t="s">
        <v>145</v>
      </c>
      <c r="S4293">
        <v>0</v>
      </c>
    </row>
    <row r="4294" spans="1:19">
      <c r="A4294" t="s">
        <v>35</v>
      </c>
      <c r="B4294" t="s">
        <v>7969</v>
      </c>
      <c r="C4294">
        <f>"JW2608CE"</f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3</v>
      </c>
      <c r="K4294">
        <v>2.43</v>
      </c>
      <c r="L4294" s="2">
        <v>1</v>
      </c>
      <c r="M4294">
        <v>0</v>
      </c>
      <c r="N4294" s="2">
        <v>0</v>
      </c>
      <c r="O4294">
        <v>-3.6</v>
      </c>
      <c r="P4294" t="s">
        <v>100</v>
      </c>
      <c r="Q4294">
        <v>0</v>
      </c>
      <c r="R4294" t="s">
        <v>145</v>
      </c>
      <c r="S4294">
        <v>0</v>
      </c>
    </row>
    <row r="4295" spans="1:19">
      <c r="A4295" t="s">
        <v>35</v>
      </c>
      <c r="B4295" t="s">
        <v>9577</v>
      </c>
      <c r="C4295">
        <f>"LO81010"</f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3</v>
      </c>
      <c r="K4295">
        <v>3.213</v>
      </c>
      <c r="L4295" s="2">
        <v>1</v>
      </c>
      <c r="M4295">
        <v>0</v>
      </c>
      <c r="N4295" s="2">
        <v>0</v>
      </c>
      <c r="O4295">
        <v>-3.6</v>
      </c>
      <c r="P4295" t="s">
        <v>100</v>
      </c>
      <c r="Q4295">
        <v>0</v>
      </c>
      <c r="R4295" t="s">
        <v>145</v>
      </c>
      <c r="S4295">
        <v>0</v>
      </c>
    </row>
    <row r="4296" spans="1:19">
      <c r="A4296" t="s">
        <v>35</v>
      </c>
      <c r="B4296" t="s">
        <v>8123</v>
      </c>
      <c r="C4296">
        <f>"COO2825M"</f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3</v>
      </c>
      <c r="K4296">
        <v>41.175</v>
      </c>
      <c r="L4296" s="2">
        <v>14</v>
      </c>
      <c r="M4296">
        <v>0</v>
      </c>
      <c r="N4296" s="2">
        <v>0</v>
      </c>
      <c r="O4296">
        <v>-3.6</v>
      </c>
      <c r="P4296" t="s">
        <v>100</v>
      </c>
      <c r="Q4296">
        <v>0</v>
      </c>
      <c r="R4296" t="s">
        <v>145</v>
      </c>
      <c r="S4296">
        <v>0</v>
      </c>
    </row>
    <row r="4297" spans="1:19">
      <c r="A4297" t="s">
        <v>35</v>
      </c>
      <c r="B4297" t="s">
        <v>8108</v>
      </c>
      <c r="C4297">
        <f>"COO2834M"</f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3</v>
      </c>
      <c r="K4297">
        <v>48.33</v>
      </c>
      <c r="L4297" s="2">
        <v>16</v>
      </c>
      <c r="M4297">
        <v>0</v>
      </c>
      <c r="N4297" s="2">
        <v>0</v>
      </c>
      <c r="O4297">
        <v>-3.6</v>
      </c>
      <c r="P4297" t="s">
        <v>100</v>
      </c>
      <c r="Q4297">
        <v>0</v>
      </c>
      <c r="R4297" t="s">
        <v>145</v>
      </c>
      <c r="S4297">
        <v>0</v>
      </c>
    </row>
    <row r="4298" spans="1:19">
      <c r="A4298" t="s">
        <v>35</v>
      </c>
      <c r="B4298" t="s">
        <v>5809</v>
      </c>
      <c r="C4298">
        <f>"B115044XSB"</f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3</v>
      </c>
      <c r="K4298">
        <v>8.775</v>
      </c>
      <c r="L4298" s="2">
        <v>3</v>
      </c>
      <c r="M4298">
        <v>0</v>
      </c>
      <c r="N4298" s="2">
        <v>0</v>
      </c>
      <c r="O4298">
        <v>-3.6</v>
      </c>
      <c r="P4298" t="s">
        <v>100</v>
      </c>
      <c r="Q4298">
        <v>0</v>
      </c>
      <c r="R4298" t="s">
        <v>145</v>
      </c>
      <c r="S4298">
        <v>0</v>
      </c>
    </row>
    <row r="4299" spans="1:19">
      <c r="A4299" t="s">
        <v>35</v>
      </c>
      <c r="B4299" t="s">
        <v>8384</v>
      </c>
      <c r="C4299">
        <f>"HDD166BL"</f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3</v>
      </c>
      <c r="K4299">
        <v>3.645</v>
      </c>
      <c r="L4299" s="2">
        <v>1</v>
      </c>
      <c r="M4299">
        <v>0</v>
      </c>
      <c r="N4299" s="2">
        <v>0</v>
      </c>
      <c r="O4299">
        <v>-3.6</v>
      </c>
      <c r="P4299" t="s">
        <v>100</v>
      </c>
      <c r="Q4299">
        <v>0</v>
      </c>
      <c r="R4299" t="s">
        <v>145</v>
      </c>
      <c r="S4299">
        <v>0</v>
      </c>
    </row>
    <row r="4300" spans="1:19">
      <c r="A4300" t="s">
        <v>35</v>
      </c>
      <c r="B4300" t="s">
        <v>9309</v>
      </c>
      <c r="C4300">
        <f>"3115MIX"</f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3</v>
      </c>
      <c r="K4300">
        <v>1.593</v>
      </c>
      <c r="L4300" s="2">
        <v>1</v>
      </c>
      <c r="M4300">
        <v>0</v>
      </c>
      <c r="N4300" s="2">
        <v>0</v>
      </c>
      <c r="O4300">
        <v>-3.6</v>
      </c>
      <c r="P4300" t="s">
        <v>100</v>
      </c>
      <c r="Q4300">
        <v>0</v>
      </c>
      <c r="R4300" t="s">
        <v>145</v>
      </c>
      <c r="S4300">
        <v>0</v>
      </c>
    </row>
    <row r="4301" spans="1:19">
      <c r="A4301" t="s">
        <v>35</v>
      </c>
      <c r="B4301" t="s">
        <v>4843</v>
      </c>
      <c r="C4301">
        <f>"WD904TUR"</f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3</v>
      </c>
      <c r="K4301">
        <v>12.393</v>
      </c>
      <c r="L4301" s="2">
        <v>4</v>
      </c>
      <c r="M4301">
        <v>0</v>
      </c>
      <c r="N4301" s="2">
        <v>0</v>
      </c>
      <c r="O4301">
        <v>-3.6</v>
      </c>
      <c r="P4301" t="s">
        <v>100</v>
      </c>
      <c r="Q4301">
        <v>0</v>
      </c>
      <c r="R4301" t="s">
        <v>145</v>
      </c>
      <c r="S4301">
        <v>0</v>
      </c>
    </row>
    <row r="4302" spans="1:19">
      <c r="A4302" t="s">
        <v>35</v>
      </c>
      <c r="B4302" t="s">
        <v>8017</v>
      </c>
      <c r="C4302">
        <f>"FEP120V"</f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3</v>
      </c>
      <c r="K4302">
        <v>80.01000000000001</v>
      </c>
      <c r="L4302" s="2">
        <v>27</v>
      </c>
      <c r="M4302">
        <v>0</v>
      </c>
      <c r="N4302" s="2">
        <v>0</v>
      </c>
      <c r="O4302">
        <v>-3.6</v>
      </c>
      <c r="P4302" t="s">
        <v>100</v>
      </c>
      <c r="Q4302">
        <v>0</v>
      </c>
      <c r="R4302" t="s">
        <v>145</v>
      </c>
      <c r="S4302">
        <v>0</v>
      </c>
    </row>
    <row r="4303" spans="1:19">
      <c r="A4303" t="s">
        <v>35</v>
      </c>
      <c r="B4303" t="s">
        <v>4955</v>
      </c>
      <c r="C4303">
        <f>"1761LCEL"</f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3</v>
      </c>
      <c r="K4303">
        <v>0</v>
      </c>
      <c r="L4303" s="2">
        <v>0</v>
      </c>
      <c r="M4303">
        <v>0</v>
      </c>
      <c r="N4303" s="2">
        <v>0</v>
      </c>
      <c r="O4303">
        <v>-3.6</v>
      </c>
      <c r="P4303" t="s">
        <v>100</v>
      </c>
      <c r="Q4303">
        <v>0</v>
      </c>
      <c r="R4303" t="s">
        <v>145</v>
      </c>
      <c r="S4303">
        <v>0</v>
      </c>
    </row>
    <row r="4304" spans="1:19">
      <c r="A4304" t="s">
        <v>35</v>
      </c>
      <c r="B4304" t="s">
        <v>2772</v>
      </c>
      <c r="C4304">
        <f>"B19220LA"</f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3</v>
      </c>
      <c r="K4304">
        <v>27.27</v>
      </c>
      <c r="L4304" s="2">
        <v>9</v>
      </c>
      <c r="M4304">
        <v>0</v>
      </c>
      <c r="N4304" s="2">
        <v>0</v>
      </c>
      <c r="O4304">
        <v>-3.6</v>
      </c>
      <c r="P4304" t="s">
        <v>100</v>
      </c>
      <c r="Q4304">
        <v>0</v>
      </c>
      <c r="R4304" t="s">
        <v>145</v>
      </c>
      <c r="S4304">
        <v>0</v>
      </c>
    </row>
    <row r="4305" spans="1:19">
      <c r="A4305" t="s">
        <v>35</v>
      </c>
      <c r="B4305" t="s">
        <v>2851</v>
      </c>
      <c r="C4305">
        <f>"B116003XLA"</f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3</v>
      </c>
      <c r="K4305">
        <v>27.675</v>
      </c>
      <c r="L4305" s="2">
        <v>9</v>
      </c>
      <c r="M4305">
        <v>0</v>
      </c>
      <c r="N4305" s="2">
        <v>0</v>
      </c>
      <c r="O4305">
        <v>-3.6</v>
      </c>
      <c r="P4305" t="s">
        <v>100</v>
      </c>
      <c r="Q4305">
        <v>0</v>
      </c>
      <c r="R4305" t="s">
        <v>145</v>
      </c>
      <c r="S4305">
        <v>0</v>
      </c>
    </row>
    <row r="4306" spans="1:19">
      <c r="A4306" t="s">
        <v>35</v>
      </c>
      <c r="B4306" t="s">
        <v>7971</v>
      </c>
      <c r="C4306">
        <f>"JW2608"</f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3</v>
      </c>
      <c r="K4306">
        <v>2.295</v>
      </c>
      <c r="L4306" s="2">
        <v>1</v>
      </c>
      <c r="M4306">
        <v>0</v>
      </c>
      <c r="N4306" s="2">
        <v>0</v>
      </c>
      <c r="O4306">
        <v>-3.6</v>
      </c>
      <c r="P4306" t="s">
        <v>100</v>
      </c>
      <c r="Q4306">
        <v>0</v>
      </c>
      <c r="R4306" t="s">
        <v>145</v>
      </c>
      <c r="S4306">
        <v>0</v>
      </c>
    </row>
    <row r="4307" spans="1:19">
      <c r="A4307" t="s">
        <v>35</v>
      </c>
      <c r="B4307" t="s">
        <v>5198</v>
      </c>
      <c r="C4307">
        <f>"1812LLBLUE"</f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3</v>
      </c>
      <c r="K4307">
        <v>11.475</v>
      </c>
      <c r="L4307" s="2">
        <v>4</v>
      </c>
      <c r="M4307">
        <v>0</v>
      </c>
      <c r="N4307" s="2">
        <v>0</v>
      </c>
      <c r="O4307">
        <v>-3.6</v>
      </c>
      <c r="P4307" t="s">
        <v>100</v>
      </c>
      <c r="Q4307">
        <v>0</v>
      </c>
      <c r="R4307" t="s">
        <v>145</v>
      </c>
      <c r="S4307">
        <v>0</v>
      </c>
    </row>
    <row r="4308" spans="1:19">
      <c r="A4308" t="s">
        <v>35</v>
      </c>
      <c r="B4308" t="s">
        <v>10078</v>
      </c>
      <c r="C4308">
        <f>"FURMLPG"</f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3</v>
      </c>
      <c r="K4308">
        <v>11.34</v>
      </c>
      <c r="L4308" s="2">
        <v>4</v>
      </c>
      <c r="M4308">
        <v>0</v>
      </c>
      <c r="N4308" s="2">
        <v>0</v>
      </c>
      <c r="O4308">
        <v>-3.6</v>
      </c>
      <c r="P4308" t="s">
        <v>100</v>
      </c>
      <c r="Q4308">
        <v>0</v>
      </c>
      <c r="R4308" t="s">
        <v>145</v>
      </c>
      <c r="S4308">
        <v>0</v>
      </c>
    </row>
    <row r="4309" spans="1:19">
      <c r="A4309" t="s">
        <v>35</v>
      </c>
      <c r="B4309" t="s">
        <v>2658</v>
      </c>
      <c r="C4309">
        <f>"2105BMG"</f>
        <v>0</v>
      </c>
      <c r="D4309">
        <v>1</v>
      </c>
      <c r="E4309">
        <v>0</v>
      </c>
      <c r="F4309">
        <v>0</v>
      </c>
      <c r="G4309">
        <v>0</v>
      </c>
      <c r="H4309">
        <v>1</v>
      </c>
      <c r="I4309">
        <v>0</v>
      </c>
      <c r="J4309">
        <v>3</v>
      </c>
      <c r="K4309">
        <v>32.4</v>
      </c>
      <c r="L4309" s="2">
        <v>11</v>
      </c>
      <c r="M4309">
        <v>0</v>
      </c>
      <c r="N4309" s="2">
        <v>0</v>
      </c>
      <c r="O4309">
        <v>-3.6</v>
      </c>
      <c r="P4309" t="s">
        <v>100</v>
      </c>
      <c r="Q4309">
        <v>0</v>
      </c>
      <c r="R4309" t="s">
        <v>145</v>
      </c>
      <c r="S4309">
        <v>0</v>
      </c>
    </row>
    <row r="4310" spans="1:19">
      <c r="A4310" t="s">
        <v>35</v>
      </c>
      <c r="B4310" t="s">
        <v>7822</v>
      </c>
      <c r="C4310">
        <f>"8443M"</f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3</v>
      </c>
      <c r="K4310">
        <v>37.53</v>
      </c>
      <c r="L4310" s="2">
        <v>13</v>
      </c>
      <c r="M4310">
        <v>0</v>
      </c>
      <c r="N4310" s="2">
        <v>0</v>
      </c>
      <c r="O4310">
        <v>-3.6</v>
      </c>
      <c r="P4310" t="s">
        <v>100</v>
      </c>
      <c r="Q4310">
        <v>0</v>
      </c>
      <c r="R4310" t="s">
        <v>145</v>
      </c>
      <c r="S4310">
        <v>0</v>
      </c>
    </row>
    <row r="4311" spans="1:19">
      <c r="A4311" t="s">
        <v>35</v>
      </c>
      <c r="B4311" t="s">
        <v>8101</v>
      </c>
      <c r="C4311">
        <f>"8331SGR"</f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3</v>
      </c>
      <c r="K4311">
        <v>52.561</v>
      </c>
      <c r="L4311" s="2">
        <v>18</v>
      </c>
      <c r="M4311">
        <v>0</v>
      </c>
      <c r="N4311" s="2">
        <v>0</v>
      </c>
      <c r="O4311">
        <v>-3.6</v>
      </c>
      <c r="P4311" t="s">
        <v>100</v>
      </c>
      <c r="Q4311">
        <v>0</v>
      </c>
      <c r="R4311" t="s">
        <v>145</v>
      </c>
      <c r="S4311">
        <v>0</v>
      </c>
    </row>
    <row r="4312" spans="1:19">
      <c r="A4312" t="s">
        <v>35</v>
      </c>
      <c r="B4312" t="s">
        <v>2607</v>
      </c>
      <c r="C4312">
        <f>"JD1L"</f>
        <v>0</v>
      </c>
      <c r="D4312">
        <v>1</v>
      </c>
      <c r="E4312">
        <v>0</v>
      </c>
      <c r="F4312">
        <v>0</v>
      </c>
      <c r="G4312">
        <v>0</v>
      </c>
      <c r="H4312">
        <v>1</v>
      </c>
      <c r="I4312">
        <v>0</v>
      </c>
      <c r="J4312">
        <v>3</v>
      </c>
      <c r="K4312">
        <v>2.97</v>
      </c>
      <c r="L4312" s="2">
        <v>1</v>
      </c>
      <c r="M4312">
        <v>0</v>
      </c>
      <c r="N4312" s="2">
        <v>0</v>
      </c>
      <c r="O4312">
        <v>-3.6</v>
      </c>
      <c r="P4312" t="s">
        <v>100</v>
      </c>
      <c r="Q4312">
        <v>0</v>
      </c>
      <c r="R4312" t="s">
        <v>145</v>
      </c>
      <c r="S4312">
        <v>0</v>
      </c>
    </row>
    <row r="4313" spans="1:19">
      <c r="A4313" t="s">
        <v>35</v>
      </c>
      <c r="B4313" t="s">
        <v>4205</v>
      </c>
      <c r="C4313">
        <f>"C118354XLV"</f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3</v>
      </c>
      <c r="K4313">
        <v>24.003</v>
      </c>
      <c r="L4313" s="2">
        <v>8</v>
      </c>
      <c r="M4313">
        <v>0</v>
      </c>
      <c r="N4313" s="2">
        <v>0</v>
      </c>
      <c r="O4313">
        <v>-3.6</v>
      </c>
      <c r="P4313" t="s">
        <v>100</v>
      </c>
      <c r="Q4313">
        <v>0</v>
      </c>
      <c r="R4313" t="s">
        <v>145</v>
      </c>
      <c r="S4313">
        <v>0</v>
      </c>
    </row>
    <row r="4314" spans="1:19">
      <c r="A4314" t="s">
        <v>35</v>
      </c>
      <c r="B4314" t="s">
        <v>2807</v>
      </c>
      <c r="C4314">
        <f>"B11600323XLA"</f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3</v>
      </c>
      <c r="K4314">
        <v>32.373</v>
      </c>
      <c r="L4314" s="2">
        <v>11</v>
      </c>
      <c r="M4314">
        <v>0</v>
      </c>
      <c r="N4314" s="2">
        <v>0</v>
      </c>
      <c r="O4314">
        <v>-3.6</v>
      </c>
      <c r="P4314" t="s">
        <v>100</v>
      </c>
      <c r="Q4314">
        <v>0</v>
      </c>
      <c r="R4314" t="s">
        <v>145</v>
      </c>
      <c r="S4314">
        <v>0</v>
      </c>
    </row>
    <row r="4315" spans="1:19">
      <c r="A4315" t="s">
        <v>35</v>
      </c>
      <c r="B4315" t="s">
        <v>4129</v>
      </c>
      <c r="C4315">
        <f>"YP42MR"</f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3</v>
      </c>
      <c r="K4315">
        <v>15.795</v>
      </c>
      <c r="L4315" s="2">
        <v>5</v>
      </c>
      <c r="M4315">
        <v>0</v>
      </c>
      <c r="N4315" s="2">
        <v>0</v>
      </c>
      <c r="O4315">
        <v>-3.6</v>
      </c>
      <c r="P4315" t="s">
        <v>100</v>
      </c>
      <c r="Q4315">
        <v>0</v>
      </c>
      <c r="R4315" t="s">
        <v>145</v>
      </c>
      <c r="S4315">
        <v>0</v>
      </c>
    </row>
    <row r="4316" spans="1:19">
      <c r="A4316" t="s">
        <v>35</v>
      </c>
      <c r="B4316" t="s">
        <v>4026</v>
      </c>
      <c r="C4316">
        <f>"B1090063XLA"</f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3</v>
      </c>
      <c r="K4316">
        <v>29.808</v>
      </c>
      <c r="L4316" s="2">
        <v>10</v>
      </c>
      <c r="M4316">
        <v>0</v>
      </c>
      <c r="N4316" s="2">
        <v>0</v>
      </c>
      <c r="O4316">
        <v>-3.6</v>
      </c>
      <c r="P4316" t="s">
        <v>100</v>
      </c>
      <c r="Q4316">
        <v>0</v>
      </c>
      <c r="R4316" t="s">
        <v>145</v>
      </c>
      <c r="S4316">
        <v>0</v>
      </c>
    </row>
    <row r="4317" spans="1:19">
      <c r="A4317" t="s">
        <v>35</v>
      </c>
      <c r="B4317" t="s">
        <v>4029</v>
      </c>
      <c r="C4317">
        <f>"B1090062XLN"</f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3</v>
      </c>
      <c r="K4317">
        <v>26.73</v>
      </c>
      <c r="L4317" s="2">
        <v>9</v>
      </c>
      <c r="M4317">
        <v>0</v>
      </c>
      <c r="N4317" s="2">
        <v>0</v>
      </c>
      <c r="O4317">
        <v>-3.6</v>
      </c>
      <c r="P4317" t="s">
        <v>100</v>
      </c>
      <c r="Q4317">
        <v>0</v>
      </c>
      <c r="R4317" t="s">
        <v>145</v>
      </c>
      <c r="S4317">
        <v>0</v>
      </c>
    </row>
    <row r="4318" spans="1:19">
      <c r="A4318" t="s">
        <v>35</v>
      </c>
      <c r="B4318" t="s">
        <v>7984</v>
      </c>
      <c r="C4318">
        <f>"FEP80VI"</f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3</v>
      </c>
      <c r="K4318">
        <v>40.725</v>
      </c>
      <c r="L4318" s="2">
        <v>14</v>
      </c>
      <c r="M4318">
        <v>0</v>
      </c>
      <c r="N4318" s="2">
        <v>0</v>
      </c>
      <c r="O4318">
        <v>-3.6</v>
      </c>
      <c r="P4318" t="s">
        <v>100</v>
      </c>
      <c r="Q4318">
        <v>0</v>
      </c>
      <c r="R4318" t="s">
        <v>145</v>
      </c>
      <c r="S4318">
        <v>0</v>
      </c>
    </row>
    <row r="4319" spans="1:19">
      <c r="A4319" t="s">
        <v>35</v>
      </c>
      <c r="B4319" t="s">
        <v>4034</v>
      </c>
      <c r="C4319">
        <f>"B109006MV"</f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3</v>
      </c>
      <c r="K4319">
        <v>18.765</v>
      </c>
      <c r="L4319" s="2">
        <v>6</v>
      </c>
      <c r="M4319">
        <v>0</v>
      </c>
      <c r="N4319" s="2">
        <v>0</v>
      </c>
      <c r="O4319">
        <v>-3.6</v>
      </c>
      <c r="P4319" t="s">
        <v>100</v>
      </c>
      <c r="Q4319">
        <v>0</v>
      </c>
      <c r="R4319" t="s">
        <v>145</v>
      </c>
      <c r="S4319">
        <v>0</v>
      </c>
    </row>
    <row r="4320" spans="1:19">
      <c r="A4320" t="s">
        <v>35</v>
      </c>
      <c r="B4320" t="s">
        <v>5823</v>
      </c>
      <c r="C4320">
        <f>"KFW02"</f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3</v>
      </c>
      <c r="K4320">
        <v>18.879</v>
      </c>
      <c r="L4320" s="2">
        <v>6</v>
      </c>
      <c r="M4320">
        <v>0</v>
      </c>
      <c r="N4320" s="2">
        <v>0</v>
      </c>
      <c r="O4320">
        <v>-3.6</v>
      </c>
      <c r="P4320" t="s">
        <v>100</v>
      </c>
      <c r="Q4320">
        <v>0</v>
      </c>
      <c r="R4320" t="s">
        <v>145</v>
      </c>
      <c r="S4320">
        <v>0</v>
      </c>
    </row>
    <row r="4321" spans="1:19">
      <c r="A4321" t="s">
        <v>35</v>
      </c>
      <c r="B4321" t="s">
        <v>4140</v>
      </c>
      <c r="C4321">
        <f>"FB681MA"</f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3</v>
      </c>
      <c r="K4321">
        <v>16.173</v>
      </c>
      <c r="L4321" s="2">
        <v>5</v>
      </c>
      <c r="M4321">
        <v>0</v>
      </c>
      <c r="N4321" s="2">
        <v>0</v>
      </c>
      <c r="O4321">
        <v>-3.6</v>
      </c>
      <c r="P4321" t="s">
        <v>100</v>
      </c>
      <c r="Q4321">
        <v>0</v>
      </c>
      <c r="R4321" t="s">
        <v>145</v>
      </c>
      <c r="S4321">
        <v>0</v>
      </c>
    </row>
    <row r="4322" spans="1:19">
      <c r="A4322" t="s">
        <v>35</v>
      </c>
      <c r="B4322" t="s">
        <v>4182</v>
      </c>
      <c r="C4322">
        <f>"FB6814XLR"</f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3</v>
      </c>
      <c r="K4322">
        <v>25.65</v>
      </c>
      <c r="L4322" s="2">
        <v>9</v>
      </c>
      <c r="M4322">
        <v>0</v>
      </c>
      <c r="N4322" s="2">
        <v>0</v>
      </c>
      <c r="O4322">
        <v>-3.6</v>
      </c>
      <c r="P4322" t="s">
        <v>100</v>
      </c>
      <c r="Q4322">
        <v>0</v>
      </c>
      <c r="R4322" t="s">
        <v>145</v>
      </c>
      <c r="S4322">
        <v>0</v>
      </c>
    </row>
    <row r="4323" spans="1:19">
      <c r="A4323" t="s">
        <v>35</v>
      </c>
      <c r="B4323" t="s">
        <v>4013</v>
      </c>
      <c r="C4323">
        <f>"C118354LA"</f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3</v>
      </c>
      <c r="K4323">
        <v>21.06</v>
      </c>
      <c r="L4323" s="2">
        <v>7</v>
      </c>
      <c r="M4323">
        <v>0</v>
      </c>
      <c r="N4323" s="2">
        <v>0</v>
      </c>
      <c r="O4323">
        <v>-3.6</v>
      </c>
      <c r="P4323" t="s">
        <v>100</v>
      </c>
      <c r="Q4323">
        <v>0</v>
      </c>
      <c r="R4323" t="s">
        <v>145</v>
      </c>
      <c r="S4323">
        <v>0</v>
      </c>
    </row>
    <row r="4324" spans="1:19">
      <c r="A4324" t="s">
        <v>35</v>
      </c>
      <c r="B4324" t="s">
        <v>4223</v>
      </c>
      <c r="C4324">
        <f>"FB6813XLR"</f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3</v>
      </c>
      <c r="K4324">
        <v>22.95</v>
      </c>
      <c r="L4324" s="2">
        <v>8</v>
      </c>
      <c r="M4324">
        <v>0</v>
      </c>
      <c r="N4324" s="2">
        <v>0</v>
      </c>
      <c r="O4324">
        <v>-3.6</v>
      </c>
      <c r="P4324" t="s">
        <v>100</v>
      </c>
      <c r="Q4324">
        <v>0</v>
      </c>
      <c r="R4324" t="s">
        <v>145</v>
      </c>
      <c r="S4324">
        <v>0</v>
      </c>
    </row>
    <row r="4325" spans="1:19">
      <c r="A4325" t="s">
        <v>35</v>
      </c>
      <c r="B4325" t="s">
        <v>4866</v>
      </c>
      <c r="C4325">
        <f>"1840M"</f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3</v>
      </c>
      <c r="K4325">
        <v>13.365</v>
      </c>
      <c r="L4325" s="2">
        <v>4</v>
      </c>
      <c r="M4325">
        <v>0</v>
      </c>
      <c r="N4325" s="2">
        <v>0</v>
      </c>
      <c r="O4325">
        <v>-3.6</v>
      </c>
      <c r="P4325" t="s">
        <v>100</v>
      </c>
      <c r="Q4325">
        <v>0</v>
      </c>
      <c r="R4325" t="s">
        <v>145</v>
      </c>
      <c r="S4325">
        <v>0</v>
      </c>
    </row>
    <row r="4326" spans="1:19">
      <c r="A4326" t="s">
        <v>35</v>
      </c>
      <c r="B4326" t="s">
        <v>4049</v>
      </c>
      <c r="C4326">
        <f>"B109006XSN"</f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3</v>
      </c>
      <c r="K4326">
        <v>17.55</v>
      </c>
      <c r="L4326" s="2">
        <v>6</v>
      </c>
      <c r="M4326">
        <v>0</v>
      </c>
      <c r="N4326" s="2">
        <v>0</v>
      </c>
      <c r="O4326">
        <v>-3.6</v>
      </c>
      <c r="P4326" t="s">
        <v>100</v>
      </c>
      <c r="Q4326">
        <v>0</v>
      </c>
      <c r="R4326" t="s">
        <v>145</v>
      </c>
      <c r="S4326">
        <v>0</v>
      </c>
    </row>
    <row r="4327" spans="1:19">
      <c r="A4327" t="s">
        <v>35</v>
      </c>
      <c r="B4327" t="s">
        <v>7843</v>
      </c>
      <c r="C4327">
        <f>"CTBS"</f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3</v>
      </c>
      <c r="K4327">
        <v>13.366</v>
      </c>
      <c r="L4327" s="2">
        <v>4</v>
      </c>
      <c r="M4327">
        <v>0</v>
      </c>
      <c r="N4327" s="2">
        <v>0</v>
      </c>
      <c r="O4327">
        <v>-3.6</v>
      </c>
      <c r="P4327" t="s">
        <v>100</v>
      </c>
      <c r="Q4327">
        <v>0</v>
      </c>
      <c r="R4327" t="s">
        <v>145</v>
      </c>
      <c r="S4327">
        <v>0</v>
      </c>
    </row>
    <row r="4328" spans="1:19">
      <c r="A4328" t="s">
        <v>35</v>
      </c>
      <c r="B4328" t="s">
        <v>4208</v>
      </c>
      <c r="C4328">
        <f>"B109048SG"</f>
        <v>0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3</v>
      </c>
      <c r="K4328">
        <v>16.74</v>
      </c>
      <c r="L4328" s="2">
        <v>6</v>
      </c>
      <c r="M4328">
        <v>0</v>
      </c>
      <c r="N4328" s="2">
        <v>0</v>
      </c>
      <c r="O4328">
        <v>-3.6</v>
      </c>
      <c r="P4328" t="s">
        <v>100</v>
      </c>
      <c r="Q4328">
        <v>0</v>
      </c>
      <c r="R4328" t="s">
        <v>145</v>
      </c>
      <c r="S4328">
        <v>0</v>
      </c>
    </row>
    <row r="4329" spans="1:19">
      <c r="A4329" t="s">
        <v>35</v>
      </c>
      <c r="B4329" t="s">
        <v>4212</v>
      </c>
      <c r="C4329">
        <f>"B109048MV"</f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3</v>
      </c>
      <c r="K4329">
        <v>17.415</v>
      </c>
      <c r="L4329" s="2">
        <v>6</v>
      </c>
      <c r="M4329">
        <v>0</v>
      </c>
      <c r="N4329" s="2">
        <v>0</v>
      </c>
      <c r="O4329">
        <v>-3.6</v>
      </c>
      <c r="P4329" t="s">
        <v>100</v>
      </c>
      <c r="Q4329">
        <v>0</v>
      </c>
      <c r="R4329" t="s">
        <v>145</v>
      </c>
      <c r="S4329">
        <v>0</v>
      </c>
    </row>
    <row r="4330" spans="1:19">
      <c r="A4330" t="s">
        <v>35</v>
      </c>
      <c r="B4330" t="s">
        <v>5193</v>
      </c>
      <c r="C4330">
        <f>"1812LSRED"</f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3</v>
      </c>
      <c r="K4330">
        <v>9.585000000000001</v>
      </c>
      <c r="L4330" s="2">
        <v>3</v>
      </c>
      <c r="M4330">
        <v>0</v>
      </c>
      <c r="N4330" s="2">
        <v>0</v>
      </c>
      <c r="O4330">
        <v>-3.6</v>
      </c>
      <c r="P4330" t="s">
        <v>100</v>
      </c>
      <c r="Q4330">
        <v>0</v>
      </c>
      <c r="R4330" t="s">
        <v>145</v>
      </c>
      <c r="S4330">
        <v>0</v>
      </c>
    </row>
    <row r="4331" spans="1:19">
      <c r="A4331" t="s">
        <v>35</v>
      </c>
      <c r="B4331" t="s">
        <v>2542</v>
      </c>
      <c r="C4331">
        <f>"7011244"</f>
        <v>0</v>
      </c>
      <c r="D4331">
        <v>0</v>
      </c>
      <c r="E4331">
        <v>0</v>
      </c>
      <c r="F4331">
        <v>1</v>
      </c>
      <c r="G4331">
        <v>0</v>
      </c>
      <c r="H4331">
        <v>1</v>
      </c>
      <c r="I4331">
        <v>0</v>
      </c>
      <c r="J4331">
        <v>3</v>
      </c>
      <c r="K4331">
        <v>46.5</v>
      </c>
      <c r="L4331" s="2">
        <v>16</v>
      </c>
      <c r="M4331">
        <v>0</v>
      </c>
      <c r="N4331" s="2">
        <v>0</v>
      </c>
      <c r="O4331">
        <v>-3.6</v>
      </c>
      <c r="P4331" t="s">
        <v>100</v>
      </c>
      <c r="Q4331">
        <v>0</v>
      </c>
      <c r="R4331" t="s">
        <v>145</v>
      </c>
      <c r="S4331">
        <v>0</v>
      </c>
    </row>
    <row r="4332" spans="1:19">
      <c r="A4332" t="s">
        <v>35</v>
      </c>
      <c r="B4332" t="s">
        <v>5830</v>
      </c>
      <c r="C4332">
        <f>"KF8020"</f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125.79</v>
      </c>
      <c r="L4332" s="2">
        <v>42</v>
      </c>
      <c r="M4332">
        <v>0</v>
      </c>
      <c r="N4332" s="2">
        <v>0</v>
      </c>
      <c r="O4332">
        <v>-3.6</v>
      </c>
      <c r="P4332" t="s">
        <v>100</v>
      </c>
      <c r="Q4332">
        <v>0</v>
      </c>
      <c r="R4332" t="s">
        <v>145</v>
      </c>
      <c r="S4332">
        <v>0</v>
      </c>
    </row>
    <row r="4333" spans="1:19">
      <c r="A4333" t="s">
        <v>35</v>
      </c>
      <c r="B4333" t="s">
        <v>7643</v>
      </c>
      <c r="C4333">
        <f>"XB1813AXS"</f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3</v>
      </c>
      <c r="K4333">
        <v>22.95</v>
      </c>
      <c r="L4333" s="2">
        <v>8</v>
      </c>
      <c r="M4333">
        <v>0</v>
      </c>
      <c r="N4333" s="2">
        <v>0</v>
      </c>
      <c r="O4333">
        <v>-3.6</v>
      </c>
      <c r="P4333" t="s">
        <v>100</v>
      </c>
      <c r="Q4333">
        <v>0</v>
      </c>
      <c r="R4333" t="s">
        <v>145</v>
      </c>
      <c r="S4333">
        <v>0</v>
      </c>
    </row>
    <row r="4334" spans="1:19">
      <c r="A4334" t="s">
        <v>35</v>
      </c>
      <c r="B4334" t="s">
        <v>5134</v>
      </c>
      <c r="C4334">
        <f>"B7162m"</f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3</v>
      </c>
      <c r="K4334">
        <v>9.324</v>
      </c>
      <c r="L4334" s="2">
        <v>3</v>
      </c>
      <c r="M4334">
        <v>0</v>
      </c>
      <c r="N4334" s="2">
        <v>0</v>
      </c>
      <c r="O4334">
        <v>-3.6</v>
      </c>
      <c r="P4334" t="s">
        <v>100</v>
      </c>
      <c r="Q4334">
        <v>0</v>
      </c>
      <c r="R4334" t="s">
        <v>145</v>
      </c>
      <c r="S4334">
        <v>0</v>
      </c>
    </row>
    <row r="4335" spans="1:19">
      <c r="A4335" t="s">
        <v>35</v>
      </c>
      <c r="B4335" t="s">
        <v>5141</v>
      </c>
      <c r="C4335">
        <f>"SDR231"</f>
        <v>0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3</v>
      </c>
      <c r="K4335">
        <v>8.775</v>
      </c>
      <c r="L4335" s="2">
        <v>3</v>
      </c>
      <c r="M4335">
        <v>0</v>
      </c>
      <c r="N4335" s="2">
        <v>0</v>
      </c>
      <c r="O4335">
        <v>-3.6</v>
      </c>
      <c r="P4335" t="s">
        <v>100</v>
      </c>
      <c r="Q4335">
        <v>0</v>
      </c>
      <c r="R4335" t="s">
        <v>145</v>
      </c>
      <c r="S4335">
        <v>0</v>
      </c>
    </row>
    <row r="4336" spans="1:19">
      <c r="A4336" t="s">
        <v>35</v>
      </c>
      <c r="B4336" t="s">
        <v>2482</v>
      </c>
      <c r="C4336">
        <f>"XB1813AZXL"</f>
        <v>0</v>
      </c>
      <c r="D4336">
        <v>0</v>
      </c>
      <c r="E4336">
        <v>1</v>
      </c>
      <c r="F4336">
        <v>0</v>
      </c>
      <c r="G4336">
        <v>0</v>
      </c>
      <c r="H4336">
        <v>1</v>
      </c>
      <c r="I4336">
        <v>0</v>
      </c>
      <c r="J4336">
        <v>3</v>
      </c>
      <c r="K4336">
        <v>23.094</v>
      </c>
      <c r="L4336" s="2">
        <v>8</v>
      </c>
      <c r="M4336">
        <v>0</v>
      </c>
      <c r="N4336" s="2">
        <v>0</v>
      </c>
      <c r="O4336">
        <v>-3.6</v>
      </c>
      <c r="P4336" t="s">
        <v>100</v>
      </c>
      <c r="Q4336">
        <v>0</v>
      </c>
      <c r="R4336" t="s">
        <v>145</v>
      </c>
      <c r="S4336">
        <v>0</v>
      </c>
    </row>
    <row r="4337" spans="1:19">
      <c r="A4337" t="s">
        <v>35</v>
      </c>
      <c r="B4337" t="s">
        <v>1749</v>
      </c>
      <c r="C4337">
        <f>"3103V"</f>
        <v>0</v>
      </c>
      <c r="D4337">
        <v>6</v>
      </c>
      <c r="E4337">
        <v>4</v>
      </c>
      <c r="F4337">
        <v>3</v>
      </c>
      <c r="G4337">
        <v>0</v>
      </c>
      <c r="H4337">
        <v>13</v>
      </c>
      <c r="I4337">
        <v>3.5</v>
      </c>
      <c r="J4337">
        <v>6</v>
      </c>
      <c r="K4337">
        <v>48.09</v>
      </c>
      <c r="L4337" s="2">
        <v>8</v>
      </c>
      <c r="M4337">
        <v>0</v>
      </c>
      <c r="N4337" s="2">
        <v>0</v>
      </c>
      <c r="O4337">
        <v>-3.699999999999999</v>
      </c>
      <c r="P4337" t="s">
        <v>100</v>
      </c>
      <c r="Q4337">
        <v>0</v>
      </c>
      <c r="R4337" t="s">
        <v>145</v>
      </c>
      <c r="S4337">
        <v>0</v>
      </c>
    </row>
    <row r="4338" spans="1:19">
      <c r="A4338" t="s">
        <v>35</v>
      </c>
      <c r="B4338" t="s">
        <v>366</v>
      </c>
      <c r="C4338">
        <f>"CK1001"</f>
        <v>0</v>
      </c>
      <c r="D4338">
        <v>4</v>
      </c>
      <c r="E4338">
        <v>2</v>
      </c>
      <c r="F4338">
        <v>10</v>
      </c>
      <c r="G4338">
        <v>2</v>
      </c>
      <c r="H4338">
        <v>18</v>
      </c>
      <c r="I4338">
        <v>3</v>
      </c>
      <c r="J4338">
        <v>9</v>
      </c>
      <c r="K4338">
        <v>7.695</v>
      </c>
      <c r="L4338" s="2">
        <v>1</v>
      </c>
      <c r="M4338">
        <v>0</v>
      </c>
      <c r="N4338" s="2">
        <v>0</v>
      </c>
      <c r="O4338">
        <v>-3.799999999999999</v>
      </c>
      <c r="P4338" t="s">
        <v>11032</v>
      </c>
      <c r="Q4338">
        <v>458</v>
      </c>
      <c r="R4338" t="s">
        <v>11105</v>
      </c>
      <c r="S4338">
        <v>0</v>
      </c>
    </row>
    <row r="4339" spans="1:19">
      <c r="A4339" t="s">
        <v>35</v>
      </c>
      <c r="B4339" t="s">
        <v>1970</v>
      </c>
      <c r="C4339">
        <f>"CK1025"</f>
        <v>0</v>
      </c>
      <c r="D4339">
        <v>1</v>
      </c>
      <c r="E4339">
        <v>2</v>
      </c>
      <c r="F4339">
        <v>1</v>
      </c>
      <c r="G4339">
        <v>0</v>
      </c>
      <c r="H4339">
        <v>4</v>
      </c>
      <c r="I4339">
        <v>1</v>
      </c>
      <c r="J4339">
        <v>4</v>
      </c>
      <c r="K4339">
        <v>3.42</v>
      </c>
      <c r="L4339" s="2">
        <v>1</v>
      </c>
      <c r="M4339">
        <v>0</v>
      </c>
      <c r="N4339" s="2">
        <v>0</v>
      </c>
      <c r="O4339">
        <v>-3.8</v>
      </c>
      <c r="P4339" t="s">
        <v>100</v>
      </c>
      <c r="Q4339">
        <v>0</v>
      </c>
      <c r="R4339" t="s">
        <v>145</v>
      </c>
      <c r="S4339">
        <v>0</v>
      </c>
    </row>
    <row r="4340" spans="1:19">
      <c r="A4340" t="s">
        <v>35</v>
      </c>
      <c r="B4340" t="s">
        <v>1680</v>
      </c>
      <c r="C4340">
        <f>"CK1032"</f>
        <v>0</v>
      </c>
      <c r="D4340">
        <v>4</v>
      </c>
      <c r="E4340">
        <v>11</v>
      </c>
      <c r="F4340">
        <v>5</v>
      </c>
      <c r="G4340">
        <v>0</v>
      </c>
      <c r="H4340">
        <v>20</v>
      </c>
      <c r="I4340">
        <v>4.5</v>
      </c>
      <c r="J4340">
        <v>7</v>
      </c>
      <c r="K4340">
        <v>5.607</v>
      </c>
      <c r="L4340" s="2">
        <v>1</v>
      </c>
      <c r="M4340">
        <v>0</v>
      </c>
      <c r="N4340" s="2">
        <v>0</v>
      </c>
      <c r="O4340">
        <v>-3.9</v>
      </c>
      <c r="P4340" t="s">
        <v>100</v>
      </c>
      <c r="Q4340">
        <v>0</v>
      </c>
      <c r="R4340" t="s">
        <v>145</v>
      </c>
      <c r="S4340">
        <v>0</v>
      </c>
    </row>
    <row r="4341" spans="1:19">
      <c r="A4341" t="s">
        <v>35</v>
      </c>
      <c r="B4341" t="s">
        <v>360</v>
      </c>
      <c r="C4341">
        <f>"G22"</f>
        <v>0</v>
      </c>
      <c r="D4341">
        <v>3</v>
      </c>
      <c r="E4341">
        <v>0</v>
      </c>
      <c r="F4341">
        <v>0</v>
      </c>
      <c r="G4341">
        <v>1</v>
      </c>
      <c r="H4341">
        <v>4</v>
      </c>
      <c r="I4341">
        <v>0.5</v>
      </c>
      <c r="J4341">
        <v>8</v>
      </c>
      <c r="K4341">
        <v>42.12</v>
      </c>
      <c r="L4341" s="2">
        <v>5</v>
      </c>
      <c r="M4341">
        <v>0</v>
      </c>
      <c r="N4341" s="2">
        <v>0</v>
      </c>
      <c r="O4341">
        <v>-4.1</v>
      </c>
      <c r="P4341" t="s">
        <v>11065</v>
      </c>
      <c r="Q4341">
        <v>527</v>
      </c>
      <c r="R4341" t="s">
        <v>10362</v>
      </c>
      <c r="S4341">
        <v>1</v>
      </c>
    </row>
    <row r="4342" spans="1:19">
      <c r="A4342" t="s">
        <v>35</v>
      </c>
      <c r="B4342" t="s">
        <v>2200</v>
      </c>
      <c r="C4342">
        <f>"TQ073ROS"</f>
        <v>0</v>
      </c>
      <c r="D4342">
        <v>1</v>
      </c>
      <c r="E4342">
        <v>0</v>
      </c>
      <c r="F4342">
        <v>1</v>
      </c>
      <c r="G4342">
        <v>0</v>
      </c>
      <c r="H4342">
        <v>2</v>
      </c>
      <c r="I4342">
        <v>0.5</v>
      </c>
      <c r="J4342">
        <v>4</v>
      </c>
      <c r="K4342">
        <v>1.368</v>
      </c>
      <c r="L4342" s="2">
        <v>0</v>
      </c>
      <c r="M4342">
        <v>0</v>
      </c>
      <c r="N4342" s="2">
        <v>0</v>
      </c>
      <c r="O4342">
        <v>-4.3</v>
      </c>
      <c r="P4342" t="s">
        <v>100</v>
      </c>
      <c r="Q4342">
        <v>0</v>
      </c>
      <c r="R4342" t="s">
        <v>145</v>
      </c>
      <c r="S4342">
        <v>0</v>
      </c>
    </row>
    <row r="4343" spans="1:19">
      <c r="A4343" t="s">
        <v>35</v>
      </c>
      <c r="B4343" t="s">
        <v>1918</v>
      </c>
      <c r="C4343">
        <f>"MQ080807LN"</f>
        <v>0</v>
      </c>
      <c r="D4343">
        <v>4</v>
      </c>
      <c r="E4343">
        <v>0</v>
      </c>
      <c r="F4343">
        <v>1</v>
      </c>
      <c r="G4343">
        <v>0</v>
      </c>
      <c r="H4343">
        <v>5</v>
      </c>
      <c r="I4343">
        <v>0.5</v>
      </c>
      <c r="J4343">
        <v>4</v>
      </c>
      <c r="K4343">
        <v>34.798</v>
      </c>
      <c r="L4343" s="2">
        <v>9</v>
      </c>
      <c r="M4343">
        <v>0</v>
      </c>
      <c r="N4343" s="2">
        <v>0</v>
      </c>
      <c r="O4343">
        <v>-4.3</v>
      </c>
      <c r="P4343" t="s">
        <v>100</v>
      </c>
      <c r="Q4343">
        <v>0</v>
      </c>
      <c r="R4343" t="s">
        <v>145</v>
      </c>
      <c r="S4343">
        <v>0</v>
      </c>
    </row>
    <row r="4344" spans="1:19">
      <c r="A4344" t="s">
        <v>35</v>
      </c>
      <c r="B4344" t="s">
        <v>2303</v>
      </c>
      <c r="C4344">
        <f>"HP152MR"</f>
        <v>0</v>
      </c>
      <c r="D4344">
        <v>1</v>
      </c>
      <c r="E4344">
        <v>0</v>
      </c>
      <c r="F4344">
        <v>1</v>
      </c>
      <c r="G4344">
        <v>0</v>
      </c>
      <c r="H4344">
        <v>2</v>
      </c>
      <c r="I4344">
        <v>0.5</v>
      </c>
      <c r="J4344">
        <v>4</v>
      </c>
      <c r="K4344">
        <v>18.9</v>
      </c>
      <c r="L4344" s="2">
        <v>5</v>
      </c>
      <c r="M4344">
        <v>0</v>
      </c>
      <c r="N4344" s="2">
        <v>0</v>
      </c>
      <c r="O4344">
        <v>-4.3</v>
      </c>
      <c r="P4344" t="s">
        <v>100</v>
      </c>
      <c r="Q4344">
        <v>0</v>
      </c>
      <c r="R4344" t="s">
        <v>145</v>
      </c>
      <c r="S4344">
        <v>0</v>
      </c>
    </row>
    <row r="4345" spans="1:19">
      <c r="A4345" t="s">
        <v>35</v>
      </c>
      <c r="B4345" t="s">
        <v>2165</v>
      </c>
      <c r="C4345">
        <f>"XX73"</f>
        <v>0</v>
      </c>
      <c r="D4345">
        <v>1</v>
      </c>
      <c r="E4345">
        <v>0</v>
      </c>
      <c r="F4345">
        <v>1</v>
      </c>
      <c r="G4345">
        <v>0</v>
      </c>
      <c r="H4345">
        <v>2</v>
      </c>
      <c r="I4345">
        <v>0.5</v>
      </c>
      <c r="J4345">
        <v>4</v>
      </c>
      <c r="K4345">
        <v>6.804</v>
      </c>
      <c r="L4345" s="2">
        <v>2</v>
      </c>
      <c r="M4345">
        <v>0</v>
      </c>
      <c r="N4345" s="2">
        <v>0</v>
      </c>
      <c r="O4345">
        <v>-4.3</v>
      </c>
      <c r="P4345" t="s">
        <v>100</v>
      </c>
      <c r="Q4345">
        <v>0</v>
      </c>
      <c r="R4345" t="s">
        <v>145</v>
      </c>
      <c r="S4345">
        <v>0</v>
      </c>
    </row>
    <row r="4346" spans="1:19">
      <c r="A4346" t="s">
        <v>35</v>
      </c>
      <c r="B4346" t="s">
        <v>2186</v>
      </c>
      <c r="C4346">
        <f>"TC0018AM"</f>
        <v>0</v>
      </c>
      <c r="D4346">
        <v>1</v>
      </c>
      <c r="E4346">
        <v>0</v>
      </c>
      <c r="F4346">
        <v>1</v>
      </c>
      <c r="G4346">
        <v>0</v>
      </c>
      <c r="H4346">
        <v>2</v>
      </c>
      <c r="I4346">
        <v>0.5</v>
      </c>
      <c r="J4346">
        <v>4</v>
      </c>
      <c r="K4346">
        <v>2.61</v>
      </c>
      <c r="L4346" s="2">
        <v>1</v>
      </c>
      <c r="M4346">
        <v>0</v>
      </c>
      <c r="N4346" s="2">
        <v>0</v>
      </c>
      <c r="O4346">
        <v>-4.3</v>
      </c>
      <c r="P4346" t="s">
        <v>100</v>
      </c>
      <c r="Q4346">
        <v>0</v>
      </c>
      <c r="R4346" t="s">
        <v>145</v>
      </c>
      <c r="S4346">
        <v>0</v>
      </c>
    </row>
    <row r="4347" spans="1:19">
      <c r="A4347" t="s">
        <v>35</v>
      </c>
      <c r="B4347" t="s">
        <v>2110</v>
      </c>
      <c r="C4347">
        <f>"er015"</f>
        <v>0</v>
      </c>
      <c r="D4347">
        <v>2</v>
      </c>
      <c r="E4347">
        <v>1</v>
      </c>
      <c r="F4347">
        <v>0</v>
      </c>
      <c r="G4347">
        <v>0</v>
      </c>
      <c r="H4347">
        <v>3</v>
      </c>
      <c r="I4347">
        <v>0.5</v>
      </c>
      <c r="J4347">
        <v>4</v>
      </c>
      <c r="K4347">
        <v>10.764</v>
      </c>
      <c r="L4347" s="2">
        <v>3</v>
      </c>
      <c r="M4347">
        <v>0</v>
      </c>
      <c r="N4347" s="2">
        <v>0</v>
      </c>
      <c r="O4347">
        <v>-4.3</v>
      </c>
      <c r="P4347" t="s">
        <v>100</v>
      </c>
      <c r="Q4347">
        <v>0</v>
      </c>
      <c r="R4347" t="s">
        <v>145</v>
      </c>
      <c r="S4347">
        <v>0</v>
      </c>
    </row>
    <row r="4348" spans="1:19">
      <c r="A4348" t="s">
        <v>35</v>
      </c>
      <c r="B4348" t="s">
        <v>1885</v>
      </c>
      <c r="C4348">
        <f>"YAT002"</f>
        <v>0</v>
      </c>
      <c r="D4348">
        <v>5</v>
      </c>
      <c r="E4348">
        <v>1</v>
      </c>
      <c r="F4348">
        <v>0</v>
      </c>
      <c r="G4348">
        <v>0</v>
      </c>
      <c r="H4348">
        <v>6</v>
      </c>
      <c r="I4348">
        <v>0.5</v>
      </c>
      <c r="J4348">
        <v>4</v>
      </c>
      <c r="K4348">
        <v>10.08</v>
      </c>
      <c r="L4348" s="2">
        <v>3</v>
      </c>
      <c r="M4348">
        <v>0</v>
      </c>
      <c r="N4348" s="2">
        <v>0</v>
      </c>
      <c r="O4348">
        <v>-4.3</v>
      </c>
      <c r="P4348" t="s">
        <v>100</v>
      </c>
      <c r="Q4348">
        <v>0</v>
      </c>
      <c r="R4348" t="s">
        <v>145</v>
      </c>
      <c r="S4348">
        <v>0</v>
      </c>
    </row>
    <row r="4349" spans="1:19">
      <c r="A4349" t="s">
        <v>35</v>
      </c>
      <c r="B4349" t="s">
        <v>1609</v>
      </c>
      <c r="C4349">
        <f>"CK1007"</f>
        <v>0</v>
      </c>
      <c r="D4349">
        <v>6</v>
      </c>
      <c r="E4349">
        <v>14</v>
      </c>
      <c r="F4349">
        <v>17</v>
      </c>
      <c r="G4349">
        <v>0</v>
      </c>
      <c r="H4349">
        <v>37</v>
      </c>
      <c r="I4349">
        <v>10</v>
      </c>
      <c r="J4349">
        <v>12</v>
      </c>
      <c r="K4349">
        <v>10.26</v>
      </c>
      <c r="L4349" s="2">
        <v>1</v>
      </c>
      <c r="M4349">
        <v>0</v>
      </c>
      <c r="N4349" s="2">
        <v>0</v>
      </c>
      <c r="O4349">
        <v>-4.399999999999999</v>
      </c>
      <c r="P4349" t="s">
        <v>100</v>
      </c>
      <c r="Q4349">
        <v>0</v>
      </c>
      <c r="R4349" t="s">
        <v>145</v>
      </c>
      <c r="S4349">
        <v>0</v>
      </c>
    </row>
    <row r="4350" spans="1:19">
      <c r="A4350" t="s">
        <v>35</v>
      </c>
      <c r="B4350" t="s">
        <v>1828</v>
      </c>
      <c r="C4350">
        <f>"28405"</f>
        <v>0</v>
      </c>
      <c r="D4350">
        <v>5</v>
      </c>
      <c r="E4350">
        <v>2</v>
      </c>
      <c r="F4350">
        <v>1</v>
      </c>
      <c r="G4350">
        <v>0</v>
      </c>
      <c r="H4350">
        <v>8</v>
      </c>
      <c r="I4350">
        <v>1.5</v>
      </c>
      <c r="J4350">
        <v>5</v>
      </c>
      <c r="K4350">
        <v>43.11</v>
      </c>
      <c r="L4350" s="2">
        <v>9</v>
      </c>
      <c r="M4350">
        <v>0</v>
      </c>
      <c r="N4350" s="2">
        <v>0</v>
      </c>
      <c r="O4350">
        <v>-4.5</v>
      </c>
      <c r="P4350" t="s">
        <v>100</v>
      </c>
      <c r="Q4350">
        <v>0</v>
      </c>
      <c r="R4350" t="s">
        <v>145</v>
      </c>
      <c r="S4350">
        <v>0</v>
      </c>
    </row>
    <row r="4351" spans="1:19">
      <c r="A4351" t="s">
        <v>35</v>
      </c>
      <c r="B4351" t="s">
        <v>1710</v>
      </c>
      <c r="C4351">
        <f>"MSPB04GC"</f>
        <v>0</v>
      </c>
      <c r="D4351">
        <v>0</v>
      </c>
      <c r="E4351">
        <v>8</v>
      </c>
      <c r="F4351">
        <v>3</v>
      </c>
      <c r="G4351">
        <v>5</v>
      </c>
      <c r="H4351">
        <v>16</v>
      </c>
      <c r="I4351">
        <v>4</v>
      </c>
      <c r="J4351">
        <v>18</v>
      </c>
      <c r="K4351">
        <v>63.36</v>
      </c>
      <c r="L4351" s="2">
        <v>4</v>
      </c>
      <c r="M4351">
        <v>0</v>
      </c>
      <c r="N4351" s="2">
        <v>0</v>
      </c>
      <c r="O4351">
        <v>-4.599999999999998</v>
      </c>
      <c r="P4351" t="s">
        <v>11066</v>
      </c>
      <c r="Q4351">
        <v>7.428</v>
      </c>
      <c r="R4351" t="s">
        <v>11106</v>
      </c>
      <c r="S4351">
        <v>1</v>
      </c>
    </row>
    <row r="4352" spans="1:19">
      <c r="A4352" t="s">
        <v>35</v>
      </c>
      <c r="B4352" t="s">
        <v>1620</v>
      </c>
      <c r="C4352">
        <f>"JWL1036XL"</f>
        <v>0</v>
      </c>
      <c r="D4352">
        <v>0</v>
      </c>
      <c r="E4352">
        <v>0</v>
      </c>
      <c r="F4352">
        <v>0</v>
      </c>
      <c r="G4352">
        <v>1</v>
      </c>
      <c r="H4352">
        <v>1</v>
      </c>
      <c r="I4352">
        <v>0</v>
      </c>
      <c r="J4352">
        <v>8</v>
      </c>
      <c r="K4352">
        <v>19.8</v>
      </c>
      <c r="L4352" s="2">
        <v>2</v>
      </c>
      <c r="M4352">
        <v>0</v>
      </c>
      <c r="N4352" s="2">
        <v>0</v>
      </c>
      <c r="O4352">
        <v>-4.6</v>
      </c>
      <c r="P4352" t="s">
        <v>11067</v>
      </c>
      <c r="Q4352">
        <v>130</v>
      </c>
      <c r="R4352" t="s">
        <v>10731</v>
      </c>
      <c r="S4352">
        <v>1</v>
      </c>
    </row>
    <row r="4353" spans="1:19">
      <c r="A4353" t="s">
        <v>35</v>
      </c>
      <c r="B4353" t="s">
        <v>389</v>
      </c>
      <c r="C4353">
        <f>"HD25XS"</f>
        <v>0</v>
      </c>
      <c r="D4353">
        <v>0</v>
      </c>
      <c r="E4353">
        <v>0</v>
      </c>
      <c r="F4353">
        <v>0</v>
      </c>
      <c r="G4353">
        <v>1</v>
      </c>
      <c r="H4353">
        <v>1</v>
      </c>
      <c r="I4353">
        <v>0</v>
      </c>
      <c r="J4353">
        <v>8</v>
      </c>
      <c r="K4353">
        <v>19.08</v>
      </c>
      <c r="L4353" s="2">
        <v>2</v>
      </c>
      <c r="M4353">
        <v>0</v>
      </c>
      <c r="N4353" s="2">
        <v>0</v>
      </c>
      <c r="O4353">
        <v>-4.6</v>
      </c>
      <c r="P4353" t="s">
        <v>11068</v>
      </c>
      <c r="Q4353">
        <v>477</v>
      </c>
      <c r="R4353" t="s">
        <v>10266</v>
      </c>
      <c r="S4353">
        <v>1</v>
      </c>
    </row>
    <row r="4354" spans="1:19">
      <c r="A4354" t="s">
        <v>35</v>
      </c>
      <c r="B4354" t="s">
        <v>1561</v>
      </c>
      <c r="C4354">
        <f>"SL2138"</f>
        <v>0</v>
      </c>
      <c r="D4354">
        <v>2</v>
      </c>
      <c r="E4354">
        <v>1</v>
      </c>
      <c r="F4354">
        <v>0</v>
      </c>
      <c r="G4354">
        <v>2</v>
      </c>
      <c r="H4354">
        <v>5</v>
      </c>
      <c r="I4354">
        <v>1.5</v>
      </c>
      <c r="J4354">
        <v>11</v>
      </c>
      <c r="K4354">
        <v>10.791</v>
      </c>
      <c r="L4354" s="2">
        <v>1</v>
      </c>
      <c r="M4354">
        <v>0</v>
      </c>
      <c r="N4354" s="2">
        <v>0</v>
      </c>
      <c r="O4354">
        <v>-4.699999999999999</v>
      </c>
      <c r="P4354" t="s">
        <v>11069</v>
      </c>
      <c r="Q4354">
        <v>196</v>
      </c>
      <c r="R4354" t="s">
        <v>10276</v>
      </c>
      <c r="S4354">
        <v>1</v>
      </c>
    </row>
    <row r="4355" spans="1:19">
      <c r="A4355" t="s">
        <v>35</v>
      </c>
      <c r="B4355" t="s">
        <v>8682</v>
      </c>
      <c r="C4355">
        <f>"1055MN"</f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4</v>
      </c>
      <c r="K4355">
        <v>57.24</v>
      </c>
      <c r="L4355" s="2">
        <v>14</v>
      </c>
      <c r="M4355">
        <v>0</v>
      </c>
      <c r="N4355" s="2">
        <v>0</v>
      </c>
      <c r="O4355">
        <v>-4.8</v>
      </c>
      <c r="P4355" t="s">
        <v>100</v>
      </c>
      <c r="Q4355">
        <v>0</v>
      </c>
      <c r="R4355" t="s">
        <v>145</v>
      </c>
      <c r="S4355">
        <v>0</v>
      </c>
    </row>
    <row r="4356" spans="1:19">
      <c r="A4356" t="s">
        <v>35</v>
      </c>
      <c r="B4356" t="s">
        <v>7103</v>
      </c>
      <c r="C4356">
        <f>"15423S"</f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4</v>
      </c>
      <c r="K4356">
        <v>24.66</v>
      </c>
      <c r="L4356" s="2">
        <v>6</v>
      </c>
      <c r="M4356">
        <v>0</v>
      </c>
      <c r="N4356" s="2">
        <v>0</v>
      </c>
      <c r="O4356">
        <v>-4.8</v>
      </c>
      <c r="P4356" t="s">
        <v>100</v>
      </c>
      <c r="Q4356">
        <v>0</v>
      </c>
      <c r="R4356" t="s">
        <v>145</v>
      </c>
      <c r="S4356">
        <v>0</v>
      </c>
    </row>
    <row r="4357" spans="1:19">
      <c r="A4357" t="s">
        <v>35</v>
      </c>
      <c r="B4357" t="s">
        <v>6265</v>
      </c>
      <c r="C4357">
        <f>"881300"</f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4</v>
      </c>
      <c r="K4357">
        <v>19.764</v>
      </c>
      <c r="L4357" s="2">
        <v>5</v>
      </c>
      <c r="M4357">
        <v>0</v>
      </c>
      <c r="N4357" s="2">
        <v>0</v>
      </c>
      <c r="O4357">
        <v>-4.8</v>
      </c>
      <c r="P4357" t="s">
        <v>100</v>
      </c>
      <c r="Q4357">
        <v>0</v>
      </c>
      <c r="R4357" t="s">
        <v>145</v>
      </c>
      <c r="S4357">
        <v>0</v>
      </c>
    </row>
    <row r="4358" spans="1:19">
      <c r="A4358" t="s">
        <v>35</v>
      </c>
      <c r="B4358" t="s">
        <v>6266</v>
      </c>
      <c r="C4358">
        <f>"882300"</f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4</v>
      </c>
      <c r="K4358">
        <v>0</v>
      </c>
      <c r="L4358" s="2">
        <v>0</v>
      </c>
      <c r="M4358">
        <v>0</v>
      </c>
      <c r="N4358" s="2">
        <v>0</v>
      </c>
      <c r="O4358">
        <v>-4.8</v>
      </c>
      <c r="P4358" t="s">
        <v>100</v>
      </c>
      <c r="Q4358">
        <v>0</v>
      </c>
      <c r="R4358" t="s">
        <v>145</v>
      </c>
      <c r="S4358">
        <v>0</v>
      </c>
    </row>
    <row r="4359" spans="1:19">
      <c r="A4359" t="s">
        <v>35</v>
      </c>
      <c r="B4359" t="s">
        <v>2281</v>
      </c>
      <c r="C4359">
        <f>"MCW142"</f>
        <v>0</v>
      </c>
      <c r="D4359">
        <v>0</v>
      </c>
      <c r="E4359">
        <v>2</v>
      </c>
      <c r="F4359">
        <v>0</v>
      </c>
      <c r="G4359">
        <v>0</v>
      </c>
      <c r="H4359">
        <v>2</v>
      </c>
      <c r="I4359">
        <v>0</v>
      </c>
      <c r="J4359">
        <v>4</v>
      </c>
      <c r="K4359">
        <v>2.484</v>
      </c>
      <c r="L4359" s="2">
        <v>1</v>
      </c>
      <c r="M4359">
        <v>0</v>
      </c>
      <c r="N4359" s="2">
        <v>0</v>
      </c>
      <c r="O4359">
        <v>-4.8</v>
      </c>
      <c r="P4359" t="s">
        <v>100</v>
      </c>
      <c r="Q4359">
        <v>0</v>
      </c>
      <c r="R4359" t="s">
        <v>145</v>
      </c>
      <c r="S4359">
        <v>0</v>
      </c>
    </row>
    <row r="4360" spans="1:19">
      <c r="A4360" t="s">
        <v>35</v>
      </c>
      <c r="B4360" t="s">
        <v>4964</v>
      </c>
      <c r="C4360">
        <f>"1823ARM"</f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4</v>
      </c>
      <c r="K4360">
        <v>22.86</v>
      </c>
      <c r="L4360" s="2">
        <v>6</v>
      </c>
      <c r="M4360">
        <v>0</v>
      </c>
      <c r="N4360" s="2">
        <v>0</v>
      </c>
      <c r="O4360">
        <v>-4.8</v>
      </c>
      <c r="P4360" t="s">
        <v>100</v>
      </c>
      <c r="Q4360">
        <v>0</v>
      </c>
      <c r="R4360" t="s">
        <v>145</v>
      </c>
      <c r="S4360">
        <v>0</v>
      </c>
    </row>
    <row r="4361" spans="1:19">
      <c r="A4361" t="s">
        <v>35</v>
      </c>
      <c r="B4361" t="s">
        <v>7124</v>
      </c>
      <c r="C4361">
        <f>"PT3117XS"</f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4</v>
      </c>
      <c r="K4361">
        <v>16.2</v>
      </c>
      <c r="L4361" s="2">
        <v>4</v>
      </c>
      <c r="M4361">
        <v>0</v>
      </c>
      <c r="N4361" s="2">
        <v>0</v>
      </c>
      <c r="O4361">
        <v>-4.8</v>
      </c>
      <c r="P4361" t="s">
        <v>100</v>
      </c>
      <c r="Q4361">
        <v>0</v>
      </c>
      <c r="R4361" t="s">
        <v>145</v>
      </c>
      <c r="S4361">
        <v>0</v>
      </c>
    </row>
    <row r="4362" spans="1:19">
      <c r="A4362" t="s">
        <v>35</v>
      </c>
      <c r="B4362" t="s">
        <v>5018</v>
      </c>
      <c r="C4362">
        <f>"1823MBL"</f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4</v>
      </c>
      <c r="K4362">
        <v>28.44</v>
      </c>
      <c r="L4362" s="2">
        <v>7</v>
      </c>
      <c r="M4362">
        <v>0</v>
      </c>
      <c r="N4362" s="2">
        <v>0</v>
      </c>
      <c r="O4362">
        <v>-4.8</v>
      </c>
      <c r="P4362" t="s">
        <v>100</v>
      </c>
      <c r="Q4362">
        <v>0</v>
      </c>
      <c r="R4362" t="s">
        <v>145</v>
      </c>
      <c r="S4362">
        <v>0</v>
      </c>
    </row>
    <row r="4363" spans="1:19">
      <c r="A4363" t="s">
        <v>35</v>
      </c>
      <c r="B4363" t="s">
        <v>7671</v>
      </c>
      <c r="C4363">
        <f>"KW6017S"</f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4</v>
      </c>
      <c r="K4363">
        <v>12</v>
      </c>
      <c r="L4363" s="2">
        <v>3</v>
      </c>
      <c r="M4363">
        <v>0</v>
      </c>
      <c r="N4363" s="2">
        <v>0</v>
      </c>
      <c r="O4363">
        <v>-4.8</v>
      </c>
      <c r="P4363" t="s">
        <v>100</v>
      </c>
      <c r="Q4363">
        <v>0</v>
      </c>
      <c r="R4363" t="s">
        <v>145</v>
      </c>
      <c r="S4363">
        <v>0</v>
      </c>
    </row>
    <row r="4364" spans="1:19">
      <c r="A4364" t="s">
        <v>35</v>
      </c>
      <c r="B4364" t="s">
        <v>4092</v>
      </c>
      <c r="C4364">
        <f>"1802S"</f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4</v>
      </c>
      <c r="K4364">
        <v>46.44</v>
      </c>
      <c r="L4364" s="2">
        <v>12</v>
      </c>
      <c r="M4364">
        <v>0</v>
      </c>
      <c r="N4364" s="2">
        <v>0</v>
      </c>
      <c r="O4364">
        <v>-4.8</v>
      </c>
      <c r="P4364" t="s">
        <v>100</v>
      </c>
      <c r="Q4364">
        <v>0</v>
      </c>
      <c r="R4364" t="s">
        <v>145</v>
      </c>
      <c r="S4364">
        <v>0</v>
      </c>
    </row>
    <row r="4365" spans="1:19">
      <c r="A4365" t="s">
        <v>35</v>
      </c>
      <c r="B4365" t="s">
        <v>7106</v>
      </c>
      <c r="C4365">
        <f>"15423XL"</f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4</v>
      </c>
      <c r="K4365">
        <v>27.54</v>
      </c>
      <c r="L4365" s="2">
        <v>7</v>
      </c>
      <c r="M4365">
        <v>0</v>
      </c>
      <c r="N4365" s="2">
        <v>0</v>
      </c>
      <c r="O4365">
        <v>-4.8</v>
      </c>
      <c r="P4365" t="s">
        <v>100</v>
      </c>
      <c r="Q4365">
        <v>0</v>
      </c>
      <c r="R4365" t="s">
        <v>145</v>
      </c>
      <c r="S4365">
        <v>0</v>
      </c>
    </row>
    <row r="4366" spans="1:19">
      <c r="A4366" t="s">
        <v>35</v>
      </c>
      <c r="B4366" t="s">
        <v>6613</v>
      </c>
      <c r="C4366">
        <f>"AZUL"</f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4</v>
      </c>
      <c r="K4366">
        <v>2.7</v>
      </c>
      <c r="L4366" s="2">
        <v>1</v>
      </c>
      <c r="M4366">
        <v>0</v>
      </c>
      <c r="N4366" s="2">
        <v>0</v>
      </c>
      <c r="O4366">
        <v>-4.8</v>
      </c>
      <c r="P4366" t="s">
        <v>100</v>
      </c>
      <c r="Q4366">
        <v>0</v>
      </c>
      <c r="R4366" t="s">
        <v>145</v>
      </c>
      <c r="S4366">
        <v>0</v>
      </c>
    </row>
    <row r="4367" spans="1:19">
      <c r="A4367" t="s">
        <v>35</v>
      </c>
      <c r="B4367" t="s">
        <v>5218</v>
      </c>
      <c r="C4367">
        <f>"TC0028AZ"</f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4</v>
      </c>
      <c r="K4367">
        <v>3.924</v>
      </c>
      <c r="L4367" s="2">
        <v>1</v>
      </c>
      <c r="M4367">
        <v>0</v>
      </c>
      <c r="N4367" s="2">
        <v>0</v>
      </c>
      <c r="O4367">
        <v>-4.8</v>
      </c>
      <c r="P4367" t="s">
        <v>100</v>
      </c>
      <c r="Q4367">
        <v>0</v>
      </c>
      <c r="R4367" t="s">
        <v>145</v>
      </c>
      <c r="S4367">
        <v>0</v>
      </c>
    </row>
    <row r="4368" spans="1:19">
      <c r="A4368" t="s">
        <v>35</v>
      </c>
      <c r="B4368" t="s">
        <v>8620</v>
      </c>
      <c r="C4368">
        <f>"WD310368"</f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4</v>
      </c>
      <c r="K4368">
        <v>4.86</v>
      </c>
      <c r="L4368" s="2">
        <v>1</v>
      </c>
      <c r="M4368">
        <v>0</v>
      </c>
      <c r="N4368" s="2">
        <v>0</v>
      </c>
      <c r="O4368">
        <v>-4.8</v>
      </c>
      <c r="P4368" t="s">
        <v>100</v>
      </c>
      <c r="Q4368">
        <v>0</v>
      </c>
      <c r="R4368" t="s">
        <v>145</v>
      </c>
      <c r="S4368">
        <v>0</v>
      </c>
    </row>
    <row r="4369" spans="1:19">
      <c r="A4369" t="s">
        <v>35</v>
      </c>
      <c r="B4369" t="s">
        <v>2365</v>
      </c>
      <c r="C4369">
        <f>"W0057"</f>
        <v>0</v>
      </c>
      <c r="D4369">
        <v>1</v>
      </c>
      <c r="E4369">
        <v>0</v>
      </c>
      <c r="F4369">
        <v>0</v>
      </c>
      <c r="G4369">
        <v>0</v>
      </c>
      <c r="H4369">
        <v>1</v>
      </c>
      <c r="I4369">
        <v>0</v>
      </c>
      <c r="J4369">
        <v>4</v>
      </c>
      <c r="K4369">
        <v>9</v>
      </c>
      <c r="L4369" s="2">
        <v>2</v>
      </c>
      <c r="M4369">
        <v>0</v>
      </c>
      <c r="N4369" s="2">
        <v>0</v>
      </c>
      <c r="O4369">
        <v>-4.8</v>
      </c>
      <c r="P4369" t="s">
        <v>100</v>
      </c>
      <c r="Q4369">
        <v>0</v>
      </c>
      <c r="R4369" t="s">
        <v>145</v>
      </c>
      <c r="S4369">
        <v>0</v>
      </c>
    </row>
    <row r="4370" spans="1:19">
      <c r="A4370" t="s">
        <v>35</v>
      </c>
      <c r="B4370" t="s">
        <v>1959</v>
      </c>
      <c r="C4370">
        <f>"3103A"</f>
        <v>0</v>
      </c>
      <c r="D4370">
        <v>4</v>
      </c>
      <c r="E4370">
        <v>0</v>
      </c>
      <c r="F4370">
        <v>0</v>
      </c>
      <c r="G4370">
        <v>0</v>
      </c>
      <c r="H4370">
        <v>4</v>
      </c>
      <c r="I4370">
        <v>0</v>
      </c>
      <c r="J4370">
        <v>4</v>
      </c>
      <c r="K4370">
        <v>32.06</v>
      </c>
      <c r="L4370" s="2">
        <v>8</v>
      </c>
      <c r="M4370">
        <v>0</v>
      </c>
      <c r="N4370" s="2">
        <v>0</v>
      </c>
      <c r="O4370">
        <v>-4.8</v>
      </c>
      <c r="P4370" t="s">
        <v>100</v>
      </c>
      <c r="Q4370">
        <v>0</v>
      </c>
      <c r="R4370" t="s">
        <v>145</v>
      </c>
      <c r="S4370">
        <v>0</v>
      </c>
    </row>
    <row r="4371" spans="1:19">
      <c r="A4371" t="s">
        <v>35</v>
      </c>
      <c r="B4371" t="s">
        <v>7195</v>
      </c>
      <c r="C4371">
        <f>"LS286R"</f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4</v>
      </c>
      <c r="K4371">
        <v>10.764</v>
      </c>
      <c r="L4371" s="2">
        <v>3</v>
      </c>
      <c r="M4371">
        <v>0</v>
      </c>
      <c r="N4371" s="2">
        <v>0</v>
      </c>
      <c r="O4371">
        <v>-4.8</v>
      </c>
      <c r="P4371" t="s">
        <v>100</v>
      </c>
      <c r="Q4371">
        <v>0</v>
      </c>
      <c r="R4371" t="s">
        <v>145</v>
      </c>
      <c r="S4371">
        <v>0</v>
      </c>
    </row>
    <row r="4372" spans="1:19">
      <c r="A4372" t="s">
        <v>35</v>
      </c>
      <c r="B4372" t="s">
        <v>2346</v>
      </c>
      <c r="C4372">
        <f>"CT1261"</f>
        <v>0</v>
      </c>
      <c r="D4372">
        <v>0</v>
      </c>
      <c r="E4372">
        <v>0</v>
      </c>
      <c r="F4372">
        <v>1</v>
      </c>
      <c r="G4372">
        <v>0</v>
      </c>
      <c r="H4372">
        <v>1</v>
      </c>
      <c r="I4372">
        <v>0</v>
      </c>
      <c r="J4372">
        <v>4</v>
      </c>
      <c r="K4372">
        <v>4.284</v>
      </c>
      <c r="L4372" s="2">
        <v>1</v>
      </c>
      <c r="M4372">
        <v>0</v>
      </c>
      <c r="N4372" s="2">
        <v>0</v>
      </c>
      <c r="O4372">
        <v>-4.8</v>
      </c>
      <c r="P4372" t="s">
        <v>100</v>
      </c>
      <c r="Q4372">
        <v>0</v>
      </c>
      <c r="R4372" t="s">
        <v>145</v>
      </c>
      <c r="S4372">
        <v>0</v>
      </c>
    </row>
    <row r="4373" spans="1:19">
      <c r="A4373" t="s">
        <v>35</v>
      </c>
      <c r="B4373" t="s">
        <v>5383</v>
      </c>
      <c r="C4373">
        <f>"3103AM"</f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4</v>
      </c>
      <c r="K4373">
        <v>30.772</v>
      </c>
      <c r="L4373" s="2">
        <v>8</v>
      </c>
      <c r="M4373">
        <v>0</v>
      </c>
      <c r="N4373" s="2">
        <v>0</v>
      </c>
      <c r="O4373">
        <v>-4.8</v>
      </c>
      <c r="P4373" t="s">
        <v>100</v>
      </c>
      <c r="Q4373">
        <v>0</v>
      </c>
      <c r="R4373" t="s">
        <v>145</v>
      </c>
      <c r="S4373">
        <v>0</v>
      </c>
    </row>
    <row r="4374" spans="1:19">
      <c r="A4374" t="s">
        <v>35</v>
      </c>
      <c r="B4374" t="s">
        <v>5865</v>
      </c>
      <c r="C4374">
        <f>"ER001L"</f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4</v>
      </c>
      <c r="K4374">
        <v>10.764</v>
      </c>
      <c r="L4374" s="2">
        <v>3</v>
      </c>
      <c r="M4374">
        <v>0</v>
      </c>
      <c r="N4374" s="2">
        <v>0</v>
      </c>
      <c r="O4374">
        <v>-4.8</v>
      </c>
      <c r="P4374" t="s">
        <v>100</v>
      </c>
      <c r="Q4374">
        <v>0</v>
      </c>
      <c r="R4374" t="s">
        <v>145</v>
      </c>
      <c r="S4374">
        <v>0</v>
      </c>
    </row>
    <row r="4375" spans="1:19">
      <c r="A4375" t="s">
        <v>35</v>
      </c>
      <c r="B4375" t="s">
        <v>2399</v>
      </c>
      <c r="C4375">
        <f>"ER001"</f>
        <v>0</v>
      </c>
      <c r="D4375">
        <v>1</v>
      </c>
      <c r="E4375">
        <v>0</v>
      </c>
      <c r="F4375">
        <v>0</v>
      </c>
      <c r="G4375">
        <v>0</v>
      </c>
      <c r="H4375">
        <v>1</v>
      </c>
      <c r="I4375">
        <v>0</v>
      </c>
      <c r="J4375">
        <v>4</v>
      </c>
      <c r="K4375">
        <v>7.709</v>
      </c>
      <c r="L4375" s="2">
        <v>2</v>
      </c>
      <c r="M4375">
        <v>0</v>
      </c>
      <c r="N4375" s="2">
        <v>0</v>
      </c>
      <c r="O4375">
        <v>-4.8</v>
      </c>
      <c r="P4375" t="s">
        <v>100</v>
      </c>
      <c r="Q4375">
        <v>0</v>
      </c>
      <c r="R4375" t="s">
        <v>145</v>
      </c>
      <c r="S4375">
        <v>0</v>
      </c>
    </row>
    <row r="4376" spans="1:19">
      <c r="A4376" t="s">
        <v>35</v>
      </c>
      <c r="B4376" t="s">
        <v>5532</v>
      </c>
      <c r="C4376">
        <f>"KF8306"</f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4</v>
      </c>
      <c r="K4376">
        <v>22.372</v>
      </c>
      <c r="L4376" s="2">
        <v>6</v>
      </c>
      <c r="M4376">
        <v>0</v>
      </c>
      <c r="N4376" s="2">
        <v>0</v>
      </c>
      <c r="O4376">
        <v>-4.8</v>
      </c>
      <c r="P4376" t="s">
        <v>100</v>
      </c>
      <c r="Q4376">
        <v>0</v>
      </c>
      <c r="R4376" t="s">
        <v>145</v>
      </c>
      <c r="S4376">
        <v>0</v>
      </c>
    </row>
    <row r="4377" spans="1:19">
      <c r="A4377" t="s">
        <v>35</v>
      </c>
      <c r="B4377" t="s">
        <v>3819</v>
      </c>
      <c r="C4377">
        <f>"8610"</f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4</v>
      </c>
      <c r="K4377">
        <v>2.808</v>
      </c>
      <c r="L4377" s="2">
        <v>1</v>
      </c>
      <c r="M4377">
        <v>0</v>
      </c>
      <c r="N4377" s="2">
        <v>0</v>
      </c>
      <c r="O4377">
        <v>-4.8</v>
      </c>
      <c r="P4377" t="s">
        <v>100</v>
      </c>
      <c r="Q4377">
        <v>0</v>
      </c>
      <c r="R4377" t="s">
        <v>145</v>
      </c>
      <c r="S4377">
        <v>0</v>
      </c>
    </row>
    <row r="4378" spans="1:19">
      <c r="A4378" t="s">
        <v>35</v>
      </c>
      <c r="B4378" t="s">
        <v>2518</v>
      </c>
      <c r="C4378">
        <f>"LS245AZ"</f>
        <v>0</v>
      </c>
      <c r="D4378">
        <v>0</v>
      </c>
      <c r="E4378">
        <v>1</v>
      </c>
      <c r="F4378">
        <v>0</v>
      </c>
      <c r="G4378">
        <v>0</v>
      </c>
      <c r="H4378">
        <v>1</v>
      </c>
      <c r="I4378">
        <v>0</v>
      </c>
      <c r="J4378">
        <v>4</v>
      </c>
      <c r="K4378">
        <v>4.776</v>
      </c>
      <c r="L4378" s="2">
        <v>1</v>
      </c>
      <c r="M4378">
        <v>0</v>
      </c>
      <c r="N4378" s="2">
        <v>0</v>
      </c>
      <c r="O4378">
        <v>-4.8</v>
      </c>
      <c r="P4378" t="s">
        <v>100</v>
      </c>
      <c r="Q4378">
        <v>0</v>
      </c>
      <c r="R4378" t="s">
        <v>145</v>
      </c>
      <c r="S4378">
        <v>0</v>
      </c>
    </row>
    <row r="4379" spans="1:19">
      <c r="A4379" t="s">
        <v>35</v>
      </c>
      <c r="B4379" t="s">
        <v>3824</v>
      </c>
      <c r="C4379">
        <f>"WD05330R"</f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4</v>
      </c>
      <c r="K4379">
        <v>21.24</v>
      </c>
      <c r="L4379" s="2">
        <v>5</v>
      </c>
      <c r="M4379">
        <v>0</v>
      </c>
      <c r="N4379" s="2">
        <v>0</v>
      </c>
      <c r="O4379">
        <v>-4.8</v>
      </c>
      <c r="P4379" t="s">
        <v>100</v>
      </c>
      <c r="Q4379">
        <v>0</v>
      </c>
      <c r="R4379" t="s">
        <v>145</v>
      </c>
      <c r="S4379">
        <v>0</v>
      </c>
    </row>
    <row r="4380" spans="1:19">
      <c r="A4380" t="s">
        <v>35</v>
      </c>
      <c r="B4380" t="s">
        <v>5350</v>
      </c>
      <c r="C4380">
        <f>"VNV2"</f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4</v>
      </c>
      <c r="K4380">
        <v>0</v>
      </c>
      <c r="L4380" s="2">
        <v>0</v>
      </c>
      <c r="M4380">
        <v>0</v>
      </c>
      <c r="N4380" s="2">
        <v>0</v>
      </c>
      <c r="O4380">
        <v>-4.8</v>
      </c>
      <c r="P4380" t="s">
        <v>100</v>
      </c>
      <c r="Q4380">
        <v>0</v>
      </c>
      <c r="R4380" t="s">
        <v>145</v>
      </c>
      <c r="S4380">
        <v>0</v>
      </c>
    </row>
    <row r="4381" spans="1:19">
      <c r="A4381" t="s">
        <v>35</v>
      </c>
      <c r="B4381" t="s">
        <v>7019</v>
      </c>
      <c r="C4381">
        <f>"15448L"</f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4</v>
      </c>
      <c r="K4381">
        <v>30.42</v>
      </c>
      <c r="L4381" s="2">
        <v>8</v>
      </c>
      <c r="M4381">
        <v>0</v>
      </c>
      <c r="N4381" s="2">
        <v>0</v>
      </c>
      <c r="O4381">
        <v>-4.8</v>
      </c>
      <c r="P4381" t="s">
        <v>100</v>
      </c>
      <c r="Q4381">
        <v>0</v>
      </c>
      <c r="R4381" t="s">
        <v>145</v>
      </c>
      <c r="S4381">
        <v>0</v>
      </c>
    </row>
    <row r="4382" spans="1:19">
      <c r="A4382" t="s">
        <v>35</v>
      </c>
      <c r="B4382" t="s">
        <v>7014</v>
      </c>
      <c r="C4382">
        <f>"15448XS"</f>
        <v>0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4</v>
      </c>
      <c r="K4382">
        <v>27</v>
      </c>
      <c r="L4382" s="2">
        <v>7</v>
      </c>
      <c r="M4382">
        <v>0</v>
      </c>
      <c r="N4382" s="2">
        <v>0</v>
      </c>
      <c r="O4382">
        <v>-4.8</v>
      </c>
      <c r="P4382" t="s">
        <v>100</v>
      </c>
      <c r="Q4382">
        <v>0</v>
      </c>
      <c r="R4382" t="s">
        <v>145</v>
      </c>
      <c r="S4382">
        <v>0</v>
      </c>
    </row>
    <row r="4383" spans="1:19">
      <c r="A4383" t="s">
        <v>35</v>
      </c>
      <c r="B4383" t="s">
        <v>8364</v>
      </c>
      <c r="C4383">
        <f>"1050SN"</f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4</v>
      </c>
      <c r="K4383">
        <v>39.24</v>
      </c>
      <c r="L4383" s="2">
        <v>10</v>
      </c>
      <c r="M4383">
        <v>0</v>
      </c>
      <c r="N4383" s="2">
        <v>0</v>
      </c>
      <c r="O4383">
        <v>-4.8</v>
      </c>
      <c r="P4383" t="s">
        <v>100</v>
      </c>
      <c r="Q4383">
        <v>0</v>
      </c>
      <c r="R4383" t="s">
        <v>145</v>
      </c>
      <c r="S4383">
        <v>0</v>
      </c>
    </row>
    <row r="4384" spans="1:19">
      <c r="A4384" t="s">
        <v>35</v>
      </c>
      <c r="B4384" t="s">
        <v>5200</v>
      </c>
      <c r="C4384">
        <f>"1840CMB"</f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4</v>
      </c>
      <c r="K4384">
        <v>0</v>
      </c>
      <c r="L4384" s="2">
        <v>0</v>
      </c>
      <c r="M4384">
        <v>0</v>
      </c>
      <c r="N4384" s="2">
        <v>0</v>
      </c>
      <c r="O4384">
        <v>-4.8</v>
      </c>
      <c r="P4384" t="s">
        <v>100</v>
      </c>
      <c r="Q4384">
        <v>0</v>
      </c>
      <c r="R4384" t="s">
        <v>145</v>
      </c>
      <c r="S4384">
        <v>0</v>
      </c>
    </row>
    <row r="4385" spans="1:19">
      <c r="A4385" t="s">
        <v>35</v>
      </c>
      <c r="B4385" t="s">
        <v>5162</v>
      </c>
      <c r="C4385">
        <f>"LV09092TPXL"</f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4</v>
      </c>
      <c r="K4385">
        <v>17.81</v>
      </c>
      <c r="L4385" s="2">
        <v>4</v>
      </c>
      <c r="M4385">
        <v>0</v>
      </c>
      <c r="N4385" s="2">
        <v>0</v>
      </c>
      <c r="O4385">
        <v>-4.8</v>
      </c>
      <c r="P4385" t="s">
        <v>100</v>
      </c>
      <c r="Q4385">
        <v>0</v>
      </c>
      <c r="R4385" t="s">
        <v>145</v>
      </c>
      <c r="S4385">
        <v>0</v>
      </c>
    </row>
    <row r="4386" spans="1:19">
      <c r="A4386" t="s">
        <v>35</v>
      </c>
      <c r="B4386" t="s">
        <v>8695</v>
      </c>
      <c r="C4386">
        <f>"073"</f>
        <v>0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4</v>
      </c>
      <c r="K4386">
        <v>221.04</v>
      </c>
      <c r="L4386" s="2">
        <v>55</v>
      </c>
      <c r="M4386">
        <v>0</v>
      </c>
      <c r="N4386" s="2">
        <v>0</v>
      </c>
      <c r="O4386">
        <v>-4.8</v>
      </c>
      <c r="P4386" t="s">
        <v>100</v>
      </c>
      <c r="Q4386">
        <v>0</v>
      </c>
      <c r="R4386" t="s">
        <v>145</v>
      </c>
      <c r="S4386">
        <v>0</v>
      </c>
    </row>
    <row r="4387" spans="1:19">
      <c r="A4387" t="s">
        <v>35</v>
      </c>
      <c r="B4387" t="s">
        <v>5190</v>
      </c>
      <c r="C4387">
        <f>"1812LSSILVER"</f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4</v>
      </c>
      <c r="K4387">
        <v>6.39</v>
      </c>
      <c r="L4387" s="2">
        <v>2</v>
      </c>
      <c r="M4387">
        <v>0</v>
      </c>
      <c r="N4387" s="2">
        <v>0</v>
      </c>
      <c r="O4387">
        <v>-4.8</v>
      </c>
      <c r="P4387" t="s">
        <v>100</v>
      </c>
      <c r="Q4387">
        <v>0</v>
      </c>
      <c r="R4387" t="s">
        <v>145</v>
      </c>
      <c r="S4387">
        <v>0</v>
      </c>
    </row>
    <row r="4388" spans="1:19">
      <c r="A4388" t="s">
        <v>35</v>
      </c>
      <c r="B4388" t="s">
        <v>2558</v>
      </c>
      <c r="C4388">
        <f>"W0052"</f>
        <v>0</v>
      </c>
      <c r="D4388">
        <v>0</v>
      </c>
      <c r="E4388">
        <v>1</v>
      </c>
      <c r="F4388">
        <v>0</v>
      </c>
      <c r="G4388">
        <v>0</v>
      </c>
      <c r="H4388">
        <v>1</v>
      </c>
      <c r="I4388">
        <v>0</v>
      </c>
      <c r="J4388">
        <v>4</v>
      </c>
      <c r="K4388">
        <v>13.68</v>
      </c>
      <c r="L4388" s="2">
        <v>3</v>
      </c>
      <c r="M4388">
        <v>0</v>
      </c>
      <c r="N4388" s="2">
        <v>0</v>
      </c>
      <c r="O4388">
        <v>-4.8</v>
      </c>
      <c r="P4388" t="s">
        <v>100</v>
      </c>
      <c r="Q4388">
        <v>0</v>
      </c>
      <c r="R4388" t="s">
        <v>145</v>
      </c>
      <c r="S4388">
        <v>0</v>
      </c>
    </row>
    <row r="4389" spans="1:19">
      <c r="A4389" t="s">
        <v>35</v>
      </c>
      <c r="B4389" t="s">
        <v>5188</v>
      </c>
      <c r="C4389">
        <f>"1840LLR"</f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4</v>
      </c>
      <c r="K4389">
        <v>0</v>
      </c>
      <c r="L4389" s="2">
        <v>0</v>
      </c>
      <c r="M4389">
        <v>0</v>
      </c>
      <c r="N4389" s="2">
        <v>0</v>
      </c>
      <c r="O4389">
        <v>-4.8</v>
      </c>
      <c r="P4389" t="s">
        <v>100</v>
      </c>
      <c r="Q4389">
        <v>0</v>
      </c>
      <c r="R4389" t="s">
        <v>145</v>
      </c>
      <c r="S4389">
        <v>0</v>
      </c>
    </row>
    <row r="4390" spans="1:19">
      <c r="A4390" t="s">
        <v>35</v>
      </c>
      <c r="B4390" t="s">
        <v>8681</v>
      </c>
      <c r="C4390">
        <f>"DN184"</f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4</v>
      </c>
      <c r="K4390">
        <v>7.164</v>
      </c>
      <c r="L4390" s="2">
        <v>2</v>
      </c>
      <c r="M4390">
        <v>0</v>
      </c>
      <c r="N4390" s="2">
        <v>0</v>
      </c>
      <c r="O4390">
        <v>-4.8</v>
      </c>
      <c r="P4390" t="s">
        <v>100</v>
      </c>
      <c r="Q4390">
        <v>0</v>
      </c>
      <c r="R4390" t="s">
        <v>145</v>
      </c>
      <c r="S4390">
        <v>0</v>
      </c>
    </row>
    <row r="4391" spans="1:19">
      <c r="A4391" t="s">
        <v>35</v>
      </c>
      <c r="B4391" t="s">
        <v>2377</v>
      </c>
      <c r="C4391">
        <f>"ER138"</f>
        <v>0</v>
      </c>
      <c r="D4391">
        <v>0</v>
      </c>
      <c r="E4391">
        <v>0</v>
      </c>
      <c r="F4391">
        <v>1</v>
      </c>
      <c r="G4391">
        <v>0</v>
      </c>
      <c r="H4391">
        <v>1</v>
      </c>
      <c r="I4391">
        <v>0</v>
      </c>
      <c r="J4391">
        <v>4</v>
      </c>
      <c r="K4391">
        <v>12.24</v>
      </c>
      <c r="L4391" s="2">
        <v>3</v>
      </c>
      <c r="M4391">
        <v>0</v>
      </c>
      <c r="N4391" s="2">
        <v>0</v>
      </c>
      <c r="O4391">
        <v>-4.8</v>
      </c>
      <c r="P4391" t="s">
        <v>100</v>
      </c>
      <c r="Q4391">
        <v>0</v>
      </c>
      <c r="R4391" t="s">
        <v>145</v>
      </c>
      <c r="S4391">
        <v>0</v>
      </c>
    </row>
    <row r="4392" spans="1:19">
      <c r="A4392" t="s">
        <v>35</v>
      </c>
      <c r="B4392" t="s">
        <v>7702</v>
      </c>
      <c r="C4392">
        <f>"FB6732XLV"</f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4</v>
      </c>
      <c r="K4392">
        <v>23.766</v>
      </c>
      <c r="L4392" s="2">
        <v>6</v>
      </c>
      <c r="M4392">
        <v>0</v>
      </c>
      <c r="N4392" s="2">
        <v>0</v>
      </c>
      <c r="O4392">
        <v>-4.8</v>
      </c>
      <c r="P4392" t="s">
        <v>100</v>
      </c>
      <c r="Q4392">
        <v>0</v>
      </c>
      <c r="R4392" t="s">
        <v>145</v>
      </c>
      <c r="S4392">
        <v>0</v>
      </c>
    </row>
    <row r="4393" spans="1:19">
      <c r="A4393" t="s">
        <v>35</v>
      </c>
      <c r="B4393" t="s">
        <v>9388</v>
      </c>
      <c r="C4393">
        <f>"LH100XSR"</f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4</v>
      </c>
      <c r="K4393">
        <v>16.02</v>
      </c>
      <c r="L4393" s="2">
        <v>4</v>
      </c>
      <c r="M4393">
        <v>0</v>
      </c>
      <c r="N4393" s="2">
        <v>0</v>
      </c>
      <c r="O4393">
        <v>-4.8</v>
      </c>
      <c r="P4393" t="s">
        <v>100</v>
      </c>
      <c r="Q4393">
        <v>0</v>
      </c>
      <c r="R4393" t="s">
        <v>145</v>
      </c>
      <c r="S4393">
        <v>0</v>
      </c>
    </row>
    <row r="4394" spans="1:19">
      <c r="A4394" t="s">
        <v>35</v>
      </c>
      <c r="B4394" t="s">
        <v>8295</v>
      </c>
      <c r="C4394">
        <f>"DB821VCL"</f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4</v>
      </c>
      <c r="K4394">
        <v>42.84</v>
      </c>
      <c r="L4394" s="2">
        <v>11</v>
      </c>
      <c r="M4394">
        <v>0</v>
      </c>
      <c r="N4394" s="2">
        <v>0</v>
      </c>
      <c r="O4394">
        <v>-4.8</v>
      </c>
      <c r="P4394" t="s">
        <v>100</v>
      </c>
      <c r="Q4394">
        <v>0</v>
      </c>
      <c r="R4394" t="s">
        <v>145</v>
      </c>
      <c r="S4394">
        <v>0</v>
      </c>
    </row>
    <row r="4395" spans="1:19">
      <c r="A4395" t="s">
        <v>35</v>
      </c>
      <c r="B4395" t="s">
        <v>6458</v>
      </c>
      <c r="C4395">
        <f>"DMWTXL"</f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4</v>
      </c>
      <c r="K4395">
        <v>3.96</v>
      </c>
      <c r="L4395" s="2">
        <v>1</v>
      </c>
      <c r="M4395">
        <v>0</v>
      </c>
      <c r="N4395" s="2">
        <v>0</v>
      </c>
      <c r="O4395">
        <v>-4.8</v>
      </c>
      <c r="P4395" t="s">
        <v>100</v>
      </c>
      <c r="Q4395">
        <v>0</v>
      </c>
      <c r="R4395" t="s">
        <v>145</v>
      </c>
      <c r="S4395">
        <v>0</v>
      </c>
    </row>
    <row r="4396" spans="1:19">
      <c r="A4396" t="s">
        <v>35</v>
      </c>
      <c r="B4396" t="s">
        <v>2433</v>
      </c>
      <c r="C4396">
        <f>"SDR118"</f>
        <v>0</v>
      </c>
      <c r="D4396">
        <v>1</v>
      </c>
      <c r="E4396">
        <v>0</v>
      </c>
      <c r="F4396">
        <v>0</v>
      </c>
      <c r="G4396">
        <v>0</v>
      </c>
      <c r="H4396">
        <v>1</v>
      </c>
      <c r="I4396">
        <v>0</v>
      </c>
      <c r="J4396">
        <v>4</v>
      </c>
      <c r="K4396">
        <v>16.2</v>
      </c>
      <c r="L4396" s="2">
        <v>4</v>
      </c>
      <c r="M4396">
        <v>0</v>
      </c>
      <c r="N4396" s="2">
        <v>0</v>
      </c>
      <c r="O4396">
        <v>-4.8</v>
      </c>
      <c r="P4396" t="s">
        <v>100</v>
      </c>
      <c r="Q4396">
        <v>0</v>
      </c>
      <c r="R4396" t="s">
        <v>145</v>
      </c>
      <c r="S4396">
        <v>0</v>
      </c>
    </row>
    <row r="4397" spans="1:19">
      <c r="A4397" t="s">
        <v>35</v>
      </c>
      <c r="B4397" t="s">
        <v>3252</v>
      </c>
      <c r="C4397">
        <f>"BO3059"</f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4</v>
      </c>
      <c r="K4397">
        <v>11.52</v>
      </c>
      <c r="L4397" s="2">
        <v>3</v>
      </c>
      <c r="M4397">
        <v>0</v>
      </c>
      <c r="N4397" s="2">
        <v>0</v>
      </c>
      <c r="O4397">
        <v>-4.8</v>
      </c>
      <c r="P4397" t="s">
        <v>100</v>
      </c>
      <c r="Q4397">
        <v>0</v>
      </c>
      <c r="R4397" t="s">
        <v>145</v>
      </c>
      <c r="S4397">
        <v>0</v>
      </c>
    </row>
    <row r="4398" spans="1:19">
      <c r="A4398" t="s">
        <v>35</v>
      </c>
      <c r="B4398" t="s">
        <v>5332</v>
      </c>
      <c r="C4398">
        <f>"3105LOVE"</f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4</v>
      </c>
      <c r="K4398">
        <v>50.372</v>
      </c>
      <c r="L4398" s="2">
        <v>13</v>
      </c>
      <c r="M4398">
        <v>0</v>
      </c>
      <c r="N4398" s="2">
        <v>0</v>
      </c>
      <c r="O4398">
        <v>-4.8</v>
      </c>
      <c r="P4398" t="s">
        <v>100</v>
      </c>
      <c r="Q4398">
        <v>0</v>
      </c>
      <c r="R4398" t="s">
        <v>145</v>
      </c>
      <c r="S4398">
        <v>0</v>
      </c>
    </row>
    <row r="4399" spans="1:19">
      <c r="A4399" t="s">
        <v>35</v>
      </c>
      <c r="B4399" t="s">
        <v>4685</v>
      </c>
      <c r="C4399">
        <f>"MH075AM"</f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4</v>
      </c>
      <c r="K4399">
        <v>27</v>
      </c>
      <c r="L4399" s="2">
        <v>7</v>
      </c>
      <c r="M4399">
        <v>0</v>
      </c>
      <c r="N4399" s="2">
        <v>0</v>
      </c>
      <c r="O4399">
        <v>-4.8</v>
      </c>
      <c r="P4399" t="s">
        <v>100</v>
      </c>
      <c r="Q4399">
        <v>0</v>
      </c>
      <c r="R4399" t="s">
        <v>145</v>
      </c>
      <c r="S4399">
        <v>0</v>
      </c>
    </row>
    <row r="4400" spans="1:19">
      <c r="A4400" t="s">
        <v>35</v>
      </c>
      <c r="B4400" t="s">
        <v>5321</v>
      </c>
      <c r="C4400">
        <f>"3105mixB"</f>
        <v>0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4</v>
      </c>
      <c r="K4400">
        <v>47.572</v>
      </c>
      <c r="L4400" s="2">
        <v>12</v>
      </c>
      <c r="M4400">
        <v>0</v>
      </c>
      <c r="N4400" s="2">
        <v>0</v>
      </c>
      <c r="O4400">
        <v>-4.8</v>
      </c>
      <c r="P4400" t="s">
        <v>100</v>
      </c>
      <c r="Q4400">
        <v>0</v>
      </c>
      <c r="R4400" t="s">
        <v>145</v>
      </c>
      <c r="S4400">
        <v>0</v>
      </c>
    </row>
    <row r="4401" spans="1:19">
      <c r="A4401" t="s">
        <v>35</v>
      </c>
      <c r="B4401" t="s">
        <v>5566</v>
      </c>
      <c r="C4401">
        <f>"KF8201"</f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4</v>
      </c>
      <c r="K4401">
        <v>490.2</v>
      </c>
      <c r="L4401" s="2">
        <v>123</v>
      </c>
      <c r="M4401">
        <v>0</v>
      </c>
      <c r="N4401" s="2">
        <v>0</v>
      </c>
      <c r="O4401">
        <v>-4.8</v>
      </c>
      <c r="P4401" t="s">
        <v>100</v>
      </c>
      <c r="Q4401">
        <v>0</v>
      </c>
      <c r="R4401" t="s">
        <v>145</v>
      </c>
      <c r="S4401">
        <v>0</v>
      </c>
    </row>
    <row r="4402" spans="1:19">
      <c r="A4402" t="s">
        <v>35</v>
      </c>
      <c r="B4402" t="s">
        <v>2733</v>
      </c>
      <c r="C4402">
        <f>"MI1ROS"</f>
        <v>0</v>
      </c>
      <c r="D4402">
        <v>1</v>
      </c>
      <c r="E4402">
        <v>0</v>
      </c>
      <c r="F4402">
        <v>0</v>
      </c>
      <c r="G4402">
        <v>0</v>
      </c>
      <c r="H4402">
        <v>1</v>
      </c>
      <c r="I4402">
        <v>0</v>
      </c>
      <c r="J4402">
        <v>4</v>
      </c>
      <c r="K4402">
        <v>8.1</v>
      </c>
      <c r="L4402" s="2">
        <v>2</v>
      </c>
      <c r="M4402">
        <v>0</v>
      </c>
      <c r="N4402" s="2">
        <v>0</v>
      </c>
      <c r="O4402">
        <v>-4.8</v>
      </c>
      <c r="P4402" t="s">
        <v>100</v>
      </c>
      <c r="Q4402">
        <v>0</v>
      </c>
      <c r="R4402" t="s">
        <v>145</v>
      </c>
      <c r="S4402">
        <v>0</v>
      </c>
    </row>
    <row r="4403" spans="1:19">
      <c r="A4403" t="s">
        <v>35</v>
      </c>
      <c r="B4403" t="s">
        <v>2697</v>
      </c>
      <c r="C4403">
        <f>"BO3052AYU"</f>
        <v>0</v>
      </c>
      <c r="D4403">
        <v>0</v>
      </c>
      <c r="E4403">
        <v>0</v>
      </c>
      <c r="F4403">
        <v>1</v>
      </c>
      <c r="G4403">
        <v>0</v>
      </c>
      <c r="H4403">
        <v>1</v>
      </c>
      <c r="I4403">
        <v>0</v>
      </c>
      <c r="J4403">
        <v>4</v>
      </c>
      <c r="K4403">
        <v>3.42</v>
      </c>
      <c r="L4403" s="2">
        <v>1</v>
      </c>
      <c r="M4403">
        <v>0</v>
      </c>
      <c r="N4403" s="2">
        <v>0</v>
      </c>
      <c r="O4403">
        <v>-4.8</v>
      </c>
      <c r="P4403" t="s">
        <v>100</v>
      </c>
      <c r="Q4403">
        <v>0</v>
      </c>
      <c r="R4403" t="s">
        <v>145</v>
      </c>
      <c r="S4403">
        <v>0</v>
      </c>
    </row>
    <row r="4404" spans="1:19">
      <c r="A4404" t="s">
        <v>35</v>
      </c>
      <c r="B4404" t="s">
        <v>2636</v>
      </c>
      <c r="C4404">
        <f>"BO3052AGA"</f>
        <v>0</v>
      </c>
      <c r="D4404">
        <v>0</v>
      </c>
      <c r="E4404">
        <v>1</v>
      </c>
      <c r="F4404">
        <v>0</v>
      </c>
      <c r="G4404">
        <v>0</v>
      </c>
      <c r="H4404">
        <v>1</v>
      </c>
      <c r="I4404">
        <v>0</v>
      </c>
      <c r="J4404">
        <v>4</v>
      </c>
      <c r="K4404">
        <v>3.42</v>
      </c>
      <c r="L4404" s="2">
        <v>1</v>
      </c>
      <c r="M4404">
        <v>0</v>
      </c>
      <c r="N4404" s="2">
        <v>0</v>
      </c>
      <c r="O4404">
        <v>-4.8</v>
      </c>
      <c r="P4404" t="s">
        <v>100</v>
      </c>
      <c r="Q4404">
        <v>0</v>
      </c>
      <c r="R4404" t="s">
        <v>145</v>
      </c>
      <c r="S4404">
        <v>0</v>
      </c>
    </row>
    <row r="4405" spans="1:19">
      <c r="A4405" t="s">
        <v>35</v>
      </c>
      <c r="B4405" t="s">
        <v>9484</v>
      </c>
      <c r="C4405">
        <f>"JW9026RJ"</f>
        <v>0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4</v>
      </c>
      <c r="K4405">
        <v>0</v>
      </c>
      <c r="L4405" s="2">
        <v>0</v>
      </c>
      <c r="M4405">
        <v>0</v>
      </c>
      <c r="N4405" s="2">
        <v>0</v>
      </c>
      <c r="O4405">
        <v>-4.8</v>
      </c>
      <c r="P4405" t="s">
        <v>100</v>
      </c>
      <c r="Q4405">
        <v>0</v>
      </c>
      <c r="R4405" t="s">
        <v>145</v>
      </c>
      <c r="S4405">
        <v>0</v>
      </c>
    </row>
    <row r="4406" spans="1:19">
      <c r="A4406" t="s">
        <v>35</v>
      </c>
      <c r="B4406" t="s">
        <v>8089</v>
      </c>
      <c r="C4406">
        <f>"KLA13XXL"</f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4</v>
      </c>
      <c r="K4406">
        <v>16.38</v>
      </c>
      <c r="L4406" s="2">
        <v>4</v>
      </c>
      <c r="M4406">
        <v>0</v>
      </c>
      <c r="N4406" s="2">
        <v>0</v>
      </c>
      <c r="O4406">
        <v>-4.8</v>
      </c>
      <c r="P4406" t="s">
        <v>100</v>
      </c>
      <c r="Q4406">
        <v>0</v>
      </c>
      <c r="R4406" t="s">
        <v>145</v>
      </c>
      <c r="S4406">
        <v>0</v>
      </c>
    </row>
    <row r="4407" spans="1:19">
      <c r="A4407" t="s">
        <v>35</v>
      </c>
      <c r="B4407" t="s">
        <v>8091</v>
      </c>
      <c r="C4407">
        <f>"KLA13XL"</f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4</v>
      </c>
      <c r="K4407">
        <v>15.3</v>
      </c>
      <c r="L4407" s="2">
        <v>4</v>
      </c>
      <c r="M4407">
        <v>0</v>
      </c>
      <c r="N4407" s="2">
        <v>0</v>
      </c>
      <c r="O4407">
        <v>-4.8</v>
      </c>
      <c r="P4407" t="s">
        <v>100</v>
      </c>
      <c r="Q4407">
        <v>0</v>
      </c>
      <c r="R4407" t="s">
        <v>145</v>
      </c>
      <c r="S4407">
        <v>0</v>
      </c>
    </row>
    <row r="4408" spans="1:19">
      <c r="A4408" t="s">
        <v>35</v>
      </c>
      <c r="B4408" t="s">
        <v>2407</v>
      </c>
      <c r="C4408">
        <f>"PS1018"</f>
        <v>0</v>
      </c>
      <c r="D4408">
        <v>1</v>
      </c>
      <c r="E4408">
        <v>0</v>
      </c>
      <c r="F4408">
        <v>0</v>
      </c>
      <c r="G4408">
        <v>0</v>
      </c>
      <c r="H4408">
        <v>1</v>
      </c>
      <c r="I4408">
        <v>0</v>
      </c>
      <c r="J4408">
        <v>4</v>
      </c>
      <c r="K4408">
        <v>9.683999999999999</v>
      </c>
      <c r="L4408" s="2">
        <v>2</v>
      </c>
      <c r="M4408">
        <v>0</v>
      </c>
      <c r="N4408" s="2">
        <v>0</v>
      </c>
      <c r="O4408">
        <v>-4.8</v>
      </c>
      <c r="P4408" t="s">
        <v>100</v>
      </c>
      <c r="Q4408">
        <v>0</v>
      </c>
      <c r="R4408" t="s">
        <v>145</v>
      </c>
      <c r="S4408">
        <v>0</v>
      </c>
    </row>
    <row r="4409" spans="1:19">
      <c r="A4409" t="s">
        <v>35</v>
      </c>
      <c r="B4409" t="s">
        <v>8116</v>
      </c>
      <c r="C4409">
        <f>"HD21XL"</f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4</v>
      </c>
      <c r="K4409">
        <v>16.38</v>
      </c>
      <c r="L4409" s="2">
        <v>4</v>
      </c>
      <c r="M4409">
        <v>0</v>
      </c>
      <c r="N4409" s="2">
        <v>0</v>
      </c>
      <c r="O4409">
        <v>-4.8</v>
      </c>
      <c r="P4409" t="s">
        <v>100</v>
      </c>
      <c r="Q4409">
        <v>0</v>
      </c>
      <c r="R4409" t="s">
        <v>145</v>
      </c>
      <c r="S4409">
        <v>0</v>
      </c>
    </row>
    <row r="4410" spans="1:19">
      <c r="A4410" t="s">
        <v>35</v>
      </c>
      <c r="B4410" t="s">
        <v>8148</v>
      </c>
      <c r="C4410">
        <f>"HD23L"</f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4</v>
      </c>
      <c r="K4410">
        <v>11.491</v>
      </c>
      <c r="L4410" s="2">
        <v>3</v>
      </c>
      <c r="M4410">
        <v>0</v>
      </c>
      <c r="N4410" s="2">
        <v>0</v>
      </c>
      <c r="O4410">
        <v>-4.8</v>
      </c>
      <c r="P4410" t="s">
        <v>100</v>
      </c>
      <c r="Q4410">
        <v>0</v>
      </c>
      <c r="R4410" t="s">
        <v>145</v>
      </c>
      <c r="S4410">
        <v>0</v>
      </c>
    </row>
    <row r="4411" spans="1:19">
      <c r="A4411" t="s">
        <v>35</v>
      </c>
      <c r="B4411" t="s">
        <v>2470</v>
      </c>
      <c r="C4411">
        <f>"TP50L"</f>
        <v>0</v>
      </c>
      <c r="D4411">
        <v>1</v>
      </c>
      <c r="E4411">
        <v>0</v>
      </c>
      <c r="F4411">
        <v>0</v>
      </c>
      <c r="G4411">
        <v>0</v>
      </c>
      <c r="H4411">
        <v>1</v>
      </c>
      <c r="I4411">
        <v>0</v>
      </c>
      <c r="J4411">
        <v>4</v>
      </c>
      <c r="K4411">
        <v>28.48</v>
      </c>
      <c r="L4411" s="2">
        <v>7</v>
      </c>
      <c r="M4411">
        <v>0</v>
      </c>
      <c r="N4411" s="2">
        <v>0</v>
      </c>
      <c r="O4411">
        <v>-4.8</v>
      </c>
      <c r="P4411" t="s">
        <v>100</v>
      </c>
      <c r="Q4411">
        <v>0</v>
      </c>
      <c r="R4411" t="s">
        <v>145</v>
      </c>
      <c r="S4411">
        <v>0</v>
      </c>
    </row>
    <row r="4412" spans="1:19">
      <c r="A4412" t="s">
        <v>35</v>
      </c>
      <c r="B4412" t="s">
        <v>4227</v>
      </c>
      <c r="C4412">
        <f>"FB6812XLR"</f>
        <v>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4</v>
      </c>
      <c r="K4412">
        <v>28.404</v>
      </c>
      <c r="L4412" s="2">
        <v>7</v>
      </c>
      <c r="M4412">
        <v>0</v>
      </c>
      <c r="N4412" s="2">
        <v>0</v>
      </c>
      <c r="O4412">
        <v>-4.8</v>
      </c>
      <c r="P4412" t="s">
        <v>100</v>
      </c>
      <c r="Q4412">
        <v>0</v>
      </c>
      <c r="R4412" t="s">
        <v>145</v>
      </c>
      <c r="S4412">
        <v>0</v>
      </c>
    </row>
    <row r="4413" spans="1:19">
      <c r="A4413" t="s">
        <v>35</v>
      </c>
      <c r="B4413" t="s">
        <v>4845</v>
      </c>
      <c r="C4413">
        <f>"WD904NE"</f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4</v>
      </c>
      <c r="K4413">
        <v>18.36</v>
      </c>
      <c r="L4413" s="2">
        <v>5</v>
      </c>
      <c r="M4413">
        <v>0</v>
      </c>
      <c r="N4413" s="2">
        <v>0</v>
      </c>
      <c r="O4413">
        <v>-4.8</v>
      </c>
      <c r="P4413" t="s">
        <v>100</v>
      </c>
      <c r="Q4413">
        <v>0</v>
      </c>
      <c r="R4413" t="s">
        <v>145</v>
      </c>
      <c r="S4413">
        <v>0</v>
      </c>
    </row>
    <row r="4414" spans="1:19">
      <c r="A4414" t="s">
        <v>35</v>
      </c>
      <c r="B4414" t="s">
        <v>7955</v>
      </c>
      <c r="C4414">
        <f>"ZJ325004S"</f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4</v>
      </c>
      <c r="K4414">
        <v>3.564</v>
      </c>
      <c r="L4414" s="2">
        <v>1</v>
      </c>
      <c r="M4414">
        <v>0</v>
      </c>
      <c r="N4414" s="2">
        <v>0</v>
      </c>
      <c r="O4414">
        <v>-4.8</v>
      </c>
      <c r="P4414" t="s">
        <v>100</v>
      </c>
      <c r="Q4414">
        <v>0</v>
      </c>
      <c r="R4414" t="s">
        <v>145</v>
      </c>
      <c r="S4414">
        <v>0</v>
      </c>
    </row>
    <row r="4415" spans="1:19">
      <c r="A4415" t="s">
        <v>35</v>
      </c>
      <c r="B4415" t="s">
        <v>7394</v>
      </c>
      <c r="C4415">
        <f>"YXU1S"</f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4</v>
      </c>
      <c r="K4415">
        <v>21.255</v>
      </c>
      <c r="L4415" s="2">
        <v>5</v>
      </c>
      <c r="M4415">
        <v>0</v>
      </c>
      <c r="N4415" s="2">
        <v>0</v>
      </c>
      <c r="O4415">
        <v>-4.8</v>
      </c>
      <c r="P4415" t="s">
        <v>100</v>
      </c>
      <c r="Q4415">
        <v>0</v>
      </c>
      <c r="R4415" t="s">
        <v>145</v>
      </c>
      <c r="S4415">
        <v>0</v>
      </c>
    </row>
    <row r="4416" spans="1:19">
      <c r="A4416" t="s">
        <v>35</v>
      </c>
      <c r="B4416" t="s">
        <v>7837</v>
      </c>
      <c r="C4416">
        <f>"FEP40VI"</f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4</v>
      </c>
      <c r="K4416">
        <v>16.2</v>
      </c>
      <c r="L4416" s="2">
        <v>4</v>
      </c>
      <c r="M4416">
        <v>0</v>
      </c>
      <c r="N4416" s="2">
        <v>0</v>
      </c>
      <c r="O4416">
        <v>-4.8</v>
      </c>
      <c r="P4416" t="s">
        <v>100</v>
      </c>
      <c r="Q4416">
        <v>0</v>
      </c>
      <c r="R4416" t="s">
        <v>145</v>
      </c>
      <c r="S4416">
        <v>0</v>
      </c>
    </row>
    <row r="4417" spans="1:19">
      <c r="A4417" t="s">
        <v>35</v>
      </c>
      <c r="B4417" t="s">
        <v>8026</v>
      </c>
      <c r="C4417">
        <f>"FEP120AD"</f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4</v>
      </c>
      <c r="K4417">
        <v>106.2</v>
      </c>
      <c r="L4417" s="2">
        <v>27</v>
      </c>
      <c r="M4417">
        <v>0</v>
      </c>
      <c r="N4417" s="2">
        <v>0</v>
      </c>
      <c r="O4417">
        <v>-4.8</v>
      </c>
      <c r="P4417" t="s">
        <v>100</v>
      </c>
      <c r="Q4417">
        <v>0</v>
      </c>
      <c r="R4417" t="s">
        <v>145</v>
      </c>
      <c r="S4417">
        <v>0</v>
      </c>
    </row>
    <row r="4418" spans="1:19">
      <c r="A4418" t="s">
        <v>35</v>
      </c>
      <c r="B4418" t="s">
        <v>4141</v>
      </c>
      <c r="C4418">
        <f>"FB681LV"</f>
        <v>0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4</v>
      </c>
      <c r="K4418">
        <v>23.39</v>
      </c>
      <c r="L4418" s="2">
        <v>6</v>
      </c>
      <c r="M4418">
        <v>0</v>
      </c>
      <c r="N4418" s="2">
        <v>0</v>
      </c>
      <c r="O4418">
        <v>-4.8</v>
      </c>
      <c r="P4418" t="s">
        <v>100</v>
      </c>
      <c r="Q4418">
        <v>0</v>
      </c>
      <c r="R4418" t="s">
        <v>145</v>
      </c>
      <c r="S4418">
        <v>0</v>
      </c>
    </row>
    <row r="4419" spans="1:19">
      <c r="A4419" t="s">
        <v>35</v>
      </c>
      <c r="B4419" t="s">
        <v>4126</v>
      </c>
      <c r="C4419">
        <f>"DW26M"</f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4</v>
      </c>
      <c r="K4419">
        <v>13.356</v>
      </c>
      <c r="L4419" s="2">
        <v>3</v>
      </c>
      <c r="M4419">
        <v>0</v>
      </c>
      <c r="N4419" s="2">
        <v>0</v>
      </c>
      <c r="O4419">
        <v>-4.8</v>
      </c>
      <c r="P4419" t="s">
        <v>100</v>
      </c>
      <c r="Q4419">
        <v>0</v>
      </c>
      <c r="R4419" t="s">
        <v>145</v>
      </c>
      <c r="S4419">
        <v>0</v>
      </c>
    </row>
    <row r="4420" spans="1:19">
      <c r="A4420" t="s">
        <v>35</v>
      </c>
      <c r="B4420" t="s">
        <v>7844</v>
      </c>
      <c r="C4420">
        <f>"CAB"</f>
        <v>0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4</v>
      </c>
      <c r="K4420">
        <v>29.766</v>
      </c>
      <c r="L4420" s="2">
        <v>7</v>
      </c>
      <c r="M4420">
        <v>0</v>
      </c>
      <c r="N4420" s="2">
        <v>0</v>
      </c>
      <c r="O4420">
        <v>-4.8</v>
      </c>
      <c r="P4420" t="s">
        <v>100</v>
      </c>
      <c r="Q4420">
        <v>0</v>
      </c>
      <c r="R4420" t="s">
        <v>145</v>
      </c>
      <c r="S4420">
        <v>0</v>
      </c>
    </row>
    <row r="4421" spans="1:19">
      <c r="A4421" t="s">
        <v>35</v>
      </c>
      <c r="B4421" t="s">
        <v>4949</v>
      </c>
      <c r="C4421">
        <f>"1761SCEL"</f>
        <v>0</v>
      </c>
      <c r="D4421">
        <v>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4</v>
      </c>
      <c r="K4421">
        <v>0</v>
      </c>
      <c r="L4421" s="2">
        <v>0</v>
      </c>
      <c r="M4421">
        <v>0</v>
      </c>
      <c r="N4421" s="2">
        <v>0</v>
      </c>
      <c r="O4421">
        <v>-4.8</v>
      </c>
      <c r="P4421" t="s">
        <v>100</v>
      </c>
      <c r="Q4421">
        <v>0</v>
      </c>
      <c r="R4421" t="s">
        <v>145</v>
      </c>
      <c r="S4421">
        <v>0</v>
      </c>
    </row>
    <row r="4422" spans="1:19">
      <c r="A4422" t="s">
        <v>35</v>
      </c>
      <c r="B4422" t="s">
        <v>7733</v>
      </c>
      <c r="C4422">
        <f>"FB6734XLV"</f>
        <v>0</v>
      </c>
      <c r="D4422">
        <v>0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4</v>
      </c>
      <c r="K4422">
        <v>24.48</v>
      </c>
      <c r="L4422" s="2">
        <v>6</v>
      </c>
      <c r="M4422">
        <v>0</v>
      </c>
      <c r="N4422" s="2">
        <v>0</v>
      </c>
      <c r="O4422">
        <v>-4.8</v>
      </c>
      <c r="P4422" t="s">
        <v>100</v>
      </c>
      <c r="Q4422">
        <v>0</v>
      </c>
      <c r="R4422" t="s">
        <v>145</v>
      </c>
      <c r="S4422">
        <v>0</v>
      </c>
    </row>
    <row r="4423" spans="1:19">
      <c r="A4423" t="s">
        <v>35</v>
      </c>
      <c r="B4423" t="s">
        <v>7422</v>
      </c>
      <c r="C4423">
        <f>"109976"</f>
        <v>0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4</v>
      </c>
      <c r="K4423">
        <v>8</v>
      </c>
      <c r="L4423" s="2">
        <v>2</v>
      </c>
      <c r="M4423">
        <v>0</v>
      </c>
      <c r="N4423" s="2">
        <v>0</v>
      </c>
      <c r="O4423">
        <v>-4.8</v>
      </c>
      <c r="P4423" t="s">
        <v>100</v>
      </c>
      <c r="Q4423">
        <v>0</v>
      </c>
      <c r="R4423" t="s">
        <v>145</v>
      </c>
      <c r="S4423">
        <v>0</v>
      </c>
    </row>
    <row r="4424" spans="1:19">
      <c r="A4424" t="s">
        <v>35</v>
      </c>
      <c r="B4424" t="s">
        <v>3599</v>
      </c>
      <c r="C4424">
        <f>"YK001LIM"</f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4</v>
      </c>
      <c r="K4424">
        <v>43.92</v>
      </c>
      <c r="L4424" s="2">
        <v>11</v>
      </c>
      <c r="M4424">
        <v>0</v>
      </c>
      <c r="N4424" s="2">
        <v>0</v>
      </c>
      <c r="O4424">
        <v>-4.8</v>
      </c>
      <c r="P4424" t="s">
        <v>100</v>
      </c>
      <c r="Q4424">
        <v>0</v>
      </c>
      <c r="R4424" t="s">
        <v>145</v>
      </c>
      <c r="S4424">
        <v>0</v>
      </c>
    </row>
    <row r="4425" spans="1:19">
      <c r="A4425" t="s">
        <v>35</v>
      </c>
      <c r="B4425" t="s">
        <v>4513</v>
      </c>
      <c r="C4425">
        <f>"1042EMI"</f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4</v>
      </c>
      <c r="K4425">
        <v>46.764</v>
      </c>
      <c r="L4425" s="2">
        <v>12</v>
      </c>
      <c r="M4425">
        <v>0</v>
      </c>
      <c r="N4425" s="2">
        <v>0</v>
      </c>
      <c r="O4425">
        <v>-4.8</v>
      </c>
      <c r="P4425" t="s">
        <v>100</v>
      </c>
      <c r="Q4425">
        <v>0</v>
      </c>
      <c r="R4425" t="s">
        <v>145</v>
      </c>
      <c r="S4425">
        <v>0</v>
      </c>
    </row>
    <row r="4426" spans="1:19">
      <c r="A4426" t="s">
        <v>35</v>
      </c>
      <c r="B4426" t="s">
        <v>3776</v>
      </c>
      <c r="C4426">
        <f>"CPX5"</f>
        <v>0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4</v>
      </c>
      <c r="K4426">
        <v>32.364</v>
      </c>
      <c r="L4426" s="2">
        <v>8</v>
      </c>
      <c r="M4426">
        <v>0</v>
      </c>
      <c r="N4426" s="2">
        <v>0</v>
      </c>
      <c r="O4426">
        <v>-4.8</v>
      </c>
      <c r="P4426" t="s">
        <v>100</v>
      </c>
      <c r="Q4426">
        <v>0</v>
      </c>
      <c r="R4426" t="s">
        <v>145</v>
      </c>
      <c r="S4426">
        <v>0</v>
      </c>
    </row>
    <row r="4427" spans="1:19">
      <c r="A4427" t="s">
        <v>35</v>
      </c>
      <c r="B4427" t="s">
        <v>3852</v>
      </c>
      <c r="C4427">
        <f>"PD50021"</f>
        <v>0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4</v>
      </c>
      <c r="K4427">
        <v>35.64</v>
      </c>
      <c r="L4427" s="2">
        <v>9</v>
      </c>
      <c r="M4427">
        <v>0</v>
      </c>
      <c r="N4427" s="2">
        <v>0</v>
      </c>
      <c r="O4427">
        <v>-4.8</v>
      </c>
      <c r="P4427" t="s">
        <v>100</v>
      </c>
      <c r="Q4427">
        <v>0</v>
      </c>
      <c r="R4427" t="s">
        <v>145</v>
      </c>
      <c r="S4427">
        <v>0</v>
      </c>
    </row>
    <row r="4428" spans="1:19">
      <c r="A4428" t="s">
        <v>35</v>
      </c>
      <c r="B4428" t="s">
        <v>2685</v>
      </c>
      <c r="C4428">
        <f>"970301"</f>
        <v>0</v>
      </c>
      <c r="D4428">
        <v>0</v>
      </c>
      <c r="E4428">
        <v>1</v>
      </c>
      <c r="F4428">
        <v>0</v>
      </c>
      <c r="G4428">
        <v>0</v>
      </c>
      <c r="H4428">
        <v>1</v>
      </c>
      <c r="I4428">
        <v>0</v>
      </c>
      <c r="J4428">
        <v>4</v>
      </c>
      <c r="K4428">
        <v>15.444</v>
      </c>
      <c r="L4428" s="2">
        <v>4</v>
      </c>
      <c r="M4428">
        <v>0</v>
      </c>
      <c r="N4428" s="2">
        <v>0</v>
      </c>
      <c r="O4428">
        <v>-4.8</v>
      </c>
      <c r="P4428" t="s">
        <v>100</v>
      </c>
      <c r="Q4428">
        <v>0</v>
      </c>
      <c r="R4428" t="s">
        <v>145</v>
      </c>
      <c r="S4428">
        <v>0</v>
      </c>
    </row>
    <row r="4429" spans="1:19">
      <c r="A4429" t="s">
        <v>35</v>
      </c>
      <c r="B4429" t="s">
        <v>4500</v>
      </c>
      <c r="C4429">
        <f>"TH6XL"</f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4</v>
      </c>
      <c r="K4429">
        <v>9.960000000000001</v>
      </c>
      <c r="L4429" s="2">
        <v>2</v>
      </c>
      <c r="M4429">
        <v>0</v>
      </c>
      <c r="N4429" s="2">
        <v>0</v>
      </c>
      <c r="O4429">
        <v>-4.8</v>
      </c>
      <c r="P4429" t="s">
        <v>100</v>
      </c>
      <c r="Q4429">
        <v>0</v>
      </c>
      <c r="R4429" t="s">
        <v>145</v>
      </c>
      <c r="S4429">
        <v>0</v>
      </c>
    </row>
    <row r="4430" spans="1:19">
      <c r="A4430" t="s">
        <v>35</v>
      </c>
      <c r="B4430" t="s">
        <v>4492</v>
      </c>
      <c r="C4430">
        <f>"thpxxs"</f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4</v>
      </c>
      <c r="K4430">
        <v>4</v>
      </c>
      <c r="L4430" s="2">
        <v>1</v>
      </c>
      <c r="M4430">
        <v>0</v>
      </c>
      <c r="N4430" s="2">
        <v>0</v>
      </c>
      <c r="O4430">
        <v>-4.8</v>
      </c>
      <c r="P4430" t="s">
        <v>100</v>
      </c>
      <c r="Q4430">
        <v>0</v>
      </c>
      <c r="R4430" t="s">
        <v>145</v>
      </c>
      <c r="S4430">
        <v>0</v>
      </c>
    </row>
    <row r="4431" spans="1:19">
      <c r="A4431" t="s">
        <v>35</v>
      </c>
      <c r="B4431" t="s">
        <v>3587</v>
      </c>
      <c r="C4431">
        <f>"YK001AP"</f>
        <v>0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4</v>
      </c>
      <c r="K4431">
        <v>43.38</v>
      </c>
      <c r="L4431" s="2">
        <v>11</v>
      </c>
      <c r="M4431">
        <v>0</v>
      </c>
      <c r="N4431" s="2">
        <v>0</v>
      </c>
      <c r="O4431">
        <v>-4.8</v>
      </c>
      <c r="P4431" t="s">
        <v>100</v>
      </c>
      <c r="Q4431">
        <v>0</v>
      </c>
      <c r="R4431" t="s">
        <v>145</v>
      </c>
      <c r="S4431">
        <v>0</v>
      </c>
    </row>
    <row r="4432" spans="1:19">
      <c r="A4432" t="s">
        <v>35</v>
      </c>
      <c r="B4432" t="s">
        <v>4501</v>
      </c>
      <c r="C4432">
        <f>"TH5XL"</f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4</v>
      </c>
      <c r="K4432">
        <v>9.960000000000001</v>
      </c>
      <c r="L4432" s="2">
        <v>2</v>
      </c>
      <c r="M4432">
        <v>0</v>
      </c>
      <c r="N4432" s="2">
        <v>0</v>
      </c>
      <c r="O4432">
        <v>-4.8</v>
      </c>
      <c r="P4432" t="s">
        <v>100</v>
      </c>
      <c r="Q4432">
        <v>0</v>
      </c>
      <c r="R4432" t="s">
        <v>145</v>
      </c>
      <c r="S4432">
        <v>0</v>
      </c>
    </row>
    <row r="4433" spans="1:19">
      <c r="A4433" t="s">
        <v>35</v>
      </c>
      <c r="B4433" t="s">
        <v>3586</v>
      </c>
      <c r="C4433">
        <f>"1880AM"</f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4</v>
      </c>
      <c r="K4433">
        <v>41.4</v>
      </c>
      <c r="L4433" s="2">
        <v>10</v>
      </c>
      <c r="M4433">
        <v>0</v>
      </c>
      <c r="N4433" s="2">
        <v>0</v>
      </c>
      <c r="O4433">
        <v>-4.8</v>
      </c>
      <c r="P4433" t="s">
        <v>100</v>
      </c>
      <c r="Q4433">
        <v>0</v>
      </c>
      <c r="R4433" t="s">
        <v>145</v>
      </c>
      <c r="S4433">
        <v>0</v>
      </c>
    </row>
    <row r="4434" spans="1:19">
      <c r="A4434" t="s">
        <v>35</v>
      </c>
      <c r="B4434" t="s">
        <v>7729</v>
      </c>
      <c r="C4434">
        <f>"B1922XLRO"</f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4</v>
      </c>
      <c r="K4434">
        <v>38.16</v>
      </c>
      <c r="L4434" s="2">
        <v>10</v>
      </c>
      <c r="M4434">
        <v>0</v>
      </c>
      <c r="N4434" s="2">
        <v>0</v>
      </c>
      <c r="O4434">
        <v>-4.8</v>
      </c>
      <c r="P4434" t="s">
        <v>100</v>
      </c>
      <c r="Q4434">
        <v>0</v>
      </c>
      <c r="R4434" t="s">
        <v>145</v>
      </c>
      <c r="S4434">
        <v>0</v>
      </c>
    </row>
    <row r="4435" spans="1:19">
      <c r="A4435" t="s">
        <v>35</v>
      </c>
      <c r="B4435" t="s">
        <v>7509</v>
      </c>
      <c r="C4435">
        <f>"6011S"</f>
        <v>0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4</v>
      </c>
      <c r="K4435">
        <v>56.7</v>
      </c>
      <c r="L4435" s="2">
        <v>14</v>
      </c>
      <c r="M4435">
        <v>0</v>
      </c>
      <c r="N4435" s="2">
        <v>0</v>
      </c>
      <c r="O4435">
        <v>-4.8</v>
      </c>
      <c r="P4435" t="s">
        <v>100</v>
      </c>
      <c r="Q4435">
        <v>0</v>
      </c>
      <c r="R4435" t="s">
        <v>145</v>
      </c>
      <c r="S4435">
        <v>0</v>
      </c>
    </row>
    <row r="4436" spans="1:19">
      <c r="A4436" t="s">
        <v>35</v>
      </c>
      <c r="B4436" t="s">
        <v>5606</v>
      </c>
      <c r="C4436">
        <f>"ER064"</f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4</v>
      </c>
      <c r="K4436">
        <v>7.164</v>
      </c>
      <c r="L4436" s="2">
        <v>2</v>
      </c>
      <c r="M4436">
        <v>0</v>
      </c>
      <c r="N4436" s="2">
        <v>0</v>
      </c>
      <c r="O4436">
        <v>-4.8</v>
      </c>
      <c r="P4436" t="s">
        <v>100</v>
      </c>
      <c r="Q4436">
        <v>0</v>
      </c>
      <c r="R4436" t="s">
        <v>145</v>
      </c>
      <c r="S4436">
        <v>0</v>
      </c>
    </row>
    <row r="4437" spans="1:19">
      <c r="A4437" t="s">
        <v>35</v>
      </c>
      <c r="B4437" t="s">
        <v>9786</v>
      </c>
      <c r="C4437">
        <f>"HP111S"</f>
        <v>0</v>
      </c>
      <c r="D4437">
        <v>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4</v>
      </c>
      <c r="K4437">
        <v>9.359999999999999</v>
      </c>
      <c r="L4437" s="2">
        <v>2</v>
      </c>
      <c r="M4437">
        <v>0</v>
      </c>
      <c r="N4437" s="2">
        <v>0</v>
      </c>
      <c r="O4437">
        <v>-4.8</v>
      </c>
      <c r="P4437" t="s">
        <v>100</v>
      </c>
      <c r="Q4437">
        <v>0</v>
      </c>
      <c r="R4437" t="s">
        <v>145</v>
      </c>
      <c r="S4437">
        <v>0</v>
      </c>
    </row>
    <row r="4438" spans="1:19">
      <c r="A4438" t="s">
        <v>35</v>
      </c>
      <c r="B4438" t="s">
        <v>9223</v>
      </c>
      <c r="C4438">
        <f>"BA046MAD"</f>
        <v>0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4</v>
      </c>
      <c r="K4438">
        <v>2.835</v>
      </c>
      <c r="L4438" s="2">
        <v>1</v>
      </c>
      <c r="M4438">
        <v>0</v>
      </c>
      <c r="N4438" s="2">
        <v>0</v>
      </c>
      <c r="O4438">
        <v>-4.8</v>
      </c>
      <c r="P4438" t="s">
        <v>100</v>
      </c>
      <c r="Q4438">
        <v>0</v>
      </c>
      <c r="R4438" t="s">
        <v>145</v>
      </c>
      <c r="S4438">
        <v>0</v>
      </c>
    </row>
    <row r="4439" spans="1:19">
      <c r="A4439" t="s">
        <v>35</v>
      </c>
      <c r="B4439" t="s">
        <v>1892</v>
      </c>
      <c r="C4439">
        <f>"19482"</f>
        <v>0</v>
      </c>
      <c r="D4439">
        <v>6</v>
      </c>
      <c r="E4439">
        <v>0</v>
      </c>
      <c r="F4439">
        <v>0</v>
      </c>
      <c r="G4439">
        <v>0</v>
      </c>
      <c r="H4439">
        <v>6</v>
      </c>
      <c r="I4439">
        <v>0</v>
      </c>
      <c r="J4439">
        <v>4</v>
      </c>
      <c r="K4439">
        <v>2.484</v>
      </c>
      <c r="L4439" s="2">
        <v>1</v>
      </c>
      <c r="M4439">
        <v>0</v>
      </c>
      <c r="N4439" s="2">
        <v>0</v>
      </c>
      <c r="O4439">
        <v>-4.8</v>
      </c>
      <c r="P4439" t="s">
        <v>100</v>
      </c>
      <c r="Q4439">
        <v>0</v>
      </c>
      <c r="R4439" t="s">
        <v>145</v>
      </c>
      <c r="S4439">
        <v>0</v>
      </c>
    </row>
    <row r="4440" spans="1:19">
      <c r="A4440" t="s">
        <v>35</v>
      </c>
      <c r="B4440" t="s">
        <v>4711</v>
      </c>
      <c r="C4440">
        <f>"LH1"</f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4</v>
      </c>
      <c r="K4440">
        <v>28.44</v>
      </c>
      <c r="L4440" s="2">
        <v>7</v>
      </c>
      <c r="M4440">
        <v>0</v>
      </c>
      <c r="N4440" s="2">
        <v>0</v>
      </c>
      <c r="O4440">
        <v>-4.8</v>
      </c>
      <c r="P4440" t="s">
        <v>100</v>
      </c>
      <c r="Q4440">
        <v>0</v>
      </c>
      <c r="R4440" t="s">
        <v>145</v>
      </c>
      <c r="S4440">
        <v>0</v>
      </c>
    </row>
    <row r="4441" spans="1:19">
      <c r="A4441" t="s">
        <v>35</v>
      </c>
      <c r="B4441" t="s">
        <v>8557</v>
      </c>
      <c r="C4441">
        <f>"HH011XS"</f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4</v>
      </c>
      <c r="K4441">
        <v>26.64</v>
      </c>
      <c r="L4441" s="2">
        <v>7</v>
      </c>
      <c r="M4441">
        <v>0</v>
      </c>
      <c r="N4441" s="2">
        <v>0</v>
      </c>
      <c r="O4441">
        <v>-4.8</v>
      </c>
      <c r="P4441" t="s">
        <v>100</v>
      </c>
      <c r="Q4441">
        <v>0</v>
      </c>
      <c r="R4441" t="s">
        <v>145</v>
      </c>
      <c r="S4441">
        <v>0</v>
      </c>
    </row>
    <row r="4442" spans="1:19">
      <c r="A4442" t="s">
        <v>35</v>
      </c>
      <c r="B4442" t="s">
        <v>9389</v>
      </c>
      <c r="C4442">
        <f>"LH100XSM"</f>
        <v>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4</v>
      </c>
      <c r="K4442">
        <v>16.02</v>
      </c>
      <c r="L4442" s="2">
        <v>4</v>
      </c>
      <c r="M4442">
        <v>0</v>
      </c>
      <c r="N4442" s="2">
        <v>0</v>
      </c>
      <c r="O4442">
        <v>-4.8</v>
      </c>
      <c r="P4442" t="s">
        <v>100</v>
      </c>
      <c r="Q4442">
        <v>0</v>
      </c>
      <c r="R4442" t="s">
        <v>145</v>
      </c>
      <c r="S4442">
        <v>0</v>
      </c>
    </row>
    <row r="4443" spans="1:19">
      <c r="A4443" t="s">
        <v>35</v>
      </c>
      <c r="B4443" t="s">
        <v>7695</v>
      </c>
      <c r="C4443">
        <f>"FB6735XLR"</f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4</v>
      </c>
      <c r="K4443">
        <v>28.084</v>
      </c>
      <c r="L4443" s="2">
        <v>7</v>
      </c>
      <c r="M4443">
        <v>0</v>
      </c>
      <c r="N4443" s="2">
        <v>0</v>
      </c>
      <c r="O4443">
        <v>-4.8</v>
      </c>
      <c r="P4443" t="s">
        <v>100</v>
      </c>
      <c r="Q4443">
        <v>0</v>
      </c>
      <c r="R4443" t="s">
        <v>145</v>
      </c>
      <c r="S4443">
        <v>0</v>
      </c>
    </row>
    <row r="4444" spans="1:19">
      <c r="A4444" t="s">
        <v>35</v>
      </c>
      <c r="B4444" t="s">
        <v>9784</v>
      </c>
      <c r="C4444">
        <f>"EK3002NE"</f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4</v>
      </c>
      <c r="K4444">
        <v>3.984</v>
      </c>
      <c r="L4444" s="2">
        <v>1</v>
      </c>
      <c r="M4444">
        <v>0</v>
      </c>
      <c r="N4444" s="2">
        <v>0</v>
      </c>
      <c r="O4444">
        <v>-4.8</v>
      </c>
      <c r="P4444" t="s">
        <v>100</v>
      </c>
      <c r="Q4444">
        <v>0</v>
      </c>
      <c r="R4444" t="s">
        <v>145</v>
      </c>
      <c r="S4444">
        <v>0</v>
      </c>
    </row>
    <row r="4445" spans="1:19">
      <c r="A4445" t="s">
        <v>35</v>
      </c>
      <c r="B4445" t="s">
        <v>3817</v>
      </c>
      <c r="C4445">
        <f>"8620"</f>
        <v>0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4</v>
      </c>
      <c r="K4445">
        <v>5.472</v>
      </c>
      <c r="L4445" s="2">
        <v>1</v>
      </c>
      <c r="M4445">
        <v>0</v>
      </c>
      <c r="N4445" s="2">
        <v>0</v>
      </c>
      <c r="O4445">
        <v>-4.8</v>
      </c>
      <c r="P4445" t="s">
        <v>100</v>
      </c>
      <c r="Q4445">
        <v>0</v>
      </c>
      <c r="R4445" t="s">
        <v>145</v>
      </c>
      <c r="S4445">
        <v>0</v>
      </c>
    </row>
    <row r="4446" spans="1:19">
      <c r="A4446" t="s">
        <v>35</v>
      </c>
      <c r="B4446" t="s">
        <v>2695</v>
      </c>
      <c r="C4446">
        <f>"BO3052ATA"</f>
        <v>0</v>
      </c>
      <c r="D4446">
        <v>0</v>
      </c>
      <c r="E4446">
        <v>0</v>
      </c>
      <c r="F4446">
        <v>1</v>
      </c>
      <c r="G4446">
        <v>0</v>
      </c>
      <c r="H4446">
        <v>1</v>
      </c>
      <c r="I4446">
        <v>0</v>
      </c>
      <c r="J4446">
        <v>4</v>
      </c>
      <c r="K4446">
        <v>3.42</v>
      </c>
      <c r="L4446" s="2">
        <v>1</v>
      </c>
      <c r="M4446">
        <v>0</v>
      </c>
      <c r="N4446" s="2">
        <v>0</v>
      </c>
      <c r="O4446">
        <v>-4.8</v>
      </c>
      <c r="P4446" t="s">
        <v>100</v>
      </c>
      <c r="Q4446">
        <v>0</v>
      </c>
      <c r="R4446" t="s">
        <v>145</v>
      </c>
      <c r="S4446">
        <v>0</v>
      </c>
    </row>
    <row r="4447" spans="1:19">
      <c r="A4447" t="s">
        <v>35</v>
      </c>
      <c r="B4447" t="s">
        <v>7016</v>
      </c>
      <c r="C4447">
        <f>"15448M"</f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4</v>
      </c>
      <c r="K4447">
        <v>29.52</v>
      </c>
      <c r="L4447" s="2">
        <v>7</v>
      </c>
      <c r="M4447">
        <v>0</v>
      </c>
      <c r="N4447" s="2">
        <v>0</v>
      </c>
      <c r="O4447">
        <v>-4.8</v>
      </c>
      <c r="P4447" t="s">
        <v>100</v>
      </c>
      <c r="Q4447">
        <v>0</v>
      </c>
      <c r="R4447" t="s">
        <v>145</v>
      </c>
      <c r="S4447">
        <v>0</v>
      </c>
    </row>
    <row r="4448" spans="1:19">
      <c r="A4448" t="s">
        <v>35</v>
      </c>
      <c r="B4448" t="s">
        <v>7018</v>
      </c>
      <c r="C4448">
        <f>"15448XL"</f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4</v>
      </c>
      <c r="K4448">
        <v>31.14</v>
      </c>
      <c r="L4448" s="2">
        <v>8</v>
      </c>
      <c r="M4448">
        <v>0</v>
      </c>
      <c r="N4448" s="2">
        <v>0</v>
      </c>
      <c r="O4448">
        <v>-4.8</v>
      </c>
      <c r="P4448" t="s">
        <v>100</v>
      </c>
      <c r="Q4448">
        <v>0</v>
      </c>
      <c r="R4448" t="s">
        <v>145</v>
      </c>
      <c r="S4448">
        <v>0</v>
      </c>
    </row>
    <row r="4449" spans="1:19">
      <c r="A4449" t="s">
        <v>35</v>
      </c>
      <c r="B4449" t="s">
        <v>8331</v>
      </c>
      <c r="C4449">
        <f>"DC3104B"</f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4</v>
      </c>
      <c r="K4449">
        <v>5.04</v>
      </c>
      <c r="L4449" s="2">
        <v>1</v>
      </c>
      <c r="M4449">
        <v>0</v>
      </c>
      <c r="N4449" s="2">
        <v>0</v>
      </c>
      <c r="O4449">
        <v>-4.8</v>
      </c>
      <c r="P4449" t="s">
        <v>100</v>
      </c>
      <c r="Q4449">
        <v>0</v>
      </c>
      <c r="R4449" t="s">
        <v>145</v>
      </c>
      <c r="S4449">
        <v>0</v>
      </c>
    </row>
    <row r="4450" spans="1:19">
      <c r="A4450" t="s">
        <v>35</v>
      </c>
      <c r="B4450" t="s">
        <v>2298</v>
      </c>
      <c r="C4450">
        <f>"RT3421B"</f>
        <v>0</v>
      </c>
      <c r="D4450">
        <v>2</v>
      </c>
      <c r="E4450">
        <v>0</v>
      </c>
      <c r="F4450">
        <v>0</v>
      </c>
      <c r="G4450">
        <v>0</v>
      </c>
      <c r="H4450">
        <v>2</v>
      </c>
      <c r="I4450">
        <v>0</v>
      </c>
      <c r="J4450">
        <v>4</v>
      </c>
      <c r="K4450">
        <v>5.58</v>
      </c>
      <c r="L4450" s="2">
        <v>1</v>
      </c>
      <c r="M4450">
        <v>0</v>
      </c>
      <c r="N4450" s="2">
        <v>0</v>
      </c>
      <c r="O4450">
        <v>-4.8</v>
      </c>
      <c r="P4450" t="s">
        <v>100</v>
      </c>
      <c r="Q4450">
        <v>0</v>
      </c>
      <c r="R4450" t="s">
        <v>145</v>
      </c>
      <c r="S4450">
        <v>0</v>
      </c>
    </row>
    <row r="4451" spans="1:19">
      <c r="A4451" t="s">
        <v>35</v>
      </c>
      <c r="B4451" t="s">
        <v>7823</v>
      </c>
      <c r="C4451">
        <f>"8443L"</f>
        <v>0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4</v>
      </c>
      <c r="K4451">
        <v>77.40000000000001</v>
      </c>
      <c r="L4451" s="2">
        <v>19</v>
      </c>
      <c r="M4451">
        <v>0</v>
      </c>
      <c r="N4451" s="2">
        <v>0</v>
      </c>
      <c r="O4451">
        <v>-4.8</v>
      </c>
      <c r="P4451" t="s">
        <v>100</v>
      </c>
      <c r="Q4451">
        <v>0</v>
      </c>
      <c r="R4451" t="s">
        <v>145</v>
      </c>
      <c r="S4451">
        <v>0</v>
      </c>
    </row>
    <row r="4452" spans="1:19">
      <c r="A4452" t="s">
        <v>35</v>
      </c>
      <c r="B4452" t="s">
        <v>2488</v>
      </c>
      <c r="C4452">
        <f>"COO2841S"</f>
        <v>0</v>
      </c>
      <c r="D4452">
        <v>1</v>
      </c>
      <c r="E4452">
        <v>0</v>
      </c>
      <c r="F4452">
        <v>0</v>
      </c>
      <c r="G4452">
        <v>0</v>
      </c>
      <c r="H4452">
        <v>1</v>
      </c>
      <c r="I4452">
        <v>0</v>
      </c>
      <c r="J4452">
        <v>4</v>
      </c>
      <c r="K4452">
        <v>55.98</v>
      </c>
      <c r="L4452" s="2">
        <v>14</v>
      </c>
      <c r="M4452">
        <v>0</v>
      </c>
      <c r="N4452" s="2">
        <v>0</v>
      </c>
      <c r="O4452">
        <v>-4.8</v>
      </c>
      <c r="P4452" t="s">
        <v>100</v>
      </c>
      <c r="Q4452">
        <v>0</v>
      </c>
      <c r="R4452" t="s">
        <v>145</v>
      </c>
      <c r="S4452">
        <v>0</v>
      </c>
    </row>
    <row r="4453" spans="1:19">
      <c r="A4453" t="s">
        <v>35</v>
      </c>
      <c r="B4453" t="s">
        <v>5185</v>
      </c>
      <c r="C4453">
        <f>"1840LMG"</f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4</v>
      </c>
      <c r="K4453">
        <v>0</v>
      </c>
      <c r="L4453" s="2">
        <v>0</v>
      </c>
      <c r="M4453">
        <v>0</v>
      </c>
      <c r="N4453" s="2">
        <v>0</v>
      </c>
      <c r="O4453">
        <v>-4.8</v>
      </c>
      <c r="P4453" t="s">
        <v>100</v>
      </c>
      <c r="Q4453">
        <v>0</v>
      </c>
      <c r="R4453" t="s">
        <v>145</v>
      </c>
      <c r="S4453">
        <v>0</v>
      </c>
    </row>
    <row r="4454" spans="1:19">
      <c r="A4454" t="s">
        <v>35</v>
      </c>
      <c r="B4454" t="s">
        <v>10105</v>
      </c>
      <c r="C4454">
        <f>"XB1813RS"</f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4</v>
      </c>
      <c r="K4454">
        <v>31.14</v>
      </c>
      <c r="L4454" s="2">
        <v>8</v>
      </c>
      <c r="M4454">
        <v>0</v>
      </c>
      <c r="N4454" s="2">
        <v>0</v>
      </c>
      <c r="O4454">
        <v>-4.8</v>
      </c>
      <c r="P4454" t="s">
        <v>100</v>
      </c>
      <c r="Q4454">
        <v>0</v>
      </c>
      <c r="R4454" t="s">
        <v>145</v>
      </c>
      <c r="S4454">
        <v>0</v>
      </c>
    </row>
    <row r="4455" spans="1:19">
      <c r="A4455" t="s">
        <v>35</v>
      </c>
      <c r="B4455" t="s">
        <v>8630</v>
      </c>
      <c r="C4455">
        <f>"ER165"</f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4</v>
      </c>
      <c r="K4455">
        <v>21.564</v>
      </c>
      <c r="L4455" s="2">
        <v>5</v>
      </c>
      <c r="M4455">
        <v>0</v>
      </c>
      <c r="N4455" s="2">
        <v>0</v>
      </c>
      <c r="O4455">
        <v>-4.8</v>
      </c>
      <c r="P4455" t="s">
        <v>100</v>
      </c>
      <c r="Q4455">
        <v>0</v>
      </c>
      <c r="R4455" t="s">
        <v>145</v>
      </c>
      <c r="S4455">
        <v>0</v>
      </c>
    </row>
    <row r="4456" spans="1:19">
      <c r="A4456" t="s">
        <v>35</v>
      </c>
      <c r="B4456" t="s">
        <v>8058</v>
      </c>
      <c r="C4456">
        <f>"HD38XXS"</f>
        <v>0</v>
      </c>
      <c r="D4456">
        <v>0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4</v>
      </c>
      <c r="K4456">
        <v>9.18</v>
      </c>
      <c r="L4456" s="2">
        <v>2</v>
      </c>
      <c r="M4456">
        <v>0</v>
      </c>
      <c r="N4456" s="2">
        <v>0</v>
      </c>
      <c r="O4456">
        <v>-4.8</v>
      </c>
      <c r="P4456" t="s">
        <v>100</v>
      </c>
      <c r="Q4456">
        <v>0</v>
      </c>
      <c r="R4456" t="s">
        <v>145</v>
      </c>
      <c r="S4456">
        <v>0</v>
      </c>
    </row>
    <row r="4457" spans="1:19">
      <c r="A4457" t="s">
        <v>35</v>
      </c>
      <c r="B4457" t="s">
        <v>6469</v>
      </c>
      <c r="C4457">
        <f>"HH088XLG"</f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4</v>
      </c>
      <c r="K4457">
        <v>42.84</v>
      </c>
      <c r="L4457" s="2">
        <v>11</v>
      </c>
      <c r="M4457">
        <v>0</v>
      </c>
      <c r="N4457" s="2">
        <v>0</v>
      </c>
      <c r="O4457">
        <v>-4.8</v>
      </c>
      <c r="P4457" t="s">
        <v>100</v>
      </c>
      <c r="Q4457">
        <v>0</v>
      </c>
      <c r="R4457" t="s">
        <v>145</v>
      </c>
      <c r="S4457">
        <v>0</v>
      </c>
    </row>
    <row r="4458" spans="1:19">
      <c r="A4458" t="s">
        <v>35</v>
      </c>
      <c r="B4458" t="s">
        <v>6531</v>
      </c>
      <c r="C4458">
        <f>"HH088XLBN"</f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4</v>
      </c>
      <c r="K4458">
        <v>44.64</v>
      </c>
      <c r="L4458" s="2">
        <v>11</v>
      </c>
      <c r="M4458">
        <v>0</v>
      </c>
      <c r="N4458" s="2">
        <v>0</v>
      </c>
      <c r="O4458">
        <v>-4.8</v>
      </c>
      <c r="P4458" t="s">
        <v>100</v>
      </c>
      <c r="Q4458">
        <v>0</v>
      </c>
      <c r="R4458" t="s">
        <v>145</v>
      </c>
      <c r="S4458">
        <v>0</v>
      </c>
    </row>
    <row r="4459" spans="1:19">
      <c r="A4459" t="s">
        <v>35</v>
      </c>
      <c r="B4459" t="s">
        <v>8136</v>
      </c>
      <c r="C4459">
        <f>"XQ35XS"</f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4</v>
      </c>
      <c r="K4459">
        <v>10.404</v>
      </c>
      <c r="L4459" s="2">
        <v>3</v>
      </c>
      <c r="M4459">
        <v>0</v>
      </c>
      <c r="N4459" s="2">
        <v>0</v>
      </c>
      <c r="O4459">
        <v>-4.8</v>
      </c>
      <c r="P4459" t="s">
        <v>100</v>
      </c>
      <c r="Q4459">
        <v>0</v>
      </c>
      <c r="R4459" t="s">
        <v>145</v>
      </c>
      <c r="S4459">
        <v>0</v>
      </c>
    </row>
    <row r="4460" spans="1:19">
      <c r="A4460" t="s">
        <v>35</v>
      </c>
      <c r="B4460" t="s">
        <v>3416</v>
      </c>
      <c r="C4460">
        <f>"PCM8030R"</f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4</v>
      </c>
      <c r="K4460">
        <v>37.042</v>
      </c>
      <c r="L4460" s="2">
        <v>9</v>
      </c>
      <c r="M4460">
        <v>0</v>
      </c>
      <c r="N4460" s="2">
        <v>0</v>
      </c>
      <c r="O4460">
        <v>-4.8</v>
      </c>
      <c r="P4460" t="s">
        <v>100</v>
      </c>
      <c r="Q4460">
        <v>0</v>
      </c>
      <c r="R4460" t="s">
        <v>145</v>
      </c>
      <c r="S4460">
        <v>0</v>
      </c>
    </row>
    <row r="4461" spans="1:19">
      <c r="A4461" t="s">
        <v>35</v>
      </c>
      <c r="B4461" t="s">
        <v>3417</v>
      </c>
      <c r="C4461">
        <f>"PCM8030A"</f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4</v>
      </c>
      <c r="K4461">
        <v>34.33</v>
      </c>
      <c r="L4461" s="2">
        <v>9</v>
      </c>
      <c r="M4461">
        <v>0</v>
      </c>
      <c r="N4461" s="2">
        <v>0</v>
      </c>
      <c r="O4461">
        <v>-4.8</v>
      </c>
      <c r="P4461" t="s">
        <v>100</v>
      </c>
      <c r="Q4461">
        <v>0</v>
      </c>
      <c r="R4461" t="s">
        <v>145</v>
      </c>
      <c r="S4461">
        <v>0</v>
      </c>
    </row>
    <row r="4462" spans="1:19">
      <c r="A4462" t="s">
        <v>35</v>
      </c>
      <c r="B4462" t="s">
        <v>6607</v>
      </c>
      <c r="C4462">
        <f>"HH088XXLR"</f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4</v>
      </c>
      <c r="K4462">
        <v>46.44</v>
      </c>
      <c r="L4462" s="2">
        <v>12</v>
      </c>
      <c r="M4462">
        <v>0</v>
      </c>
      <c r="N4462" s="2">
        <v>0</v>
      </c>
      <c r="O4462">
        <v>-4.8</v>
      </c>
      <c r="P4462" t="s">
        <v>100</v>
      </c>
      <c r="Q4462">
        <v>0</v>
      </c>
      <c r="R4462" t="s">
        <v>145</v>
      </c>
      <c r="S4462">
        <v>0</v>
      </c>
    </row>
    <row r="4463" spans="1:19">
      <c r="A4463" t="s">
        <v>35</v>
      </c>
      <c r="B4463" t="s">
        <v>6896</v>
      </c>
      <c r="C4463">
        <f>"HH088SG"</f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4</v>
      </c>
      <c r="K4463">
        <v>32.04</v>
      </c>
      <c r="L4463" s="2">
        <v>8</v>
      </c>
      <c r="M4463">
        <v>0</v>
      </c>
      <c r="N4463" s="2">
        <v>0</v>
      </c>
      <c r="O4463">
        <v>-4.8</v>
      </c>
      <c r="P4463" t="s">
        <v>100</v>
      </c>
      <c r="Q4463">
        <v>0</v>
      </c>
      <c r="R4463" t="s">
        <v>145</v>
      </c>
      <c r="S4463">
        <v>0</v>
      </c>
    </row>
    <row r="4464" spans="1:19">
      <c r="A4464" t="s">
        <v>35</v>
      </c>
      <c r="B4464" t="s">
        <v>2545</v>
      </c>
      <c r="C4464">
        <f>"HD38XL"</f>
        <v>0</v>
      </c>
      <c r="D4464">
        <v>0</v>
      </c>
      <c r="E4464">
        <v>1</v>
      </c>
      <c r="F4464">
        <v>0</v>
      </c>
      <c r="G4464">
        <v>0</v>
      </c>
      <c r="H4464">
        <v>1</v>
      </c>
      <c r="I4464">
        <v>0</v>
      </c>
      <c r="J4464">
        <v>4</v>
      </c>
      <c r="K4464">
        <v>14.364</v>
      </c>
      <c r="L4464" s="2">
        <v>4</v>
      </c>
      <c r="M4464">
        <v>0</v>
      </c>
      <c r="N4464" s="2">
        <v>0</v>
      </c>
      <c r="O4464">
        <v>-4.8</v>
      </c>
      <c r="P4464" t="s">
        <v>100</v>
      </c>
      <c r="Q4464">
        <v>0</v>
      </c>
      <c r="R4464" t="s">
        <v>145</v>
      </c>
      <c r="S4464">
        <v>0</v>
      </c>
    </row>
    <row r="4465" spans="1:19">
      <c r="A4465" t="s">
        <v>35</v>
      </c>
      <c r="B4465" t="s">
        <v>2942</v>
      </c>
      <c r="C4465">
        <f>"PGCT041AZU"</f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4</v>
      </c>
      <c r="K4465">
        <v>7.164</v>
      </c>
      <c r="L4465" s="2">
        <v>2</v>
      </c>
      <c r="M4465">
        <v>0</v>
      </c>
      <c r="N4465" s="2">
        <v>0</v>
      </c>
      <c r="O4465">
        <v>-4.8</v>
      </c>
      <c r="P4465" t="s">
        <v>100</v>
      </c>
      <c r="Q4465">
        <v>0</v>
      </c>
      <c r="R4465" t="s">
        <v>145</v>
      </c>
      <c r="S4465">
        <v>0</v>
      </c>
    </row>
    <row r="4466" spans="1:19">
      <c r="A4466" t="s">
        <v>35</v>
      </c>
      <c r="B4466" t="s">
        <v>8112</v>
      </c>
      <c r="C4466">
        <f>"HD21XXXL"</f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4</v>
      </c>
      <c r="K4466">
        <v>21.06</v>
      </c>
      <c r="L4466" s="2">
        <v>5</v>
      </c>
      <c r="M4466">
        <v>0</v>
      </c>
      <c r="N4466" s="2">
        <v>0</v>
      </c>
      <c r="O4466">
        <v>-4.8</v>
      </c>
      <c r="P4466" t="s">
        <v>100</v>
      </c>
      <c r="Q4466">
        <v>0</v>
      </c>
      <c r="R4466" t="s">
        <v>145</v>
      </c>
      <c r="S4466">
        <v>0</v>
      </c>
    </row>
    <row r="4467" spans="1:19">
      <c r="A4467" t="s">
        <v>35</v>
      </c>
      <c r="B4467" t="s">
        <v>4779</v>
      </c>
      <c r="C4467">
        <f>"JW0130V"</f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4</v>
      </c>
      <c r="K4467">
        <v>17.604</v>
      </c>
      <c r="L4467" s="2">
        <v>4</v>
      </c>
      <c r="M4467">
        <v>0</v>
      </c>
      <c r="N4467" s="2">
        <v>0</v>
      </c>
      <c r="O4467">
        <v>-4.8</v>
      </c>
      <c r="P4467" t="s">
        <v>100</v>
      </c>
      <c r="Q4467">
        <v>0</v>
      </c>
      <c r="R4467" t="s">
        <v>145</v>
      </c>
      <c r="S4467">
        <v>0</v>
      </c>
    </row>
    <row r="4468" spans="1:19">
      <c r="A4468" t="s">
        <v>35</v>
      </c>
      <c r="B4468" t="s">
        <v>8185</v>
      </c>
      <c r="C4468">
        <f>"lc0012"</f>
        <v>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4</v>
      </c>
      <c r="K4468">
        <v>497</v>
      </c>
      <c r="L4468" s="2">
        <v>124</v>
      </c>
      <c r="M4468">
        <v>0</v>
      </c>
      <c r="N4468" s="2">
        <v>0</v>
      </c>
      <c r="O4468">
        <v>-4.8</v>
      </c>
      <c r="P4468" t="s">
        <v>100</v>
      </c>
      <c r="Q4468">
        <v>0</v>
      </c>
      <c r="R4468" t="s">
        <v>145</v>
      </c>
      <c r="S4468">
        <v>0</v>
      </c>
    </row>
    <row r="4469" spans="1:19">
      <c r="A4469" t="s">
        <v>35</v>
      </c>
      <c r="B4469" t="s">
        <v>2925</v>
      </c>
      <c r="C4469">
        <f>"PS7029"</f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4</v>
      </c>
      <c r="K4469">
        <v>14.04</v>
      </c>
      <c r="L4469" s="2">
        <v>4</v>
      </c>
      <c r="M4469">
        <v>0</v>
      </c>
      <c r="N4469" s="2">
        <v>0</v>
      </c>
      <c r="O4469">
        <v>-4.8</v>
      </c>
      <c r="P4469" t="s">
        <v>100</v>
      </c>
      <c r="Q4469">
        <v>0</v>
      </c>
      <c r="R4469" t="s">
        <v>145</v>
      </c>
      <c r="S4469">
        <v>0</v>
      </c>
    </row>
    <row r="4470" spans="1:19">
      <c r="A4470" t="s">
        <v>35</v>
      </c>
      <c r="B4470" t="s">
        <v>2175</v>
      </c>
      <c r="C4470">
        <f>"BRI11"</f>
        <v>0</v>
      </c>
      <c r="D4470">
        <v>0</v>
      </c>
      <c r="E4470">
        <v>2</v>
      </c>
      <c r="F4470">
        <v>0</v>
      </c>
      <c r="G4470">
        <v>0</v>
      </c>
      <c r="H4470">
        <v>2</v>
      </c>
      <c r="I4470">
        <v>0</v>
      </c>
      <c r="J4470">
        <v>4</v>
      </c>
      <c r="K4470">
        <v>7.74</v>
      </c>
      <c r="L4470" s="2">
        <v>2</v>
      </c>
      <c r="M4470">
        <v>0</v>
      </c>
      <c r="N4470" s="2">
        <v>0</v>
      </c>
      <c r="O4470">
        <v>-4.8</v>
      </c>
      <c r="P4470" t="s">
        <v>100</v>
      </c>
      <c r="Q4470">
        <v>0</v>
      </c>
      <c r="R4470" t="s">
        <v>145</v>
      </c>
      <c r="S4470">
        <v>0</v>
      </c>
    </row>
    <row r="4471" spans="1:19">
      <c r="A4471" t="s">
        <v>35</v>
      </c>
      <c r="B4471" t="s">
        <v>9483</v>
      </c>
      <c r="C4471">
        <f>"JW9026RS"</f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4</v>
      </c>
      <c r="K4471">
        <v>0</v>
      </c>
      <c r="L4471" s="2">
        <v>0</v>
      </c>
      <c r="M4471">
        <v>0</v>
      </c>
      <c r="N4471" s="2">
        <v>0</v>
      </c>
      <c r="O4471">
        <v>-4.8</v>
      </c>
      <c r="P4471" t="s">
        <v>100</v>
      </c>
      <c r="Q4471">
        <v>0</v>
      </c>
      <c r="R4471" t="s">
        <v>145</v>
      </c>
      <c r="S4471">
        <v>0</v>
      </c>
    </row>
    <row r="4472" spans="1:19">
      <c r="A4472" t="s">
        <v>35</v>
      </c>
      <c r="B4472" t="s">
        <v>8272</v>
      </c>
      <c r="C4472">
        <f>"PT165"</f>
        <v>0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4</v>
      </c>
      <c r="K4472">
        <v>7.62</v>
      </c>
      <c r="L4472" s="2">
        <v>2</v>
      </c>
      <c r="M4472">
        <v>0</v>
      </c>
      <c r="N4472" s="2">
        <v>0</v>
      </c>
      <c r="O4472">
        <v>-4.8</v>
      </c>
      <c r="P4472" t="s">
        <v>100</v>
      </c>
      <c r="Q4472">
        <v>0</v>
      </c>
      <c r="R4472" t="s">
        <v>145</v>
      </c>
      <c r="S4472">
        <v>0</v>
      </c>
    </row>
    <row r="4473" spans="1:19">
      <c r="A4473" t="s">
        <v>35</v>
      </c>
      <c r="B4473" t="s">
        <v>6988</v>
      </c>
      <c r="C4473">
        <f>"H015XXLR"</f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4</v>
      </c>
      <c r="K4473">
        <v>9.449999999999999</v>
      </c>
      <c r="L4473" s="2">
        <v>2</v>
      </c>
      <c r="M4473">
        <v>0</v>
      </c>
      <c r="N4473" s="2">
        <v>0</v>
      </c>
      <c r="O4473">
        <v>-4.8</v>
      </c>
      <c r="P4473" t="s">
        <v>100</v>
      </c>
      <c r="Q4473">
        <v>0</v>
      </c>
      <c r="R4473" t="s">
        <v>145</v>
      </c>
      <c r="S4473">
        <v>0</v>
      </c>
    </row>
    <row r="4474" spans="1:19">
      <c r="A4474" t="s">
        <v>35</v>
      </c>
      <c r="B4474" t="s">
        <v>2829</v>
      </c>
      <c r="C4474">
        <f>"B192203XLM"</f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4</v>
      </c>
      <c r="K4474">
        <v>45</v>
      </c>
      <c r="L4474" s="2">
        <v>11</v>
      </c>
      <c r="M4474">
        <v>0</v>
      </c>
      <c r="N4474" s="2">
        <v>0</v>
      </c>
      <c r="O4474">
        <v>-4.8</v>
      </c>
      <c r="P4474" t="s">
        <v>100</v>
      </c>
      <c r="Q4474">
        <v>0</v>
      </c>
      <c r="R4474" t="s">
        <v>145</v>
      </c>
      <c r="S4474">
        <v>0</v>
      </c>
    </row>
    <row r="4475" spans="1:19">
      <c r="A4475" t="s">
        <v>35</v>
      </c>
      <c r="B4475" t="s">
        <v>4765</v>
      </c>
      <c r="C4475">
        <f>"JW0130N"</f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4</v>
      </c>
      <c r="K4475">
        <v>17.604</v>
      </c>
      <c r="L4475" s="2">
        <v>4</v>
      </c>
      <c r="M4475">
        <v>0</v>
      </c>
      <c r="N4475" s="2">
        <v>0</v>
      </c>
      <c r="O4475">
        <v>-4.8</v>
      </c>
      <c r="P4475" t="s">
        <v>100</v>
      </c>
      <c r="Q4475">
        <v>0</v>
      </c>
      <c r="R4475" t="s">
        <v>145</v>
      </c>
      <c r="S4475">
        <v>0</v>
      </c>
    </row>
    <row r="4476" spans="1:19">
      <c r="A4476" t="s">
        <v>35</v>
      </c>
      <c r="B4476" t="s">
        <v>8170</v>
      </c>
      <c r="C4476">
        <f>"FP5117"</f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4</v>
      </c>
      <c r="K4476">
        <v>26.1</v>
      </c>
      <c r="L4476" s="2">
        <v>7</v>
      </c>
      <c r="M4476">
        <v>0</v>
      </c>
      <c r="N4476" s="2">
        <v>0</v>
      </c>
      <c r="O4476">
        <v>-4.8</v>
      </c>
      <c r="P4476" t="s">
        <v>100</v>
      </c>
      <c r="Q4476">
        <v>0</v>
      </c>
      <c r="R4476" t="s">
        <v>145</v>
      </c>
      <c r="S4476">
        <v>0</v>
      </c>
    </row>
    <row r="4477" spans="1:19">
      <c r="A4477" t="s">
        <v>35</v>
      </c>
      <c r="B4477" t="s">
        <v>7333</v>
      </c>
      <c r="C4477">
        <f>"HH088XSAR"</f>
        <v>0</v>
      </c>
      <c r="D4477">
        <v>0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4</v>
      </c>
      <c r="K4477">
        <v>28.5</v>
      </c>
      <c r="L4477" s="2">
        <v>7</v>
      </c>
      <c r="M4477">
        <v>0</v>
      </c>
      <c r="N4477" s="2">
        <v>0</v>
      </c>
      <c r="O4477">
        <v>-4.8</v>
      </c>
      <c r="P4477" t="s">
        <v>100</v>
      </c>
      <c r="Q4477">
        <v>0</v>
      </c>
      <c r="R4477" t="s">
        <v>145</v>
      </c>
      <c r="S4477">
        <v>0</v>
      </c>
    </row>
    <row r="4478" spans="1:19">
      <c r="A4478" t="s">
        <v>35</v>
      </c>
      <c r="B4478" t="s">
        <v>4952</v>
      </c>
      <c r="C4478">
        <f>"1761MCEL"</f>
        <v>0</v>
      </c>
      <c r="D4478">
        <v>0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4</v>
      </c>
      <c r="K4478">
        <v>0</v>
      </c>
      <c r="L4478" s="2">
        <v>0</v>
      </c>
      <c r="M4478">
        <v>0</v>
      </c>
      <c r="N4478" s="2">
        <v>0</v>
      </c>
      <c r="O4478">
        <v>-4.8</v>
      </c>
      <c r="P4478" t="s">
        <v>100</v>
      </c>
      <c r="Q4478">
        <v>0</v>
      </c>
      <c r="R4478" t="s">
        <v>145</v>
      </c>
      <c r="S4478">
        <v>0</v>
      </c>
    </row>
    <row r="4479" spans="1:19">
      <c r="A4479" t="s">
        <v>35</v>
      </c>
      <c r="B4479" t="s">
        <v>7986</v>
      </c>
      <c r="C4479">
        <f>"FEP80V"</f>
        <v>0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4</v>
      </c>
      <c r="K4479">
        <v>57.24</v>
      </c>
      <c r="L4479" s="2">
        <v>14</v>
      </c>
      <c r="M4479">
        <v>0</v>
      </c>
      <c r="N4479" s="2">
        <v>0</v>
      </c>
      <c r="O4479">
        <v>-4.8</v>
      </c>
      <c r="P4479" t="s">
        <v>100</v>
      </c>
      <c r="Q4479">
        <v>0</v>
      </c>
      <c r="R4479" t="s">
        <v>145</v>
      </c>
      <c r="S4479">
        <v>0</v>
      </c>
    </row>
    <row r="4480" spans="1:19">
      <c r="A4480" t="s">
        <v>35</v>
      </c>
      <c r="B4480" t="s">
        <v>4846</v>
      </c>
      <c r="C4480">
        <f>"WD904NA"</f>
        <v>0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4</v>
      </c>
      <c r="K4480">
        <v>16.524</v>
      </c>
      <c r="L4480" s="2">
        <v>4</v>
      </c>
      <c r="M4480">
        <v>0</v>
      </c>
      <c r="N4480" s="2">
        <v>0</v>
      </c>
      <c r="O4480">
        <v>-4.8</v>
      </c>
      <c r="P4480" t="s">
        <v>100</v>
      </c>
      <c r="Q4480">
        <v>0</v>
      </c>
      <c r="R4480" t="s">
        <v>145</v>
      </c>
      <c r="S4480">
        <v>0</v>
      </c>
    </row>
    <row r="4481" spans="1:19">
      <c r="A4481" t="s">
        <v>35</v>
      </c>
      <c r="B4481" t="s">
        <v>4405</v>
      </c>
      <c r="C4481">
        <f>"TQ107V"</f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4</v>
      </c>
      <c r="K4481">
        <v>1.692</v>
      </c>
      <c r="L4481" s="2">
        <v>0</v>
      </c>
      <c r="M4481">
        <v>0</v>
      </c>
      <c r="N4481" s="2">
        <v>0</v>
      </c>
      <c r="O4481">
        <v>-4.8</v>
      </c>
      <c r="P4481" t="s">
        <v>100</v>
      </c>
      <c r="Q4481">
        <v>0</v>
      </c>
      <c r="R4481" t="s">
        <v>145</v>
      </c>
      <c r="S4481">
        <v>0</v>
      </c>
    </row>
    <row r="4482" spans="1:19">
      <c r="A4482" t="s">
        <v>35</v>
      </c>
      <c r="B4482" t="s">
        <v>4547</v>
      </c>
      <c r="C4482">
        <f>"1756G"</f>
        <v>0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4</v>
      </c>
      <c r="K4482">
        <v>31.14</v>
      </c>
      <c r="L4482" s="2">
        <v>8</v>
      </c>
      <c r="M4482">
        <v>0</v>
      </c>
      <c r="N4482" s="2">
        <v>0</v>
      </c>
      <c r="O4482">
        <v>-4.8</v>
      </c>
      <c r="P4482" t="s">
        <v>100</v>
      </c>
      <c r="Q4482">
        <v>0</v>
      </c>
      <c r="R4482" t="s">
        <v>145</v>
      </c>
      <c r="S4482">
        <v>0</v>
      </c>
    </row>
    <row r="4483" spans="1:19">
      <c r="A4483" t="s">
        <v>35</v>
      </c>
      <c r="B4483" t="s">
        <v>6747</v>
      </c>
      <c r="C4483">
        <f>"GZT1S"</f>
        <v>0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4</v>
      </c>
      <c r="K4483">
        <v>5.415</v>
      </c>
      <c r="L4483" s="2">
        <v>1</v>
      </c>
      <c r="M4483">
        <v>0</v>
      </c>
      <c r="N4483" s="2">
        <v>0</v>
      </c>
      <c r="O4483">
        <v>-4.8</v>
      </c>
      <c r="P4483" t="s">
        <v>100</v>
      </c>
      <c r="Q4483">
        <v>0</v>
      </c>
      <c r="R4483" t="s">
        <v>145</v>
      </c>
      <c r="S4483">
        <v>0</v>
      </c>
    </row>
    <row r="4484" spans="1:19">
      <c r="A4484" t="s">
        <v>35</v>
      </c>
      <c r="B4484" t="s">
        <v>9284</v>
      </c>
      <c r="C4484">
        <f>"PT015XSROJ"</f>
        <v>0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4</v>
      </c>
      <c r="K4484">
        <v>9.539999999999999</v>
      </c>
      <c r="L4484" s="2">
        <v>2</v>
      </c>
      <c r="M4484">
        <v>0</v>
      </c>
      <c r="N4484" s="2">
        <v>0</v>
      </c>
      <c r="O4484">
        <v>-4.8</v>
      </c>
      <c r="P4484" t="s">
        <v>100</v>
      </c>
      <c r="Q4484">
        <v>0</v>
      </c>
      <c r="R4484" t="s">
        <v>145</v>
      </c>
      <c r="S4484">
        <v>0</v>
      </c>
    </row>
    <row r="4485" spans="1:19">
      <c r="A4485" t="s">
        <v>35</v>
      </c>
      <c r="B4485" t="s">
        <v>9825</v>
      </c>
      <c r="C4485">
        <f>"EK3003CA"</f>
        <v>0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4</v>
      </c>
      <c r="K4485">
        <v>5.808</v>
      </c>
      <c r="L4485" s="2">
        <v>1</v>
      </c>
      <c r="M4485">
        <v>0</v>
      </c>
      <c r="N4485" s="2">
        <v>0</v>
      </c>
      <c r="O4485">
        <v>-4.8</v>
      </c>
      <c r="P4485" t="s">
        <v>100</v>
      </c>
      <c r="Q4485">
        <v>0</v>
      </c>
      <c r="R4485" t="s">
        <v>145</v>
      </c>
      <c r="S4485">
        <v>0</v>
      </c>
    </row>
    <row r="4486" spans="1:19">
      <c r="A4486" t="s">
        <v>35</v>
      </c>
      <c r="B4486" t="s">
        <v>1929</v>
      </c>
      <c r="C4486">
        <f>"W0059"</f>
        <v>0</v>
      </c>
      <c r="D4486">
        <v>2</v>
      </c>
      <c r="E4486">
        <v>3</v>
      </c>
      <c r="F4486">
        <v>0</v>
      </c>
      <c r="G4486">
        <v>0</v>
      </c>
      <c r="H4486">
        <v>5</v>
      </c>
      <c r="I4486">
        <v>1</v>
      </c>
      <c r="J4486">
        <v>5</v>
      </c>
      <c r="K4486">
        <v>12.6</v>
      </c>
      <c r="L4486" s="2">
        <v>3</v>
      </c>
      <c r="M4486">
        <v>0</v>
      </c>
      <c r="N4486" s="2">
        <v>0</v>
      </c>
      <c r="O4486">
        <v>-5</v>
      </c>
      <c r="P4486" t="s">
        <v>100</v>
      </c>
      <c r="Q4486">
        <v>0</v>
      </c>
      <c r="R4486" t="s">
        <v>145</v>
      </c>
      <c r="S4486">
        <v>0</v>
      </c>
    </row>
    <row r="4487" spans="1:19">
      <c r="A4487" t="s">
        <v>35</v>
      </c>
      <c r="B4487" t="s">
        <v>1874</v>
      </c>
      <c r="C4487">
        <f>"PNXL"</f>
        <v>0</v>
      </c>
      <c r="D4487">
        <v>4</v>
      </c>
      <c r="E4487">
        <v>2</v>
      </c>
      <c r="F4487">
        <v>0</v>
      </c>
      <c r="G4487">
        <v>0</v>
      </c>
      <c r="H4487">
        <v>6</v>
      </c>
      <c r="I4487">
        <v>1</v>
      </c>
      <c r="J4487">
        <v>5</v>
      </c>
      <c r="K4487">
        <v>13.455</v>
      </c>
      <c r="L4487" s="2">
        <v>3</v>
      </c>
      <c r="M4487">
        <v>0</v>
      </c>
      <c r="N4487" s="2">
        <v>0</v>
      </c>
      <c r="O4487">
        <v>-5</v>
      </c>
      <c r="P4487" t="s">
        <v>100</v>
      </c>
      <c r="Q4487">
        <v>0</v>
      </c>
      <c r="R4487" t="s">
        <v>145</v>
      </c>
      <c r="S4487">
        <v>0</v>
      </c>
    </row>
    <row r="4488" spans="1:19">
      <c r="A4488" t="s">
        <v>35</v>
      </c>
      <c r="B4488" t="s">
        <v>2025</v>
      </c>
      <c r="C4488">
        <f>"KFS04"</f>
        <v>0</v>
      </c>
      <c r="D4488">
        <v>2</v>
      </c>
      <c r="E4488">
        <v>1</v>
      </c>
      <c r="F4488">
        <v>1</v>
      </c>
      <c r="G4488">
        <v>0</v>
      </c>
      <c r="H4488">
        <v>4</v>
      </c>
      <c r="I4488">
        <v>1</v>
      </c>
      <c r="J4488">
        <v>5</v>
      </c>
      <c r="K4488">
        <v>34.965</v>
      </c>
      <c r="L4488" s="2">
        <v>7</v>
      </c>
      <c r="M4488">
        <v>0</v>
      </c>
      <c r="N4488" s="2">
        <v>0</v>
      </c>
      <c r="O4488">
        <v>-5</v>
      </c>
      <c r="P4488" t="s">
        <v>100</v>
      </c>
      <c r="Q4488">
        <v>0</v>
      </c>
      <c r="R4488" t="s">
        <v>145</v>
      </c>
      <c r="S4488">
        <v>0</v>
      </c>
    </row>
    <row r="4489" spans="1:19">
      <c r="A4489" t="s">
        <v>35</v>
      </c>
      <c r="B4489" t="s">
        <v>1870</v>
      </c>
      <c r="C4489">
        <f>"AR76"</f>
        <v>0</v>
      </c>
      <c r="D4489">
        <v>0</v>
      </c>
      <c r="E4489">
        <v>0</v>
      </c>
      <c r="F4489">
        <v>0</v>
      </c>
      <c r="G4489">
        <v>5</v>
      </c>
      <c r="H4489">
        <v>5</v>
      </c>
      <c r="I4489">
        <v>0</v>
      </c>
      <c r="J4489">
        <v>15</v>
      </c>
      <c r="K4489">
        <v>66.825</v>
      </c>
      <c r="L4489" s="2">
        <v>4</v>
      </c>
      <c r="M4489">
        <v>0</v>
      </c>
      <c r="N4489" s="2">
        <v>0</v>
      </c>
      <c r="O4489">
        <v>-5</v>
      </c>
      <c r="P4489" t="s">
        <v>11070</v>
      </c>
      <c r="Q4489">
        <v>6.255</v>
      </c>
      <c r="R4489" t="s">
        <v>11196</v>
      </c>
      <c r="S4489">
        <v>1</v>
      </c>
    </row>
    <row r="4490" spans="1:19">
      <c r="A4490" t="s">
        <v>35</v>
      </c>
      <c r="B4490" t="s">
        <v>1527</v>
      </c>
      <c r="C4490">
        <f>"970303"</f>
        <v>0</v>
      </c>
      <c r="D4490">
        <v>1</v>
      </c>
      <c r="E4490">
        <v>0</v>
      </c>
      <c r="F4490">
        <v>0</v>
      </c>
      <c r="G4490">
        <v>1</v>
      </c>
      <c r="H4490">
        <v>2</v>
      </c>
      <c r="I4490">
        <v>0.5</v>
      </c>
      <c r="J4490">
        <v>9</v>
      </c>
      <c r="K4490">
        <v>23.895</v>
      </c>
      <c r="L4490" s="2">
        <v>3</v>
      </c>
      <c r="M4490">
        <v>0</v>
      </c>
      <c r="N4490" s="2">
        <v>0</v>
      </c>
      <c r="O4490">
        <v>-5.299999999999999</v>
      </c>
      <c r="P4490" t="s">
        <v>11071</v>
      </c>
      <c r="Q4490">
        <v>265</v>
      </c>
      <c r="R4490" t="s">
        <v>10276</v>
      </c>
      <c r="S4490">
        <v>1</v>
      </c>
    </row>
    <row r="4491" spans="1:19">
      <c r="A4491" t="s">
        <v>35</v>
      </c>
      <c r="B4491" t="s">
        <v>2290</v>
      </c>
      <c r="C4491">
        <f>"JWZ2009N"</f>
        <v>0</v>
      </c>
      <c r="D4491">
        <v>1</v>
      </c>
      <c r="E4491">
        <v>0</v>
      </c>
      <c r="F4491">
        <v>0</v>
      </c>
      <c r="G4491">
        <v>1</v>
      </c>
      <c r="H4491">
        <v>2</v>
      </c>
      <c r="I4491">
        <v>0.5</v>
      </c>
      <c r="J4491">
        <v>9</v>
      </c>
      <c r="K4491">
        <v>4.14</v>
      </c>
      <c r="L4491" s="2">
        <v>0</v>
      </c>
      <c r="M4491">
        <v>0</v>
      </c>
      <c r="N4491" s="2">
        <v>0</v>
      </c>
      <c r="O4491">
        <v>-5.299999999999999</v>
      </c>
      <c r="P4491" t="s">
        <v>11072</v>
      </c>
      <c r="Q4491">
        <v>0</v>
      </c>
      <c r="R4491" t="s">
        <v>145</v>
      </c>
      <c r="S4491">
        <v>1</v>
      </c>
    </row>
    <row r="4492" spans="1:19">
      <c r="A4492" t="s">
        <v>35</v>
      </c>
      <c r="B4492" t="s">
        <v>1550</v>
      </c>
      <c r="C4492">
        <f>"HD25XXS"</f>
        <v>0</v>
      </c>
      <c r="D4492">
        <v>0</v>
      </c>
      <c r="E4492">
        <v>1</v>
      </c>
      <c r="F4492">
        <v>0</v>
      </c>
      <c r="G4492">
        <v>1</v>
      </c>
      <c r="H4492">
        <v>2</v>
      </c>
      <c r="I4492">
        <v>0.5</v>
      </c>
      <c r="J4492">
        <v>9</v>
      </c>
      <c r="K4492">
        <v>20.655</v>
      </c>
      <c r="L4492" s="2">
        <v>2</v>
      </c>
      <c r="M4492">
        <v>0</v>
      </c>
      <c r="N4492" s="2">
        <v>0</v>
      </c>
      <c r="O4492">
        <v>-5.299999999999999</v>
      </c>
      <c r="P4492" t="s">
        <v>11073</v>
      </c>
      <c r="Q4492">
        <v>229</v>
      </c>
      <c r="R4492" t="s">
        <v>11197</v>
      </c>
      <c r="S4492">
        <v>1</v>
      </c>
    </row>
    <row r="4493" spans="1:19">
      <c r="A4493" t="s">
        <v>35</v>
      </c>
      <c r="B4493" t="s">
        <v>299</v>
      </c>
      <c r="C4493">
        <f>"11520"</f>
        <v>0</v>
      </c>
      <c r="D4493">
        <v>7</v>
      </c>
      <c r="E4493">
        <v>3</v>
      </c>
      <c r="F4493">
        <v>7</v>
      </c>
      <c r="G4493">
        <v>2</v>
      </c>
      <c r="H4493">
        <v>19</v>
      </c>
      <c r="I4493">
        <v>5</v>
      </c>
      <c r="J4493">
        <v>12</v>
      </c>
      <c r="K4493">
        <v>8.981999999999999</v>
      </c>
      <c r="L4493" s="2">
        <v>1</v>
      </c>
      <c r="M4493">
        <v>0</v>
      </c>
      <c r="N4493" s="2">
        <v>0</v>
      </c>
      <c r="O4493">
        <v>-5.399999999999999</v>
      </c>
      <c r="P4493" t="s">
        <v>11032</v>
      </c>
      <c r="Q4493">
        <v>671</v>
      </c>
      <c r="R4493" t="s">
        <v>11198</v>
      </c>
      <c r="S4493">
        <v>0</v>
      </c>
    </row>
    <row r="4494" spans="1:19">
      <c r="A4494" t="s">
        <v>35</v>
      </c>
      <c r="B4494" t="s">
        <v>2073</v>
      </c>
      <c r="C4494">
        <f>"DC3105C"</f>
        <v>0</v>
      </c>
      <c r="D4494">
        <v>2</v>
      </c>
      <c r="E4494">
        <v>1</v>
      </c>
      <c r="F4494">
        <v>0</v>
      </c>
      <c r="G4494">
        <v>0</v>
      </c>
      <c r="H4494">
        <v>3</v>
      </c>
      <c r="I4494">
        <v>0.5</v>
      </c>
      <c r="J4494">
        <v>5</v>
      </c>
      <c r="K4494">
        <v>11.025</v>
      </c>
      <c r="L4494" s="2">
        <v>2</v>
      </c>
      <c r="M4494">
        <v>0</v>
      </c>
      <c r="N4494" s="2">
        <v>0</v>
      </c>
      <c r="O4494">
        <v>-5.5</v>
      </c>
      <c r="P4494" t="s">
        <v>100</v>
      </c>
      <c r="Q4494">
        <v>0</v>
      </c>
      <c r="R4494" t="s">
        <v>145</v>
      </c>
      <c r="S4494">
        <v>0</v>
      </c>
    </row>
    <row r="4495" spans="1:19">
      <c r="A4495" t="s">
        <v>35</v>
      </c>
      <c r="B4495" t="s">
        <v>2278</v>
      </c>
      <c r="C4495">
        <f>"HXC73"</f>
        <v>0</v>
      </c>
      <c r="D4495">
        <v>0</v>
      </c>
      <c r="E4495">
        <v>1</v>
      </c>
      <c r="F4495">
        <v>1</v>
      </c>
      <c r="G4495">
        <v>0</v>
      </c>
      <c r="H4495">
        <v>2</v>
      </c>
      <c r="I4495">
        <v>0.5</v>
      </c>
      <c r="J4495">
        <v>5</v>
      </c>
      <c r="K4495">
        <v>7.425</v>
      </c>
      <c r="L4495" s="2">
        <v>1</v>
      </c>
      <c r="M4495">
        <v>0</v>
      </c>
      <c r="N4495" s="2">
        <v>0</v>
      </c>
      <c r="O4495">
        <v>-5.5</v>
      </c>
      <c r="P4495" t="s">
        <v>100</v>
      </c>
      <c r="Q4495">
        <v>0</v>
      </c>
      <c r="R4495" t="s">
        <v>145</v>
      </c>
      <c r="S4495">
        <v>0</v>
      </c>
    </row>
    <row r="4496" spans="1:19">
      <c r="A4496" t="s">
        <v>35</v>
      </c>
      <c r="B4496" t="s">
        <v>1718</v>
      </c>
      <c r="C4496">
        <f>"WD074"</f>
        <v>0</v>
      </c>
      <c r="D4496">
        <v>0</v>
      </c>
      <c r="E4496">
        <v>0</v>
      </c>
      <c r="F4496">
        <v>0</v>
      </c>
      <c r="G4496">
        <v>1</v>
      </c>
      <c r="H4496">
        <v>1</v>
      </c>
      <c r="I4496">
        <v>0</v>
      </c>
      <c r="J4496">
        <v>9</v>
      </c>
      <c r="K4496">
        <v>5.715</v>
      </c>
      <c r="L4496" s="2">
        <v>1</v>
      </c>
      <c r="M4496">
        <v>0</v>
      </c>
      <c r="N4496" s="2">
        <v>0</v>
      </c>
      <c r="O4496">
        <v>-5.799999999999999</v>
      </c>
      <c r="P4496" t="s">
        <v>11074</v>
      </c>
      <c r="Q4496">
        <v>63</v>
      </c>
      <c r="R4496" t="s">
        <v>10276</v>
      </c>
      <c r="S4496">
        <v>1</v>
      </c>
    </row>
    <row r="4497" spans="1:19">
      <c r="A4497" t="s">
        <v>35</v>
      </c>
      <c r="B4497" t="s">
        <v>10109</v>
      </c>
      <c r="C4497">
        <f>"XB1813NXS"</f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5</v>
      </c>
      <c r="K4497">
        <v>38.25</v>
      </c>
      <c r="L4497" s="2">
        <v>8</v>
      </c>
      <c r="M4497">
        <v>0</v>
      </c>
      <c r="N4497" s="2">
        <v>0</v>
      </c>
      <c r="O4497">
        <v>-6</v>
      </c>
      <c r="P4497" t="s">
        <v>100</v>
      </c>
      <c r="Q4497">
        <v>0</v>
      </c>
      <c r="R4497" t="s">
        <v>145</v>
      </c>
      <c r="S4497">
        <v>0</v>
      </c>
    </row>
    <row r="4498" spans="1:19">
      <c r="A4498" t="s">
        <v>35</v>
      </c>
      <c r="B4498" t="s">
        <v>10045</v>
      </c>
      <c r="C4498">
        <f>"DR117G"</f>
        <v>0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5</v>
      </c>
      <c r="K4498">
        <v>83.25</v>
      </c>
      <c r="L4498" s="2">
        <v>17</v>
      </c>
      <c r="M4498">
        <v>0</v>
      </c>
      <c r="N4498" s="2">
        <v>0</v>
      </c>
      <c r="O4498">
        <v>-6</v>
      </c>
      <c r="P4498" t="s">
        <v>100</v>
      </c>
      <c r="Q4498">
        <v>0</v>
      </c>
      <c r="R4498" t="s">
        <v>145</v>
      </c>
      <c r="S4498">
        <v>0</v>
      </c>
    </row>
    <row r="4499" spans="1:19">
      <c r="A4499" t="s">
        <v>35</v>
      </c>
      <c r="B4499" t="s">
        <v>5194</v>
      </c>
      <c r="C4499">
        <f>"1812LMRED"</f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5</v>
      </c>
      <c r="K4499">
        <v>7.002</v>
      </c>
      <c r="L4499" s="2">
        <v>1</v>
      </c>
      <c r="M4499">
        <v>0</v>
      </c>
      <c r="N4499" s="2">
        <v>0</v>
      </c>
      <c r="O4499">
        <v>-6</v>
      </c>
      <c r="P4499" t="s">
        <v>100</v>
      </c>
      <c r="Q4499">
        <v>0</v>
      </c>
      <c r="R4499" t="s">
        <v>145</v>
      </c>
      <c r="S4499">
        <v>0</v>
      </c>
    </row>
    <row r="4500" spans="1:19">
      <c r="A4500" t="s">
        <v>35</v>
      </c>
      <c r="B4500" t="s">
        <v>10074</v>
      </c>
      <c r="C4500">
        <f>"FURSCPG"</f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5</v>
      </c>
      <c r="K4500">
        <v>17.955</v>
      </c>
      <c r="L4500" s="2">
        <v>4</v>
      </c>
      <c r="M4500">
        <v>0</v>
      </c>
      <c r="N4500" s="2">
        <v>0</v>
      </c>
      <c r="O4500">
        <v>-6</v>
      </c>
      <c r="P4500" t="s">
        <v>100</v>
      </c>
      <c r="Q4500">
        <v>0</v>
      </c>
      <c r="R4500" t="s">
        <v>145</v>
      </c>
      <c r="S4500">
        <v>0</v>
      </c>
    </row>
    <row r="4501" spans="1:19">
      <c r="A4501" t="s">
        <v>35</v>
      </c>
      <c r="B4501" t="s">
        <v>8352</v>
      </c>
      <c r="C4501">
        <f>"1060111600022"</f>
        <v>0</v>
      </c>
      <c r="D4501">
        <v>0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5</v>
      </c>
      <c r="K4501">
        <v>0</v>
      </c>
      <c r="L4501" s="2">
        <v>0</v>
      </c>
      <c r="M4501">
        <v>0</v>
      </c>
      <c r="N4501" s="2">
        <v>0</v>
      </c>
      <c r="O4501">
        <v>-6</v>
      </c>
      <c r="P4501" t="s">
        <v>100</v>
      </c>
      <c r="Q4501">
        <v>0</v>
      </c>
      <c r="R4501" t="s">
        <v>145</v>
      </c>
      <c r="S4501">
        <v>0</v>
      </c>
    </row>
    <row r="4502" spans="1:19">
      <c r="A4502" t="s">
        <v>35</v>
      </c>
      <c r="B4502" t="s">
        <v>8110</v>
      </c>
      <c r="C4502">
        <f>"COO2843S"</f>
        <v>0</v>
      </c>
      <c r="D4502">
        <v>0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5</v>
      </c>
      <c r="K4502">
        <v>44.55</v>
      </c>
      <c r="L4502" s="2">
        <v>9</v>
      </c>
      <c r="M4502">
        <v>0</v>
      </c>
      <c r="N4502" s="2">
        <v>0</v>
      </c>
      <c r="O4502">
        <v>-6</v>
      </c>
      <c r="P4502" t="s">
        <v>100</v>
      </c>
      <c r="Q4502">
        <v>0</v>
      </c>
      <c r="R4502" t="s">
        <v>145</v>
      </c>
      <c r="S4502">
        <v>0</v>
      </c>
    </row>
    <row r="4503" spans="1:19">
      <c r="A4503" t="s">
        <v>35</v>
      </c>
      <c r="B4503" t="s">
        <v>8350</v>
      </c>
      <c r="C4503">
        <f>"1055MA"</f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5</v>
      </c>
      <c r="K4503">
        <v>71.55</v>
      </c>
      <c r="L4503" s="2">
        <v>14</v>
      </c>
      <c r="M4503">
        <v>0</v>
      </c>
      <c r="N4503" s="2">
        <v>0</v>
      </c>
      <c r="O4503">
        <v>-6</v>
      </c>
      <c r="P4503" t="s">
        <v>100</v>
      </c>
      <c r="Q4503">
        <v>0</v>
      </c>
      <c r="R4503" t="s">
        <v>145</v>
      </c>
      <c r="S4503">
        <v>0</v>
      </c>
    </row>
    <row r="4504" spans="1:19">
      <c r="A4504" t="s">
        <v>35</v>
      </c>
      <c r="B4504" t="s">
        <v>9411</v>
      </c>
      <c r="C4504">
        <f>"FURLC"</f>
        <v>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5</v>
      </c>
      <c r="K4504">
        <v>20.25</v>
      </c>
      <c r="L4504" s="2">
        <v>4</v>
      </c>
      <c r="M4504">
        <v>0</v>
      </c>
      <c r="N4504" s="2">
        <v>0</v>
      </c>
      <c r="O4504">
        <v>-6</v>
      </c>
      <c r="P4504" t="s">
        <v>100</v>
      </c>
      <c r="Q4504">
        <v>0</v>
      </c>
      <c r="R4504" t="s">
        <v>145</v>
      </c>
      <c r="S4504">
        <v>0</v>
      </c>
    </row>
    <row r="4505" spans="1:19">
      <c r="A4505" t="s">
        <v>35</v>
      </c>
      <c r="B4505" t="s">
        <v>10046</v>
      </c>
      <c r="C4505">
        <f>"DR117A"</f>
        <v>0</v>
      </c>
      <c r="D4505">
        <v>0</v>
      </c>
      <c r="E4505">
        <v>0</v>
      </c>
      <c r="F4505">
        <v>0</v>
      </c>
      <c r="G4505">
        <v>0</v>
      </c>
      <c r="H4505">
        <v>0</v>
      </c>
      <c r="I4505">
        <v>0</v>
      </c>
      <c r="J4505">
        <v>5</v>
      </c>
      <c r="K4505">
        <v>83.25</v>
      </c>
      <c r="L4505" s="2">
        <v>17</v>
      </c>
      <c r="M4505">
        <v>0</v>
      </c>
      <c r="N4505" s="2">
        <v>0</v>
      </c>
      <c r="O4505">
        <v>-6</v>
      </c>
      <c r="P4505" t="s">
        <v>100</v>
      </c>
      <c r="Q4505">
        <v>0</v>
      </c>
      <c r="R4505" t="s">
        <v>145</v>
      </c>
      <c r="S4505">
        <v>0</v>
      </c>
    </row>
    <row r="4506" spans="1:19">
      <c r="A4506" t="s">
        <v>35</v>
      </c>
      <c r="B4506" t="s">
        <v>9639</v>
      </c>
      <c r="C4506">
        <f>"ACA40"</f>
        <v>0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5</v>
      </c>
      <c r="K4506">
        <v>4.905</v>
      </c>
      <c r="L4506" s="2">
        <v>1</v>
      </c>
      <c r="M4506">
        <v>0</v>
      </c>
      <c r="N4506" s="2">
        <v>0</v>
      </c>
      <c r="O4506">
        <v>-6</v>
      </c>
      <c r="P4506" t="s">
        <v>100</v>
      </c>
      <c r="Q4506">
        <v>0</v>
      </c>
      <c r="R4506" t="s">
        <v>145</v>
      </c>
      <c r="S4506">
        <v>0</v>
      </c>
    </row>
    <row r="4507" spans="1:19">
      <c r="A4507" t="s">
        <v>35</v>
      </c>
      <c r="B4507" t="s">
        <v>5811</v>
      </c>
      <c r="C4507">
        <f>"ZX011GR"</f>
        <v>0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0</v>
      </c>
      <c r="J4507">
        <v>5</v>
      </c>
      <c r="K4507">
        <v>6.075</v>
      </c>
      <c r="L4507" s="2">
        <v>1</v>
      </c>
      <c r="M4507">
        <v>0</v>
      </c>
      <c r="N4507" s="2">
        <v>0</v>
      </c>
      <c r="O4507">
        <v>-6</v>
      </c>
      <c r="P4507" t="s">
        <v>100</v>
      </c>
      <c r="Q4507">
        <v>0</v>
      </c>
      <c r="R4507" t="s">
        <v>145</v>
      </c>
      <c r="S4507">
        <v>0</v>
      </c>
    </row>
    <row r="4508" spans="1:19">
      <c r="A4508" t="s">
        <v>35</v>
      </c>
      <c r="B4508" t="s">
        <v>6516</v>
      </c>
      <c r="C4508">
        <f>"XQ22XS"</f>
        <v>0</v>
      </c>
      <c r="D4508">
        <v>0</v>
      </c>
      <c r="E4508">
        <v>0</v>
      </c>
      <c r="F4508">
        <v>0</v>
      </c>
      <c r="G4508">
        <v>0</v>
      </c>
      <c r="H4508">
        <v>0</v>
      </c>
      <c r="I4508">
        <v>0</v>
      </c>
      <c r="J4508">
        <v>5</v>
      </c>
      <c r="K4508">
        <v>14.625</v>
      </c>
      <c r="L4508" s="2">
        <v>3</v>
      </c>
      <c r="M4508">
        <v>0</v>
      </c>
      <c r="N4508" s="2">
        <v>0</v>
      </c>
      <c r="O4508">
        <v>-6</v>
      </c>
      <c r="P4508" t="s">
        <v>100</v>
      </c>
      <c r="Q4508">
        <v>0</v>
      </c>
      <c r="R4508" t="s">
        <v>145</v>
      </c>
      <c r="S4508">
        <v>0</v>
      </c>
    </row>
    <row r="4509" spans="1:19">
      <c r="A4509" t="s">
        <v>35</v>
      </c>
      <c r="B4509" t="s">
        <v>7049</v>
      </c>
      <c r="C4509">
        <f>"MH076A"</f>
        <v>0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5</v>
      </c>
      <c r="K4509">
        <v>20.983</v>
      </c>
      <c r="L4509" s="2">
        <v>4</v>
      </c>
      <c r="M4509">
        <v>0</v>
      </c>
      <c r="N4509" s="2">
        <v>0</v>
      </c>
      <c r="O4509">
        <v>-6</v>
      </c>
      <c r="P4509" t="s">
        <v>100</v>
      </c>
      <c r="Q4509">
        <v>0</v>
      </c>
      <c r="R4509" t="s">
        <v>145</v>
      </c>
      <c r="S4509">
        <v>0</v>
      </c>
    </row>
    <row r="4510" spans="1:19">
      <c r="A4510" t="s">
        <v>35</v>
      </c>
      <c r="B4510" t="s">
        <v>7026</v>
      </c>
      <c r="C4510">
        <f>"XQ34M"</f>
        <v>0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5</v>
      </c>
      <c r="K4510">
        <v>10.8</v>
      </c>
      <c r="L4510" s="2">
        <v>2</v>
      </c>
      <c r="M4510">
        <v>0</v>
      </c>
      <c r="N4510" s="2">
        <v>0</v>
      </c>
      <c r="O4510">
        <v>-6</v>
      </c>
      <c r="P4510" t="s">
        <v>100</v>
      </c>
      <c r="Q4510">
        <v>0</v>
      </c>
      <c r="R4510" t="s">
        <v>145</v>
      </c>
      <c r="S4510">
        <v>0</v>
      </c>
    </row>
    <row r="4511" spans="1:19">
      <c r="A4511" t="s">
        <v>35</v>
      </c>
      <c r="B4511" t="s">
        <v>2227</v>
      </c>
      <c r="C4511">
        <f>"JDC18"</f>
        <v>0</v>
      </c>
      <c r="D4511">
        <v>0</v>
      </c>
      <c r="E4511">
        <v>2</v>
      </c>
      <c r="F4511">
        <v>0</v>
      </c>
      <c r="G4511">
        <v>0</v>
      </c>
      <c r="H4511">
        <v>2</v>
      </c>
      <c r="I4511">
        <v>0</v>
      </c>
      <c r="J4511">
        <v>5</v>
      </c>
      <c r="K4511">
        <v>8.775</v>
      </c>
      <c r="L4511" s="2">
        <v>2</v>
      </c>
      <c r="M4511">
        <v>0</v>
      </c>
      <c r="N4511" s="2">
        <v>0</v>
      </c>
      <c r="O4511">
        <v>-6</v>
      </c>
      <c r="P4511" t="s">
        <v>100</v>
      </c>
      <c r="Q4511">
        <v>0</v>
      </c>
      <c r="R4511" t="s">
        <v>145</v>
      </c>
      <c r="S4511">
        <v>0</v>
      </c>
    </row>
    <row r="4512" spans="1:19">
      <c r="A4512" t="s">
        <v>35</v>
      </c>
      <c r="B4512" t="s">
        <v>8465</v>
      </c>
      <c r="C4512">
        <f>"ER131"</f>
        <v>0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5</v>
      </c>
      <c r="K4512">
        <v>19.125</v>
      </c>
      <c r="L4512" s="2">
        <v>4</v>
      </c>
      <c r="M4512">
        <v>0</v>
      </c>
      <c r="N4512" s="2">
        <v>0</v>
      </c>
      <c r="O4512">
        <v>-6</v>
      </c>
      <c r="P4512" t="s">
        <v>100</v>
      </c>
      <c r="Q4512">
        <v>0</v>
      </c>
      <c r="R4512" t="s">
        <v>145</v>
      </c>
      <c r="S4512">
        <v>0</v>
      </c>
    </row>
    <row r="4513" spans="1:19">
      <c r="A4513" t="s">
        <v>35</v>
      </c>
      <c r="B4513" t="s">
        <v>5020</v>
      </c>
      <c r="C4513">
        <f>"1823LGS"</f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5</v>
      </c>
      <c r="K4513">
        <v>23.4</v>
      </c>
      <c r="L4513" s="2">
        <v>5</v>
      </c>
      <c r="M4513">
        <v>0</v>
      </c>
      <c r="N4513" s="2">
        <v>0</v>
      </c>
      <c r="O4513">
        <v>-6</v>
      </c>
      <c r="P4513" t="s">
        <v>100</v>
      </c>
      <c r="Q4513">
        <v>0</v>
      </c>
      <c r="R4513" t="s">
        <v>145</v>
      </c>
      <c r="S4513">
        <v>0</v>
      </c>
    </row>
    <row r="4514" spans="1:19">
      <c r="A4514" t="s">
        <v>35</v>
      </c>
      <c r="B4514" t="s">
        <v>8420</v>
      </c>
      <c r="C4514">
        <f>"YY201CHINI"</f>
        <v>0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5</v>
      </c>
      <c r="K4514">
        <v>6.525</v>
      </c>
      <c r="L4514" s="2">
        <v>1</v>
      </c>
      <c r="M4514">
        <v>0</v>
      </c>
      <c r="N4514" s="2">
        <v>0</v>
      </c>
      <c r="O4514">
        <v>-6</v>
      </c>
      <c r="P4514" t="s">
        <v>100</v>
      </c>
      <c r="Q4514">
        <v>0</v>
      </c>
      <c r="R4514" t="s">
        <v>145</v>
      </c>
      <c r="S4514">
        <v>0</v>
      </c>
    </row>
    <row r="4515" spans="1:19">
      <c r="A4515" t="s">
        <v>35</v>
      </c>
      <c r="B4515" t="s">
        <v>7100</v>
      </c>
      <c r="C4515">
        <f>"XQ340XL"</f>
        <v>0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5</v>
      </c>
      <c r="K4515">
        <v>15.525</v>
      </c>
      <c r="L4515" s="2">
        <v>3</v>
      </c>
      <c r="M4515">
        <v>0</v>
      </c>
      <c r="N4515" s="2">
        <v>0</v>
      </c>
      <c r="O4515">
        <v>-6</v>
      </c>
      <c r="P4515" t="s">
        <v>100</v>
      </c>
      <c r="Q4515">
        <v>0</v>
      </c>
      <c r="R4515" t="s">
        <v>145</v>
      </c>
      <c r="S4515">
        <v>0</v>
      </c>
    </row>
    <row r="4516" spans="1:19">
      <c r="A4516" t="s">
        <v>35</v>
      </c>
      <c r="B4516" t="s">
        <v>7115</v>
      </c>
      <c r="C4516">
        <f>"XQ31XXL"</f>
        <v>0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5</v>
      </c>
      <c r="K4516">
        <v>10.125</v>
      </c>
      <c r="L4516" s="2">
        <v>2</v>
      </c>
      <c r="M4516">
        <v>0</v>
      </c>
      <c r="N4516" s="2">
        <v>0</v>
      </c>
      <c r="O4516">
        <v>-6</v>
      </c>
      <c r="P4516" t="s">
        <v>100</v>
      </c>
      <c r="Q4516">
        <v>0</v>
      </c>
      <c r="R4516" t="s">
        <v>145</v>
      </c>
      <c r="S4516">
        <v>0</v>
      </c>
    </row>
    <row r="4517" spans="1:19">
      <c r="A4517" t="s">
        <v>35</v>
      </c>
      <c r="B4517" t="s">
        <v>7118</v>
      </c>
      <c r="C4517">
        <f>"3117CS"</f>
        <v>0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0</v>
      </c>
      <c r="J4517">
        <v>5</v>
      </c>
      <c r="K4517">
        <v>25.425</v>
      </c>
      <c r="L4517" s="2">
        <v>5</v>
      </c>
      <c r="M4517">
        <v>0</v>
      </c>
      <c r="N4517" s="2">
        <v>0</v>
      </c>
      <c r="O4517">
        <v>-6</v>
      </c>
      <c r="P4517" t="s">
        <v>100</v>
      </c>
      <c r="Q4517">
        <v>0</v>
      </c>
      <c r="R4517" t="s">
        <v>145</v>
      </c>
      <c r="S4517">
        <v>0</v>
      </c>
    </row>
    <row r="4518" spans="1:19">
      <c r="A4518" t="s">
        <v>35</v>
      </c>
      <c r="B4518" t="s">
        <v>6546</v>
      </c>
      <c r="C4518">
        <f>"JWZ1011L"</f>
        <v>0</v>
      </c>
      <c r="D4518">
        <v>0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5</v>
      </c>
      <c r="K4518">
        <v>5.175</v>
      </c>
      <c r="L4518" s="2">
        <v>1</v>
      </c>
      <c r="M4518">
        <v>0</v>
      </c>
      <c r="N4518" s="2">
        <v>0</v>
      </c>
      <c r="O4518">
        <v>-6</v>
      </c>
      <c r="P4518" t="s">
        <v>100</v>
      </c>
      <c r="Q4518">
        <v>0</v>
      </c>
      <c r="R4518" t="s">
        <v>145</v>
      </c>
      <c r="S4518">
        <v>0</v>
      </c>
    </row>
    <row r="4519" spans="1:19">
      <c r="A4519" t="s">
        <v>35</v>
      </c>
      <c r="B4519" t="s">
        <v>8584</v>
      </c>
      <c r="C4519">
        <f>"ER136"</f>
        <v>0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5</v>
      </c>
      <c r="K4519">
        <v>9.449999999999999</v>
      </c>
      <c r="L4519" s="2">
        <v>2</v>
      </c>
      <c r="M4519">
        <v>0</v>
      </c>
      <c r="N4519" s="2">
        <v>0</v>
      </c>
      <c r="O4519">
        <v>-6</v>
      </c>
      <c r="P4519" t="s">
        <v>100</v>
      </c>
      <c r="Q4519">
        <v>0</v>
      </c>
      <c r="R4519" t="s">
        <v>145</v>
      </c>
      <c r="S4519">
        <v>0</v>
      </c>
    </row>
    <row r="4520" spans="1:19">
      <c r="A4520" t="s">
        <v>35</v>
      </c>
      <c r="B4520" t="s">
        <v>345</v>
      </c>
      <c r="C4520">
        <f>"RJ824G"</f>
        <v>0</v>
      </c>
      <c r="D4520">
        <v>0</v>
      </c>
      <c r="E4520">
        <v>0</v>
      </c>
      <c r="F4520">
        <v>1</v>
      </c>
      <c r="G4520">
        <v>0</v>
      </c>
      <c r="H4520">
        <v>1</v>
      </c>
      <c r="I4520">
        <v>0</v>
      </c>
      <c r="J4520">
        <v>5</v>
      </c>
      <c r="K4520">
        <v>14.4</v>
      </c>
      <c r="L4520" s="2">
        <v>3</v>
      </c>
      <c r="M4520">
        <v>0</v>
      </c>
      <c r="N4520" s="2">
        <v>0</v>
      </c>
      <c r="O4520">
        <v>-6</v>
      </c>
      <c r="P4520" t="s">
        <v>100</v>
      </c>
      <c r="Q4520">
        <v>0</v>
      </c>
      <c r="R4520" t="s">
        <v>145</v>
      </c>
      <c r="S4520">
        <v>0</v>
      </c>
    </row>
    <row r="4521" spans="1:19">
      <c r="A4521" t="s">
        <v>35</v>
      </c>
      <c r="B4521" t="s">
        <v>7701</v>
      </c>
      <c r="C4521">
        <f>"FB6733XLA"</f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5</v>
      </c>
      <c r="K4521">
        <v>30.45</v>
      </c>
      <c r="L4521" s="2">
        <v>6</v>
      </c>
      <c r="M4521">
        <v>0</v>
      </c>
      <c r="N4521" s="2">
        <v>0</v>
      </c>
      <c r="O4521">
        <v>-6</v>
      </c>
      <c r="P4521" t="s">
        <v>100</v>
      </c>
      <c r="Q4521">
        <v>0</v>
      </c>
      <c r="R4521" t="s">
        <v>145</v>
      </c>
      <c r="S4521">
        <v>0</v>
      </c>
    </row>
    <row r="4522" spans="1:19">
      <c r="A4522" t="s">
        <v>35</v>
      </c>
      <c r="B4522" t="s">
        <v>6483</v>
      </c>
      <c r="C4522">
        <f>"CQ01L"</f>
        <v>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5</v>
      </c>
      <c r="K4522">
        <v>13.005</v>
      </c>
      <c r="L4522" s="2">
        <v>3</v>
      </c>
      <c r="M4522">
        <v>0</v>
      </c>
      <c r="N4522" s="2">
        <v>0</v>
      </c>
      <c r="O4522">
        <v>-6</v>
      </c>
      <c r="P4522" t="s">
        <v>100</v>
      </c>
      <c r="Q4522">
        <v>0</v>
      </c>
      <c r="R4522" t="s">
        <v>145</v>
      </c>
      <c r="S4522">
        <v>0</v>
      </c>
    </row>
    <row r="4523" spans="1:19">
      <c r="A4523" t="s">
        <v>35</v>
      </c>
      <c r="B4523" t="s">
        <v>9146</v>
      </c>
      <c r="C4523">
        <f>"XDB418"</f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5</v>
      </c>
      <c r="K4523">
        <v>179.55</v>
      </c>
      <c r="L4523" s="2">
        <v>36</v>
      </c>
      <c r="M4523">
        <v>0</v>
      </c>
      <c r="N4523" s="2">
        <v>0</v>
      </c>
      <c r="O4523">
        <v>-6</v>
      </c>
      <c r="P4523" t="s">
        <v>100</v>
      </c>
      <c r="Q4523">
        <v>0</v>
      </c>
      <c r="R4523" t="s">
        <v>145</v>
      </c>
      <c r="S4523">
        <v>0</v>
      </c>
    </row>
    <row r="4524" spans="1:19">
      <c r="A4524" t="s">
        <v>35</v>
      </c>
      <c r="B4524" t="s">
        <v>896</v>
      </c>
      <c r="C4524">
        <f>"RJ825G"</f>
        <v>0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5</v>
      </c>
      <c r="K4524">
        <v>16.2</v>
      </c>
      <c r="L4524" s="2">
        <v>3</v>
      </c>
      <c r="M4524">
        <v>0</v>
      </c>
      <c r="N4524" s="2">
        <v>0</v>
      </c>
      <c r="O4524">
        <v>-6</v>
      </c>
      <c r="P4524" t="s">
        <v>100</v>
      </c>
      <c r="Q4524">
        <v>0</v>
      </c>
      <c r="R4524" t="s">
        <v>145</v>
      </c>
      <c r="S4524">
        <v>0</v>
      </c>
    </row>
    <row r="4525" spans="1:19">
      <c r="A4525" t="s">
        <v>35</v>
      </c>
      <c r="B4525" t="s">
        <v>8680</v>
      </c>
      <c r="C4525">
        <f>"DN185"</f>
        <v>0</v>
      </c>
      <c r="D4525">
        <v>0</v>
      </c>
      <c r="E4525">
        <v>0</v>
      </c>
      <c r="F4525">
        <v>0</v>
      </c>
      <c r="G4525">
        <v>0</v>
      </c>
      <c r="H4525">
        <v>0</v>
      </c>
      <c r="I4525">
        <v>0</v>
      </c>
      <c r="J4525">
        <v>5</v>
      </c>
      <c r="K4525">
        <v>11.025</v>
      </c>
      <c r="L4525" s="2">
        <v>2</v>
      </c>
      <c r="M4525">
        <v>0</v>
      </c>
      <c r="N4525" s="2">
        <v>0</v>
      </c>
      <c r="O4525">
        <v>-6</v>
      </c>
      <c r="P4525" t="s">
        <v>100</v>
      </c>
      <c r="Q4525">
        <v>0</v>
      </c>
      <c r="R4525" t="s">
        <v>145</v>
      </c>
      <c r="S4525">
        <v>0</v>
      </c>
    </row>
    <row r="4526" spans="1:19">
      <c r="A4526" t="s">
        <v>35</v>
      </c>
      <c r="B4526" t="s">
        <v>5212</v>
      </c>
      <c r="C4526">
        <f>"TC2001COR"</f>
        <v>0</v>
      </c>
      <c r="D4526">
        <v>0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5</v>
      </c>
      <c r="K4526">
        <v>4.275</v>
      </c>
      <c r="L4526" s="2">
        <v>1</v>
      </c>
      <c r="M4526">
        <v>0</v>
      </c>
      <c r="N4526" s="2">
        <v>0</v>
      </c>
      <c r="O4526">
        <v>-6</v>
      </c>
      <c r="P4526" t="s">
        <v>100</v>
      </c>
      <c r="Q4526">
        <v>0</v>
      </c>
      <c r="R4526" t="s">
        <v>145</v>
      </c>
      <c r="S4526">
        <v>0</v>
      </c>
    </row>
    <row r="4527" spans="1:19">
      <c r="A4527" t="s">
        <v>35</v>
      </c>
      <c r="B4527" t="s">
        <v>9194</v>
      </c>
      <c r="C4527">
        <f>"SDR110A"</f>
        <v>0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5</v>
      </c>
      <c r="K4527">
        <v>7.425</v>
      </c>
      <c r="L4527" s="2">
        <v>1</v>
      </c>
      <c r="M4527">
        <v>0</v>
      </c>
      <c r="N4527" s="2">
        <v>0</v>
      </c>
      <c r="O4527">
        <v>-6</v>
      </c>
      <c r="P4527" t="s">
        <v>100</v>
      </c>
      <c r="Q4527">
        <v>0</v>
      </c>
      <c r="R4527" t="s">
        <v>145</v>
      </c>
      <c r="S4527">
        <v>0</v>
      </c>
    </row>
    <row r="4528" spans="1:19">
      <c r="A4528" t="s">
        <v>35</v>
      </c>
      <c r="B4528" t="s">
        <v>5213</v>
      </c>
      <c r="C4528">
        <f>"CT146"</f>
        <v>0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5</v>
      </c>
      <c r="K4528">
        <v>7.155</v>
      </c>
      <c r="L4528" s="2">
        <v>1</v>
      </c>
      <c r="M4528">
        <v>0</v>
      </c>
      <c r="N4528" s="2">
        <v>0</v>
      </c>
      <c r="O4528">
        <v>-6</v>
      </c>
      <c r="P4528" t="s">
        <v>100</v>
      </c>
      <c r="Q4528">
        <v>0</v>
      </c>
      <c r="R4528" t="s">
        <v>145</v>
      </c>
      <c r="S4528">
        <v>0</v>
      </c>
    </row>
    <row r="4529" spans="1:19">
      <c r="A4529" t="s">
        <v>35</v>
      </c>
      <c r="B4529" t="s">
        <v>9198</v>
      </c>
      <c r="C4529">
        <f>"ZRD2019134"</f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5</v>
      </c>
      <c r="K4529">
        <v>29.574</v>
      </c>
      <c r="L4529" s="2">
        <v>6</v>
      </c>
      <c r="M4529">
        <v>0</v>
      </c>
      <c r="N4529" s="2">
        <v>0</v>
      </c>
      <c r="O4529">
        <v>-6</v>
      </c>
      <c r="P4529" t="s">
        <v>100</v>
      </c>
      <c r="Q4529">
        <v>0</v>
      </c>
      <c r="R4529" t="s">
        <v>145</v>
      </c>
      <c r="S4529">
        <v>0</v>
      </c>
    </row>
    <row r="4530" spans="1:19">
      <c r="A4530" t="s">
        <v>35</v>
      </c>
      <c r="B4530" t="s">
        <v>7727</v>
      </c>
      <c r="C4530">
        <f>"B19222XLN"</f>
        <v>0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5</v>
      </c>
      <c r="K4530">
        <v>50.445</v>
      </c>
      <c r="L4530" s="2">
        <v>10</v>
      </c>
      <c r="M4530">
        <v>0</v>
      </c>
      <c r="N4530" s="2">
        <v>0</v>
      </c>
      <c r="O4530">
        <v>-6</v>
      </c>
      <c r="P4530" t="s">
        <v>100</v>
      </c>
      <c r="Q4530">
        <v>0</v>
      </c>
      <c r="R4530" t="s">
        <v>145</v>
      </c>
      <c r="S4530">
        <v>0</v>
      </c>
    </row>
    <row r="4531" spans="1:19">
      <c r="A4531" t="s">
        <v>35</v>
      </c>
      <c r="B4531" t="s">
        <v>2434</v>
      </c>
      <c r="C4531">
        <f>"TC2010"</f>
        <v>0</v>
      </c>
      <c r="D4531">
        <v>0</v>
      </c>
      <c r="E4531">
        <v>0</v>
      </c>
      <c r="F4531">
        <v>1</v>
      </c>
      <c r="G4531">
        <v>0</v>
      </c>
      <c r="H4531">
        <v>1</v>
      </c>
      <c r="I4531">
        <v>0</v>
      </c>
      <c r="J4531">
        <v>5</v>
      </c>
      <c r="K4531">
        <v>3.303</v>
      </c>
      <c r="L4531" s="2">
        <v>1</v>
      </c>
      <c r="M4531">
        <v>0</v>
      </c>
      <c r="N4531" s="2">
        <v>0</v>
      </c>
      <c r="O4531">
        <v>-6</v>
      </c>
      <c r="P4531" t="s">
        <v>100</v>
      </c>
      <c r="Q4531">
        <v>0</v>
      </c>
      <c r="R4531" t="s">
        <v>145</v>
      </c>
      <c r="S4531">
        <v>0</v>
      </c>
    </row>
    <row r="4532" spans="1:19">
      <c r="A4532" t="s">
        <v>35</v>
      </c>
      <c r="B4532" t="s">
        <v>6263</v>
      </c>
      <c r="C4532">
        <f>"851350"</f>
        <v>0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5</v>
      </c>
      <c r="K4532">
        <v>22.296</v>
      </c>
      <c r="L4532" s="2">
        <v>4</v>
      </c>
      <c r="M4532">
        <v>0</v>
      </c>
      <c r="N4532" s="2">
        <v>0</v>
      </c>
      <c r="O4532">
        <v>-6</v>
      </c>
      <c r="P4532" t="s">
        <v>100</v>
      </c>
      <c r="Q4532">
        <v>0</v>
      </c>
      <c r="R4532" t="s">
        <v>145</v>
      </c>
      <c r="S4532">
        <v>0</v>
      </c>
    </row>
    <row r="4533" spans="1:19">
      <c r="A4533" t="s">
        <v>35</v>
      </c>
      <c r="B4533" t="s">
        <v>7165</v>
      </c>
      <c r="C4533">
        <f>"LS209GB"</f>
        <v>0</v>
      </c>
      <c r="D4533">
        <v>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5</v>
      </c>
      <c r="K4533">
        <v>33.75</v>
      </c>
      <c r="L4533" s="2">
        <v>7</v>
      </c>
      <c r="M4533">
        <v>0</v>
      </c>
      <c r="N4533" s="2">
        <v>0</v>
      </c>
      <c r="O4533">
        <v>-6</v>
      </c>
      <c r="P4533" t="s">
        <v>100</v>
      </c>
      <c r="Q4533">
        <v>0</v>
      </c>
      <c r="R4533" t="s">
        <v>145</v>
      </c>
      <c r="S4533">
        <v>0</v>
      </c>
    </row>
    <row r="4534" spans="1:19">
      <c r="A4534" t="s">
        <v>35</v>
      </c>
      <c r="B4534" t="s">
        <v>3825</v>
      </c>
      <c r="C4534">
        <f>"WD05330C"</f>
        <v>0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5</v>
      </c>
      <c r="K4534">
        <v>26.55</v>
      </c>
      <c r="L4534" s="2">
        <v>5</v>
      </c>
      <c r="M4534">
        <v>0</v>
      </c>
      <c r="N4534" s="2">
        <v>0</v>
      </c>
      <c r="O4534">
        <v>-6</v>
      </c>
      <c r="P4534" t="s">
        <v>100</v>
      </c>
      <c r="Q4534">
        <v>0</v>
      </c>
      <c r="R4534" t="s">
        <v>145</v>
      </c>
      <c r="S4534">
        <v>0</v>
      </c>
    </row>
    <row r="4535" spans="1:19">
      <c r="A4535" t="s">
        <v>35</v>
      </c>
      <c r="B4535" t="s">
        <v>4985</v>
      </c>
      <c r="C4535">
        <f>"1854LVXS"</f>
        <v>0</v>
      </c>
      <c r="D4535">
        <v>0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5</v>
      </c>
      <c r="K4535">
        <v>19.845</v>
      </c>
      <c r="L4535" s="2">
        <v>4</v>
      </c>
      <c r="M4535">
        <v>0</v>
      </c>
      <c r="N4535" s="2">
        <v>0</v>
      </c>
      <c r="O4535">
        <v>-6</v>
      </c>
      <c r="P4535" t="s">
        <v>100</v>
      </c>
      <c r="Q4535">
        <v>0</v>
      </c>
      <c r="R4535" t="s">
        <v>145</v>
      </c>
      <c r="S4535">
        <v>0</v>
      </c>
    </row>
    <row r="4536" spans="1:19">
      <c r="A4536" t="s">
        <v>35</v>
      </c>
      <c r="B4536" t="s">
        <v>4984</v>
      </c>
      <c r="C4536">
        <f>"1854LVXXS"</f>
        <v>0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5</v>
      </c>
      <c r="K4536">
        <v>16.065</v>
      </c>
      <c r="L4536" s="2">
        <v>3</v>
      </c>
      <c r="M4536">
        <v>0</v>
      </c>
      <c r="N4536" s="2">
        <v>0</v>
      </c>
      <c r="O4536">
        <v>-6</v>
      </c>
      <c r="P4536" t="s">
        <v>100</v>
      </c>
      <c r="Q4536">
        <v>0</v>
      </c>
      <c r="R4536" t="s">
        <v>145</v>
      </c>
      <c r="S4536">
        <v>0</v>
      </c>
    </row>
    <row r="4537" spans="1:19">
      <c r="A4537" t="s">
        <v>35</v>
      </c>
      <c r="B4537" t="s">
        <v>7064</v>
      </c>
      <c r="C4537">
        <f>"PT3117M"</f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5</v>
      </c>
      <c r="K4537">
        <v>23.4</v>
      </c>
      <c r="L4537" s="2">
        <v>5</v>
      </c>
      <c r="M4537">
        <v>0</v>
      </c>
      <c r="N4537" s="2">
        <v>0</v>
      </c>
      <c r="O4537">
        <v>-6</v>
      </c>
      <c r="P4537" t="s">
        <v>100</v>
      </c>
      <c r="Q4537">
        <v>0</v>
      </c>
      <c r="R4537" t="s">
        <v>145</v>
      </c>
      <c r="S4537">
        <v>0</v>
      </c>
    </row>
    <row r="4538" spans="1:19">
      <c r="A4538" t="s">
        <v>35</v>
      </c>
      <c r="B4538" t="s">
        <v>8497</v>
      </c>
      <c r="C4538">
        <f>"GDXBM"</f>
        <v>0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5</v>
      </c>
      <c r="K4538">
        <v>12.375</v>
      </c>
      <c r="L4538" s="2">
        <v>2</v>
      </c>
      <c r="M4538">
        <v>0</v>
      </c>
      <c r="N4538" s="2">
        <v>0</v>
      </c>
      <c r="O4538">
        <v>-6</v>
      </c>
      <c r="P4538" t="s">
        <v>100</v>
      </c>
      <c r="Q4538">
        <v>0</v>
      </c>
      <c r="R4538" t="s">
        <v>145</v>
      </c>
      <c r="S4538">
        <v>0</v>
      </c>
    </row>
    <row r="4539" spans="1:19">
      <c r="A4539" t="s">
        <v>35</v>
      </c>
      <c r="B4539" t="s">
        <v>2710</v>
      </c>
      <c r="C4539">
        <f>"7656M"</f>
        <v>0</v>
      </c>
      <c r="D4539">
        <v>0</v>
      </c>
      <c r="E4539">
        <v>1</v>
      </c>
      <c r="F4539">
        <v>0</v>
      </c>
      <c r="G4539">
        <v>0</v>
      </c>
      <c r="H4539">
        <v>1</v>
      </c>
      <c r="I4539">
        <v>0</v>
      </c>
      <c r="J4539">
        <v>5</v>
      </c>
      <c r="K4539">
        <v>56.25</v>
      </c>
      <c r="L4539" s="2">
        <v>11</v>
      </c>
      <c r="M4539">
        <v>0</v>
      </c>
      <c r="N4539" s="2">
        <v>0</v>
      </c>
      <c r="O4539">
        <v>-6</v>
      </c>
      <c r="P4539" t="s">
        <v>100</v>
      </c>
      <c r="Q4539">
        <v>0</v>
      </c>
      <c r="R4539" t="s">
        <v>145</v>
      </c>
      <c r="S4539">
        <v>0</v>
      </c>
    </row>
    <row r="4540" spans="1:19">
      <c r="A4540" t="s">
        <v>35</v>
      </c>
      <c r="B4540" t="s">
        <v>3813</v>
      </c>
      <c r="C4540">
        <f>"CP1178"</f>
        <v>0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5</v>
      </c>
      <c r="K4540">
        <v>31.455</v>
      </c>
      <c r="L4540" s="2">
        <v>6</v>
      </c>
      <c r="M4540">
        <v>0</v>
      </c>
      <c r="N4540" s="2">
        <v>0</v>
      </c>
      <c r="O4540">
        <v>-6</v>
      </c>
      <c r="P4540" t="s">
        <v>100</v>
      </c>
      <c r="Q4540">
        <v>0</v>
      </c>
      <c r="R4540" t="s">
        <v>145</v>
      </c>
      <c r="S4540">
        <v>0</v>
      </c>
    </row>
    <row r="4541" spans="1:19">
      <c r="A4541" t="s">
        <v>35</v>
      </c>
      <c r="B4541" t="s">
        <v>6501</v>
      </c>
      <c r="C4541">
        <f>"S1"</f>
        <v>0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5</v>
      </c>
      <c r="K4541">
        <v>18.9</v>
      </c>
      <c r="L4541" s="2">
        <v>4</v>
      </c>
      <c r="M4541">
        <v>0</v>
      </c>
      <c r="N4541" s="2">
        <v>0</v>
      </c>
      <c r="O4541">
        <v>-6</v>
      </c>
      <c r="P4541" t="s">
        <v>100</v>
      </c>
      <c r="Q4541">
        <v>0</v>
      </c>
      <c r="R4541" t="s">
        <v>145</v>
      </c>
      <c r="S4541">
        <v>0</v>
      </c>
    </row>
    <row r="4542" spans="1:19">
      <c r="A4542" t="s">
        <v>35</v>
      </c>
      <c r="B4542" t="s">
        <v>6500</v>
      </c>
      <c r="C4542">
        <f>"S6"</f>
        <v>0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5</v>
      </c>
      <c r="K4542">
        <v>26.775</v>
      </c>
      <c r="L4542" s="2">
        <v>5</v>
      </c>
      <c r="M4542">
        <v>0</v>
      </c>
      <c r="N4542" s="2">
        <v>0</v>
      </c>
      <c r="O4542">
        <v>-6</v>
      </c>
      <c r="P4542" t="s">
        <v>100</v>
      </c>
      <c r="Q4542">
        <v>0</v>
      </c>
      <c r="R4542" t="s">
        <v>145</v>
      </c>
      <c r="S4542">
        <v>0</v>
      </c>
    </row>
    <row r="4543" spans="1:19">
      <c r="A4543" t="s">
        <v>35</v>
      </c>
      <c r="B4543" t="s">
        <v>4406</v>
      </c>
      <c r="C4543">
        <f>"TQ107C"</f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5</v>
      </c>
      <c r="K4543">
        <v>2.115</v>
      </c>
      <c r="L4543" s="2">
        <v>0</v>
      </c>
      <c r="M4543">
        <v>0</v>
      </c>
      <c r="N4543" s="2">
        <v>0</v>
      </c>
      <c r="O4543">
        <v>-6</v>
      </c>
      <c r="P4543" t="s">
        <v>100</v>
      </c>
      <c r="Q4543">
        <v>0</v>
      </c>
      <c r="R4543" t="s">
        <v>145</v>
      </c>
      <c r="S4543">
        <v>0</v>
      </c>
    </row>
    <row r="4544" spans="1:19">
      <c r="A4544" t="s">
        <v>35</v>
      </c>
      <c r="B4544" t="s">
        <v>2393</v>
      </c>
      <c r="C4544">
        <f>"LS199C"</f>
        <v>0</v>
      </c>
      <c r="D4544">
        <v>0</v>
      </c>
      <c r="E4544">
        <v>1</v>
      </c>
      <c r="F4544">
        <v>0</v>
      </c>
      <c r="G4544">
        <v>0</v>
      </c>
      <c r="H4544">
        <v>1</v>
      </c>
      <c r="I4544">
        <v>0</v>
      </c>
      <c r="J4544">
        <v>5</v>
      </c>
      <c r="K4544">
        <v>24.75</v>
      </c>
      <c r="L4544" s="2">
        <v>5</v>
      </c>
      <c r="M4544">
        <v>0</v>
      </c>
      <c r="N4544" s="2">
        <v>0</v>
      </c>
      <c r="O4544">
        <v>-6</v>
      </c>
      <c r="P4544" t="s">
        <v>100</v>
      </c>
      <c r="Q4544">
        <v>0</v>
      </c>
      <c r="R4544" t="s">
        <v>145</v>
      </c>
      <c r="S4544">
        <v>0</v>
      </c>
    </row>
    <row r="4545" spans="1:19">
      <c r="A4545" t="s">
        <v>35</v>
      </c>
      <c r="B4545" t="s">
        <v>6762</v>
      </c>
      <c r="C4545">
        <f>"1761CSROJ"</f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5</v>
      </c>
      <c r="K4545">
        <v>0</v>
      </c>
      <c r="L4545" s="2">
        <v>0</v>
      </c>
      <c r="M4545">
        <v>0</v>
      </c>
      <c r="N4545" s="2">
        <v>0</v>
      </c>
      <c r="O4545">
        <v>-6</v>
      </c>
      <c r="P4545" t="s">
        <v>100</v>
      </c>
      <c r="Q4545">
        <v>0</v>
      </c>
      <c r="R4545" t="s">
        <v>145</v>
      </c>
      <c r="S4545">
        <v>0</v>
      </c>
    </row>
    <row r="4546" spans="1:19">
      <c r="A4546" t="s">
        <v>35</v>
      </c>
      <c r="B4546" t="s">
        <v>3610</v>
      </c>
      <c r="C4546">
        <f>"1880ROS"</f>
        <v>0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5</v>
      </c>
      <c r="K4546">
        <v>51.75</v>
      </c>
      <c r="L4546" s="2">
        <v>10</v>
      </c>
      <c r="M4546">
        <v>0</v>
      </c>
      <c r="N4546" s="2">
        <v>0</v>
      </c>
      <c r="O4546">
        <v>-6</v>
      </c>
      <c r="P4546" t="s">
        <v>100</v>
      </c>
      <c r="Q4546">
        <v>0</v>
      </c>
      <c r="R4546" t="s">
        <v>145</v>
      </c>
      <c r="S4546">
        <v>0</v>
      </c>
    </row>
    <row r="4547" spans="1:19">
      <c r="A4547" t="s">
        <v>35</v>
      </c>
      <c r="B4547" t="s">
        <v>10009</v>
      </c>
      <c r="C4547">
        <f>"HP112S"</f>
        <v>0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5</v>
      </c>
      <c r="K4547">
        <v>20.025</v>
      </c>
      <c r="L4547" s="2">
        <v>4</v>
      </c>
      <c r="M4547">
        <v>0</v>
      </c>
      <c r="N4547" s="2">
        <v>0</v>
      </c>
      <c r="O4547">
        <v>-6</v>
      </c>
      <c r="P4547" t="s">
        <v>100</v>
      </c>
      <c r="Q4547">
        <v>0</v>
      </c>
      <c r="R4547" t="s">
        <v>145</v>
      </c>
      <c r="S4547">
        <v>0</v>
      </c>
    </row>
    <row r="4548" spans="1:19">
      <c r="A4548" t="s">
        <v>35</v>
      </c>
      <c r="B4548" t="s">
        <v>7716</v>
      </c>
      <c r="C4548">
        <f>"FB673SG"</f>
        <v>0</v>
      </c>
      <c r="D4548">
        <v>0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5</v>
      </c>
      <c r="K4548">
        <v>22.131</v>
      </c>
      <c r="L4548" s="2">
        <v>4</v>
      </c>
      <c r="M4548">
        <v>0</v>
      </c>
      <c r="N4548" s="2">
        <v>0</v>
      </c>
      <c r="O4548">
        <v>-6</v>
      </c>
      <c r="P4548" t="s">
        <v>100</v>
      </c>
      <c r="Q4548">
        <v>0</v>
      </c>
      <c r="R4548" t="s">
        <v>145</v>
      </c>
      <c r="S4548">
        <v>0</v>
      </c>
    </row>
    <row r="4549" spans="1:19">
      <c r="A4549" t="s">
        <v>35</v>
      </c>
      <c r="B4549" t="s">
        <v>9386</v>
      </c>
      <c r="C4549">
        <f>"PT015XSCC"</f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5</v>
      </c>
      <c r="K4549">
        <v>11.925</v>
      </c>
      <c r="L4549" s="2">
        <v>2</v>
      </c>
      <c r="M4549">
        <v>0</v>
      </c>
      <c r="N4549" s="2">
        <v>0</v>
      </c>
      <c r="O4549">
        <v>-6</v>
      </c>
      <c r="P4549" t="s">
        <v>100</v>
      </c>
      <c r="Q4549">
        <v>0</v>
      </c>
      <c r="R4549" t="s">
        <v>145</v>
      </c>
      <c r="S4549">
        <v>0</v>
      </c>
    </row>
    <row r="4550" spans="1:19">
      <c r="A4550" t="s">
        <v>35</v>
      </c>
      <c r="B4550" t="s">
        <v>4163</v>
      </c>
      <c r="C4550">
        <f>"FB681XLV"</f>
        <v>0</v>
      </c>
      <c r="D4550">
        <v>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5</v>
      </c>
      <c r="K4550">
        <v>33.075</v>
      </c>
      <c r="L4550" s="2">
        <v>7</v>
      </c>
      <c r="M4550">
        <v>0</v>
      </c>
      <c r="N4550" s="2">
        <v>0</v>
      </c>
      <c r="O4550">
        <v>-6</v>
      </c>
      <c r="P4550" t="s">
        <v>100</v>
      </c>
      <c r="Q4550">
        <v>0</v>
      </c>
      <c r="R4550" t="s">
        <v>145</v>
      </c>
      <c r="S4550">
        <v>0</v>
      </c>
    </row>
    <row r="4551" spans="1:19">
      <c r="A4551" t="s">
        <v>35</v>
      </c>
      <c r="B4551" t="s">
        <v>8166</v>
      </c>
      <c r="C4551">
        <f>"D14XL"</f>
        <v>0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5</v>
      </c>
      <c r="K4551">
        <v>23.175</v>
      </c>
      <c r="L4551" s="2">
        <v>5</v>
      </c>
      <c r="M4551">
        <v>0</v>
      </c>
      <c r="N4551" s="2">
        <v>0</v>
      </c>
      <c r="O4551">
        <v>-6</v>
      </c>
      <c r="P4551" t="s">
        <v>100</v>
      </c>
      <c r="Q4551">
        <v>0</v>
      </c>
      <c r="R4551" t="s">
        <v>145</v>
      </c>
      <c r="S4551">
        <v>0</v>
      </c>
    </row>
    <row r="4552" spans="1:19">
      <c r="A4552" t="s">
        <v>35</v>
      </c>
      <c r="B4552" t="s">
        <v>4871</v>
      </c>
      <c r="C4552">
        <f>"JWL1052M"</f>
        <v>0</v>
      </c>
      <c r="D4552">
        <v>0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5</v>
      </c>
      <c r="K4552">
        <v>8.505000000000001</v>
      </c>
      <c r="L4552" s="2">
        <v>2</v>
      </c>
      <c r="M4552">
        <v>0</v>
      </c>
      <c r="N4552" s="2">
        <v>0</v>
      </c>
      <c r="O4552">
        <v>-6</v>
      </c>
      <c r="P4552" t="s">
        <v>100</v>
      </c>
      <c r="Q4552">
        <v>0</v>
      </c>
      <c r="R4552" t="s">
        <v>145</v>
      </c>
      <c r="S4552">
        <v>0</v>
      </c>
    </row>
    <row r="4553" spans="1:19">
      <c r="A4553" t="s">
        <v>35</v>
      </c>
      <c r="B4553" t="s">
        <v>2387</v>
      </c>
      <c r="C4553">
        <f>"FEP70RC"</f>
        <v>0</v>
      </c>
      <c r="D4553">
        <v>0</v>
      </c>
      <c r="E4553">
        <v>0</v>
      </c>
      <c r="F4553">
        <v>1</v>
      </c>
      <c r="G4553">
        <v>0</v>
      </c>
      <c r="H4553">
        <v>1</v>
      </c>
      <c r="I4553">
        <v>0</v>
      </c>
      <c r="J4553">
        <v>5</v>
      </c>
      <c r="K4553">
        <v>54.045</v>
      </c>
      <c r="L4553" s="2">
        <v>11</v>
      </c>
      <c r="M4553">
        <v>0</v>
      </c>
      <c r="N4553" s="2">
        <v>0</v>
      </c>
      <c r="O4553">
        <v>-6</v>
      </c>
      <c r="P4553" t="s">
        <v>100</v>
      </c>
      <c r="Q4553">
        <v>0</v>
      </c>
      <c r="R4553" t="s">
        <v>145</v>
      </c>
      <c r="S4553">
        <v>0</v>
      </c>
    </row>
    <row r="4554" spans="1:19">
      <c r="A4554" t="s">
        <v>35</v>
      </c>
      <c r="B4554" t="s">
        <v>7398</v>
      </c>
      <c r="C4554">
        <f>"FB517XLR"</f>
        <v>0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5</v>
      </c>
      <c r="K4554">
        <v>33.255</v>
      </c>
      <c r="L4554" s="2">
        <v>7</v>
      </c>
      <c r="M4554">
        <v>0</v>
      </c>
      <c r="N4554" s="2">
        <v>0</v>
      </c>
      <c r="O4554">
        <v>-6</v>
      </c>
      <c r="P4554" t="s">
        <v>100</v>
      </c>
      <c r="Q4554">
        <v>0</v>
      </c>
      <c r="R4554" t="s">
        <v>145</v>
      </c>
      <c r="S4554">
        <v>0</v>
      </c>
    </row>
    <row r="4555" spans="1:19">
      <c r="A4555" t="s">
        <v>35</v>
      </c>
      <c r="B4555" t="s">
        <v>5632</v>
      </c>
      <c r="C4555">
        <f>"1065501100000"</f>
        <v>0</v>
      </c>
      <c r="D4555">
        <v>0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5</v>
      </c>
      <c r="K4555">
        <v>0</v>
      </c>
      <c r="L4555" s="2">
        <v>0</v>
      </c>
      <c r="M4555">
        <v>0</v>
      </c>
      <c r="N4555" s="2">
        <v>0</v>
      </c>
      <c r="O4555">
        <v>-6</v>
      </c>
      <c r="P4555" t="s">
        <v>100</v>
      </c>
      <c r="Q4555">
        <v>0</v>
      </c>
      <c r="R4555" t="s">
        <v>145</v>
      </c>
      <c r="S4555">
        <v>0</v>
      </c>
    </row>
    <row r="4556" spans="1:19">
      <c r="A4556" t="s">
        <v>35</v>
      </c>
      <c r="B4556" t="s">
        <v>8025</v>
      </c>
      <c r="C4556">
        <f>"FEP120B"</f>
        <v>0</v>
      </c>
      <c r="D4556">
        <v>0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5</v>
      </c>
      <c r="K4556">
        <v>133.83</v>
      </c>
      <c r="L4556" s="2">
        <v>27</v>
      </c>
      <c r="M4556">
        <v>0</v>
      </c>
      <c r="N4556" s="2">
        <v>0</v>
      </c>
      <c r="O4556">
        <v>-6</v>
      </c>
      <c r="P4556" t="s">
        <v>100</v>
      </c>
      <c r="Q4556">
        <v>0</v>
      </c>
      <c r="R4556" t="s">
        <v>145</v>
      </c>
      <c r="S4556">
        <v>0</v>
      </c>
    </row>
    <row r="4557" spans="1:19">
      <c r="A4557" t="s">
        <v>35</v>
      </c>
      <c r="B4557" t="s">
        <v>1874</v>
      </c>
      <c r="C4557">
        <f>"PNS"</f>
        <v>0</v>
      </c>
      <c r="D4557">
        <v>1</v>
      </c>
      <c r="E4557">
        <v>0</v>
      </c>
      <c r="F4557">
        <v>0</v>
      </c>
      <c r="G4557">
        <v>0</v>
      </c>
      <c r="H4557">
        <v>1</v>
      </c>
      <c r="I4557">
        <v>0</v>
      </c>
      <c r="J4557">
        <v>5</v>
      </c>
      <c r="K4557">
        <v>10.125</v>
      </c>
      <c r="L4557" s="2">
        <v>2</v>
      </c>
      <c r="M4557">
        <v>0</v>
      </c>
      <c r="N4557" s="2">
        <v>0</v>
      </c>
      <c r="O4557">
        <v>-6</v>
      </c>
      <c r="P4557" t="s">
        <v>100</v>
      </c>
      <c r="Q4557">
        <v>0</v>
      </c>
      <c r="R4557" t="s">
        <v>145</v>
      </c>
      <c r="S4557">
        <v>0</v>
      </c>
    </row>
    <row r="4558" spans="1:19">
      <c r="A4558" t="s">
        <v>35</v>
      </c>
      <c r="B4558" t="s">
        <v>6745</v>
      </c>
      <c r="C4558">
        <f>"1761CALIXL"</f>
        <v>0</v>
      </c>
      <c r="D4558">
        <v>0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5</v>
      </c>
      <c r="K4558">
        <v>17.055</v>
      </c>
      <c r="L4558" s="2">
        <v>3</v>
      </c>
      <c r="M4558">
        <v>0</v>
      </c>
      <c r="N4558" s="2">
        <v>0</v>
      </c>
      <c r="O4558">
        <v>-6</v>
      </c>
      <c r="P4558" t="s">
        <v>100</v>
      </c>
      <c r="Q4558">
        <v>0</v>
      </c>
      <c r="R4558" t="s">
        <v>145</v>
      </c>
      <c r="S4558">
        <v>0</v>
      </c>
    </row>
    <row r="4559" spans="1:19">
      <c r="A4559" t="s">
        <v>35</v>
      </c>
      <c r="B4559" t="s">
        <v>2426</v>
      </c>
      <c r="C4559">
        <f>"970307"</f>
        <v>0</v>
      </c>
      <c r="D4559">
        <v>1</v>
      </c>
      <c r="E4559">
        <v>0</v>
      </c>
      <c r="F4559">
        <v>0</v>
      </c>
      <c r="G4559">
        <v>0</v>
      </c>
      <c r="H4559">
        <v>1</v>
      </c>
      <c r="I4559">
        <v>0</v>
      </c>
      <c r="J4559">
        <v>5</v>
      </c>
      <c r="K4559">
        <v>14.625</v>
      </c>
      <c r="L4559" s="2">
        <v>3</v>
      </c>
      <c r="M4559">
        <v>0</v>
      </c>
      <c r="N4559" s="2">
        <v>0</v>
      </c>
      <c r="O4559">
        <v>-6</v>
      </c>
      <c r="P4559" t="s">
        <v>100</v>
      </c>
      <c r="Q4559">
        <v>0</v>
      </c>
      <c r="R4559" t="s">
        <v>145</v>
      </c>
      <c r="S4559">
        <v>0</v>
      </c>
    </row>
    <row r="4560" spans="1:19">
      <c r="A4560" t="s">
        <v>35</v>
      </c>
      <c r="B4560" t="s">
        <v>9561</v>
      </c>
      <c r="C4560">
        <f>"DM40060XS"</f>
        <v>0</v>
      </c>
      <c r="D4560">
        <v>0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5</v>
      </c>
      <c r="K4560">
        <v>14.85</v>
      </c>
      <c r="L4560" s="2">
        <v>3</v>
      </c>
      <c r="M4560">
        <v>0</v>
      </c>
      <c r="N4560" s="2">
        <v>0</v>
      </c>
      <c r="O4560">
        <v>-6</v>
      </c>
      <c r="P4560" t="s">
        <v>100</v>
      </c>
      <c r="Q4560">
        <v>0</v>
      </c>
      <c r="R4560" t="s">
        <v>145</v>
      </c>
      <c r="S4560">
        <v>0</v>
      </c>
    </row>
    <row r="4561" spans="1:19">
      <c r="A4561" t="s">
        <v>35</v>
      </c>
      <c r="B4561" t="s">
        <v>8220</v>
      </c>
      <c r="C4561">
        <f>"pt138"</f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5</v>
      </c>
      <c r="K4561">
        <v>10.886</v>
      </c>
      <c r="L4561" s="2">
        <v>2</v>
      </c>
      <c r="M4561">
        <v>0</v>
      </c>
      <c r="N4561" s="2">
        <v>0</v>
      </c>
      <c r="O4561">
        <v>-6</v>
      </c>
      <c r="P4561" t="s">
        <v>100</v>
      </c>
      <c r="Q4561">
        <v>0</v>
      </c>
      <c r="R4561" t="s">
        <v>145</v>
      </c>
      <c r="S4561">
        <v>0</v>
      </c>
    </row>
    <row r="4562" spans="1:19">
      <c r="A4562" t="s">
        <v>35</v>
      </c>
      <c r="B4562" t="s">
        <v>7902</v>
      </c>
      <c r="C4562">
        <f>"Q5AXLM"</f>
        <v>0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5</v>
      </c>
      <c r="K4562">
        <v>22.455</v>
      </c>
      <c r="L4562" s="2">
        <v>4</v>
      </c>
      <c r="M4562">
        <v>0</v>
      </c>
      <c r="N4562" s="2">
        <v>0</v>
      </c>
      <c r="O4562">
        <v>-6</v>
      </c>
      <c r="P4562" t="s">
        <v>100</v>
      </c>
      <c r="Q4562">
        <v>0</v>
      </c>
      <c r="R4562" t="s">
        <v>145</v>
      </c>
      <c r="S4562">
        <v>0</v>
      </c>
    </row>
    <row r="4563" spans="1:19">
      <c r="A4563" t="s">
        <v>35</v>
      </c>
      <c r="B4563" t="s">
        <v>8033</v>
      </c>
      <c r="C4563">
        <f>"KLA13L"</f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5</v>
      </c>
      <c r="K4563">
        <v>17.955</v>
      </c>
      <c r="L4563" s="2">
        <v>4</v>
      </c>
      <c r="M4563">
        <v>0</v>
      </c>
      <c r="N4563" s="2">
        <v>0</v>
      </c>
      <c r="O4563">
        <v>-6</v>
      </c>
      <c r="P4563" t="s">
        <v>100</v>
      </c>
      <c r="Q4563">
        <v>0</v>
      </c>
      <c r="R4563" t="s">
        <v>145</v>
      </c>
      <c r="S4563">
        <v>0</v>
      </c>
    </row>
    <row r="4564" spans="1:19">
      <c r="A4564" t="s">
        <v>35</v>
      </c>
      <c r="B4564" t="s">
        <v>8226</v>
      </c>
      <c r="C4564">
        <f>"pt129"</f>
        <v>0</v>
      </c>
      <c r="D4564">
        <v>0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5</v>
      </c>
      <c r="K4564">
        <v>11.07</v>
      </c>
      <c r="L4564" s="2">
        <v>2</v>
      </c>
      <c r="M4564">
        <v>0</v>
      </c>
      <c r="N4564" s="2">
        <v>0</v>
      </c>
      <c r="O4564">
        <v>-6</v>
      </c>
      <c r="P4564" t="s">
        <v>100</v>
      </c>
      <c r="Q4564">
        <v>0</v>
      </c>
      <c r="R4564" t="s">
        <v>145</v>
      </c>
      <c r="S4564">
        <v>0</v>
      </c>
    </row>
    <row r="4565" spans="1:19">
      <c r="A4565" t="s">
        <v>35</v>
      </c>
      <c r="B4565" t="s">
        <v>9545</v>
      </c>
      <c r="C4565">
        <f>"HH088SAC"</f>
        <v>0</v>
      </c>
      <c r="D4565">
        <v>0</v>
      </c>
      <c r="E4565">
        <v>0</v>
      </c>
      <c r="F4565">
        <v>0</v>
      </c>
      <c r="G4565">
        <v>0</v>
      </c>
      <c r="H4565">
        <v>0</v>
      </c>
      <c r="I4565">
        <v>0</v>
      </c>
      <c r="J4565">
        <v>5</v>
      </c>
      <c r="K4565">
        <v>47.25</v>
      </c>
      <c r="L4565" s="2">
        <v>9</v>
      </c>
      <c r="M4565">
        <v>0</v>
      </c>
      <c r="N4565" s="2">
        <v>0</v>
      </c>
      <c r="O4565">
        <v>-6</v>
      </c>
      <c r="P4565" t="s">
        <v>100</v>
      </c>
      <c r="Q4565">
        <v>0</v>
      </c>
      <c r="R4565" t="s">
        <v>145</v>
      </c>
      <c r="S4565">
        <v>0</v>
      </c>
    </row>
    <row r="4566" spans="1:19">
      <c r="A4566" t="s">
        <v>35</v>
      </c>
      <c r="B4566" t="s">
        <v>7881</v>
      </c>
      <c r="C4566">
        <f>"FB09SNB"</f>
        <v>0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5</v>
      </c>
      <c r="K4566">
        <v>13.455</v>
      </c>
      <c r="L4566" s="2">
        <v>3</v>
      </c>
      <c r="M4566">
        <v>0</v>
      </c>
      <c r="N4566" s="2">
        <v>0</v>
      </c>
      <c r="O4566">
        <v>-6</v>
      </c>
      <c r="P4566" t="s">
        <v>100</v>
      </c>
      <c r="Q4566">
        <v>0</v>
      </c>
      <c r="R4566" t="s">
        <v>145</v>
      </c>
      <c r="S4566">
        <v>0</v>
      </c>
    </row>
    <row r="4567" spans="1:19">
      <c r="A4567" t="s">
        <v>35</v>
      </c>
      <c r="B4567" t="s">
        <v>6585</v>
      </c>
      <c r="C4567">
        <f>"HH088SAM"</f>
        <v>0</v>
      </c>
      <c r="D4567">
        <v>0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5</v>
      </c>
      <c r="K4567">
        <v>40.05</v>
      </c>
      <c r="L4567" s="2">
        <v>8</v>
      </c>
      <c r="M4567">
        <v>0</v>
      </c>
      <c r="N4567" s="2">
        <v>0</v>
      </c>
      <c r="O4567">
        <v>-6</v>
      </c>
      <c r="P4567" t="s">
        <v>100</v>
      </c>
      <c r="Q4567">
        <v>0</v>
      </c>
      <c r="R4567" t="s">
        <v>145</v>
      </c>
      <c r="S4567">
        <v>0</v>
      </c>
    </row>
    <row r="4568" spans="1:19">
      <c r="A4568" t="s">
        <v>35</v>
      </c>
      <c r="B4568" t="s">
        <v>8045</v>
      </c>
      <c r="C4568">
        <f>"KLA2XS"</f>
        <v>0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5</v>
      </c>
      <c r="K4568">
        <v>15.975</v>
      </c>
      <c r="L4568" s="2">
        <v>3</v>
      </c>
      <c r="M4568">
        <v>0</v>
      </c>
      <c r="N4568" s="2">
        <v>0</v>
      </c>
      <c r="O4568">
        <v>-6</v>
      </c>
      <c r="P4568" t="s">
        <v>100</v>
      </c>
      <c r="Q4568">
        <v>0</v>
      </c>
      <c r="R4568" t="s">
        <v>145</v>
      </c>
      <c r="S4568">
        <v>0</v>
      </c>
    </row>
    <row r="4569" spans="1:19">
      <c r="A4569" t="s">
        <v>35</v>
      </c>
      <c r="B4569" t="s">
        <v>8049</v>
      </c>
      <c r="C4569">
        <f>"KLA2L"</f>
        <v>0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5</v>
      </c>
      <c r="K4569">
        <v>17.955</v>
      </c>
      <c r="L4569" s="2">
        <v>4</v>
      </c>
      <c r="M4569">
        <v>0</v>
      </c>
      <c r="N4569" s="2">
        <v>0</v>
      </c>
      <c r="O4569">
        <v>-6</v>
      </c>
      <c r="P4569" t="s">
        <v>100</v>
      </c>
      <c r="Q4569">
        <v>0</v>
      </c>
      <c r="R4569" t="s">
        <v>145</v>
      </c>
      <c r="S4569">
        <v>0</v>
      </c>
    </row>
    <row r="4570" spans="1:19">
      <c r="A4570" t="s">
        <v>35</v>
      </c>
      <c r="B4570" t="s">
        <v>6467</v>
      </c>
      <c r="C4570">
        <f>"HH088XXLG"</f>
        <v>0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5</v>
      </c>
      <c r="K4570">
        <v>59.13</v>
      </c>
      <c r="L4570" s="2">
        <v>12</v>
      </c>
      <c r="M4570">
        <v>0</v>
      </c>
      <c r="N4570" s="2">
        <v>0</v>
      </c>
      <c r="O4570">
        <v>-6</v>
      </c>
      <c r="P4570" t="s">
        <v>100</v>
      </c>
      <c r="Q4570">
        <v>0</v>
      </c>
      <c r="R4570" t="s">
        <v>145</v>
      </c>
      <c r="S4570">
        <v>0</v>
      </c>
    </row>
    <row r="4571" spans="1:19">
      <c r="A4571" t="s">
        <v>35</v>
      </c>
      <c r="B4571" t="s">
        <v>6166</v>
      </c>
      <c r="C4571">
        <f>"NSD12"</f>
        <v>0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5</v>
      </c>
      <c r="K4571">
        <v>44.55</v>
      </c>
      <c r="L4571" s="2">
        <v>9</v>
      </c>
      <c r="M4571">
        <v>0</v>
      </c>
      <c r="N4571" s="2">
        <v>0</v>
      </c>
      <c r="O4571">
        <v>-6</v>
      </c>
      <c r="P4571" t="s">
        <v>100</v>
      </c>
      <c r="Q4571">
        <v>0</v>
      </c>
      <c r="R4571" t="s">
        <v>145</v>
      </c>
      <c r="S4571">
        <v>0</v>
      </c>
    </row>
    <row r="4572" spans="1:19">
      <c r="A4572" t="s">
        <v>35</v>
      </c>
      <c r="B4572" t="s">
        <v>2746</v>
      </c>
      <c r="C4572">
        <f>"XDB432V"</f>
        <v>0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5</v>
      </c>
      <c r="K4572">
        <v>312.442</v>
      </c>
      <c r="L4572" s="2">
        <v>62</v>
      </c>
      <c r="M4572">
        <v>0</v>
      </c>
      <c r="N4572" s="2">
        <v>0</v>
      </c>
      <c r="O4572">
        <v>-6</v>
      </c>
      <c r="P4572" t="s">
        <v>100</v>
      </c>
      <c r="Q4572">
        <v>0</v>
      </c>
      <c r="R4572" t="s">
        <v>145</v>
      </c>
      <c r="S4572">
        <v>0</v>
      </c>
    </row>
    <row r="4573" spans="1:19">
      <c r="A4573" t="s">
        <v>35</v>
      </c>
      <c r="B4573" t="s">
        <v>8060</v>
      </c>
      <c r="C4573">
        <f>"HD38XS"</f>
        <v>0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5</v>
      </c>
      <c r="K4573">
        <v>11.925</v>
      </c>
      <c r="L4573" s="2">
        <v>2</v>
      </c>
      <c r="M4573">
        <v>0</v>
      </c>
      <c r="N4573" s="2">
        <v>0</v>
      </c>
      <c r="O4573">
        <v>-6</v>
      </c>
      <c r="P4573" t="s">
        <v>100</v>
      </c>
      <c r="Q4573">
        <v>0</v>
      </c>
      <c r="R4573" t="s">
        <v>145</v>
      </c>
      <c r="S4573">
        <v>0</v>
      </c>
    </row>
    <row r="4574" spans="1:19">
      <c r="A4574" t="s">
        <v>35</v>
      </c>
      <c r="B4574" t="s">
        <v>6799</v>
      </c>
      <c r="C4574">
        <f>"HH088XSCA"</f>
        <v>0</v>
      </c>
      <c r="D4574">
        <v>0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5</v>
      </c>
      <c r="K4574">
        <v>35.55</v>
      </c>
      <c r="L4574" s="2">
        <v>7</v>
      </c>
      <c r="M4574">
        <v>0</v>
      </c>
      <c r="N4574" s="2">
        <v>0</v>
      </c>
      <c r="O4574">
        <v>-6</v>
      </c>
      <c r="P4574" t="s">
        <v>100</v>
      </c>
      <c r="Q4574">
        <v>0</v>
      </c>
      <c r="R4574" t="s">
        <v>145</v>
      </c>
      <c r="S4574">
        <v>0</v>
      </c>
    </row>
    <row r="4575" spans="1:19">
      <c r="A4575" t="s">
        <v>35</v>
      </c>
      <c r="B4575" t="s">
        <v>6795</v>
      </c>
      <c r="C4575">
        <f>"HH032S"</f>
        <v>0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5</v>
      </c>
      <c r="K4575">
        <v>38.7</v>
      </c>
      <c r="L4575" s="2">
        <v>8</v>
      </c>
      <c r="M4575">
        <v>0</v>
      </c>
      <c r="N4575" s="2">
        <v>0</v>
      </c>
      <c r="O4575">
        <v>-6</v>
      </c>
      <c r="P4575" t="s">
        <v>100</v>
      </c>
      <c r="Q4575">
        <v>0</v>
      </c>
      <c r="R4575" t="s">
        <v>145</v>
      </c>
      <c r="S4575">
        <v>0</v>
      </c>
    </row>
    <row r="4576" spans="1:19">
      <c r="A4576" t="s">
        <v>35</v>
      </c>
      <c r="B4576" t="s">
        <v>2762</v>
      </c>
      <c r="C4576">
        <f>"XDB432A"</f>
        <v>0</v>
      </c>
      <c r="D4576">
        <v>0</v>
      </c>
      <c r="E4576">
        <v>0</v>
      </c>
      <c r="F4576">
        <v>0</v>
      </c>
      <c r="G4576">
        <v>0</v>
      </c>
      <c r="H4576">
        <v>0</v>
      </c>
      <c r="I4576">
        <v>0</v>
      </c>
      <c r="J4576">
        <v>5</v>
      </c>
      <c r="K4576">
        <v>312.442</v>
      </c>
      <c r="L4576" s="2">
        <v>62</v>
      </c>
      <c r="M4576">
        <v>0</v>
      </c>
      <c r="N4576" s="2">
        <v>0</v>
      </c>
      <c r="O4576">
        <v>-6</v>
      </c>
      <c r="P4576" t="s">
        <v>100</v>
      </c>
      <c r="Q4576">
        <v>0</v>
      </c>
      <c r="R4576" t="s">
        <v>145</v>
      </c>
      <c r="S4576">
        <v>0</v>
      </c>
    </row>
    <row r="4577" spans="1:19">
      <c r="A4577" t="s">
        <v>35</v>
      </c>
      <c r="B4577" t="s">
        <v>3418</v>
      </c>
      <c r="C4577">
        <f>"PCM16030R"</f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5</v>
      </c>
      <c r="K4577">
        <v>134.55</v>
      </c>
      <c r="L4577" s="2">
        <v>27</v>
      </c>
      <c r="M4577">
        <v>0</v>
      </c>
      <c r="N4577" s="2">
        <v>0</v>
      </c>
      <c r="O4577">
        <v>-6</v>
      </c>
      <c r="P4577" t="s">
        <v>100</v>
      </c>
      <c r="Q4577">
        <v>0</v>
      </c>
      <c r="R4577" t="s">
        <v>145</v>
      </c>
      <c r="S4577">
        <v>0</v>
      </c>
    </row>
    <row r="4578" spans="1:19">
      <c r="A4578" t="s">
        <v>35</v>
      </c>
      <c r="B4578" t="s">
        <v>6793</v>
      </c>
      <c r="C4578">
        <f>"HP152SR"</f>
        <v>0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5</v>
      </c>
      <c r="K4578">
        <v>22.455</v>
      </c>
      <c r="L4578" s="2">
        <v>4</v>
      </c>
      <c r="M4578">
        <v>0</v>
      </c>
      <c r="N4578" s="2">
        <v>0</v>
      </c>
      <c r="O4578">
        <v>-6</v>
      </c>
      <c r="P4578" t="s">
        <v>100</v>
      </c>
      <c r="Q4578">
        <v>0</v>
      </c>
      <c r="R4578" t="s">
        <v>145</v>
      </c>
      <c r="S4578">
        <v>0</v>
      </c>
    </row>
    <row r="4579" spans="1:19">
      <c r="A4579" t="s">
        <v>35</v>
      </c>
      <c r="B4579" t="s">
        <v>8633</v>
      </c>
      <c r="C4579">
        <f>"PS9022B"</f>
        <v>0</v>
      </c>
      <c r="D4579">
        <v>0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5</v>
      </c>
      <c r="K4579">
        <v>9.855</v>
      </c>
      <c r="L4579" s="2">
        <v>2</v>
      </c>
      <c r="M4579">
        <v>0</v>
      </c>
      <c r="N4579" s="2">
        <v>0</v>
      </c>
      <c r="O4579">
        <v>-6</v>
      </c>
      <c r="P4579" t="s">
        <v>100</v>
      </c>
      <c r="Q4579">
        <v>0</v>
      </c>
      <c r="R4579" t="s">
        <v>145</v>
      </c>
      <c r="S4579">
        <v>0</v>
      </c>
    </row>
    <row r="4580" spans="1:19">
      <c r="A4580" t="s">
        <v>35</v>
      </c>
      <c r="B4580" t="s">
        <v>10106</v>
      </c>
      <c r="C4580">
        <f>"XB1813RXS"</f>
        <v>0</v>
      </c>
      <c r="D4580">
        <v>0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5</v>
      </c>
      <c r="K4580">
        <v>38.25</v>
      </c>
      <c r="L4580" s="2">
        <v>8</v>
      </c>
      <c r="M4580">
        <v>0</v>
      </c>
      <c r="N4580" s="2">
        <v>0</v>
      </c>
      <c r="O4580">
        <v>-6</v>
      </c>
      <c r="P4580" t="s">
        <v>100</v>
      </c>
      <c r="Q4580">
        <v>0</v>
      </c>
      <c r="R4580" t="s">
        <v>145</v>
      </c>
      <c r="S4580">
        <v>0</v>
      </c>
    </row>
    <row r="4581" spans="1:19">
      <c r="A4581" t="s">
        <v>35</v>
      </c>
      <c r="B4581" t="s">
        <v>9770</v>
      </c>
      <c r="C4581">
        <f>"4806741"</f>
        <v>0</v>
      </c>
      <c r="D4581">
        <v>0</v>
      </c>
      <c r="E4581">
        <v>0</v>
      </c>
      <c r="F4581">
        <v>0</v>
      </c>
      <c r="G4581">
        <v>0</v>
      </c>
      <c r="H4581">
        <v>0</v>
      </c>
      <c r="I4581">
        <v>0</v>
      </c>
      <c r="J4581">
        <v>5</v>
      </c>
      <c r="K4581">
        <v>51.21</v>
      </c>
      <c r="L4581" s="2">
        <v>10</v>
      </c>
      <c r="M4581">
        <v>0</v>
      </c>
      <c r="N4581" s="2">
        <v>0</v>
      </c>
      <c r="O4581">
        <v>-6</v>
      </c>
      <c r="P4581" t="s">
        <v>100</v>
      </c>
      <c r="Q4581">
        <v>0</v>
      </c>
      <c r="R4581" t="s">
        <v>145</v>
      </c>
      <c r="S4581">
        <v>0</v>
      </c>
    </row>
    <row r="4582" spans="1:19">
      <c r="A4582" t="s">
        <v>35</v>
      </c>
      <c r="B4582" t="s">
        <v>284</v>
      </c>
      <c r="C4582">
        <f>"FS007"</f>
        <v>0</v>
      </c>
      <c r="D4582">
        <v>0</v>
      </c>
      <c r="E4582">
        <v>1</v>
      </c>
      <c r="F4582">
        <v>0</v>
      </c>
      <c r="G4582">
        <v>1</v>
      </c>
      <c r="H4582">
        <v>2</v>
      </c>
      <c r="I4582">
        <v>0.5</v>
      </c>
      <c r="J4582">
        <v>10</v>
      </c>
      <c r="K4582">
        <v>8.91</v>
      </c>
      <c r="L4582" s="2">
        <v>1</v>
      </c>
      <c r="M4582">
        <v>0</v>
      </c>
      <c r="N4582" s="2">
        <v>0</v>
      </c>
      <c r="O4582">
        <v>-6.5</v>
      </c>
      <c r="P4582" t="s">
        <v>10558</v>
      </c>
      <c r="Q4582">
        <v>781</v>
      </c>
      <c r="R4582" t="s">
        <v>11199</v>
      </c>
      <c r="S4582">
        <v>1</v>
      </c>
    </row>
    <row r="4583" spans="1:19">
      <c r="A4583" t="s">
        <v>35</v>
      </c>
      <c r="B4583" t="s">
        <v>1614</v>
      </c>
      <c r="C4583">
        <f>"KLM11"</f>
        <v>0</v>
      </c>
      <c r="D4583">
        <v>1</v>
      </c>
      <c r="E4583">
        <v>1</v>
      </c>
      <c r="F4583">
        <v>2</v>
      </c>
      <c r="G4583">
        <v>1</v>
      </c>
      <c r="H4583">
        <v>5</v>
      </c>
      <c r="I4583">
        <v>1</v>
      </c>
      <c r="J4583">
        <v>8</v>
      </c>
      <c r="K4583">
        <v>9.720000000000001</v>
      </c>
      <c r="L4583" s="2">
        <v>1</v>
      </c>
      <c r="M4583">
        <v>0</v>
      </c>
      <c r="N4583" s="2">
        <v>0</v>
      </c>
      <c r="O4583">
        <v>-6.6</v>
      </c>
      <c r="P4583" t="s">
        <v>11075</v>
      </c>
      <c r="Q4583">
        <v>121</v>
      </c>
      <c r="R4583" t="s">
        <v>11200</v>
      </c>
      <c r="S4583">
        <v>0</v>
      </c>
    </row>
    <row r="4584" spans="1:19">
      <c r="A4584" t="s">
        <v>35</v>
      </c>
      <c r="B4584" t="s">
        <v>2271</v>
      </c>
      <c r="C4584">
        <f>"ER115"</f>
        <v>0</v>
      </c>
      <c r="D4584">
        <v>0</v>
      </c>
      <c r="E4584">
        <v>1</v>
      </c>
      <c r="F4584">
        <v>1</v>
      </c>
      <c r="G4584">
        <v>0</v>
      </c>
      <c r="H4584">
        <v>2</v>
      </c>
      <c r="I4584">
        <v>0.5</v>
      </c>
      <c r="J4584">
        <v>6</v>
      </c>
      <c r="K4584">
        <v>16.146</v>
      </c>
      <c r="L4584" s="2">
        <v>3</v>
      </c>
      <c r="M4584">
        <v>0</v>
      </c>
      <c r="N4584" s="2">
        <v>0</v>
      </c>
      <c r="O4584">
        <v>-6.699999999999999</v>
      </c>
      <c r="P4584" t="s">
        <v>100</v>
      </c>
      <c r="Q4584">
        <v>0</v>
      </c>
      <c r="R4584" t="s">
        <v>145</v>
      </c>
      <c r="S4584">
        <v>0</v>
      </c>
    </row>
    <row r="4585" spans="1:19">
      <c r="A4585" t="s">
        <v>35</v>
      </c>
      <c r="B4585" t="s">
        <v>1678</v>
      </c>
      <c r="C4585">
        <f>"KLMT3"</f>
        <v>0</v>
      </c>
      <c r="D4585">
        <v>7</v>
      </c>
      <c r="E4585">
        <v>10</v>
      </c>
      <c r="F4585">
        <v>2</v>
      </c>
      <c r="G4585">
        <v>1</v>
      </c>
      <c r="H4585">
        <v>20</v>
      </c>
      <c r="I4585">
        <v>4.5</v>
      </c>
      <c r="J4585">
        <v>11</v>
      </c>
      <c r="K4585">
        <v>54.45</v>
      </c>
      <c r="L4585" s="2">
        <v>5</v>
      </c>
      <c r="M4585">
        <v>0</v>
      </c>
      <c r="N4585" s="2">
        <v>0</v>
      </c>
      <c r="O4585">
        <v>-6.699999999999999</v>
      </c>
      <c r="P4585" t="s">
        <v>11076</v>
      </c>
      <c r="Q4585">
        <v>1.344</v>
      </c>
      <c r="R4585" t="s">
        <v>11201</v>
      </c>
      <c r="S4585">
        <v>0</v>
      </c>
    </row>
    <row r="4586" spans="1:19">
      <c r="A4586" t="s">
        <v>35</v>
      </c>
      <c r="B4586" t="s">
        <v>2193</v>
      </c>
      <c r="C4586">
        <f>"ER132"</f>
        <v>0</v>
      </c>
      <c r="D4586">
        <v>1</v>
      </c>
      <c r="E4586">
        <v>1</v>
      </c>
      <c r="F4586">
        <v>0</v>
      </c>
      <c r="G4586">
        <v>0</v>
      </c>
      <c r="H4586">
        <v>2</v>
      </c>
      <c r="I4586">
        <v>0.5</v>
      </c>
      <c r="J4586">
        <v>6</v>
      </c>
      <c r="K4586">
        <v>18.63</v>
      </c>
      <c r="L4586" s="2">
        <v>3</v>
      </c>
      <c r="M4586">
        <v>0</v>
      </c>
      <c r="N4586" s="2">
        <v>0</v>
      </c>
      <c r="O4586">
        <v>-6.699999999999999</v>
      </c>
      <c r="P4586" t="s">
        <v>100</v>
      </c>
      <c r="Q4586">
        <v>0</v>
      </c>
      <c r="R4586" t="s">
        <v>145</v>
      </c>
      <c r="S4586">
        <v>0</v>
      </c>
    </row>
    <row r="4587" spans="1:19">
      <c r="A4587" t="s">
        <v>35</v>
      </c>
      <c r="B4587" t="s">
        <v>2285</v>
      </c>
      <c r="C4587">
        <f>"EK3004NE"</f>
        <v>0</v>
      </c>
      <c r="D4587">
        <v>1</v>
      </c>
      <c r="E4587">
        <v>0</v>
      </c>
      <c r="F4587">
        <v>1</v>
      </c>
      <c r="G4587">
        <v>0</v>
      </c>
      <c r="H4587">
        <v>2</v>
      </c>
      <c r="I4587">
        <v>0.5</v>
      </c>
      <c r="J4587">
        <v>6</v>
      </c>
      <c r="K4587">
        <v>10.176</v>
      </c>
      <c r="L4587" s="2">
        <v>2</v>
      </c>
      <c r="M4587">
        <v>0</v>
      </c>
      <c r="N4587" s="2">
        <v>0</v>
      </c>
      <c r="O4587">
        <v>-6.699999999999999</v>
      </c>
      <c r="P4587" t="s">
        <v>100</v>
      </c>
      <c r="Q4587">
        <v>0</v>
      </c>
      <c r="R4587" t="s">
        <v>145</v>
      </c>
      <c r="S4587">
        <v>0</v>
      </c>
    </row>
    <row r="4588" spans="1:19">
      <c r="A4588" t="s">
        <v>35</v>
      </c>
      <c r="B4588" t="s">
        <v>2249</v>
      </c>
      <c r="C4588">
        <f>"DN29"</f>
        <v>0</v>
      </c>
      <c r="D4588">
        <v>1</v>
      </c>
      <c r="E4588">
        <v>1</v>
      </c>
      <c r="F4588">
        <v>0</v>
      </c>
      <c r="G4588">
        <v>0</v>
      </c>
      <c r="H4588">
        <v>2</v>
      </c>
      <c r="I4588">
        <v>0.5</v>
      </c>
      <c r="J4588">
        <v>6</v>
      </c>
      <c r="K4588">
        <v>14.526</v>
      </c>
      <c r="L4588" s="2">
        <v>2</v>
      </c>
      <c r="M4588">
        <v>0</v>
      </c>
      <c r="N4588" s="2">
        <v>0</v>
      </c>
      <c r="O4588">
        <v>-6.699999999999999</v>
      </c>
      <c r="P4588" t="s">
        <v>100</v>
      </c>
      <c r="Q4588">
        <v>0</v>
      </c>
      <c r="R4588" t="s">
        <v>145</v>
      </c>
      <c r="S4588">
        <v>0</v>
      </c>
    </row>
    <row r="4589" spans="1:19">
      <c r="A4589" t="s">
        <v>35</v>
      </c>
      <c r="B4589" t="s">
        <v>1562</v>
      </c>
      <c r="C4589">
        <f>"1812CS"</f>
        <v>0</v>
      </c>
      <c r="D4589">
        <v>0</v>
      </c>
      <c r="E4589">
        <v>0</v>
      </c>
      <c r="F4589">
        <v>0</v>
      </c>
      <c r="G4589">
        <v>1</v>
      </c>
      <c r="H4589">
        <v>1</v>
      </c>
      <c r="I4589">
        <v>0</v>
      </c>
      <c r="J4589">
        <v>10</v>
      </c>
      <c r="K4589">
        <v>21.15</v>
      </c>
      <c r="L4589" s="2">
        <v>2</v>
      </c>
      <c r="M4589">
        <v>0</v>
      </c>
      <c r="N4589" s="2">
        <v>0</v>
      </c>
      <c r="O4589">
        <v>-7</v>
      </c>
      <c r="P4589" t="s">
        <v>11077</v>
      </c>
      <c r="Q4589">
        <v>212</v>
      </c>
      <c r="R4589" t="s">
        <v>10271</v>
      </c>
      <c r="S4589">
        <v>1</v>
      </c>
    </row>
    <row r="4590" spans="1:19">
      <c r="A4590" t="s">
        <v>35</v>
      </c>
      <c r="B4590" t="s">
        <v>2582</v>
      </c>
      <c r="C4590">
        <f>"JXV1801S"</f>
        <v>0</v>
      </c>
      <c r="D4590">
        <v>0</v>
      </c>
      <c r="E4590">
        <v>1</v>
      </c>
      <c r="F4590">
        <v>0</v>
      </c>
      <c r="G4590">
        <v>0</v>
      </c>
      <c r="H4590">
        <v>1</v>
      </c>
      <c r="I4590">
        <v>0</v>
      </c>
      <c r="J4590">
        <v>6</v>
      </c>
      <c r="K4590">
        <v>31.455</v>
      </c>
      <c r="L4590" s="2">
        <v>5</v>
      </c>
      <c r="M4590">
        <v>0</v>
      </c>
      <c r="N4590" s="2">
        <v>0</v>
      </c>
      <c r="O4590">
        <v>-7.199999999999999</v>
      </c>
      <c r="P4590" t="s">
        <v>100</v>
      </c>
      <c r="Q4590">
        <v>0</v>
      </c>
      <c r="R4590" t="s">
        <v>145</v>
      </c>
      <c r="S4590">
        <v>0</v>
      </c>
    </row>
    <row r="4591" spans="1:19">
      <c r="A4591" t="s">
        <v>35</v>
      </c>
      <c r="B4591" t="s">
        <v>2765</v>
      </c>
      <c r="C4591">
        <f>"XDB432SA"</f>
        <v>0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6</v>
      </c>
      <c r="K4591">
        <v>187.248</v>
      </c>
      <c r="L4591" s="2">
        <v>31</v>
      </c>
      <c r="M4591">
        <v>0</v>
      </c>
      <c r="N4591" s="2">
        <v>0</v>
      </c>
      <c r="O4591">
        <v>-7.199999999999999</v>
      </c>
      <c r="P4591" t="s">
        <v>100</v>
      </c>
      <c r="Q4591">
        <v>0</v>
      </c>
      <c r="R4591" t="s">
        <v>145</v>
      </c>
      <c r="S4591">
        <v>0</v>
      </c>
    </row>
    <row r="4592" spans="1:19">
      <c r="A4592" t="s">
        <v>35</v>
      </c>
      <c r="B4592" t="s">
        <v>6535</v>
      </c>
      <c r="C4592">
        <f>"HH088XSA"</f>
        <v>0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6</v>
      </c>
      <c r="K4592">
        <v>35.55</v>
      </c>
      <c r="L4592" s="2">
        <v>6</v>
      </c>
      <c r="M4592">
        <v>0</v>
      </c>
      <c r="N4592" s="2">
        <v>0</v>
      </c>
      <c r="O4592">
        <v>-7.199999999999999</v>
      </c>
      <c r="P4592" t="s">
        <v>100</v>
      </c>
      <c r="Q4592">
        <v>0</v>
      </c>
      <c r="R4592" t="s">
        <v>145</v>
      </c>
      <c r="S4592">
        <v>0</v>
      </c>
    </row>
    <row r="4593" spans="1:19">
      <c r="A4593" t="s">
        <v>35</v>
      </c>
      <c r="B4593" t="s">
        <v>7785</v>
      </c>
      <c r="C4593">
        <f>"JXW18020L"</f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6</v>
      </c>
      <c r="K4593">
        <v>75.06</v>
      </c>
      <c r="L4593" s="2">
        <v>13</v>
      </c>
      <c r="M4593">
        <v>0</v>
      </c>
      <c r="N4593" s="2">
        <v>0</v>
      </c>
      <c r="O4593">
        <v>-7.199999999999999</v>
      </c>
      <c r="P4593" t="s">
        <v>100</v>
      </c>
      <c r="Q4593">
        <v>0</v>
      </c>
      <c r="R4593" t="s">
        <v>145</v>
      </c>
      <c r="S4593">
        <v>0</v>
      </c>
    </row>
    <row r="4594" spans="1:19">
      <c r="A4594" t="s">
        <v>35</v>
      </c>
      <c r="B4594" t="s">
        <v>8143</v>
      </c>
      <c r="C4594">
        <f>"HD23XXL"</f>
        <v>0</v>
      </c>
      <c r="D4594">
        <v>0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6</v>
      </c>
      <c r="K4594">
        <v>26.73</v>
      </c>
      <c r="L4594" s="2">
        <v>4</v>
      </c>
      <c r="M4594">
        <v>0</v>
      </c>
      <c r="N4594" s="2">
        <v>0</v>
      </c>
      <c r="O4594">
        <v>-7.199999999999999</v>
      </c>
      <c r="P4594" t="s">
        <v>100</v>
      </c>
      <c r="Q4594">
        <v>0</v>
      </c>
      <c r="R4594" t="s">
        <v>145</v>
      </c>
      <c r="S4594">
        <v>0</v>
      </c>
    </row>
    <row r="4595" spans="1:19">
      <c r="A4595" t="s">
        <v>35</v>
      </c>
      <c r="B4595" t="s">
        <v>6531</v>
      </c>
      <c r="C4595">
        <f>"HH088SBN"</f>
        <v>0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6</v>
      </c>
      <c r="K4595">
        <v>48.06</v>
      </c>
      <c r="L4595" s="2">
        <v>8</v>
      </c>
      <c r="M4595">
        <v>0</v>
      </c>
      <c r="N4595" s="2">
        <v>0</v>
      </c>
      <c r="O4595">
        <v>-7.199999999999999</v>
      </c>
      <c r="P4595" t="s">
        <v>100</v>
      </c>
      <c r="Q4595">
        <v>0</v>
      </c>
      <c r="R4595" t="s">
        <v>145</v>
      </c>
      <c r="S4595">
        <v>0</v>
      </c>
    </row>
    <row r="4596" spans="1:19">
      <c r="A4596" t="s">
        <v>35</v>
      </c>
      <c r="B4596" t="s">
        <v>8130</v>
      </c>
      <c r="C4596">
        <f>"HD28XXL"</f>
        <v>0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6</v>
      </c>
      <c r="K4596">
        <v>24.57</v>
      </c>
      <c r="L4596" s="2">
        <v>4</v>
      </c>
      <c r="M4596">
        <v>0</v>
      </c>
      <c r="N4596" s="2">
        <v>0</v>
      </c>
      <c r="O4596">
        <v>-7.199999999999999</v>
      </c>
      <c r="P4596" t="s">
        <v>100</v>
      </c>
      <c r="Q4596">
        <v>0</v>
      </c>
      <c r="R4596" t="s">
        <v>145</v>
      </c>
      <c r="S4596">
        <v>0</v>
      </c>
    </row>
    <row r="4597" spans="1:19">
      <c r="A4597" t="s">
        <v>35</v>
      </c>
      <c r="B4597" t="s">
        <v>2992</v>
      </c>
      <c r="C4597">
        <f>"XDB432SV"</f>
        <v>0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6</v>
      </c>
      <c r="K4597">
        <v>187.248</v>
      </c>
      <c r="L4597" s="2">
        <v>31</v>
      </c>
      <c r="M4597">
        <v>0</v>
      </c>
      <c r="N4597" s="2">
        <v>0</v>
      </c>
      <c r="O4597">
        <v>-7.199999999999999</v>
      </c>
      <c r="P4597" t="s">
        <v>100</v>
      </c>
      <c r="Q4597">
        <v>0</v>
      </c>
      <c r="R4597" t="s">
        <v>145</v>
      </c>
      <c r="S4597">
        <v>0</v>
      </c>
    </row>
    <row r="4598" spans="1:19">
      <c r="A4598" t="s">
        <v>35</v>
      </c>
      <c r="B4598" t="s">
        <v>8057</v>
      </c>
      <c r="C4598">
        <f>"HD38XXXL"</f>
        <v>0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6</v>
      </c>
      <c r="K4598">
        <v>28.08</v>
      </c>
      <c r="L4598" s="2">
        <v>5</v>
      </c>
      <c r="M4598">
        <v>0</v>
      </c>
      <c r="N4598" s="2">
        <v>0</v>
      </c>
      <c r="O4598">
        <v>-7.199999999999999</v>
      </c>
      <c r="P4598" t="s">
        <v>100</v>
      </c>
      <c r="Q4598">
        <v>0</v>
      </c>
      <c r="R4598" t="s">
        <v>145</v>
      </c>
      <c r="S4598">
        <v>0</v>
      </c>
    </row>
    <row r="4599" spans="1:19">
      <c r="A4599" t="s">
        <v>35</v>
      </c>
      <c r="B4599" t="s">
        <v>2671</v>
      </c>
      <c r="C4599">
        <f>"ZX011AZ"</f>
        <v>0</v>
      </c>
      <c r="D4599">
        <v>0</v>
      </c>
      <c r="E4599">
        <v>1</v>
      </c>
      <c r="F4599">
        <v>0</v>
      </c>
      <c r="G4599">
        <v>0</v>
      </c>
      <c r="H4599">
        <v>1</v>
      </c>
      <c r="I4599">
        <v>0</v>
      </c>
      <c r="J4599">
        <v>6</v>
      </c>
      <c r="K4599">
        <v>7.29</v>
      </c>
      <c r="L4599" s="2">
        <v>1</v>
      </c>
      <c r="M4599">
        <v>0</v>
      </c>
      <c r="N4599" s="2">
        <v>0</v>
      </c>
      <c r="O4599">
        <v>-7.199999999999999</v>
      </c>
      <c r="P4599" t="s">
        <v>100</v>
      </c>
      <c r="Q4599">
        <v>0</v>
      </c>
      <c r="R4599" t="s">
        <v>145</v>
      </c>
      <c r="S4599">
        <v>0</v>
      </c>
    </row>
    <row r="4600" spans="1:19">
      <c r="A4600" t="s">
        <v>35</v>
      </c>
      <c r="B4600" t="s">
        <v>6530</v>
      </c>
      <c r="C4600">
        <f>"HP152LCV"</f>
        <v>0</v>
      </c>
      <c r="D4600">
        <v>0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6</v>
      </c>
      <c r="K4600">
        <v>30.51</v>
      </c>
      <c r="L4600" s="2">
        <v>5</v>
      </c>
      <c r="M4600">
        <v>0</v>
      </c>
      <c r="N4600" s="2">
        <v>0</v>
      </c>
      <c r="O4600">
        <v>-7.199999999999999</v>
      </c>
      <c r="P4600" t="s">
        <v>100</v>
      </c>
      <c r="Q4600">
        <v>0</v>
      </c>
      <c r="R4600" t="s">
        <v>145</v>
      </c>
      <c r="S4600">
        <v>0</v>
      </c>
    </row>
    <row r="4601" spans="1:19">
      <c r="A4601" t="s">
        <v>35</v>
      </c>
      <c r="B4601" t="s">
        <v>6796</v>
      </c>
      <c r="C4601">
        <f>"HH032M"</f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6</v>
      </c>
      <c r="K4601">
        <v>52.92</v>
      </c>
      <c r="L4601" s="2">
        <v>9</v>
      </c>
      <c r="M4601">
        <v>0</v>
      </c>
      <c r="N4601" s="2">
        <v>0</v>
      </c>
      <c r="O4601">
        <v>-7.199999999999999</v>
      </c>
      <c r="P4601" t="s">
        <v>100</v>
      </c>
      <c r="Q4601">
        <v>0</v>
      </c>
      <c r="R4601" t="s">
        <v>145</v>
      </c>
      <c r="S4601">
        <v>0</v>
      </c>
    </row>
    <row r="4602" spans="1:19">
      <c r="A4602" t="s">
        <v>35</v>
      </c>
      <c r="B4602" t="s">
        <v>7776</v>
      </c>
      <c r="C4602">
        <f>"COO2841L"</f>
        <v>0</v>
      </c>
      <c r="D4602">
        <v>0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6</v>
      </c>
      <c r="K4602">
        <v>139.86</v>
      </c>
      <c r="L4602" s="2">
        <v>23</v>
      </c>
      <c r="M4602">
        <v>0</v>
      </c>
      <c r="N4602" s="2">
        <v>0</v>
      </c>
      <c r="O4602">
        <v>-7.199999999999999</v>
      </c>
      <c r="P4602" t="s">
        <v>100</v>
      </c>
      <c r="Q4602">
        <v>0</v>
      </c>
      <c r="R4602" t="s">
        <v>145</v>
      </c>
      <c r="S4602">
        <v>0</v>
      </c>
    </row>
    <row r="4603" spans="1:19">
      <c r="A4603" t="s">
        <v>35</v>
      </c>
      <c r="B4603" t="s">
        <v>6910</v>
      </c>
      <c r="C4603">
        <f>"HCJ011SAZ"</f>
        <v>0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6</v>
      </c>
      <c r="K4603">
        <v>0</v>
      </c>
      <c r="L4603" s="2">
        <v>0</v>
      </c>
      <c r="M4603">
        <v>0</v>
      </c>
      <c r="N4603" s="2">
        <v>0</v>
      </c>
      <c r="O4603">
        <v>-7.199999999999999</v>
      </c>
      <c r="P4603" t="s">
        <v>100</v>
      </c>
      <c r="Q4603">
        <v>0</v>
      </c>
      <c r="R4603" t="s">
        <v>145</v>
      </c>
      <c r="S4603">
        <v>0</v>
      </c>
    </row>
    <row r="4604" spans="1:19">
      <c r="A4604" t="s">
        <v>35</v>
      </c>
      <c r="B4604" t="s">
        <v>4970</v>
      </c>
      <c r="C4604">
        <f>"1881SGL"</f>
        <v>0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6</v>
      </c>
      <c r="K4604">
        <v>51.57</v>
      </c>
      <c r="L4604" s="2">
        <v>9</v>
      </c>
      <c r="M4604">
        <v>0</v>
      </c>
      <c r="N4604" s="2">
        <v>0</v>
      </c>
      <c r="O4604">
        <v>-7.199999999999999</v>
      </c>
      <c r="P4604" t="s">
        <v>100</v>
      </c>
      <c r="Q4604">
        <v>0</v>
      </c>
      <c r="R4604" t="s">
        <v>145</v>
      </c>
      <c r="S4604">
        <v>0</v>
      </c>
    </row>
    <row r="4605" spans="1:19">
      <c r="A4605" t="s">
        <v>35</v>
      </c>
      <c r="B4605" t="s">
        <v>7803</v>
      </c>
      <c r="C4605">
        <f>"D42L"</f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6</v>
      </c>
      <c r="K4605">
        <v>11.286</v>
      </c>
      <c r="L4605" s="2">
        <v>2</v>
      </c>
      <c r="M4605">
        <v>0</v>
      </c>
      <c r="N4605" s="2">
        <v>0</v>
      </c>
      <c r="O4605">
        <v>-7.199999999999999</v>
      </c>
      <c r="P4605" t="s">
        <v>100</v>
      </c>
      <c r="Q4605">
        <v>0</v>
      </c>
      <c r="R4605" t="s">
        <v>145</v>
      </c>
      <c r="S4605">
        <v>0</v>
      </c>
    </row>
    <row r="4606" spans="1:19">
      <c r="A4606" t="s">
        <v>35</v>
      </c>
      <c r="B4606" t="s">
        <v>8061</v>
      </c>
      <c r="C4606">
        <f>"KLA2XL"</f>
        <v>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0</v>
      </c>
      <c r="J4606">
        <v>6</v>
      </c>
      <c r="K4606">
        <v>22.95</v>
      </c>
      <c r="L4606" s="2">
        <v>4</v>
      </c>
      <c r="M4606">
        <v>0</v>
      </c>
      <c r="N4606" s="2">
        <v>0</v>
      </c>
      <c r="O4606">
        <v>-7.199999999999999</v>
      </c>
      <c r="P4606" t="s">
        <v>100</v>
      </c>
      <c r="Q4606">
        <v>0</v>
      </c>
      <c r="R4606" t="s">
        <v>145</v>
      </c>
      <c r="S4606">
        <v>0</v>
      </c>
    </row>
    <row r="4607" spans="1:19">
      <c r="A4607" t="s">
        <v>35</v>
      </c>
      <c r="B4607" t="s">
        <v>9083</v>
      </c>
      <c r="C4607">
        <f>"WPS288"</f>
        <v>0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6</v>
      </c>
      <c r="K4607">
        <v>15.37</v>
      </c>
      <c r="L4607" s="2">
        <v>3</v>
      </c>
      <c r="M4607">
        <v>0</v>
      </c>
      <c r="N4607" s="2">
        <v>0</v>
      </c>
      <c r="O4607">
        <v>-7.199999999999999</v>
      </c>
      <c r="P4607" t="s">
        <v>100</v>
      </c>
      <c r="Q4607">
        <v>0</v>
      </c>
      <c r="R4607" t="s">
        <v>145</v>
      </c>
      <c r="S4607">
        <v>0</v>
      </c>
    </row>
    <row r="4608" spans="1:19">
      <c r="A4608" t="s">
        <v>35</v>
      </c>
      <c r="B4608" t="s">
        <v>7323</v>
      </c>
      <c r="C4608">
        <f>"NT038ROS"</f>
        <v>0</v>
      </c>
      <c r="D4608">
        <v>0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6</v>
      </c>
      <c r="K4608">
        <v>0</v>
      </c>
      <c r="L4608" s="2">
        <v>0</v>
      </c>
      <c r="M4608">
        <v>0</v>
      </c>
      <c r="N4608" s="2">
        <v>0</v>
      </c>
      <c r="O4608">
        <v>-7.199999999999999</v>
      </c>
      <c r="P4608" t="s">
        <v>100</v>
      </c>
      <c r="Q4608">
        <v>0</v>
      </c>
      <c r="R4608" t="s">
        <v>145</v>
      </c>
      <c r="S4608">
        <v>0</v>
      </c>
    </row>
    <row r="4609" spans="1:19">
      <c r="A4609" t="s">
        <v>35</v>
      </c>
      <c r="B4609" t="s">
        <v>7162</v>
      </c>
      <c r="C4609">
        <f>"NT038MOR"</f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6</v>
      </c>
      <c r="K4609">
        <v>0</v>
      </c>
      <c r="L4609" s="2">
        <v>0</v>
      </c>
      <c r="M4609">
        <v>0</v>
      </c>
      <c r="N4609" s="2">
        <v>0</v>
      </c>
      <c r="O4609">
        <v>-7.199999999999999</v>
      </c>
      <c r="P4609" t="s">
        <v>100</v>
      </c>
      <c r="Q4609">
        <v>0</v>
      </c>
      <c r="R4609" t="s">
        <v>145</v>
      </c>
      <c r="S4609">
        <v>0</v>
      </c>
    </row>
    <row r="4610" spans="1:19">
      <c r="A4610" t="s">
        <v>35</v>
      </c>
      <c r="B4610" t="s">
        <v>2400</v>
      </c>
      <c r="C4610">
        <f>"PX0911"</f>
        <v>0</v>
      </c>
      <c r="D4610">
        <v>0</v>
      </c>
      <c r="E4610">
        <v>0</v>
      </c>
      <c r="F4610">
        <v>1</v>
      </c>
      <c r="G4610">
        <v>0</v>
      </c>
      <c r="H4610">
        <v>1</v>
      </c>
      <c r="I4610">
        <v>0</v>
      </c>
      <c r="J4610">
        <v>6</v>
      </c>
      <c r="K4610">
        <v>16.146</v>
      </c>
      <c r="L4610" s="2">
        <v>3</v>
      </c>
      <c r="M4610">
        <v>0</v>
      </c>
      <c r="N4610" s="2">
        <v>0</v>
      </c>
      <c r="O4610">
        <v>-7.199999999999999</v>
      </c>
      <c r="P4610" t="s">
        <v>100</v>
      </c>
      <c r="Q4610">
        <v>0</v>
      </c>
      <c r="R4610" t="s">
        <v>145</v>
      </c>
      <c r="S4610">
        <v>0</v>
      </c>
    </row>
    <row r="4611" spans="1:19">
      <c r="A4611" t="s">
        <v>35</v>
      </c>
      <c r="B4611" t="s">
        <v>2443</v>
      </c>
      <c r="C4611">
        <f>"KF8039G"</f>
        <v>0</v>
      </c>
      <c r="D4611">
        <v>0</v>
      </c>
      <c r="E4611">
        <v>0</v>
      </c>
      <c r="F4611">
        <v>1</v>
      </c>
      <c r="G4611">
        <v>0</v>
      </c>
      <c r="H4611">
        <v>1</v>
      </c>
      <c r="I4611">
        <v>0</v>
      </c>
      <c r="J4611">
        <v>6</v>
      </c>
      <c r="K4611">
        <v>25.158</v>
      </c>
      <c r="L4611" s="2">
        <v>4</v>
      </c>
      <c r="M4611">
        <v>0</v>
      </c>
      <c r="N4611" s="2">
        <v>0</v>
      </c>
      <c r="O4611">
        <v>-7.199999999999999</v>
      </c>
      <c r="P4611" t="s">
        <v>100</v>
      </c>
      <c r="Q4611">
        <v>0</v>
      </c>
      <c r="R4611" t="s">
        <v>145</v>
      </c>
      <c r="S4611">
        <v>0</v>
      </c>
    </row>
    <row r="4612" spans="1:19">
      <c r="A4612" t="s">
        <v>35</v>
      </c>
      <c r="B4612" t="s">
        <v>9211</v>
      </c>
      <c r="C4612">
        <f>"HDD179PCB"</f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6</v>
      </c>
      <c r="K4612">
        <v>4.95</v>
      </c>
      <c r="L4612" s="2">
        <v>1</v>
      </c>
      <c r="M4612">
        <v>0</v>
      </c>
      <c r="N4612" s="2">
        <v>0</v>
      </c>
      <c r="O4612">
        <v>-7.199999999999999</v>
      </c>
      <c r="P4612" t="s">
        <v>100</v>
      </c>
      <c r="Q4612">
        <v>0</v>
      </c>
      <c r="R4612" t="s">
        <v>145</v>
      </c>
      <c r="S4612">
        <v>0</v>
      </c>
    </row>
    <row r="4613" spans="1:19">
      <c r="A4613" t="s">
        <v>35</v>
      </c>
      <c r="B4613" t="s">
        <v>7689</v>
      </c>
      <c r="C4613">
        <f>"B1919XXLA"</f>
        <v>0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6</v>
      </c>
      <c r="K4613">
        <v>58.86</v>
      </c>
      <c r="L4613" s="2">
        <v>10</v>
      </c>
      <c r="M4613">
        <v>0</v>
      </c>
      <c r="N4613" s="2">
        <v>0</v>
      </c>
      <c r="O4613">
        <v>-7.199999999999999</v>
      </c>
      <c r="P4613" t="s">
        <v>100</v>
      </c>
      <c r="Q4613">
        <v>0</v>
      </c>
      <c r="R4613" t="s">
        <v>145</v>
      </c>
      <c r="S4613">
        <v>0</v>
      </c>
    </row>
    <row r="4614" spans="1:19">
      <c r="A4614" t="s">
        <v>35</v>
      </c>
      <c r="B4614" t="s">
        <v>7690</v>
      </c>
      <c r="C4614">
        <f>"B1919XLA"</f>
        <v>0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6</v>
      </c>
      <c r="K4614">
        <v>46.8</v>
      </c>
      <c r="L4614" s="2">
        <v>8</v>
      </c>
      <c r="M4614">
        <v>0</v>
      </c>
      <c r="N4614" s="2">
        <v>0</v>
      </c>
      <c r="O4614">
        <v>-7.199999999999999</v>
      </c>
      <c r="P4614" t="s">
        <v>100</v>
      </c>
      <c r="Q4614">
        <v>0</v>
      </c>
      <c r="R4614" t="s">
        <v>145</v>
      </c>
      <c r="S4614">
        <v>0</v>
      </c>
    </row>
    <row r="4615" spans="1:19">
      <c r="A4615" t="s">
        <v>35</v>
      </c>
      <c r="B4615" t="s">
        <v>5397</v>
      </c>
      <c r="C4615">
        <f>"3114B"</f>
        <v>0</v>
      </c>
      <c r="D4615">
        <v>0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6</v>
      </c>
      <c r="K4615">
        <v>79.758</v>
      </c>
      <c r="L4615" s="2">
        <v>13</v>
      </c>
      <c r="M4615">
        <v>0</v>
      </c>
      <c r="N4615" s="2">
        <v>0</v>
      </c>
      <c r="O4615">
        <v>-7.199999999999999</v>
      </c>
      <c r="P4615" t="s">
        <v>100</v>
      </c>
      <c r="Q4615">
        <v>0</v>
      </c>
      <c r="R4615" t="s">
        <v>145</v>
      </c>
      <c r="S4615">
        <v>0</v>
      </c>
    </row>
    <row r="4616" spans="1:19">
      <c r="A4616" t="s">
        <v>35</v>
      </c>
      <c r="B4616" t="s">
        <v>9053</v>
      </c>
      <c r="C4616">
        <f>"JW0108"</f>
        <v>0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6</v>
      </c>
      <c r="K4616">
        <v>15.066</v>
      </c>
      <c r="L4616" s="2">
        <v>3</v>
      </c>
      <c r="M4616">
        <v>0</v>
      </c>
      <c r="N4616" s="2">
        <v>0</v>
      </c>
      <c r="O4616">
        <v>-7.199999999999999</v>
      </c>
      <c r="P4616" t="s">
        <v>100</v>
      </c>
      <c r="Q4616">
        <v>0</v>
      </c>
      <c r="R4616" t="s">
        <v>145</v>
      </c>
      <c r="S4616">
        <v>0</v>
      </c>
    </row>
    <row r="4617" spans="1:19">
      <c r="A4617" t="s">
        <v>35</v>
      </c>
      <c r="B4617" t="s">
        <v>2944</v>
      </c>
      <c r="C4617">
        <f>"PS06021"</f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6</v>
      </c>
      <c r="K4617">
        <v>17.82</v>
      </c>
      <c r="L4617" s="2">
        <v>3</v>
      </c>
      <c r="M4617">
        <v>0</v>
      </c>
      <c r="N4617" s="2">
        <v>0</v>
      </c>
      <c r="O4617">
        <v>-7.199999999999999</v>
      </c>
      <c r="P4617" t="s">
        <v>100</v>
      </c>
      <c r="Q4617">
        <v>0</v>
      </c>
      <c r="R4617" t="s">
        <v>145</v>
      </c>
      <c r="S4617">
        <v>0</v>
      </c>
    </row>
    <row r="4618" spans="1:19">
      <c r="A4618" t="s">
        <v>35</v>
      </c>
      <c r="B4618" t="s">
        <v>6427</v>
      </c>
      <c r="C4618">
        <f>"SK3000"</f>
        <v>0</v>
      </c>
      <c r="D4618">
        <v>0</v>
      </c>
      <c r="E4618">
        <v>0</v>
      </c>
      <c r="F4618">
        <v>0</v>
      </c>
      <c r="G4618">
        <v>0</v>
      </c>
      <c r="H4618">
        <v>0</v>
      </c>
      <c r="I4618">
        <v>0</v>
      </c>
      <c r="J4618">
        <v>6</v>
      </c>
      <c r="K4618">
        <v>56.97</v>
      </c>
      <c r="L4618" s="2">
        <v>9</v>
      </c>
      <c r="M4618">
        <v>0</v>
      </c>
      <c r="N4618" s="2">
        <v>0</v>
      </c>
      <c r="O4618">
        <v>-7.199999999999999</v>
      </c>
      <c r="P4618" t="s">
        <v>100</v>
      </c>
      <c r="Q4618">
        <v>0</v>
      </c>
      <c r="R4618" t="s">
        <v>145</v>
      </c>
      <c r="S4618">
        <v>0</v>
      </c>
    </row>
    <row r="4619" spans="1:19">
      <c r="A4619" t="s">
        <v>35</v>
      </c>
      <c r="B4619" t="s">
        <v>4983</v>
      </c>
      <c r="C4619">
        <f>"1854PYM"</f>
        <v>0</v>
      </c>
      <c r="D4619">
        <v>0</v>
      </c>
      <c r="E4619">
        <v>0</v>
      </c>
      <c r="F4619">
        <v>0</v>
      </c>
      <c r="G4619">
        <v>0</v>
      </c>
      <c r="H4619">
        <v>0</v>
      </c>
      <c r="I4619">
        <v>0</v>
      </c>
      <c r="J4619">
        <v>6</v>
      </c>
      <c r="K4619">
        <v>45.18</v>
      </c>
      <c r="L4619" s="2">
        <v>8</v>
      </c>
      <c r="M4619">
        <v>0</v>
      </c>
      <c r="N4619" s="2">
        <v>0</v>
      </c>
      <c r="O4619">
        <v>-7.199999999999999</v>
      </c>
      <c r="P4619" t="s">
        <v>100</v>
      </c>
      <c r="Q4619">
        <v>0</v>
      </c>
      <c r="R4619" t="s">
        <v>145</v>
      </c>
      <c r="S4619">
        <v>0</v>
      </c>
    </row>
    <row r="4620" spans="1:19">
      <c r="A4620" t="s">
        <v>35</v>
      </c>
      <c r="B4620" t="s">
        <v>5021</v>
      </c>
      <c r="C4620">
        <f>"1823LGM"</f>
        <v>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6</v>
      </c>
      <c r="K4620">
        <v>34.29</v>
      </c>
      <c r="L4620" s="2">
        <v>6</v>
      </c>
      <c r="M4620">
        <v>0</v>
      </c>
      <c r="N4620" s="2">
        <v>0</v>
      </c>
      <c r="O4620">
        <v>-7.199999999999999</v>
      </c>
      <c r="P4620" t="s">
        <v>100</v>
      </c>
      <c r="Q4620">
        <v>0</v>
      </c>
      <c r="R4620" t="s">
        <v>145</v>
      </c>
      <c r="S4620">
        <v>0</v>
      </c>
    </row>
    <row r="4621" spans="1:19">
      <c r="A4621" t="s">
        <v>35</v>
      </c>
      <c r="B4621" t="s">
        <v>6267</v>
      </c>
      <c r="C4621">
        <f>"862350"</f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6</v>
      </c>
      <c r="K4621">
        <v>0</v>
      </c>
      <c r="L4621" s="2">
        <v>0</v>
      </c>
      <c r="M4621">
        <v>0</v>
      </c>
      <c r="N4621" s="2">
        <v>0</v>
      </c>
      <c r="O4621">
        <v>-7.199999999999999</v>
      </c>
      <c r="P4621" t="s">
        <v>100</v>
      </c>
      <c r="Q4621">
        <v>0</v>
      </c>
      <c r="R4621" t="s">
        <v>145</v>
      </c>
      <c r="S4621">
        <v>0</v>
      </c>
    </row>
    <row r="4622" spans="1:19">
      <c r="A4622" t="s">
        <v>35</v>
      </c>
      <c r="B4622" t="s">
        <v>4982</v>
      </c>
      <c r="C4622">
        <f>"1854PYS"</f>
        <v>0</v>
      </c>
      <c r="D4622">
        <v>0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6</v>
      </c>
      <c r="K4622">
        <v>35.1</v>
      </c>
      <c r="L4622" s="2">
        <v>6</v>
      </c>
      <c r="M4622">
        <v>0</v>
      </c>
      <c r="N4622" s="2">
        <v>0</v>
      </c>
      <c r="O4622">
        <v>-7.199999999999999</v>
      </c>
      <c r="P4622" t="s">
        <v>100</v>
      </c>
      <c r="Q4622">
        <v>0</v>
      </c>
      <c r="R4622" t="s">
        <v>145</v>
      </c>
      <c r="S4622">
        <v>0</v>
      </c>
    </row>
    <row r="4623" spans="1:19">
      <c r="A4623" t="s">
        <v>35</v>
      </c>
      <c r="B4623" t="s">
        <v>6580</v>
      </c>
      <c r="C4623">
        <f>"HH088SC"</f>
        <v>0</v>
      </c>
      <c r="D4623">
        <v>0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6</v>
      </c>
      <c r="K4623">
        <v>48.06</v>
      </c>
      <c r="L4623" s="2">
        <v>8</v>
      </c>
      <c r="M4623">
        <v>0</v>
      </c>
      <c r="N4623" s="2">
        <v>0</v>
      </c>
      <c r="O4623">
        <v>-7.199999999999999</v>
      </c>
      <c r="P4623" t="s">
        <v>100</v>
      </c>
      <c r="Q4623">
        <v>0</v>
      </c>
      <c r="R4623" t="s">
        <v>145</v>
      </c>
      <c r="S4623">
        <v>0</v>
      </c>
    </row>
    <row r="4624" spans="1:19">
      <c r="A4624" t="s">
        <v>35</v>
      </c>
      <c r="B4624" t="s">
        <v>6077</v>
      </c>
      <c r="C4624">
        <f>"W2004"</f>
        <v>0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6</v>
      </c>
      <c r="K4624">
        <v>21.546</v>
      </c>
      <c r="L4624" s="2">
        <v>4</v>
      </c>
      <c r="M4624">
        <v>0</v>
      </c>
      <c r="N4624" s="2">
        <v>0</v>
      </c>
      <c r="O4624">
        <v>-7.199999999999999</v>
      </c>
      <c r="P4624" t="s">
        <v>100</v>
      </c>
      <c r="Q4624">
        <v>0</v>
      </c>
      <c r="R4624" t="s">
        <v>145</v>
      </c>
      <c r="S4624">
        <v>0</v>
      </c>
    </row>
    <row r="4625" spans="1:19">
      <c r="A4625" t="s">
        <v>35</v>
      </c>
      <c r="B4625" t="s">
        <v>5053</v>
      </c>
      <c r="C4625">
        <f>"1760VPXS"</f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6</v>
      </c>
      <c r="K4625">
        <v>12.366</v>
      </c>
      <c r="L4625" s="2">
        <v>2</v>
      </c>
      <c r="M4625">
        <v>0</v>
      </c>
      <c r="N4625" s="2">
        <v>0</v>
      </c>
      <c r="O4625">
        <v>-7.199999999999999</v>
      </c>
      <c r="P4625" t="s">
        <v>100</v>
      </c>
      <c r="Q4625">
        <v>0</v>
      </c>
      <c r="R4625" t="s">
        <v>145</v>
      </c>
      <c r="S4625">
        <v>0</v>
      </c>
    </row>
    <row r="4626" spans="1:19">
      <c r="A4626" t="s">
        <v>35</v>
      </c>
      <c r="B4626" t="s">
        <v>4989</v>
      </c>
      <c r="C4626">
        <f>"1854CPXXS"</f>
        <v>0</v>
      </c>
      <c r="D4626">
        <v>0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6</v>
      </c>
      <c r="K4626">
        <v>16.065</v>
      </c>
      <c r="L4626" s="2">
        <v>3</v>
      </c>
      <c r="M4626">
        <v>0</v>
      </c>
      <c r="N4626" s="2">
        <v>0</v>
      </c>
      <c r="O4626">
        <v>-7.199999999999999</v>
      </c>
      <c r="P4626" t="s">
        <v>100</v>
      </c>
      <c r="Q4626">
        <v>0</v>
      </c>
      <c r="R4626" t="s">
        <v>145</v>
      </c>
      <c r="S4626">
        <v>0</v>
      </c>
    </row>
    <row r="4627" spans="1:19">
      <c r="A4627" t="s">
        <v>35</v>
      </c>
      <c r="B4627" t="s">
        <v>4968</v>
      </c>
      <c r="C4627">
        <f>"1881SGS"</f>
        <v>0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6</v>
      </c>
      <c r="K4627">
        <v>36.18</v>
      </c>
      <c r="L4627" s="2">
        <v>6</v>
      </c>
      <c r="M4627">
        <v>0</v>
      </c>
      <c r="N4627" s="2">
        <v>0</v>
      </c>
      <c r="O4627">
        <v>-7.199999999999999</v>
      </c>
      <c r="P4627" t="s">
        <v>100</v>
      </c>
      <c r="Q4627">
        <v>0</v>
      </c>
      <c r="R4627" t="s">
        <v>145</v>
      </c>
      <c r="S4627">
        <v>0</v>
      </c>
    </row>
    <row r="4628" spans="1:19">
      <c r="A4628" t="s">
        <v>35</v>
      </c>
      <c r="B4628" t="s">
        <v>6468</v>
      </c>
      <c r="C4628">
        <f>"HH088XSG"</f>
        <v>0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6</v>
      </c>
      <c r="K4628">
        <v>42.66</v>
      </c>
      <c r="L4628" s="2">
        <v>7</v>
      </c>
      <c r="M4628">
        <v>0</v>
      </c>
      <c r="N4628" s="2">
        <v>0</v>
      </c>
      <c r="O4628">
        <v>-7.199999999999999</v>
      </c>
      <c r="P4628" t="s">
        <v>100</v>
      </c>
      <c r="Q4628">
        <v>0</v>
      </c>
      <c r="R4628" t="s">
        <v>145</v>
      </c>
      <c r="S4628">
        <v>0</v>
      </c>
    </row>
    <row r="4629" spans="1:19">
      <c r="A4629" t="s">
        <v>35</v>
      </c>
      <c r="B4629" t="s">
        <v>8516</v>
      </c>
      <c r="C4629">
        <f>"ZRD2019139"</f>
        <v>0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6</v>
      </c>
      <c r="K4629">
        <v>24.66</v>
      </c>
      <c r="L4629" s="2">
        <v>4</v>
      </c>
      <c r="M4629">
        <v>0</v>
      </c>
      <c r="N4629" s="2">
        <v>0</v>
      </c>
      <c r="O4629">
        <v>-7.199999999999999</v>
      </c>
      <c r="P4629" t="s">
        <v>100</v>
      </c>
      <c r="Q4629">
        <v>0</v>
      </c>
      <c r="R4629" t="s">
        <v>145</v>
      </c>
      <c r="S4629">
        <v>0</v>
      </c>
    </row>
    <row r="4630" spans="1:19">
      <c r="A4630" t="s">
        <v>35</v>
      </c>
      <c r="B4630" t="s">
        <v>7107</v>
      </c>
      <c r="C4630">
        <f>"15423L"</f>
        <v>0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6</v>
      </c>
      <c r="K4630">
        <v>39.69</v>
      </c>
      <c r="L4630" s="2">
        <v>7</v>
      </c>
      <c r="M4630">
        <v>0</v>
      </c>
      <c r="N4630" s="2">
        <v>0</v>
      </c>
      <c r="O4630">
        <v>-7.199999999999999</v>
      </c>
      <c r="P4630" t="s">
        <v>100</v>
      </c>
      <c r="Q4630">
        <v>0</v>
      </c>
      <c r="R4630" t="s">
        <v>145</v>
      </c>
      <c r="S4630">
        <v>0</v>
      </c>
    </row>
    <row r="4631" spans="1:19">
      <c r="A4631" t="s">
        <v>35</v>
      </c>
      <c r="B4631" t="s">
        <v>7104</v>
      </c>
      <c r="C4631">
        <f>"15423M"</f>
        <v>0</v>
      </c>
      <c r="D4631">
        <v>0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6</v>
      </c>
      <c r="K4631">
        <v>38.34</v>
      </c>
      <c r="L4631" s="2">
        <v>6</v>
      </c>
      <c r="M4631">
        <v>0</v>
      </c>
      <c r="N4631" s="2">
        <v>0</v>
      </c>
      <c r="O4631">
        <v>-7.199999999999999</v>
      </c>
      <c r="P4631" t="s">
        <v>100</v>
      </c>
      <c r="Q4631">
        <v>0</v>
      </c>
      <c r="R4631" t="s">
        <v>145</v>
      </c>
      <c r="S4631">
        <v>0</v>
      </c>
    </row>
    <row r="4632" spans="1:19">
      <c r="A4632" t="s">
        <v>35</v>
      </c>
      <c r="B4632" t="s">
        <v>3419</v>
      </c>
      <c r="C4632">
        <f>"PCM16030A"</f>
        <v>0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6</v>
      </c>
      <c r="K4632">
        <v>71.55</v>
      </c>
      <c r="L4632" s="2">
        <v>12</v>
      </c>
      <c r="M4632">
        <v>0</v>
      </c>
      <c r="N4632" s="2">
        <v>0</v>
      </c>
      <c r="O4632">
        <v>-7.199999999999999</v>
      </c>
      <c r="P4632" t="s">
        <v>100</v>
      </c>
      <c r="Q4632">
        <v>0</v>
      </c>
      <c r="R4632" t="s">
        <v>145</v>
      </c>
      <c r="S4632">
        <v>0</v>
      </c>
    </row>
    <row r="4633" spans="1:19">
      <c r="A4633" t="s">
        <v>35</v>
      </c>
      <c r="B4633" t="s">
        <v>8150</v>
      </c>
      <c r="C4633">
        <f>"8013S"</f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6</v>
      </c>
      <c r="K4633">
        <v>18.36</v>
      </c>
      <c r="L4633" s="2">
        <v>3</v>
      </c>
      <c r="M4633">
        <v>0</v>
      </c>
      <c r="N4633" s="2">
        <v>0</v>
      </c>
      <c r="O4633">
        <v>-7.199999999999999</v>
      </c>
      <c r="P4633" t="s">
        <v>100</v>
      </c>
      <c r="Q4633">
        <v>0</v>
      </c>
      <c r="R4633" t="s">
        <v>145</v>
      </c>
      <c r="S4633">
        <v>0</v>
      </c>
    </row>
    <row r="4634" spans="1:19">
      <c r="A4634" t="s">
        <v>35</v>
      </c>
      <c r="B4634" t="s">
        <v>2447</v>
      </c>
      <c r="C4634">
        <f>"HP152XLCA"</f>
        <v>0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6</v>
      </c>
      <c r="K4634">
        <v>32.346</v>
      </c>
      <c r="L4634" s="2">
        <v>5</v>
      </c>
      <c r="M4634">
        <v>0</v>
      </c>
      <c r="N4634" s="2">
        <v>0</v>
      </c>
      <c r="O4634">
        <v>-7.199999999999999</v>
      </c>
      <c r="P4634" t="s">
        <v>100</v>
      </c>
      <c r="Q4634">
        <v>0</v>
      </c>
      <c r="R4634" t="s">
        <v>145</v>
      </c>
      <c r="S4634">
        <v>0</v>
      </c>
    </row>
    <row r="4635" spans="1:19">
      <c r="A4635" t="s">
        <v>35</v>
      </c>
      <c r="B4635" t="s">
        <v>5163</v>
      </c>
      <c r="C4635">
        <f>"LV09092TPS"</f>
        <v>0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6</v>
      </c>
      <c r="K4635">
        <v>21.546</v>
      </c>
      <c r="L4635" s="2">
        <v>4</v>
      </c>
      <c r="M4635">
        <v>0</v>
      </c>
      <c r="N4635" s="2">
        <v>0</v>
      </c>
      <c r="O4635">
        <v>-7.199999999999999</v>
      </c>
      <c r="P4635" t="s">
        <v>100</v>
      </c>
      <c r="Q4635">
        <v>0</v>
      </c>
      <c r="R4635" t="s">
        <v>145</v>
      </c>
      <c r="S4635">
        <v>0</v>
      </c>
    </row>
    <row r="4636" spans="1:19">
      <c r="A4636" t="s">
        <v>35</v>
      </c>
      <c r="B4636" t="s">
        <v>8115</v>
      </c>
      <c r="C4636">
        <f>"HD21XS"</f>
        <v>0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6</v>
      </c>
      <c r="K4636">
        <v>15.606</v>
      </c>
      <c r="L4636" s="2">
        <v>3</v>
      </c>
      <c r="M4636">
        <v>0</v>
      </c>
      <c r="N4636" s="2">
        <v>0</v>
      </c>
      <c r="O4636">
        <v>-7.199999999999999</v>
      </c>
      <c r="P4636" t="s">
        <v>100</v>
      </c>
      <c r="Q4636">
        <v>0</v>
      </c>
      <c r="R4636" t="s">
        <v>145</v>
      </c>
      <c r="S4636">
        <v>0</v>
      </c>
    </row>
    <row r="4637" spans="1:19">
      <c r="A4637" t="s">
        <v>35</v>
      </c>
      <c r="B4637" t="s">
        <v>6991</v>
      </c>
      <c r="C4637">
        <f>"H015XXLMO"</f>
        <v>0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6</v>
      </c>
      <c r="K4637">
        <v>0</v>
      </c>
      <c r="L4637" s="2">
        <v>0</v>
      </c>
      <c r="M4637">
        <v>0</v>
      </c>
      <c r="N4637" s="2">
        <v>0</v>
      </c>
      <c r="O4637">
        <v>-7.199999999999999</v>
      </c>
      <c r="P4637" t="s">
        <v>100</v>
      </c>
      <c r="Q4637">
        <v>0</v>
      </c>
      <c r="R4637" t="s">
        <v>145</v>
      </c>
      <c r="S4637">
        <v>0</v>
      </c>
    </row>
    <row r="4638" spans="1:19">
      <c r="A4638" t="s">
        <v>35</v>
      </c>
      <c r="B4638" t="s">
        <v>3028</v>
      </c>
      <c r="C4638">
        <f>"B19220MR"</f>
        <v>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6</v>
      </c>
      <c r="K4638">
        <v>52.11</v>
      </c>
      <c r="L4638" s="2">
        <v>9</v>
      </c>
      <c r="M4638">
        <v>0</v>
      </c>
      <c r="N4638" s="2">
        <v>0</v>
      </c>
      <c r="O4638">
        <v>-7.199999999999999</v>
      </c>
      <c r="P4638" t="s">
        <v>100</v>
      </c>
      <c r="Q4638">
        <v>0</v>
      </c>
      <c r="R4638" t="s">
        <v>145</v>
      </c>
      <c r="S4638">
        <v>0</v>
      </c>
    </row>
    <row r="4639" spans="1:19">
      <c r="A4639" t="s">
        <v>35</v>
      </c>
      <c r="B4639" t="s">
        <v>6836</v>
      </c>
      <c r="C4639">
        <f>"HXC07"</f>
        <v>0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6</v>
      </c>
      <c r="K4639">
        <v>13.5</v>
      </c>
      <c r="L4639" s="2">
        <v>2</v>
      </c>
      <c r="M4639">
        <v>0</v>
      </c>
      <c r="N4639" s="2">
        <v>0</v>
      </c>
      <c r="O4639">
        <v>-7.199999999999999</v>
      </c>
      <c r="P4639" t="s">
        <v>100</v>
      </c>
      <c r="Q4639">
        <v>0</v>
      </c>
      <c r="R4639" t="s">
        <v>145</v>
      </c>
      <c r="S4639">
        <v>0</v>
      </c>
    </row>
    <row r="4640" spans="1:19">
      <c r="A4640" t="s">
        <v>35</v>
      </c>
      <c r="B4640" t="s">
        <v>9751</v>
      </c>
      <c r="C4640">
        <f>"EK3004CA"</f>
        <v>0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6</v>
      </c>
      <c r="K4640">
        <v>10.176</v>
      </c>
      <c r="L4640" s="2">
        <v>2</v>
      </c>
      <c r="M4640">
        <v>0</v>
      </c>
      <c r="N4640" s="2">
        <v>0</v>
      </c>
      <c r="O4640">
        <v>-7.199999999999999</v>
      </c>
      <c r="P4640" t="s">
        <v>100</v>
      </c>
      <c r="Q4640">
        <v>0</v>
      </c>
      <c r="R4640" t="s">
        <v>145</v>
      </c>
      <c r="S4640">
        <v>0</v>
      </c>
    </row>
    <row r="4641" spans="1:19">
      <c r="A4641" t="s">
        <v>35</v>
      </c>
      <c r="B4641" t="s">
        <v>4917</v>
      </c>
      <c r="C4641">
        <f>"SP012"</f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0</v>
      </c>
      <c r="J4641">
        <v>6</v>
      </c>
      <c r="K4641">
        <v>17.94</v>
      </c>
      <c r="L4641" s="2">
        <v>3</v>
      </c>
      <c r="M4641">
        <v>0</v>
      </c>
      <c r="N4641" s="2">
        <v>0</v>
      </c>
      <c r="O4641">
        <v>-7.199999999999999</v>
      </c>
      <c r="P4641" t="s">
        <v>100</v>
      </c>
      <c r="Q4641">
        <v>0</v>
      </c>
      <c r="R4641" t="s">
        <v>145</v>
      </c>
      <c r="S4641">
        <v>0</v>
      </c>
    </row>
    <row r="4642" spans="1:19">
      <c r="A4642" t="s">
        <v>35</v>
      </c>
      <c r="B4642" t="s">
        <v>7429</v>
      </c>
      <c r="C4642">
        <f>"B1922SRO"</f>
        <v>0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6</v>
      </c>
      <c r="K4642">
        <v>41.04</v>
      </c>
      <c r="L4642" s="2">
        <v>7</v>
      </c>
      <c r="M4642">
        <v>0</v>
      </c>
      <c r="N4642" s="2">
        <v>0</v>
      </c>
      <c r="O4642">
        <v>-7.199999999999999</v>
      </c>
      <c r="P4642" t="s">
        <v>100</v>
      </c>
      <c r="Q4642">
        <v>0</v>
      </c>
      <c r="R4642" t="s">
        <v>145</v>
      </c>
      <c r="S4642">
        <v>0</v>
      </c>
    </row>
    <row r="4643" spans="1:19">
      <c r="A4643" t="s">
        <v>35</v>
      </c>
      <c r="B4643" t="s">
        <v>2617</v>
      </c>
      <c r="C4643">
        <f>"HXC08"</f>
        <v>0</v>
      </c>
      <c r="D4643">
        <v>0</v>
      </c>
      <c r="E4643">
        <v>0</v>
      </c>
      <c r="F4643">
        <v>1</v>
      </c>
      <c r="G4643">
        <v>0</v>
      </c>
      <c r="H4643">
        <v>1</v>
      </c>
      <c r="I4643">
        <v>0</v>
      </c>
      <c r="J4643">
        <v>6</v>
      </c>
      <c r="K4643">
        <v>6.48</v>
      </c>
      <c r="L4643" s="2">
        <v>1</v>
      </c>
      <c r="M4643">
        <v>0</v>
      </c>
      <c r="N4643" s="2">
        <v>0</v>
      </c>
      <c r="O4643">
        <v>-7.199999999999999</v>
      </c>
      <c r="P4643" t="s">
        <v>100</v>
      </c>
      <c r="Q4643">
        <v>0</v>
      </c>
      <c r="R4643" t="s">
        <v>145</v>
      </c>
      <c r="S4643">
        <v>0</v>
      </c>
    </row>
    <row r="4644" spans="1:19">
      <c r="A4644" t="s">
        <v>35</v>
      </c>
      <c r="B4644" t="s">
        <v>6820</v>
      </c>
      <c r="C4644">
        <f>"1812CL"</f>
        <v>0</v>
      </c>
      <c r="D4644">
        <v>0</v>
      </c>
      <c r="E4644">
        <v>0</v>
      </c>
      <c r="F4644">
        <v>0</v>
      </c>
      <c r="G4644">
        <v>0</v>
      </c>
      <c r="H4644">
        <v>0</v>
      </c>
      <c r="I4644">
        <v>0</v>
      </c>
      <c r="J4644">
        <v>6</v>
      </c>
      <c r="K4644">
        <v>20.79</v>
      </c>
      <c r="L4644" s="2">
        <v>3</v>
      </c>
      <c r="M4644">
        <v>0</v>
      </c>
      <c r="N4644" s="2">
        <v>0</v>
      </c>
      <c r="O4644">
        <v>-7.199999999999999</v>
      </c>
      <c r="P4644" t="s">
        <v>100</v>
      </c>
      <c r="Q4644">
        <v>0</v>
      </c>
      <c r="R4644" t="s">
        <v>145</v>
      </c>
      <c r="S4644">
        <v>0</v>
      </c>
    </row>
    <row r="4645" spans="1:19">
      <c r="A4645" t="s">
        <v>35</v>
      </c>
      <c r="B4645" t="s">
        <v>2631</v>
      </c>
      <c r="C4645">
        <f>"CC103M"</f>
        <v>0</v>
      </c>
      <c r="D4645">
        <v>0</v>
      </c>
      <c r="E4645">
        <v>1</v>
      </c>
      <c r="F4645">
        <v>0</v>
      </c>
      <c r="G4645">
        <v>0</v>
      </c>
      <c r="H4645">
        <v>1</v>
      </c>
      <c r="I4645">
        <v>0</v>
      </c>
      <c r="J4645">
        <v>6</v>
      </c>
      <c r="K4645">
        <v>9.720000000000001</v>
      </c>
      <c r="L4645" s="2">
        <v>2</v>
      </c>
      <c r="M4645">
        <v>0</v>
      </c>
      <c r="N4645" s="2">
        <v>0</v>
      </c>
      <c r="O4645">
        <v>-7.199999999999999</v>
      </c>
      <c r="P4645" t="s">
        <v>100</v>
      </c>
      <c r="Q4645">
        <v>0</v>
      </c>
      <c r="R4645" t="s">
        <v>145</v>
      </c>
      <c r="S4645">
        <v>0</v>
      </c>
    </row>
    <row r="4646" spans="1:19">
      <c r="A4646" t="s">
        <v>35</v>
      </c>
      <c r="B4646" t="s">
        <v>6532</v>
      </c>
      <c r="C4646">
        <f>"JWZ1003L"</f>
        <v>0</v>
      </c>
      <c r="D4646">
        <v>0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6</v>
      </c>
      <c r="K4646">
        <v>6.21</v>
      </c>
      <c r="L4646" s="2">
        <v>1</v>
      </c>
      <c r="M4646">
        <v>0</v>
      </c>
      <c r="N4646" s="2">
        <v>0</v>
      </c>
      <c r="O4646">
        <v>-7.199999999999999</v>
      </c>
      <c r="P4646" t="s">
        <v>100</v>
      </c>
      <c r="Q4646">
        <v>0</v>
      </c>
      <c r="R4646" t="s">
        <v>145</v>
      </c>
      <c r="S4646">
        <v>0</v>
      </c>
    </row>
    <row r="4647" spans="1:19">
      <c r="A4647" t="s">
        <v>35</v>
      </c>
      <c r="B4647" t="s">
        <v>1937</v>
      </c>
      <c r="C4647">
        <f>"28403"</f>
        <v>0</v>
      </c>
      <c r="D4647">
        <v>0</v>
      </c>
      <c r="E4647">
        <v>0</v>
      </c>
      <c r="F4647">
        <v>5</v>
      </c>
      <c r="G4647">
        <v>0</v>
      </c>
      <c r="H4647">
        <v>5</v>
      </c>
      <c r="I4647">
        <v>0</v>
      </c>
      <c r="J4647">
        <v>6</v>
      </c>
      <c r="K4647">
        <v>33.48</v>
      </c>
      <c r="L4647" s="2">
        <v>6</v>
      </c>
      <c r="M4647">
        <v>0</v>
      </c>
      <c r="N4647" s="2">
        <v>0</v>
      </c>
      <c r="O4647">
        <v>-7.199999999999999</v>
      </c>
      <c r="P4647" t="s">
        <v>100</v>
      </c>
      <c r="Q4647">
        <v>0</v>
      </c>
      <c r="R4647" t="s">
        <v>145</v>
      </c>
      <c r="S4647">
        <v>0</v>
      </c>
    </row>
    <row r="4648" spans="1:19">
      <c r="A4648" t="s">
        <v>35</v>
      </c>
      <c r="B4648" t="s">
        <v>9910</v>
      </c>
      <c r="C4648">
        <f>"ER035"</f>
        <v>0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6</v>
      </c>
      <c r="K4648">
        <v>5.616</v>
      </c>
      <c r="L4648" s="2">
        <v>1</v>
      </c>
      <c r="M4648">
        <v>0</v>
      </c>
      <c r="N4648" s="2">
        <v>0</v>
      </c>
      <c r="O4648">
        <v>-7.199999999999999</v>
      </c>
      <c r="P4648" t="s">
        <v>100</v>
      </c>
      <c r="Q4648">
        <v>0</v>
      </c>
      <c r="R4648" t="s">
        <v>145</v>
      </c>
      <c r="S4648">
        <v>0</v>
      </c>
    </row>
    <row r="4649" spans="1:19">
      <c r="A4649" t="s">
        <v>35</v>
      </c>
      <c r="B4649" t="s">
        <v>6555</v>
      </c>
      <c r="C4649">
        <f>"LH100SA"</f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6</v>
      </c>
      <c r="K4649">
        <v>26.46</v>
      </c>
      <c r="L4649" s="2">
        <v>4</v>
      </c>
      <c r="M4649">
        <v>0</v>
      </c>
      <c r="N4649" s="2">
        <v>0</v>
      </c>
      <c r="O4649">
        <v>-7.199999999999999</v>
      </c>
      <c r="P4649" t="s">
        <v>100</v>
      </c>
      <c r="Q4649">
        <v>0</v>
      </c>
      <c r="R4649" t="s">
        <v>145</v>
      </c>
      <c r="S4649">
        <v>0</v>
      </c>
    </row>
    <row r="4650" spans="1:19">
      <c r="A4650" t="s">
        <v>35</v>
      </c>
      <c r="B4650" t="s">
        <v>6553</v>
      </c>
      <c r="C4650">
        <f>"LH100SR"</f>
        <v>0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6</v>
      </c>
      <c r="K4650">
        <v>26.46</v>
      </c>
      <c r="L4650" s="2">
        <v>4</v>
      </c>
      <c r="M4650">
        <v>0</v>
      </c>
      <c r="N4650" s="2">
        <v>0</v>
      </c>
      <c r="O4650">
        <v>-7.199999999999999</v>
      </c>
      <c r="P4650" t="s">
        <v>100</v>
      </c>
      <c r="Q4650">
        <v>0</v>
      </c>
      <c r="R4650" t="s">
        <v>145</v>
      </c>
      <c r="S4650">
        <v>0</v>
      </c>
    </row>
    <row r="4651" spans="1:19">
      <c r="A4651" t="s">
        <v>35</v>
      </c>
      <c r="B4651" t="s">
        <v>8624</v>
      </c>
      <c r="C4651">
        <f>"SLL10310S"</f>
        <v>0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6</v>
      </c>
      <c r="K4651">
        <v>8.904</v>
      </c>
      <c r="L4651" s="2">
        <v>1</v>
      </c>
      <c r="M4651">
        <v>0</v>
      </c>
      <c r="N4651" s="2">
        <v>0</v>
      </c>
      <c r="O4651">
        <v>-7.199999999999999</v>
      </c>
      <c r="P4651" t="s">
        <v>100</v>
      </c>
      <c r="Q4651">
        <v>0</v>
      </c>
      <c r="R4651" t="s">
        <v>145</v>
      </c>
      <c r="S4651">
        <v>0</v>
      </c>
    </row>
    <row r="4652" spans="1:19">
      <c r="A4652" t="s">
        <v>35</v>
      </c>
      <c r="B4652" t="s">
        <v>6428</v>
      </c>
      <c r="C4652">
        <f>"SK3001"</f>
        <v>0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0</v>
      </c>
      <c r="J4652">
        <v>6</v>
      </c>
      <c r="K4652">
        <v>56.97</v>
      </c>
      <c r="L4652" s="2">
        <v>9</v>
      </c>
      <c r="M4652">
        <v>0</v>
      </c>
      <c r="N4652" s="2">
        <v>0</v>
      </c>
      <c r="O4652">
        <v>-7.199999999999999</v>
      </c>
      <c r="P4652" t="s">
        <v>100</v>
      </c>
      <c r="Q4652">
        <v>0</v>
      </c>
      <c r="R4652" t="s">
        <v>145</v>
      </c>
      <c r="S4652">
        <v>0</v>
      </c>
    </row>
    <row r="4653" spans="1:19">
      <c r="A4653" t="s">
        <v>35</v>
      </c>
      <c r="B4653" t="s">
        <v>4766</v>
      </c>
      <c r="C4653">
        <f>"JW0130A"</f>
        <v>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6</v>
      </c>
      <c r="K4653">
        <v>26.406</v>
      </c>
      <c r="L4653" s="2">
        <v>4</v>
      </c>
      <c r="M4653">
        <v>0</v>
      </c>
      <c r="N4653" s="2">
        <v>0</v>
      </c>
      <c r="O4653">
        <v>-7.199999999999999</v>
      </c>
      <c r="P4653" t="s">
        <v>100</v>
      </c>
      <c r="Q4653">
        <v>0</v>
      </c>
      <c r="R4653" t="s">
        <v>145</v>
      </c>
      <c r="S4653">
        <v>0</v>
      </c>
    </row>
    <row r="4654" spans="1:19">
      <c r="A4654" t="s">
        <v>35</v>
      </c>
      <c r="B4654" t="s">
        <v>4861</v>
      </c>
      <c r="C4654">
        <f>"JWL1027M"</f>
        <v>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6</v>
      </c>
      <c r="K4654">
        <v>6.966</v>
      </c>
      <c r="L4654" s="2">
        <v>1</v>
      </c>
      <c r="M4654">
        <v>0</v>
      </c>
      <c r="N4654" s="2">
        <v>0</v>
      </c>
      <c r="O4654">
        <v>-7.199999999999999</v>
      </c>
      <c r="P4654" t="s">
        <v>100</v>
      </c>
      <c r="Q4654">
        <v>0</v>
      </c>
      <c r="R4654" t="s">
        <v>145</v>
      </c>
      <c r="S4654">
        <v>0</v>
      </c>
    </row>
    <row r="4655" spans="1:19">
      <c r="A4655" t="s">
        <v>35</v>
      </c>
      <c r="B4655" t="s">
        <v>6784</v>
      </c>
      <c r="C4655">
        <f>"KSJM"</f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6</v>
      </c>
      <c r="K4655">
        <v>8.045999999999999</v>
      </c>
      <c r="L4655" s="2">
        <v>1</v>
      </c>
      <c r="M4655">
        <v>0</v>
      </c>
      <c r="N4655" s="2">
        <v>0</v>
      </c>
      <c r="O4655">
        <v>-7.199999999999999</v>
      </c>
      <c r="P4655" t="s">
        <v>100</v>
      </c>
      <c r="Q4655">
        <v>0</v>
      </c>
      <c r="R4655" t="s">
        <v>145</v>
      </c>
      <c r="S4655">
        <v>0</v>
      </c>
    </row>
    <row r="4656" spans="1:19">
      <c r="A4656" t="s">
        <v>35</v>
      </c>
      <c r="B4656" t="s">
        <v>6687</v>
      </c>
      <c r="C4656">
        <f>"CL359XS"</f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6</v>
      </c>
      <c r="K4656">
        <v>15.93</v>
      </c>
      <c r="L4656" s="2">
        <v>3</v>
      </c>
      <c r="M4656">
        <v>0</v>
      </c>
      <c r="N4656" s="2">
        <v>0</v>
      </c>
      <c r="O4656">
        <v>-7.199999999999999</v>
      </c>
      <c r="P4656" t="s">
        <v>100</v>
      </c>
      <c r="Q4656">
        <v>0</v>
      </c>
      <c r="R4656" t="s">
        <v>145</v>
      </c>
      <c r="S4656">
        <v>0</v>
      </c>
    </row>
    <row r="4657" spans="1:19">
      <c r="A4657" t="s">
        <v>35</v>
      </c>
      <c r="B4657" t="s">
        <v>7530</v>
      </c>
      <c r="C4657">
        <f>"YXCS"</f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6</v>
      </c>
      <c r="K4657">
        <v>21.546</v>
      </c>
      <c r="L4657" s="2">
        <v>4</v>
      </c>
      <c r="M4657">
        <v>0</v>
      </c>
      <c r="N4657" s="2">
        <v>0</v>
      </c>
      <c r="O4657">
        <v>-7.199999999999999</v>
      </c>
      <c r="P4657" t="s">
        <v>100</v>
      </c>
      <c r="Q4657">
        <v>0</v>
      </c>
      <c r="R4657" t="s">
        <v>145</v>
      </c>
      <c r="S4657">
        <v>0</v>
      </c>
    </row>
    <row r="4658" spans="1:19">
      <c r="A4658" t="s">
        <v>35</v>
      </c>
      <c r="B4658" t="s">
        <v>2571</v>
      </c>
      <c r="C4658">
        <f>"DN28"</f>
        <v>0</v>
      </c>
      <c r="D4658">
        <v>0</v>
      </c>
      <c r="E4658">
        <v>1</v>
      </c>
      <c r="F4658">
        <v>0</v>
      </c>
      <c r="G4658">
        <v>0</v>
      </c>
      <c r="H4658">
        <v>1</v>
      </c>
      <c r="I4658">
        <v>0</v>
      </c>
      <c r="J4658">
        <v>6</v>
      </c>
      <c r="K4658">
        <v>12.69</v>
      </c>
      <c r="L4658" s="2">
        <v>2</v>
      </c>
      <c r="M4658">
        <v>0</v>
      </c>
      <c r="N4658" s="2">
        <v>0</v>
      </c>
      <c r="O4658">
        <v>-7.199999999999999</v>
      </c>
      <c r="P4658" t="s">
        <v>100</v>
      </c>
      <c r="Q4658">
        <v>0</v>
      </c>
      <c r="R4658" t="s">
        <v>145</v>
      </c>
      <c r="S4658">
        <v>0</v>
      </c>
    </row>
    <row r="4659" spans="1:19">
      <c r="A4659" t="s">
        <v>35</v>
      </c>
      <c r="B4659" t="s">
        <v>4551</v>
      </c>
      <c r="C4659">
        <f>"jw9013C"</f>
        <v>0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6</v>
      </c>
      <c r="K4659">
        <v>15.606</v>
      </c>
      <c r="L4659" s="2">
        <v>3</v>
      </c>
      <c r="M4659">
        <v>0</v>
      </c>
      <c r="N4659" s="2">
        <v>0</v>
      </c>
      <c r="O4659">
        <v>-7.199999999999999</v>
      </c>
      <c r="P4659" t="s">
        <v>100</v>
      </c>
      <c r="Q4659">
        <v>0</v>
      </c>
      <c r="R4659" t="s">
        <v>145</v>
      </c>
      <c r="S4659">
        <v>0</v>
      </c>
    </row>
    <row r="4660" spans="1:19">
      <c r="A4660" t="s">
        <v>35</v>
      </c>
      <c r="B4660" t="s">
        <v>7504</v>
      </c>
      <c r="C4660">
        <f>"XDB404"</f>
        <v>0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6</v>
      </c>
      <c r="K4660">
        <v>149.5</v>
      </c>
      <c r="L4660" s="2">
        <v>25</v>
      </c>
      <c r="M4660">
        <v>0</v>
      </c>
      <c r="N4660" s="2">
        <v>0</v>
      </c>
      <c r="O4660">
        <v>-7.199999999999999</v>
      </c>
      <c r="P4660" t="s">
        <v>100</v>
      </c>
      <c r="Q4660">
        <v>0</v>
      </c>
      <c r="R4660" t="s">
        <v>145</v>
      </c>
      <c r="S4660">
        <v>0</v>
      </c>
    </row>
    <row r="4661" spans="1:19">
      <c r="A4661" t="s">
        <v>35</v>
      </c>
      <c r="B4661" t="s">
        <v>2830</v>
      </c>
      <c r="C4661">
        <f>"B192203XLR"</f>
        <v>0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6</v>
      </c>
      <c r="K4661">
        <v>67.5</v>
      </c>
      <c r="L4661" s="2">
        <v>11</v>
      </c>
      <c r="M4661">
        <v>0</v>
      </c>
      <c r="N4661" s="2">
        <v>0</v>
      </c>
      <c r="O4661">
        <v>-7.199999999999999</v>
      </c>
      <c r="P4661" t="s">
        <v>100</v>
      </c>
      <c r="Q4661">
        <v>0</v>
      </c>
      <c r="R4661" t="s">
        <v>145</v>
      </c>
      <c r="S4661">
        <v>0</v>
      </c>
    </row>
    <row r="4662" spans="1:19">
      <c r="A4662" t="s">
        <v>35</v>
      </c>
      <c r="B4662" t="s">
        <v>2766</v>
      </c>
      <c r="C4662">
        <f>"B1916LG"</f>
        <v>0</v>
      </c>
      <c r="D4662">
        <v>0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6</v>
      </c>
      <c r="K4662">
        <v>56.7</v>
      </c>
      <c r="L4662" s="2">
        <v>9</v>
      </c>
      <c r="M4662">
        <v>0</v>
      </c>
      <c r="N4662" s="2">
        <v>0</v>
      </c>
      <c r="O4662">
        <v>-7.199999999999999</v>
      </c>
      <c r="P4662" t="s">
        <v>100</v>
      </c>
      <c r="Q4662">
        <v>0</v>
      </c>
      <c r="R4662" t="s">
        <v>145</v>
      </c>
      <c r="S4662">
        <v>0</v>
      </c>
    </row>
    <row r="4663" spans="1:19">
      <c r="A4663" t="s">
        <v>35</v>
      </c>
      <c r="B4663" t="s">
        <v>4044</v>
      </c>
      <c r="C4663">
        <f>"A731S"</f>
        <v>0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6</v>
      </c>
      <c r="K4663">
        <v>21.06</v>
      </c>
      <c r="L4663" s="2">
        <v>4</v>
      </c>
      <c r="M4663">
        <v>0</v>
      </c>
      <c r="N4663" s="2">
        <v>0</v>
      </c>
      <c r="O4663">
        <v>-7.199999999999999</v>
      </c>
      <c r="P4663" t="s">
        <v>100</v>
      </c>
      <c r="Q4663">
        <v>0</v>
      </c>
      <c r="R4663" t="s">
        <v>145</v>
      </c>
      <c r="S4663">
        <v>0</v>
      </c>
    </row>
    <row r="4664" spans="1:19">
      <c r="A4664" t="s">
        <v>35</v>
      </c>
      <c r="B4664" t="s">
        <v>4890</v>
      </c>
      <c r="C4664">
        <f>"JWL1036M"</f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0</v>
      </c>
      <c r="J4664">
        <v>6</v>
      </c>
      <c r="K4664">
        <v>10.206</v>
      </c>
      <c r="L4664" s="2">
        <v>2</v>
      </c>
      <c r="M4664">
        <v>0</v>
      </c>
      <c r="N4664" s="2">
        <v>0</v>
      </c>
      <c r="O4664">
        <v>-7.199999999999999</v>
      </c>
      <c r="P4664" t="s">
        <v>100</v>
      </c>
      <c r="Q4664">
        <v>0</v>
      </c>
      <c r="R4664" t="s">
        <v>145</v>
      </c>
      <c r="S4664">
        <v>0</v>
      </c>
    </row>
    <row r="4665" spans="1:19">
      <c r="A4665" t="s">
        <v>35</v>
      </c>
      <c r="B4665" t="s">
        <v>4548</v>
      </c>
      <c r="C4665">
        <f>"1756A"</f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6</v>
      </c>
      <c r="K4665">
        <v>46.71</v>
      </c>
      <c r="L4665" s="2">
        <v>8</v>
      </c>
      <c r="M4665">
        <v>0</v>
      </c>
      <c r="N4665" s="2">
        <v>0</v>
      </c>
      <c r="O4665">
        <v>-7.199999999999999</v>
      </c>
      <c r="P4665" t="s">
        <v>100</v>
      </c>
      <c r="Q4665">
        <v>0</v>
      </c>
      <c r="R4665" t="s">
        <v>145</v>
      </c>
      <c r="S4665">
        <v>0</v>
      </c>
    </row>
    <row r="4666" spans="1:19">
      <c r="A4666" t="s">
        <v>35</v>
      </c>
      <c r="B4666" t="s">
        <v>7728</v>
      </c>
      <c r="C4666">
        <f>"B1922XSN"</f>
        <v>0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6</v>
      </c>
      <c r="K4666">
        <v>36.45</v>
      </c>
      <c r="L4666" s="2">
        <v>6</v>
      </c>
      <c r="M4666">
        <v>0</v>
      </c>
      <c r="N4666" s="2">
        <v>0</v>
      </c>
      <c r="O4666">
        <v>-7.199999999999999</v>
      </c>
      <c r="P4666" t="s">
        <v>100</v>
      </c>
      <c r="Q4666">
        <v>0</v>
      </c>
      <c r="R4666" t="s">
        <v>145</v>
      </c>
      <c r="S4666">
        <v>0</v>
      </c>
    </row>
    <row r="4667" spans="1:19">
      <c r="A4667" t="s">
        <v>35</v>
      </c>
      <c r="B4667" t="s">
        <v>4137</v>
      </c>
      <c r="C4667">
        <f>"FB681SA"</f>
        <v>0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6</v>
      </c>
      <c r="K4667">
        <v>29.7</v>
      </c>
      <c r="L4667" s="2">
        <v>5</v>
      </c>
      <c r="M4667">
        <v>0</v>
      </c>
      <c r="N4667" s="2">
        <v>0</v>
      </c>
      <c r="O4667">
        <v>-7.199999999999999</v>
      </c>
      <c r="P4667" t="s">
        <v>100</v>
      </c>
      <c r="Q4667">
        <v>0</v>
      </c>
      <c r="R4667" t="s">
        <v>145</v>
      </c>
      <c r="S4667">
        <v>0</v>
      </c>
    </row>
    <row r="4668" spans="1:19">
      <c r="A4668" t="s">
        <v>35</v>
      </c>
      <c r="B4668" t="s">
        <v>2383</v>
      </c>
      <c r="C4668">
        <f>"TC2016"</f>
        <v>0</v>
      </c>
      <c r="D4668">
        <v>1</v>
      </c>
      <c r="E4668">
        <v>0</v>
      </c>
      <c r="F4668">
        <v>0</v>
      </c>
      <c r="G4668">
        <v>0</v>
      </c>
      <c r="H4668">
        <v>1</v>
      </c>
      <c r="I4668">
        <v>0</v>
      </c>
      <c r="J4668">
        <v>6</v>
      </c>
      <c r="K4668">
        <v>3.51</v>
      </c>
      <c r="L4668" s="2">
        <v>1</v>
      </c>
      <c r="M4668">
        <v>0</v>
      </c>
      <c r="N4668" s="2">
        <v>0</v>
      </c>
      <c r="O4668">
        <v>-7.199999999999999</v>
      </c>
      <c r="P4668" t="s">
        <v>100</v>
      </c>
      <c r="Q4668">
        <v>0</v>
      </c>
      <c r="R4668" t="s">
        <v>145</v>
      </c>
      <c r="S4668">
        <v>0</v>
      </c>
    </row>
    <row r="4669" spans="1:19">
      <c r="A4669" t="s">
        <v>35</v>
      </c>
      <c r="B4669" t="s">
        <v>4963</v>
      </c>
      <c r="C4669">
        <f>"1823ARS"</f>
        <v>0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6</v>
      </c>
      <c r="K4669">
        <v>28.08</v>
      </c>
      <c r="L4669" s="2">
        <v>5</v>
      </c>
      <c r="M4669">
        <v>0</v>
      </c>
      <c r="N4669" s="2">
        <v>0</v>
      </c>
      <c r="O4669">
        <v>-7.199999999999999</v>
      </c>
      <c r="P4669" t="s">
        <v>100</v>
      </c>
      <c r="Q4669">
        <v>0</v>
      </c>
      <c r="R4669" t="s">
        <v>145</v>
      </c>
      <c r="S4669">
        <v>0</v>
      </c>
    </row>
    <row r="4670" spans="1:19">
      <c r="A4670" t="s">
        <v>35</v>
      </c>
      <c r="B4670" t="s">
        <v>9201</v>
      </c>
      <c r="C4670">
        <f>"TC0093ROS"</f>
        <v>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6</v>
      </c>
      <c r="K4670">
        <v>4.986</v>
      </c>
      <c r="L4670" s="2">
        <v>1</v>
      </c>
      <c r="M4670">
        <v>0</v>
      </c>
      <c r="N4670" s="2">
        <v>0</v>
      </c>
      <c r="O4670">
        <v>-7.199999999999999</v>
      </c>
      <c r="P4670" t="s">
        <v>100</v>
      </c>
      <c r="Q4670">
        <v>0</v>
      </c>
      <c r="R4670" t="s">
        <v>145</v>
      </c>
      <c r="S4670">
        <v>0</v>
      </c>
    </row>
    <row r="4671" spans="1:19">
      <c r="A4671" t="s">
        <v>35</v>
      </c>
      <c r="B4671" t="s">
        <v>8235</v>
      </c>
      <c r="C4671">
        <f>"pt112"</f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6</v>
      </c>
      <c r="K4671">
        <v>11.082</v>
      </c>
      <c r="L4671" s="2">
        <v>2</v>
      </c>
      <c r="M4671">
        <v>0</v>
      </c>
      <c r="N4671" s="2">
        <v>0</v>
      </c>
      <c r="O4671">
        <v>-7.199999999999999</v>
      </c>
      <c r="P4671" t="s">
        <v>100</v>
      </c>
      <c r="Q4671">
        <v>0</v>
      </c>
      <c r="R4671" t="s">
        <v>145</v>
      </c>
      <c r="S4671">
        <v>0</v>
      </c>
    </row>
    <row r="4672" spans="1:19">
      <c r="A4672" t="s">
        <v>35</v>
      </c>
      <c r="B4672" t="s">
        <v>7741</v>
      </c>
      <c r="C4672">
        <f>"B19222XLRO"</f>
        <v>0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6</v>
      </c>
      <c r="K4672">
        <v>60.705</v>
      </c>
      <c r="L4672" s="2">
        <v>10</v>
      </c>
      <c r="M4672">
        <v>0</v>
      </c>
      <c r="N4672" s="2">
        <v>0</v>
      </c>
      <c r="O4672">
        <v>-7.199999999999999</v>
      </c>
      <c r="P4672" t="s">
        <v>100</v>
      </c>
      <c r="Q4672">
        <v>0</v>
      </c>
      <c r="R4672" t="s">
        <v>145</v>
      </c>
      <c r="S4672">
        <v>0</v>
      </c>
    </row>
    <row r="4673" spans="1:19">
      <c r="A4673" t="s">
        <v>35</v>
      </c>
      <c r="B4673" t="s">
        <v>3027</v>
      </c>
      <c r="C4673">
        <f>"B19220MM"</f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6</v>
      </c>
      <c r="K4673">
        <v>52.11</v>
      </c>
      <c r="L4673" s="2">
        <v>9</v>
      </c>
      <c r="M4673">
        <v>0</v>
      </c>
      <c r="N4673" s="2">
        <v>0</v>
      </c>
      <c r="O4673">
        <v>-7.199999999999999</v>
      </c>
      <c r="P4673" t="s">
        <v>100</v>
      </c>
      <c r="Q4673">
        <v>0</v>
      </c>
      <c r="R4673" t="s">
        <v>145</v>
      </c>
      <c r="S4673">
        <v>0</v>
      </c>
    </row>
    <row r="4674" spans="1:19">
      <c r="A4674" t="s">
        <v>35</v>
      </c>
      <c r="B4674" t="s">
        <v>9485</v>
      </c>
      <c r="C4674">
        <f>"JW9026A"</f>
        <v>0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6</v>
      </c>
      <c r="K4674">
        <v>0</v>
      </c>
      <c r="L4674" s="2">
        <v>0</v>
      </c>
      <c r="M4674">
        <v>0</v>
      </c>
      <c r="N4674" s="2">
        <v>0</v>
      </c>
      <c r="O4674">
        <v>-7.199999999999999</v>
      </c>
      <c r="P4674" t="s">
        <v>100</v>
      </c>
      <c r="Q4674">
        <v>0</v>
      </c>
      <c r="R4674" t="s">
        <v>145</v>
      </c>
      <c r="S4674">
        <v>0</v>
      </c>
    </row>
    <row r="4675" spans="1:19">
      <c r="A4675" t="s">
        <v>35</v>
      </c>
      <c r="B4675" t="s">
        <v>9195</v>
      </c>
      <c r="C4675">
        <f>"D060S"</f>
        <v>0</v>
      </c>
      <c r="D4675">
        <v>0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6</v>
      </c>
      <c r="K4675">
        <v>9.15</v>
      </c>
      <c r="L4675" s="2">
        <v>2</v>
      </c>
      <c r="M4675">
        <v>0</v>
      </c>
      <c r="N4675" s="2">
        <v>0</v>
      </c>
      <c r="O4675">
        <v>-7.199999999999999</v>
      </c>
      <c r="P4675" t="s">
        <v>100</v>
      </c>
      <c r="Q4675">
        <v>0</v>
      </c>
      <c r="R4675" t="s">
        <v>145</v>
      </c>
      <c r="S4675">
        <v>0</v>
      </c>
    </row>
    <row r="4676" spans="1:19">
      <c r="A4676" t="s">
        <v>35</v>
      </c>
      <c r="B4676" t="s">
        <v>3562</v>
      </c>
      <c r="C4676">
        <f>"MSP002R"</f>
        <v>0</v>
      </c>
      <c r="D4676">
        <v>0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6</v>
      </c>
      <c r="K4676">
        <v>37.746</v>
      </c>
      <c r="L4676" s="2">
        <v>6</v>
      </c>
      <c r="M4676">
        <v>0</v>
      </c>
      <c r="N4676" s="2">
        <v>0</v>
      </c>
      <c r="O4676">
        <v>-7.199999999999999</v>
      </c>
      <c r="P4676" t="s">
        <v>100</v>
      </c>
      <c r="Q4676">
        <v>0</v>
      </c>
      <c r="R4676" t="s">
        <v>145</v>
      </c>
      <c r="S4676">
        <v>0</v>
      </c>
    </row>
    <row r="4677" spans="1:19">
      <c r="A4677" t="s">
        <v>35</v>
      </c>
      <c r="B4677" t="s">
        <v>2610</v>
      </c>
      <c r="C4677">
        <f>"ZYD03"</f>
        <v>0</v>
      </c>
      <c r="D4677">
        <v>0</v>
      </c>
      <c r="E4677">
        <v>1</v>
      </c>
      <c r="F4677">
        <v>0</v>
      </c>
      <c r="G4677">
        <v>0</v>
      </c>
      <c r="H4677">
        <v>1</v>
      </c>
      <c r="I4677">
        <v>0</v>
      </c>
      <c r="J4677">
        <v>6</v>
      </c>
      <c r="K4677">
        <v>25.92</v>
      </c>
      <c r="L4677" s="2">
        <v>4</v>
      </c>
      <c r="M4677">
        <v>0</v>
      </c>
      <c r="N4677" s="2">
        <v>0</v>
      </c>
      <c r="O4677">
        <v>-7.199999999999999</v>
      </c>
      <c r="P4677" t="s">
        <v>100</v>
      </c>
      <c r="Q4677">
        <v>0</v>
      </c>
      <c r="R4677" t="s">
        <v>145</v>
      </c>
      <c r="S4677">
        <v>0</v>
      </c>
    </row>
    <row r="4678" spans="1:19">
      <c r="A4678" t="s">
        <v>35</v>
      </c>
      <c r="B4678" t="s">
        <v>4965</v>
      </c>
      <c r="C4678">
        <f>"1823ARL"</f>
        <v>0</v>
      </c>
      <c r="D4678">
        <v>0</v>
      </c>
      <c r="E4678">
        <v>0</v>
      </c>
      <c r="F4678">
        <v>0</v>
      </c>
      <c r="G4678">
        <v>0</v>
      </c>
      <c r="H4678">
        <v>0</v>
      </c>
      <c r="I4678">
        <v>0</v>
      </c>
      <c r="J4678">
        <v>6</v>
      </c>
      <c r="K4678">
        <v>42.66</v>
      </c>
      <c r="L4678" s="2">
        <v>7</v>
      </c>
      <c r="M4678">
        <v>0</v>
      </c>
      <c r="N4678" s="2">
        <v>0</v>
      </c>
      <c r="O4678">
        <v>-7.199999999999999</v>
      </c>
      <c r="P4678" t="s">
        <v>100</v>
      </c>
      <c r="Q4678">
        <v>0</v>
      </c>
      <c r="R4678" t="s">
        <v>145</v>
      </c>
      <c r="S4678">
        <v>0</v>
      </c>
    </row>
    <row r="4679" spans="1:19">
      <c r="A4679" t="s">
        <v>35</v>
      </c>
      <c r="B4679" t="s">
        <v>7903</v>
      </c>
      <c r="C4679">
        <f>"DN179"</f>
        <v>0</v>
      </c>
      <c r="D4679">
        <v>0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6</v>
      </c>
      <c r="K4679">
        <v>11.88</v>
      </c>
      <c r="L4679" s="2">
        <v>2</v>
      </c>
      <c r="M4679">
        <v>0</v>
      </c>
      <c r="N4679" s="2">
        <v>0</v>
      </c>
      <c r="O4679">
        <v>-7.199999999999999</v>
      </c>
      <c r="P4679" t="s">
        <v>100</v>
      </c>
      <c r="Q4679">
        <v>0</v>
      </c>
      <c r="R4679" t="s">
        <v>145</v>
      </c>
      <c r="S4679">
        <v>0</v>
      </c>
    </row>
    <row r="4680" spans="1:19">
      <c r="A4680" t="s">
        <v>35</v>
      </c>
      <c r="B4680" t="s">
        <v>8106</v>
      </c>
      <c r="C4680">
        <f>"COO2825S"</f>
        <v>0</v>
      </c>
      <c r="D4680">
        <v>0</v>
      </c>
      <c r="E4680">
        <v>0</v>
      </c>
      <c r="F4680">
        <v>0</v>
      </c>
      <c r="G4680">
        <v>0</v>
      </c>
      <c r="H4680">
        <v>0</v>
      </c>
      <c r="I4680">
        <v>0</v>
      </c>
      <c r="J4680">
        <v>6</v>
      </c>
      <c r="K4680">
        <v>51.3</v>
      </c>
      <c r="L4680" s="2">
        <v>9</v>
      </c>
      <c r="M4680">
        <v>0</v>
      </c>
      <c r="N4680" s="2">
        <v>0</v>
      </c>
      <c r="O4680">
        <v>-7.199999999999999</v>
      </c>
      <c r="P4680" t="s">
        <v>100</v>
      </c>
      <c r="Q4680">
        <v>0</v>
      </c>
      <c r="R4680" t="s">
        <v>145</v>
      </c>
      <c r="S4680">
        <v>0</v>
      </c>
    </row>
    <row r="4681" spans="1:19">
      <c r="A4681" t="s">
        <v>35</v>
      </c>
      <c r="B4681" t="s">
        <v>2129</v>
      </c>
      <c r="C4681">
        <f>"C210BE"</f>
        <v>0</v>
      </c>
      <c r="D4681">
        <v>1</v>
      </c>
      <c r="E4681">
        <v>1</v>
      </c>
      <c r="F4681">
        <v>1</v>
      </c>
      <c r="G4681">
        <v>0</v>
      </c>
      <c r="H4681">
        <v>3</v>
      </c>
      <c r="I4681">
        <v>1</v>
      </c>
      <c r="J4681">
        <v>7</v>
      </c>
      <c r="K4681">
        <v>14.651</v>
      </c>
      <c r="L4681" s="2">
        <v>2</v>
      </c>
      <c r="M4681">
        <v>0</v>
      </c>
      <c r="N4681" s="2">
        <v>0</v>
      </c>
      <c r="O4681">
        <v>-7.4</v>
      </c>
      <c r="P4681" t="s">
        <v>100</v>
      </c>
      <c r="Q4681">
        <v>0</v>
      </c>
      <c r="R4681" t="s">
        <v>145</v>
      </c>
      <c r="S4681">
        <v>0</v>
      </c>
    </row>
    <row r="4682" spans="1:19">
      <c r="A4682" t="s">
        <v>35</v>
      </c>
      <c r="B4682" t="s">
        <v>1722</v>
      </c>
      <c r="C4682">
        <f>"TF1051"</f>
        <v>0</v>
      </c>
      <c r="D4682">
        <v>2</v>
      </c>
      <c r="E4682">
        <v>6</v>
      </c>
      <c r="F4682">
        <v>8</v>
      </c>
      <c r="G4682">
        <v>0</v>
      </c>
      <c r="H4682">
        <v>16</v>
      </c>
      <c r="I4682">
        <v>4</v>
      </c>
      <c r="J4682">
        <v>10</v>
      </c>
      <c r="K4682">
        <v>10.35</v>
      </c>
      <c r="L4682" s="2">
        <v>1</v>
      </c>
      <c r="M4682">
        <v>0</v>
      </c>
      <c r="N4682" s="2">
        <v>0</v>
      </c>
      <c r="O4682">
        <v>-8</v>
      </c>
      <c r="P4682" t="s">
        <v>100</v>
      </c>
      <c r="Q4682">
        <v>0</v>
      </c>
      <c r="R4682" t="s">
        <v>145</v>
      </c>
      <c r="S4682">
        <v>0</v>
      </c>
    </row>
    <row r="4683" spans="1:19">
      <c r="A4683" t="s">
        <v>35</v>
      </c>
      <c r="B4683" t="s">
        <v>4972</v>
      </c>
      <c r="C4683">
        <f>"1881MBXS"</f>
        <v>0</v>
      </c>
      <c r="D4683">
        <v>0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7</v>
      </c>
      <c r="K4683">
        <v>0</v>
      </c>
      <c r="L4683" s="2">
        <v>0</v>
      </c>
      <c r="M4683">
        <v>0</v>
      </c>
      <c r="N4683" s="2">
        <v>0</v>
      </c>
      <c r="O4683">
        <v>-8.4</v>
      </c>
      <c r="P4683" t="s">
        <v>100</v>
      </c>
      <c r="Q4683">
        <v>0</v>
      </c>
      <c r="R4683" t="s">
        <v>145</v>
      </c>
      <c r="S4683">
        <v>0</v>
      </c>
    </row>
    <row r="4684" spans="1:19">
      <c r="A4684" t="s">
        <v>35</v>
      </c>
      <c r="B4684" t="s">
        <v>9115</v>
      </c>
      <c r="C4684">
        <f>"G16"</f>
        <v>0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7</v>
      </c>
      <c r="K4684">
        <v>34.335</v>
      </c>
      <c r="L4684" s="2">
        <v>5</v>
      </c>
      <c r="M4684">
        <v>0</v>
      </c>
      <c r="N4684" s="2">
        <v>0</v>
      </c>
      <c r="O4684">
        <v>-8.4</v>
      </c>
      <c r="P4684" t="s">
        <v>100</v>
      </c>
      <c r="Q4684">
        <v>0</v>
      </c>
      <c r="R4684" t="s">
        <v>145</v>
      </c>
      <c r="S4684">
        <v>0</v>
      </c>
    </row>
    <row r="4685" spans="1:19">
      <c r="A4685" t="s">
        <v>35</v>
      </c>
      <c r="B4685" t="s">
        <v>2429</v>
      </c>
      <c r="C4685">
        <f>"PS06068"</f>
        <v>0</v>
      </c>
      <c r="D4685">
        <v>1</v>
      </c>
      <c r="E4685">
        <v>0</v>
      </c>
      <c r="F4685">
        <v>0</v>
      </c>
      <c r="G4685">
        <v>0</v>
      </c>
      <c r="H4685">
        <v>1</v>
      </c>
      <c r="I4685">
        <v>0</v>
      </c>
      <c r="J4685">
        <v>7</v>
      </c>
      <c r="K4685">
        <v>25.137</v>
      </c>
      <c r="L4685" s="2">
        <v>4</v>
      </c>
      <c r="M4685">
        <v>0</v>
      </c>
      <c r="N4685" s="2">
        <v>0</v>
      </c>
      <c r="O4685">
        <v>-8.4</v>
      </c>
      <c r="P4685" t="s">
        <v>100</v>
      </c>
      <c r="Q4685">
        <v>0</v>
      </c>
      <c r="R4685" t="s">
        <v>145</v>
      </c>
      <c r="S4685">
        <v>0</v>
      </c>
    </row>
    <row r="4686" spans="1:19">
      <c r="A4686" t="s">
        <v>35</v>
      </c>
      <c r="B4686" t="s">
        <v>4719</v>
      </c>
      <c r="C4686">
        <f>"WD343522"</f>
        <v>0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7</v>
      </c>
      <c r="K4686">
        <v>8.757</v>
      </c>
      <c r="L4686" s="2">
        <v>1</v>
      </c>
      <c r="M4686">
        <v>0</v>
      </c>
      <c r="N4686" s="2">
        <v>0</v>
      </c>
      <c r="O4686">
        <v>-8.4</v>
      </c>
      <c r="P4686" t="s">
        <v>100</v>
      </c>
      <c r="Q4686">
        <v>0</v>
      </c>
      <c r="R4686" t="s">
        <v>145</v>
      </c>
      <c r="S4686">
        <v>0</v>
      </c>
    </row>
    <row r="4687" spans="1:19">
      <c r="A4687" t="s">
        <v>35</v>
      </c>
      <c r="B4687" t="s">
        <v>7167</v>
      </c>
      <c r="C4687">
        <f>"NT038BEIROS"</f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7</v>
      </c>
      <c r="K4687">
        <v>0</v>
      </c>
      <c r="L4687" s="2">
        <v>0</v>
      </c>
      <c r="M4687">
        <v>0</v>
      </c>
      <c r="N4687" s="2">
        <v>0</v>
      </c>
      <c r="O4687">
        <v>-8.4</v>
      </c>
      <c r="P4687" t="s">
        <v>100</v>
      </c>
      <c r="Q4687">
        <v>0</v>
      </c>
      <c r="R4687" t="s">
        <v>145</v>
      </c>
      <c r="S4687">
        <v>0</v>
      </c>
    </row>
    <row r="4688" spans="1:19">
      <c r="A4688" t="s">
        <v>35</v>
      </c>
      <c r="B4688" t="s">
        <v>2435</v>
      </c>
      <c r="C4688">
        <f>"SK3055"</f>
        <v>0</v>
      </c>
      <c r="D4688">
        <v>0</v>
      </c>
      <c r="E4688">
        <v>1</v>
      </c>
      <c r="F4688">
        <v>0</v>
      </c>
      <c r="G4688">
        <v>0</v>
      </c>
      <c r="H4688">
        <v>1</v>
      </c>
      <c r="I4688">
        <v>0</v>
      </c>
      <c r="J4688">
        <v>7</v>
      </c>
      <c r="K4688">
        <v>44.037</v>
      </c>
      <c r="L4688" s="2">
        <v>6</v>
      </c>
      <c r="M4688">
        <v>0</v>
      </c>
      <c r="N4688" s="2">
        <v>0</v>
      </c>
      <c r="O4688">
        <v>-8.4</v>
      </c>
      <c r="P4688" t="s">
        <v>100</v>
      </c>
      <c r="Q4688">
        <v>0</v>
      </c>
      <c r="R4688" t="s">
        <v>145</v>
      </c>
      <c r="S4688">
        <v>0</v>
      </c>
    </row>
    <row r="4689" spans="1:19">
      <c r="A4689" t="s">
        <v>35</v>
      </c>
      <c r="B4689" t="s">
        <v>2282</v>
      </c>
      <c r="C4689">
        <f>"G17"</f>
        <v>0</v>
      </c>
      <c r="D4689">
        <v>2</v>
      </c>
      <c r="E4689">
        <v>0</v>
      </c>
      <c r="F4689">
        <v>0</v>
      </c>
      <c r="G4689">
        <v>0</v>
      </c>
      <c r="H4689">
        <v>2</v>
      </c>
      <c r="I4689">
        <v>0</v>
      </c>
      <c r="J4689">
        <v>7</v>
      </c>
      <c r="K4689">
        <v>34.335</v>
      </c>
      <c r="L4689" s="2">
        <v>5</v>
      </c>
      <c r="M4689">
        <v>0</v>
      </c>
      <c r="N4689" s="2">
        <v>0</v>
      </c>
      <c r="O4689">
        <v>-8.4</v>
      </c>
      <c r="P4689" t="s">
        <v>100</v>
      </c>
      <c r="Q4689">
        <v>0</v>
      </c>
      <c r="R4689" t="s">
        <v>145</v>
      </c>
      <c r="S4689">
        <v>0</v>
      </c>
    </row>
    <row r="4690" spans="1:19">
      <c r="A4690" t="s">
        <v>35</v>
      </c>
      <c r="B4690" t="s">
        <v>8824</v>
      </c>
      <c r="C4690">
        <f>"LMS"</f>
        <v>0</v>
      </c>
      <c r="D4690">
        <v>0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7</v>
      </c>
      <c r="K4690">
        <v>21.105</v>
      </c>
      <c r="L4690" s="2">
        <v>3</v>
      </c>
      <c r="M4690">
        <v>0</v>
      </c>
      <c r="N4690" s="2">
        <v>0</v>
      </c>
      <c r="O4690">
        <v>-8.4</v>
      </c>
      <c r="P4690" t="s">
        <v>100</v>
      </c>
      <c r="Q4690">
        <v>0</v>
      </c>
      <c r="R4690" t="s">
        <v>145</v>
      </c>
      <c r="S4690">
        <v>0</v>
      </c>
    </row>
    <row r="4691" spans="1:19">
      <c r="A4691" t="s">
        <v>35</v>
      </c>
      <c r="B4691" t="s">
        <v>5400</v>
      </c>
      <c r="C4691">
        <f>"SA0110ROJ"</f>
        <v>0</v>
      </c>
      <c r="D4691">
        <v>0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7</v>
      </c>
      <c r="K4691">
        <v>5.985</v>
      </c>
      <c r="L4691" s="2">
        <v>1</v>
      </c>
      <c r="M4691">
        <v>0</v>
      </c>
      <c r="N4691" s="2">
        <v>0</v>
      </c>
      <c r="O4691">
        <v>-8.4</v>
      </c>
      <c r="P4691" t="s">
        <v>100</v>
      </c>
      <c r="Q4691">
        <v>0</v>
      </c>
      <c r="R4691" t="s">
        <v>145</v>
      </c>
      <c r="S4691">
        <v>0</v>
      </c>
    </row>
    <row r="4692" spans="1:19">
      <c r="A4692" t="s">
        <v>35</v>
      </c>
      <c r="B4692" t="s">
        <v>5055</v>
      </c>
      <c r="C4692">
        <f>"1760VPM"</f>
        <v>0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0</v>
      </c>
      <c r="J4692">
        <v>7</v>
      </c>
      <c r="K4692">
        <v>26.775</v>
      </c>
      <c r="L4692" s="2">
        <v>4</v>
      </c>
      <c r="M4692">
        <v>0</v>
      </c>
      <c r="N4692" s="2">
        <v>0</v>
      </c>
      <c r="O4692">
        <v>-8.4</v>
      </c>
      <c r="P4692" t="s">
        <v>100</v>
      </c>
      <c r="Q4692">
        <v>0</v>
      </c>
      <c r="R4692" t="s">
        <v>145</v>
      </c>
      <c r="S4692">
        <v>0</v>
      </c>
    </row>
    <row r="4693" spans="1:19">
      <c r="A4693" t="s">
        <v>35</v>
      </c>
      <c r="B4693" t="s">
        <v>5006</v>
      </c>
      <c r="C4693">
        <f>"1823LGL"</f>
        <v>0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7</v>
      </c>
      <c r="K4693">
        <v>35.55</v>
      </c>
      <c r="L4693" s="2">
        <v>5</v>
      </c>
      <c r="M4693">
        <v>0</v>
      </c>
      <c r="N4693" s="2">
        <v>0</v>
      </c>
      <c r="O4693">
        <v>-8.4</v>
      </c>
      <c r="P4693" t="s">
        <v>100</v>
      </c>
      <c r="Q4693">
        <v>0</v>
      </c>
      <c r="R4693" t="s">
        <v>145</v>
      </c>
      <c r="S4693">
        <v>0</v>
      </c>
    </row>
    <row r="4694" spans="1:19">
      <c r="A4694" t="s">
        <v>35</v>
      </c>
      <c r="B4694" t="s">
        <v>5016</v>
      </c>
      <c r="C4694">
        <f>"1823MBS"</f>
        <v>0</v>
      </c>
      <c r="D4694">
        <v>0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7</v>
      </c>
      <c r="K4694">
        <v>32.76</v>
      </c>
      <c r="L4694" s="2">
        <v>5</v>
      </c>
      <c r="M4694">
        <v>0</v>
      </c>
      <c r="N4694" s="2">
        <v>0</v>
      </c>
      <c r="O4694">
        <v>-8.4</v>
      </c>
      <c r="P4694" t="s">
        <v>100</v>
      </c>
      <c r="Q4694">
        <v>0</v>
      </c>
      <c r="R4694" t="s">
        <v>145</v>
      </c>
      <c r="S4694">
        <v>0</v>
      </c>
    </row>
    <row r="4695" spans="1:19">
      <c r="A4695" t="s">
        <v>35</v>
      </c>
      <c r="B4695" t="s">
        <v>8107</v>
      </c>
      <c r="C4695">
        <f>"HD38S"</f>
        <v>0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7</v>
      </c>
      <c r="K4695">
        <v>18.585</v>
      </c>
      <c r="L4695" s="2">
        <v>3</v>
      </c>
      <c r="M4695">
        <v>0</v>
      </c>
      <c r="N4695" s="2">
        <v>0</v>
      </c>
      <c r="O4695">
        <v>-8.4</v>
      </c>
      <c r="P4695" t="s">
        <v>100</v>
      </c>
      <c r="Q4695">
        <v>0</v>
      </c>
      <c r="R4695" t="s">
        <v>145</v>
      </c>
      <c r="S4695">
        <v>0</v>
      </c>
    </row>
    <row r="4696" spans="1:19">
      <c r="A4696" t="s">
        <v>35</v>
      </c>
      <c r="B4696" t="s">
        <v>4975</v>
      </c>
      <c r="C4696">
        <f>"1881MBL"</f>
        <v>0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7</v>
      </c>
      <c r="K4696">
        <v>60.165</v>
      </c>
      <c r="L4696" s="2">
        <v>9</v>
      </c>
      <c r="M4696">
        <v>0</v>
      </c>
      <c r="N4696" s="2">
        <v>0</v>
      </c>
      <c r="O4696">
        <v>-8.4</v>
      </c>
      <c r="P4696" t="s">
        <v>100</v>
      </c>
      <c r="Q4696">
        <v>0</v>
      </c>
      <c r="R4696" t="s">
        <v>145</v>
      </c>
      <c r="S4696">
        <v>0</v>
      </c>
    </row>
    <row r="4697" spans="1:19">
      <c r="A4697" t="s">
        <v>35</v>
      </c>
      <c r="B4697" t="s">
        <v>8087</v>
      </c>
      <c r="C4697">
        <f>"HD34S"</f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7</v>
      </c>
      <c r="K4697">
        <v>20.475</v>
      </c>
      <c r="L4697" s="2">
        <v>3</v>
      </c>
      <c r="M4697">
        <v>0</v>
      </c>
      <c r="N4697" s="2">
        <v>0</v>
      </c>
      <c r="O4697">
        <v>-8.4</v>
      </c>
      <c r="P4697" t="s">
        <v>100</v>
      </c>
      <c r="Q4697">
        <v>0</v>
      </c>
      <c r="R4697" t="s">
        <v>145</v>
      </c>
      <c r="S4697">
        <v>0</v>
      </c>
    </row>
    <row r="4698" spans="1:19">
      <c r="A4698" t="s">
        <v>35</v>
      </c>
      <c r="B4698" t="s">
        <v>5786</v>
      </c>
      <c r="C4698">
        <f>"CTB19"</f>
        <v>0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7</v>
      </c>
      <c r="K4698">
        <v>4.32</v>
      </c>
      <c r="L4698" s="2">
        <v>1</v>
      </c>
      <c r="M4698">
        <v>0</v>
      </c>
      <c r="N4698" s="2">
        <v>0</v>
      </c>
      <c r="O4698">
        <v>-8.4</v>
      </c>
      <c r="P4698" t="s">
        <v>100</v>
      </c>
      <c r="Q4698">
        <v>0</v>
      </c>
      <c r="R4698" t="s">
        <v>145</v>
      </c>
      <c r="S4698">
        <v>0</v>
      </c>
    </row>
    <row r="4699" spans="1:19">
      <c r="A4699" t="s">
        <v>35</v>
      </c>
      <c r="B4699" t="s">
        <v>2590</v>
      </c>
      <c r="C4699">
        <f>"HD25XL"</f>
        <v>0</v>
      </c>
      <c r="D4699">
        <v>0</v>
      </c>
      <c r="E4699">
        <v>1</v>
      </c>
      <c r="F4699">
        <v>0</v>
      </c>
      <c r="G4699">
        <v>0</v>
      </c>
      <c r="H4699">
        <v>1</v>
      </c>
      <c r="I4699">
        <v>0</v>
      </c>
      <c r="J4699">
        <v>7</v>
      </c>
      <c r="K4699">
        <v>25.137</v>
      </c>
      <c r="L4699" s="2">
        <v>4</v>
      </c>
      <c r="M4699">
        <v>0</v>
      </c>
      <c r="N4699" s="2">
        <v>0</v>
      </c>
      <c r="O4699">
        <v>-8.4</v>
      </c>
      <c r="P4699" t="s">
        <v>100</v>
      </c>
      <c r="Q4699">
        <v>0</v>
      </c>
      <c r="R4699" t="s">
        <v>145</v>
      </c>
      <c r="S4699">
        <v>0</v>
      </c>
    </row>
    <row r="4700" spans="1:19">
      <c r="A4700" t="s">
        <v>35</v>
      </c>
      <c r="B4700" t="s">
        <v>5117</v>
      </c>
      <c r="C4700">
        <f>"XB1861CRXL"</f>
        <v>0</v>
      </c>
      <c r="D4700">
        <v>0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7</v>
      </c>
      <c r="K4700">
        <v>59.535</v>
      </c>
      <c r="L4700" s="2">
        <v>9</v>
      </c>
      <c r="M4700">
        <v>0</v>
      </c>
      <c r="N4700" s="2">
        <v>0</v>
      </c>
      <c r="O4700">
        <v>-8.4</v>
      </c>
      <c r="P4700" t="s">
        <v>100</v>
      </c>
      <c r="Q4700">
        <v>0</v>
      </c>
      <c r="R4700" t="s">
        <v>145</v>
      </c>
      <c r="S4700">
        <v>0</v>
      </c>
    </row>
    <row r="4701" spans="1:19">
      <c r="A4701" t="s">
        <v>35</v>
      </c>
      <c r="B4701" t="s">
        <v>5186</v>
      </c>
      <c r="C4701">
        <f>"1840LSR"</f>
        <v>0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7</v>
      </c>
      <c r="K4701">
        <v>0</v>
      </c>
      <c r="L4701" s="2">
        <v>0</v>
      </c>
      <c r="M4701">
        <v>0</v>
      </c>
      <c r="N4701" s="2">
        <v>0</v>
      </c>
      <c r="O4701">
        <v>-8.4</v>
      </c>
      <c r="P4701" t="s">
        <v>100</v>
      </c>
      <c r="Q4701">
        <v>0</v>
      </c>
      <c r="R4701" t="s">
        <v>145</v>
      </c>
      <c r="S4701">
        <v>0</v>
      </c>
    </row>
    <row r="4702" spans="1:19">
      <c r="A4702" t="s">
        <v>35</v>
      </c>
      <c r="B4702" t="s">
        <v>6783</v>
      </c>
      <c r="C4702">
        <f>"KSJS"</f>
        <v>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7</v>
      </c>
      <c r="K4702">
        <v>8.505000000000001</v>
      </c>
      <c r="L4702" s="2">
        <v>1</v>
      </c>
      <c r="M4702">
        <v>0</v>
      </c>
      <c r="N4702" s="2">
        <v>0</v>
      </c>
      <c r="O4702">
        <v>-8.4</v>
      </c>
      <c r="P4702" t="s">
        <v>100</v>
      </c>
      <c r="Q4702">
        <v>0</v>
      </c>
      <c r="R4702" t="s">
        <v>145</v>
      </c>
      <c r="S4702">
        <v>0</v>
      </c>
    </row>
    <row r="4703" spans="1:19">
      <c r="A4703" t="s">
        <v>35</v>
      </c>
      <c r="B4703" t="s">
        <v>5651</v>
      </c>
      <c r="C4703">
        <f>"W0051"</f>
        <v>0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7</v>
      </c>
      <c r="K4703">
        <v>10.395</v>
      </c>
      <c r="L4703" s="2">
        <v>1</v>
      </c>
      <c r="M4703">
        <v>0</v>
      </c>
      <c r="N4703" s="2">
        <v>0</v>
      </c>
      <c r="O4703">
        <v>-8.4</v>
      </c>
      <c r="P4703" t="s">
        <v>100</v>
      </c>
      <c r="Q4703">
        <v>0</v>
      </c>
      <c r="R4703" t="s">
        <v>145</v>
      </c>
      <c r="S4703">
        <v>0</v>
      </c>
    </row>
    <row r="4704" spans="1:19">
      <c r="A4704" t="s">
        <v>35</v>
      </c>
      <c r="B4704" t="s">
        <v>7988</v>
      </c>
      <c r="C4704">
        <f>"FEP70V"</f>
        <v>0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7</v>
      </c>
      <c r="K4704">
        <v>65.83499999999999</v>
      </c>
      <c r="L4704" s="2">
        <v>9</v>
      </c>
      <c r="M4704">
        <v>0</v>
      </c>
      <c r="N4704" s="2">
        <v>0</v>
      </c>
      <c r="O4704">
        <v>-8.4</v>
      </c>
      <c r="P4704" t="s">
        <v>100</v>
      </c>
      <c r="Q4704">
        <v>0</v>
      </c>
      <c r="R4704" t="s">
        <v>145</v>
      </c>
      <c r="S4704">
        <v>0</v>
      </c>
    </row>
    <row r="4705" spans="1:19">
      <c r="A4705" t="s">
        <v>35</v>
      </c>
      <c r="B4705" t="s">
        <v>7831</v>
      </c>
      <c r="C4705">
        <f>"FEP70RO"</f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7</v>
      </c>
      <c r="K4705">
        <v>81.27</v>
      </c>
      <c r="L4705" s="2">
        <v>12</v>
      </c>
      <c r="M4705">
        <v>0</v>
      </c>
      <c r="N4705" s="2">
        <v>0</v>
      </c>
      <c r="O4705">
        <v>-8.4</v>
      </c>
      <c r="P4705" t="s">
        <v>100</v>
      </c>
      <c r="Q4705">
        <v>0</v>
      </c>
      <c r="R4705" t="s">
        <v>145</v>
      </c>
      <c r="S4705">
        <v>0</v>
      </c>
    </row>
    <row r="4706" spans="1:19">
      <c r="A4706" t="s">
        <v>35</v>
      </c>
      <c r="B4706" t="s">
        <v>5118</v>
      </c>
      <c r="C4706">
        <f>"XB1861CRL"</f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7</v>
      </c>
      <c r="K4706">
        <v>58.275</v>
      </c>
      <c r="L4706" s="2">
        <v>8</v>
      </c>
      <c r="M4706">
        <v>0</v>
      </c>
      <c r="N4706" s="2">
        <v>0</v>
      </c>
      <c r="O4706">
        <v>-8.4</v>
      </c>
      <c r="P4706" t="s">
        <v>100</v>
      </c>
      <c r="Q4706">
        <v>0</v>
      </c>
      <c r="R4706" t="s">
        <v>145</v>
      </c>
      <c r="S4706">
        <v>0</v>
      </c>
    </row>
    <row r="4707" spans="1:19">
      <c r="A4707" t="s">
        <v>35</v>
      </c>
      <c r="B4707" t="s">
        <v>7640</v>
      </c>
      <c r="C4707">
        <f>"XB1813AXL"</f>
        <v>0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7</v>
      </c>
      <c r="K4707">
        <v>57.114</v>
      </c>
      <c r="L4707" s="2">
        <v>8</v>
      </c>
      <c r="M4707">
        <v>0</v>
      </c>
      <c r="N4707" s="2">
        <v>0</v>
      </c>
      <c r="O4707">
        <v>-8.4</v>
      </c>
      <c r="P4707" t="s">
        <v>100</v>
      </c>
      <c r="Q4707">
        <v>0</v>
      </c>
      <c r="R4707" t="s">
        <v>145</v>
      </c>
      <c r="S4707">
        <v>0</v>
      </c>
    </row>
    <row r="4708" spans="1:19">
      <c r="A4708" t="s">
        <v>35</v>
      </c>
      <c r="B4708" t="s">
        <v>2667</v>
      </c>
      <c r="C4708">
        <f>"JW5041LA"</f>
        <v>0</v>
      </c>
      <c r="D4708">
        <v>0</v>
      </c>
      <c r="E4708">
        <v>1</v>
      </c>
      <c r="F4708">
        <v>0</v>
      </c>
      <c r="G4708">
        <v>0</v>
      </c>
      <c r="H4708">
        <v>1</v>
      </c>
      <c r="I4708">
        <v>0</v>
      </c>
      <c r="J4708">
        <v>7</v>
      </c>
      <c r="K4708">
        <v>0</v>
      </c>
      <c r="L4708" s="2">
        <v>0</v>
      </c>
      <c r="M4708">
        <v>0</v>
      </c>
      <c r="N4708" s="2">
        <v>0</v>
      </c>
      <c r="O4708">
        <v>-8.4</v>
      </c>
      <c r="P4708" t="s">
        <v>100</v>
      </c>
      <c r="Q4708">
        <v>0</v>
      </c>
      <c r="R4708" t="s">
        <v>145</v>
      </c>
      <c r="S4708">
        <v>0</v>
      </c>
    </row>
    <row r="4709" spans="1:19">
      <c r="A4709" t="s">
        <v>35</v>
      </c>
      <c r="B4709" t="s">
        <v>4859</v>
      </c>
      <c r="C4709">
        <f>"JWL1010M"</f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7</v>
      </c>
      <c r="K4709">
        <v>8.127000000000001</v>
      </c>
      <c r="L4709" s="2">
        <v>1</v>
      </c>
      <c r="M4709">
        <v>0</v>
      </c>
      <c r="N4709" s="2">
        <v>0</v>
      </c>
      <c r="O4709">
        <v>-8.4</v>
      </c>
      <c r="P4709" t="s">
        <v>100</v>
      </c>
      <c r="Q4709">
        <v>0</v>
      </c>
      <c r="R4709" t="s">
        <v>145</v>
      </c>
      <c r="S4709">
        <v>0</v>
      </c>
    </row>
    <row r="4710" spans="1:19">
      <c r="A4710" t="s">
        <v>35</v>
      </c>
      <c r="B4710" t="s">
        <v>4231</v>
      </c>
      <c r="C4710">
        <f>"FB678M"</f>
        <v>0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7</v>
      </c>
      <c r="K4710">
        <v>26.775</v>
      </c>
      <c r="L4710" s="2">
        <v>4</v>
      </c>
      <c r="M4710">
        <v>0</v>
      </c>
      <c r="N4710" s="2">
        <v>0</v>
      </c>
      <c r="O4710">
        <v>-8.4</v>
      </c>
      <c r="P4710" t="s">
        <v>100</v>
      </c>
      <c r="Q4710">
        <v>0</v>
      </c>
      <c r="R4710" t="s">
        <v>145</v>
      </c>
      <c r="S4710">
        <v>0</v>
      </c>
    </row>
    <row r="4711" spans="1:19">
      <c r="A4711" t="s">
        <v>35</v>
      </c>
      <c r="B4711" t="s">
        <v>3611</v>
      </c>
      <c r="C4711">
        <f>"1808"</f>
        <v>0</v>
      </c>
      <c r="D4711">
        <v>0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7</v>
      </c>
      <c r="K4711">
        <v>100.17</v>
      </c>
      <c r="L4711" s="2">
        <v>14</v>
      </c>
      <c r="M4711">
        <v>0</v>
      </c>
      <c r="N4711" s="2">
        <v>0</v>
      </c>
      <c r="O4711">
        <v>-8.4</v>
      </c>
      <c r="P4711" t="s">
        <v>100</v>
      </c>
      <c r="Q4711">
        <v>0</v>
      </c>
      <c r="R4711" t="s">
        <v>145</v>
      </c>
      <c r="S4711">
        <v>0</v>
      </c>
    </row>
    <row r="4712" spans="1:19">
      <c r="A4712" t="s">
        <v>35</v>
      </c>
      <c r="B4712" t="s">
        <v>7832</v>
      </c>
      <c r="C4712">
        <f>"FEP70P"</f>
        <v>0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7</v>
      </c>
      <c r="K4712">
        <v>81.27</v>
      </c>
      <c r="L4712" s="2">
        <v>12</v>
      </c>
      <c r="M4712">
        <v>0</v>
      </c>
      <c r="N4712" s="2">
        <v>0</v>
      </c>
      <c r="O4712">
        <v>-8.4</v>
      </c>
      <c r="P4712" t="s">
        <v>100</v>
      </c>
      <c r="Q4712">
        <v>0</v>
      </c>
      <c r="R4712" t="s">
        <v>145</v>
      </c>
      <c r="S4712">
        <v>0</v>
      </c>
    </row>
    <row r="4713" spans="1:19">
      <c r="A4713" t="s">
        <v>35</v>
      </c>
      <c r="B4713" t="s">
        <v>2537</v>
      </c>
      <c r="C4713">
        <f>"2009"</f>
        <v>0</v>
      </c>
      <c r="D4713">
        <v>0</v>
      </c>
      <c r="E4713">
        <v>0</v>
      </c>
      <c r="F4713">
        <v>1</v>
      </c>
      <c r="G4713">
        <v>0</v>
      </c>
      <c r="H4713">
        <v>1</v>
      </c>
      <c r="I4713">
        <v>0</v>
      </c>
      <c r="J4713">
        <v>7</v>
      </c>
      <c r="K4713">
        <v>12.285</v>
      </c>
      <c r="L4713" s="2">
        <v>2</v>
      </c>
      <c r="M4713">
        <v>0</v>
      </c>
      <c r="N4713" s="2">
        <v>0</v>
      </c>
      <c r="O4713">
        <v>-8.4</v>
      </c>
      <c r="P4713" t="s">
        <v>100</v>
      </c>
      <c r="Q4713">
        <v>0</v>
      </c>
      <c r="R4713" t="s">
        <v>145</v>
      </c>
      <c r="S4713">
        <v>0</v>
      </c>
    </row>
    <row r="4714" spans="1:19">
      <c r="A4714" t="s">
        <v>35</v>
      </c>
      <c r="B4714" t="s">
        <v>7743</v>
      </c>
      <c r="C4714">
        <f>"B1922XSR"</f>
        <v>0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7</v>
      </c>
      <c r="K4714">
        <v>42.525</v>
      </c>
      <c r="L4714" s="2">
        <v>6</v>
      </c>
      <c r="M4714">
        <v>0</v>
      </c>
      <c r="N4714" s="2">
        <v>0</v>
      </c>
      <c r="O4714">
        <v>-8.4</v>
      </c>
      <c r="P4714" t="s">
        <v>100</v>
      </c>
      <c r="Q4714">
        <v>0</v>
      </c>
      <c r="R4714" t="s">
        <v>145</v>
      </c>
      <c r="S4714">
        <v>0</v>
      </c>
    </row>
    <row r="4715" spans="1:19">
      <c r="A4715" t="s">
        <v>35</v>
      </c>
      <c r="B4715" t="s">
        <v>2701</v>
      </c>
      <c r="C4715">
        <f>"B1919XXLN"</f>
        <v>0</v>
      </c>
      <c r="D4715">
        <v>1</v>
      </c>
      <c r="E4715">
        <v>0</v>
      </c>
      <c r="F4715">
        <v>0</v>
      </c>
      <c r="G4715">
        <v>0</v>
      </c>
      <c r="H4715">
        <v>1</v>
      </c>
      <c r="I4715">
        <v>0</v>
      </c>
      <c r="J4715">
        <v>7</v>
      </c>
      <c r="K4715">
        <v>58.86</v>
      </c>
      <c r="L4715" s="2">
        <v>8</v>
      </c>
      <c r="M4715">
        <v>0</v>
      </c>
      <c r="N4715" s="2">
        <v>0</v>
      </c>
      <c r="O4715">
        <v>-8.4</v>
      </c>
      <c r="P4715" t="s">
        <v>100</v>
      </c>
      <c r="Q4715">
        <v>0</v>
      </c>
      <c r="R4715" t="s">
        <v>145</v>
      </c>
      <c r="S4715">
        <v>0</v>
      </c>
    </row>
    <row r="4716" spans="1:19">
      <c r="A4716" t="s">
        <v>35</v>
      </c>
      <c r="B4716" t="s">
        <v>7990</v>
      </c>
      <c r="C4716">
        <f>"FEP80B"</f>
        <v>0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7</v>
      </c>
      <c r="K4716">
        <v>103.365</v>
      </c>
      <c r="L4716" s="2">
        <v>15</v>
      </c>
      <c r="M4716">
        <v>0</v>
      </c>
      <c r="N4716" s="2">
        <v>0</v>
      </c>
      <c r="O4716">
        <v>-8.4</v>
      </c>
      <c r="P4716" t="s">
        <v>100</v>
      </c>
      <c r="Q4716">
        <v>0</v>
      </c>
      <c r="R4716" t="s">
        <v>145</v>
      </c>
      <c r="S4716">
        <v>0</v>
      </c>
    </row>
    <row r="4717" spans="1:19">
      <c r="A4717" t="s">
        <v>35</v>
      </c>
      <c r="B4717" t="s">
        <v>6431</v>
      </c>
      <c r="C4717">
        <f>"DN11"</f>
        <v>0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7</v>
      </c>
      <c r="K4717">
        <v>6.552</v>
      </c>
      <c r="L4717" s="2">
        <v>1</v>
      </c>
      <c r="M4717">
        <v>0</v>
      </c>
      <c r="N4717" s="2">
        <v>0</v>
      </c>
      <c r="O4717">
        <v>-8.4</v>
      </c>
      <c r="P4717" t="s">
        <v>100</v>
      </c>
      <c r="Q4717">
        <v>0</v>
      </c>
      <c r="R4717" t="s">
        <v>145</v>
      </c>
      <c r="S4717">
        <v>0</v>
      </c>
    </row>
    <row r="4718" spans="1:19">
      <c r="A4718" t="s">
        <v>35</v>
      </c>
      <c r="B4718" t="s">
        <v>8617</v>
      </c>
      <c r="C4718">
        <f>"FB857LRO"</f>
        <v>0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7</v>
      </c>
      <c r="K4718">
        <v>27.927</v>
      </c>
      <c r="L4718" s="2">
        <v>4</v>
      </c>
      <c r="M4718">
        <v>0</v>
      </c>
      <c r="N4718" s="2">
        <v>0</v>
      </c>
      <c r="O4718">
        <v>-8.4</v>
      </c>
      <c r="P4718" t="s">
        <v>100</v>
      </c>
      <c r="Q4718">
        <v>0</v>
      </c>
      <c r="R4718" t="s">
        <v>145</v>
      </c>
      <c r="S4718">
        <v>0</v>
      </c>
    </row>
    <row r="4719" spans="1:19">
      <c r="A4719" t="s">
        <v>35</v>
      </c>
      <c r="B4719" t="s">
        <v>8558</v>
      </c>
      <c r="C4719">
        <f>"HH011XL"</f>
        <v>0</v>
      </c>
      <c r="D4719">
        <v>0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7</v>
      </c>
      <c r="K4719">
        <v>65.52</v>
      </c>
      <c r="L4719" s="2">
        <v>9</v>
      </c>
      <c r="M4719">
        <v>0</v>
      </c>
      <c r="N4719" s="2">
        <v>0</v>
      </c>
      <c r="O4719">
        <v>-8.4</v>
      </c>
      <c r="P4719" t="s">
        <v>100</v>
      </c>
      <c r="Q4719">
        <v>0</v>
      </c>
      <c r="R4719" t="s">
        <v>145</v>
      </c>
      <c r="S4719">
        <v>0</v>
      </c>
    </row>
    <row r="4720" spans="1:19">
      <c r="A4720" t="s">
        <v>35</v>
      </c>
      <c r="B4720" t="s">
        <v>9997</v>
      </c>
      <c r="C4720">
        <f>"LH100LM"</f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7</v>
      </c>
      <c r="K4720">
        <v>37.17</v>
      </c>
      <c r="L4720" s="2">
        <v>5</v>
      </c>
      <c r="M4720">
        <v>0</v>
      </c>
      <c r="N4720" s="2">
        <v>0</v>
      </c>
      <c r="O4720">
        <v>-8.4</v>
      </c>
      <c r="P4720" t="s">
        <v>100</v>
      </c>
      <c r="Q4720">
        <v>0</v>
      </c>
      <c r="R4720" t="s">
        <v>145</v>
      </c>
      <c r="S4720">
        <v>0</v>
      </c>
    </row>
    <row r="4721" spans="1:19">
      <c r="A4721" t="s">
        <v>35</v>
      </c>
      <c r="B4721" t="s">
        <v>6554</v>
      </c>
      <c r="C4721">
        <f>"LH100SM"</f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7</v>
      </c>
      <c r="K4721">
        <v>30.87</v>
      </c>
      <c r="L4721" s="2">
        <v>4</v>
      </c>
      <c r="M4721">
        <v>0</v>
      </c>
      <c r="N4721" s="2">
        <v>0</v>
      </c>
      <c r="O4721">
        <v>-8.4</v>
      </c>
      <c r="P4721" t="s">
        <v>100</v>
      </c>
      <c r="Q4721">
        <v>0</v>
      </c>
      <c r="R4721" t="s">
        <v>145</v>
      </c>
      <c r="S4721">
        <v>0</v>
      </c>
    </row>
    <row r="4722" spans="1:19">
      <c r="A4722" t="s">
        <v>35</v>
      </c>
      <c r="B4722" t="s">
        <v>2369</v>
      </c>
      <c r="C4722">
        <f>"PQ016"</f>
        <v>0</v>
      </c>
      <c r="D4722">
        <v>1</v>
      </c>
      <c r="E4722">
        <v>0</v>
      </c>
      <c r="F4722">
        <v>0</v>
      </c>
      <c r="G4722">
        <v>0</v>
      </c>
      <c r="H4722">
        <v>1</v>
      </c>
      <c r="I4722">
        <v>0</v>
      </c>
      <c r="J4722">
        <v>7</v>
      </c>
      <c r="K4722">
        <v>11.13</v>
      </c>
      <c r="L4722" s="2">
        <v>2</v>
      </c>
      <c r="M4722">
        <v>0</v>
      </c>
      <c r="N4722" s="2">
        <v>0</v>
      </c>
      <c r="O4722">
        <v>-8.4</v>
      </c>
      <c r="P4722" t="s">
        <v>100</v>
      </c>
      <c r="Q4722">
        <v>0</v>
      </c>
      <c r="R4722" t="s">
        <v>145</v>
      </c>
      <c r="S4722">
        <v>0</v>
      </c>
    </row>
    <row r="4723" spans="1:19">
      <c r="A4723" t="s">
        <v>35</v>
      </c>
      <c r="B4723" t="s">
        <v>6990</v>
      </c>
      <c r="C4723">
        <f>"H015XXL"</f>
        <v>0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7</v>
      </c>
      <c r="K4723">
        <v>56.7</v>
      </c>
      <c r="L4723" s="2">
        <v>8</v>
      </c>
      <c r="M4723">
        <v>0</v>
      </c>
      <c r="N4723" s="2">
        <v>0</v>
      </c>
      <c r="O4723">
        <v>-8.4</v>
      </c>
      <c r="P4723" t="s">
        <v>100</v>
      </c>
      <c r="Q4723">
        <v>0</v>
      </c>
      <c r="R4723" t="s">
        <v>145</v>
      </c>
      <c r="S4723">
        <v>0</v>
      </c>
    </row>
    <row r="4724" spans="1:19">
      <c r="A4724" t="s">
        <v>35</v>
      </c>
      <c r="B4724" t="s">
        <v>4136</v>
      </c>
      <c r="C4724">
        <f>"FB681SR"</f>
        <v>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7</v>
      </c>
      <c r="K4724">
        <v>34.65</v>
      </c>
      <c r="L4724" s="2">
        <v>5</v>
      </c>
      <c r="M4724">
        <v>0</v>
      </c>
      <c r="N4724" s="2">
        <v>0</v>
      </c>
      <c r="O4724">
        <v>-8.4</v>
      </c>
      <c r="P4724" t="s">
        <v>100</v>
      </c>
      <c r="Q4724">
        <v>0</v>
      </c>
      <c r="R4724" t="s">
        <v>145</v>
      </c>
      <c r="S4724">
        <v>0</v>
      </c>
    </row>
    <row r="4725" spans="1:19">
      <c r="A4725" t="s">
        <v>35</v>
      </c>
      <c r="B4725" t="s">
        <v>4586</v>
      </c>
      <c r="C4725">
        <f>"JWL1042XL"</f>
        <v>0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7</v>
      </c>
      <c r="K4725">
        <v>17.325</v>
      </c>
      <c r="L4725" s="2">
        <v>2</v>
      </c>
      <c r="M4725">
        <v>0</v>
      </c>
      <c r="N4725" s="2">
        <v>0</v>
      </c>
      <c r="O4725">
        <v>-8.4</v>
      </c>
      <c r="P4725" t="s">
        <v>100</v>
      </c>
      <c r="Q4725">
        <v>0</v>
      </c>
      <c r="R4725" t="s">
        <v>145</v>
      </c>
      <c r="S4725">
        <v>0</v>
      </c>
    </row>
    <row r="4726" spans="1:19">
      <c r="A4726" t="s">
        <v>35</v>
      </c>
      <c r="B4726" t="s">
        <v>4166</v>
      </c>
      <c r="C4726">
        <f>"FB681SV"</f>
        <v>0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7</v>
      </c>
      <c r="K4726">
        <v>34.65</v>
      </c>
      <c r="L4726" s="2">
        <v>5</v>
      </c>
      <c r="M4726">
        <v>0</v>
      </c>
      <c r="N4726" s="2">
        <v>0</v>
      </c>
      <c r="O4726">
        <v>-8.4</v>
      </c>
      <c r="P4726" t="s">
        <v>100</v>
      </c>
      <c r="Q4726">
        <v>0</v>
      </c>
      <c r="R4726" t="s">
        <v>145</v>
      </c>
      <c r="S4726">
        <v>0</v>
      </c>
    </row>
    <row r="4727" spans="1:19">
      <c r="A4727" t="s">
        <v>35</v>
      </c>
      <c r="B4727" t="s">
        <v>7846</v>
      </c>
      <c r="C4727">
        <f>"FEP40BE"</f>
        <v>0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7</v>
      </c>
      <c r="K4727">
        <v>28.35</v>
      </c>
      <c r="L4727" s="2">
        <v>4</v>
      </c>
      <c r="M4727">
        <v>0</v>
      </c>
      <c r="N4727" s="2">
        <v>0</v>
      </c>
      <c r="O4727">
        <v>-8.4</v>
      </c>
      <c r="P4727" t="s">
        <v>100</v>
      </c>
      <c r="Q4727">
        <v>0</v>
      </c>
      <c r="R4727" t="s">
        <v>145</v>
      </c>
      <c r="S4727">
        <v>0</v>
      </c>
    </row>
    <row r="4728" spans="1:19">
      <c r="A4728" t="s">
        <v>35</v>
      </c>
      <c r="B4728" t="s">
        <v>2354</v>
      </c>
      <c r="C4728">
        <f>"NBGG01L"</f>
        <v>0</v>
      </c>
      <c r="D4728">
        <v>1</v>
      </c>
      <c r="E4728">
        <v>0</v>
      </c>
      <c r="F4728">
        <v>0</v>
      </c>
      <c r="G4728">
        <v>0</v>
      </c>
      <c r="H4728">
        <v>1</v>
      </c>
      <c r="I4728">
        <v>0</v>
      </c>
      <c r="J4728">
        <v>7</v>
      </c>
      <c r="K4728">
        <v>53.55</v>
      </c>
      <c r="L4728" s="2">
        <v>8</v>
      </c>
      <c r="M4728">
        <v>0</v>
      </c>
      <c r="N4728" s="2">
        <v>0</v>
      </c>
      <c r="O4728">
        <v>-8.4</v>
      </c>
      <c r="P4728" t="s">
        <v>100</v>
      </c>
      <c r="Q4728">
        <v>0</v>
      </c>
      <c r="R4728" t="s">
        <v>145</v>
      </c>
      <c r="S4728">
        <v>0</v>
      </c>
    </row>
    <row r="4729" spans="1:19">
      <c r="A4729" t="s">
        <v>35</v>
      </c>
      <c r="B4729" t="s">
        <v>2355</v>
      </c>
      <c r="C4729">
        <f>"JWZ1042S"</f>
        <v>0</v>
      </c>
      <c r="D4729">
        <v>1</v>
      </c>
      <c r="E4729">
        <v>0</v>
      </c>
      <c r="F4729">
        <v>0</v>
      </c>
      <c r="G4729">
        <v>0</v>
      </c>
      <c r="H4729">
        <v>1</v>
      </c>
      <c r="I4729">
        <v>0</v>
      </c>
      <c r="J4729">
        <v>7</v>
      </c>
      <c r="K4729">
        <v>4.977</v>
      </c>
      <c r="L4729" s="2">
        <v>1</v>
      </c>
      <c r="M4729">
        <v>0</v>
      </c>
      <c r="N4729" s="2">
        <v>0</v>
      </c>
      <c r="O4729">
        <v>-8.4</v>
      </c>
      <c r="P4729" t="s">
        <v>100</v>
      </c>
      <c r="Q4729">
        <v>0</v>
      </c>
      <c r="R4729" t="s">
        <v>145</v>
      </c>
      <c r="S4729">
        <v>0</v>
      </c>
    </row>
    <row r="4730" spans="1:19">
      <c r="A4730" t="s">
        <v>35</v>
      </c>
      <c r="B4730" t="s">
        <v>7485</v>
      </c>
      <c r="C4730">
        <f>"970306"</f>
        <v>0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7</v>
      </c>
      <c r="K4730">
        <v>16.688</v>
      </c>
      <c r="L4730" s="2">
        <v>2</v>
      </c>
      <c r="M4730">
        <v>0</v>
      </c>
      <c r="N4730" s="2">
        <v>0</v>
      </c>
      <c r="O4730">
        <v>-8.4</v>
      </c>
      <c r="P4730" t="s">
        <v>100</v>
      </c>
      <c r="Q4730">
        <v>0</v>
      </c>
      <c r="R4730" t="s">
        <v>145</v>
      </c>
      <c r="S4730">
        <v>0</v>
      </c>
    </row>
    <row r="4731" spans="1:19">
      <c r="A4731" t="s">
        <v>35</v>
      </c>
      <c r="B4731" t="s">
        <v>6661</v>
      </c>
      <c r="C4731">
        <f>"HXC69"</f>
        <v>0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7</v>
      </c>
      <c r="K4731">
        <v>8.82</v>
      </c>
      <c r="L4731" s="2">
        <v>1</v>
      </c>
      <c r="M4731">
        <v>0</v>
      </c>
      <c r="N4731" s="2">
        <v>0</v>
      </c>
      <c r="O4731">
        <v>-8.4</v>
      </c>
      <c r="P4731" t="s">
        <v>100</v>
      </c>
      <c r="Q4731">
        <v>0</v>
      </c>
      <c r="R4731" t="s">
        <v>145</v>
      </c>
      <c r="S4731">
        <v>0</v>
      </c>
    </row>
    <row r="4732" spans="1:19">
      <c r="A4732" t="s">
        <v>35</v>
      </c>
      <c r="B4732" t="s">
        <v>9920</v>
      </c>
      <c r="C4732">
        <f>"HP112XXS"</f>
        <v>0</v>
      </c>
      <c r="D4732">
        <v>0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7</v>
      </c>
      <c r="K4732">
        <v>25.137</v>
      </c>
      <c r="L4732" s="2">
        <v>4</v>
      </c>
      <c r="M4732">
        <v>0</v>
      </c>
      <c r="N4732" s="2">
        <v>0</v>
      </c>
      <c r="O4732">
        <v>-8.4</v>
      </c>
      <c r="P4732" t="s">
        <v>100</v>
      </c>
      <c r="Q4732">
        <v>0</v>
      </c>
      <c r="R4732" t="s">
        <v>145</v>
      </c>
      <c r="S4732">
        <v>0</v>
      </c>
    </row>
    <row r="4733" spans="1:19">
      <c r="A4733" t="s">
        <v>35</v>
      </c>
      <c r="B4733" t="s">
        <v>2985</v>
      </c>
      <c r="C4733">
        <f>"B19220XLA"</f>
        <v>0</v>
      </c>
      <c r="D4733">
        <v>0</v>
      </c>
      <c r="E4733">
        <v>0</v>
      </c>
      <c r="F4733">
        <v>0</v>
      </c>
      <c r="G4733">
        <v>0</v>
      </c>
      <c r="H4733">
        <v>0</v>
      </c>
      <c r="I4733">
        <v>0</v>
      </c>
      <c r="J4733">
        <v>7</v>
      </c>
      <c r="K4733">
        <v>70.56</v>
      </c>
      <c r="L4733" s="2">
        <v>10</v>
      </c>
      <c r="M4733">
        <v>0</v>
      </c>
      <c r="N4733" s="2">
        <v>0</v>
      </c>
      <c r="O4733">
        <v>-8.4</v>
      </c>
      <c r="P4733" t="s">
        <v>100</v>
      </c>
      <c r="Q4733">
        <v>0</v>
      </c>
      <c r="R4733" t="s">
        <v>145</v>
      </c>
      <c r="S4733">
        <v>0</v>
      </c>
    </row>
    <row r="4734" spans="1:19">
      <c r="A4734" t="s">
        <v>35</v>
      </c>
      <c r="B4734" t="s">
        <v>2990</v>
      </c>
      <c r="C4734">
        <f>"B19220XLR"</f>
        <v>0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7</v>
      </c>
      <c r="K4734">
        <v>70.56</v>
      </c>
      <c r="L4734" s="2">
        <v>10</v>
      </c>
      <c r="M4734">
        <v>0</v>
      </c>
      <c r="N4734" s="2">
        <v>0</v>
      </c>
      <c r="O4734">
        <v>-8.4</v>
      </c>
      <c r="P4734" t="s">
        <v>100</v>
      </c>
      <c r="Q4734">
        <v>0</v>
      </c>
      <c r="R4734" t="s">
        <v>145</v>
      </c>
      <c r="S4734">
        <v>0</v>
      </c>
    </row>
    <row r="4735" spans="1:19">
      <c r="A4735" t="s">
        <v>35</v>
      </c>
      <c r="B4735" t="s">
        <v>6509</v>
      </c>
      <c r="C4735">
        <f>"19483"</f>
        <v>0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7</v>
      </c>
      <c r="K4735">
        <v>6.867</v>
      </c>
      <c r="L4735" s="2">
        <v>1</v>
      </c>
      <c r="M4735">
        <v>0</v>
      </c>
      <c r="N4735" s="2">
        <v>0</v>
      </c>
      <c r="O4735">
        <v>-8.4</v>
      </c>
      <c r="P4735" t="s">
        <v>100</v>
      </c>
      <c r="Q4735">
        <v>0</v>
      </c>
      <c r="R4735" t="s">
        <v>145</v>
      </c>
      <c r="S4735">
        <v>0</v>
      </c>
    </row>
    <row r="4736" spans="1:19">
      <c r="A4736" t="s">
        <v>35</v>
      </c>
      <c r="B4736" t="s">
        <v>4672</v>
      </c>
      <c r="C4736">
        <f>"1040MECE"</f>
        <v>0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7</v>
      </c>
      <c r="K4736">
        <v>52.355</v>
      </c>
      <c r="L4736" s="2">
        <v>7</v>
      </c>
      <c r="M4736">
        <v>0</v>
      </c>
      <c r="N4736" s="2">
        <v>0</v>
      </c>
      <c r="O4736">
        <v>-8.4</v>
      </c>
      <c r="P4736" t="s">
        <v>100</v>
      </c>
      <c r="Q4736">
        <v>0</v>
      </c>
      <c r="R4736" t="s">
        <v>145</v>
      </c>
      <c r="S4736">
        <v>0</v>
      </c>
    </row>
    <row r="4737" spans="1:19">
      <c r="A4737" t="s">
        <v>35</v>
      </c>
      <c r="B4737" t="s">
        <v>2999</v>
      </c>
      <c r="C4737">
        <f>"B19220XLM"</f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7</v>
      </c>
      <c r="K4737">
        <v>70.56</v>
      </c>
      <c r="L4737" s="2">
        <v>10</v>
      </c>
      <c r="M4737">
        <v>0</v>
      </c>
      <c r="N4737" s="2">
        <v>0</v>
      </c>
      <c r="O4737">
        <v>-8.4</v>
      </c>
      <c r="P4737" t="s">
        <v>100</v>
      </c>
      <c r="Q4737">
        <v>0</v>
      </c>
      <c r="R4737" t="s">
        <v>145</v>
      </c>
      <c r="S4737">
        <v>0</v>
      </c>
    </row>
    <row r="4738" spans="1:19">
      <c r="A4738" t="s">
        <v>35</v>
      </c>
      <c r="B4738" t="s">
        <v>2475</v>
      </c>
      <c r="C4738">
        <f>"DC3102C"</f>
        <v>0</v>
      </c>
      <c r="D4738">
        <v>0</v>
      </c>
      <c r="E4738">
        <v>0</v>
      </c>
      <c r="F4738">
        <v>1</v>
      </c>
      <c r="G4738">
        <v>0</v>
      </c>
      <c r="H4738">
        <v>1</v>
      </c>
      <c r="I4738">
        <v>0</v>
      </c>
      <c r="J4738">
        <v>7</v>
      </c>
      <c r="K4738">
        <v>21.735</v>
      </c>
      <c r="L4738" s="2">
        <v>3</v>
      </c>
      <c r="M4738">
        <v>0</v>
      </c>
      <c r="N4738" s="2">
        <v>0</v>
      </c>
      <c r="O4738">
        <v>-8.4</v>
      </c>
      <c r="P4738" t="s">
        <v>100</v>
      </c>
      <c r="Q4738">
        <v>0</v>
      </c>
      <c r="R4738" t="s">
        <v>145</v>
      </c>
      <c r="S4738">
        <v>0</v>
      </c>
    </row>
    <row r="4739" spans="1:19">
      <c r="A4739" t="s">
        <v>35</v>
      </c>
      <c r="B4739" t="s">
        <v>8128</v>
      </c>
      <c r="C4739">
        <f>"HD28XXXL"</f>
        <v>0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7</v>
      </c>
      <c r="K4739">
        <v>32.76</v>
      </c>
      <c r="L4739" s="2">
        <v>5</v>
      </c>
      <c r="M4739">
        <v>0</v>
      </c>
      <c r="N4739" s="2">
        <v>0</v>
      </c>
      <c r="O4739">
        <v>-8.4</v>
      </c>
      <c r="P4739" t="s">
        <v>100</v>
      </c>
      <c r="Q4739">
        <v>0</v>
      </c>
      <c r="R4739" t="s">
        <v>145</v>
      </c>
      <c r="S4739">
        <v>0</v>
      </c>
    </row>
    <row r="4740" spans="1:19">
      <c r="A4740" t="s">
        <v>35</v>
      </c>
      <c r="B4740" t="s">
        <v>5760</v>
      </c>
      <c r="C4740">
        <f>"JDC21"</f>
        <v>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7</v>
      </c>
      <c r="K4740">
        <v>12.285</v>
      </c>
      <c r="L4740" s="2">
        <v>2</v>
      </c>
      <c r="M4740">
        <v>0</v>
      </c>
      <c r="N4740" s="2">
        <v>0</v>
      </c>
      <c r="O4740">
        <v>-8.4</v>
      </c>
      <c r="P4740" t="s">
        <v>100</v>
      </c>
      <c r="Q4740">
        <v>0</v>
      </c>
      <c r="R4740" t="s">
        <v>145</v>
      </c>
      <c r="S4740">
        <v>0</v>
      </c>
    </row>
    <row r="4741" spans="1:19">
      <c r="A4741" t="s">
        <v>35</v>
      </c>
      <c r="B4741" t="s">
        <v>7880</v>
      </c>
      <c r="C4741">
        <f>"8443S"</f>
        <v>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7</v>
      </c>
      <c r="K4741">
        <v>59.85</v>
      </c>
      <c r="L4741" s="2">
        <v>9</v>
      </c>
      <c r="M4741">
        <v>0</v>
      </c>
      <c r="N4741" s="2">
        <v>0</v>
      </c>
      <c r="O4741">
        <v>-8.4</v>
      </c>
      <c r="P4741" t="s">
        <v>100</v>
      </c>
      <c r="Q4741">
        <v>0</v>
      </c>
      <c r="R4741" t="s">
        <v>145</v>
      </c>
      <c r="S4741">
        <v>0</v>
      </c>
    </row>
    <row r="4742" spans="1:19">
      <c r="A4742" t="s">
        <v>35</v>
      </c>
      <c r="B4742" t="s">
        <v>5817</v>
      </c>
      <c r="C4742">
        <f>"JD1XL"</f>
        <v>0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7</v>
      </c>
      <c r="K4742">
        <v>9.135</v>
      </c>
      <c r="L4742" s="2">
        <v>1</v>
      </c>
      <c r="M4742">
        <v>0</v>
      </c>
      <c r="N4742" s="2">
        <v>0</v>
      </c>
      <c r="O4742">
        <v>-8.4</v>
      </c>
      <c r="P4742" t="s">
        <v>100</v>
      </c>
      <c r="Q4742">
        <v>0</v>
      </c>
      <c r="R4742" t="s">
        <v>145</v>
      </c>
      <c r="S4742">
        <v>0</v>
      </c>
    </row>
    <row r="4743" spans="1:19">
      <c r="A4743" t="s">
        <v>35</v>
      </c>
      <c r="B4743" t="s">
        <v>5812</v>
      </c>
      <c r="C4743">
        <f>"ZX011"</f>
        <v>0</v>
      </c>
      <c r="D4743">
        <v>0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7</v>
      </c>
      <c r="K4743">
        <v>8.505000000000001</v>
      </c>
      <c r="L4743" s="2">
        <v>1</v>
      </c>
      <c r="M4743">
        <v>0</v>
      </c>
      <c r="N4743" s="2">
        <v>0</v>
      </c>
      <c r="O4743">
        <v>-8.4</v>
      </c>
      <c r="P4743" t="s">
        <v>100</v>
      </c>
      <c r="Q4743">
        <v>0</v>
      </c>
      <c r="R4743" t="s">
        <v>145</v>
      </c>
      <c r="S4743">
        <v>0</v>
      </c>
    </row>
    <row r="4744" spans="1:19">
      <c r="A4744" t="s">
        <v>35</v>
      </c>
      <c r="B4744" t="s">
        <v>5166</v>
      </c>
      <c r="C4744">
        <f>"LV09092TBXL"</f>
        <v>0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7</v>
      </c>
      <c r="K4744">
        <v>31.175</v>
      </c>
      <c r="L4744" s="2">
        <v>4</v>
      </c>
      <c r="M4744">
        <v>0</v>
      </c>
      <c r="N4744" s="2">
        <v>0</v>
      </c>
      <c r="O4744">
        <v>-8.4</v>
      </c>
      <c r="P4744" t="s">
        <v>100</v>
      </c>
      <c r="Q4744">
        <v>0</v>
      </c>
      <c r="R4744" t="s">
        <v>145</v>
      </c>
      <c r="S4744">
        <v>0</v>
      </c>
    </row>
    <row r="4745" spans="1:19">
      <c r="A4745" t="s">
        <v>35</v>
      </c>
      <c r="B4745" t="s">
        <v>5121</v>
      </c>
      <c r="C4745">
        <f>"XB1861CAXL"</f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7</v>
      </c>
      <c r="K4745">
        <v>59.535</v>
      </c>
      <c r="L4745" s="2">
        <v>9</v>
      </c>
      <c r="M4745">
        <v>0</v>
      </c>
      <c r="N4745" s="2">
        <v>0</v>
      </c>
      <c r="O4745">
        <v>-8.4</v>
      </c>
      <c r="P4745" t="s">
        <v>100</v>
      </c>
      <c r="Q4745">
        <v>0</v>
      </c>
      <c r="R4745" t="s">
        <v>145</v>
      </c>
      <c r="S4745">
        <v>0</v>
      </c>
    </row>
    <row r="4746" spans="1:19">
      <c r="A4746" t="s">
        <v>35</v>
      </c>
      <c r="B4746" t="s">
        <v>8363</v>
      </c>
      <c r="C4746">
        <f>"KF6001"</f>
        <v>0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7</v>
      </c>
      <c r="K4746">
        <v>314.37</v>
      </c>
      <c r="L4746" s="2">
        <v>45</v>
      </c>
      <c r="M4746">
        <v>0</v>
      </c>
      <c r="N4746" s="2">
        <v>0</v>
      </c>
      <c r="O4746">
        <v>-8.4</v>
      </c>
      <c r="P4746" t="s">
        <v>100</v>
      </c>
      <c r="Q4746">
        <v>0</v>
      </c>
      <c r="R4746" t="s">
        <v>145</v>
      </c>
      <c r="S4746">
        <v>0</v>
      </c>
    </row>
    <row r="4747" spans="1:19">
      <c r="A4747" t="s">
        <v>35</v>
      </c>
      <c r="B4747" t="s">
        <v>2447</v>
      </c>
      <c r="C4747">
        <f>"HP152XLCR"</f>
        <v>0</v>
      </c>
      <c r="D4747">
        <v>1</v>
      </c>
      <c r="E4747">
        <v>0</v>
      </c>
      <c r="F4747">
        <v>0</v>
      </c>
      <c r="G4747">
        <v>0</v>
      </c>
      <c r="H4747">
        <v>1</v>
      </c>
      <c r="I4747">
        <v>0</v>
      </c>
      <c r="J4747">
        <v>7</v>
      </c>
      <c r="K4747">
        <v>37.737</v>
      </c>
      <c r="L4747" s="2">
        <v>5</v>
      </c>
      <c r="M4747">
        <v>0</v>
      </c>
      <c r="N4747" s="2">
        <v>0</v>
      </c>
      <c r="O4747">
        <v>-8.4</v>
      </c>
      <c r="P4747" t="s">
        <v>100</v>
      </c>
      <c r="Q4747">
        <v>0</v>
      </c>
      <c r="R4747" t="s">
        <v>145</v>
      </c>
      <c r="S4747">
        <v>0</v>
      </c>
    </row>
    <row r="4748" spans="1:19">
      <c r="A4748" t="s">
        <v>35</v>
      </c>
      <c r="B4748" t="s">
        <v>7497</v>
      </c>
      <c r="C4748">
        <f>"Q90011"</f>
        <v>0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7</v>
      </c>
      <c r="K4748">
        <v>12.285</v>
      </c>
      <c r="L4748" s="2">
        <v>2</v>
      </c>
      <c r="M4748">
        <v>0</v>
      </c>
      <c r="N4748" s="2">
        <v>0</v>
      </c>
      <c r="O4748">
        <v>-8.4</v>
      </c>
      <c r="P4748" t="s">
        <v>100</v>
      </c>
      <c r="Q4748">
        <v>0</v>
      </c>
      <c r="R4748" t="s">
        <v>145</v>
      </c>
      <c r="S4748">
        <v>0</v>
      </c>
    </row>
    <row r="4749" spans="1:19">
      <c r="A4749" t="s">
        <v>35</v>
      </c>
      <c r="B4749" t="s">
        <v>6450</v>
      </c>
      <c r="C4749">
        <f>"JWZ1011M"</f>
        <v>0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7</v>
      </c>
      <c r="K4749">
        <v>5.67</v>
      </c>
      <c r="L4749" s="2">
        <v>1</v>
      </c>
      <c r="M4749">
        <v>0</v>
      </c>
      <c r="N4749" s="2">
        <v>0</v>
      </c>
      <c r="O4749">
        <v>-8.4</v>
      </c>
      <c r="P4749" t="s">
        <v>100</v>
      </c>
      <c r="Q4749">
        <v>0</v>
      </c>
      <c r="R4749" t="s">
        <v>145</v>
      </c>
      <c r="S4749">
        <v>0</v>
      </c>
    </row>
    <row r="4750" spans="1:19">
      <c r="A4750" t="s">
        <v>35</v>
      </c>
      <c r="B4750" t="s">
        <v>7335</v>
      </c>
      <c r="C4750">
        <f>"HH088SAR"</f>
        <v>0</v>
      </c>
      <c r="D4750">
        <v>0</v>
      </c>
      <c r="E4750">
        <v>0</v>
      </c>
      <c r="F4750">
        <v>0</v>
      </c>
      <c r="G4750">
        <v>0</v>
      </c>
      <c r="H4750">
        <v>0</v>
      </c>
      <c r="I4750">
        <v>0</v>
      </c>
      <c r="J4750">
        <v>7</v>
      </c>
      <c r="K4750">
        <v>66.273</v>
      </c>
      <c r="L4750" s="2">
        <v>9</v>
      </c>
      <c r="M4750">
        <v>0</v>
      </c>
      <c r="N4750" s="2">
        <v>0</v>
      </c>
      <c r="O4750">
        <v>-8.4</v>
      </c>
      <c r="P4750" t="s">
        <v>100</v>
      </c>
      <c r="Q4750">
        <v>0</v>
      </c>
      <c r="R4750" t="s">
        <v>145</v>
      </c>
      <c r="S4750">
        <v>0</v>
      </c>
    </row>
    <row r="4751" spans="1:19">
      <c r="A4751" t="s">
        <v>35</v>
      </c>
      <c r="B4751" t="s">
        <v>2418</v>
      </c>
      <c r="C4751">
        <f>"JWZ1060M"</f>
        <v>0</v>
      </c>
      <c r="D4751">
        <v>0</v>
      </c>
      <c r="E4751">
        <v>0</v>
      </c>
      <c r="F4751">
        <v>1</v>
      </c>
      <c r="G4751">
        <v>0</v>
      </c>
      <c r="H4751">
        <v>1</v>
      </c>
      <c r="I4751">
        <v>0</v>
      </c>
      <c r="J4751">
        <v>7</v>
      </c>
      <c r="K4751">
        <v>6.615</v>
      </c>
      <c r="L4751" s="2">
        <v>1</v>
      </c>
      <c r="M4751">
        <v>0</v>
      </c>
      <c r="N4751" s="2">
        <v>0</v>
      </c>
      <c r="O4751">
        <v>-8.4</v>
      </c>
      <c r="P4751" t="s">
        <v>100</v>
      </c>
      <c r="Q4751">
        <v>0</v>
      </c>
      <c r="R4751" t="s">
        <v>145</v>
      </c>
      <c r="S4751">
        <v>0</v>
      </c>
    </row>
    <row r="4752" spans="1:19">
      <c r="A4752" t="s">
        <v>35</v>
      </c>
      <c r="B4752" t="s">
        <v>6617</v>
      </c>
      <c r="C4752">
        <f>"JWZ1051S"</f>
        <v>0</v>
      </c>
      <c r="D4752">
        <v>0</v>
      </c>
      <c r="E4752">
        <v>0</v>
      </c>
      <c r="F4752">
        <v>0</v>
      </c>
      <c r="G4752">
        <v>0</v>
      </c>
      <c r="H4752">
        <v>0</v>
      </c>
      <c r="I4752">
        <v>0</v>
      </c>
      <c r="J4752">
        <v>7</v>
      </c>
      <c r="K4752">
        <v>4.977</v>
      </c>
      <c r="L4752" s="2">
        <v>1</v>
      </c>
      <c r="M4752">
        <v>0</v>
      </c>
      <c r="N4752" s="2">
        <v>0</v>
      </c>
      <c r="O4752">
        <v>-8.4</v>
      </c>
      <c r="P4752" t="s">
        <v>100</v>
      </c>
      <c r="Q4752">
        <v>0</v>
      </c>
      <c r="R4752" t="s">
        <v>145</v>
      </c>
      <c r="S4752">
        <v>0</v>
      </c>
    </row>
    <row r="4753" spans="1:19">
      <c r="A4753" t="s">
        <v>35</v>
      </c>
      <c r="B4753" t="s">
        <v>5221</v>
      </c>
      <c r="C4753">
        <f>"TC0039"</f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7</v>
      </c>
      <c r="K4753">
        <v>5.877</v>
      </c>
      <c r="L4753" s="2">
        <v>1</v>
      </c>
      <c r="M4753">
        <v>0</v>
      </c>
      <c r="N4753" s="2">
        <v>0</v>
      </c>
      <c r="O4753">
        <v>-8.4</v>
      </c>
      <c r="P4753" t="s">
        <v>100</v>
      </c>
      <c r="Q4753">
        <v>0</v>
      </c>
      <c r="R4753" t="s">
        <v>145</v>
      </c>
      <c r="S4753">
        <v>0</v>
      </c>
    </row>
    <row r="4754" spans="1:19">
      <c r="A4754" t="s">
        <v>35</v>
      </c>
      <c r="B4754" t="s">
        <v>9390</v>
      </c>
      <c r="C4754">
        <f>"LH100XSA"</f>
        <v>0</v>
      </c>
      <c r="D4754">
        <v>0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7</v>
      </c>
      <c r="K4754">
        <v>22.695</v>
      </c>
      <c r="L4754" s="2">
        <v>3</v>
      </c>
      <c r="M4754">
        <v>0</v>
      </c>
      <c r="N4754" s="2">
        <v>0</v>
      </c>
      <c r="O4754">
        <v>-8.4</v>
      </c>
      <c r="P4754" t="s">
        <v>100</v>
      </c>
      <c r="Q4754">
        <v>0</v>
      </c>
      <c r="R4754" t="s">
        <v>145</v>
      </c>
      <c r="S4754">
        <v>0</v>
      </c>
    </row>
    <row r="4755" spans="1:19">
      <c r="A4755" t="s">
        <v>35</v>
      </c>
      <c r="B4755" t="s">
        <v>1706</v>
      </c>
      <c r="C4755">
        <f>"CK1005"</f>
        <v>0</v>
      </c>
      <c r="D4755">
        <v>2</v>
      </c>
      <c r="E4755">
        <v>11</v>
      </c>
      <c r="F4755">
        <v>5</v>
      </c>
      <c r="G4755">
        <v>0</v>
      </c>
      <c r="H4755">
        <v>18</v>
      </c>
      <c r="I4755">
        <v>3.5</v>
      </c>
      <c r="J4755">
        <v>10</v>
      </c>
      <c r="K4755">
        <v>8.550000000000001</v>
      </c>
      <c r="L4755" s="2">
        <v>1</v>
      </c>
      <c r="M4755">
        <v>0</v>
      </c>
      <c r="N4755" s="2">
        <v>0</v>
      </c>
      <c r="O4755">
        <v>-8.5</v>
      </c>
      <c r="P4755" t="s">
        <v>100</v>
      </c>
      <c r="Q4755">
        <v>0</v>
      </c>
      <c r="R4755" t="s">
        <v>145</v>
      </c>
      <c r="S4755">
        <v>0</v>
      </c>
    </row>
    <row r="4756" spans="1:19">
      <c r="A4756" t="s">
        <v>35</v>
      </c>
      <c r="B4756" t="s">
        <v>409</v>
      </c>
      <c r="C4756">
        <f>"MSPB01C"</f>
        <v>0</v>
      </c>
      <c r="D4756">
        <v>2</v>
      </c>
      <c r="E4756">
        <v>1</v>
      </c>
      <c r="F4756">
        <v>1</v>
      </c>
      <c r="G4756">
        <v>1</v>
      </c>
      <c r="H4756">
        <v>5</v>
      </c>
      <c r="I4756">
        <v>1</v>
      </c>
      <c r="J4756">
        <v>10</v>
      </c>
      <c r="K4756">
        <v>41.93</v>
      </c>
      <c r="L4756" s="2">
        <v>4</v>
      </c>
      <c r="M4756">
        <v>0</v>
      </c>
      <c r="N4756" s="2">
        <v>0</v>
      </c>
      <c r="O4756">
        <v>-9</v>
      </c>
      <c r="P4756" t="s">
        <v>11078</v>
      </c>
      <c r="Q4756">
        <v>420</v>
      </c>
      <c r="R4756" t="s">
        <v>10362</v>
      </c>
      <c r="S4756">
        <v>0</v>
      </c>
    </row>
    <row r="4757" spans="1:19">
      <c r="A4757" t="s">
        <v>35</v>
      </c>
      <c r="B4757" t="s">
        <v>1789</v>
      </c>
      <c r="C4757">
        <f>"CK1031"</f>
        <v>0</v>
      </c>
      <c r="D4757">
        <v>3</v>
      </c>
      <c r="E4757">
        <v>4</v>
      </c>
      <c r="F4757">
        <v>3</v>
      </c>
      <c r="G4757">
        <v>0</v>
      </c>
      <c r="H4757">
        <v>10</v>
      </c>
      <c r="I4757">
        <v>3</v>
      </c>
      <c r="J4757">
        <v>10</v>
      </c>
      <c r="K4757">
        <v>8.01</v>
      </c>
      <c r="L4757" s="2">
        <v>1</v>
      </c>
      <c r="M4757">
        <v>0</v>
      </c>
      <c r="N4757" s="2">
        <v>0</v>
      </c>
      <c r="O4757">
        <v>-9</v>
      </c>
      <c r="P4757" t="s">
        <v>100</v>
      </c>
      <c r="Q4757">
        <v>0</v>
      </c>
      <c r="R4757" t="s">
        <v>145</v>
      </c>
      <c r="S4757">
        <v>0</v>
      </c>
    </row>
    <row r="4758" spans="1:19">
      <c r="A4758" t="s">
        <v>35</v>
      </c>
      <c r="B4758" t="s">
        <v>2311</v>
      </c>
      <c r="C4758">
        <f>"1040MEVC"</f>
        <v>0</v>
      </c>
      <c r="D4758">
        <v>1</v>
      </c>
      <c r="E4758">
        <v>0</v>
      </c>
      <c r="F4758">
        <v>1</v>
      </c>
      <c r="G4758">
        <v>0</v>
      </c>
      <c r="H4758">
        <v>2</v>
      </c>
      <c r="I4758">
        <v>0.5</v>
      </c>
      <c r="J4758">
        <v>8</v>
      </c>
      <c r="K4758">
        <v>64.72799999999999</v>
      </c>
      <c r="L4758" s="2">
        <v>8</v>
      </c>
      <c r="M4758">
        <v>0</v>
      </c>
      <c r="N4758" s="2">
        <v>0</v>
      </c>
      <c r="O4758">
        <v>-9.1</v>
      </c>
      <c r="P4758" t="s">
        <v>100</v>
      </c>
      <c r="Q4758">
        <v>0</v>
      </c>
      <c r="R4758" t="s">
        <v>145</v>
      </c>
      <c r="S4758">
        <v>0</v>
      </c>
    </row>
    <row r="4759" spans="1:19">
      <c r="A4759" t="s">
        <v>35</v>
      </c>
      <c r="B4759" t="s">
        <v>2307</v>
      </c>
      <c r="C4759">
        <f>"SP011"</f>
        <v>0</v>
      </c>
      <c r="D4759">
        <v>1</v>
      </c>
      <c r="E4759">
        <v>1</v>
      </c>
      <c r="F4759">
        <v>0</v>
      </c>
      <c r="G4759">
        <v>0</v>
      </c>
      <c r="H4759">
        <v>2</v>
      </c>
      <c r="I4759">
        <v>0.5</v>
      </c>
      <c r="J4759">
        <v>8</v>
      </c>
      <c r="K4759">
        <v>30.723</v>
      </c>
      <c r="L4759" s="2">
        <v>4</v>
      </c>
      <c r="M4759">
        <v>0</v>
      </c>
      <c r="N4759" s="2">
        <v>0</v>
      </c>
      <c r="O4759">
        <v>-9.1</v>
      </c>
      <c r="P4759" t="s">
        <v>100</v>
      </c>
      <c r="Q4759">
        <v>0</v>
      </c>
      <c r="R4759" t="s">
        <v>145</v>
      </c>
      <c r="S4759">
        <v>0</v>
      </c>
    </row>
    <row r="4760" spans="1:19">
      <c r="A4760" t="s">
        <v>35</v>
      </c>
      <c r="B4760" t="s">
        <v>1714</v>
      </c>
      <c r="C4760">
        <f>"KLMT4"</f>
        <v>0</v>
      </c>
      <c r="D4760">
        <v>9</v>
      </c>
      <c r="E4760">
        <v>7</v>
      </c>
      <c r="F4760">
        <v>1</v>
      </c>
      <c r="G4760">
        <v>0</v>
      </c>
      <c r="H4760">
        <v>17</v>
      </c>
      <c r="I4760">
        <v>4</v>
      </c>
      <c r="J4760">
        <v>11</v>
      </c>
      <c r="K4760">
        <v>61.875</v>
      </c>
      <c r="L4760" s="2">
        <v>6</v>
      </c>
      <c r="M4760">
        <v>0</v>
      </c>
      <c r="N4760" s="2">
        <v>0</v>
      </c>
      <c r="O4760">
        <v>-9.199999999999999</v>
      </c>
      <c r="P4760" t="s">
        <v>100</v>
      </c>
      <c r="Q4760">
        <v>0</v>
      </c>
      <c r="R4760" t="s">
        <v>145</v>
      </c>
      <c r="S4760">
        <v>0</v>
      </c>
    </row>
    <row r="4761" spans="1:19">
      <c r="A4761" t="s">
        <v>35</v>
      </c>
      <c r="B4761" t="s">
        <v>9859</v>
      </c>
      <c r="C4761">
        <f>"SC02"</f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8</v>
      </c>
      <c r="K4761">
        <v>136.08</v>
      </c>
      <c r="L4761" s="2">
        <v>17</v>
      </c>
      <c r="M4761">
        <v>0</v>
      </c>
      <c r="N4761" s="2">
        <v>0</v>
      </c>
      <c r="O4761">
        <v>-9.6</v>
      </c>
      <c r="P4761" t="s">
        <v>100</v>
      </c>
      <c r="Q4761">
        <v>0</v>
      </c>
      <c r="R4761" t="s">
        <v>145</v>
      </c>
      <c r="S4761">
        <v>0</v>
      </c>
    </row>
    <row r="4762" spans="1:19">
      <c r="A4762" t="s">
        <v>35</v>
      </c>
      <c r="B4762" t="s">
        <v>9407</v>
      </c>
      <c r="C4762">
        <f>"MF897a"</f>
        <v>0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8</v>
      </c>
      <c r="K4762">
        <v>104.4</v>
      </c>
      <c r="L4762" s="2">
        <v>13</v>
      </c>
      <c r="M4762">
        <v>0</v>
      </c>
      <c r="N4762" s="2">
        <v>0</v>
      </c>
      <c r="O4762">
        <v>-9.6</v>
      </c>
      <c r="P4762" t="s">
        <v>100</v>
      </c>
      <c r="Q4762">
        <v>0</v>
      </c>
      <c r="R4762" t="s">
        <v>145</v>
      </c>
      <c r="S4762">
        <v>0</v>
      </c>
    </row>
    <row r="4763" spans="1:19">
      <c r="A4763" t="s">
        <v>35</v>
      </c>
      <c r="B4763" t="s">
        <v>7866</v>
      </c>
      <c r="C4763">
        <f>"COO2843L"</f>
        <v>0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8</v>
      </c>
      <c r="K4763">
        <v>205.2</v>
      </c>
      <c r="L4763" s="2">
        <v>26</v>
      </c>
      <c r="M4763">
        <v>0</v>
      </c>
      <c r="N4763" s="2">
        <v>0</v>
      </c>
      <c r="O4763">
        <v>-9.6</v>
      </c>
      <c r="P4763" t="s">
        <v>100</v>
      </c>
      <c r="Q4763">
        <v>0</v>
      </c>
      <c r="R4763" t="s">
        <v>145</v>
      </c>
      <c r="S4763">
        <v>0</v>
      </c>
    </row>
    <row r="4764" spans="1:19">
      <c r="A4764" t="s">
        <v>35</v>
      </c>
      <c r="B4764" t="s">
        <v>2600</v>
      </c>
      <c r="C4764">
        <f>"MSP109G"</f>
        <v>0</v>
      </c>
      <c r="D4764">
        <v>0</v>
      </c>
      <c r="E4764">
        <v>0</v>
      </c>
      <c r="F4764">
        <v>1</v>
      </c>
      <c r="G4764">
        <v>0</v>
      </c>
      <c r="H4764">
        <v>1</v>
      </c>
      <c r="I4764">
        <v>0</v>
      </c>
      <c r="J4764">
        <v>8</v>
      </c>
      <c r="K4764">
        <v>143.4</v>
      </c>
      <c r="L4764" s="2">
        <v>18</v>
      </c>
      <c r="M4764">
        <v>0</v>
      </c>
      <c r="N4764" s="2">
        <v>0</v>
      </c>
      <c r="O4764">
        <v>-9.6</v>
      </c>
      <c r="P4764" t="s">
        <v>100</v>
      </c>
      <c r="Q4764">
        <v>0</v>
      </c>
      <c r="R4764" t="s">
        <v>145</v>
      </c>
      <c r="S4764">
        <v>0</v>
      </c>
    </row>
    <row r="4765" spans="1:19">
      <c r="A4765" t="s">
        <v>35</v>
      </c>
      <c r="B4765" t="s">
        <v>7182</v>
      </c>
      <c r="C4765">
        <f>"LS223G"</f>
        <v>0</v>
      </c>
      <c r="D4765">
        <v>0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8</v>
      </c>
      <c r="K4765">
        <v>61.2</v>
      </c>
      <c r="L4765" s="2">
        <v>8</v>
      </c>
      <c r="M4765">
        <v>0</v>
      </c>
      <c r="N4765" s="2">
        <v>0</v>
      </c>
      <c r="O4765">
        <v>-9.6</v>
      </c>
      <c r="P4765" t="s">
        <v>100</v>
      </c>
      <c r="Q4765">
        <v>0</v>
      </c>
      <c r="R4765" t="s">
        <v>145</v>
      </c>
      <c r="S4765">
        <v>0</v>
      </c>
    </row>
    <row r="4766" spans="1:19">
      <c r="A4766" t="s">
        <v>35</v>
      </c>
      <c r="B4766" t="s">
        <v>4763</v>
      </c>
      <c r="C4766">
        <f>"WD367523"</f>
        <v>0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8</v>
      </c>
      <c r="K4766">
        <v>14.328</v>
      </c>
      <c r="L4766" s="2">
        <v>2</v>
      </c>
      <c r="M4766">
        <v>0</v>
      </c>
      <c r="N4766" s="2">
        <v>0</v>
      </c>
      <c r="O4766">
        <v>-9.6</v>
      </c>
      <c r="P4766" t="s">
        <v>100</v>
      </c>
      <c r="Q4766">
        <v>0</v>
      </c>
      <c r="R4766" t="s">
        <v>145</v>
      </c>
      <c r="S4766">
        <v>0</v>
      </c>
    </row>
    <row r="4767" spans="1:19">
      <c r="A4767" t="s">
        <v>35</v>
      </c>
      <c r="B4767" t="s">
        <v>8084</v>
      </c>
      <c r="C4767">
        <f>"HD34XXL"</f>
        <v>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8</v>
      </c>
      <c r="K4767">
        <v>35.64</v>
      </c>
      <c r="L4767" s="2">
        <v>4</v>
      </c>
      <c r="M4767">
        <v>0</v>
      </c>
      <c r="N4767" s="2">
        <v>0</v>
      </c>
      <c r="O4767">
        <v>-9.6</v>
      </c>
      <c r="P4767" t="s">
        <v>100</v>
      </c>
      <c r="Q4767">
        <v>0</v>
      </c>
      <c r="R4767" t="s">
        <v>145</v>
      </c>
      <c r="S4767">
        <v>0</v>
      </c>
    </row>
    <row r="4768" spans="1:19">
      <c r="A4768" t="s">
        <v>35</v>
      </c>
      <c r="B4768" t="s">
        <v>2604</v>
      </c>
      <c r="C4768">
        <f>"WIN102"</f>
        <v>0</v>
      </c>
      <c r="D4768">
        <v>1</v>
      </c>
      <c r="E4768">
        <v>0</v>
      </c>
      <c r="F4768">
        <v>0</v>
      </c>
      <c r="G4768">
        <v>0</v>
      </c>
      <c r="H4768">
        <v>1</v>
      </c>
      <c r="I4768">
        <v>0</v>
      </c>
      <c r="J4768">
        <v>8</v>
      </c>
      <c r="K4768">
        <v>18.72</v>
      </c>
      <c r="L4768" s="2">
        <v>2</v>
      </c>
      <c r="M4768">
        <v>0</v>
      </c>
      <c r="N4768" s="2">
        <v>0</v>
      </c>
      <c r="O4768">
        <v>-9.6</v>
      </c>
      <c r="P4768" t="s">
        <v>100</v>
      </c>
      <c r="Q4768">
        <v>0</v>
      </c>
      <c r="R4768" t="s">
        <v>145</v>
      </c>
      <c r="S4768">
        <v>0</v>
      </c>
    </row>
    <row r="4769" spans="1:19">
      <c r="A4769" t="s">
        <v>35</v>
      </c>
      <c r="B4769" t="s">
        <v>6243</v>
      </c>
      <c r="C4769">
        <f>"872400"</f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0</v>
      </c>
      <c r="J4769">
        <v>8</v>
      </c>
      <c r="K4769">
        <v>0</v>
      </c>
      <c r="L4769" s="2">
        <v>0</v>
      </c>
      <c r="M4769">
        <v>0</v>
      </c>
      <c r="N4769" s="2">
        <v>0</v>
      </c>
      <c r="O4769">
        <v>-9.6</v>
      </c>
      <c r="P4769" t="s">
        <v>100</v>
      </c>
      <c r="Q4769">
        <v>0</v>
      </c>
      <c r="R4769" t="s">
        <v>145</v>
      </c>
      <c r="S4769">
        <v>0</v>
      </c>
    </row>
    <row r="4770" spans="1:19">
      <c r="A4770" t="s">
        <v>35</v>
      </c>
      <c r="B4770" t="s">
        <v>9042</v>
      </c>
      <c r="C4770">
        <f>"LML"</f>
        <v>0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8</v>
      </c>
      <c r="K4770">
        <v>34.2</v>
      </c>
      <c r="L4770" s="2">
        <v>4</v>
      </c>
      <c r="M4770">
        <v>0</v>
      </c>
      <c r="N4770" s="2">
        <v>0</v>
      </c>
      <c r="O4770">
        <v>-9.6</v>
      </c>
      <c r="P4770" t="s">
        <v>100</v>
      </c>
      <c r="Q4770">
        <v>0</v>
      </c>
      <c r="R4770" t="s">
        <v>145</v>
      </c>
      <c r="S4770">
        <v>0</v>
      </c>
    </row>
    <row r="4771" spans="1:19">
      <c r="A4771" t="s">
        <v>35</v>
      </c>
      <c r="B4771" t="s">
        <v>5453</v>
      </c>
      <c r="C4771">
        <f>"E231M"</f>
        <v>0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8</v>
      </c>
      <c r="K4771">
        <v>18.72</v>
      </c>
      <c r="L4771" s="2">
        <v>2</v>
      </c>
      <c r="M4771">
        <v>0</v>
      </c>
      <c r="N4771" s="2">
        <v>0</v>
      </c>
      <c r="O4771">
        <v>-9.6</v>
      </c>
      <c r="P4771" t="s">
        <v>100</v>
      </c>
      <c r="Q4771">
        <v>0</v>
      </c>
      <c r="R4771" t="s">
        <v>145</v>
      </c>
      <c r="S4771">
        <v>0</v>
      </c>
    </row>
    <row r="4772" spans="1:19">
      <c r="A4772" t="s">
        <v>35</v>
      </c>
      <c r="B4772" t="s">
        <v>8047</v>
      </c>
      <c r="C4772">
        <f>"KLA2S"</f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8</v>
      </c>
      <c r="K4772">
        <v>26.568</v>
      </c>
      <c r="L4772" s="2">
        <v>3</v>
      </c>
      <c r="M4772">
        <v>0</v>
      </c>
      <c r="N4772" s="2">
        <v>0</v>
      </c>
      <c r="O4772">
        <v>-9.6</v>
      </c>
      <c r="P4772" t="s">
        <v>100</v>
      </c>
      <c r="Q4772">
        <v>0</v>
      </c>
      <c r="R4772" t="s">
        <v>145</v>
      </c>
      <c r="S4772">
        <v>0</v>
      </c>
    </row>
    <row r="4773" spans="1:19">
      <c r="A4773" t="s">
        <v>35</v>
      </c>
      <c r="B4773" t="s">
        <v>8090</v>
      </c>
      <c r="C4773">
        <f>"KLA13XS"</f>
        <v>0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8</v>
      </c>
      <c r="K4773">
        <v>25.56</v>
      </c>
      <c r="L4773" s="2">
        <v>3</v>
      </c>
      <c r="M4773">
        <v>0</v>
      </c>
      <c r="N4773" s="2">
        <v>0</v>
      </c>
      <c r="O4773">
        <v>-9.6</v>
      </c>
      <c r="P4773" t="s">
        <v>100</v>
      </c>
      <c r="Q4773">
        <v>0</v>
      </c>
      <c r="R4773" t="s">
        <v>145</v>
      </c>
      <c r="S4773">
        <v>0</v>
      </c>
    </row>
    <row r="4774" spans="1:19">
      <c r="A4774" t="s">
        <v>35</v>
      </c>
      <c r="B4774" t="s">
        <v>7330</v>
      </c>
      <c r="C4774">
        <f>"HH088SR"</f>
        <v>0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8</v>
      </c>
      <c r="K4774">
        <v>81.51000000000001</v>
      </c>
      <c r="L4774" s="2">
        <v>10</v>
      </c>
      <c r="M4774">
        <v>0</v>
      </c>
      <c r="N4774" s="2">
        <v>0</v>
      </c>
      <c r="O4774">
        <v>-9.6</v>
      </c>
      <c r="P4774" t="s">
        <v>100</v>
      </c>
      <c r="Q4774">
        <v>0</v>
      </c>
      <c r="R4774" t="s">
        <v>145</v>
      </c>
      <c r="S4774">
        <v>0</v>
      </c>
    </row>
    <row r="4775" spans="1:19">
      <c r="A4775" t="s">
        <v>35</v>
      </c>
      <c r="B4775" t="s">
        <v>2657</v>
      </c>
      <c r="C4775">
        <f>"8386s"</f>
        <v>0</v>
      </c>
      <c r="D4775">
        <v>0</v>
      </c>
      <c r="E4775">
        <v>1</v>
      </c>
      <c r="F4775">
        <v>0</v>
      </c>
      <c r="G4775">
        <v>0</v>
      </c>
      <c r="H4775">
        <v>1</v>
      </c>
      <c r="I4775">
        <v>0</v>
      </c>
      <c r="J4775">
        <v>8</v>
      </c>
      <c r="K4775">
        <v>62.28</v>
      </c>
      <c r="L4775" s="2">
        <v>8</v>
      </c>
      <c r="M4775">
        <v>0</v>
      </c>
      <c r="N4775" s="2">
        <v>0</v>
      </c>
      <c r="O4775">
        <v>-9.6</v>
      </c>
      <c r="P4775" t="s">
        <v>100</v>
      </c>
      <c r="Q4775">
        <v>0</v>
      </c>
      <c r="R4775" t="s">
        <v>145</v>
      </c>
      <c r="S4775">
        <v>0</v>
      </c>
    </row>
    <row r="4776" spans="1:19">
      <c r="A4776" t="s">
        <v>35</v>
      </c>
      <c r="B4776" t="s">
        <v>4977</v>
      </c>
      <c r="C4776">
        <f>"1881FBXS"</f>
        <v>0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8</v>
      </c>
      <c r="K4776">
        <v>39.6</v>
      </c>
      <c r="L4776" s="2">
        <v>5</v>
      </c>
      <c r="M4776">
        <v>0</v>
      </c>
      <c r="N4776" s="2">
        <v>0</v>
      </c>
      <c r="O4776">
        <v>-9.6</v>
      </c>
      <c r="P4776" t="s">
        <v>100</v>
      </c>
      <c r="Q4776">
        <v>0</v>
      </c>
      <c r="R4776" t="s">
        <v>145</v>
      </c>
      <c r="S4776">
        <v>0</v>
      </c>
    </row>
    <row r="4777" spans="1:19">
      <c r="A4777" t="s">
        <v>35</v>
      </c>
      <c r="B4777" t="s">
        <v>4991</v>
      </c>
      <c r="C4777">
        <f>"1881FBXXS"</f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8</v>
      </c>
      <c r="K4777">
        <v>34.2</v>
      </c>
      <c r="L4777" s="2">
        <v>4</v>
      </c>
      <c r="M4777">
        <v>0</v>
      </c>
      <c r="N4777" s="2">
        <v>0</v>
      </c>
      <c r="O4777">
        <v>-9.6</v>
      </c>
      <c r="P4777" t="s">
        <v>100</v>
      </c>
      <c r="Q4777">
        <v>0</v>
      </c>
      <c r="R4777" t="s">
        <v>145</v>
      </c>
      <c r="S4777">
        <v>0</v>
      </c>
    </row>
    <row r="4778" spans="1:19">
      <c r="A4778" t="s">
        <v>35</v>
      </c>
      <c r="B4778" t="s">
        <v>5036</v>
      </c>
      <c r="C4778">
        <f>"1854CPS"</f>
        <v>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8</v>
      </c>
      <c r="K4778">
        <v>70.2</v>
      </c>
      <c r="L4778" s="2">
        <v>9</v>
      </c>
      <c r="M4778">
        <v>0</v>
      </c>
      <c r="N4778" s="2">
        <v>0</v>
      </c>
      <c r="O4778">
        <v>-9.6</v>
      </c>
      <c r="P4778" t="s">
        <v>100</v>
      </c>
      <c r="Q4778">
        <v>0</v>
      </c>
      <c r="R4778" t="s">
        <v>145</v>
      </c>
      <c r="S4778">
        <v>0</v>
      </c>
    </row>
    <row r="4779" spans="1:19">
      <c r="A4779" t="s">
        <v>35</v>
      </c>
      <c r="B4779" t="s">
        <v>5056</v>
      </c>
      <c r="C4779">
        <f>"1760VPL"</f>
        <v>0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8</v>
      </c>
      <c r="K4779">
        <v>31.86</v>
      </c>
      <c r="L4779" s="2">
        <v>4</v>
      </c>
      <c r="M4779">
        <v>0</v>
      </c>
      <c r="N4779" s="2">
        <v>0</v>
      </c>
      <c r="O4779">
        <v>-9.6</v>
      </c>
      <c r="P4779" t="s">
        <v>100</v>
      </c>
      <c r="Q4779">
        <v>0</v>
      </c>
      <c r="R4779" t="s">
        <v>145</v>
      </c>
      <c r="S4779">
        <v>0</v>
      </c>
    </row>
    <row r="4780" spans="1:19">
      <c r="A4780" t="s">
        <v>35</v>
      </c>
      <c r="B4780" t="s">
        <v>6424</v>
      </c>
      <c r="C4780">
        <f>"SK3011"</f>
        <v>0</v>
      </c>
      <c r="D4780">
        <v>0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8</v>
      </c>
      <c r="K4780">
        <v>32.76</v>
      </c>
      <c r="L4780" s="2">
        <v>4</v>
      </c>
      <c r="M4780">
        <v>0</v>
      </c>
      <c r="N4780" s="2">
        <v>0</v>
      </c>
      <c r="O4780">
        <v>-9.6</v>
      </c>
      <c r="P4780" t="s">
        <v>100</v>
      </c>
      <c r="Q4780">
        <v>0</v>
      </c>
      <c r="R4780" t="s">
        <v>145</v>
      </c>
      <c r="S4780">
        <v>0</v>
      </c>
    </row>
    <row r="4781" spans="1:19">
      <c r="A4781" t="s">
        <v>35</v>
      </c>
      <c r="B4781" t="s">
        <v>8043</v>
      </c>
      <c r="C4781">
        <f>"8025M"</f>
        <v>0</v>
      </c>
      <c r="D4781">
        <v>0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8</v>
      </c>
      <c r="K4781">
        <v>46.8</v>
      </c>
      <c r="L4781" s="2">
        <v>6</v>
      </c>
      <c r="M4781">
        <v>0</v>
      </c>
      <c r="N4781" s="2">
        <v>0</v>
      </c>
      <c r="O4781">
        <v>-9.6</v>
      </c>
      <c r="P4781" t="s">
        <v>100</v>
      </c>
      <c r="Q4781">
        <v>0</v>
      </c>
      <c r="R4781" t="s">
        <v>145</v>
      </c>
      <c r="S4781">
        <v>0</v>
      </c>
    </row>
    <row r="4782" spans="1:19">
      <c r="A4782" t="s">
        <v>35</v>
      </c>
      <c r="B4782" t="s">
        <v>5202</v>
      </c>
      <c r="C4782">
        <f>"1840CXSG"</f>
        <v>0</v>
      </c>
      <c r="D4782">
        <v>0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8</v>
      </c>
      <c r="K4782">
        <v>1.755</v>
      </c>
      <c r="L4782" s="2">
        <v>0</v>
      </c>
      <c r="M4782">
        <v>0</v>
      </c>
      <c r="N4782" s="2">
        <v>0</v>
      </c>
      <c r="O4782">
        <v>-9.6</v>
      </c>
      <c r="P4782" t="s">
        <v>100</v>
      </c>
      <c r="Q4782">
        <v>0</v>
      </c>
      <c r="R4782" t="s">
        <v>145</v>
      </c>
      <c r="S4782">
        <v>0</v>
      </c>
    </row>
    <row r="4783" spans="1:19">
      <c r="A4783" t="s">
        <v>35</v>
      </c>
      <c r="B4783" t="s">
        <v>5199</v>
      </c>
      <c r="C4783">
        <f>"1840CSB"</f>
        <v>0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8</v>
      </c>
      <c r="K4783">
        <v>0</v>
      </c>
      <c r="L4783" s="2">
        <v>0</v>
      </c>
      <c r="M4783">
        <v>0</v>
      </c>
      <c r="N4783" s="2">
        <v>0</v>
      </c>
      <c r="O4783">
        <v>-9.6</v>
      </c>
      <c r="P4783" t="s">
        <v>100</v>
      </c>
      <c r="Q4783">
        <v>0</v>
      </c>
      <c r="R4783" t="s">
        <v>145</v>
      </c>
      <c r="S4783">
        <v>0</v>
      </c>
    </row>
    <row r="4784" spans="1:19">
      <c r="A4784" t="s">
        <v>35</v>
      </c>
      <c r="B4784" t="s">
        <v>5205</v>
      </c>
      <c r="C4784">
        <f>"1840CLG"</f>
        <v>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8</v>
      </c>
      <c r="K4784">
        <v>0</v>
      </c>
      <c r="L4784" s="2">
        <v>0</v>
      </c>
      <c r="M4784">
        <v>0</v>
      </c>
      <c r="N4784" s="2">
        <v>0</v>
      </c>
      <c r="O4784">
        <v>-9.6</v>
      </c>
      <c r="P4784" t="s">
        <v>100</v>
      </c>
      <c r="Q4784">
        <v>0</v>
      </c>
      <c r="R4784" t="s">
        <v>145</v>
      </c>
      <c r="S4784">
        <v>0</v>
      </c>
    </row>
    <row r="4785" spans="1:19">
      <c r="A4785" t="s">
        <v>35</v>
      </c>
      <c r="B4785" t="s">
        <v>5191</v>
      </c>
      <c r="C4785">
        <f>"1840CSR"</f>
        <v>0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8</v>
      </c>
      <c r="K4785">
        <v>0</v>
      </c>
      <c r="L4785" s="2">
        <v>0</v>
      </c>
      <c r="M4785">
        <v>0</v>
      </c>
      <c r="N4785" s="2">
        <v>0</v>
      </c>
      <c r="O4785">
        <v>-9.6</v>
      </c>
      <c r="P4785" t="s">
        <v>100</v>
      </c>
      <c r="Q4785">
        <v>0</v>
      </c>
      <c r="R4785" t="s">
        <v>145</v>
      </c>
      <c r="S4785">
        <v>0</v>
      </c>
    </row>
    <row r="4786" spans="1:19">
      <c r="A4786" t="s">
        <v>35</v>
      </c>
      <c r="B4786" t="s">
        <v>6793</v>
      </c>
      <c r="C4786">
        <f>"HP152SN"</f>
        <v>0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8</v>
      </c>
      <c r="K4786">
        <v>32.328</v>
      </c>
      <c r="L4786" s="2">
        <v>4</v>
      </c>
      <c r="M4786">
        <v>0</v>
      </c>
      <c r="N4786" s="2">
        <v>0</v>
      </c>
      <c r="O4786">
        <v>-9.6</v>
      </c>
      <c r="P4786" t="s">
        <v>100</v>
      </c>
      <c r="Q4786">
        <v>0</v>
      </c>
      <c r="R4786" t="s">
        <v>145</v>
      </c>
      <c r="S4786">
        <v>0</v>
      </c>
    </row>
    <row r="4787" spans="1:19">
      <c r="A4787" t="s">
        <v>35</v>
      </c>
      <c r="B4787" t="s">
        <v>2315</v>
      </c>
      <c r="C4787">
        <f>"HD25S"</f>
        <v>0</v>
      </c>
      <c r="D4787">
        <v>0</v>
      </c>
      <c r="E4787">
        <v>2</v>
      </c>
      <c r="F4787">
        <v>0</v>
      </c>
      <c r="G4787">
        <v>0</v>
      </c>
      <c r="H4787">
        <v>2</v>
      </c>
      <c r="I4787">
        <v>0</v>
      </c>
      <c r="J4787">
        <v>8</v>
      </c>
      <c r="K4787">
        <v>21.24</v>
      </c>
      <c r="L4787" s="2">
        <v>3</v>
      </c>
      <c r="M4787">
        <v>0</v>
      </c>
      <c r="N4787" s="2">
        <v>0</v>
      </c>
      <c r="O4787">
        <v>-9.6</v>
      </c>
      <c r="P4787" t="s">
        <v>100</v>
      </c>
      <c r="Q4787">
        <v>0</v>
      </c>
      <c r="R4787" t="s">
        <v>145</v>
      </c>
      <c r="S4787">
        <v>0</v>
      </c>
    </row>
    <row r="4788" spans="1:19">
      <c r="A4788" t="s">
        <v>35</v>
      </c>
      <c r="B4788" t="s">
        <v>1928</v>
      </c>
      <c r="C4788">
        <f>"DC3105A"</f>
        <v>0</v>
      </c>
      <c r="D4788">
        <v>5</v>
      </c>
      <c r="E4788">
        <v>0</v>
      </c>
      <c r="F4788">
        <v>0</v>
      </c>
      <c r="G4788">
        <v>0</v>
      </c>
      <c r="H4788">
        <v>5</v>
      </c>
      <c r="I4788">
        <v>0</v>
      </c>
      <c r="J4788">
        <v>8</v>
      </c>
      <c r="K4788">
        <v>17.64</v>
      </c>
      <c r="L4788" s="2">
        <v>2</v>
      </c>
      <c r="M4788">
        <v>0</v>
      </c>
      <c r="N4788" s="2">
        <v>0</v>
      </c>
      <c r="O4788">
        <v>-9.6</v>
      </c>
      <c r="P4788" t="s">
        <v>100</v>
      </c>
      <c r="Q4788">
        <v>0</v>
      </c>
      <c r="R4788" t="s">
        <v>145</v>
      </c>
      <c r="S4788">
        <v>0</v>
      </c>
    </row>
    <row r="4789" spans="1:19">
      <c r="A4789" t="s">
        <v>35</v>
      </c>
      <c r="B4789" t="s">
        <v>8297</v>
      </c>
      <c r="C4789">
        <f>"DC3100B"</f>
        <v>0</v>
      </c>
      <c r="D4789">
        <v>0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8</v>
      </c>
      <c r="K4789">
        <v>10.08</v>
      </c>
      <c r="L4789" s="2">
        <v>1</v>
      </c>
      <c r="M4789">
        <v>0</v>
      </c>
      <c r="N4789" s="2">
        <v>0</v>
      </c>
      <c r="O4789">
        <v>-9.6</v>
      </c>
      <c r="P4789" t="s">
        <v>100</v>
      </c>
      <c r="Q4789">
        <v>0</v>
      </c>
      <c r="R4789" t="s">
        <v>145</v>
      </c>
      <c r="S4789">
        <v>0</v>
      </c>
    </row>
    <row r="4790" spans="1:19">
      <c r="A4790" t="s">
        <v>35</v>
      </c>
      <c r="B4790" t="s">
        <v>8153</v>
      </c>
      <c r="C4790">
        <f>"HD25XXL"</f>
        <v>0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8</v>
      </c>
      <c r="K4790">
        <v>32.76</v>
      </c>
      <c r="L4790" s="2">
        <v>4</v>
      </c>
      <c r="M4790">
        <v>0</v>
      </c>
      <c r="N4790" s="2">
        <v>0</v>
      </c>
      <c r="O4790">
        <v>-9.6</v>
      </c>
      <c r="P4790" t="s">
        <v>100</v>
      </c>
      <c r="Q4790">
        <v>0</v>
      </c>
      <c r="R4790" t="s">
        <v>145</v>
      </c>
      <c r="S4790">
        <v>0</v>
      </c>
    </row>
    <row r="4791" spans="1:19">
      <c r="A4791" t="s">
        <v>35</v>
      </c>
      <c r="B4791" t="s">
        <v>6534</v>
      </c>
      <c r="C4791">
        <f>"HH088XXLA"</f>
        <v>0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8</v>
      </c>
      <c r="K4791">
        <v>93.402</v>
      </c>
      <c r="L4791" s="2">
        <v>12</v>
      </c>
      <c r="M4791">
        <v>0</v>
      </c>
      <c r="N4791" s="2">
        <v>0</v>
      </c>
      <c r="O4791">
        <v>-9.6</v>
      </c>
      <c r="P4791" t="s">
        <v>100</v>
      </c>
      <c r="Q4791">
        <v>0</v>
      </c>
      <c r="R4791" t="s">
        <v>145</v>
      </c>
      <c r="S4791">
        <v>0</v>
      </c>
    </row>
    <row r="4792" spans="1:19">
      <c r="A4792" t="s">
        <v>35</v>
      </c>
      <c r="B4792" t="s">
        <v>8141</v>
      </c>
      <c r="C4792">
        <f>"HD23XXXL"</f>
        <v>0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8</v>
      </c>
      <c r="K4792">
        <v>42.12</v>
      </c>
      <c r="L4792" s="2">
        <v>5</v>
      </c>
      <c r="M4792">
        <v>0</v>
      </c>
      <c r="N4792" s="2">
        <v>0</v>
      </c>
      <c r="O4792">
        <v>-9.6</v>
      </c>
      <c r="P4792" t="s">
        <v>100</v>
      </c>
      <c r="Q4792">
        <v>0</v>
      </c>
      <c r="R4792" t="s">
        <v>145</v>
      </c>
      <c r="S4792">
        <v>0</v>
      </c>
    </row>
    <row r="4793" spans="1:19">
      <c r="A4793" t="s">
        <v>35</v>
      </c>
      <c r="B4793" t="s">
        <v>2984</v>
      </c>
      <c r="C4793">
        <f>"ER059"</f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8</v>
      </c>
      <c r="K4793">
        <v>17.28</v>
      </c>
      <c r="L4793" s="2">
        <v>2</v>
      </c>
      <c r="M4793">
        <v>0</v>
      </c>
      <c r="N4793" s="2">
        <v>0</v>
      </c>
      <c r="O4793">
        <v>-9.6</v>
      </c>
      <c r="P4793" t="s">
        <v>100</v>
      </c>
      <c r="Q4793">
        <v>0</v>
      </c>
      <c r="R4793" t="s">
        <v>145</v>
      </c>
      <c r="S4793">
        <v>0</v>
      </c>
    </row>
    <row r="4794" spans="1:19">
      <c r="A4794" t="s">
        <v>35</v>
      </c>
      <c r="B4794" t="s">
        <v>4188</v>
      </c>
      <c r="C4794">
        <f>"CTB1"</f>
        <v>0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8</v>
      </c>
      <c r="K4794">
        <v>6.66</v>
      </c>
      <c r="L4794" s="2">
        <v>1</v>
      </c>
      <c r="M4794">
        <v>0</v>
      </c>
      <c r="N4794" s="2">
        <v>0</v>
      </c>
      <c r="O4794">
        <v>-9.6</v>
      </c>
      <c r="P4794" t="s">
        <v>100</v>
      </c>
      <c r="Q4794">
        <v>0</v>
      </c>
      <c r="R4794" t="s">
        <v>145</v>
      </c>
      <c r="S4794">
        <v>0</v>
      </c>
    </row>
    <row r="4795" spans="1:19">
      <c r="A4795" t="s">
        <v>35</v>
      </c>
      <c r="B4795" t="s">
        <v>3169</v>
      </c>
      <c r="C4795">
        <f>"169C"</f>
        <v>0</v>
      </c>
      <c r="D4795">
        <v>0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8</v>
      </c>
      <c r="K4795">
        <v>6.192</v>
      </c>
      <c r="L4795" s="2">
        <v>1</v>
      </c>
      <c r="M4795">
        <v>0</v>
      </c>
      <c r="N4795" s="2">
        <v>0</v>
      </c>
      <c r="O4795">
        <v>-9.6</v>
      </c>
      <c r="P4795" t="s">
        <v>100</v>
      </c>
      <c r="Q4795">
        <v>0</v>
      </c>
      <c r="R4795" t="s">
        <v>145</v>
      </c>
      <c r="S4795">
        <v>0</v>
      </c>
    </row>
    <row r="4796" spans="1:19">
      <c r="A4796" t="s">
        <v>35</v>
      </c>
      <c r="B4796" t="s">
        <v>5165</v>
      </c>
      <c r="C4796">
        <f>"LV09092TPL"</f>
        <v>0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8</v>
      </c>
      <c r="K4796">
        <v>32.4</v>
      </c>
      <c r="L4796" s="2">
        <v>4</v>
      </c>
      <c r="M4796">
        <v>0</v>
      </c>
      <c r="N4796" s="2">
        <v>0</v>
      </c>
      <c r="O4796">
        <v>-9.6</v>
      </c>
      <c r="P4796" t="s">
        <v>100</v>
      </c>
      <c r="Q4796">
        <v>0</v>
      </c>
      <c r="R4796" t="s">
        <v>145</v>
      </c>
      <c r="S4796">
        <v>0</v>
      </c>
    </row>
    <row r="4797" spans="1:19">
      <c r="A4797" t="s">
        <v>35</v>
      </c>
      <c r="B4797" t="s">
        <v>7470</v>
      </c>
      <c r="C4797">
        <f>"KLA6XL"</f>
        <v>0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8</v>
      </c>
      <c r="K4797">
        <v>32.76</v>
      </c>
      <c r="L4797" s="2">
        <v>4</v>
      </c>
      <c r="M4797">
        <v>0</v>
      </c>
      <c r="N4797" s="2">
        <v>0</v>
      </c>
      <c r="O4797">
        <v>-9.6</v>
      </c>
      <c r="P4797" t="s">
        <v>100</v>
      </c>
      <c r="Q4797">
        <v>0</v>
      </c>
      <c r="R4797" t="s">
        <v>145</v>
      </c>
      <c r="S4797">
        <v>0</v>
      </c>
    </row>
    <row r="4798" spans="1:19">
      <c r="A4798" t="s">
        <v>35</v>
      </c>
      <c r="B4798" t="s">
        <v>7468</v>
      </c>
      <c r="C4798">
        <f>"KLA6XXL"</f>
        <v>0</v>
      </c>
      <c r="D4798">
        <v>0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8</v>
      </c>
      <c r="K4798">
        <v>35.208</v>
      </c>
      <c r="L4798" s="2">
        <v>4</v>
      </c>
      <c r="M4798">
        <v>0</v>
      </c>
      <c r="N4798" s="2">
        <v>0</v>
      </c>
      <c r="O4798">
        <v>-9.6</v>
      </c>
      <c r="P4798" t="s">
        <v>100</v>
      </c>
      <c r="Q4798">
        <v>0</v>
      </c>
      <c r="R4798" t="s">
        <v>145</v>
      </c>
      <c r="S4798">
        <v>0</v>
      </c>
    </row>
    <row r="4799" spans="1:19">
      <c r="A4799" t="s">
        <v>35</v>
      </c>
      <c r="B4799" t="s">
        <v>7469</v>
      </c>
      <c r="C4799">
        <f>"KLA6XS"</f>
        <v>0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8</v>
      </c>
      <c r="K4799">
        <v>26.568</v>
      </c>
      <c r="L4799" s="2">
        <v>3</v>
      </c>
      <c r="M4799">
        <v>0</v>
      </c>
      <c r="N4799" s="2">
        <v>0</v>
      </c>
      <c r="O4799">
        <v>-9.6</v>
      </c>
      <c r="P4799" t="s">
        <v>100</v>
      </c>
      <c r="Q4799">
        <v>0</v>
      </c>
      <c r="R4799" t="s">
        <v>145</v>
      </c>
      <c r="S4799">
        <v>0</v>
      </c>
    </row>
    <row r="4800" spans="1:19">
      <c r="A4800" t="s">
        <v>35</v>
      </c>
      <c r="B4800" t="s">
        <v>3033</v>
      </c>
      <c r="C4800">
        <f>"B1916SG"</f>
        <v>0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8</v>
      </c>
      <c r="K4800">
        <v>64.08</v>
      </c>
      <c r="L4800" s="2">
        <v>8</v>
      </c>
      <c r="M4800">
        <v>0</v>
      </c>
      <c r="N4800" s="2">
        <v>0</v>
      </c>
      <c r="O4800">
        <v>-9.6</v>
      </c>
      <c r="P4800" t="s">
        <v>100</v>
      </c>
      <c r="Q4800">
        <v>0</v>
      </c>
      <c r="R4800" t="s">
        <v>145</v>
      </c>
      <c r="S4800">
        <v>0</v>
      </c>
    </row>
    <row r="4801" spans="1:19">
      <c r="A4801" t="s">
        <v>35</v>
      </c>
      <c r="B4801" t="s">
        <v>6521</v>
      </c>
      <c r="C4801">
        <f>"19488"</f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0</v>
      </c>
      <c r="J4801">
        <v>8</v>
      </c>
      <c r="K4801">
        <v>46.44</v>
      </c>
      <c r="L4801" s="2">
        <v>6</v>
      </c>
      <c r="M4801">
        <v>0</v>
      </c>
      <c r="N4801" s="2">
        <v>0</v>
      </c>
      <c r="O4801">
        <v>-9.6</v>
      </c>
      <c r="P4801" t="s">
        <v>100</v>
      </c>
      <c r="Q4801">
        <v>0</v>
      </c>
      <c r="R4801" t="s">
        <v>145</v>
      </c>
      <c r="S4801">
        <v>0</v>
      </c>
    </row>
    <row r="4802" spans="1:19">
      <c r="A4802" t="s">
        <v>35</v>
      </c>
      <c r="B4802" t="s">
        <v>2404</v>
      </c>
      <c r="C4802">
        <f>"SLL10310L"</f>
        <v>0</v>
      </c>
      <c r="D4802">
        <v>1</v>
      </c>
      <c r="E4802">
        <v>0</v>
      </c>
      <c r="F4802">
        <v>0</v>
      </c>
      <c r="G4802">
        <v>0</v>
      </c>
      <c r="H4802">
        <v>1</v>
      </c>
      <c r="I4802">
        <v>0</v>
      </c>
      <c r="J4802">
        <v>8</v>
      </c>
      <c r="K4802">
        <v>20.405</v>
      </c>
      <c r="L4802" s="2">
        <v>3</v>
      </c>
      <c r="M4802">
        <v>0</v>
      </c>
      <c r="N4802" s="2">
        <v>0</v>
      </c>
      <c r="O4802">
        <v>-9.6</v>
      </c>
      <c r="P4802" t="s">
        <v>100</v>
      </c>
      <c r="Q4802">
        <v>0</v>
      </c>
      <c r="R4802" t="s">
        <v>145</v>
      </c>
      <c r="S4802">
        <v>0</v>
      </c>
    </row>
    <row r="4803" spans="1:19">
      <c r="A4803" t="s">
        <v>35</v>
      </c>
      <c r="B4803" t="s">
        <v>9921</v>
      </c>
      <c r="C4803">
        <f>"HP112XS"</f>
        <v>0</v>
      </c>
      <c r="D4803">
        <v>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8</v>
      </c>
      <c r="K4803">
        <v>30.6</v>
      </c>
      <c r="L4803" s="2">
        <v>4</v>
      </c>
      <c r="M4803">
        <v>0</v>
      </c>
      <c r="N4803" s="2">
        <v>0</v>
      </c>
      <c r="O4803">
        <v>-9.6</v>
      </c>
      <c r="P4803" t="s">
        <v>100</v>
      </c>
      <c r="Q4803">
        <v>0</v>
      </c>
      <c r="R4803" t="s">
        <v>145</v>
      </c>
      <c r="S4803">
        <v>0</v>
      </c>
    </row>
    <row r="4804" spans="1:19">
      <c r="A4804" t="s">
        <v>35</v>
      </c>
      <c r="B4804" t="s">
        <v>4926</v>
      </c>
      <c r="C4804">
        <f>"WIN51NAR"</f>
        <v>0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8</v>
      </c>
      <c r="K4804">
        <v>11.16</v>
      </c>
      <c r="L4804" s="2">
        <v>1</v>
      </c>
      <c r="M4804">
        <v>0</v>
      </c>
      <c r="N4804" s="2">
        <v>0</v>
      </c>
      <c r="O4804">
        <v>-9.6</v>
      </c>
      <c r="P4804" t="s">
        <v>100</v>
      </c>
      <c r="Q4804">
        <v>0</v>
      </c>
      <c r="R4804" t="s">
        <v>145</v>
      </c>
      <c r="S4804">
        <v>0</v>
      </c>
    </row>
    <row r="4805" spans="1:19">
      <c r="A4805" t="s">
        <v>35</v>
      </c>
      <c r="B4805" t="s">
        <v>9200</v>
      </c>
      <c r="C4805">
        <f>"TC0093V"</f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8</v>
      </c>
      <c r="K4805">
        <v>7.605</v>
      </c>
      <c r="L4805" s="2">
        <v>1</v>
      </c>
      <c r="M4805">
        <v>0</v>
      </c>
      <c r="N4805" s="2">
        <v>0</v>
      </c>
      <c r="O4805">
        <v>-9.6</v>
      </c>
      <c r="P4805" t="s">
        <v>100</v>
      </c>
      <c r="Q4805">
        <v>0</v>
      </c>
      <c r="R4805" t="s">
        <v>145</v>
      </c>
      <c r="S4805">
        <v>0</v>
      </c>
    </row>
    <row r="4806" spans="1:19">
      <c r="A4806" t="s">
        <v>35</v>
      </c>
      <c r="B4806" t="s">
        <v>6619</v>
      </c>
      <c r="C4806">
        <f>"JWZ1047S"</f>
        <v>0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8</v>
      </c>
      <c r="K4806">
        <v>5.688</v>
      </c>
      <c r="L4806" s="2">
        <v>1</v>
      </c>
      <c r="M4806">
        <v>0</v>
      </c>
      <c r="N4806" s="2">
        <v>0</v>
      </c>
      <c r="O4806">
        <v>-9.6</v>
      </c>
      <c r="P4806" t="s">
        <v>100</v>
      </c>
      <c r="Q4806">
        <v>0</v>
      </c>
      <c r="R4806" t="s">
        <v>145</v>
      </c>
      <c r="S4806">
        <v>0</v>
      </c>
    </row>
    <row r="4807" spans="1:19">
      <c r="A4807" t="s">
        <v>35</v>
      </c>
      <c r="B4807" t="s">
        <v>6666</v>
      </c>
      <c r="C4807">
        <f>"BBT01MM"</f>
        <v>0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8</v>
      </c>
      <c r="K4807">
        <v>32.49</v>
      </c>
      <c r="L4807" s="2">
        <v>4</v>
      </c>
      <c r="M4807">
        <v>0</v>
      </c>
      <c r="N4807" s="2">
        <v>0</v>
      </c>
      <c r="O4807">
        <v>-9.6</v>
      </c>
      <c r="P4807" t="s">
        <v>100</v>
      </c>
      <c r="Q4807">
        <v>0</v>
      </c>
      <c r="R4807" t="s">
        <v>145</v>
      </c>
      <c r="S4807">
        <v>0</v>
      </c>
    </row>
    <row r="4808" spans="1:19">
      <c r="A4808" t="s">
        <v>35</v>
      </c>
      <c r="B4808" t="s">
        <v>2598</v>
      </c>
      <c r="C4808">
        <f>"D311S"</f>
        <v>0</v>
      </c>
      <c r="D4808">
        <v>1</v>
      </c>
      <c r="E4808">
        <v>0</v>
      </c>
      <c r="F4808">
        <v>0</v>
      </c>
      <c r="G4808">
        <v>0</v>
      </c>
      <c r="H4808">
        <v>1</v>
      </c>
      <c r="I4808">
        <v>0</v>
      </c>
      <c r="J4808">
        <v>8</v>
      </c>
      <c r="K4808">
        <v>7.56</v>
      </c>
      <c r="L4808" s="2">
        <v>1</v>
      </c>
      <c r="M4808">
        <v>0</v>
      </c>
      <c r="N4808" s="2">
        <v>0</v>
      </c>
      <c r="O4808">
        <v>-9.6</v>
      </c>
      <c r="P4808" t="s">
        <v>100</v>
      </c>
      <c r="Q4808">
        <v>0</v>
      </c>
      <c r="R4808" t="s">
        <v>145</v>
      </c>
      <c r="S4808">
        <v>0</v>
      </c>
    </row>
    <row r="4809" spans="1:19">
      <c r="A4809" t="s">
        <v>35</v>
      </c>
      <c r="B4809" t="s">
        <v>6996</v>
      </c>
      <c r="C4809">
        <f>"HH088XSBN"</f>
        <v>0</v>
      </c>
      <c r="D4809">
        <v>0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8</v>
      </c>
      <c r="K4809">
        <v>56.88</v>
      </c>
      <c r="L4809" s="2">
        <v>7</v>
      </c>
      <c r="M4809">
        <v>0</v>
      </c>
      <c r="N4809" s="2">
        <v>0</v>
      </c>
      <c r="O4809">
        <v>-9.6</v>
      </c>
      <c r="P4809" t="s">
        <v>100</v>
      </c>
      <c r="Q4809">
        <v>0</v>
      </c>
      <c r="R4809" t="s">
        <v>145</v>
      </c>
      <c r="S4809">
        <v>0</v>
      </c>
    </row>
    <row r="4810" spans="1:19">
      <c r="A4810" t="s">
        <v>35</v>
      </c>
      <c r="B4810" t="s">
        <v>4907</v>
      </c>
      <c r="C4810">
        <f>"KX5047"</f>
        <v>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8</v>
      </c>
      <c r="K4810">
        <v>10.8</v>
      </c>
      <c r="L4810" s="2">
        <v>1</v>
      </c>
      <c r="M4810">
        <v>0</v>
      </c>
      <c r="N4810" s="2">
        <v>0</v>
      </c>
      <c r="O4810">
        <v>-9.6</v>
      </c>
      <c r="P4810" t="s">
        <v>100</v>
      </c>
      <c r="Q4810">
        <v>0</v>
      </c>
      <c r="R4810" t="s">
        <v>145</v>
      </c>
      <c r="S4810">
        <v>0</v>
      </c>
    </row>
    <row r="4811" spans="1:19">
      <c r="A4811" t="s">
        <v>35</v>
      </c>
      <c r="B4811" t="s">
        <v>2954</v>
      </c>
      <c r="C4811">
        <f>"B192202XLM"</f>
        <v>0</v>
      </c>
      <c r="D4811">
        <v>0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8</v>
      </c>
      <c r="K4811">
        <v>85.68000000000001</v>
      </c>
      <c r="L4811" s="2">
        <v>11</v>
      </c>
      <c r="M4811">
        <v>0</v>
      </c>
      <c r="N4811" s="2">
        <v>0</v>
      </c>
      <c r="O4811">
        <v>-9.6</v>
      </c>
      <c r="P4811" t="s">
        <v>100</v>
      </c>
      <c r="Q4811">
        <v>0</v>
      </c>
      <c r="R4811" t="s">
        <v>145</v>
      </c>
      <c r="S4811">
        <v>0</v>
      </c>
    </row>
    <row r="4812" spans="1:19">
      <c r="A4812" t="s">
        <v>35</v>
      </c>
      <c r="B4812" t="s">
        <v>7414</v>
      </c>
      <c r="C4812">
        <f>"LYC040542"</f>
        <v>0</v>
      </c>
      <c r="D4812">
        <v>0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8</v>
      </c>
      <c r="K4812">
        <v>103.68</v>
      </c>
      <c r="L4812" s="2">
        <v>13</v>
      </c>
      <c r="M4812">
        <v>0</v>
      </c>
      <c r="N4812" s="2">
        <v>0</v>
      </c>
      <c r="O4812">
        <v>-9.6</v>
      </c>
      <c r="P4812" t="s">
        <v>100</v>
      </c>
      <c r="Q4812">
        <v>0</v>
      </c>
      <c r="R4812" t="s">
        <v>145</v>
      </c>
      <c r="S4812">
        <v>0</v>
      </c>
    </row>
    <row r="4813" spans="1:19">
      <c r="A4813" t="s">
        <v>35</v>
      </c>
      <c r="B4813" t="s">
        <v>4579</v>
      </c>
      <c r="C4813">
        <f>"LC100MM"</f>
        <v>0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8</v>
      </c>
      <c r="K4813">
        <v>35.28</v>
      </c>
      <c r="L4813" s="2">
        <v>4</v>
      </c>
      <c r="M4813">
        <v>0</v>
      </c>
      <c r="N4813" s="2">
        <v>0</v>
      </c>
      <c r="O4813">
        <v>-9.6</v>
      </c>
      <c r="P4813" t="s">
        <v>100</v>
      </c>
      <c r="Q4813">
        <v>0</v>
      </c>
      <c r="R4813" t="s">
        <v>145</v>
      </c>
      <c r="S4813">
        <v>0</v>
      </c>
    </row>
    <row r="4814" spans="1:19">
      <c r="A4814" t="s">
        <v>35</v>
      </c>
      <c r="B4814" t="s">
        <v>4582</v>
      </c>
      <c r="C4814">
        <f>"LC100LM"</f>
        <v>0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8</v>
      </c>
      <c r="K4814">
        <v>39.6</v>
      </c>
      <c r="L4814" s="2">
        <v>5</v>
      </c>
      <c r="M4814">
        <v>0</v>
      </c>
      <c r="N4814" s="2">
        <v>0</v>
      </c>
      <c r="O4814">
        <v>-9.6</v>
      </c>
      <c r="P4814" t="s">
        <v>100</v>
      </c>
      <c r="Q4814">
        <v>0</v>
      </c>
      <c r="R4814" t="s">
        <v>145</v>
      </c>
      <c r="S4814">
        <v>0</v>
      </c>
    </row>
    <row r="4815" spans="1:19">
      <c r="A4815" t="s">
        <v>35</v>
      </c>
      <c r="B4815" t="s">
        <v>6830</v>
      </c>
      <c r="C4815">
        <f>"C005M"</f>
        <v>0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8</v>
      </c>
      <c r="K4815">
        <v>12.24</v>
      </c>
      <c r="L4815" s="2">
        <v>2</v>
      </c>
      <c r="M4815">
        <v>0</v>
      </c>
      <c r="N4815" s="2">
        <v>0</v>
      </c>
      <c r="O4815">
        <v>-9.6</v>
      </c>
      <c r="P4815" t="s">
        <v>100</v>
      </c>
      <c r="Q4815">
        <v>0</v>
      </c>
      <c r="R4815" t="s">
        <v>145</v>
      </c>
      <c r="S4815">
        <v>0</v>
      </c>
    </row>
    <row r="4816" spans="1:19">
      <c r="A4816" t="s">
        <v>35</v>
      </c>
      <c r="B4816" t="s">
        <v>9750</v>
      </c>
      <c r="C4816">
        <f>"EK3004RO"</f>
        <v>0</v>
      </c>
      <c r="D4816">
        <v>0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8</v>
      </c>
      <c r="K4816">
        <v>13.568</v>
      </c>
      <c r="L4816" s="2">
        <v>2</v>
      </c>
      <c r="M4816">
        <v>0</v>
      </c>
      <c r="N4816" s="2">
        <v>0</v>
      </c>
      <c r="O4816">
        <v>-9.6</v>
      </c>
      <c r="P4816" t="s">
        <v>100</v>
      </c>
      <c r="Q4816">
        <v>0</v>
      </c>
      <c r="R4816" t="s">
        <v>145</v>
      </c>
      <c r="S4816">
        <v>0</v>
      </c>
    </row>
    <row r="4817" spans="1:19">
      <c r="A4817" t="s">
        <v>35</v>
      </c>
      <c r="B4817" t="s">
        <v>6868</v>
      </c>
      <c r="C4817">
        <f>"jw0121V"</f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8</v>
      </c>
      <c r="K4817">
        <v>6.12</v>
      </c>
      <c r="L4817" s="2">
        <v>1</v>
      </c>
      <c r="M4817">
        <v>0</v>
      </c>
      <c r="N4817" s="2">
        <v>0</v>
      </c>
      <c r="O4817">
        <v>-9.6</v>
      </c>
      <c r="P4817" t="s">
        <v>100</v>
      </c>
      <c r="Q4817">
        <v>0</v>
      </c>
      <c r="R4817" t="s">
        <v>145</v>
      </c>
      <c r="S4817">
        <v>0</v>
      </c>
    </row>
    <row r="4818" spans="1:19">
      <c r="A4818" t="s">
        <v>35</v>
      </c>
      <c r="B4818" t="s">
        <v>6857</v>
      </c>
      <c r="C4818">
        <f>"HXC24"</f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8</v>
      </c>
      <c r="K4818">
        <v>20.16</v>
      </c>
      <c r="L4818" s="2">
        <v>3</v>
      </c>
      <c r="M4818">
        <v>0</v>
      </c>
      <c r="N4818" s="2">
        <v>0</v>
      </c>
      <c r="O4818">
        <v>-9.6</v>
      </c>
      <c r="P4818" t="s">
        <v>100</v>
      </c>
      <c r="Q4818">
        <v>0</v>
      </c>
      <c r="R4818" t="s">
        <v>145</v>
      </c>
      <c r="S4818">
        <v>0</v>
      </c>
    </row>
    <row r="4819" spans="1:19">
      <c r="A4819" t="s">
        <v>35</v>
      </c>
      <c r="B4819" t="s">
        <v>4485</v>
      </c>
      <c r="C4819">
        <f>"PD10023L"</f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8</v>
      </c>
      <c r="K4819">
        <v>51.84</v>
      </c>
      <c r="L4819" s="2">
        <v>6</v>
      </c>
      <c r="M4819">
        <v>0</v>
      </c>
      <c r="N4819" s="2">
        <v>0</v>
      </c>
      <c r="O4819">
        <v>-9.6</v>
      </c>
      <c r="P4819" t="s">
        <v>100</v>
      </c>
      <c r="Q4819">
        <v>0</v>
      </c>
      <c r="R4819" t="s">
        <v>145</v>
      </c>
      <c r="S4819">
        <v>0</v>
      </c>
    </row>
    <row r="4820" spans="1:19">
      <c r="A4820" t="s">
        <v>35</v>
      </c>
      <c r="B4820" t="s">
        <v>10008</v>
      </c>
      <c r="C4820">
        <f>"HP112XL"</f>
        <v>0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8</v>
      </c>
      <c r="K4820">
        <v>39.24</v>
      </c>
      <c r="L4820" s="2">
        <v>5</v>
      </c>
      <c r="M4820">
        <v>0</v>
      </c>
      <c r="N4820" s="2">
        <v>0</v>
      </c>
      <c r="O4820">
        <v>-9.6</v>
      </c>
      <c r="P4820" t="s">
        <v>100</v>
      </c>
      <c r="Q4820">
        <v>0</v>
      </c>
      <c r="R4820" t="s">
        <v>145</v>
      </c>
      <c r="S4820">
        <v>0</v>
      </c>
    </row>
    <row r="4821" spans="1:19">
      <c r="A4821" t="s">
        <v>35</v>
      </c>
      <c r="B4821" t="s">
        <v>6785</v>
      </c>
      <c r="C4821">
        <f>"KSJL"</f>
        <v>0</v>
      </c>
      <c r="D4821">
        <v>0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8</v>
      </c>
      <c r="K4821">
        <v>12.168</v>
      </c>
      <c r="L4821" s="2">
        <v>2</v>
      </c>
      <c r="M4821">
        <v>0</v>
      </c>
      <c r="N4821" s="2">
        <v>0</v>
      </c>
      <c r="O4821">
        <v>-9.6</v>
      </c>
      <c r="P4821" t="s">
        <v>100</v>
      </c>
      <c r="Q4821">
        <v>0</v>
      </c>
      <c r="R4821" t="s">
        <v>145</v>
      </c>
      <c r="S4821">
        <v>0</v>
      </c>
    </row>
    <row r="4822" spans="1:19">
      <c r="A4822" t="s">
        <v>35</v>
      </c>
      <c r="B4822" t="s">
        <v>6690</v>
      </c>
      <c r="C4822">
        <f>"CL359L"</f>
        <v>0</v>
      </c>
      <c r="D4822">
        <v>0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8</v>
      </c>
      <c r="K4822">
        <v>37.44</v>
      </c>
      <c r="L4822" s="2">
        <v>5</v>
      </c>
      <c r="M4822">
        <v>0</v>
      </c>
      <c r="N4822" s="2">
        <v>0</v>
      </c>
      <c r="O4822">
        <v>-9.6</v>
      </c>
      <c r="P4822" t="s">
        <v>100</v>
      </c>
      <c r="Q4822">
        <v>0</v>
      </c>
      <c r="R4822" t="s">
        <v>145</v>
      </c>
      <c r="S4822">
        <v>0</v>
      </c>
    </row>
    <row r="4823" spans="1:19">
      <c r="A4823" t="s">
        <v>35</v>
      </c>
      <c r="B4823" t="s">
        <v>7396</v>
      </c>
      <c r="C4823">
        <f>"YXU1L"</f>
        <v>0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8</v>
      </c>
      <c r="K4823">
        <v>47.88</v>
      </c>
      <c r="L4823" s="2">
        <v>6</v>
      </c>
      <c r="M4823">
        <v>0</v>
      </c>
      <c r="N4823" s="2">
        <v>0</v>
      </c>
      <c r="O4823">
        <v>-9.6</v>
      </c>
      <c r="P4823" t="s">
        <v>100</v>
      </c>
      <c r="Q4823">
        <v>0</v>
      </c>
      <c r="R4823" t="s">
        <v>145</v>
      </c>
      <c r="S4823">
        <v>0</v>
      </c>
    </row>
    <row r="4824" spans="1:19">
      <c r="A4824" t="s">
        <v>35</v>
      </c>
      <c r="B4824" t="s">
        <v>7529</v>
      </c>
      <c r="C4824">
        <f>"YXCXS"</f>
        <v>0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8</v>
      </c>
      <c r="K4824">
        <v>24.84</v>
      </c>
      <c r="L4824" s="2">
        <v>3</v>
      </c>
      <c r="M4824">
        <v>0</v>
      </c>
      <c r="N4824" s="2">
        <v>0</v>
      </c>
      <c r="O4824">
        <v>-9.6</v>
      </c>
      <c r="P4824" t="s">
        <v>100</v>
      </c>
      <c r="Q4824">
        <v>0</v>
      </c>
      <c r="R4824" t="s">
        <v>145</v>
      </c>
      <c r="S4824">
        <v>0</v>
      </c>
    </row>
    <row r="4825" spans="1:19">
      <c r="A4825" t="s">
        <v>35</v>
      </c>
      <c r="B4825" t="s">
        <v>5184</v>
      </c>
      <c r="C4825">
        <f>"1840LSG"</f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8</v>
      </c>
      <c r="K4825">
        <v>0</v>
      </c>
      <c r="L4825" s="2">
        <v>0</v>
      </c>
      <c r="M4825">
        <v>0</v>
      </c>
      <c r="N4825" s="2">
        <v>0</v>
      </c>
      <c r="O4825">
        <v>-9.6</v>
      </c>
      <c r="P4825" t="s">
        <v>100</v>
      </c>
      <c r="Q4825">
        <v>0</v>
      </c>
      <c r="R4825" t="s">
        <v>145</v>
      </c>
      <c r="S4825">
        <v>0</v>
      </c>
    </row>
    <row r="4826" spans="1:19">
      <c r="A4826" t="s">
        <v>35</v>
      </c>
      <c r="B4826" t="s">
        <v>7933</v>
      </c>
      <c r="C4826">
        <f>"AX003S"</f>
        <v>0</v>
      </c>
      <c r="D4826">
        <v>0</v>
      </c>
      <c r="E4826">
        <v>0</v>
      </c>
      <c r="F4826">
        <v>0</v>
      </c>
      <c r="G4826">
        <v>0</v>
      </c>
      <c r="H4826">
        <v>0</v>
      </c>
      <c r="I4826">
        <v>0</v>
      </c>
      <c r="J4826">
        <v>8</v>
      </c>
      <c r="K4826">
        <v>40.32</v>
      </c>
      <c r="L4826" s="2">
        <v>5</v>
      </c>
      <c r="M4826">
        <v>0</v>
      </c>
      <c r="N4826" s="2">
        <v>0</v>
      </c>
      <c r="O4826">
        <v>-9.6</v>
      </c>
      <c r="P4826" t="s">
        <v>100</v>
      </c>
      <c r="Q4826">
        <v>0</v>
      </c>
      <c r="R4826" t="s">
        <v>145</v>
      </c>
      <c r="S4826">
        <v>0</v>
      </c>
    </row>
    <row r="4827" spans="1:19">
      <c r="A4827" t="s">
        <v>35</v>
      </c>
      <c r="B4827" t="s">
        <v>10200</v>
      </c>
      <c r="C4827">
        <f>"LY001MTB"</f>
        <v>0</v>
      </c>
      <c r="D4827">
        <v>0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8</v>
      </c>
      <c r="K4827">
        <v>21.528</v>
      </c>
      <c r="L4827" s="2">
        <v>3</v>
      </c>
      <c r="M4827">
        <v>0</v>
      </c>
      <c r="N4827" s="2">
        <v>0</v>
      </c>
      <c r="O4827">
        <v>-9.6</v>
      </c>
      <c r="P4827" t="s">
        <v>100</v>
      </c>
      <c r="Q4827">
        <v>0</v>
      </c>
      <c r="R4827" t="s">
        <v>145</v>
      </c>
      <c r="S4827">
        <v>0</v>
      </c>
    </row>
    <row r="4828" spans="1:19">
      <c r="A4828" t="s">
        <v>35</v>
      </c>
      <c r="B4828" t="s">
        <v>2217</v>
      </c>
      <c r="C4828">
        <f>"C406"</f>
        <v>0</v>
      </c>
      <c r="D4828">
        <v>0</v>
      </c>
      <c r="E4828">
        <v>1</v>
      </c>
      <c r="F4828">
        <v>1</v>
      </c>
      <c r="G4828">
        <v>0</v>
      </c>
      <c r="H4828">
        <v>2</v>
      </c>
      <c r="I4828">
        <v>0.5</v>
      </c>
      <c r="J4828">
        <v>9</v>
      </c>
      <c r="K4828">
        <v>66.23999999999999</v>
      </c>
      <c r="L4828" s="2">
        <v>7</v>
      </c>
      <c r="M4828">
        <v>0</v>
      </c>
      <c r="N4828" s="2">
        <v>0</v>
      </c>
      <c r="O4828">
        <v>-10.3</v>
      </c>
      <c r="P4828" t="s">
        <v>100</v>
      </c>
      <c r="Q4828">
        <v>0</v>
      </c>
      <c r="R4828" t="s">
        <v>145</v>
      </c>
      <c r="S4828">
        <v>0</v>
      </c>
    </row>
    <row r="4829" spans="1:19">
      <c r="A4829" t="s">
        <v>35</v>
      </c>
      <c r="B4829" t="s">
        <v>2245</v>
      </c>
      <c r="C4829">
        <f>"CK1027"</f>
        <v>0</v>
      </c>
      <c r="D4829">
        <v>1</v>
      </c>
      <c r="E4829">
        <v>0</v>
      </c>
      <c r="F4829">
        <v>1</v>
      </c>
      <c r="G4829">
        <v>0</v>
      </c>
      <c r="H4829">
        <v>2</v>
      </c>
      <c r="I4829">
        <v>0.5</v>
      </c>
      <c r="J4829">
        <v>9</v>
      </c>
      <c r="K4829">
        <v>7.695</v>
      </c>
      <c r="L4829" s="2">
        <v>1</v>
      </c>
      <c r="M4829">
        <v>0</v>
      </c>
      <c r="N4829" s="2">
        <v>0</v>
      </c>
      <c r="O4829">
        <v>-10.3</v>
      </c>
      <c r="P4829" t="s">
        <v>100</v>
      </c>
      <c r="Q4829">
        <v>0</v>
      </c>
      <c r="R4829" t="s">
        <v>145</v>
      </c>
      <c r="S4829">
        <v>0</v>
      </c>
    </row>
    <row r="4830" spans="1:19">
      <c r="A4830" t="s">
        <v>35</v>
      </c>
      <c r="B4830" t="s">
        <v>1833</v>
      </c>
      <c r="C4830">
        <f>"19481"</f>
        <v>0</v>
      </c>
      <c r="D4830">
        <v>7</v>
      </c>
      <c r="E4830">
        <v>0</v>
      </c>
      <c r="F4830">
        <v>1</v>
      </c>
      <c r="G4830">
        <v>0</v>
      </c>
      <c r="H4830">
        <v>8</v>
      </c>
      <c r="I4830">
        <v>0.5</v>
      </c>
      <c r="J4830">
        <v>9</v>
      </c>
      <c r="K4830">
        <v>3.969</v>
      </c>
      <c r="L4830" s="2">
        <v>0</v>
      </c>
      <c r="M4830">
        <v>0</v>
      </c>
      <c r="N4830" s="2">
        <v>0</v>
      </c>
      <c r="O4830">
        <v>-10.3</v>
      </c>
      <c r="P4830" t="s">
        <v>100</v>
      </c>
      <c r="Q4830">
        <v>0</v>
      </c>
      <c r="R4830" t="s">
        <v>145</v>
      </c>
      <c r="S4830">
        <v>0</v>
      </c>
    </row>
    <row r="4831" spans="1:19">
      <c r="A4831" t="s">
        <v>35</v>
      </c>
      <c r="B4831" t="s">
        <v>1983</v>
      </c>
      <c r="C4831">
        <f>"LWT0110"</f>
        <v>0</v>
      </c>
      <c r="D4831">
        <v>3</v>
      </c>
      <c r="E4831">
        <v>0</v>
      </c>
      <c r="F4831">
        <v>1</v>
      </c>
      <c r="G4831">
        <v>0</v>
      </c>
      <c r="H4831">
        <v>4</v>
      </c>
      <c r="I4831">
        <v>0.5</v>
      </c>
      <c r="J4831">
        <v>9</v>
      </c>
      <c r="K4831">
        <v>14.256</v>
      </c>
      <c r="L4831" s="2">
        <v>2</v>
      </c>
      <c r="M4831">
        <v>0</v>
      </c>
      <c r="N4831" s="2">
        <v>0</v>
      </c>
      <c r="O4831">
        <v>-10.3</v>
      </c>
      <c r="P4831" t="s">
        <v>100</v>
      </c>
      <c r="Q4831">
        <v>0</v>
      </c>
      <c r="R4831" t="s">
        <v>145</v>
      </c>
      <c r="S4831">
        <v>0</v>
      </c>
    </row>
    <row r="4832" spans="1:19">
      <c r="A4832" t="s">
        <v>35</v>
      </c>
      <c r="B4832" t="s">
        <v>1781</v>
      </c>
      <c r="C4832">
        <f>"WD926929"</f>
        <v>0</v>
      </c>
      <c r="D4832">
        <v>0</v>
      </c>
      <c r="E4832">
        <v>0</v>
      </c>
      <c r="F4832">
        <v>0</v>
      </c>
      <c r="G4832">
        <v>1</v>
      </c>
      <c r="H4832">
        <v>1</v>
      </c>
      <c r="I4832">
        <v>0</v>
      </c>
      <c r="J4832">
        <v>13</v>
      </c>
      <c r="K4832">
        <v>25.96</v>
      </c>
      <c r="L4832" s="2">
        <v>2</v>
      </c>
      <c r="M4832">
        <v>0</v>
      </c>
      <c r="N4832" s="2">
        <v>0</v>
      </c>
      <c r="O4832">
        <v>-10.6</v>
      </c>
      <c r="P4832" t="s">
        <v>11079</v>
      </c>
      <c r="Q4832">
        <v>39</v>
      </c>
      <c r="R4832" t="s">
        <v>11202</v>
      </c>
      <c r="S4832">
        <v>1</v>
      </c>
    </row>
    <row r="4833" spans="1:19">
      <c r="A4833" t="s">
        <v>35</v>
      </c>
      <c r="B4833" t="s">
        <v>4396</v>
      </c>
      <c r="C4833">
        <f>"C614AZ"</f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0</v>
      </c>
      <c r="J4833">
        <v>9</v>
      </c>
      <c r="K4833">
        <v>0</v>
      </c>
      <c r="L4833" s="2">
        <v>0</v>
      </c>
      <c r="M4833">
        <v>0</v>
      </c>
      <c r="N4833" s="2">
        <v>0</v>
      </c>
      <c r="O4833">
        <v>-10.8</v>
      </c>
      <c r="P4833" t="s">
        <v>100</v>
      </c>
      <c r="Q4833">
        <v>0</v>
      </c>
      <c r="R4833" t="s">
        <v>145</v>
      </c>
      <c r="S4833">
        <v>0</v>
      </c>
    </row>
    <row r="4834" spans="1:19">
      <c r="A4834" t="s">
        <v>35</v>
      </c>
      <c r="B4834" t="s">
        <v>5848</v>
      </c>
      <c r="C4834">
        <f>"XDB433BE"</f>
        <v>0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9</v>
      </c>
      <c r="K4834">
        <v>169.29</v>
      </c>
      <c r="L4834" s="2">
        <v>19</v>
      </c>
      <c r="M4834">
        <v>0</v>
      </c>
      <c r="N4834" s="2">
        <v>0</v>
      </c>
      <c r="O4834">
        <v>-10.8</v>
      </c>
      <c r="P4834" t="s">
        <v>100</v>
      </c>
      <c r="Q4834">
        <v>0</v>
      </c>
      <c r="R4834" t="s">
        <v>145</v>
      </c>
      <c r="S4834">
        <v>0</v>
      </c>
    </row>
    <row r="4835" spans="1:19">
      <c r="A4835" t="s">
        <v>35</v>
      </c>
      <c r="B4835" t="s">
        <v>2568</v>
      </c>
      <c r="C4835">
        <f>"FURMCPG"</f>
        <v>0</v>
      </c>
      <c r="D4835">
        <v>0</v>
      </c>
      <c r="E4835">
        <v>0</v>
      </c>
      <c r="F4835">
        <v>1</v>
      </c>
      <c r="G4835">
        <v>0</v>
      </c>
      <c r="H4835">
        <v>1</v>
      </c>
      <c r="I4835">
        <v>0</v>
      </c>
      <c r="J4835">
        <v>9</v>
      </c>
      <c r="K4835">
        <v>34.02</v>
      </c>
      <c r="L4835" s="2">
        <v>4</v>
      </c>
      <c r="M4835">
        <v>0</v>
      </c>
      <c r="N4835" s="2">
        <v>0</v>
      </c>
      <c r="O4835">
        <v>-10.8</v>
      </c>
      <c r="P4835" t="s">
        <v>100</v>
      </c>
      <c r="Q4835">
        <v>0</v>
      </c>
      <c r="R4835" t="s">
        <v>145</v>
      </c>
      <c r="S4835">
        <v>0</v>
      </c>
    </row>
    <row r="4836" spans="1:19">
      <c r="A4836" t="s">
        <v>35</v>
      </c>
      <c r="B4836" t="s">
        <v>4395</v>
      </c>
      <c r="C4836">
        <f>"C614GR"</f>
        <v>0</v>
      </c>
      <c r="D4836">
        <v>0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9</v>
      </c>
      <c r="K4836">
        <v>0</v>
      </c>
      <c r="L4836" s="2">
        <v>0</v>
      </c>
      <c r="M4836">
        <v>0</v>
      </c>
      <c r="N4836" s="2">
        <v>0</v>
      </c>
      <c r="O4836">
        <v>-10.8</v>
      </c>
      <c r="P4836" t="s">
        <v>100</v>
      </c>
      <c r="Q4836">
        <v>0</v>
      </c>
      <c r="R4836" t="s">
        <v>145</v>
      </c>
      <c r="S4836">
        <v>0</v>
      </c>
    </row>
    <row r="4837" spans="1:19">
      <c r="A4837" t="s">
        <v>35</v>
      </c>
      <c r="B4837" t="s">
        <v>5146</v>
      </c>
      <c r="C4837">
        <f>"1840CMR"</f>
        <v>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9</v>
      </c>
      <c r="K4837">
        <v>0</v>
      </c>
      <c r="L4837" s="2">
        <v>0</v>
      </c>
      <c r="M4837">
        <v>0</v>
      </c>
      <c r="N4837" s="2">
        <v>0</v>
      </c>
      <c r="O4837">
        <v>-10.8</v>
      </c>
      <c r="P4837" t="s">
        <v>100</v>
      </c>
      <c r="Q4837">
        <v>0</v>
      </c>
      <c r="R4837" t="s">
        <v>145</v>
      </c>
      <c r="S4837">
        <v>0</v>
      </c>
    </row>
    <row r="4838" spans="1:19">
      <c r="A4838" t="s">
        <v>35</v>
      </c>
      <c r="B4838" t="s">
        <v>10177</v>
      </c>
      <c r="C4838">
        <f>"LY001MA"</f>
        <v>0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9</v>
      </c>
      <c r="K4838">
        <v>24.219</v>
      </c>
      <c r="L4838" s="2">
        <v>3</v>
      </c>
      <c r="M4838">
        <v>0</v>
      </c>
      <c r="N4838" s="2">
        <v>0</v>
      </c>
      <c r="O4838">
        <v>-10.8</v>
      </c>
      <c r="P4838" t="s">
        <v>100</v>
      </c>
      <c r="Q4838">
        <v>0</v>
      </c>
      <c r="R4838" t="s">
        <v>145</v>
      </c>
      <c r="S4838">
        <v>0</v>
      </c>
    </row>
    <row r="4839" spans="1:19">
      <c r="A4839" t="s">
        <v>35</v>
      </c>
      <c r="B4839" t="s">
        <v>3566</v>
      </c>
      <c r="C4839">
        <f>"1822"</f>
        <v>0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9</v>
      </c>
      <c r="K4839">
        <v>144.99</v>
      </c>
      <c r="L4839" s="2">
        <v>16</v>
      </c>
      <c r="M4839">
        <v>0</v>
      </c>
      <c r="N4839" s="2">
        <v>0</v>
      </c>
      <c r="O4839">
        <v>-10.8</v>
      </c>
      <c r="P4839" t="s">
        <v>100</v>
      </c>
      <c r="Q4839">
        <v>0</v>
      </c>
      <c r="R4839" t="s">
        <v>145</v>
      </c>
      <c r="S4839">
        <v>0</v>
      </c>
    </row>
    <row r="4840" spans="1:19">
      <c r="A4840" t="s">
        <v>35</v>
      </c>
      <c r="B4840" t="s">
        <v>4902</v>
      </c>
      <c r="C4840">
        <f>"SP010"</f>
        <v>0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9</v>
      </c>
      <c r="K4840">
        <v>40.334</v>
      </c>
      <c r="L4840" s="2">
        <v>4</v>
      </c>
      <c r="M4840">
        <v>0</v>
      </c>
      <c r="N4840" s="2">
        <v>0</v>
      </c>
      <c r="O4840">
        <v>-10.8</v>
      </c>
      <c r="P4840" t="s">
        <v>100</v>
      </c>
      <c r="Q4840">
        <v>0</v>
      </c>
      <c r="R4840" t="s">
        <v>145</v>
      </c>
      <c r="S4840">
        <v>0</v>
      </c>
    </row>
    <row r="4841" spans="1:19">
      <c r="A4841" t="s">
        <v>35</v>
      </c>
      <c r="B4841" t="s">
        <v>8053</v>
      </c>
      <c r="C4841">
        <f>"HD23XL"</f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9</v>
      </c>
      <c r="K4841">
        <v>36.855</v>
      </c>
      <c r="L4841" s="2">
        <v>4</v>
      </c>
      <c r="M4841">
        <v>0</v>
      </c>
      <c r="N4841" s="2">
        <v>0</v>
      </c>
      <c r="O4841">
        <v>-10.8</v>
      </c>
      <c r="P4841" t="s">
        <v>100</v>
      </c>
      <c r="Q4841">
        <v>0</v>
      </c>
      <c r="R4841" t="s">
        <v>145</v>
      </c>
      <c r="S4841">
        <v>0</v>
      </c>
    </row>
    <row r="4842" spans="1:19">
      <c r="A4842" t="s">
        <v>35</v>
      </c>
      <c r="B4842" t="s">
        <v>2280</v>
      </c>
      <c r="C4842">
        <f>"HDD180BC"</f>
        <v>0</v>
      </c>
      <c r="D4842">
        <v>2</v>
      </c>
      <c r="E4842">
        <v>0</v>
      </c>
      <c r="F4842">
        <v>0</v>
      </c>
      <c r="G4842">
        <v>0</v>
      </c>
      <c r="H4842">
        <v>2</v>
      </c>
      <c r="I4842">
        <v>0</v>
      </c>
      <c r="J4842">
        <v>9</v>
      </c>
      <c r="K4842">
        <v>4.455</v>
      </c>
      <c r="L4842" s="2">
        <v>0</v>
      </c>
      <c r="M4842">
        <v>0</v>
      </c>
      <c r="N4842" s="2">
        <v>0</v>
      </c>
      <c r="O4842">
        <v>-10.8</v>
      </c>
      <c r="P4842" t="s">
        <v>100</v>
      </c>
      <c r="Q4842">
        <v>0</v>
      </c>
      <c r="R4842" t="s">
        <v>145</v>
      </c>
      <c r="S4842">
        <v>0</v>
      </c>
    </row>
    <row r="4843" spans="1:19">
      <c r="A4843" t="s">
        <v>35</v>
      </c>
      <c r="B4843" t="s">
        <v>7817</v>
      </c>
      <c r="C4843">
        <f>"FB010MCBN"</f>
        <v>0</v>
      </c>
      <c r="D4843">
        <v>0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9</v>
      </c>
      <c r="K4843">
        <v>26.325</v>
      </c>
      <c r="L4843" s="2">
        <v>3</v>
      </c>
      <c r="M4843">
        <v>0</v>
      </c>
      <c r="N4843" s="2">
        <v>0</v>
      </c>
      <c r="O4843">
        <v>-10.8</v>
      </c>
      <c r="P4843" t="s">
        <v>100</v>
      </c>
      <c r="Q4843">
        <v>0</v>
      </c>
      <c r="R4843" t="s">
        <v>145</v>
      </c>
      <c r="S4843">
        <v>0</v>
      </c>
    </row>
    <row r="4844" spans="1:19">
      <c r="A4844" t="s">
        <v>35</v>
      </c>
      <c r="B4844" t="s">
        <v>2715</v>
      </c>
      <c r="C4844">
        <f>"1840CXSB"</f>
        <v>0</v>
      </c>
      <c r="D4844">
        <v>1</v>
      </c>
      <c r="E4844">
        <v>0</v>
      </c>
      <c r="F4844">
        <v>0</v>
      </c>
      <c r="G4844">
        <v>0</v>
      </c>
      <c r="H4844">
        <v>1</v>
      </c>
      <c r="I4844">
        <v>0</v>
      </c>
      <c r="J4844">
        <v>9</v>
      </c>
      <c r="K4844">
        <v>1.755</v>
      </c>
      <c r="L4844" s="2">
        <v>0</v>
      </c>
      <c r="M4844">
        <v>0</v>
      </c>
      <c r="N4844" s="2">
        <v>0</v>
      </c>
      <c r="O4844">
        <v>-10.8</v>
      </c>
      <c r="P4844" t="s">
        <v>100</v>
      </c>
      <c r="Q4844">
        <v>0</v>
      </c>
      <c r="R4844" t="s">
        <v>145</v>
      </c>
      <c r="S4844">
        <v>0</v>
      </c>
    </row>
    <row r="4845" spans="1:19">
      <c r="A4845" t="s">
        <v>35</v>
      </c>
      <c r="B4845" t="s">
        <v>7063</v>
      </c>
      <c r="C4845">
        <f>"D163"</f>
        <v>0</v>
      </c>
      <c r="D4845">
        <v>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9</v>
      </c>
      <c r="K4845">
        <v>40.419</v>
      </c>
      <c r="L4845" s="2">
        <v>4</v>
      </c>
      <c r="M4845">
        <v>0</v>
      </c>
      <c r="N4845" s="2">
        <v>0</v>
      </c>
      <c r="O4845">
        <v>-10.8</v>
      </c>
      <c r="P4845" t="s">
        <v>100</v>
      </c>
      <c r="Q4845">
        <v>0</v>
      </c>
      <c r="R4845" t="s">
        <v>145</v>
      </c>
      <c r="S4845">
        <v>0</v>
      </c>
    </row>
    <row r="4846" spans="1:19">
      <c r="A4846" t="s">
        <v>35</v>
      </c>
      <c r="B4846" t="s">
        <v>10187</v>
      </c>
      <c r="C4846">
        <f>"XB1861CRS"</f>
        <v>0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9</v>
      </c>
      <c r="K4846">
        <v>68.44499999999999</v>
      </c>
      <c r="L4846" s="2">
        <v>8</v>
      </c>
      <c r="M4846">
        <v>0</v>
      </c>
      <c r="N4846" s="2">
        <v>0</v>
      </c>
      <c r="O4846">
        <v>-10.8</v>
      </c>
      <c r="P4846" t="s">
        <v>100</v>
      </c>
      <c r="Q4846">
        <v>0</v>
      </c>
      <c r="R4846" t="s">
        <v>145</v>
      </c>
      <c r="S4846">
        <v>0</v>
      </c>
    </row>
    <row r="4847" spans="1:19">
      <c r="A4847" t="s">
        <v>35</v>
      </c>
      <c r="B4847" t="s">
        <v>4980</v>
      </c>
      <c r="C4847">
        <f>"1854PYXXS"</f>
        <v>0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0</v>
      </c>
      <c r="J4847">
        <v>9</v>
      </c>
      <c r="K4847">
        <v>37.485</v>
      </c>
      <c r="L4847" s="2">
        <v>4</v>
      </c>
      <c r="M4847">
        <v>0</v>
      </c>
      <c r="N4847" s="2">
        <v>0</v>
      </c>
      <c r="O4847">
        <v>-10.8</v>
      </c>
      <c r="P4847" t="s">
        <v>100</v>
      </c>
      <c r="Q4847">
        <v>0</v>
      </c>
      <c r="R4847" t="s">
        <v>145</v>
      </c>
      <c r="S4847">
        <v>0</v>
      </c>
    </row>
    <row r="4848" spans="1:19">
      <c r="A4848" t="s">
        <v>35</v>
      </c>
      <c r="B4848" t="s">
        <v>4979</v>
      </c>
      <c r="C4848">
        <f>"1881FBL"</f>
        <v>0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9</v>
      </c>
      <c r="K4848">
        <v>77.355</v>
      </c>
      <c r="L4848" s="2">
        <v>9</v>
      </c>
      <c r="M4848">
        <v>0</v>
      </c>
      <c r="N4848" s="2">
        <v>0</v>
      </c>
      <c r="O4848">
        <v>-10.8</v>
      </c>
      <c r="P4848" t="s">
        <v>100</v>
      </c>
      <c r="Q4848">
        <v>0</v>
      </c>
      <c r="R4848" t="s">
        <v>145</v>
      </c>
      <c r="S4848">
        <v>0</v>
      </c>
    </row>
    <row r="4849" spans="1:19">
      <c r="A4849" t="s">
        <v>35</v>
      </c>
      <c r="B4849" t="s">
        <v>4988</v>
      </c>
      <c r="C4849">
        <f>"1854CPM"</f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9</v>
      </c>
      <c r="K4849">
        <v>90.36</v>
      </c>
      <c r="L4849" s="2">
        <v>10</v>
      </c>
      <c r="M4849">
        <v>0</v>
      </c>
      <c r="N4849" s="2">
        <v>0</v>
      </c>
      <c r="O4849">
        <v>-10.8</v>
      </c>
      <c r="P4849" t="s">
        <v>100</v>
      </c>
      <c r="Q4849">
        <v>0</v>
      </c>
      <c r="R4849" t="s">
        <v>145</v>
      </c>
      <c r="S4849">
        <v>0</v>
      </c>
    </row>
    <row r="4850" spans="1:19">
      <c r="A4850" t="s">
        <v>35</v>
      </c>
      <c r="B4850" t="s">
        <v>6985</v>
      </c>
      <c r="C4850">
        <f>"HH088LV"</f>
        <v>0</v>
      </c>
      <c r="D4850">
        <v>0</v>
      </c>
      <c r="E4850">
        <v>0</v>
      </c>
      <c r="F4850">
        <v>0</v>
      </c>
      <c r="G4850">
        <v>0</v>
      </c>
      <c r="H4850">
        <v>0</v>
      </c>
      <c r="I4850">
        <v>0</v>
      </c>
      <c r="J4850">
        <v>9</v>
      </c>
      <c r="K4850">
        <v>88.69499999999999</v>
      </c>
      <c r="L4850" s="2">
        <v>10</v>
      </c>
      <c r="M4850">
        <v>0</v>
      </c>
      <c r="N4850" s="2">
        <v>0</v>
      </c>
      <c r="O4850">
        <v>-10.8</v>
      </c>
      <c r="P4850" t="s">
        <v>100</v>
      </c>
      <c r="Q4850">
        <v>0</v>
      </c>
      <c r="R4850" t="s">
        <v>145</v>
      </c>
      <c r="S4850">
        <v>0</v>
      </c>
    </row>
    <row r="4851" spans="1:19">
      <c r="A4851" t="s">
        <v>35</v>
      </c>
      <c r="B4851" t="s">
        <v>6845</v>
      </c>
      <c r="C4851">
        <f>"HXC44"</f>
        <v>0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9</v>
      </c>
      <c r="K4851">
        <v>22.68</v>
      </c>
      <c r="L4851" s="2">
        <v>3</v>
      </c>
      <c r="M4851">
        <v>0</v>
      </c>
      <c r="N4851" s="2">
        <v>0</v>
      </c>
      <c r="O4851">
        <v>-10.8</v>
      </c>
      <c r="P4851" t="s">
        <v>100</v>
      </c>
      <c r="Q4851">
        <v>0</v>
      </c>
      <c r="R4851" t="s">
        <v>145</v>
      </c>
      <c r="S4851">
        <v>0</v>
      </c>
    </row>
    <row r="4852" spans="1:19">
      <c r="A4852" t="s">
        <v>35</v>
      </c>
      <c r="B4852" t="s">
        <v>6834</v>
      </c>
      <c r="C4852">
        <f>"HXC02"</f>
        <v>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9</v>
      </c>
      <c r="K4852">
        <v>17.82</v>
      </c>
      <c r="L4852" s="2">
        <v>2</v>
      </c>
      <c r="M4852">
        <v>0</v>
      </c>
      <c r="N4852" s="2">
        <v>0</v>
      </c>
      <c r="O4852">
        <v>-10.8</v>
      </c>
      <c r="P4852" t="s">
        <v>100</v>
      </c>
      <c r="Q4852">
        <v>0</v>
      </c>
      <c r="R4852" t="s">
        <v>145</v>
      </c>
      <c r="S4852">
        <v>0</v>
      </c>
    </row>
    <row r="4853" spans="1:19">
      <c r="A4853" t="s">
        <v>35</v>
      </c>
      <c r="B4853" t="s">
        <v>2082</v>
      </c>
      <c r="C4853">
        <f>"DN37"</f>
        <v>0</v>
      </c>
      <c r="D4853">
        <v>3</v>
      </c>
      <c r="E4853">
        <v>0</v>
      </c>
      <c r="F4853">
        <v>0</v>
      </c>
      <c r="G4853">
        <v>0</v>
      </c>
      <c r="H4853">
        <v>3</v>
      </c>
      <c r="I4853">
        <v>0</v>
      </c>
      <c r="J4853">
        <v>9</v>
      </c>
      <c r="K4853">
        <v>6.399</v>
      </c>
      <c r="L4853" s="2">
        <v>1</v>
      </c>
      <c r="M4853">
        <v>0</v>
      </c>
      <c r="N4853" s="2">
        <v>0</v>
      </c>
      <c r="O4853">
        <v>-10.8</v>
      </c>
      <c r="P4853" t="s">
        <v>100</v>
      </c>
      <c r="Q4853">
        <v>0</v>
      </c>
      <c r="R4853" t="s">
        <v>145</v>
      </c>
      <c r="S4853">
        <v>0</v>
      </c>
    </row>
    <row r="4854" spans="1:19">
      <c r="A4854" t="s">
        <v>35</v>
      </c>
      <c r="B4854" t="s">
        <v>8495</v>
      </c>
      <c r="C4854">
        <f>"GDXBXS"</f>
        <v>0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9</v>
      </c>
      <c r="K4854">
        <v>18.225</v>
      </c>
      <c r="L4854" s="2">
        <v>2</v>
      </c>
      <c r="M4854">
        <v>0</v>
      </c>
      <c r="N4854" s="2">
        <v>0</v>
      </c>
      <c r="O4854">
        <v>-10.8</v>
      </c>
      <c r="P4854" t="s">
        <v>100</v>
      </c>
      <c r="Q4854">
        <v>0</v>
      </c>
      <c r="R4854" t="s">
        <v>145</v>
      </c>
      <c r="S4854">
        <v>0</v>
      </c>
    </row>
    <row r="4855" spans="1:19">
      <c r="A4855" t="s">
        <v>35</v>
      </c>
      <c r="B4855" t="s">
        <v>2639</v>
      </c>
      <c r="C4855">
        <f>"1806TL"</f>
        <v>0</v>
      </c>
      <c r="D4855">
        <v>0</v>
      </c>
      <c r="E4855">
        <v>0</v>
      </c>
      <c r="F4855">
        <v>1</v>
      </c>
      <c r="G4855">
        <v>0</v>
      </c>
      <c r="H4855">
        <v>1</v>
      </c>
      <c r="I4855">
        <v>0</v>
      </c>
      <c r="J4855">
        <v>9</v>
      </c>
      <c r="K4855">
        <v>26.73</v>
      </c>
      <c r="L4855" s="2">
        <v>3</v>
      </c>
      <c r="M4855">
        <v>0</v>
      </c>
      <c r="N4855" s="2">
        <v>0</v>
      </c>
      <c r="O4855">
        <v>-10.8</v>
      </c>
      <c r="P4855" t="s">
        <v>100</v>
      </c>
      <c r="Q4855">
        <v>0</v>
      </c>
      <c r="R4855" t="s">
        <v>145</v>
      </c>
      <c r="S4855">
        <v>0</v>
      </c>
    </row>
    <row r="4856" spans="1:19">
      <c r="A4856" t="s">
        <v>35</v>
      </c>
      <c r="B4856" t="s">
        <v>2072</v>
      </c>
      <c r="C4856">
        <f>"HP071L"</f>
        <v>0</v>
      </c>
      <c r="D4856">
        <v>3</v>
      </c>
      <c r="E4856">
        <v>0</v>
      </c>
      <c r="F4856">
        <v>0</v>
      </c>
      <c r="G4856">
        <v>0</v>
      </c>
      <c r="H4856">
        <v>3</v>
      </c>
      <c r="I4856">
        <v>0</v>
      </c>
      <c r="J4856">
        <v>9</v>
      </c>
      <c r="K4856">
        <v>47.385</v>
      </c>
      <c r="L4856" s="2">
        <v>5</v>
      </c>
      <c r="M4856">
        <v>0</v>
      </c>
      <c r="N4856" s="2">
        <v>0</v>
      </c>
      <c r="O4856">
        <v>-10.8</v>
      </c>
      <c r="P4856" t="s">
        <v>100</v>
      </c>
      <c r="Q4856">
        <v>0</v>
      </c>
      <c r="R4856" t="s">
        <v>145</v>
      </c>
      <c r="S4856">
        <v>0</v>
      </c>
    </row>
    <row r="4857" spans="1:19">
      <c r="A4857" t="s">
        <v>35</v>
      </c>
      <c r="B4857" t="s">
        <v>5183</v>
      </c>
      <c r="C4857">
        <f>"1840LSB"</f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9</v>
      </c>
      <c r="K4857">
        <v>0</v>
      </c>
      <c r="L4857" s="2">
        <v>0</v>
      </c>
      <c r="M4857">
        <v>0</v>
      </c>
      <c r="N4857" s="2">
        <v>0</v>
      </c>
      <c r="O4857">
        <v>-10.8</v>
      </c>
      <c r="P4857" t="s">
        <v>100</v>
      </c>
      <c r="Q4857">
        <v>0</v>
      </c>
      <c r="R4857" t="s">
        <v>145</v>
      </c>
      <c r="S4857">
        <v>0</v>
      </c>
    </row>
    <row r="4858" spans="1:19">
      <c r="A4858" t="s">
        <v>35</v>
      </c>
      <c r="B4858" t="s">
        <v>9060</v>
      </c>
      <c r="C4858">
        <f>"AK2"</f>
        <v>0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9</v>
      </c>
      <c r="K4858">
        <v>22.68</v>
      </c>
      <c r="L4858" s="2">
        <v>3</v>
      </c>
      <c r="M4858">
        <v>0</v>
      </c>
      <c r="N4858" s="2">
        <v>0</v>
      </c>
      <c r="O4858">
        <v>-10.8</v>
      </c>
      <c r="P4858" t="s">
        <v>100</v>
      </c>
      <c r="Q4858">
        <v>0</v>
      </c>
      <c r="R4858" t="s">
        <v>145</v>
      </c>
      <c r="S4858">
        <v>0</v>
      </c>
    </row>
    <row r="4859" spans="1:19">
      <c r="A4859" t="s">
        <v>35</v>
      </c>
      <c r="B4859" t="s">
        <v>4927</v>
      </c>
      <c r="C4859">
        <f>"WIN51AZ"</f>
        <v>0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9</v>
      </c>
      <c r="K4859">
        <v>12.555</v>
      </c>
      <c r="L4859" s="2">
        <v>1</v>
      </c>
      <c r="M4859">
        <v>0</v>
      </c>
      <c r="N4859" s="2">
        <v>0</v>
      </c>
      <c r="O4859">
        <v>-10.8</v>
      </c>
      <c r="P4859" t="s">
        <v>100</v>
      </c>
      <c r="Q4859">
        <v>0</v>
      </c>
      <c r="R4859" t="s">
        <v>145</v>
      </c>
      <c r="S4859">
        <v>0</v>
      </c>
    </row>
    <row r="4860" spans="1:19">
      <c r="A4860" t="s">
        <v>35</v>
      </c>
      <c r="B4860" t="s">
        <v>7332</v>
      </c>
      <c r="C4860">
        <f>"HH088XXLAR"</f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9</v>
      </c>
      <c r="K4860">
        <v>105.03</v>
      </c>
      <c r="L4860" s="2">
        <v>12</v>
      </c>
      <c r="M4860">
        <v>0</v>
      </c>
      <c r="N4860" s="2">
        <v>0</v>
      </c>
      <c r="O4860">
        <v>-10.8</v>
      </c>
      <c r="P4860" t="s">
        <v>100</v>
      </c>
      <c r="Q4860">
        <v>0</v>
      </c>
      <c r="R4860" t="s">
        <v>145</v>
      </c>
      <c r="S4860">
        <v>0</v>
      </c>
    </row>
    <row r="4861" spans="1:19">
      <c r="A4861" t="s">
        <v>35</v>
      </c>
      <c r="B4861" t="s">
        <v>7183</v>
      </c>
      <c r="C4861">
        <f>"LS223C"</f>
        <v>0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9</v>
      </c>
      <c r="K4861">
        <v>68.84999999999999</v>
      </c>
      <c r="L4861" s="2">
        <v>8</v>
      </c>
      <c r="M4861">
        <v>0</v>
      </c>
      <c r="N4861" s="2">
        <v>0</v>
      </c>
      <c r="O4861">
        <v>-10.8</v>
      </c>
      <c r="P4861" t="s">
        <v>100</v>
      </c>
      <c r="Q4861">
        <v>0</v>
      </c>
      <c r="R4861" t="s">
        <v>145</v>
      </c>
      <c r="S4861">
        <v>0</v>
      </c>
    </row>
    <row r="4862" spans="1:19">
      <c r="A4862" t="s">
        <v>35</v>
      </c>
      <c r="B4862" t="s">
        <v>2360</v>
      </c>
      <c r="C4862">
        <f>"KX5049"</f>
        <v>0</v>
      </c>
      <c r="D4862">
        <v>0</v>
      </c>
      <c r="E4862">
        <v>0</v>
      </c>
      <c r="F4862">
        <v>1</v>
      </c>
      <c r="G4862">
        <v>0</v>
      </c>
      <c r="H4862">
        <v>1</v>
      </c>
      <c r="I4862">
        <v>0</v>
      </c>
      <c r="J4862">
        <v>9</v>
      </c>
      <c r="K4862">
        <v>19.44</v>
      </c>
      <c r="L4862" s="2">
        <v>2</v>
      </c>
      <c r="M4862">
        <v>0</v>
      </c>
      <c r="N4862" s="2">
        <v>0</v>
      </c>
      <c r="O4862">
        <v>-10.8</v>
      </c>
      <c r="P4862" t="s">
        <v>100</v>
      </c>
      <c r="Q4862">
        <v>0</v>
      </c>
      <c r="R4862" t="s">
        <v>145</v>
      </c>
      <c r="S4862">
        <v>0</v>
      </c>
    </row>
    <row r="4863" spans="1:19">
      <c r="A4863" t="s">
        <v>35</v>
      </c>
      <c r="B4863" t="s">
        <v>7726</v>
      </c>
      <c r="C4863">
        <f>"B1922XSRO"</f>
        <v>0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9</v>
      </c>
      <c r="K4863">
        <v>54.675</v>
      </c>
      <c r="L4863" s="2">
        <v>6</v>
      </c>
      <c r="M4863">
        <v>0</v>
      </c>
      <c r="N4863" s="2">
        <v>0</v>
      </c>
      <c r="O4863">
        <v>-10.8</v>
      </c>
      <c r="P4863" t="s">
        <v>100</v>
      </c>
      <c r="Q4863">
        <v>0</v>
      </c>
      <c r="R4863" t="s">
        <v>145</v>
      </c>
      <c r="S4863">
        <v>0</v>
      </c>
    </row>
    <row r="4864" spans="1:19">
      <c r="A4864" t="s">
        <v>35</v>
      </c>
      <c r="B4864" t="s">
        <v>2680</v>
      </c>
      <c r="C4864">
        <f>"B1916XSA"</f>
        <v>0</v>
      </c>
      <c r="D4864">
        <v>0</v>
      </c>
      <c r="E4864">
        <v>0</v>
      </c>
      <c r="F4864">
        <v>1</v>
      </c>
      <c r="G4864">
        <v>0</v>
      </c>
      <c r="H4864">
        <v>1</v>
      </c>
      <c r="I4864">
        <v>0</v>
      </c>
      <c r="J4864">
        <v>9</v>
      </c>
      <c r="K4864">
        <v>63.99</v>
      </c>
      <c r="L4864" s="2">
        <v>7</v>
      </c>
      <c r="M4864">
        <v>0</v>
      </c>
      <c r="N4864" s="2">
        <v>0</v>
      </c>
      <c r="O4864">
        <v>-10.8</v>
      </c>
      <c r="P4864" t="s">
        <v>100</v>
      </c>
      <c r="Q4864">
        <v>0</v>
      </c>
      <c r="R4864" t="s">
        <v>145</v>
      </c>
      <c r="S4864">
        <v>0</v>
      </c>
    </row>
    <row r="4865" spans="1:19">
      <c r="A4865" t="s">
        <v>35</v>
      </c>
      <c r="B4865" t="s">
        <v>8496</v>
      </c>
      <c r="C4865">
        <f>"GDXBS"</f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9</v>
      </c>
      <c r="K4865">
        <v>20.25</v>
      </c>
      <c r="L4865" s="2">
        <v>2</v>
      </c>
      <c r="M4865">
        <v>0</v>
      </c>
      <c r="N4865" s="2">
        <v>0</v>
      </c>
      <c r="O4865">
        <v>-10.8</v>
      </c>
      <c r="P4865" t="s">
        <v>100</v>
      </c>
      <c r="Q4865">
        <v>0</v>
      </c>
      <c r="R4865" t="s">
        <v>145</v>
      </c>
      <c r="S4865">
        <v>0</v>
      </c>
    </row>
    <row r="4866" spans="1:19">
      <c r="A4866" t="s">
        <v>35</v>
      </c>
      <c r="B4866" t="s">
        <v>7473</v>
      </c>
      <c r="C4866">
        <f>"KLA6L"</f>
        <v>0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9</v>
      </c>
      <c r="K4866">
        <v>34.425</v>
      </c>
      <c r="L4866" s="2">
        <v>4</v>
      </c>
      <c r="M4866">
        <v>0</v>
      </c>
      <c r="N4866" s="2">
        <v>0</v>
      </c>
      <c r="O4866">
        <v>-10.8</v>
      </c>
      <c r="P4866" t="s">
        <v>100</v>
      </c>
      <c r="Q4866">
        <v>0</v>
      </c>
      <c r="R4866" t="s">
        <v>145</v>
      </c>
      <c r="S4866">
        <v>0</v>
      </c>
    </row>
    <row r="4867" spans="1:19">
      <c r="A4867" t="s">
        <v>35</v>
      </c>
      <c r="B4867" t="s">
        <v>8076</v>
      </c>
      <c r="C4867">
        <f>"KLA13S"</f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0</v>
      </c>
      <c r="J4867">
        <v>9</v>
      </c>
      <c r="K4867">
        <v>29.889</v>
      </c>
      <c r="L4867" s="2">
        <v>3</v>
      </c>
      <c r="M4867">
        <v>0</v>
      </c>
      <c r="N4867" s="2">
        <v>0</v>
      </c>
      <c r="O4867">
        <v>-10.8</v>
      </c>
      <c r="P4867" t="s">
        <v>100</v>
      </c>
      <c r="Q4867">
        <v>0</v>
      </c>
      <c r="R4867" t="s">
        <v>145</v>
      </c>
      <c r="S4867">
        <v>0</v>
      </c>
    </row>
    <row r="4868" spans="1:19">
      <c r="A4868" t="s">
        <v>35</v>
      </c>
      <c r="B4868" t="s">
        <v>8493</v>
      </c>
      <c r="C4868">
        <f>"JW0111"</f>
        <v>0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9</v>
      </c>
      <c r="K4868">
        <v>29.988</v>
      </c>
      <c r="L4868" s="2">
        <v>3</v>
      </c>
      <c r="M4868">
        <v>0</v>
      </c>
      <c r="N4868" s="2">
        <v>0</v>
      </c>
      <c r="O4868">
        <v>-10.8</v>
      </c>
      <c r="P4868" t="s">
        <v>100</v>
      </c>
      <c r="Q4868">
        <v>0</v>
      </c>
      <c r="R4868" t="s">
        <v>145</v>
      </c>
      <c r="S4868">
        <v>0</v>
      </c>
    </row>
    <row r="4869" spans="1:19">
      <c r="A4869" t="s">
        <v>35</v>
      </c>
      <c r="B4869" t="s">
        <v>5437</v>
      </c>
      <c r="C4869">
        <f>"E231XL"</f>
        <v>0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9</v>
      </c>
      <c r="K4869">
        <v>22.68</v>
      </c>
      <c r="L4869" s="2">
        <v>3</v>
      </c>
      <c r="M4869">
        <v>0</v>
      </c>
      <c r="N4869" s="2">
        <v>0</v>
      </c>
      <c r="O4869">
        <v>-10.8</v>
      </c>
      <c r="P4869" t="s">
        <v>100</v>
      </c>
      <c r="Q4869">
        <v>0</v>
      </c>
      <c r="R4869" t="s">
        <v>145</v>
      </c>
      <c r="S4869">
        <v>0</v>
      </c>
    </row>
    <row r="4870" spans="1:19">
      <c r="A4870" t="s">
        <v>35</v>
      </c>
      <c r="B4870" t="s">
        <v>8032</v>
      </c>
      <c r="C4870">
        <f>"KLA13M"</f>
        <v>0</v>
      </c>
      <c r="D4870">
        <v>0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9</v>
      </c>
      <c r="K4870">
        <v>31.215</v>
      </c>
      <c r="L4870" s="2">
        <v>3</v>
      </c>
      <c r="M4870">
        <v>0</v>
      </c>
      <c r="N4870" s="2">
        <v>0</v>
      </c>
      <c r="O4870">
        <v>-10.8</v>
      </c>
      <c r="P4870" t="s">
        <v>100</v>
      </c>
      <c r="Q4870">
        <v>0</v>
      </c>
      <c r="R4870" t="s">
        <v>145</v>
      </c>
      <c r="S4870">
        <v>0</v>
      </c>
    </row>
    <row r="4871" spans="1:19">
      <c r="A4871" t="s">
        <v>35</v>
      </c>
      <c r="B4871" t="s">
        <v>8085</v>
      </c>
      <c r="C4871">
        <f>"HD34XS"</f>
        <v>0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9</v>
      </c>
      <c r="K4871">
        <v>23.409</v>
      </c>
      <c r="L4871" s="2">
        <v>3</v>
      </c>
      <c r="M4871">
        <v>0</v>
      </c>
      <c r="N4871" s="2">
        <v>0</v>
      </c>
      <c r="O4871">
        <v>-10.8</v>
      </c>
      <c r="P4871" t="s">
        <v>100</v>
      </c>
      <c r="Q4871">
        <v>0</v>
      </c>
      <c r="R4871" t="s">
        <v>145</v>
      </c>
      <c r="S4871">
        <v>0</v>
      </c>
    </row>
    <row r="4872" spans="1:19">
      <c r="A4872" t="s">
        <v>35</v>
      </c>
      <c r="B4872" t="s">
        <v>8437</v>
      </c>
      <c r="C4872">
        <f>"W001N"</f>
        <v>0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9</v>
      </c>
      <c r="K4872">
        <v>46.575</v>
      </c>
      <c r="L4872" s="2">
        <v>5</v>
      </c>
      <c r="M4872">
        <v>0</v>
      </c>
      <c r="N4872" s="2">
        <v>0</v>
      </c>
      <c r="O4872">
        <v>-10.8</v>
      </c>
      <c r="P4872" t="s">
        <v>100</v>
      </c>
      <c r="Q4872">
        <v>0</v>
      </c>
      <c r="R4872" t="s">
        <v>145</v>
      </c>
      <c r="S4872">
        <v>0</v>
      </c>
    </row>
    <row r="4873" spans="1:19">
      <c r="A4873" t="s">
        <v>35</v>
      </c>
      <c r="B4873" t="s">
        <v>3221</v>
      </c>
      <c r="C4873">
        <f>"D136L"</f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9</v>
      </c>
      <c r="K4873">
        <v>12.069</v>
      </c>
      <c r="L4873" s="2">
        <v>1</v>
      </c>
      <c r="M4873">
        <v>0</v>
      </c>
      <c r="N4873" s="2">
        <v>0</v>
      </c>
      <c r="O4873">
        <v>-10.8</v>
      </c>
      <c r="P4873" t="s">
        <v>100</v>
      </c>
      <c r="Q4873">
        <v>0</v>
      </c>
      <c r="R4873" t="s">
        <v>145</v>
      </c>
      <c r="S4873">
        <v>0</v>
      </c>
    </row>
    <row r="4874" spans="1:19">
      <c r="A4874" t="s">
        <v>35</v>
      </c>
      <c r="B4874" t="s">
        <v>6837</v>
      </c>
      <c r="C4874">
        <f>"HXC06"</f>
        <v>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9</v>
      </c>
      <c r="K4874">
        <v>17.82</v>
      </c>
      <c r="L4874" s="2">
        <v>2</v>
      </c>
      <c r="M4874">
        <v>0</v>
      </c>
      <c r="N4874" s="2">
        <v>0</v>
      </c>
      <c r="O4874">
        <v>-10.8</v>
      </c>
      <c r="P4874" t="s">
        <v>100</v>
      </c>
      <c r="Q4874">
        <v>0</v>
      </c>
      <c r="R4874" t="s">
        <v>145</v>
      </c>
      <c r="S4874">
        <v>0</v>
      </c>
    </row>
    <row r="4875" spans="1:19">
      <c r="A4875" t="s">
        <v>35</v>
      </c>
      <c r="B4875" t="s">
        <v>6839</v>
      </c>
      <c r="C4875">
        <f>"KX4144"</f>
        <v>0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9</v>
      </c>
      <c r="K4875">
        <v>8.91</v>
      </c>
      <c r="L4875" s="2">
        <v>1</v>
      </c>
      <c r="M4875">
        <v>0</v>
      </c>
      <c r="N4875" s="2">
        <v>0</v>
      </c>
      <c r="O4875">
        <v>-10.8</v>
      </c>
      <c r="P4875" t="s">
        <v>100</v>
      </c>
      <c r="Q4875">
        <v>0</v>
      </c>
      <c r="R4875" t="s">
        <v>145</v>
      </c>
      <c r="S4875">
        <v>0</v>
      </c>
    </row>
    <row r="4876" spans="1:19">
      <c r="A4876" t="s">
        <v>35</v>
      </c>
      <c r="B4876" t="s">
        <v>7540</v>
      </c>
      <c r="C4876">
        <f>"M3LBH005"</f>
        <v>0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9</v>
      </c>
      <c r="K4876">
        <v>0</v>
      </c>
      <c r="L4876" s="2">
        <v>0</v>
      </c>
      <c r="M4876">
        <v>0</v>
      </c>
      <c r="N4876" s="2">
        <v>0</v>
      </c>
      <c r="O4876">
        <v>-10.8</v>
      </c>
      <c r="P4876" t="s">
        <v>100</v>
      </c>
      <c r="Q4876">
        <v>0</v>
      </c>
      <c r="R4876" t="s">
        <v>145</v>
      </c>
      <c r="S4876">
        <v>0</v>
      </c>
    </row>
    <row r="4877" spans="1:19">
      <c r="A4877" t="s">
        <v>35</v>
      </c>
      <c r="B4877" t="s">
        <v>8040</v>
      </c>
      <c r="C4877">
        <f>"8025XXS"</f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9</v>
      </c>
      <c r="K4877">
        <v>39.69</v>
      </c>
      <c r="L4877" s="2">
        <v>4</v>
      </c>
      <c r="M4877">
        <v>0</v>
      </c>
      <c r="N4877" s="2">
        <v>0</v>
      </c>
      <c r="O4877">
        <v>-10.8</v>
      </c>
      <c r="P4877" t="s">
        <v>100</v>
      </c>
      <c r="Q4877">
        <v>0</v>
      </c>
      <c r="R4877" t="s">
        <v>145</v>
      </c>
      <c r="S4877">
        <v>0</v>
      </c>
    </row>
    <row r="4878" spans="1:19">
      <c r="A4878" t="s">
        <v>35</v>
      </c>
      <c r="B4878" t="s">
        <v>3191</v>
      </c>
      <c r="C4878">
        <f>"CTB21"</f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9</v>
      </c>
      <c r="K4878">
        <v>11.988</v>
      </c>
      <c r="L4878" s="2">
        <v>1</v>
      </c>
      <c r="M4878">
        <v>0</v>
      </c>
      <c r="N4878" s="2">
        <v>0</v>
      </c>
      <c r="O4878">
        <v>-10.8</v>
      </c>
      <c r="P4878" t="s">
        <v>100</v>
      </c>
      <c r="Q4878">
        <v>0</v>
      </c>
      <c r="R4878" t="s">
        <v>145</v>
      </c>
      <c r="S4878">
        <v>0</v>
      </c>
    </row>
    <row r="4879" spans="1:19">
      <c r="A4879" t="s">
        <v>35</v>
      </c>
      <c r="B4879" t="s">
        <v>8777</v>
      </c>
      <c r="C4879">
        <f>"PS9013B"</f>
        <v>0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9</v>
      </c>
      <c r="K4879">
        <v>26.325</v>
      </c>
      <c r="L4879" s="2">
        <v>3</v>
      </c>
      <c r="M4879">
        <v>0</v>
      </c>
      <c r="N4879" s="2">
        <v>0</v>
      </c>
      <c r="O4879">
        <v>-10.8</v>
      </c>
      <c r="P4879" t="s">
        <v>100</v>
      </c>
      <c r="Q4879">
        <v>0</v>
      </c>
      <c r="R4879" t="s">
        <v>145</v>
      </c>
      <c r="S4879">
        <v>0</v>
      </c>
    </row>
    <row r="4880" spans="1:19">
      <c r="A4880" t="s">
        <v>35</v>
      </c>
      <c r="B4880" t="s">
        <v>239</v>
      </c>
      <c r="C4880">
        <f>"12336"</f>
        <v>0</v>
      </c>
      <c r="D4880">
        <v>22</v>
      </c>
      <c r="E4880">
        <v>26</v>
      </c>
      <c r="F4880">
        <v>21</v>
      </c>
      <c r="G4880">
        <v>3</v>
      </c>
      <c r="H4880">
        <v>72</v>
      </c>
      <c r="I4880">
        <v>21.5</v>
      </c>
      <c r="J4880">
        <v>32</v>
      </c>
      <c r="K4880">
        <v>23.616</v>
      </c>
      <c r="L4880" s="2">
        <v>1</v>
      </c>
      <c r="M4880">
        <v>0</v>
      </c>
      <c r="N4880" s="2">
        <v>0</v>
      </c>
      <c r="O4880">
        <v>-10.9</v>
      </c>
      <c r="P4880" t="s">
        <v>11080</v>
      </c>
      <c r="Q4880">
        <v>786</v>
      </c>
      <c r="R4880" t="s">
        <v>11203</v>
      </c>
      <c r="S4880">
        <v>0</v>
      </c>
    </row>
    <row r="4881" spans="1:19">
      <c r="A4881" t="s">
        <v>35</v>
      </c>
      <c r="B4881" t="s">
        <v>1761</v>
      </c>
      <c r="C4881">
        <f>"TF1023"</f>
        <v>0</v>
      </c>
      <c r="D4881">
        <v>3</v>
      </c>
      <c r="E4881">
        <v>5</v>
      </c>
      <c r="F4881">
        <v>4</v>
      </c>
      <c r="G4881">
        <v>0</v>
      </c>
      <c r="H4881">
        <v>12</v>
      </c>
      <c r="I4881">
        <v>3.5</v>
      </c>
      <c r="J4881">
        <v>12</v>
      </c>
      <c r="K4881">
        <v>18.144</v>
      </c>
      <c r="L4881" s="2">
        <v>2</v>
      </c>
      <c r="M4881">
        <v>0</v>
      </c>
      <c r="N4881" s="2">
        <v>0</v>
      </c>
      <c r="O4881">
        <v>-10.9</v>
      </c>
      <c r="P4881" t="s">
        <v>100</v>
      </c>
      <c r="Q4881">
        <v>0</v>
      </c>
      <c r="R4881" t="s">
        <v>145</v>
      </c>
      <c r="S4881">
        <v>0</v>
      </c>
    </row>
    <row r="4882" spans="1:19">
      <c r="A4882" t="s">
        <v>35</v>
      </c>
      <c r="B4882" t="s">
        <v>1662</v>
      </c>
      <c r="C4882">
        <f>"CK1006"</f>
        <v>0</v>
      </c>
      <c r="D4882">
        <v>2</v>
      </c>
      <c r="E4882">
        <v>15</v>
      </c>
      <c r="F4882">
        <v>7</v>
      </c>
      <c r="G4882">
        <v>0</v>
      </c>
      <c r="H4882">
        <v>24</v>
      </c>
      <c r="I4882">
        <v>4.5</v>
      </c>
      <c r="J4882">
        <v>13</v>
      </c>
      <c r="K4882">
        <v>11.115</v>
      </c>
      <c r="L4882" s="2">
        <v>1</v>
      </c>
      <c r="M4882">
        <v>0</v>
      </c>
      <c r="N4882" s="2">
        <v>0</v>
      </c>
      <c r="O4882">
        <v>-11.1</v>
      </c>
      <c r="P4882" t="s">
        <v>100</v>
      </c>
      <c r="Q4882">
        <v>0</v>
      </c>
      <c r="R4882" t="s">
        <v>145</v>
      </c>
      <c r="S4882">
        <v>0</v>
      </c>
    </row>
    <row r="4883" spans="1:19">
      <c r="A4883" t="s">
        <v>35</v>
      </c>
      <c r="B4883" t="s">
        <v>342</v>
      </c>
      <c r="C4883">
        <f>"HC015"</f>
        <v>0</v>
      </c>
      <c r="D4883">
        <v>0</v>
      </c>
      <c r="E4883">
        <v>0</v>
      </c>
      <c r="F4883">
        <v>0</v>
      </c>
      <c r="G4883">
        <v>1</v>
      </c>
      <c r="H4883">
        <v>1</v>
      </c>
      <c r="I4883">
        <v>0</v>
      </c>
      <c r="J4883">
        <v>14</v>
      </c>
      <c r="K4883">
        <v>18.774</v>
      </c>
      <c r="L4883" s="2">
        <v>1</v>
      </c>
      <c r="M4883">
        <v>0</v>
      </c>
      <c r="N4883" s="2">
        <v>0</v>
      </c>
      <c r="O4883">
        <v>-11.8</v>
      </c>
      <c r="P4883" t="s">
        <v>10318</v>
      </c>
      <c r="Q4883">
        <v>583</v>
      </c>
      <c r="R4883" t="s">
        <v>11204</v>
      </c>
      <c r="S4883">
        <v>1</v>
      </c>
    </row>
    <row r="4884" spans="1:19">
      <c r="A4884" t="s">
        <v>35</v>
      </c>
      <c r="B4884" t="s">
        <v>317</v>
      </c>
      <c r="C4884">
        <f>"CT136"</f>
        <v>0</v>
      </c>
      <c r="D4884">
        <v>0</v>
      </c>
      <c r="E4884">
        <v>0</v>
      </c>
      <c r="F4884">
        <v>1</v>
      </c>
      <c r="G4884">
        <v>1</v>
      </c>
      <c r="H4884">
        <v>2</v>
      </c>
      <c r="I4884">
        <v>0.5</v>
      </c>
      <c r="J4884">
        <v>12</v>
      </c>
      <c r="K4884">
        <v>7.02</v>
      </c>
      <c r="L4884" s="2">
        <v>1</v>
      </c>
      <c r="M4884">
        <v>0</v>
      </c>
      <c r="N4884" s="2">
        <v>0</v>
      </c>
      <c r="O4884">
        <v>-11.9</v>
      </c>
      <c r="P4884" t="s">
        <v>11049</v>
      </c>
      <c r="Q4884">
        <v>667</v>
      </c>
      <c r="R4884" t="s">
        <v>11205</v>
      </c>
      <c r="S4884">
        <v>0</v>
      </c>
    </row>
    <row r="4885" spans="1:19">
      <c r="A4885" t="s">
        <v>35</v>
      </c>
      <c r="B4885" t="s">
        <v>9865</v>
      </c>
      <c r="C4885">
        <f>"EK3004AZ"</f>
        <v>0</v>
      </c>
      <c r="D4885">
        <v>0</v>
      </c>
      <c r="E4885">
        <v>0</v>
      </c>
      <c r="F4885">
        <v>0</v>
      </c>
      <c r="G4885">
        <v>0</v>
      </c>
      <c r="H4885">
        <v>0</v>
      </c>
      <c r="I4885">
        <v>0</v>
      </c>
      <c r="J4885">
        <v>10</v>
      </c>
      <c r="K4885">
        <v>16.96</v>
      </c>
      <c r="L4885" s="2">
        <v>2</v>
      </c>
      <c r="M4885">
        <v>0</v>
      </c>
      <c r="N4885" s="2">
        <v>0</v>
      </c>
      <c r="O4885">
        <v>-12</v>
      </c>
      <c r="P4885" t="s">
        <v>100</v>
      </c>
      <c r="Q4885">
        <v>0</v>
      </c>
      <c r="R4885" t="s">
        <v>145</v>
      </c>
      <c r="S4885">
        <v>0</v>
      </c>
    </row>
    <row r="4886" spans="1:19">
      <c r="A4886" t="s">
        <v>35</v>
      </c>
      <c r="B4886" t="s">
        <v>6843</v>
      </c>
      <c r="C4886">
        <f>"HXC23"</f>
        <v>0</v>
      </c>
      <c r="D4886">
        <v>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10</v>
      </c>
      <c r="K4886">
        <v>22.05</v>
      </c>
      <c r="L4886" s="2">
        <v>2</v>
      </c>
      <c r="M4886">
        <v>0</v>
      </c>
      <c r="N4886" s="2">
        <v>0</v>
      </c>
      <c r="O4886">
        <v>-12</v>
      </c>
      <c r="P4886" t="s">
        <v>100</v>
      </c>
      <c r="Q4886">
        <v>0</v>
      </c>
      <c r="R4886" t="s">
        <v>145</v>
      </c>
      <c r="S4886">
        <v>0</v>
      </c>
    </row>
    <row r="4887" spans="1:19">
      <c r="A4887" t="s">
        <v>35</v>
      </c>
      <c r="B4887" t="s">
        <v>8059</v>
      </c>
      <c r="C4887">
        <f>"HD38XXL"</f>
        <v>0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10</v>
      </c>
      <c r="K4887">
        <v>40.95</v>
      </c>
      <c r="L4887" s="2">
        <v>4</v>
      </c>
      <c r="M4887">
        <v>0</v>
      </c>
      <c r="N4887" s="2">
        <v>0</v>
      </c>
      <c r="O4887">
        <v>-12</v>
      </c>
      <c r="P4887" t="s">
        <v>100</v>
      </c>
      <c r="Q4887">
        <v>0</v>
      </c>
      <c r="R4887" t="s">
        <v>145</v>
      </c>
      <c r="S4887">
        <v>0</v>
      </c>
    </row>
    <row r="4888" spans="1:19">
      <c r="A4888" t="s">
        <v>35</v>
      </c>
      <c r="B4888" t="s">
        <v>2497</v>
      </c>
      <c r="C4888">
        <f>"KHSG0077"</f>
        <v>0</v>
      </c>
      <c r="D4888">
        <v>0</v>
      </c>
      <c r="E4888">
        <v>1</v>
      </c>
      <c r="F4888">
        <v>0</v>
      </c>
      <c r="G4888">
        <v>0</v>
      </c>
      <c r="H4888">
        <v>1</v>
      </c>
      <c r="I4888">
        <v>0</v>
      </c>
      <c r="J4888">
        <v>10</v>
      </c>
      <c r="K4888">
        <v>14.04</v>
      </c>
      <c r="L4888" s="2">
        <v>1</v>
      </c>
      <c r="M4888">
        <v>0</v>
      </c>
      <c r="N4888" s="2">
        <v>0</v>
      </c>
      <c r="O4888">
        <v>-12</v>
      </c>
      <c r="P4888" t="s">
        <v>100</v>
      </c>
      <c r="Q4888">
        <v>0</v>
      </c>
      <c r="R4888" t="s">
        <v>145</v>
      </c>
      <c r="S4888">
        <v>0</v>
      </c>
    </row>
    <row r="4889" spans="1:19">
      <c r="A4889" t="s">
        <v>35</v>
      </c>
      <c r="B4889" t="s">
        <v>6635</v>
      </c>
      <c r="C4889">
        <f>"HH032XS"</f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10</v>
      </c>
      <c r="K4889">
        <v>71.09999999999999</v>
      </c>
      <c r="L4889" s="2">
        <v>7</v>
      </c>
      <c r="M4889">
        <v>0</v>
      </c>
      <c r="N4889" s="2">
        <v>0</v>
      </c>
      <c r="O4889">
        <v>-12</v>
      </c>
      <c r="P4889" t="s">
        <v>100</v>
      </c>
      <c r="Q4889">
        <v>0</v>
      </c>
      <c r="R4889" t="s">
        <v>145</v>
      </c>
      <c r="S4889">
        <v>0</v>
      </c>
    </row>
    <row r="4890" spans="1:19">
      <c r="A4890" t="s">
        <v>35</v>
      </c>
      <c r="B4890" t="s">
        <v>5978</v>
      </c>
      <c r="C4890">
        <f>"SK3013"</f>
        <v>0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10</v>
      </c>
      <c r="K4890">
        <v>53.91</v>
      </c>
      <c r="L4890" s="2">
        <v>5</v>
      </c>
      <c r="M4890">
        <v>0</v>
      </c>
      <c r="N4890" s="2">
        <v>0</v>
      </c>
      <c r="O4890">
        <v>-12</v>
      </c>
      <c r="P4890" t="s">
        <v>100</v>
      </c>
      <c r="Q4890">
        <v>0</v>
      </c>
      <c r="R4890" t="s">
        <v>145</v>
      </c>
      <c r="S4890">
        <v>0</v>
      </c>
    </row>
    <row r="4891" spans="1:19">
      <c r="A4891" t="s">
        <v>35</v>
      </c>
      <c r="B4891" t="s">
        <v>7472</v>
      </c>
      <c r="C4891">
        <f>"KLA6M"</f>
        <v>0</v>
      </c>
      <c r="D4891">
        <v>0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10</v>
      </c>
      <c r="K4891">
        <v>35.91</v>
      </c>
      <c r="L4891" s="2">
        <v>4</v>
      </c>
      <c r="M4891">
        <v>0</v>
      </c>
      <c r="N4891" s="2">
        <v>0</v>
      </c>
      <c r="O4891">
        <v>-12</v>
      </c>
      <c r="P4891" t="s">
        <v>100</v>
      </c>
      <c r="Q4891">
        <v>0</v>
      </c>
      <c r="R4891" t="s">
        <v>145</v>
      </c>
      <c r="S4891">
        <v>0</v>
      </c>
    </row>
    <row r="4892" spans="1:19">
      <c r="A4892" t="s">
        <v>35</v>
      </c>
      <c r="B4892" t="s">
        <v>8807</v>
      </c>
      <c r="C4892">
        <f>"LMXL"</f>
        <v>0</v>
      </c>
      <c r="D4892">
        <v>0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10</v>
      </c>
      <c r="K4892">
        <v>49.05</v>
      </c>
      <c r="L4892" s="2">
        <v>5</v>
      </c>
      <c r="M4892">
        <v>0</v>
      </c>
      <c r="N4892" s="2">
        <v>0</v>
      </c>
      <c r="O4892">
        <v>-12</v>
      </c>
      <c r="P4892" t="s">
        <v>100</v>
      </c>
      <c r="Q4892">
        <v>0</v>
      </c>
      <c r="R4892" t="s">
        <v>145</v>
      </c>
      <c r="S4892">
        <v>0</v>
      </c>
    </row>
    <row r="4893" spans="1:19">
      <c r="A4893" t="s">
        <v>35</v>
      </c>
      <c r="B4893" t="s">
        <v>5439</v>
      </c>
      <c r="C4893">
        <f>"E231L"</f>
        <v>0</v>
      </c>
      <c r="D4893">
        <v>0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10</v>
      </c>
      <c r="K4893">
        <v>24.3</v>
      </c>
      <c r="L4893" s="2">
        <v>2</v>
      </c>
      <c r="M4893">
        <v>0</v>
      </c>
      <c r="N4893" s="2">
        <v>0</v>
      </c>
      <c r="O4893">
        <v>-12</v>
      </c>
      <c r="P4893" t="s">
        <v>100</v>
      </c>
      <c r="Q4893">
        <v>0</v>
      </c>
      <c r="R4893" t="s">
        <v>145</v>
      </c>
      <c r="S4893">
        <v>0</v>
      </c>
    </row>
    <row r="4894" spans="1:19">
      <c r="A4894" t="s">
        <v>35</v>
      </c>
      <c r="B4894" t="s">
        <v>4946</v>
      </c>
      <c r="C4894">
        <f>"SP031"</f>
        <v>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10</v>
      </c>
      <c r="K4894">
        <v>126.49</v>
      </c>
      <c r="L4894" s="2">
        <v>13</v>
      </c>
      <c r="M4894">
        <v>0</v>
      </c>
      <c r="N4894" s="2">
        <v>0</v>
      </c>
      <c r="O4894">
        <v>-12</v>
      </c>
      <c r="P4894" t="s">
        <v>100</v>
      </c>
      <c r="Q4894">
        <v>0</v>
      </c>
      <c r="R4894" t="s">
        <v>145</v>
      </c>
      <c r="S4894">
        <v>0</v>
      </c>
    </row>
    <row r="4895" spans="1:19">
      <c r="A4895" t="s">
        <v>35</v>
      </c>
      <c r="B4895" t="s">
        <v>9014</v>
      </c>
      <c r="C4895">
        <f>"W0056"</f>
        <v>0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10</v>
      </c>
      <c r="K4895">
        <v>26.91</v>
      </c>
      <c r="L4895" s="2">
        <v>3</v>
      </c>
      <c r="M4895">
        <v>0</v>
      </c>
      <c r="N4895" s="2">
        <v>0</v>
      </c>
      <c r="O4895">
        <v>-12</v>
      </c>
      <c r="P4895" t="s">
        <v>100</v>
      </c>
      <c r="Q4895">
        <v>0</v>
      </c>
      <c r="R4895" t="s">
        <v>145</v>
      </c>
      <c r="S4895">
        <v>0</v>
      </c>
    </row>
    <row r="4896" spans="1:19">
      <c r="A4896" t="s">
        <v>35</v>
      </c>
      <c r="B4896" t="s">
        <v>6665</v>
      </c>
      <c r="C4896">
        <f>"BBT01MN"</f>
        <v>0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10</v>
      </c>
      <c r="K4896">
        <v>40.5</v>
      </c>
      <c r="L4896" s="2">
        <v>4</v>
      </c>
      <c r="M4896">
        <v>0</v>
      </c>
      <c r="N4896" s="2">
        <v>0</v>
      </c>
      <c r="O4896">
        <v>-12</v>
      </c>
      <c r="P4896" t="s">
        <v>100</v>
      </c>
      <c r="Q4896">
        <v>0</v>
      </c>
      <c r="R4896" t="s">
        <v>145</v>
      </c>
      <c r="S4896">
        <v>0</v>
      </c>
    </row>
    <row r="4897" spans="1:19">
      <c r="A4897" t="s">
        <v>35</v>
      </c>
      <c r="B4897" t="s">
        <v>2417</v>
      </c>
      <c r="C4897">
        <f>"DR124R"</f>
        <v>0</v>
      </c>
      <c r="D4897">
        <v>0</v>
      </c>
      <c r="E4897">
        <v>1</v>
      </c>
      <c r="F4897">
        <v>0</v>
      </c>
      <c r="G4897">
        <v>0</v>
      </c>
      <c r="H4897">
        <v>1</v>
      </c>
      <c r="I4897">
        <v>0</v>
      </c>
      <c r="J4897">
        <v>10</v>
      </c>
      <c r="K4897">
        <v>21.528</v>
      </c>
      <c r="L4897" s="2">
        <v>2</v>
      </c>
      <c r="M4897">
        <v>0</v>
      </c>
      <c r="N4897" s="2">
        <v>0</v>
      </c>
      <c r="O4897">
        <v>-12</v>
      </c>
      <c r="P4897" t="s">
        <v>100</v>
      </c>
      <c r="Q4897">
        <v>0</v>
      </c>
      <c r="R4897" t="s">
        <v>145</v>
      </c>
      <c r="S4897">
        <v>0</v>
      </c>
    </row>
    <row r="4898" spans="1:19">
      <c r="A4898" t="s">
        <v>35</v>
      </c>
      <c r="B4898" t="s">
        <v>2625</v>
      </c>
      <c r="C4898">
        <f>"D311XXL"</f>
        <v>0</v>
      </c>
      <c r="D4898">
        <v>0</v>
      </c>
      <c r="E4898">
        <v>1</v>
      </c>
      <c r="F4898">
        <v>0</v>
      </c>
      <c r="G4898">
        <v>0</v>
      </c>
      <c r="H4898">
        <v>1</v>
      </c>
      <c r="I4898">
        <v>0</v>
      </c>
      <c r="J4898">
        <v>10</v>
      </c>
      <c r="K4898">
        <v>12.06</v>
      </c>
      <c r="L4898" s="2">
        <v>1</v>
      </c>
      <c r="M4898">
        <v>0</v>
      </c>
      <c r="N4898" s="2">
        <v>0</v>
      </c>
      <c r="O4898">
        <v>-12</v>
      </c>
      <c r="P4898" t="s">
        <v>100</v>
      </c>
      <c r="Q4898">
        <v>0</v>
      </c>
      <c r="R4898" t="s">
        <v>145</v>
      </c>
      <c r="S4898">
        <v>0</v>
      </c>
    </row>
    <row r="4899" spans="1:19">
      <c r="A4899" t="s">
        <v>35</v>
      </c>
      <c r="B4899" t="s">
        <v>5196</v>
      </c>
      <c r="C4899">
        <f>"1812LSBLUE"</f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10</v>
      </c>
      <c r="K4899">
        <v>31.95</v>
      </c>
      <c r="L4899" s="2">
        <v>3</v>
      </c>
      <c r="M4899">
        <v>0</v>
      </c>
      <c r="N4899" s="2">
        <v>0</v>
      </c>
      <c r="O4899">
        <v>-12</v>
      </c>
      <c r="P4899" t="s">
        <v>100</v>
      </c>
      <c r="Q4899">
        <v>0</v>
      </c>
      <c r="R4899" t="s">
        <v>145</v>
      </c>
      <c r="S4899">
        <v>0</v>
      </c>
    </row>
    <row r="4900" spans="1:19">
      <c r="A4900" t="s">
        <v>35</v>
      </c>
      <c r="B4900" t="s">
        <v>2675</v>
      </c>
      <c r="C4900">
        <f>"XB1861CAM"</f>
        <v>0</v>
      </c>
      <c r="D4900">
        <v>0</v>
      </c>
      <c r="E4900">
        <v>1</v>
      </c>
      <c r="F4900">
        <v>0</v>
      </c>
      <c r="G4900">
        <v>0</v>
      </c>
      <c r="H4900">
        <v>1</v>
      </c>
      <c r="I4900">
        <v>0</v>
      </c>
      <c r="J4900">
        <v>10</v>
      </c>
      <c r="K4900">
        <v>80.91</v>
      </c>
      <c r="L4900" s="2">
        <v>8</v>
      </c>
      <c r="M4900">
        <v>0</v>
      </c>
      <c r="N4900" s="2">
        <v>0</v>
      </c>
      <c r="O4900">
        <v>-12</v>
      </c>
      <c r="P4900" t="s">
        <v>100</v>
      </c>
      <c r="Q4900">
        <v>0</v>
      </c>
      <c r="R4900" t="s">
        <v>145</v>
      </c>
      <c r="S4900">
        <v>0</v>
      </c>
    </row>
    <row r="4901" spans="1:19">
      <c r="A4901" t="s">
        <v>35</v>
      </c>
      <c r="B4901" t="s">
        <v>9061</v>
      </c>
      <c r="C4901">
        <f>"AK1"</f>
        <v>0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10</v>
      </c>
      <c r="K4901">
        <v>28.208</v>
      </c>
      <c r="L4901" s="2">
        <v>3</v>
      </c>
      <c r="M4901">
        <v>0</v>
      </c>
      <c r="N4901" s="2">
        <v>0</v>
      </c>
      <c r="O4901">
        <v>-12</v>
      </c>
      <c r="P4901" t="s">
        <v>100</v>
      </c>
      <c r="Q4901">
        <v>0</v>
      </c>
      <c r="R4901" t="s">
        <v>145</v>
      </c>
      <c r="S4901">
        <v>0</v>
      </c>
    </row>
    <row r="4902" spans="1:19">
      <c r="A4902" t="s">
        <v>35</v>
      </c>
      <c r="B4902" t="s">
        <v>5122</v>
      </c>
      <c r="C4902">
        <f>"XB1861CAL"</f>
        <v>0</v>
      </c>
      <c r="D4902">
        <v>0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10</v>
      </c>
      <c r="K4902">
        <v>83.25</v>
      </c>
      <c r="L4902" s="2">
        <v>8</v>
      </c>
      <c r="M4902">
        <v>0</v>
      </c>
      <c r="N4902" s="2">
        <v>0</v>
      </c>
      <c r="O4902">
        <v>-12</v>
      </c>
      <c r="P4902" t="s">
        <v>100</v>
      </c>
      <c r="Q4902">
        <v>0</v>
      </c>
      <c r="R4902" t="s">
        <v>145</v>
      </c>
      <c r="S4902">
        <v>0</v>
      </c>
    </row>
    <row r="4903" spans="1:19">
      <c r="A4903" t="s">
        <v>35</v>
      </c>
      <c r="B4903" t="s">
        <v>7175</v>
      </c>
      <c r="C4903">
        <f>"JH1"</f>
        <v>0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10</v>
      </c>
      <c r="K4903">
        <v>12.54</v>
      </c>
      <c r="L4903" s="2">
        <v>1</v>
      </c>
      <c r="M4903">
        <v>0</v>
      </c>
      <c r="N4903" s="2">
        <v>0</v>
      </c>
      <c r="O4903">
        <v>-12</v>
      </c>
      <c r="P4903" t="s">
        <v>100</v>
      </c>
      <c r="Q4903">
        <v>0</v>
      </c>
      <c r="R4903" t="s">
        <v>145</v>
      </c>
      <c r="S4903">
        <v>0</v>
      </c>
    </row>
    <row r="4904" spans="1:19">
      <c r="A4904" t="s">
        <v>35</v>
      </c>
      <c r="B4904" t="s">
        <v>2375</v>
      </c>
      <c r="C4904">
        <f>"TC2040"</f>
        <v>0</v>
      </c>
      <c r="D4904">
        <v>0</v>
      </c>
      <c r="E4904">
        <v>0</v>
      </c>
      <c r="F4904">
        <v>1</v>
      </c>
      <c r="G4904">
        <v>0</v>
      </c>
      <c r="H4904">
        <v>1</v>
      </c>
      <c r="I4904">
        <v>0</v>
      </c>
      <c r="J4904">
        <v>10</v>
      </c>
      <c r="K4904">
        <v>6.21</v>
      </c>
      <c r="L4904" s="2">
        <v>1</v>
      </c>
      <c r="M4904">
        <v>0</v>
      </c>
      <c r="N4904" s="2">
        <v>0</v>
      </c>
      <c r="O4904">
        <v>-12</v>
      </c>
      <c r="P4904" t="s">
        <v>100</v>
      </c>
      <c r="Q4904">
        <v>0</v>
      </c>
      <c r="R4904" t="s">
        <v>145</v>
      </c>
      <c r="S4904">
        <v>0</v>
      </c>
    </row>
    <row r="4905" spans="1:19">
      <c r="A4905" t="s">
        <v>35</v>
      </c>
      <c r="B4905" t="s">
        <v>2850</v>
      </c>
      <c r="C4905">
        <f>"B19162XLG"</f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10</v>
      </c>
      <c r="K4905">
        <v>103.5</v>
      </c>
      <c r="L4905" s="2">
        <v>10</v>
      </c>
      <c r="M4905">
        <v>0</v>
      </c>
      <c r="N4905" s="2">
        <v>0</v>
      </c>
      <c r="O4905">
        <v>-12</v>
      </c>
      <c r="P4905" t="s">
        <v>100</v>
      </c>
      <c r="Q4905">
        <v>0</v>
      </c>
      <c r="R4905" t="s">
        <v>145</v>
      </c>
      <c r="S4905">
        <v>0</v>
      </c>
    </row>
    <row r="4906" spans="1:19">
      <c r="A4906" t="s">
        <v>35</v>
      </c>
      <c r="B4906" t="s">
        <v>8436</v>
      </c>
      <c r="C4906">
        <f>"W001V"</f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10</v>
      </c>
      <c r="K4906">
        <v>51.75</v>
      </c>
      <c r="L4906" s="2">
        <v>5</v>
      </c>
      <c r="M4906">
        <v>0</v>
      </c>
      <c r="N4906" s="2">
        <v>0</v>
      </c>
      <c r="O4906">
        <v>-12</v>
      </c>
      <c r="P4906" t="s">
        <v>100</v>
      </c>
      <c r="Q4906">
        <v>0</v>
      </c>
      <c r="R4906" t="s">
        <v>145</v>
      </c>
      <c r="S4906">
        <v>0</v>
      </c>
    </row>
    <row r="4907" spans="1:19">
      <c r="A4907" t="s">
        <v>35</v>
      </c>
      <c r="B4907" t="s">
        <v>2403</v>
      </c>
      <c r="C4907">
        <f>"SLL10310M"</f>
        <v>0</v>
      </c>
      <c r="D4907">
        <v>0</v>
      </c>
      <c r="E4907">
        <v>0</v>
      </c>
      <c r="F4907">
        <v>1</v>
      </c>
      <c r="G4907">
        <v>0</v>
      </c>
      <c r="H4907">
        <v>1</v>
      </c>
      <c r="I4907">
        <v>0</v>
      </c>
      <c r="J4907">
        <v>10</v>
      </c>
      <c r="K4907">
        <v>18.33</v>
      </c>
      <c r="L4907" s="2">
        <v>2</v>
      </c>
      <c r="M4907">
        <v>0</v>
      </c>
      <c r="N4907" s="2">
        <v>0</v>
      </c>
      <c r="O4907">
        <v>-12</v>
      </c>
      <c r="P4907" t="s">
        <v>100</v>
      </c>
      <c r="Q4907">
        <v>0</v>
      </c>
      <c r="R4907" t="s">
        <v>145</v>
      </c>
      <c r="S4907">
        <v>0</v>
      </c>
    </row>
    <row r="4908" spans="1:19">
      <c r="A4908" t="s">
        <v>35</v>
      </c>
      <c r="B4908" t="s">
        <v>4230</v>
      </c>
      <c r="C4908">
        <f>"FB678S"</f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10</v>
      </c>
      <c r="K4908">
        <v>35.91</v>
      </c>
      <c r="L4908" s="2">
        <v>4</v>
      </c>
      <c r="M4908">
        <v>0</v>
      </c>
      <c r="N4908" s="2">
        <v>0</v>
      </c>
      <c r="O4908">
        <v>-12</v>
      </c>
      <c r="P4908" t="s">
        <v>100</v>
      </c>
      <c r="Q4908">
        <v>0</v>
      </c>
      <c r="R4908" t="s">
        <v>145</v>
      </c>
      <c r="S4908">
        <v>0</v>
      </c>
    </row>
    <row r="4909" spans="1:19">
      <c r="A4909" t="s">
        <v>35</v>
      </c>
      <c r="B4909" t="s">
        <v>6880</v>
      </c>
      <c r="C4909">
        <f>"KX4222"</f>
        <v>0</v>
      </c>
      <c r="D4909">
        <v>0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10</v>
      </c>
      <c r="K4909">
        <v>7.65</v>
      </c>
      <c r="L4909" s="2">
        <v>1</v>
      </c>
      <c r="M4909">
        <v>0</v>
      </c>
      <c r="N4909" s="2">
        <v>0</v>
      </c>
      <c r="O4909">
        <v>-12</v>
      </c>
      <c r="P4909" t="s">
        <v>100</v>
      </c>
      <c r="Q4909">
        <v>0</v>
      </c>
      <c r="R4909" t="s">
        <v>145</v>
      </c>
      <c r="S4909">
        <v>0</v>
      </c>
    </row>
    <row r="4910" spans="1:19">
      <c r="A4910" t="s">
        <v>35</v>
      </c>
      <c r="B4910" t="s">
        <v>8438</v>
      </c>
      <c r="C4910">
        <f>"W001AZ"</f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10</v>
      </c>
      <c r="K4910">
        <v>51.75</v>
      </c>
      <c r="L4910" s="2">
        <v>5</v>
      </c>
      <c r="M4910">
        <v>0</v>
      </c>
      <c r="N4910" s="2">
        <v>0</v>
      </c>
      <c r="O4910">
        <v>-12</v>
      </c>
      <c r="P4910" t="s">
        <v>100</v>
      </c>
      <c r="Q4910">
        <v>0</v>
      </c>
      <c r="R4910" t="s">
        <v>145</v>
      </c>
      <c r="S4910">
        <v>0</v>
      </c>
    </row>
    <row r="4911" spans="1:19">
      <c r="A4911" t="s">
        <v>35</v>
      </c>
      <c r="B4911" t="s">
        <v>8109</v>
      </c>
      <c r="C4911">
        <f>"COO2834L"</f>
        <v>0</v>
      </c>
      <c r="D4911">
        <v>0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10</v>
      </c>
      <c r="K4911">
        <v>220.5</v>
      </c>
      <c r="L4911" s="2">
        <v>22</v>
      </c>
      <c r="M4911">
        <v>0</v>
      </c>
      <c r="N4911" s="2">
        <v>0</v>
      </c>
      <c r="O4911">
        <v>-12</v>
      </c>
      <c r="P4911" t="s">
        <v>100</v>
      </c>
      <c r="Q4911">
        <v>0</v>
      </c>
      <c r="R4911" t="s">
        <v>145</v>
      </c>
      <c r="S4911">
        <v>0</v>
      </c>
    </row>
    <row r="4912" spans="1:19">
      <c r="A4912" t="s">
        <v>35</v>
      </c>
      <c r="B4912" t="s">
        <v>8042</v>
      </c>
      <c r="C4912">
        <f>"8025S"</f>
        <v>0</v>
      </c>
      <c r="D4912">
        <v>0</v>
      </c>
      <c r="E4912">
        <v>0</v>
      </c>
      <c r="F4912">
        <v>0</v>
      </c>
      <c r="G4912">
        <v>0</v>
      </c>
      <c r="H4912">
        <v>0</v>
      </c>
      <c r="I4912">
        <v>0</v>
      </c>
      <c r="J4912">
        <v>10</v>
      </c>
      <c r="K4912">
        <v>52.2</v>
      </c>
      <c r="L4912" s="2">
        <v>5</v>
      </c>
      <c r="M4912">
        <v>0</v>
      </c>
      <c r="N4912" s="2">
        <v>0</v>
      </c>
      <c r="O4912">
        <v>-12</v>
      </c>
      <c r="P4912" t="s">
        <v>100</v>
      </c>
      <c r="Q4912">
        <v>0</v>
      </c>
      <c r="R4912" t="s">
        <v>145</v>
      </c>
      <c r="S4912">
        <v>0</v>
      </c>
    </row>
    <row r="4913" spans="1:19">
      <c r="A4913" t="s">
        <v>35</v>
      </c>
      <c r="B4913" t="s">
        <v>5696</v>
      </c>
      <c r="C4913">
        <f>"U457"</f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10</v>
      </c>
      <c r="K4913">
        <v>116.1</v>
      </c>
      <c r="L4913" s="2">
        <v>12</v>
      </c>
      <c r="M4913">
        <v>0</v>
      </c>
      <c r="N4913" s="2">
        <v>0</v>
      </c>
      <c r="O4913">
        <v>-12</v>
      </c>
      <c r="P4913" t="s">
        <v>100</v>
      </c>
      <c r="Q4913">
        <v>0</v>
      </c>
      <c r="R4913" t="s">
        <v>145</v>
      </c>
      <c r="S4913">
        <v>0</v>
      </c>
    </row>
    <row r="4914" spans="1:19">
      <c r="A4914" t="s">
        <v>35</v>
      </c>
      <c r="B4914" t="s">
        <v>6854</v>
      </c>
      <c r="C4914">
        <f>"CL333GS"</f>
        <v>0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10</v>
      </c>
      <c r="K4914">
        <v>19.8</v>
      </c>
      <c r="L4914" s="2">
        <v>2</v>
      </c>
      <c r="M4914">
        <v>0</v>
      </c>
      <c r="N4914" s="2">
        <v>0</v>
      </c>
      <c r="O4914">
        <v>-12</v>
      </c>
      <c r="P4914" t="s">
        <v>100</v>
      </c>
      <c r="Q4914">
        <v>0</v>
      </c>
      <c r="R4914" t="s">
        <v>145</v>
      </c>
      <c r="S4914">
        <v>0</v>
      </c>
    </row>
    <row r="4915" spans="1:19">
      <c r="A4915" t="s">
        <v>35</v>
      </c>
      <c r="B4915" t="s">
        <v>6421</v>
      </c>
      <c r="C4915">
        <f>"SK3008"</f>
        <v>0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10</v>
      </c>
      <c r="K4915">
        <v>35.91</v>
      </c>
      <c r="L4915" s="2">
        <v>4</v>
      </c>
      <c r="M4915">
        <v>0</v>
      </c>
      <c r="N4915" s="2">
        <v>0</v>
      </c>
      <c r="O4915">
        <v>-12</v>
      </c>
      <c r="P4915" t="s">
        <v>100</v>
      </c>
      <c r="Q4915">
        <v>0</v>
      </c>
      <c r="R4915" t="s">
        <v>145</v>
      </c>
      <c r="S4915">
        <v>0</v>
      </c>
    </row>
    <row r="4916" spans="1:19">
      <c r="A4916" t="s">
        <v>35</v>
      </c>
      <c r="B4916" t="s">
        <v>2457</v>
      </c>
      <c r="C4916">
        <f>"LYC040541"</f>
        <v>0</v>
      </c>
      <c r="D4916">
        <v>1</v>
      </c>
      <c r="E4916">
        <v>0</v>
      </c>
      <c r="F4916">
        <v>0</v>
      </c>
      <c r="G4916">
        <v>0</v>
      </c>
      <c r="H4916">
        <v>1</v>
      </c>
      <c r="I4916">
        <v>0</v>
      </c>
      <c r="J4916">
        <v>10</v>
      </c>
      <c r="K4916">
        <v>134.1</v>
      </c>
      <c r="L4916" s="2">
        <v>13</v>
      </c>
      <c r="M4916">
        <v>0</v>
      </c>
      <c r="N4916" s="2">
        <v>0</v>
      </c>
      <c r="O4916">
        <v>-12</v>
      </c>
      <c r="P4916" t="s">
        <v>100</v>
      </c>
      <c r="Q4916">
        <v>0</v>
      </c>
      <c r="R4916" t="s">
        <v>145</v>
      </c>
      <c r="S4916">
        <v>0</v>
      </c>
    </row>
    <row r="4917" spans="1:19">
      <c r="A4917" t="s">
        <v>35</v>
      </c>
      <c r="B4917" t="s">
        <v>2668</v>
      </c>
      <c r="C4917">
        <f>"JXW18020S"</f>
        <v>0</v>
      </c>
      <c r="D4917">
        <v>1</v>
      </c>
      <c r="E4917">
        <v>0</v>
      </c>
      <c r="F4917">
        <v>0</v>
      </c>
      <c r="G4917">
        <v>0</v>
      </c>
      <c r="H4917">
        <v>1</v>
      </c>
      <c r="I4917">
        <v>0</v>
      </c>
      <c r="J4917">
        <v>10</v>
      </c>
      <c r="K4917">
        <v>71.232</v>
      </c>
      <c r="L4917" s="2">
        <v>7</v>
      </c>
      <c r="M4917">
        <v>0</v>
      </c>
      <c r="N4917" s="2">
        <v>0</v>
      </c>
      <c r="O4917">
        <v>-12</v>
      </c>
      <c r="P4917" t="s">
        <v>100</v>
      </c>
      <c r="Q4917">
        <v>0</v>
      </c>
      <c r="R4917" t="s">
        <v>145</v>
      </c>
      <c r="S4917">
        <v>0</v>
      </c>
    </row>
    <row r="4918" spans="1:19">
      <c r="A4918" t="s">
        <v>35</v>
      </c>
      <c r="B4918" t="s">
        <v>7114</v>
      </c>
      <c r="C4918">
        <f>"XQ31M"</f>
        <v>0</v>
      </c>
      <c r="D4918">
        <v>0</v>
      </c>
      <c r="E4918">
        <v>0</v>
      </c>
      <c r="F4918">
        <v>0</v>
      </c>
      <c r="G4918">
        <v>0</v>
      </c>
      <c r="H4918">
        <v>0</v>
      </c>
      <c r="I4918">
        <v>0</v>
      </c>
      <c r="J4918">
        <v>10</v>
      </c>
      <c r="K4918">
        <v>14.76</v>
      </c>
      <c r="L4918" s="2">
        <v>1</v>
      </c>
      <c r="M4918">
        <v>0</v>
      </c>
      <c r="N4918" s="2">
        <v>0</v>
      </c>
      <c r="O4918">
        <v>-12</v>
      </c>
      <c r="P4918" t="s">
        <v>100</v>
      </c>
      <c r="Q4918">
        <v>0</v>
      </c>
      <c r="R4918" t="s">
        <v>145</v>
      </c>
      <c r="S4918">
        <v>0</v>
      </c>
    </row>
    <row r="4919" spans="1:19">
      <c r="A4919" t="s">
        <v>35</v>
      </c>
      <c r="B4919" t="s">
        <v>2616</v>
      </c>
      <c r="C4919">
        <f>"TDI908"</f>
        <v>0</v>
      </c>
      <c r="D4919">
        <v>0</v>
      </c>
      <c r="E4919">
        <v>1</v>
      </c>
      <c r="F4919">
        <v>0</v>
      </c>
      <c r="G4919">
        <v>0</v>
      </c>
      <c r="H4919">
        <v>1</v>
      </c>
      <c r="I4919">
        <v>0</v>
      </c>
      <c r="J4919">
        <v>10</v>
      </c>
      <c r="K4919">
        <v>35.55</v>
      </c>
      <c r="L4919" s="2">
        <v>4</v>
      </c>
      <c r="M4919">
        <v>0</v>
      </c>
      <c r="N4919" s="2">
        <v>0</v>
      </c>
      <c r="O4919">
        <v>-12</v>
      </c>
      <c r="P4919" t="s">
        <v>100</v>
      </c>
      <c r="Q4919">
        <v>0</v>
      </c>
      <c r="R4919" t="s">
        <v>145</v>
      </c>
      <c r="S4919">
        <v>0</v>
      </c>
    </row>
    <row r="4920" spans="1:19">
      <c r="A4920" t="s">
        <v>35</v>
      </c>
      <c r="B4920" t="s">
        <v>7161</v>
      </c>
      <c r="C4920">
        <f>"HH088SV"</f>
        <v>0</v>
      </c>
      <c r="D4920">
        <v>0</v>
      </c>
      <c r="E4920">
        <v>0</v>
      </c>
      <c r="F4920">
        <v>0</v>
      </c>
      <c r="G4920">
        <v>0</v>
      </c>
      <c r="H4920">
        <v>0</v>
      </c>
      <c r="I4920">
        <v>0</v>
      </c>
      <c r="J4920">
        <v>10</v>
      </c>
      <c r="K4920">
        <v>85.08</v>
      </c>
      <c r="L4920" s="2">
        <v>9</v>
      </c>
      <c r="M4920">
        <v>0</v>
      </c>
      <c r="N4920" s="2">
        <v>0</v>
      </c>
      <c r="O4920">
        <v>-12</v>
      </c>
      <c r="P4920" t="s">
        <v>100</v>
      </c>
      <c r="Q4920">
        <v>0</v>
      </c>
      <c r="R4920" t="s">
        <v>145</v>
      </c>
      <c r="S4920">
        <v>0</v>
      </c>
    </row>
    <row r="4921" spans="1:19">
      <c r="A4921" t="s">
        <v>35</v>
      </c>
      <c r="B4921" t="s">
        <v>6846</v>
      </c>
      <c r="C4921">
        <f>"HXC43"</f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0</v>
      </c>
      <c r="J4921">
        <v>10</v>
      </c>
      <c r="K4921">
        <v>21.51</v>
      </c>
      <c r="L4921" s="2">
        <v>2</v>
      </c>
      <c r="M4921">
        <v>0</v>
      </c>
      <c r="N4921" s="2">
        <v>0</v>
      </c>
      <c r="O4921">
        <v>-12</v>
      </c>
      <c r="P4921" t="s">
        <v>100</v>
      </c>
      <c r="Q4921">
        <v>0</v>
      </c>
      <c r="R4921" t="s">
        <v>145</v>
      </c>
      <c r="S4921">
        <v>0</v>
      </c>
    </row>
    <row r="4922" spans="1:19">
      <c r="A4922" t="s">
        <v>35</v>
      </c>
      <c r="B4922" t="s">
        <v>5204</v>
      </c>
      <c r="C4922">
        <f>"1840CMG"</f>
        <v>0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10</v>
      </c>
      <c r="K4922">
        <v>0</v>
      </c>
      <c r="L4922" s="2">
        <v>0</v>
      </c>
      <c r="M4922">
        <v>0</v>
      </c>
      <c r="N4922" s="2">
        <v>0</v>
      </c>
      <c r="O4922">
        <v>-12</v>
      </c>
      <c r="P4922" t="s">
        <v>100</v>
      </c>
      <c r="Q4922">
        <v>0</v>
      </c>
      <c r="R4922" t="s">
        <v>145</v>
      </c>
      <c r="S4922">
        <v>0</v>
      </c>
    </row>
    <row r="4923" spans="1:19">
      <c r="A4923" t="s">
        <v>35</v>
      </c>
      <c r="B4923" t="s">
        <v>4597</v>
      </c>
      <c r="C4923">
        <f>"LC100LNA"</f>
        <v>0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10</v>
      </c>
      <c r="K4923">
        <v>49.5</v>
      </c>
      <c r="L4923" s="2">
        <v>5</v>
      </c>
      <c r="M4923">
        <v>0</v>
      </c>
      <c r="N4923" s="2">
        <v>0</v>
      </c>
      <c r="O4923">
        <v>-12</v>
      </c>
      <c r="P4923" t="s">
        <v>100</v>
      </c>
      <c r="Q4923">
        <v>0</v>
      </c>
      <c r="R4923" t="s">
        <v>145</v>
      </c>
      <c r="S4923">
        <v>0</v>
      </c>
    </row>
    <row r="4924" spans="1:19">
      <c r="A4924" t="s">
        <v>35</v>
      </c>
      <c r="B4924" t="s">
        <v>8502</v>
      </c>
      <c r="C4924">
        <f>"KHBZ056"</f>
        <v>0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10</v>
      </c>
      <c r="K4924">
        <v>12.5</v>
      </c>
      <c r="L4924" s="2">
        <v>1</v>
      </c>
      <c r="M4924">
        <v>0</v>
      </c>
      <c r="N4924" s="2">
        <v>0</v>
      </c>
      <c r="O4924">
        <v>-12</v>
      </c>
      <c r="P4924" t="s">
        <v>100</v>
      </c>
      <c r="Q4924">
        <v>0</v>
      </c>
      <c r="R4924" t="s">
        <v>145</v>
      </c>
      <c r="S4924">
        <v>0</v>
      </c>
    </row>
    <row r="4925" spans="1:19">
      <c r="A4925" t="s">
        <v>35</v>
      </c>
      <c r="B4925" t="s">
        <v>5054</v>
      </c>
      <c r="C4925">
        <f>"1760VPS"</f>
        <v>0</v>
      </c>
      <c r="D4925">
        <v>0</v>
      </c>
      <c r="E4925">
        <v>0</v>
      </c>
      <c r="F4925">
        <v>0</v>
      </c>
      <c r="G4925">
        <v>0</v>
      </c>
      <c r="H4925">
        <v>0</v>
      </c>
      <c r="I4925">
        <v>0</v>
      </c>
      <c r="J4925">
        <v>10</v>
      </c>
      <c r="K4925">
        <v>25.11</v>
      </c>
      <c r="L4925" s="2">
        <v>3</v>
      </c>
      <c r="M4925">
        <v>0</v>
      </c>
      <c r="N4925" s="2">
        <v>0</v>
      </c>
      <c r="O4925">
        <v>-12</v>
      </c>
      <c r="P4925" t="s">
        <v>100</v>
      </c>
      <c r="Q4925">
        <v>0</v>
      </c>
      <c r="R4925" t="s">
        <v>145</v>
      </c>
      <c r="S4925">
        <v>0</v>
      </c>
    </row>
    <row r="4926" spans="1:19">
      <c r="A4926" t="s">
        <v>35</v>
      </c>
      <c r="B4926" t="s">
        <v>4978</v>
      </c>
      <c r="C4926">
        <f>"1881FBM"</f>
        <v>0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10</v>
      </c>
      <c r="K4926">
        <v>68.84999999999999</v>
      </c>
      <c r="L4926" s="2">
        <v>7</v>
      </c>
      <c r="M4926">
        <v>0</v>
      </c>
      <c r="N4926" s="2">
        <v>0</v>
      </c>
      <c r="O4926">
        <v>-12</v>
      </c>
      <c r="P4926" t="s">
        <v>100</v>
      </c>
      <c r="Q4926">
        <v>0</v>
      </c>
      <c r="R4926" t="s">
        <v>145</v>
      </c>
      <c r="S4926">
        <v>0</v>
      </c>
    </row>
    <row r="4927" spans="1:19">
      <c r="A4927" t="s">
        <v>35</v>
      </c>
      <c r="B4927" t="s">
        <v>4981</v>
      </c>
      <c r="C4927">
        <f>"1854PYXS"</f>
        <v>0</v>
      </c>
      <c r="D4927">
        <v>0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10</v>
      </c>
      <c r="K4927">
        <v>59.535</v>
      </c>
      <c r="L4927" s="2">
        <v>6</v>
      </c>
      <c r="M4927">
        <v>0</v>
      </c>
      <c r="N4927" s="2">
        <v>0</v>
      </c>
      <c r="O4927">
        <v>-12</v>
      </c>
      <c r="P4927" t="s">
        <v>100</v>
      </c>
      <c r="Q4927">
        <v>0</v>
      </c>
      <c r="R4927" t="s">
        <v>145</v>
      </c>
      <c r="S4927">
        <v>0</v>
      </c>
    </row>
    <row r="4928" spans="1:19">
      <c r="A4928" t="s">
        <v>35</v>
      </c>
      <c r="B4928" t="s">
        <v>4499</v>
      </c>
      <c r="C4928">
        <f>"JWL1058XL"</f>
        <v>0</v>
      </c>
      <c r="D4928">
        <v>0</v>
      </c>
      <c r="E4928">
        <v>0</v>
      </c>
      <c r="F4928">
        <v>0</v>
      </c>
      <c r="G4928">
        <v>0</v>
      </c>
      <c r="H4928">
        <v>0</v>
      </c>
      <c r="I4928">
        <v>0</v>
      </c>
      <c r="J4928">
        <v>10</v>
      </c>
      <c r="K4928">
        <v>24.75</v>
      </c>
      <c r="L4928" s="2">
        <v>2</v>
      </c>
      <c r="M4928">
        <v>0</v>
      </c>
      <c r="N4928" s="2">
        <v>0</v>
      </c>
      <c r="O4928">
        <v>-12</v>
      </c>
      <c r="P4928" t="s">
        <v>100</v>
      </c>
      <c r="Q4928">
        <v>0</v>
      </c>
      <c r="R4928" t="s">
        <v>145</v>
      </c>
      <c r="S4928">
        <v>0</v>
      </c>
    </row>
    <row r="4929" spans="1:19">
      <c r="A4929" t="s">
        <v>35</v>
      </c>
      <c r="B4929" t="s">
        <v>8149</v>
      </c>
      <c r="C4929">
        <f>"8013XS"</f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0</v>
      </c>
      <c r="J4929">
        <v>10</v>
      </c>
      <c r="K4929">
        <v>26.1</v>
      </c>
      <c r="L4929" s="2">
        <v>3</v>
      </c>
      <c r="M4929">
        <v>0</v>
      </c>
      <c r="N4929" s="2">
        <v>0</v>
      </c>
      <c r="O4929">
        <v>-12</v>
      </c>
      <c r="P4929" t="s">
        <v>100</v>
      </c>
      <c r="Q4929">
        <v>0</v>
      </c>
      <c r="R4929" t="s">
        <v>145</v>
      </c>
      <c r="S4929">
        <v>0</v>
      </c>
    </row>
    <row r="4930" spans="1:19">
      <c r="A4930" t="s">
        <v>35</v>
      </c>
      <c r="B4930" t="s">
        <v>1766</v>
      </c>
      <c r="C4930">
        <f>"CK1034"</f>
        <v>0</v>
      </c>
      <c r="D4930">
        <v>4</v>
      </c>
      <c r="E4930">
        <v>8</v>
      </c>
      <c r="F4930">
        <v>0</v>
      </c>
      <c r="G4930">
        <v>0</v>
      </c>
      <c r="H4930">
        <v>12</v>
      </c>
      <c r="I4930">
        <v>2</v>
      </c>
      <c r="J4930">
        <v>12</v>
      </c>
      <c r="K4930">
        <v>9.612</v>
      </c>
      <c r="L4930" s="2">
        <v>1</v>
      </c>
      <c r="M4930">
        <v>0</v>
      </c>
      <c r="N4930" s="2">
        <v>0</v>
      </c>
      <c r="O4930">
        <v>-12.4</v>
      </c>
      <c r="P4930" t="s">
        <v>100</v>
      </c>
      <c r="Q4930">
        <v>0</v>
      </c>
      <c r="R4930" t="s">
        <v>145</v>
      </c>
      <c r="S4930">
        <v>0</v>
      </c>
    </row>
    <row r="4931" spans="1:19">
      <c r="A4931" t="s">
        <v>35</v>
      </c>
      <c r="B4931" t="s">
        <v>350</v>
      </c>
      <c r="C4931">
        <f>"BRI12"</f>
        <v>0</v>
      </c>
      <c r="D4931">
        <v>1</v>
      </c>
      <c r="E4931">
        <v>0</v>
      </c>
      <c r="F4931">
        <v>1</v>
      </c>
      <c r="G4931">
        <v>1</v>
      </c>
      <c r="H4931">
        <v>3</v>
      </c>
      <c r="I4931">
        <v>1</v>
      </c>
      <c r="J4931">
        <v>13</v>
      </c>
      <c r="K4931">
        <v>23.283</v>
      </c>
      <c r="L4931" s="2">
        <v>2</v>
      </c>
      <c r="M4931">
        <v>0</v>
      </c>
      <c r="N4931" s="2">
        <v>0</v>
      </c>
      <c r="O4931">
        <v>-12.6</v>
      </c>
      <c r="P4931" t="s">
        <v>10998</v>
      </c>
      <c r="Q4931">
        <v>554</v>
      </c>
      <c r="R4931" t="s">
        <v>11206</v>
      </c>
      <c r="S4931">
        <v>0</v>
      </c>
    </row>
    <row r="4932" spans="1:19">
      <c r="A4932" t="s">
        <v>35</v>
      </c>
      <c r="B4932" t="s">
        <v>2308</v>
      </c>
      <c r="C4932">
        <f>"RJ816R"</f>
        <v>0</v>
      </c>
      <c r="D4932">
        <v>1</v>
      </c>
      <c r="E4932">
        <v>1</v>
      </c>
      <c r="F4932">
        <v>0</v>
      </c>
      <c r="G4932">
        <v>0</v>
      </c>
      <c r="H4932">
        <v>2</v>
      </c>
      <c r="I4932">
        <v>0.5</v>
      </c>
      <c r="J4932">
        <v>11</v>
      </c>
      <c r="K4932">
        <v>51.48</v>
      </c>
      <c r="L4932" s="2">
        <v>5</v>
      </c>
      <c r="M4932">
        <v>0</v>
      </c>
      <c r="N4932" s="2">
        <v>0</v>
      </c>
      <c r="O4932">
        <v>-12.7</v>
      </c>
      <c r="P4932" t="s">
        <v>100</v>
      </c>
      <c r="Q4932">
        <v>0</v>
      </c>
      <c r="R4932" t="s">
        <v>145</v>
      </c>
      <c r="S4932">
        <v>0</v>
      </c>
    </row>
    <row r="4933" spans="1:19">
      <c r="A4933" t="s">
        <v>35</v>
      </c>
      <c r="B4933" t="s">
        <v>6832</v>
      </c>
      <c r="C4933">
        <f>"HXC04"</f>
        <v>0</v>
      </c>
      <c r="D4933">
        <v>0</v>
      </c>
      <c r="E4933">
        <v>0</v>
      </c>
      <c r="F4933">
        <v>0</v>
      </c>
      <c r="G4933">
        <v>0</v>
      </c>
      <c r="H4933">
        <v>0</v>
      </c>
      <c r="I4933">
        <v>0</v>
      </c>
      <c r="J4933">
        <v>11</v>
      </c>
      <c r="K4933">
        <v>29.601</v>
      </c>
      <c r="L4933" s="2">
        <v>3</v>
      </c>
      <c r="M4933">
        <v>0</v>
      </c>
      <c r="N4933" s="2">
        <v>0</v>
      </c>
      <c r="O4933">
        <v>-13.2</v>
      </c>
      <c r="P4933" t="s">
        <v>100</v>
      </c>
      <c r="Q4933">
        <v>0</v>
      </c>
      <c r="R4933" t="s">
        <v>145</v>
      </c>
      <c r="S4933">
        <v>0</v>
      </c>
    </row>
    <row r="4934" spans="1:19">
      <c r="A4934" t="s">
        <v>35</v>
      </c>
      <c r="B4934" t="s">
        <v>6833</v>
      </c>
      <c r="C4934">
        <f>"HXC03"</f>
        <v>0</v>
      </c>
      <c r="D4934">
        <v>0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11</v>
      </c>
      <c r="K4934">
        <v>22.275</v>
      </c>
      <c r="L4934" s="2">
        <v>2</v>
      </c>
      <c r="M4934">
        <v>0</v>
      </c>
      <c r="N4934" s="2">
        <v>0</v>
      </c>
      <c r="O4934">
        <v>-13.2</v>
      </c>
      <c r="P4934" t="s">
        <v>100</v>
      </c>
      <c r="Q4934">
        <v>0</v>
      </c>
      <c r="R4934" t="s">
        <v>145</v>
      </c>
      <c r="S4934">
        <v>0</v>
      </c>
    </row>
    <row r="4935" spans="1:19">
      <c r="A4935" t="s">
        <v>35</v>
      </c>
      <c r="B4935" t="s">
        <v>5120</v>
      </c>
      <c r="C4935">
        <f>"XB1861CRXS"</f>
        <v>0</v>
      </c>
      <c r="D4935">
        <v>0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11</v>
      </c>
      <c r="K4935">
        <v>79.101</v>
      </c>
      <c r="L4935" s="2">
        <v>7</v>
      </c>
      <c r="M4935">
        <v>0</v>
      </c>
      <c r="N4935" s="2">
        <v>0</v>
      </c>
      <c r="O4935">
        <v>-13.2</v>
      </c>
      <c r="P4935" t="s">
        <v>100</v>
      </c>
      <c r="Q4935">
        <v>0</v>
      </c>
      <c r="R4935" t="s">
        <v>145</v>
      </c>
      <c r="S4935">
        <v>0</v>
      </c>
    </row>
    <row r="4936" spans="1:19">
      <c r="A4936" t="s">
        <v>35</v>
      </c>
      <c r="B4936" t="s">
        <v>5887</v>
      </c>
      <c r="C4936">
        <f>"C402"</f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11</v>
      </c>
      <c r="K4936">
        <v>54.45</v>
      </c>
      <c r="L4936" s="2">
        <v>5</v>
      </c>
      <c r="M4936">
        <v>0</v>
      </c>
      <c r="N4936" s="2">
        <v>0</v>
      </c>
      <c r="O4936">
        <v>-13.2</v>
      </c>
      <c r="P4936" t="s">
        <v>100</v>
      </c>
      <c r="Q4936">
        <v>0</v>
      </c>
      <c r="R4936" t="s">
        <v>145</v>
      </c>
      <c r="S4936">
        <v>0</v>
      </c>
    </row>
    <row r="4937" spans="1:19">
      <c r="A4937" t="s">
        <v>35</v>
      </c>
      <c r="B4937" t="s">
        <v>9681</v>
      </c>
      <c r="C4937">
        <f>"GY0020"</f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11</v>
      </c>
      <c r="K4937">
        <v>7.821</v>
      </c>
      <c r="L4937" s="2">
        <v>1</v>
      </c>
      <c r="M4937">
        <v>0</v>
      </c>
      <c r="N4937" s="2">
        <v>0</v>
      </c>
      <c r="O4937">
        <v>-13.2</v>
      </c>
      <c r="P4937" t="s">
        <v>100</v>
      </c>
      <c r="Q4937">
        <v>0</v>
      </c>
      <c r="R4937" t="s">
        <v>145</v>
      </c>
      <c r="S4937">
        <v>0</v>
      </c>
    </row>
    <row r="4938" spans="1:19">
      <c r="A4938" t="s">
        <v>35</v>
      </c>
      <c r="B4938" t="s">
        <v>6855</v>
      </c>
      <c r="C4938">
        <f>"CL333GM"</f>
        <v>0</v>
      </c>
      <c r="D4938">
        <v>0</v>
      </c>
      <c r="E4938">
        <v>0</v>
      </c>
      <c r="F4938">
        <v>0</v>
      </c>
      <c r="G4938">
        <v>0</v>
      </c>
      <c r="H4938">
        <v>0</v>
      </c>
      <c r="I4938">
        <v>0</v>
      </c>
      <c r="J4938">
        <v>11</v>
      </c>
      <c r="K4938">
        <v>24.75</v>
      </c>
      <c r="L4938" s="2">
        <v>2</v>
      </c>
      <c r="M4938">
        <v>0</v>
      </c>
      <c r="N4938" s="2">
        <v>0</v>
      </c>
      <c r="O4938">
        <v>-13.2</v>
      </c>
      <c r="P4938" t="s">
        <v>100</v>
      </c>
      <c r="Q4938">
        <v>0</v>
      </c>
      <c r="R4938" t="s">
        <v>145</v>
      </c>
      <c r="S4938">
        <v>0</v>
      </c>
    </row>
    <row r="4939" spans="1:19">
      <c r="A4939" t="s">
        <v>35</v>
      </c>
      <c r="B4939" t="s">
        <v>7328</v>
      </c>
      <c r="C4939">
        <f>"HH088XSR"</f>
        <v>0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11</v>
      </c>
      <c r="K4939">
        <v>78.20999999999999</v>
      </c>
      <c r="L4939" s="2">
        <v>7</v>
      </c>
      <c r="M4939">
        <v>0</v>
      </c>
      <c r="N4939" s="2">
        <v>0</v>
      </c>
      <c r="O4939">
        <v>-13.2</v>
      </c>
      <c r="P4939" t="s">
        <v>100</v>
      </c>
      <c r="Q4939">
        <v>0</v>
      </c>
      <c r="R4939" t="s">
        <v>145</v>
      </c>
      <c r="S4939">
        <v>0</v>
      </c>
    </row>
    <row r="4940" spans="1:19">
      <c r="A4940" t="s">
        <v>35</v>
      </c>
      <c r="B4940" t="s">
        <v>4486</v>
      </c>
      <c r="C4940">
        <f>"1801S"</f>
        <v>0</v>
      </c>
      <c r="D4940">
        <v>0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11</v>
      </c>
      <c r="K4940">
        <v>42.075</v>
      </c>
      <c r="L4940" s="2">
        <v>4</v>
      </c>
      <c r="M4940">
        <v>0</v>
      </c>
      <c r="N4940" s="2">
        <v>0</v>
      </c>
      <c r="O4940">
        <v>-13.2</v>
      </c>
      <c r="P4940" t="s">
        <v>100</v>
      </c>
      <c r="Q4940">
        <v>0</v>
      </c>
      <c r="R4940" t="s">
        <v>145</v>
      </c>
      <c r="S4940">
        <v>0</v>
      </c>
    </row>
    <row r="4941" spans="1:19">
      <c r="A4941" t="s">
        <v>35</v>
      </c>
      <c r="B4941" t="s">
        <v>5058</v>
      </c>
      <c r="C4941">
        <f>"1760SBS"</f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11</v>
      </c>
      <c r="K4941">
        <v>25.11</v>
      </c>
      <c r="L4941" s="2">
        <v>2</v>
      </c>
      <c r="M4941">
        <v>0</v>
      </c>
      <c r="N4941" s="2">
        <v>0</v>
      </c>
      <c r="O4941">
        <v>-13.2</v>
      </c>
      <c r="P4941" t="s">
        <v>100</v>
      </c>
      <c r="Q4941">
        <v>0</v>
      </c>
      <c r="R4941" t="s">
        <v>145</v>
      </c>
      <c r="S4941">
        <v>0</v>
      </c>
    </row>
    <row r="4942" spans="1:19">
      <c r="A4942" t="s">
        <v>35</v>
      </c>
      <c r="B4942" t="s">
        <v>7583</v>
      </c>
      <c r="C4942">
        <f>"8386l"</f>
        <v>0</v>
      </c>
      <c r="D4942">
        <v>0</v>
      </c>
      <c r="E4942">
        <v>0</v>
      </c>
      <c r="F4942">
        <v>0</v>
      </c>
      <c r="G4942">
        <v>0</v>
      </c>
      <c r="H4942">
        <v>0</v>
      </c>
      <c r="I4942">
        <v>0</v>
      </c>
      <c r="J4942">
        <v>11</v>
      </c>
      <c r="K4942">
        <v>197.01</v>
      </c>
      <c r="L4942" s="2">
        <v>18</v>
      </c>
      <c r="M4942">
        <v>0</v>
      </c>
      <c r="N4942" s="2">
        <v>0</v>
      </c>
      <c r="O4942">
        <v>-13.2</v>
      </c>
      <c r="P4942" t="s">
        <v>100</v>
      </c>
      <c r="Q4942">
        <v>0</v>
      </c>
      <c r="R4942" t="s">
        <v>145</v>
      </c>
      <c r="S4942">
        <v>0</v>
      </c>
    </row>
    <row r="4943" spans="1:19">
      <c r="A4943" t="s">
        <v>35</v>
      </c>
      <c r="B4943" t="s">
        <v>6909</v>
      </c>
      <c r="C4943">
        <f>"HCJ011SGRIS"</f>
        <v>0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11</v>
      </c>
      <c r="K4943">
        <v>2.484</v>
      </c>
      <c r="L4943" s="2">
        <v>0</v>
      </c>
      <c r="M4943">
        <v>0</v>
      </c>
      <c r="N4943" s="2">
        <v>0</v>
      </c>
      <c r="O4943">
        <v>-13.2</v>
      </c>
      <c r="P4943" t="s">
        <v>100</v>
      </c>
      <c r="Q4943">
        <v>0</v>
      </c>
      <c r="R4943" t="s">
        <v>145</v>
      </c>
      <c r="S4943">
        <v>0</v>
      </c>
    </row>
    <row r="4944" spans="1:19">
      <c r="A4944" t="s">
        <v>35</v>
      </c>
      <c r="B4944" t="s">
        <v>9058</v>
      </c>
      <c r="C4944">
        <f>"AK6"</f>
        <v>0</v>
      </c>
      <c r="D4944">
        <v>0</v>
      </c>
      <c r="E4944">
        <v>0</v>
      </c>
      <c r="F4944">
        <v>0</v>
      </c>
      <c r="G4944">
        <v>0</v>
      </c>
      <c r="H4944">
        <v>0</v>
      </c>
      <c r="I4944">
        <v>0</v>
      </c>
      <c r="J4944">
        <v>11</v>
      </c>
      <c r="K4944">
        <v>57.042</v>
      </c>
      <c r="L4944" s="2">
        <v>5</v>
      </c>
      <c r="M4944">
        <v>0</v>
      </c>
      <c r="N4944" s="2">
        <v>0</v>
      </c>
      <c r="O4944">
        <v>-13.2</v>
      </c>
      <c r="P4944" t="s">
        <v>100</v>
      </c>
      <c r="Q4944">
        <v>0</v>
      </c>
      <c r="R4944" t="s">
        <v>145</v>
      </c>
      <c r="S4944">
        <v>0</v>
      </c>
    </row>
    <row r="4945" spans="1:19">
      <c r="A4945" t="s">
        <v>35</v>
      </c>
      <c r="B4945" t="s">
        <v>6442</v>
      </c>
      <c r="C4945">
        <f>"JWZ1042M"</f>
        <v>0</v>
      </c>
      <c r="D4945">
        <v>0</v>
      </c>
      <c r="E4945">
        <v>0</v>
      </c>
      <c r="F4945">
        <v>0</v>
      </c>
      <c r="G4945">
        <v>0</v>
      </c>
      <c r="H4945">
        <v>0</v>
      </c>
      <c r="I4945">
        <v>0</v>
      </c>
      <c r="J4945">
        <v>11</v>
      </c>
      <c r="K4945">
        <v>10.395</v>
      </c>
      <c r="L4945" s="2">
        <v>1</v>
      </c>
      <c r="M4945">
        <v>0</v>
      </c>
      <c r="N4945" s="2">
        <v>0</v>
      </c>
      <c r="O4945">
        <v>-13.2</v>
      </c>
      <c r="P4945" t="s">
        <v>100</v>
      </c>
      <c r="Q4945">
        <v>0</v>
      </c>
      <c r="R4945" t="s">
        <v>145</v>
      </c>
      <c r="S4945">
        <v>0</v>
      </c>
    </row>
    <row r="4946" spans="1:19">
      <c r="A4946" t="s">
        <v>35</v>
      </c>
      <c r="B4946" t="s">
        <v>2740</v>
      </c>
      <c r="C4946">
        <f>"B1916MG"</f>
        <v>0</v>
      </c>
      <c r="D4946">
        <v>0</v>
      </c>
      <c r="E4946">
        <v>0</v>
      </c>
      <c r="F4946">
        <v>0</v>
      </c>
      <c r="G4946">
        <v>0</v>
      </c>
      <c r="H4946">
        <v>0</v>
      </c>
      <c r="I4946">
        <v>0</v>
      </c>
      <c r="J4946">
        <v>11</v>
      </c>
      <c r="K4946">
        <v>98.01000000000001</v>
      </c>
      <c r="L4946" s="2">
        <v>9</v>
      </c>
      <c r="M4946">
        <v>0</v>
      </c>
      <c r="N4946" s="2">
        <v>0</v>
      </c>
      <c r="O4946">
        <v>-13.2</v>
      </c>
      <c r="P4946" t="s">
        <v>100</v>
      </c>
      <c r="Q4946">
        <v>0</v>
      </c>
      <c r="R4946" t="s">
        <v>145</v>
      </c>
      <c r="S4946">
        <v>0</v>
      </c>
    </row>
    <row r="4947" spans="1:19">
      <c r="A4947" t="s">
        <v>35</v>
      </c>
      <c r="B4947" t="s">
        <v>9055</v>
      </c>
      <c r="C4947">
        <f>"KHBZ0166"</f>
        <v>0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0</v>
      </c>
      <c r="J4947">
        <v>11</v>
      </c>
      <c r="K4947">
        <v>10.395</v>
      </c>
      <c r="L4947" s="2">
        <v>1</v>
      </c>
      <c r="M4947">
        <v>0</v>
      </c>
      <c r="N4947" s="2">
        <v>0</v>
      </c>
      <c r="O4947">
        <v>-13.2</v>
      </c>
      <c r="P4947" t="s">
        <v>100</v>
      </c>
      <c r="Q4947">
        <v>0</v>
      </c>
      <c r="R4947" t="s">
        <v>145</v>
      </c>
      <c r="S4947">
        <v>0</v>
      </c>
    </row>
    <row r="4948" spans="1:19">
      <c r="A4948" t="s">
        <v>35</v>
      </c>
      <c r="B4948" t="s">
        <v>3002</v>
      </c>
      <c r="C4948">
        <f>"1817XXL"</f>
        <v>0</v>
      </c>
      <c r="D4948">
        <v>0</v>
      </c>
      <c r="E4948">
        <v>0</v>
      </c>
      <c r="F4948">
        <v>0</v>
      </c>
      <c r="G4948">
        <v>0</v>
      </c>
      <c r="H4948">
        <v>0</v>
      </c>
      <c r="I4948">
        <v>0</v>
      </c>
      <c r="J4948">
        <v>11</v>
      </c>
      <c r="K4948">
        <v>63.36</v>
      </c>
      <c r="L4948" s="2">
        <v>6</v>
      </c>
      <c r="M4948">
        <v>0</v>
      </c>
      <c r="N4948" s="2">
        <v>0</v>
      </c>
      <c r="O4948">
        <v>-13.2</v>
      </c>
      <c r="P4948" t="s">
        <v>100</v>
      </c>
      <c r="Q4948">
        <v>0</v>
      </c>
      <c r="R4948" t="s">
        <v>145</v>
      </c>
      <c r="S4948">
        <v>0</v>
      </c>
    </row>
    <row r="4949" spans="1:19">
      <c r="A4949" t="s">
        <v>35</v>
      </c>
      <c r="B4949" t="s">
        <v>6819</v>
      </c>
      <c r="C4949">
        <f>"1812CM"</f>
        <v>0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11</v>
      </c>
      <c r="K4949">
        <v>29.205</v>
      </c>
      <c r="L4949" s="2">
        <v>3</v>
      </c>
      <c r="M4949">
        <v>0</v>
      </c>
      <c r="N4949" s="2">
        <v>0</v>
      </c>
      <c r="O4949">
        <v>-13.2</v>
      </c>
      <c r="P4949" t="s">
        <v>100</v>
      </c>
      <c r="Q4949">
        <v>0</v>
      </c>
      <c r="R4949" t="s">
        <v>145</v>
      </c>
      <c r="S4949">
        <v>0</v>
      </c>
    </row>
    <row r="4950" spans="1:19">
      <c r="A4950" t="s">
        <v>35</v>
      </c>
      <c r="B4950" t="s">
        <v>1605</v>
      </c>
      <c r="C4950">
        <f>"JWZ1022XL"</f>
        <v>0</v>
      </c>
      <c r="D4950">
        <v>0</v>
      </c>
      <c r="E4950">
        <v>0</v>
      </c>
      <c r="F4950">
        <v>38</v>
      </c>
      <c r="G4950">
        <v>0</v>
      </c>
      <c r="H4950">
        <v>38</v>
      </c>
      <c r="I4950">
        <v>0</v>
      </c>
      <c r="J4950">
        <v>11</v>
      </c>
      <c r="K4950">
        <v>14.355</v>
      </c>
      <c r="L4950" s="2">
        <v>1</v>
      </c>
      <c r="M4950">
        <v>0</v>
      </c>
      <c r="N4950" s="2">
        <v>0</v>
      </c>
      <c r="O4950">
        <v>-13.2</v>
      </c>
      <c r="P4950" t="s">
        <v>100</v>
      </c>
      <c r="Q4950">
        <v>0</v>
      </c>
      <c r="R4950" t="s">
        <v>145</v>
      </c>
      <c r="S4950">
        <v>0</v>
      </c>
    </row>
    <row r="4951" spans="1:19">
      <c r="A4951" t="s">
        <v>35</v>
      </c>
      <c r="B4951" t="s">
        <v>2213</v>
      </c>
      <c r="C4951">
        <f>"PS06067"</f>
        <v>0</v>
      </c>
      <c r="D4951">
        <v>2</v>
      </c>
      <c r="E4951">
        <v>0</v>
      </c>
      <c r="F4951">
        <v>0</v>
      </c>
      <c r="G4951">
        <v>0</v>
      </c>
      <c r="H4951">
        <v>2</v>
      </c>
      <c r="I4951">
        <v>0</v>
      </c>
      <c r="J4951">
        <v>11</v>
      </c>
      <c r="K4951">
        <v>29.601</v>
      </c>
      <c r="L4951" s="2">
        <v>3</v>
      </c>
      <c r="M4951">
        <v>0</v>
      </c>
      <c r="N4951" s="2">
        <v>0</v>
      </c>
      <c r="O4951">
        <v>-13.2</v>
      </c>
      <c r="P4951" t="s">
        <v>100</v>
      </c>
      <c r="Q4951">
        <v>0</v>
      </c>
      <c r="R4951" t="s">
        <v>145</v>
      </c>
      <c r="S4951">
        <v>0</v>
      </c>
    </row>
    <row r="4952" spans="1:19">
      <c r="A4952" t="s">
        <v>35</v>
      </c>
      <c r="B4952" t="s">
        <v>6688</v>
      </c>
      <c r="C4952">
        <f>"CL359S"</f>
        <v>0</v>
      </c>
      <c r="D4952">
        <v>0</v>
      </c>
      <c r="E4952">
        <v>0</v>
      </c>
      <c r="F4952">
        <v>0</v>
      </c>
      <c r="G4952">
        <v>0</v>
      </c>
      <c r="H4952">
        <v>0</v>
      </c>
      <c r="I4952">
        <v>0</v>
      </c>
      <c r="J4952">
        <v>11</v>
      </c>
      <c r="K4952">
        <v>32.175</v>
      </c>
      <c r="L4952" s="2">
        <v>3</v>
      </c>
      <c r="M4952">
        <v>0</v>
      </c>
      <c r="N4952" s="2">
        <v>0</v>
      </c>
      <c r="O4952">
        <v>-13.2</v>
      </c>
      <c r="P4952" t="s">
        <v>100</v>
      </c>
      <c r="Q4952">
        <v>0</v>
      </c>
      <c r="R4952" t="s">
        <v>145</v>
      </c>
      <c r="S4952">
        <v>0</v>
      </c>
    </row>
    <row r="4953" spans="1:19">
      <c r="A4953" t="s">
        <v>35</v>
      </c>
      <c r="B4953" t="s">
        <v>2295</v>
      </c>
      <c r="C4953">
        <f>"FPC06"</f>
        <v>0</v>
      </c>
      <c r="D4953">
        <v>0</v>
      </c>
      <c r="E4953">
        <v>2</v>
      </c>
      <c r="F4953">
        <v>0</v>
      </c>
      <c r="G4953">
        <v>0</v>
      </c>
      <c r="H4953">
        <v>2</v>
      </c>
      <c r="I4953">
        <v>0</v>
      </c>
      <c r="J4953">
        <v>11</v>
      </c>
      <c r="K4953">
        <v>7.425</v>
      </c>
      <c r="L4953" s="2">
        <v>1</v>
      </c>
      <c r="M4953">
        <v>0</v>
      </c>
      <c r="N4953" s="2">
        <v>0</v>
      </c>
      <c r="O4953">
        <v>-13.2</v>
      </c>
      <c r="P4953" t="s">
        <v>100</v>
      </c>
      <c r="Q4953">
        <v>0</v>
      </c>
      <c r="R4953" t="s">
        <v>145</v>
      </c>
      <c r="S4953">
        <v>0</v>
      </c>
    </row>
    <row r="4954" spans="1:19">
      <c r="A4954" t="s">
        <v>35</v>
      </c>
      <c r="B4954" t="s">
        <v>5159</v>
      </c>
      <c r="C4954">
        <f>"LV09092TPWS"</f>
        <v>0</v>
      </c>
      <c r="D4954">
        <v>0</v>
      </c>
      <c r="E4954">
        <v>0</v>
      </c>
      <c r="F4954">
        <v>0</v>
      </c>
      <c r="G4954">
        <v>0</v>
      </c>
      <c r="H4954">
        <v>0</v>
      </c>
      <c r="I4954">
        <v>0</v>
      </c>
      <c r="J4954">
        <v>11</v>
      </c>
      <c r="K4954">
        <v>0</v>
      </c>
      <c r="L4954" s="2">
        <v>0</v>
      </c>
      <c r="M4954">
        <v>0</v>
      </c>
      <c r="N4954" s="2">
        <v>0</v>
      </c>
      <c r="O4954">
        <v>-13.2</v>
      </c>
      <c r="P4954" t="s">
        <v>100</v>
      </c>
      <c r="Q4954">
        <v>0</v>
      </c>
      <c r="R4954" t="s">
        <v>145</v>
      </c>
      <c r="S4954">
        <v>0</v>
      </c>
    </row>
    <row r="4955" spans="1:19">
      <c r="A4955" t="s">
        <v>35</v>
      </c>
      <c r="B4955" t="s">
        <v>6689</v>
      </c>
      <c r="C4955">
        <f>"CL359M"</f>
        <v>0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11</v>
      </c>
      <c r="K4955">
        <v>39.501</v>
      </c>
      <c r="L4955" s="2">
        <v>4</v>
      </c>
      <c r="M4955">
        <v>0</v>
      </c>
      <c r="N4955" s="2">
        <v>0</v>
      </c>
      <c r="O4955">
        <v>-13.2</v>
      </c>
      <c r="P4955" t="s">
        <v>100</v>
      </c>
      <c r="Q4955">
        <v>0</v>
      </c>
      <c r="R4955" t="s">
        <v>145</v>
      </c>
      <c r="S4955">
        <v>0</v>
      </c>
    </row>
    <row r="4956" spans="1:19">
      <c r="A4956" t="s">
        <v>35</v>
      </c>
      <c r="B4956" t="s">
        <v>3999</v>
      </c>
      <c r="C4956">
        <f>"ABTB1"</f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11</v>
      </c>
      <c r="K4956">
        <v>52.965</v>
      </c>
      <c r="L4956" s="2">
        <v>5</v>
      </c>
      <c r="M4956">
        <v>0</v>
      </c>
      <c r="N4956" s="2">
        <v>0</v>
      </c>
      <c r="O4956">
        <v>-13.2</v>
      </c>
      <c r="P4956" t="s">
        <v>100</v>
      </c>
      <c r="Q4956">
        <v>0</v>
      </c>
      <c r="R4956" t="s">
        <v>145</v>
      </c>
      <c r="S4956">
        <v>0</v>
      </c>
    </row>
    <row r="4957" spans="1:19">
      <c r="A4957" t="s">
        <v>35</v>
      </c>
      <c r="B4957" t="s">
        <v>7921</v>
      </c>
      <c r="C4957">
        <f>"LQC17V"</f>
        <v>0</v>
      </c>
      <c r="D4957">
        <v>0</v>
      </c>
      <c r="E4957">
        <v>0</v>
      </c>
      <c r="F4957">
        <v>0</v>
      </c>
      <c r="G4957">
        <v>0</v>
      </c>
      <c r="H4957">
        <v>0</v>
      </c>
      <c r="I4957">
        <v>0</v>
      </c>
      <c r="J4957">
        <v>11</v>
      </c>
      <c r="K4957">
        <v>12.771</v>
      </c>
      <c r="L4957" s="2">
        <v>1</v>
      </c>
      <c r="M4957">
        <v>0</v>
      </c>
      <c r="N4957" s="2">
        <v>0</v>
      </c>
      <c r="O4957">
        <v>-13.2</v>
      </c>
      <c r="P4957" t="s">
        <v>100</v>
      </c>
      <c r="Q4957">
        <v>0</v>
      </c>
      <c r="R4957" t="s">
        <v>145</v>
      </c>
      <c r="S4957">
        <v>0</v>
      </c>
    </row>
    <row r="4958" spans="1:19">
      <c r="A4958" t="s">
        <v>35</v>
      </c>
      <c r="B4958" t="s">
        <v>4596</v>
      </c>
      <c r="C4958">
        <f>"JWL1027XL"</f>
        <v>0</v>
      </c>
      <c r="D4958">
        <v>0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11</v>
      </c>
      <c r="K4958">
        <v>17.721</v>
      </c>
      <c r="L4958" s="2">
        <v>2</v>
      </c>
      <c r="M4958">
        <v>0</v>
      </c>
      <c r="N4958" s="2">
        <v>0</v>
      </c>
      <c r="O4958">
        <v>-13.2</v>
      </c>
      <c r="P4958" t="s">
        <v>100</v>
      </c>
      <c r="Q4958">
        <v>0</v>
      </c>
      <c r="R4958" t="s">
        <v>145</v>
      </c>
      <c r="S4958">
        <v>0</v>
      </c>
    </row>
    <row r="4959" spans="1:19">
      <c r="A4959" t="s">
        <v>35</v>
      </c>
      <c r="B4959" t="s">
        <v>2431</v>
      </c>
      <c r="C4959">
        <f>"FEP80VIN"</f>
        <v>0</v>
      </c>
      <c r="D4959">
        <v>0</v>
      </c>
      <c r="E4959">
        <v>0</v>
      </c>
      <c r="F4959">
        <v>1</v>
      </c>
      <c r="G4959">
        <v>0</v>
      </c>
      <c r="H4959">
        <v>1</v>
      </c>
      <c r="I4959">
        <v>0</v>
      </c>
      <c r="J4959">
        <v>11</v>
      </c>
      <c r="K4959">
        <v>167.31</v>
      </c>
      <c r="L4959" s="2">
        <v>15</v>
      </c>
      <c r="M4959">
        <v>0</v>
      </c>
      <c r="N4959" s="2">
        <v>0</v>
      </c>
      <c r="O4959">
        <v>-13.2</v>
      </c>
      <c r="P4959" t="s">
        <v>100</v>
      </c>
      <c r="Q4959">
        <v>0</v>
      </c>
      <c r="R4959" t="s">
        <v>145</v>
      </c>
      <c r="S4959">
        <v>0</v>
      </c>
    </row>
    <row r="4960" spans="1:19">
      <c r="A4960" t="s">
        <v>35</v>
      </c>
      <c r="B4960" t="s">
        <v>4962</v>
      </c>
      <c r="C4960">
        <f>"1823ARXL"</f>
        <v>0</v>
      </c>
      <c r="D4960">
        <v>0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11</v>
      </c>
      <c r="K4960">
        <v>83.25</v>
      </c>
      <c r="L4960" s="2">
        <v>8</v>
      </c>
      <c r="M4960">
        <v>0</v>
      </c>
      <c r="N4960" s="2">
        <v>0</v>
      </c>
      <c r="O4960">
        <v>-13.2</v>
      </c>
      <c r="P4960" t="s">
        <v>100</v>
      </c>
      <c r="Q4960">
        <v>0</v>
      </c>
      <c r="R4960" t="s">
        <v>145</v>
      </c>
      <c r="S4960">
        <v>0</v>
      </c>
    </row>
    <row r="4961" spans="1:19">
      <c r="A4961" t="s">
        <v>35</v>
      </c>
      <c r="B4961" t="s">
        <v>8041</v>
      </c>
      <c r="C4961">
        <f>"8025XS"</f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0</v>
      </c>
      <c r="J4961">
        <v>11</v>
      </c>
      <c r="K4961">
        <v>53.46</v>
      </c>
      <c r="L4961" s="2">
        <v>5</v>
      </c>
      <c r="M4961">
        <v>0</v>
      </c>
      <c r="N4961" s="2">
        <v>0</v>
      </c>
      <c r="O4961">
        <v>-13.2</v>
      </c>
      <c r="P4961" t="s">
        <v>100</v>
      </c>
      <c r="Q4961">
        <v>0</v>
      </c>
      <c r="R4961" t="s">
        <v>145</v>
      </c>
      <c r="S4961">
        <v>0</v>
      </c>
    </row>
    <row r="4962" spans="1:19">
      <c r="A4962" t="s">
        <v>35</v>
      </c>
      <c r="B4962" t="s">
        <v>4589</v>
      </c>
      <c r="C4962">
        <f>"JWL1052XL"</f>
        <v>0</v>
      </c>
      <c r="D4962">
        <v>0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11</v>
      </c>
      <c r="K4962">
        <v>27.225</v>
      </c>
      <c r="L4962" s="2">
        <v>2</v>
      </c>
      <c r="M4962">
        <v>0</v>
      </c>
      <c r="N4962" s="2">
        <v>0</v>
      </c>
      <c r="O4962">
        <v>-13.2</v>
      </c>
      <c r="P4962" t="s">
        <v>100</v>
      </c>
      <c r="Q4962">
        <v>0</v>
      </c>
      <c r="R4962" t="s">
        <v>145</v>
      </c>
      <c r="S4962">
        <v>0</v>
      </c>
    </row>
    <row r="4963" spans="1:19">
      <c r="A4963" t="s">
        <v>35</v>
      </c>
      <c r="B4963" t="s">
        <v>6850</v>
      </c>
      <c r="C4963">
        <f>"KX4230"</f>
        <v>0</v>
      </c>
      <c r="D4963">
        <v>0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11</v>
      </c>
      <c r="K4963">
        <v>11.385</v>
      </c>
      <c r="L4963" s="2">
        <v>1</v>
      </c>
      <c r="M4963">
        <v>0</v>
      </c>
      <c r="N4963" s="2">
        <v>0</v>
      </c>
      <c r="O4963">
        <v>-13.2</v>
      </c>
      <c r="P4963" t="s">
        <v>100</v>
      </c>
      <c r="Q4963">
        <v>0</v>
      </c>
      <c r="R4963" t="s">
        <v>145</v>
      </c>
      <c r="S4963">
        <v>0</v>
      </c>
    </row>
    <row r="4964" spans="1:19">
      <c r="A4964" t="s">
        <v>35</v>
      </c>
      <c r="B4964" t="s">
        <v>8196</v>
      </c>
      <c r="C4964">
        <f>"20180120"</f>
        <v>0</v>
      </c>
      <c r="D4964">
        <v>0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11</v>
      </c>
      <c r="K4964">
        <v>13.2</v>
      </c>
      <c r="L4964" s="2">
        <v>1</v>
      </c>
      <c r="M4964">
        <v>0</v>
      </c>
      <c r="N4964" s="2">
        <v>0</v>
      </c>
      <c r="O4964">
        <v>-13.2</v>
      </c>
      <c r="P4964" t="s">
        <v>100</v>
      </c>
      <c r="Q4964">
        <v>0</v>
      </c>
      <c r="R4964" t="s">
        <v>145</v>
      </c>
      <c r="S4964">
        <v>0</v>
      </c>
    </row>
    <row r="4965" spans="1:19">
      <c r="A4965" t="s">
        <v>35</v>
      </c>
      <c r="B4965" t="s">
        <v>6844</v>
      </c>
      <c r="C4965">
        <f>"HXC22"</f>
        <v>0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11</v>
      </c>
      <c r="K4965">
        <v>21.78</v>
      </c>
      <c r="L4965" s="2">
        <v>2</v>
      </c>
      <c r="M4965">
        <v>0</v>
      </c>
      <c r="N4965" s="2">
        <v>0</v>
      </c>
      <c r="O4965">
        <v>-13.2</v>
      </c>
      <c r="P4965" t="s">
        <v>100</v>
      </c>
      <c r="Q4965">
        <v>0</v>
      </c>
      <c r="R4965" t="s">
        <v>145</v>
      </c>
      <c r="S4965">
        <v>0</v>
      </c>
    </row>
    <row r="4966" spans="1:19">
      <c r="A4966" t="s">
        <v>35</v>
      </c>
      <c r="B4966" t="s">
        <v>7746</v>
      </c>
      <c r="C4966">
        <f>"18BLUES"</f>
        <v>0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11</v>
      </c>
      <c r="K4966">
        <v>33.66</v>
      </c>
      <c r="L4966" s="2">
        <v>3</v>
      </c>
      <c r="M4966">
        <v>0</v>
      </c>
      <c r="N4966" s="2">
        <v>0</v>
      </c>
      <c r="O4966">
        <v>-13.2</v>
      </c>
      <c r="P4966" t="s">
        <v>100</v>
      </c>
      <c r="Q4966">
        <v>0</v>
      </c>
      <c r="R4966" t="s">
        <v>145</v>
      </c>
      <c r="S4966">
        <v>0</v>
      </c>
    </row>
    <row r="4967" spans="1:19">
      <c r="A4967" t="s">
        <v>35</v>
      </c>
      <c r="B4967" t="s">
        <v>2767</v>
      </c>
      <c r="C4967">
        <f>"B1916LA"</f>
        <v>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11</v>
      </c>
      <c r="K4967">
        <v>103.95</v>
      </c>
      <c r="L4967" s="2">
        <v>9</v>
      </c>
      <c r="M4967">
        <v>0</v>
      </c>
      <c r="N4967" s="2">
        <v>0</v>
      </c>
      <c r="O4967">
        <v>-13.2</v>
      </c>
      <c r="P4967" t="s">
        <v>100</v>
      </c>
      <c r="Q4967">
        <v>0</v>
      </c>
      <c r="R4967" t="s">
        <v>145</v>
      </c>
      <c r="S4967">
        <v>0</v>
      </c>
    </row>
    <row r="4968" spans="1:19">
      <c r="A4968" t="s">
        <v>35</v>
      </c>
      <c r="B4968" t="s">
        <v>2493</v>
      </c>
      <c r="C4968">
        <f>"MQ080807XLN"</f>
        <v>0</v>
      </c>
      <c r="D4968">
        <v>1</v>
      </c>
      <c r="E4968">
        <v>0</v>
      </c>
      <c r="F4968">
        <v>0</v>
      </c>
      <c r="G4968">
        <v>0</v>
      </c>
      <c r="H4968">
        <v>1</v>
      </c>
      <c r="I4968">
        <v>0</v>
      </c>
      <c r="J4968">
        <v>11</v>
      </c>
      <c r="K4968">
        <v>99.376</v>
      </c>
      <c r="L4968" s="2">
        <v>9</v>
      </c>
      <c r="M4968">
        <v>0</v>
      </c>
      <c r="N4968" s="2">
        <v>0</v>
      </c>
      <c r="O4968">
        <v>-13.2</v>
      </c>
      <c r="P4968" t="s">
        <v>100</v>
      </c>
      <c r="Q4968">
        <v>0</v>
      </c>
      <c r="R4968" t="s">
        <v>145</v>
      </c>
      <c r="S4968">
        <v>0</v>
      </c>
    </row>
    <row r="4969" spans="1:19">
      <c r="A4969" t="s">
        <v>35</v>
      </c>
      <c r="B4969" t="s">
        <v>3823</v>
      </c>
      <c r="C4969">
        <f>"WD05340C"</f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11</v>
      </c>
      <c r="K4969">
        <v>68.31</v>
      </c>
      <c r="L4969" s="2">
        <v>6</v>
      </c>
      <c r="M4969">
        <v>0</v>
      </c>
      <c r="N4969" s="2">
        <v>0</v>
      </c>
      <c r="O4969">
        <v>-13.2</v>
      </c>
      <c r="P4969" t="s">
        <v>100</v>
      </c>
      <c r="Q4969">
        <v>0</v>
      </c>
      <c r="R4969" t="s">
        <v>145</v>
      </c>
      <c r="S4969">
        <v>0</v>
      </c>
    </row>
    <row r="4970" spans="1:19">
      <c r="A4970" t="s">
        <v>35</v>
      </c>
      <c r="B4970" t="s">
        <v>3036</v>
      </c>
      <c r="C4970">
        <f>"B19220SM"</f>
        <v>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11</v>
      </c>
      <c r="K4970">
        <v>84.15000000000001</v>
      </c>
      <c r="L4970" s="2">
        <v>8</v>
      </c>
      <c r="M4970">
        <v>0</v>
      </c>
      <c r="N4970" s="2">
        <v>0</v>
      </c>
      <c r="O4970">
        <v>-13.2</v>
      </c>
      <c r="P4970" t="s">
        <v>100</v>
      </c>
      <c r="Q4970">
        <v>0</v>
      </c>
      <c r="R4970" t="s">
        <v>145</v>
      </c>
      <c r="S4970">
        <v>0</v>
      </c>
    </row>
    <row r="4971" spans="1:19">
      <c r="A4971" t="s">
        <v>35</v>
      </c>
      <c r="B4971" t="s">
        <v>320</v>
      </c>
      <c r="C4971">
        <f>"BL816L"</f>
        <v>0</v>
      </c>
      <c r="D4971">
        <v>0</v>
      </c>
      <c r="E4971">
        <v>1</v>
      </c>
      <c r="F4971">
        <v>2</v>
      </c>
      <c r="G4971">
        <v>0</v>
      </c>
      <c r="H4971">
        <v>3</v>
      </c>
      <c r="I4971">
        <v>0.5</v>
      </c>
      <c r="J4971">
        <v>12</v>
      </c>
      <c r="K4971">
        <v>20.628</v>
      </c>
      <c r="L4971" s="2">
        <v>2</v>
      </c>
      <c r="M4971">
        <v>0</v>
      </c>
      <c r="N4971" s="2">
        <v>0</v>
      </c>
      <c r="O4971">
        <v>-13.9</v>
      </c>
      <c r="P4971" t="s">
        <v>100</v>
      </c>
      <c r="Q4971">
        <v>0</v>
      </c>
      <c r="R4971" t="s">
        <v>145</v>
      </c>
      <c r="S4971">
        <v>0</v>
      </c>
    </row>
    <row r="4972" spans="1:19">
      <c r="A4972" t="s">
        <v>35</v>
      </c>
      <c r="B4972" t="s">
        <v>2060</v>
      </c>
      <c r="C4972">
        <f>"W0060"</f>
        <v>0</v>
      </c>
      <c r="D4972">
        <v>1</v>
      </c>
      <c r="E4972">
        <v>0</v>
      </c>
      <c r="F4972">
        <v>2</v>
      </c>
      <c r="G4972">
        <v>0</v>
      </c>
      <c r="H4972">
        <v>3</v>
      </c>
      <c r="I4972">
        <v>0.5</v>
      </c>
      <c r="J4972">
        <v>12</v>
      </c>
      <c r="K4972">
        <v>30.24</v>
      </c>
      <c r="L4972" s="2">
        <v>3</v>
      </c>
      <c r="M4972">
        <v>0</v>
      </c>
      <c r="N4972" s="2">
        <v>0</v>
      </c>
      <c r="O4972">
        <v>-13.9</v>
      </c>
      <c r="P4972" t="s">
        <v>100</v>
      </c>
      <c r="Q4972">
        <v>0</v>
      </c>
      <c r="R4972" t="s">
        <v>145</v>
      </c>
      <c r="S4972">
        <v>0</v>
      </c>
    </row>
    <row r="4973" spans="1:19">
      <c r="A4973" t="s">
        <v>35</v>
      </c>
      <c r="B4973" t="s">
        <v>2221</v>
      </c>
      <c r="C4973">
        <f>"DM40060L"</f>
        <v>0</v>
      </c>
      <c r="D4973">
        <v>1</v>
      </c>
      <c r="E4973">
        <v>0</v>
      </c>
      <c r="F4973">
        <v>1</v>
      </c>
      <c r="G4973">
        <v>0</v>
      </c>
      <c r="H4973">
        <v>2</v>
      </c>
      <c r="I4973">
        <v>0.5</v>
      </c>
      <c r="J4973">
        <v>12</v>
      </c>
      <c r="K4973">
        <v>7.776</v>
      </c>
      <c r="L4973" s="2">
        <v>1</v>
      </c>
      <c r="M4973">
        <v>0</v>
      </c>
      <c r="N4973" s="2">
        <v>0</v>
      </c>
      <c r="O4973">
        <v>-13.9</v>
      </c>
      <c r="P4973" t="s">
        <v>100</v>
      </c>
      <c r="Q4973">
        <v>0</v>
      </c>
      <c r="R4973" t="s">
        <v>145</v>
      </c>
      <c r="S4973">
        <v>0</v>
      </c>
    </row>
    <row r="4974" spans="1:19">
      <c r="A4974" t="s">
        <v>35</v>
      </c>
      <c r="B4974" t="s">
        <v>2543</v>
      </c>
      <c r="C4974">
        <f>"JWZ1058XL"</f>
        <v>0</v>
      </c>
      <c r="D4974">
        <v>1</v>
      </c>
      <c r="E4974">
        <v>0</v>
      </c>
      <c r="F4974">
        <v>0</v>
      </c>
      <c r="G4974">
        <v>0</v>
      </c>
      <c r="H4974">
        <v>1</v>
      </c>
      <c r="I4974">
        <v>0</v>
      </c>
      <c r="J4974">
        <v>12</v>
      </c>
      <c r="K4974">
        <v>17.172</v>
      </c>
      <c r="L4974" s="2">
        <v>1</v>
      </c>
      <c r="M4974">
        <v>0</v>
      </c>
      <c r="N4974" s="2">
        <v>0</v>
      </c>
      <c r="O4974">
        <v>-14.4</v>
      </c>
      <c r="P4974" t="s">
        <v>100</v>
      </c>
      <c r="Q4974">
        <v>0</v>
      </c>
      <c r="R4974" t="s">
        <v>145</v>
      </c>
      <c r="S4974">
        <v>0</v>
      </c>
    </row>
    <row r="4975" spans="1:19">
      <c r="A4975" t="s">
        <v>35</v>
      </c>
      <c r="B4975" t="s">
        <v>2409</v>
      </c>
      <c r="C4975">
        <f>"YL06"</f>
        <v>0</v>
      </c>
      <c r="D4975">
        <v>1</v>
      </c>
      <c r="E4975">
        <v>0</v>
      </c>
      <c r="F4975">
        <v>0</v>
      </c>
      <c r="G4975">
        <v>0</v>
      </c>
      <c r="H4975">
        <v>1</v>
      </c>
      <c r="I4975">
        <v>0</v>
      </c>
      <c r="J4975">
        <v>12</v>
      </c>
      <c r="K4975">
        <v>13.5</v>
      </c>
      <c r="L4975" s="2">
        <v>1</v>
      </c>
      <c r="M4975">
        <v>0</v>
      </c>
      <c r="N4975" s="2">
        <v>0</v>
      </c>
      <c r="O4975">
        <v>-14.4</v>
      </c>
      <c r="P4975" t="s">
        <v>100</v>
      </c>
      <c r="Q4975">
        <v>0</v>
      </c>
      <c r="R4975" t="s">
        <v>145</v>
      </c>
      <c r="S4975">
        <v>0</v>
      </c>
    </row>
    <row r="4976" spans="1:19">
      <c r="A4976" t="s">
        <v>35</v>
      </c>
      <c r="B4976" t="s">
        <v>8198</v>
      </c>
      <c r="C4976">
        <f>"YXU1XL"</f>
        <v>0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12</v>
      </c>
      <c r="K4976">
        <v>80.45999999999999</v>
      </c>
      <c r="L4976" s="2">
        <v>7</v>
      </c>
      <c r="M4976">
        <v>0</v>
      </c>
      <c r="N4976" s="2">
        <v>0</v>
      </c>
      <c r="O4976">
        <v>-14.4</v>
      </c>
      <c r="P4976" t="s">
        <v>100</v>
      </c>
      <c r="Q4976">
        <v>0</v>
      </c>
      <c r="R4976" t="s">
        <v>145</v>
      </c>
      <c r="S4976">
        <v>0</v>
      </c>
    </row>
    <row r="4977" spans="1:19">
      <c r="A4977" t="s">
        <v>35</v>
      </c>
      <c r="B4977" t="s">
        <v>4587</v>
      </c>
      <c r="C4977">
        <f>"NH011M"</f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12</v>
      </c>
      <c r="K4977">
        <v>43.092</v>
      </c>
      <c r="L4977" s="2">
        <v>4</v>
      </c>
      <c r="M4977">
        <v>0</v>
      </c>
      <c r="N4977" s="2">
        <v>0</v>
      </c>
      <c r="O4977">
        <v>-14.4</v>
      </c>
      <c r="P4977" t="s">
        <v>100</v>
      </c>
      <c r="Q4977">
        <v>0</v>
      </c>
      <c r="R4977" t="s">
        <v>145</v>
      </c>
      <c r="S4977">
        <v>0</v>
      </c>
    </row>
    <row r="4978" spans="1:19">
      <c r="A4978" t="s">
        <v>35</v>
      </c>
      <c r="B4978" t="s">
        <v>2248</v>
      </c>
      <c r="C4978">
        <f>"FURSLPG"</f>
        <v>0</v>
      </c>
      <c r="D4978">
        <v>2</v>
      </c>
      <c r="E4978">
        <v>0</v>
      </c>
      <c r="F4978">
        <v>0</v>
      </c>
      <c r="G4978">
        <v>0</v>
      </c>
      <c r="H4978">
        <v>2</v>
      </c>
      <c r="I4978">
        <v>0</v>
      </c>
      <c r="J4978">
        <v>12</v>
      </c>
      <c r="K4978">
        <v>43.092</v>
      </c>
      <c r="L4978" s="2">
        <v>4</v>
      </c>
      <c r="M4978">
        <v>0</v>
      </c>
      <c r="N4978" s="2">
        <v>0</v>
      </c>
      <c r="O4978">
        <v>-14.4</v>
      </c>
      <c r="P4978" t="s">
        <v>100</v>
      </c>
      <c r="Q4978">
        <v>0</v>
      </c>
      <c r="R4978" t="s">
        <v>145</v>
      </c>
      <c r="S4978">
        <v>0</v>
      </c>
    </row>
    <row r="4979" spans="1:19">
      <c r="A4979" t="s">
        <v>35</v>
      </c>
      <c r="B4979" t="s">
        <v>7059</v>
      </c>
      <c r="C4979">
        <f>"NO102AZ"</f>
        <v>0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12</v>
      </c>
      <c r="K4979">
        <v>4.86</v>
      </c>
      <c r="L4979" s="2">
        <v>0</v>
      </c>
      <c r="M4979">
        <v>0</v>
      </c>
      <c r="N4979" s="2">
        <v>0</v>
      </c>
      <c r="O4979">
        <v>-14.4</v>
      </c>
      <c r="P4979" t="s">
        <v>100</v>
      </c>
      <c r="Q4979">
        <v>0</v>
      </c>
      <c r="R4979" t="s">
        <v>145</v>
      </c>
      <c r="S4979">
        <v>0</v>
      </c>
    </row>
    <row r="4980" spans="1:19">
      <c r="A4980" t="s">
        <v>35</v>
      </c>
      <c r="B4980" t="s">
        <v>4584</v>
      </c>
      <c r="C4980">
        <f>"JWL1051XL"</f>
        <v>0</v>
      </c>
      <c r="D4980">
        <v>0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12</v>
      </c>
      <c r="K4980">
        <v>29.7</v>
      </c>
      <c r="L4980" s="2">
        <v>2</v>
      </c>
      <c r="M4980">
        <v>0</v>
      </c>
      <c r="N4980" s="2">
        <v>0</v>
      </c>
      <c r="O4980">
        <v>-14.4</v>
      </c>
      <c r="P4980" t="s">
        <v>100</v>
      </c>
      <c r="Q4980">
        <v>0</v>
      </c>
      <c r="R4980" t="s">
        <v>145</v>
      </c>
      <c r="S4980">
        <v>0</v>
      </c>
    </row>
    <row r="4981" spans="1:19">
      <c r="A4981" t="s">
        <v>35</v>
      </c>
      <c r="B4981" t="s">
        <v>2561</v>
      </c>
      <c r="C4981">
        <f>"JWL1058M"</f>
        <v>0</v>
      </c>
      <c r="D4981">
        <v>1</v>
      </c>
      <c r="E4981">
        <v>0</v>
      </c>
      <c r="F4981">
        <v>0</v>
      </c>
      <c r="G4981">
        <v>0</v>
      </c>
      <c r="H4981">
        <v>1</v>
      </c>
      <c r="I4981">
        <v>0</v>
      </c>
      <c r="J4981">
        <v>12</v>
      </c>
      <c r="K4981">
        <v>20.412</v>
      </c>
      <c r="L4981" s="2">
        <v>2</v>
      </c>
      <c r="M4981">
        <v>0</v>
      </c>
      <c r="N4981" s="2">
        <v>0</v>
      </c>
      <c r="O4981">
        <v>-14.4</v>
      </c>
      <c r="P4981" t="s">
        <v>100</v>
      </c>
      <c r="Q4981">
        <v>0</v>
      </c>
      <c r="R4981" t="s">
        <v>145</v>
      </c>
      <c r="S4981">
        <v>0</v>
      </c>
    </row>
    <row r="4982" spans="1:19">
      <c r="A4982" t="s">
        <v>35</v>
      </c>
      <c r="B4982" t="s">
        <v>6847</v>
      </c>
      <c r="C4982">
        <f>"HXC42"</f>
        <v>0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12</v>
      </c>
      <c r="K4982">
        <v>21.492</v>
      </c>
      <c r="L4982" s="2">
        <v>2</v>
      </c>
      <c r="M4982">
        <v>0</v>
      </c>
      <c r="N4982" s="2">
        <v>0</v>
      </c>
      <c r="O4982">
        <v>-14.4</v>
      </c>
      <c r="P4982" t="s">
        <v>100</v>
      </c>
      <c r="Q4982">
        <v>0</v>
      </c>
      <c r="R4982" t="s">
        <v>145</v>
      </c>
      <c r="S4982">
        <v>0</v>
      </c>
    </row>
    <row r="4983" spans="1:19">
      <c r="A4983" t="s">
        <v>35</v>
      </c>
      <c r="B4983" t="s">
        <v>5203</v>
      </c>
      <c r="C4983">
        <f>"1840CSG"</f>
        <v>0</v>
      </c>
      <c r="D4983">
        <v>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12</v>
      </c>
      <c r="K4983">
        <v>0</v>
      </c>
      <c r="L4983" s="2">
        <v>0</v>
      </c>
      <c r="M4983">
        <v>0</v>
      </c>
      <c r="N4983" s="2">
        <v>0</v>
      </c>
      <c r="O4983">
        <v>-14.4</v>
      </c>
      <c r="P4983" t="s">
        <v>100</v>
      </c>
      <c r="Q4983">
        <v>0</v>
      </c>
      <c r="R4983" t="s">
        <v>145</v>
      </c>
      <c r="S4983">
        <v>0</v>
      </c>
    </row>
    <row r="4984" spans="1:19">
      <c r="A4984" t="s">
        <v>35</v>
      </c>
      <c r="B4984" t="s">
        <v>2182</v>
      </c>
      <c r="C4984">
        <f>"WPS018"</f>
        <v>0</v>
      </c>
      <c r="D4984">
        <v>0</v>
      </c>
      <c r="E4984">
        <v>0</v>
      </c>
      <c r="F4984">
        <v>2</v>
      </c>
      <c r="G4984">
        <v>0</v>
      </c>
      <c r="H4984">
        <v>2</v>
      </c>
      <c r="I4984">
        <v>0</v>
      </c>
      <c r="J4984">
        <v>12</v>
      </c>
      <c r="K4984">
        <v>8.532</v>
      </c>
      <c r="L4984" s="2">
        <v>1</v>
      </c>
      <c r="M4984">
        <v>0</v>
      </c>
      <c r="N4984" s="2">
        <v>0</v>
      </c>
      <c r="O4984">
        <v>-14.4</v>
      </c>
      <c r="P4984" t="s">
        <v>100</v>
      </c>
      <c r="Q4984">
        <v>0</v>
      </c>
      <c r="R4984" t="s">
        <v>145</v>
      </c>
      <c r="S4984">
        <v>0</v>
      </c>
    </row>
    <row r="4985" spans="1:19">
      <c r="A4985" t="s">
        <v>35</v>
      </c>
      <c r="B4985" t="s">
        <v>2959</v>
      </c>
      <c r="C4985">
        <f>"B19163XLG"</f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12</v>
      </c>
      <c r="K4985">
        <v>135</v>
      </c>
      <c r="L4985" s="2">
        <v>11</v>
      </c>
      <c r="M4985">
        <v>0</v>
      </c>
      <c r="N4985" s="2">
        <v>0</v>
      </c>
      <c r="O4985">
        <v>-14.4</v>
      </c>
      <c r="P4985" t="s">
        <v>100</v>
      </c>
      <c r="Q4985">
        <v>0</v>
      </c>
      <c r="R4985" t="s">
        <v>145</v>
      </c>
      <c r="S4985">
        <v>0</v>
      </c>
    </row>
    <row r="4986" spans="1:19">
      <c r="A4986" t="s">
        <v>35</v>
      </c>
      <c r="B4986" t="s">
        <v>7356</v>
      </c>
      <c r="C4986">
        <f>"1064008000905"</f>
        <v>0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12</v>
      </c>
      <c r="K4986">
        <v>19.16</v>
      </c>
      <c r="L4986" s="2">
        <v>2</v>
      </c>
      <c r="M4986">
        <v>0</v>
      </c>
      <c r="N4986" s="2">
        <v>0</v>
      </c>
      <c r="O4986">
        <v>-14.4</v>
      </c>
      <c r="P4986" t="s">
        <v>100</v>
      </c>
      <c r="Q4986">
        <v>0</v>
      </c>
      <c r="R4986" t="s">
        <v>145</v>
      </c>
      <c r="S4986">
        <v>0</v>
      </c>
    </row>
    <row r="4987" spans="1:19">
      <c r="A4987" t="s">
        <v>35</v>
      </c>
      <c r="B4987" t="s">
        <v>10199</v>
      </c>
      <c r="C4987">
        <f>"LY001MT"</f>
        <v>0</v>
      </c>
      <c r="D4987">
        <v>0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12</v>
      </c>
      <c r="K4987">
        <v>31.32</v>
      </c>
      <c r="L4987" s="2">
        <v>3</v>
      </c>
      <c r="M4987">
        <v>0</v>
      </c>
      <c r="N4987" s="2">
        <v>0</v>
      </c>
      <c r="O4987">
        <v>-14.4</v>
      </c>
      <c r="P4987" t="s">
        <v>100</v>
      </c>
      <c r="Q4987">
        <v>0</v>
      </c>
      <c r="R4987" t="s">
        <v>145</v>
      </c>
      <c r="S4987">
        <v>0</v>
      </c>
    </row>
    <row r="4988" spans="1:19">
      <c r="A4988" t="s">
        <v>35</v>
      </c>
      <c r="B4988" t="s">
        <v>2742</v>
      </c>
      <c r="C4988">
        <f>"B1916MA"</f>
        <v>0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12</v>
      </c>
      <c r="K4988">
        <v>106.92</v>
      </c>
      <c r="L4988" s="2">
        <v>9</v>
      </c>
      <c r="M4988">
        <v>0</v>
      </c>
      <c r="N4988" s="2">
        <v>0</v>
      </c>
      <c r="O4988">
        <v>-14.4</v>
      </c>
      <c r="P4988" t="s">
        <v>100</v>
      </c>
      <c r="Q4988">
        <v>0</v>
      </c>
      <c r="R4988" t="s">
        <v>145</v>
      </c>
      <c r="S4988">
        <v>0</v>
      </c>
    </row>
    <row r="4989" spans="1:19">
      <c r="A4989" t="s">
        <v>35</v>
      </c>
      <c r="B4989" t="s">
        <v>2998</v>
      </c>
      <c r="C4989">
        <f>"1817M"</f>
        <v>0</v>
      </c>
      <c r="D4989">
        <v>0</v>
      </c>
      <c r="E4989">
        <v>0</v>
      </c>
      <c r="F4989">
        <v>0</v>
      </c>
      <c r="G4989">
        <v>0</v>
      </c>
      <c r="H4989">
        <v>0</v>
      </c>
      <c r="I4989">
        <v>0</v>
      </c>
      <c r="J4989">
        <v>12</v>
      </c>
      <c r="K4989">
        <v>41.58</v>
      </c>
      <c r="L4989" s="2">
        <v>3</v>
      </c>
      <c r="M4989">
        <v>0</v>
      </c>
      <c r="N4989" s="2">
        <v>0</v>
      </c>
      <c r="O4989">
        <v>-14.4</v>
      </c>
      <c r="P4989" t="s">
        <v>100</v>
      </c>
      <c r="Q4989">
        <v>0</v>
      </c>
      <c r="R4989" t="s">
        <v>145</v>
      </c>
      <c r="S4989">
        <v>0</v>
      </c>
    </row>
    <row r="4990" spans="1:19">
      <c r="A4990" t="s">
        <v>35</v>
      </c>
      <c r="B4990" t="s">
        <v>7699</v>
      </c>
      <c r="C4990">
        <f>"D311XL"</f>
        <v>0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12</v>
      </c>
      <c r="K4990">
        <v>13.932</v>
      </c>
      <c r="L4990" s="2">
        <v>1</v>
      </c>
      <c r="M4990">
        <v>0</v>
      </c>
      <c r="N4990" s="2">
        <v>0</v>
      </c>
      <c r="O4990">
        <v>-14.4</v>
      </c>
      <c r="P4990" t="s">
        <v>100</v>
      </c>
      <c r="Q4990">
        <v>0</v>
      </c>
      <c r="R4990" t="s">
        <v>145</v>
      </c>
      <c r="S4990">
        <v>0</v>
      </c>
    </row>
    <row r="4991" spans="1:19">
      <c r="A4991" t="s">
        <v>35</v>
      </c>
      <c r="B4991" t="s">
        <v>7804</v>
      </c>
      <c r="C4991">
        <f>"1805XXL"</f>
        <v>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12</v>
      </c>
      <c r="K4991">
        <v>20.412</v>
      </c>
      <c r="L4991" s="2">
        <v>2</v>
      </c>
      <c r="M4991">
        <v>0</v>
      </c>
      <c r="N4991" s="2">
        <v>0</v>
      </c>
      <c r="O4991">
        <v>-14.4</v>
      </c>
      <c r="P4991" t="s">
        <v>100</v>
      </c>
      <c r="Q4991">
        <v>0</v>
      </c>
      <c r="R4991" t="s">
        <v>145</v>
      </c>
      <c r="S4991">
        <v>0</v>
      </c>
    </row>
    <row r="4992" spans="1:19">
      <c r="A4992" t="s">
        <v>35</v>
      </c>
      <c r="B4992" t="s">
        <v>4530</v>
      </c>
      <c r="C4992">
        <f>"PD10023XL"</f>
        <v>0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0</v>
      </c>
      <c r="J4992">
        <v>12</v>
      </c>
      <c r="K4992">
        <v>81.54000000000001</v>
      </c>
      <c r="L4992" s="2">
        <v>7</v>
      </c>
      <c r="M4992">
        <v>0</v>
      </c>
      <c r="N4992" s="2">
        <v>0</v>
      </c>
      <c r="O4992">
        <v>-14.4</v>
      </c>
      <c r="P4992" t="s">
        <v>100</v>
      </c>
      <c r="Q4992">
        <v>0</v>
      </c>
      <c r="R4992" t="s">
        <v>145</v>
      </c>
      <c r="S4992">
        <v>0</v>
      </c>
    </row>
    <row r="4993" spans="1:19">
      <c r="A4993" t="s">
        <v>35</v>
      </c>
      <c r="B4993" t="s">
        <v>4139</v>
      </c>
      <c r="C4993">
        <f>"FB681MR"</f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12</v>
      </c>
      <c r="K4993">
        <v>64.69199999999999</v>
      </c>
      <c r="L4993" s="2">
        <v>5</v>
      </c>
      <c r="M4993">
        <v>0</v>
      </c>
      <c r="N4993" s="2">
        <v>0</v>
      </c>
      <c r="O4993">
        <v>-14.4</v>
      </c>
      <c r="P4993" t="s">
        <v>100</v>
      </c>
      <c r="Q4993">
        <v>0</v>
      </c>
      <c r="R4993" t="s">
        <v>145</v>
      </c>
      <c r="S4993">
        <v>0</v>
      </c>
    </row>
    <row r="4994" spans="1:19">
      <c r="A4994" t="s">
        <v>35</v>
      </c>
      <c r="B4994" t="s">
        <v>3596</v>
      </c>
      <c r="C4994">
        <f>"wd928931"</f>
        <v>0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0</v>
      </c>
      <c r="J4994">
        <v>12</v>
      </c>
      <c r="K4994">
        <v>35.1</v>
      </c>
      <c r="L4994" s="2">
        <v>3</v>
      </c>
      <c r="M4994">
        <v>0</v>
      </c>
      <c r="N4994" s="2">
        <v>0</v>
      </c>
      <c r="O4994">
        <v>-14.4</v>
      </c>
      <c r="P4994" t="s">
        <v>100</v>
      </c>
      <c r="Q4994">
        <v>0</v>
      </c>
      <c r="R4994" t="s">
        <v>145</v>
      </c>
      <c r="S4994">
        <v>0</v>
      </c>
    </row>
    <row r="4995" spans="1:19">
      <c r="A4995" t="s">
        <v>35</v>
      </c>
      <c r="B4995" t="s">
        <v>5064</v>
      </c>
      <c r="C4995">
        <f>"1760HRRL"</f>
        <v>0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12</v>
      </c>
      <c r="K4995">
        <v>58.41</v>
      </c>
      <c r="L4995" s="2">
        <v>5</v>
      </c>
      <c r="M4995">
        <v>0</v>
      </c>
      <c r="N4995" s="2">
        <v>0</v>
      </c>
      <c r="O4995">
        <v>-14.4</v>
      </c>
      <c r="P4995" t="s">
        <v>100</v>
      </c>
      <c r="Q4995">
        <v>0</v>
      </c>
      <c r="R4995" t="s">
        <v>145</v>
      </c>
      <c r="S4995">
        <v>0</v>
      </c>
    </row>
    <row r="4996" spans="1:19">
      <c r="A4996" t="s">
        <v>35</v>
      </c>
      <c r="B4996" t="s">
        <v>5063</v>
      </c>
      <c r="C4996">
        <f>"1760HRRM"</f>
        <v>0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12</v>
      </c>
      <c r="K4996">
        <v>42.075</v>
      </c>
      <c r="L4996" s="2">
        <v>4</v>
      </c>
      <c r="M4996">
        <v>0</v>
      </c>
      <c r="N4996" s="2">
        <v>0</v>
      </c>
      <c r="O4996">
        <v>-14.4</v>
      </c>
      <c r="P4996" t="s">
        <v>100</v>
      </c>
      <c r="Q4996">
        <v>0</v>
      </c>
      <c r="R4996" t="s">
        <v>145</v>
      </c>
      <c r="S4996">
        <v>0</v>
      </c>
    </row>
    <row r="4997" spans="1:19">
      <c r="A4997" t="s">
        <v>35</v>
      </c>
      <c r="B4997" t="s">
        <v>5061</v>
      </c>
      <c r="C4997">
        <f>"1760HRRXS"</f>
        <v>0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12</v>
      </c>
      <c r="K4997">
        <v>20.61</v>
      </c>
      <c r="L4997" s="2">
        <v>2</v>
      </c>
      <c r="M4997">
        <v>0</v>
      </c>
      <c r="N4997" s="2">
        <v>0</v>
      </c>
      <c r="O4997">
        <v>-14.4</v>
      </c>
      <c r="P4997" t="s">
        <v>100</v>
      </c>
      <c r="Q4997">
        <v>0</v>
      </c>
      <c r="R4997" t="s">
        <v>145</v>
      </c>
      <c r="S4997">
        <v>0</v>
      </c>
    </row>
    <row r="4998" spans="1:19">
      <c r="A4998" t="s">
        <v>35</v>
      </c>
      <c r="B4998" t="s">
        <v>2939</v>
      </c>
      <c r="C4998">
        <f>"HDDZ821UNID"</f>
        <v>0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12</v>
      </c>
      <c r="K4998">
        <v>2.691</v>
      </c>
      <c r="L4998" s="2">
        <v>0</v>
      </c>
      <c r="M4998">
        <v>0</v>
      </c>
      <c r="N4998" s="2">
        <v>0</v>
      </c>
      <c r="O4998">
        <v>-14.4</v>
      </c>
      <c r="P4998" t="s">
        <v>100</v>
      </c>
      <c r="Q4998">
        <v>0</v>
      </c>
      <c r="R4998" t="s">
        <v>145</v>
      </c>
      <c r="S4998">
        <v>0</v>
      </c>
    </row>
    <row r="4999" spans="1:19">
      <c r="A4999" t="s">
        <v>35</v>
      </c>
      <c r="B4999" t="s">
        <v>7471</v>
      </c>
      <c r="C4999">
        <f>"KLA6S"</f>
        <v>0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12</v>
      </c>
      <c r="K4999">
        <v>42.012</v>
      </c>
      <c r="L4999" s="2">
        <v>4</v>
      </c>
      <c r="M4999">
        <v>0</v>
      </c>
      <c r="N4999" s="2">
        <v>0</v>
      </c>
      <c r="O4999">
        <v>-14.4</v>
      </c>
      <c r="P4999" t="s">
        <v>100</v>
      </c>
      <c r="Q4999">
        <v>0</v>
      </c>
      <c r="R4999" t="s">
        <v>145</v>
      </c>
      <c r="S4999">
        <v>0</v>
      </c>
    </row>
    <row r="5000" spans="1:19">
      <c r="A5000" t="s">
        <v>35</v>
      </c>
      <c r="B5000" t="s">
        <v>1860</v>
      </c>
      <c r="C5000">
        <f>"W2001"</f>
        <v>0</v>
      </c>
      <c r="D5000">
        <v>7</v>
      </c>
      <c r="E5000">
        <v>0</v>
      </c>
      <c r="F5000">
        <v>0</v>
      </c>
      <c r="G5000">
        <v>0</v>
      </c>
      <c r="H5000">
        <v>7</v>
      </c>
      <c r="I5000">
        <v>0</v>
      </c>
      <c r="J5000">
        <v>12</v>
      </c>
      <c r="K5000">
        <v>50.22</v>
      </c>
      <c r="L5000" s="2">
        <v>4</v>
      </c>
      <c r="M5000">
        <v>0</v>
      </c>
      <c r="N5000" s="2">
        <v>0</v>
      </c>
      <c r="O5000">
        <v>-14.4</v>
      </c>
      <c r="P5000" t="s">
        <v>100</v>
      </c>
      <c r="Q5000">
        <v>0</v>
      </c>
      <c r="R5000" t="s">
        <v>145</v>
      </c>
      <c r="S5000">
        <v>0</v>
      </c>
    </row>
    <row r="5001" spans="1:19">
      <c r="A5001" t="s">
        <v>35</v>
      </c>
      <c r="B5001" t="s">
        <v>6848</v>
      </c>
      <c r="C5001">
        <f>"HXC41"</f>
        <v>0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0</v>
      </c>
      <c r="J5001">
        <v>12</v>
      </c>
      <c r="K5001">
        <v>19.44</v>
      </c>
      <c r="L5001" s="2">
        <v>2</v>
      </c>
      <c r="M5001">
        <v>0</v>
      </c>
      <c r="N5001" s="2">
        <v>0</v>
      </c>
      <c r="O5001">
        <v>-14.4</v>
      </c>
      <c r="P5001" t="s">
        <v>100</v>
      </c>
      <c r="Q5001">
        <v>0</v>
      </c>
      <c r="R5001" t="s">
        <v>145</v>
      </c>
      <c r="S5001">
        <v>0</v>
      </c>
    </row>
    <row r="5002" spans="1:19">
      <c r="A5002" t="s">
        <v>35</v>
      </c>
      <c r="B5002" t="s">
        <v>5059</v>
      </c>
      <c r="C5002">
        <f>"1760SBM"</f>
        <v>0</v>
      </c>
      <c r="D5002">
        <v>0</v>
      </c>
      <c r="E5002">
        <v>0</v>
      </c>
      <c r="F5002">
        <v>0</v>
      </c>
      <c r="G5002">
        <v>0</v>
      </c>
      <c r="H5002">
        <v>0</v>
      </c>
      <c r="I5002">
        <v>0</v>
      </c>
      <c r="J5002">
        <v>12</v>
      </c>
      <c r="K5002">
        <v>26.775</v>
      </c>
      <c r="L5002" s="2">
        <v>2</v>
      </c>
      <c r="M5002">
        <v>0</v>
      </c>
      <c r="N5002" s="2">
        <v>0</v>
      </c>
      <c r="O5002">
        <v>-14.4</v>
      </c>
      <c r="P5002" t="s">
        <v>100</v>
      </c>
      <c r="Q5002">
        <v>0</v>
      </c>
      <c r="R5002" t="s">
        <v>145</v>
      </c>
      <c r="S5002">
        <v>0</v>
      </c>
    </row>
    <row r="5003" spans="1:19">
      <c r="A5003" t="s">
        <v>35</v>
      </c>
      <c r="B5003" t="s">
        <v>5015</v>
      </c>
      <c r="C5003">
        <f>"1823MBXL"</f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12</v>
      </c>
      <c r="K5003">
        <v>66.59999999999999</v>
      </c>
      <c r="L5003" s="2">
        <v>6</v>
      </c>
      <c r="M5003">
        <v>0</v>
      </c>
      <c r="N5003" s="2">
        <v>0</v>
      </c>
      <c r="O5003">
        <v>-14.4</v>
      </c>
      <c r="P5003" t="s">
        <v>100</v>
      </c>
      <c r="Q5003">
        <v>0</v>
      </c>
      <c r="R5003" t="s">
        <v>145</v>
      </c>
      <c r="S5003">
        <v>0</v>
      </c>
    </row>
    <row r="5004" spans="1:19">
      <c r="A5004" t="s">
        <v>35</v>
      </c>
      <c r="B5004" t="s">
        <v>5057</v>
      </c>
      <c r="C5004">
        <f>"1760SBXS"</f>
        <v>0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12</v>
      </c>
      <c r="K5004">
        <v>20.61</v>
      </c>
      <c r="L5004" s="2">
        <v>2</v>
      </c>
      <c r="M5004">
        <v>0</v>
      </c>
      <c r="N5004" s="2">
        <v>0</v>
      </c>
      <c r="O5004">
        <v>-14.4</v>
      </c>
      <c r="P5004" t="s">
        <v>100</v>
      </c>
      <c r="Q5004">
        <v>0</v>
      </c>
      <c r="R5004" t="s">
        <v>145</v>
      </c>
      <c r="S5004">
        <v>0</v>
      </c>
    </row>
    <row r="5005" spans="1:19">
      <c r="A5005" t="s">
        <v>35</v>
      </c>
      <c r="B5005" t="s">
        <v>4973</v>
      </c>
      <c r="C5005">
        <f>"1881MBS"</f>
        <v>0</v>
      </c>
      <c r="D5005">
        <v>0</v>
      </c>
      <c r="E5005">
        <v>0</v>
      </c>
      <c r="F5005">
        <v>0</v>
      </c>
      <c r="G5005">
        <v>0</v>
      </c>
      <c r="H5005">
        <v>0</v>
      </c>
      <c r="I5005">
        <v>0</v>
      </c>
      <c r="J5005">
        <v>12</v>
      </c>
      <c r="K5005">
        <v>72.36</v>
      </c>
      <c r="L5005" s="2">
        <v>6</v>
      </c>
      <c r="M5005">
        <v>0</v>
      </c>
      <c r="N5005" s="2">
        <v>0</v>
      </c>
      <c r="O5005">
        <v>-14.4</v>
      </c>
      <c r="P5005" t="s">
        <v>100</v>
      </c>
      <c r="Q5005">
        <v>0</v>
      </c>
      <c r="R5005" t="s">
        <v>145</v>
      </c>
      <c r="S5005">
        <v>0</v>
      </c>
    </row>
    <row r="5006" spans="1:19">
      <c r="A5006" t="s">
        <v>35</v>
      </c>
      <c r="B5006" t="s">
        <v>4570</v>
      </c>
      <c r="C5006">
        <f>"1801XS"</f>
        <v>0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12</v>
      </c>
      <c r="K5006">
        <v>44.82</v>
      </c>
      <c r="L5006" s="2">
        <v>4</v>
      </c>
      <c r="M5006">
        <v>0</v>
      </c>
      <c r="N5006" s="2">
        <v>0</v>
      </c>
      <c r="O5006">
        <v>-14.4</v>
      </c>
      <c r="P5006" t="s">
        <v>100</v>
      </c>
      <c r="Q5006">
        <v>0</v>
      </c>
      <c r="R5006" t="s">
        <v>145</v>
      </c>
      <c r="S5006">
        <v>0</v>
      </c>
    </row>
    <row r="5007" spans="1:19">
      <c r="A5007" t="s">
        <v>35</v>
      </c>
      <c r="B5007" t="s">
        <v>2413</v>
      </c>
      <c r="C5007">
        <f>"JWZ1018S"</f>
        <v>0</v>
      </c>
      <c r="D5007">
        <v>0</v>
      </c>
      <c r="E5007">
        <v>0</v>
      </c>
      <c r="F5007">
        <v>1</v>
      </c>
      <c r="G5007">
        <v>0</v>
      </c>
      <c r="H5007">
        <v>1</v>
      </c>
      <c r="I5007">
        <v>0</v>
      </c>
      <c r="J5007">
        <v>12</v>
      </c>
      <c r="K5007">
        <v>7.452</v>
      </c>
      <c r="L5007" s="2">
        <v>1</v>
      </c>
      <c r="M5007">
        <v>0</v>
      </c>
      <c r="N5007" s="2">
        <v>0</v>
      </c>
      <c r="O5007">
        <v>-14.4</v>
      </c>
      <c r="P5007" t="s">
        <v>100</v>
      </c>
      <c r="Q5007">
        <v>0</v>
      </c>
      <c r="R5007" t="s">
        <v>145</v>
      </c>
      <c r="S5007">
        <v>0</v>
      </c>
    </row>
    <row r="5008" spans="1:19">
      <c r="A5008" t="s">
        <v>35</v>
      </c>
      <c r="B5008" t="s">
        <v>6573</v>
      </c>
      <c r="C5008">
        <f>"JWZ1051XL"</f>
        <v>0</v>
      </c>
      <c r="D5008">
        <v>0</v>
      </c>
      <c r="E5008">
        <v>0</v>
      </c>
      <c r="F5008">
        <v>0</v>
      </c>
      <c r="G5008">
        <v>0</v>
      </c>
      <c r="H5008">
        <v>0</v>
      </c>
      <c r="I5008">
        <v>0</v>
      </c>
      <c r="J5008">
        <v>12</v>
      </c>
      <c r="K5008">
        <v>17.172</v>
      </c>
      <c r="L5008" s="2">
        <v>1</v>
      </c>
      <c r="M5008">
        <v>0</v>
      </c>
      <c r="N5008" s="2">
        <v>0</v>
      </c>
      <c r="O5008">
        <v>-14.4</v>
      </c>
      <c r="P5008" t="s">
        <v>100</v>
      </c>
      <c r="Q5008">
        <v>0</v>
      </c>
      <c r="R5008" t="s">
        <v>145</v>
      </c>
      <c r="S5008">
        <v>0</v>
      </c>
    </row>
    <row r="5009" spans="1:19">
      <c r="A5009" t="s">
        <v>35</v>
      </c>
      <c r="B5009" t="s">
        <v>8427</v>
      </c>
      <c r="C5009">
        <f>"W001AM"</f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12</v>
      </c>
      <c r="K5009">
        <v>62.1</v>
      </c>
      <c r="L5009" s="2">
        <v>5</v>
      </c>
      <c r="M5009">
        <v>0</v>
      </c>
      <c r="N5009" s="2">
        <v>0</v>
      </c>
      <c r="O5009">
        <v>-14.4</v>
      </c>
      <c r="P5009" t="s">
        <v>100</v>
      </c>
      <c r="Q5009">
        <v>0</v>
      </c>
      <c r="R5009" t="s">
        <v>145</v>
      </c>
      <c r="S5009">
        <v>0</v>
      </c>
    </row>
    <row r="5010" spans="1:19">
      <c r="A5010" t="s">
        <v>35</v>
      </c>
      <c r="B5010" t="s">
        <v>6821</v>
      </c>
      <c r="C5010">
        <f>"WP00825"</f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12</v>
      </c>
      <c r="K5010">
        <v>0</v>
      </c>
      <c r="L5010" s="2">
        <v>0</v>
      </c>
      <c r="M5010">
        <v>0</v>
      </c>
      <c r="N5010" s="2">
        <v>0</v>
      </c>
      <c r="O5010">
        <v>-14.4</v>
      </c>
      <c r="P5010" t="s">
        <v>100</v>
      </c>
      <c r="Q5010">
        <v>0</v>
      </c>
      <c r="R5010" t="s">
        <v>145</v>
      </c>
      <c r="S5010">
        <v>0</v>
      </c>
    </row>
    <row r="5011" spans="1:19">
      <c r="A5011" t="s">
        <v>35</v>
      </c>
      <c r="B5011" t="s">
        <v>1657</v>
      </c>
      <c r="C5011">
        <f>"MM015S"</f>
        <v>0</v>
      </c>
      <c r="D5011">
        <v>0</v>
      </c>
      <c r="E5011">
        <v>0</v>
      </c>
      <c r="F5011">
        <v>0</v>
      </c>
      <c r="G5011">
        <v>1</v>
      </c>
      <c r="H5011">
        <v>1</v>
      </c>
      <c r="I5011">
        <v>0</v>
      </c>
      <c r="J5011">
        <v>17</v>
      </c>
      <c r="K5011">
        <v>16.065</v>
      </c>
      <c r="L5011" s="2">
        <v>1</v>
      </c>
      <c r="M5011">
        <v>0</v>
      </c>
      <c r="N5011" s="2">
        <v>0</v>
      </c>
      <c r="O5011">
        <v>-15.4</v>
      </c>
      <c r="P5011" t="s">
        <v>11081</v>
      </c>
      <c r="Q5011">
        <v>95</v>
      </c>
      <c r="R5011" t="s">
        <v>11207</v>
      </c>
      <c r="S5011">
        <v>1</v>
      </c>
    </row>
    <row r="5012" spans="1:19">
      <c r="A5012" t="s">
        <v>35</v>
      </c>
      <c r="B5012" t="s">
        <v>4925</v>
      </c>
      <c r="C5012">
        <f>"WIN51VE"</f>
        <v>0</v>
      </c>
      <c r="D5012">
        <v>0</v>
      </c>
      <c r="E5012">
        <v>0</v>
      </c>
      <c r="F5012">
        <v>0</v>
      </c>
      <c r="G5012">
        <v>0</v>
      </c>
      <c r="H5012">
        <v>0</v>
      </c>
      <c r="I5012">
        <v>0</v>
      </c>
      <c r="J5012">
        <v>13</v>
      </c>
      <c r="K5012">
        <v>18.135</v>
      </c>
      <c r="L5012" s="2">
        <v>1</v>
      </c>
      <c r="M5012">
        <v>0</v>
      </c>
      <c r="N5012" s="2">
        <v>0</v>
      </c>
      <c r="O5012">
        <v>-15.6</v>
      </c>
      <c r="P5012" t="s">
        <v>100</v>
      </c>
      <c r="Q5012">
        <v>0</v>
      </c>
      <c r="R5012" t="s">
        <v>145</v>
      </c>
      <c r="S5012">
        <v>0</v>
      </c>
    </row>
    <row r="5013" spans="1:19">
      <c r="A5013" t="s">
        <v>35</v>
      </c>
      <c r="B5013" t="s">
        <v>6630</v>
      </c>
      <c r="C5013">
        <f>"JWZ1027S"</f>
        <v>0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13</v>
      </c>
      <c r="K5013">
        <v>8.073</v>
      </c>
      <c r="L5013" s="2">
        <v>1</v>
      </c>
      <c r="M5013">
        <v>0</v>
      </c>
      <c r="N5013" s="2">
        <v>0</v>
      </c>
      <c r="O5013">
        <v>-15.6</v>
      </c>
      <c r="P5013" t="s">
        <v>100</v>
      </c>
      <c r="Q5013">
        <v>0</v>
      </c>
      <c r="R5013" t="s">
        <v>145</v>
      </c>
      <c r="S5013">
        <v>0</v>
      </c>
    </row>
    <row r="5014" spans="1:19">
      <c r="A5014" t="s">
        <v>35</v>
      </c>
      <c r="B5014" t="s">
        <v>2768</v>
      </c>
      <c r="C5014">
        <f>"B19220MA"</f>
        <v>0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13</v>
      </c>
      <c r="K5014">
        <v>112.905</v>
      </c>
      <c r="L5014" s="2">
        <v>9</v>
      </c>
      <c r="M5014">
        <v>0</v>
      </c>
      <c r="N5014" s="2">
        <v>0</v>
      </c>
      <c r="O5014">
        <v>-15.6</v>
      </c>
      <c r="P5014" t="s">
        <v>100</v>
      </c>
      <c r="Q5014">
        <v>0</v>
      </c>
      <c r="R5014" t="s">
        <v>145</v>
      </c>
      <c r="S5014">
        <v>0</v>
      </c>
    </row>
    <row r="5015" spans="1:19">
      <c r="A5015" t="s">
        <v>35</v>
      </c>
      <c r="B5015" t="s">
        <v>6956</v>
      </c>
      <c r="C5015">
        <f>"SLL21518"</f>
        <v>0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13</v>
      </c>
      <c r="K5015">
        <v>34.038</v>
      </c>
      <c r="L5015" s="2">
        <v>3</v>
      </c>
      <c r="M5015">
        <v>0</v>
      </c>
      <c r="N5015" s="2">
        <v>0</v>
      </c>
      <c r="O5015">
        <v>-15.6</v>
      </c>
      <c r="P5015" t="s">
        <v>100</v>
      </c>
      <c r="Q5015">
        <v>0</v>
      </c>
      <c r="R5015" t="s">
        <v>145</v>
      </c>
      <c r="S5015">
        <v>0</v>
      </c>
    </row>
    <row r="5016" spans="1:19">
      <c r="A5016" t="s">
        <v>35</v>
      </c>
      <c r="B5016" t="s">
        <v>2647</v>
      </c>
      <c r="C5016">
        <f>"D42XXL"</f>
        <v>0</v>
      </c>
      <c r="D5016">
        <v>1</v>
      </c>
      <c r="E5016">
        <v>0</v>
      </c>
      <c r="F5016">
        <v>0</v>
      </c>
      <c r="G5016">
        <v>0</v>
      </c>
      <c r="H5016">
        <v>1</v>
      </c>
      <c r="I5016">
        <v>0</v>
      </c>
      <c r="J5016">
        <v>13</v>
      </c>
      <c r="K5016">
        <v>25.623</v>
      </c>
      <c r="L5016" s="2">
        <v>2</v>
      </c>
      <c r="M5016">
        <v>0</v>
      </c>
      <c r="N5016" s="2">
        <v>0</v>
      </c>
      <c r="O5016">
        <v>-15.6</v>
      </c>
      <c r="P5016" t="s">
        <v>100</v>
      </c>
      <c r="Q5016">
        <v>0</v>
      </c>
      <c r="R5016" t="s">
        <v>145</v>
      </c>
      <c r="S5016">
        <v>0</v>
      </c>
    </row>
    <row r="5017" spans="1:19">
      <c r="A5017" t="s">
        <v>35</v>
      </c>
      <c r="B5017" t="s">
        <v>5123</v>
      </c>
      <c r="C5017">
        <f>"XB1861CAS"</f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13</v>
      </c>
      <c r="K5017">
        <v>98.86499999999999</v>
      </c>
      <c r="L5017" s="2">
        <v>8</v>
      </c>
      <c r="M5017">
        <v>0</v>
      </c>
      <c r="N5017" s="2">
        <v>0</v>
      </c>
      <c r="O5017">
        <v>-15.6</v>
      </c>
      <c r="P5017" t="s">
        <v>100</v>
      </c>
      <c r="Q5017">
        <v>0</v>
      </c>
      <c r="R5017" t="s">
        <v>145</v>
      </c>
      <c r="S5017">
        <v>0</v>
      </c>
    </row>
    <row r="5018" spans="1:19">
      <c r="A5018" t="s">
        <v>35</v>
      </c>
      <c r="B5018" t="s">
        <v>10221</v>
      </c>
      <c r="C5018">
        <f>"DR124A"</f>
        <v>0</v>
      </c>
      <c r="D5018">
        <v>0</v>
      </c>
      <c r="E5018">
        <v>0</v>
      </c>
      <c r="F5018">
        <v>2</v>
      </c>
      <c r="G5018">
        <v>0</v>
      </c>
      <c r="H5018">
        <v>2</v>
      </c>
      <c r="I5018">
        <v>0</v>
      </c>
      <c r="J5018">
        <v>13</v>
      </c>
      <c r="K5018">
        <v>34.983</v>
      </c>
      <c r="L5018" s="2">
        <v>3</v>
      </c>
      <c r="M5018">
        <v>0</v>
      </c>
      <c r="N5018" s="2">
        <v>0</v>
      </c>
      <c r="O5018">
        <v>-15.6</v>
      </c>
      <c r="P5018" t="s">
        <v>11082</v>
      </c>
      <c r="Q5018">
        <v>-270</v>
      </c>
      <c r="R5018" t="s">
        <v>10288</v>
      </c>
      <c r="S5018">
        <v>0</v>
      </c>
    </row>
    <row r="5019" spans="1:19">
      <c r="A5019" t="s">
        <v>35</v>
      </c>
      <c r="B5019" t="s">
        <v>4762</v>
      </c>
      <c r="C5019">
        <f>"WIN100"</f>
        <v>0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0</v>
      </c>
      <c r="J5019">
        <v>13</v>
      </c>
      <c r="K5019">
        <v>16.965</v>
      </c>
      <c r="L5019" s="2">
        <v>1</v>
      </c>
      <c r="M5019">
        <v>0</v>
      </c>
      <c r="N5019" s="2">
        <v>0</v>
      </c>
      <c r="O5019">
        <v>-15.6</v>
      </c>
      <c r="P5019" t="s">
        <v>100</v>
      </c>
      <c r="Q5019">
        <v>0</v>
      </c>
      <c r="R5019" t="s">
        <v>145</v>
      </c>
      <c r="S5019">
        <v>0</v>
      </c>
    </row>
    <row r="5020" spans="1:19">
      <c r="A5020" t="s">
        <v>35</v>
      </c>
      <c r="B5020" t="s">
        <v>2633</v>
      </c>
      <c r="C5020">
        <f>"JWZ1058L"</f>
        <v>0</v>
      </c>
      <c r="D5020">
        <v>0</v>
      </c>
      <c r="E5020">
        <v>0</v>
      </c>
      <c r="F5020">
        <v>1</v>
      </c>
      <c r="G5020">
        <v>0</v>
      </c>
      <c r="H5020">
        <v>1</v>
      </c>
      <c r="I5020">
        <v>0</v>
      </c>
      <c r="J5020">
        <v>13</v>
      </c>
      <c r="K5020">
        <v>14.625</v>
      </c>
      <c r="L5020" s="2">
        <v>1</v>
      </c>
      <c r="M5020">
        <v>0</v>
      </c>
      <c r="N5020" s="2">
        <v>0</v>
      </c>
      <c r="O5020">
        <v>-15.6</v>
      </c>
      <c r="P5020" t="s">
        <v>100</v>
      </c>
      <c r="Q5020">
        <v>0</v>
      </c>
      <c r="R5020" t="s">
        <v>145</v>
      </c>
      <c r="S5020">
        <v>0</v>
      </c>
    </row>
    <row r="5021" spans="1:19">
      <c r="A5021" t="s">
        <v>35</v>
      </c>
      <c r="B5021" t="s">
        <v>4854</v>
      </c>
      <c r="C5021">
        <f>"JWL1042M"</f>
        <v>0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13</v>
      </c>
      <c r="K5021">
        <v>22.113</v>
      </c>
      <c r="L5021" s="2">
        <v>2</v>
      </c>
      <c r="M5021">
        <v>0</v>
      </c>
      <c r="N5021" s="2">
        <v>0</v>
      </c>
      <c r="O5021">
        <v>-15.6</v>
      </c>
      <c r="P5021" t="s">
        <v>100</v>
      </c>
      <c r="Q5021">
        <v>0</v>
      </c>
      <c r="R5021" t="s">
        <v>145</v>
      </c>
      <c r="S5021">
        <v>0</v>
      </c>
    </row>
    <row r="5022" spans="1:19">
      <c r="A5022" t="s">
        <v>35</v>
      </c>
      <c r="B5022" t="s">
        <v>7160</v>
      </c>
      <c r="C5022">
        <f>"HH088XLV"</f>
        <v>0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13</v>
      </c>
      <c r="K5022">
        <v>139.23</v>
      </c>
      <c r="L5022" s="2">
        <v>11</v>
      </c>
      <c r="M5022">
        <v>0</v>
      </c>
      <c r="N5022" s="2">
        <v>0</v>
      </c>
      <c r="O5022">
        <v>-15.6</v>
      </c>
      <c r="P5022" t="s">
        <v>100</v>
      </c>
      <c r="Q5022">
        <v>0</v>
      </c>
      <c r="R5022" t="s">
        <v>145</v>
      </c>
      <c r="S5022">
        <v>0</v>
      </c>
    </row>
    <row r="5023" spans="1:19">
      <c r="A5023" t="s">
        <v>35</v>
      </c>
      <c r="B5023" t="s">
        <v>6531</v>
      </c>
      <c r="C5023">
        <f>"HH088XXLBN"</f>
        <v>0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13</v>
      </c>
      <c r="K5023">
        <v>154.53</v>
      </c>
      <c r="L5023" s="2">
        <v>12</v>
      </c>
      <c r="M5023">
        <v>0</v>
      </c>
      <c r="N5023" s="2">
        <v>0</v>
      </c>
      <c r="O5023">
        <v>-15.6</v>
      </c>
      <c r="P5023" t="s">
        <v>100</v>
      </c>
      <c r="Q5023">
        <v>0</v>
      </c>
      <c r="R5023" t="s">
        <v>145</v>
      </c>
      <c r="S5023">
        <v>0</v>
      </c>
    </row>
    <row r="5024" spans="1:19">
      <c r="A5024" t="s">
        <v>35</v>
      </c>
      <c r="B5024" t="s">
        <v>6720</v>
      </c>
      <c r="C5024">
        <f>"CL357KM"</f>
        <v>0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13</v>
      </c>
      <c r="K5024">
        <v>43.875</v>
      </c>
      <c r="L5024" s="2">
        <v>3</v>
      </c>
      <c r="M5024">
        <v>0</v>
      </c>
      <c r="N5024" s="2">
        <v>0</v>
      </c>
      <c r="O5024">
        <v>-15.6</v>
      </c>
      <c r="P5024" t="s">
        <v>100</v>
      </c>
      <c r="Q5024">
        <v>0</v>
      </c>
      <c r="R5024" t="s">
        <v>145</v>
      </c>
      <c r="S5024">
        <v>0</v>
      </c>
    </row>
    <row r="5025" spans="1:19">
      <c r="A5025" t="s">
        <v>35</v>
      </c>
      <c r="B5025" t="s">
        <v>8151</v>
      </c>
      <c r="C5025">
        <f>"8013M"</f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13</v>
      </c>
      <c r="K5025">
        <v>45.63</v>
      </c>
      <c r="L5025" s="2">
        <v>4</v>
      </c>
      <c r="M5025">
        <v>0</v>
      </c>
      <c r="N5025" s="2">
        <v>0</v>
      </c>
      <c r="O5025">
        <v>-15.6</v>
      </c>
      <c r="P5025" t="s">
        <v>100</v>
      </c>
      <c r="Q5025">
        <v>0</v>
      </c>
      <c r="R5025" t="s">
        <v>145</v>
      </c>
      <c r="S5025">
        <v>0</v>
      </c>
    </row>
    <row r="5026" spans="1:19">
      <c r="A5026" t="s">
        <v>35</v>
      </c>
      <c r="B5026" t="s">
        <v>4852</v>
      </c>
      <c r="C5026">
        <f>"JWL1051M"</f>
        <v>0</v>
      </c>
      <c r="D5026">
        <v>0</v>
      </c>
      <c r="E5026">
        <v>0</v>
      </c>
      <c r="F5026">
        <v>0</v>
      </c>
      <c r="G5026">
        <v>0</v>
      </c>
      <c r="H5026">
        <v>0</v>
      </c>
      <c r="I5026">
        <v>0</v>
      </c>
      <c r="J5026">
        <v>13</v>
      </c>
      <c r="K5026">
        <v>22.113</v>
      </c>
      <c r="L5026" s="2">
        <v>2</v>
      </c>
      <c r="M5026">
        <v>0</v>
      </c>
      <c r="N5026" s="2">
        <v>0</v>
      </c>
      <c r="O5026">
        <v>-15.6</v>
      </c>
      <c r="P5026" t="s">
        <v>100</v>
      </c>
      <c r="Q5026">
        <v>0</v>
      </c>
      <c r="R5026" t="s">
        <v>145</v>
      </c>
      <c r="S5026">
        <v>0</v>
      </c>
    </row>
    <row r="5027" spans="1:19">
      <c r="A5027" t="s">
        <v>35</v>
      </c>
      <c r="B5027" t="s">
        <v>4986</v>
      </c>
      <c r="C5027">
        <f>"1854LVS"</f>
        <v>0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0</v>
      </c>
      <c r="J5027">
        <v>13</v>
      </c>
      <c r="K5027">
        <v>87.75</v>
      </c>
      <c r="L5027" s="2">
        <v>7</v>
      </c>
      <c r="M5027">
        <v>0</v>
      </c>
      <c r="N5027" s="2">
        <v>0</v>
      </c>
      <c r="O5027">
        <v>-15.6</v>
      </c>
      <c r="P5027" t="s">
        <v>100</v>
      </c>
      <c r="Q5027">
        <v>0</v>
      </c>
      <c r="R5027" t="s">
        <v>145</v>
      </c>
      <c r="S5027">
        <v>0</v>
      </c>
    </row>
    <row r="5028" spans="1:19">
      <c r="A5028" t="s">
        <v>35</v>
      </c>
      <c r="B5028" t="s">
        <v>2388</v>
      </c>
      <c r="C5028">
        <f>"WBC008XS"</f>
        <v>0</v>
      </c>
      <c r="D5028">
        <v>0</v>
      </c>
      <c r="E5028">
        <v>0</v>
      </c>
      <c r="F5028">
        <v>1</v>
      </c>
      <c r="G5028">
        <v>0</v>
      </c>
      <c r="H5028">
        <v>1</v>
      </c>
      <c r="I5028">
        <v>0</v>
      </c>
      <c r="J5028">
        <v>13</v>
      </c>
      <c r="K5028">
        <v>46.683</v>
      </c>
      <c r="L5028" s="2">
        <v>4</v>
      </c>
      <c r="M5028">
        <v>0</v>
      </c>
      <c r="N5028" s="2">
        <v>0</v>
      </c>
      <c r="O5028">
        <v>-15.6</v>
      </c>
      <c r="P5028" t="s">
        <v>100</v>
      </c>
      <c r="Q5028">
        <v>0</v>
      </c>
      <c r="R5028" t="s">
        <v>145</v>
      </c>
      <c r="S5028">
        <v>0</v>
      </c>
    </row>
    <row r="5029" spans="1:19">
      <c r="A5029" t="s">
        <v>35</v>
      </c>
      <c r="B5029" t="s">
        <v>5119</v>
      </c>
      <c r="C5029">
        <f>"XB1861CRM"</f>
        <v>0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0</v>
      </c>
      <c r="J5029">
        <v>13</v>
      </c>
      <c r="K5029">
        <v>105.183</v>
      </c>
      <c r="L5029" s="2">
        <v>8</v>
      </c>
      <c r="M5029">
        <v>0</v>
      </c>
      <c r="N5029" s="2">
        <v>0</v>
      </c>
      <c r="O5029">
        <v>-15.6</v>
      </c>
      <c r="P5029" t="s">
        <v>100</v>
      </c>
      <c r="Q5029">
        <v>0</v>
      </c>
      <c r="R5029" t="s">
        <v>145</v>
      </c>
      <c r="S5029">
        <v>0</v>
      </c>
    </row>
    <row r="5030" spans="1:19">
      <c r="A5030" t="s">
        <v>35</v>
      </c>
      <c r="B5030" t="s">
        <v>5147</v>
      </c>
      <c r="C5030">
        <f>"1840CLR"</f>
        <v>0</v>
      </c>
      <c r="D5030">
        <v>0</v>
      </c>
      <c r="E5030">
        <v>0</v>
      </c>
      <c r="F5030">
        <v>0</v>
      </c>
      <c r="G5030">
        <v>0</v>
      </c>
      <c r="H5030">
        <v>0</v>
      </c>
      <c r="I5030">
        <v>0</v>
      </c>
      <c r="J5030">
        <v>13</v>
      </c>
      <c r="K5030">
        <v>0</v>
      </c>
      <c r="L5030" s="2">
        <v>0</v>
      </c>
      <c r="M5030">
        <v>0</v>
      </c>
      <c r="N5030" s="2">
        <v>0</v>
      </c>
      <c r="O5030">
        <v>-15.6</v>
      </c>
      <c r="P5030" t="s">
        <v>100</v>
      </c>
      <c r="Q5030">
        <v>0</v>
      </c>
      <c r="R5030" t="s">
        <v>145</v>
      </c>
      <c r="S5030">
        <v>0</v>
      </c>
    </row>
    <row r="5031" spans="1:19">
      <c r="A5031" t="s">
        <v>35</v>
      </c>
      <c r="B5031" t="s">
        <v>4974</v>
      </c>
      <c r="C5031">
        <f>"1881MBM"</f>
        <v>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13</v>
      </c>
      <c r="K5031">
        <v>89.505</v>
      </c>
      <c r="L5031" s="2">
        <v>7</v>
      </c>
      <c r="M5031">
        <v>0</v>
      </c>
      <c r="N5031" s="2">
        <v>0</v>
      </c>
      <c r="O5031">
        <v>-15.6</v>
      </c>
      <c r="P5031" t="s">
        <v>100</v>
      </c>
      <c r="Q5031">
        <v>0</v>
      </c>
      <c r="R5031" t="s">
        <v>145</v>
      </c>
      <c r="S5031">
        <v>0</v>
      </c>
    </row>
    <row r="5032" spans="1:19">
      <c r="A5032" t="s">
        <v>35</v>
      </c>
      <c r="B5032" t="s">
        <v>7719</v>
      </c>
      <c r="C5032">
        <f>"B1919SN"</f>
        <v>0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13</v>
      </c>
      <c r="K5032">
        <v>91.26000000000001</v>
      </c>
      <c r="L5032" s="2">
        <v>7</v>
      </c>
      <c r="M5032">
        <v>0</v>
      </c>
      <c r="N5032" s="2">
        <v>0</v>
      </c>
      <c r="O5032">
        <v>-15.6</v>
      </c>
      <c r="P5032" t="s">
        <v>100</v>
      </c>
      <c r="Q5032">
        <v>0</v>
      </c>
      <c r="R5032" t="s">
        <v>145</v>
      </c>
      <c r="S5032">
        <v>0</v>
      </c>
    </row>
    <row r="5033" spans="1:19">
      <c r="A5033" t="s">
        <v>35</v>
      </c>
      <c r="B5033" t="s">
        <v>6841</v>
      </c>
      <c r="C5033">
        <f>"KX4145"</f>
        <v>0</v>
      </c>
      <c r="D5033">
        <v>0</v>
      </c>
      <c r="E5033">
        <v>0</v>
      </c>
      <c r="F5033">
        <v>0</v>
      </c>
      <c r="G5033">
        <v>0</v>
      </c>
      <c r="H5033">
        <v>0</v>
      </c>
      <c r="I5033">
        <v>0</v>
      </c>
      <c r="J5033">
        <v>13</v>
      </c>
      <c r="K5033">
        <v>14.04</v>
      </c>
      <c r="L5033" s="2">
        <v>1</v>
      </c>
      <c r="M5033">
        <v>0</v>
      </c>
      <c r="N5033" s="2">
        <v>0</v>
      </c>
      <c r="O5033">
        <v>-15.6</v>
      </c>
      <c r="P5033" t="s">
        <v>100</v>
      </c>
      <c r="Q5033">
        <v>0</v>
      </c>
      <c r="R5033" t="s">
        <v>145</v>
      </c>
      <c r="S5033">
        <v>0</v>
      </c>
    </row>
    <row r="5034" spans="1:19">
      <c r="A5034" t="s">
        <v>35</v>
      </c>
      <c r="B5034" t="s">
        <v>7717</v>
      </c>
      <c r="C5034">
        <f>"B1919LR"</f>
        <v>0</v>
      </c>
      <c r="D5034">
        <v>0</v>
      </c>
      <c r="E5034">
        <v>0</v>
      </c>
      <c r="F5034">
        <v>0</v>
      </c>
      <c r="G5034">
        <v>0</v>
      </c>
      <c r="H5034">
        <v>0</v>
      </c>
      <c r="I5034">
        <v>0</v>
      </c>
      <c r="J5034">
        <v>13</v>
      </c>
      <c r="K5034">
        <v>96.33199999999999</v>
      </c>
      <c r="L5034" s="2">
        <v>7</v>
      </c>
      <c r="M5034">
        <v>0</v>
      </c>
      <c r="N5034" s="2">
        <v>0</v>
      </c>
      <c r="O5034">
        <v>-15.6</v>
      </c>
      <c r="P5034" t="s">
        <v>100</v>
      </c>
      <c r="Q5034">
        <v>0</v>
      </c>
      <c r="R5034" t="s">
        <v>145</v>
      </c>
      <c r="S5034">
        <v>0</v>
      </c>
    </row>
    <row r="5035" spans="1:19">
      <c r="A5035" t="s">
        <v>35</v>
      </c>
      <c r="B5035" t="s">
        <v>9150</v>
      </c>
      <c r="C5035">
        <f>"JW0110"</f>
        <v>0</v>
      </c>
      <c r="D5035">
        <v>0</v>
      </c>
      <c r="E5035">
        <v>0</v>
      </c>
      <c r="F5035">
        <v>0</v>
      </c>
      <c r="G5035">
        <v>0</v>
      </c>
      <c r="H5035">
        <v>0</v>
      </c>
      <c r="I5035">
        <v>0</v>
      </c>
      <c r="J5035">
        <v>13</v>
      </c>
      <c r="K5035">
        <v>39.933</v>
      </c>
      <c r="L5035" s="2">
        <v>3</v>
      </c>
      <c r="M5035">
        <v>0</v>
      </c>
      <c r="N5035" s="2">
        <v>0</v>
      </c>
      <c r="O5035">
        <v>-15.6</v>
      </c>
      <c r="P5035" t="s">
        <v>100</v>
      </c>
      <c r="Q5035">
        <v>0</v>
      </c>
      <c r="R5035" t="s">
        <v>145</v>
      </c>
      <c r="S5035">
        <v>0</v>
      </c>
    </row>
    <row r="5036" spans="1:19">
      <c r="A5036" t="s">
        <v>35</v>
      </c>
      <c r="B5036" t="s">
        <v>5435</v>
      </c>
      <c r="C5036">
        <f>"E72M"</f>
        <v>0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13</v>
      </c>
      <c r="K5036">
        <v>63.18</v>
      </c>
      <c r="L5036" s="2">
        <v>5</v>
      </c>
      <c r="M5036">
        <v>0</v>
      </c>
      <c r="N5036" s="2">
        <v>0</v>
      </c>
      <c r="O5036">
        <v>-15.6</v>
      </c>
      <c r="P5036" t="s">
        <v>100</v>
      </c>
      <c r="Q5036">
        <v>0</v>
      </c>
      <c r="R5036" t="s">
        <v>145</v>
      </c>
      <c r="S5036">
        <v>0</v>
      </c>
    </row>
    <row r="5037" spans="1:19">
      <c r="A5037" t="s">
        <v>35</v>
      </c>
      <c r="B5037" t="s">
        <v>6491</v>
      </c>
      <c r="C5037">
        <f>"JWZ1018L"</f>
        <v>0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13</v>
      </c>
      <c r="K5037">
        <v>13.455</v>
      </c>
      <c r="L5037" s="2">
        <v>1</v>
      </c>
      <c r="M5037">
        <v>0</v>
      </c>
      <c r="N5037" s="2">
        <v>0</v>
      </c>
      <c r="O5037">
        <v>-15.6</v>
      </c>
      <c r="P5037" t="s">
        <v>100</v>
      </c>
      <c r="Q5037">
        <v>0</v>
      </c>
      <c r="R5037" t="s">
        <v>145</v>
      </c>
      <c r="S5037">
        <v>0</v>
      </c>
    </row>
    <row r="5038" spans="1:19">
      <c r="A5038" t="s">
        <v>35</v>
      </c>
      <c r="B5038" t="s">
        <v>5440</v>
      </c>
      <c r="C5038">
        <f>"E231XS"</f>
        <v>0</v>
      </c>
      <c r="D5038">
        <v>0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13</v>
      </c>
      <c r="K5038">
        <v>28.08</v>
      </c>
      <c r="L5038" s="2">
        <v>2</v>
      </c>
      <c r="M5038">
        <v>0</v>
      </c>
      <c r="N5038" s="2">
        <v>0</v>
      </c>
      <c r="O5038">
        <v>-15.6</v>
      </c>
      <c r="P5038" t="s">
        <v>100</v>
      </c>
      <c r="Q5038">
        <v>0</v>
      </c>
      <c r="R5038" t="s">
        <v>145</v>
      </c>
      <c r="S5038">
        <v>0</v>
      </c>
    </row>
    <row r="5039" spans="1:19">
      <c r="A5039" t="s">
        <v>35</v>
      </c>
      <c r="B5039" t="s">
        <v>1961</v>
      </c>
      <c r="C5039">
        <f>"870149"</f>
        <v>0</v>
      </c>
      <c r="D5039">
        <v>2</v>
      </c>
      <c r="E5039">
        <v>1</v>
      </c>
      <c r="F5039">
        <v>1</v>
      </c>
      <c r="G5039">
        <v>0</v>
      </c>
      <c r="H5039">
        <v>4</v>
      </c>
      <c r="I5039">
        <v>1</v>
      </c>
      <c r="J5039">
        <v>14</v>
      </c>
      <c r="K5039">
        <v>21.294</v>
      </c>
      <c r="L5039" s="2">
        <v>2</v>
      </c>
      <c r="M5039">
        <v>0</v>
      </c>
      <c r="N5039" s="2">
        <v>0</v>
      </c>
      <c r="O5039">
        <v>-15.8</v>
      </c>
      <c r="P5039" t="s">
        <v>100</v>
      </c>
      <c r="Q5039">
        <v>0</v>
      </c>
      <c r="R5039" t="s">
        <v>145</v>
      </c>
      <c r="S5039">
        <v>0</v>
      </c>
    </row>
    <row r="5040" spans="1:19">
      <c r="A5040" t="s">
        <v>35</v>
      </c>
      <c r="B5040" t="s">
        <v>1829</v>
      </c>
      <c r="C5040">
        <f>"CK1035"</f>
        <v>0</v>
      </c>
      <c r="D5040">
        <v>0</v>
      </c>
      <c r="E5040">
        <v>4</v>
      </c>
      <c r="F5040">
        <v>4</v>
      </c>
      <c r="G5040">
        <v>0</v>
      </c>
      <c r="H5040">
        <v>8</v>
      </c>
      <c r="I5040">
        <v>2</v>
      </c>
      <c r="J5040">
        <v>15</v>
      </c>
      <c r="K5040">
        <v>12.015</v>
      </c>
      <c r="L5040" s="2">
        <v>1</v>
      </c>
      <c r="M5040">
        <v>0</v>
      </c>
      <c r="N5040" s="2">
        <v>0</v>
      </c>
      <c r="O5040">
        <v>-16</v>
      </c>
      <c r="P5040" t="s">
        <v>100</v>
      </c>
      <c r="Q5040">
        <v>0</v>
      </c>
      <c r="R5040" t="s">
        <v>145</v>
      </c>
      <c r="S5040">
        <v>0</v>
      </c>
    </row>
    <row r="5041" spans="1:19">
      <c r="A5041" t="s">
        <v>35</v>
      </c>
      <c r="B5041" t="s">
        <v>1677</v>
      </c>
      <c r="C5041">
        <f>"ck5030"</f>
        <v>0</v>
      </c>
      <c r="D5041">
        <v>0</v>
      </c>
      <c r="E5041">
        <v>0</v>
      </c>
      <c r="F5041">
        <v>14</v>
      </c>
      <c r="G5041">
        <v>3</v>
      </c>
      <c r="H5041">
        <v>17</v>
      </c>
      <c r="I5041">
        <v>1.5</v>
      </c>
      <c r="J5041">
        <v>20</v>
      </c>
      <c r="K5041">
        <v>160.2</v>
      </c>
      <c r="L5041" s="2">
        <v>8</v>
      </c>
      <c r="M5041">
        <v>0</v>
      </c>
      <c r="N5041" s="2">
        <v>0</v>
      </c>
      <c r="O5041">
        <v>-16.5</v>
      </c>
      <c r="P5041" t="s">
        <v>11083</v>
      </c>
      <c r="Q5041">
        <v>13.76</v>
      </c>
      <c r="R5041" t="s">
        <v>11208</v>
      </c>
      <c r="S5041">
        <v>0</v>
      </c>
    </row>
    <row r="5042" spans="1:19">
      <c r="A5042" t="s">
        <v>35</v>
      </c>
      <c r="B5042" t="s">
        <v>1634</v>
      </c>
      <c r="C5042">
        <f>"JWZ1047L"</f>
        <v>0</v>
      </c>
      <c r="D5042">
        <v>0</v>
      </c>
      <c r="E5042">
        <v>0</v>
      </c>
      <c r="F5042">
        <v>1</v>
      </c>
      <c r="G5042">
        <v>1</v>
      </c>
      <c r="H5042">
        <v>2</v>
      </c>
      <c r="I5042">
        <v>0.5</v>
      </c>
      <c r="J5042">
        <v>16</v>
      </c>
      <c r="K5042">
        <v>18</v>
      </c>
      <c r="L5042" s="2">
        <v>1</v>
      </c>
      <c r="M5042">
        <v>0</v>
      </c>
      <c r="N5042" s="2">
        <v>0</v>
      </c>
      <c r="O5042">
        <v>-16.7</v>
      </c>
      <c r="P5042" t="s">
        <v>11084</v>
      </c>
      <c r="Q5042">
        <v>113</v>
      </c>
      <c r="R5042" t="s">
        <v>11207</v>
      </c>
      <c r="S5042">
        <v>0</v>
      </c>
    </row>
    <row r="5043" spans="1:19">
      <c r="A5043" t="s">
        <v>35</v>
      </c>
      <c r="B5043" t="s">
        <v>2692</v>
      </c>
      <c r="C5043">
        <f>"XQ31L"</f>
        <v>0</v>
      </c>
      <c r="D5043">
        <v>0</v>
      </c>
      <c r="E5043">
        <v>0</v>
      </c>
      <c r="F5043">
        <v>1</v>
      </c>
      <c r="G5043">
        <v>0</v>
      </c>
      <c r="H5043">
        <v>1</v>
      </c>
      <c r="I5043">
        <v>0</v>
      </c>
      <c r="J5043">
        <v>14</v>
      </c>
      <c r="K5043">
        <v>23.31</v>
      </c>
      <c r="L5043" s="2">
        <v>2</v>
      </c>
      <c r="M5043">
        <v>0</v>
      </c>
      <c r="N5043" s="2">
        <v>0</v>
      </c>
      <c r="O5043">
        <v>-16.8</v>
      </c>
      <c r="P5043" t="s">
        <v>100</v>
      </c>
      <c r="Q5043">
        <v>0</v>
      </c>
      <c r="R5043" t="s">
        <v>145</v>
      </c>
      <c r="S5043">
        <v>0</v>
      </c>
    </row>
    <row r="5044" spans="1:19">
      <c r="A5044" t="s">
        <v>35</v>
      </c>
      <c r="B5044" t="s">
        <v>6856</v>
      </c>
      <c r="C5044">
        <f>"CL333GL"</f>
        <v>0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14</v>
      </c>
      <c r="K5044">
        <v>37.674</v>
      </c>
      <c r="L5044" s="2">
        <v>3</v>
      </c>
      <c r="M5044">
        <v>0</v>
      </c>
      <c r="N5044" s="2">
        <v>0</v>
      </c>
      <c r="O5044">
        <v>-16.8</v>
      </c>
      <c r="P5044" t="s">
        <v>100</v>
      </c>
      <c r="Q5044">
        <v>0</v>
      </c>
      <c r="R5044" t="s">
        <v>145</v>
      </c>
      <c r="S5044">
        <v>0</v>
      </c>
    </row>
    <row r="5045" spans="1:19">
      <c r="A5045" t="s">
        <v>35</v>
      </c>
      <c r="B5045" t="s">
        <v>7159</v>
      </c>
      <c r="C5045">
        <f>"HH088XSV"</f>
        <v>0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0</v>
      </c>
      <c r="J5045">
        <v>14</v>
      </c>
      <c r="K5045">
        <v>99.54000000000001</v>
      </c>
      <c r="L5045" s="2">
        <v>7</v>
      </c>
      <c r="M5045">
        <v>0</v>
      </c>
      <c r="N5045" s="2">
        <v>0</v>
      </c>
      <c r="O5045">
        <v>-16.8</v>
      </c>
      <c r="P5045" t="s">
        <v>100</v>
      </c>
      <c r="Q5045">
        <v>0</v>
      </c>
      <c r="R5045" t="s">
        <v>145</v>
      </c>
      <c r="S5045">
        <v>0</v>
      </c>
    </row>
    <row r="5046" spans="1:19">
      <c r="A5046" t="s">
        <v>35</v>
      </c>
      <c r="B5046" t="s">
        <v>4966</v>
      </c>
      <c r="C5046">
        <f>"1881SGXXS"</f>
        <v>0</v>
      </c>
      <c r="D5046">
        <v>0</v>
      </c>
      <c r="E5046">
        <v>0</v>
      </c>
      <c r="F5046">
        <v>0</v>
      </c>
      <c r="G5046">
        <v>0</v>
      </c>
      <c r="H5046">
        <v>0</v>
      </c>
      <c r="I5046">
        <v>0</v>
      </c>
      <c r="J5046">
        <v>14</v>
      </c>
      <c r="K5046">
        <v>59.85</v>
      </c>
      <c r="L5046" s="2">
        <v>4</v>
      </c>
      <c r="M5046">
        <v>0</v>
      </c>
      <c r="N5046" s="2">
        <v>0</v>
      </c>
      <c r="O5046">
        <v>-16.8</v>
      </c>
      <c r="P5046" t="s">
        <v>100</v>
      </c>
      <c r="Q5046">
        <v>0</v>
      </c>
      <c r="R5046" t="s">
        <v>145</v>
      </c>
      <c r="S5046">
        <v>0</v>
      </c>
    </row>
    <row r="5047" spans="1:19">
      <c r="A5047" t="s">
        <v>35</v>
      </c>
      <c r="B5047" t="s">
        <v>5019</v>
      </c>
      <c r="C5047">
        <f>"1823LGXL"</f>
        <v>0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0</v>
      </c>
      <c r="J5047">
        <v>14</v>
      </c>
      <c r="K5047">
        <v>99.90000000000001</v>
      </c>
      <c r="L5047" s="2">
        <v>7</v>
      </c>
      <c r="M5047">
        <v>0</v>
      </c>
      <c r="N5047" s="2">
        <v>0</v>
      </c>
      <c r="O5047">
        <v>-16.8</v>
      </c>
      <c r="P5047" t="s">
        <v>100</v>
      </c>
      <c r="Q5047">
        <v>0</v>
      </c>
      <c r="R5047" t="s">
        <v>145</v>
      </c>
      <c r="S5047">
        <v>0</v>
      </c>
    </row>
    <row r="5048" spans="1:19">
      <c r="A5048" t="s">
        <v>35</v>
      </c>
      <c r="B5048" t="s">
        <v>2603</v>
      </c>
      <c r="C5048">
        <f>"P25"</f>
        <v>0</v>
      </c>
      <c r="D5048">
        <v>0</v>
      </c>
      <c r="E5048">
        <v>0</v>
      </c>
      <c r="F5048">
        <v>1</v>
      </c>
      <c r="G5048">
        <v>0</v>
      </c>
      <c r="H5048">
        <v>1</v>
      </c>
      <c r="I5048">
        <v>0</v>
      </c>
      <c r="J5048">
        <v>14</v>
      </c>
      <c r="K5048">
        <v>212.94</v>
      </c>
      <c r="L5048" s="2">
        <v>15</v>
      </c>
      <c r="M5048">
        <v>0</v>
      </c>
      <c r="N5048" s="2">
        <v>0</v>
      </c>
      <c r="O5048">
        <v>-16.8</v>
      </c>
      <c r="P5048" t="s">
        <v>100</v>
      </c>
      <c r="Q5048">
        <v>0</v>
      </c>
      <c r="R5048" t="s">
        <v>145</v>
      </c>
      <c r="S5048">
        <v>0</v>
      </c>
    </row>
    <row r="5049" spans="1:19">
      <c r="A5049" t="s">
        <v>35</v>
      </c>
      <c r="B5049" t="s">
        <v>8152</v>
      </c>
      <c r="C5049">
        <f>"HD25XXXL"</f>
        <v>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0</v>
      </c>
      <c r="J5049">
        <v>14</v>
      </c>
      <c r="K5049">
        <v>65.52</v>
      </c>
      <c r="L5049" s="2">
        <v>5</v>
      </c>
      <c r="M5049">
        <v>0</v>
      </c>
      <c r="N5049" s="2">
        <v>0</v>
      </c>
      <c r="O5049">
        <v>-16.8</v>
      </c>
      <c r="P5049" t="s">
        <v>100</v>
      </c>
      <c r="Q5049">
        <v>0</v>
      </c>
      <c r="R5049" t="s">
        <v>145</v>
      </c>
      <c r="S5049">
        <v>0</v>
      </c>
    </row>
    <row r="5050" spans="1:19">
      <c r="A5050" t="s">
        <v>35</v>
      </c>
      <c r="B5050" t="s">
        <v>6744</v>
      </c>
      <c r="C5050">
        <f>"FPC07"</f>
        <v>0</v>
      </c>
      <c r="D5050">
        <v>0</v>
      </c>
      <c r="E5050">
        <v>0</v>
      </c>
      <c r="F5050">
        <v>0</v>
      </c>
      <c r="G5050">
        <v>0</v>
      </c>
      <c r="H5050">
        <v>0</v>
      </c>
      <c r="I5050">
        <v>0</v>
      </c>
      <c r="J5050">
        <v>14</v>
      </c>
      <c r="K5050">
        <v>11.97</v>
      </c>
      <c r="L5050" s="2">
        <v>1</v>
      </c>
      <c r="M5050">
        <v>0</v>
      </c>
      <c r="N5050" s="2">
        <v>0</v>
      </c>
      <c r="O5050">
        <v>-16.8</v>
      </c>
      <c r="P5050" t="s">
        <v>100</v>
      </c>
      <c r="Q5050">
        <v>0</v>
      </c>
      <c r="R5050" t="s">
        <v>145</v>
      </c>
      <c r="S5050">
        <v>0</v>
      </c>
    </row>
    <row r="5051" spans="1:19">
      <c r="A5051" t="s">
        <v>35</v>
      </c>
      <c r="B5051" t="s">
        <v>5124</v>
      </c>
      <c r="C5051">
        <f>"XB1861CAXS"</f>
        <v>0</v>
      </c>
      <c r="D5051">
        <v>0</v>
      </c>
      <c r="E5051">
        <v>0</v>
      </c>
      <c r="F5051">
        <v>0</v>
      </c>
      <c r="G5051">
        <v>0</v>
      </c>
      <c r="H5051">
        <v>0</v>
      </c>
      <c r="I5051">
        <v>0</v>
      </c>
      <c r="J5051">
        <v>14</v>
      </c>
      <c r="K5051">
        <v>100.674</v>
      </c>
      <c r="L5051" s="2">
        <v>7</v>
      </c>
      <c r="M5051">
        <v>0</v>
      </c>
      <c r="N5051" s="2">
        <v>0</v>
      </c>
      <c r="O5051">
        <v>-16.8</v>
      </c>
      <c r="P5051" t="s">
        <v>100</v>
      </c>
      <c r="Q5051">
        <v>0</v>
      </c>
      <c r="R5051" t="s">
        <v>145</v>
      </c>
      <c r="S5051">
        <v>0</v>
      </c>
    </row>
    <row r="5052" spans="1:19">
      <c r="A5052" t="s">
        <v>35</v>
      </c>
      <c r="B5052" t="s">
        <v>4580</v>
      </c>
      <c r="C5052">
        <f>"LC100MAV"</f>
        <v>0</v>
      </c>
      <c r="D5052">
        <v>0</v>
      </c>
      <c r="E5052">
        <v>0</v>
      </c>
      <c r="F5052">
        <v>0</v>
      </c>
      <c r="G5052">
        <v>0</v>
      </c>
      <c r="H5052">
        <v>0</v>
      </c>
      <c r="I5052">
        <v>0</v>
      </c>
      <c r="J5052">
        <v>14</v>
      </c>
      <c r="K5052">
        <v>61.74</v>
      </c>
      <c r="L5052" s="2">
        <v>4</v>
      </c>
      <c r="M5052">
        <v>0</v>
      </c>
      <c r="N5052" s="2">
        <v>0</v>
      </c>
      <c r="O5052">
        <v>-16.8</v>
      </c>
      <c r="P5052" t="s">
        <v>100</v>
      </c>
      <c r="Q5052">
        <v>0</v>
      </c>
      <c r="R5052" t="s">
        <v>145</v>
      </c>
      <c r="S5052">
        <v>0</v>
      </c>
    </row>
    <row r="5053" spans="1:19">
      <c r="A5053" t="s">
        <v>35</v>
      </c>
      <c r="B5053" t="s">
        <v>6422</v>
      </c>
      <c r="C5053">
        <f>"SK3009"</f>
        <v>0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14</v>
      </c>
      <c r="K5053">
        <v>50.274</v>
      </c>
      <c r="L5053" s="2">
        <v>4</v>
      </c>
      <c r="M5053">
        <v>0</v>
      </c>
      <c r="N5053" s="2">
        <v>0</v>
      </c>
      <c r="O5053">
        <v>-16.8</v>
      </c>
      <c r="P5053" t="s">
        <v>100</v>
      </c>
      <c r="Q5053">
        <v>0</v>
      </c>
      <c r="R5053" t="s">
        <v>145</v>
      </c>
      <c r="S5053">
        <v>0</v>
      </c>
    </row>
    <row r="5054" spans="1:19">
      <c r="A5054" t="s">
        <v>35</v>
      </c>
      <c r="B5054" t="s">
        <v>4585</v>
      </c>
      <c r="C5054">
        <f>"JWL1060XL"</f>
        <v>0</v>
      </c>
      <c r="D5054">
        <v>0</v>
      </c>
      <c r="E5054">
        <v>0</v>
      </c>
      <c r="F5054">
        <v>0</v>
      </c>
      <c r="G5054">
        <v>0</v>
      </c>
      <c r="H5054">
        <v>0</v>
      </c>
      <c r="I5054">
        <v>0</v>
      </c>
      <c r="J5054">
        <v>14</v>
      </c>
      <c r="K5054">
        <v>34.65</v>
      </c>
      <c r="L5054" s="2">
        <v>2</v>
      </c>
      <c r="M5054">
        <v>0</v>
      </c>
      <c r="N5054" s="2">
        <v>0</v>
      </c>
      <c r="O5054">
        <v>-16.8</v>
      </c>
      <c r="P5054" t="s">
        <v>100</v>
      </c>
      <c r="Q5054">
        <v>0</v>
      </c>
      <c r="R5054" t="s">
        <v>145</v>
      </c>
      <c r="S5054">
        <v>0</v>
      </c>
    </row>
    <row r="5055" spans="1:19">
      <c r="A5055" t="s">
        <v>35</v>
      </c>
      <c r="B5055" t="s">
        <v>6713</v>
      </c>
      <c r="C5055">
        <f>"CP353M"</f>
        <v>0</v>
      </c>
      <c r="D5055">
        <v>0</v>
      </c>
      <c r="E5055">
        <v>0</v>
      </c>
      <c r="F5055">
        <v>0</v>
      </c>
      <c r="G5055">
        <v>0</v>
      </c>
      <c r="H5055">
        <v>0</v>
      </c>
      <c r="I5055">
        <v>0</v>
      </c>
      <c r="J5055">
        <v>14</v>
      </c>
      <c r="K5055">
        <v>33.894</v>
      </c>
      <c r="L5055" s="2">
        <v>2</v>
      </c>
      <c r="M5055">
        <v>0</v>
      </c>
      <c r="N5055" s="2">
        <v>0</v>
      </c>
      <c r="O5055">
        <v>-16.8</v>
      </c>
      <c r="P5055" t="s">
        <v>100</v>
      </c>
      <c r="Q5055">
        <v>0</v>
      </c>
      <c r="R5055" t="s">
        <v>145</v>
      </c>
      <c r="S5055">
        <v>0</v>
      </c>
    </row>
    <row r="5056" spans="1:19">
      <c r="A5056" t="s">
        <v>35</v>
      </c>
      <c r="B5056" t="s">
        <v>9998</v>
      </c>
      <c r="C5056">
        <f>"LH100LA"</f>
        <v>0</v>
      </c>
      <c r="D5056">
        <v>0</v>
      </c>
      <c r="E5056">
        <v>0</v>
      </c>
      <c r="F5056">
        <v>0</v>
      </c>
      <c r="G5056">
        <v>0</v>
      </c>
      <c r="H5056">
        <v>0</v>
      </c>
      <c r="I5056">
        <v>0</v>
      </c>
      <c r="J5056">
        <v>14</v>
      </c>
      <c r="K5056">
        <v>74.34</v>
      </c>
      <c r="L5056" s="2">
        <v>5</v>
      </c>
      <c r="M5056">
        <v>0</v>
      </c>
      <c r="N5056" s="2">
        <v>0</v>
      </c>
      <c r="O5056">
        <v>-16.8</v>
      </c>
      <c r="P5056" t="s">
        <v>100</v>
      </c>
      <c r="Q5056">
        <v>0</v>
      </c>
      <c r="R5056" t="s">
        <v>145</v>
      </c>
      <c r="S5056">
        <v>0</v>
      </c>
    </row>
    <row r="5057" spans="1:19">
      <c r="A5057" t="s">
        <v>35</v>
      </c>
      <c r="B5057" t="s">
        <v>3035</v>
      </c>
      <c r="C5057">
        <f>"B19220SA"</f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14</v>
      </c>
      <c r="K5057">
        <v>107.1</v>
      </c>
      <c r="L5057" s="2">
        <v>8</v>
      </c>
      <c r="M5057">
        <v>0</v>
      </c>
      <c r="N5057" s="2">
        <v>0</v>
      </c>
      <c r="O5057">
        <v>-16.8</v>
      </c>
      <c r="P5057" t="s">
        <v>100</v>
      </c>
      <c r="Q5057">
        <v>0</v>
      </c>
      <c r="R5057" t="s">
        <v>145</v>
      </c>
      <c r="S5057">
        <v>0</v>
      </c>
    </row>
    <row r="5058" spans="1:19">
      <c r="A5058" t="s">
        <v>35</v>
      </c>
      <c r="B5058" t="s">
        <v>1888</v>
      </c>
      <c r="C5058">
        <f>"KE4906"</f>
        <v>0</v>
      </c>
      <c r="D5058">
        <v>0</v>
      </c>
      <c r="E5058">
        <v>6</v>
      </c>
      <c r="F5058">
        <v>0</v>
      </c>
      <c r="G5058">
        <v>0</v>
      </c>
      <c r="H5058">
        <v>6</v>
      </c>
      <c r="I5058">
        <v>0</v>
      </c>
      <c r="J5058">
        <v>14</v>
      </c>
      <c r="K5058">
        <v>44.1</v>
      </c>
      <c r="L5058" s="2">
        <v>3</v>
      </c>
      <c r="M5058">
        <v>0</v>
      </c>
      <c r="N5058" s="2">
        <v>0</v>
      </c>
      <c r="O5058">
        <v>-16.8</v>
      </c>
      <c r="P5058" t="s">
        <v>100</v>
      </c>
      <c r="Q5058">
        <v>0</v>
      </c>
      <c r="R5058" t="s">
        <v>145</v>
      </c>
      <c r="S5058">
        <v>0</v>
      </c>
    </row>
    <row r="5059" spans="1:19">
      <c r="A5059" t="s">
        <v>35</v>
      </c>
      <c r="B5059" t="s">
        <v>5434</v>
      </c>
      <c r="C5059">
        <f>"E72S"</f>
        <v>0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14</v>
      </c>
      <c r="K5059">
        <v>66.78</v>
      </c>
      <c r="L5059" s="2">
        <v>5</v>
      </c>
      <c r="M5059">
        <v>0</v>
      </c>
      <c r="N5059" s="2">
        <v>0</v>
      </c>
      <c r="O5059">
        <v>-16.8</v>
      </c>
      <c r="P5059" t="s">
        <v>100</v>
      </c>
      <c r="Q5059">
        <v>0</v>
      </c>
      <c r="R5059" t="s">
        <v>145</v>
      </c>
      <c r="S5059">
        <v>0</v>
      </c>
    </row>
    <row r="5060" spans="1:19">
      <c r="A5060" t="s">
        <v>35</v>
      </c>
      <c r="B5060" t="s">
        <v>3955</v>
      </c>
      <c r="C5060">
        <f>"ZJ325003L"</f>
        <v>0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0</v>
      </c>
      <c r="J5060">
        <v>14</v>
      </c>
      <c r="K5060">
        <v>49.05</v>
      </c>
      <c r="L5060" s="2">
        <v>4</v>
      </c>
      <c r="M5060">
        <v>0</v>
      </c>
      <c r="N5060" s="2">
        <v>0</v>
      </c>
      <c r="O5060">
        <v>-16.8</v>
      </c>
      <c r="P5060" t="s">
        <v>100</v>
      </c>
      <c r="Q5060">
        <v>0</v>
      </c>
      <c r="R5060" t="s">
        <v>145</v>
      </c>
      <c r="S5060">
        <v>0</v>
      </c>
    </row>
    <row r="5061" spans="1:19">
      <c r="A5061" t="s">
        <v>35</v>
      </c>
      <c r="B5061" t="s">
        <v>8816</v>
      </c>
      <c r="C5061">
        <f>"WD05340R"</f>
        <v>0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0</v>
      </c>
      <c r="J5061">
        <v>14</v>
      </c>
      <c r="K5061">
        <v>86.94</v>
      </c>
      <c r="L5061" s="2">
        <v>6</v>
      </c>
      <c r="M5061">
        <v>0</v>
      </c>
      <c r="N5061" s="2">
        <v>0</v>
      </c>
      <c r="O5061">
        <v>-16.8</v>
      </c>
      <c r="P5061" t="s">
        <v>100</v>
      </c>
      <c r="Q5061">
        <v>0</v>
      </c>
      <c r="R5061" t="s">
        <v>145</v>
      </c>
      <c r="S5061">
        <v>0</v>
      </c>
    </row>
    <row r="5062" spans="1:19">
      <c r="A5062" t="s">
        <v>35</v>
      </c>
      <c r="B5062" t="s">
        <v>7745</v>
      </c>
      <c r="C5062">
        <f>"18BLUEXL"</f>
        <v>0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14</v>
      </c>
      <c r="K5062">
        <v>46.62</v>
      </c>
      <c r="L5062" s="2">
        <v>3</v>
      </c>
      <c r="M5062">
        <v>0</v>
      </c>
      <c r="N5062" s="2">
        <v>0</v>
      </c>
      <c r="O5062">
        <v>-16.8</v>
      </c>
      <c r="P5062" t="s">
        <v>100</v>
      </c>
      <c r="Q5062">
        <v>0</v>
      </c>
      <c r="R5062" t="s">
        <v>145</v>
      </c>
      <c r="S5062">
        <v>0</v>
      </c>
    </row>
    <row r="5063" spans="1:19">
      <c r="A5063" t="s">
        <v>35</v>
      </c>
      <c r="B5063" t="s">
        <v>5062</v>
      </c>
      <c r="C5063">
        <f>"1760HRRS"</f>
        <v>0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14</v>
      </c>
      <c r="K5063">
        <v>39.06</v>
      </c>
      <c r="L5063" s="2">
        <v>3</v>
      </c>
      <c r="M5063">
        <v>0</v>
      </c>
      <c r="N5063" s="2">
        <v>0</v>
      </c>
      <c r="O5063">
        <v>-16.8</v>
      </c>
      <c r="P5063" t="s">
        <v>100</v>
      </c>
      <c r="Q5063">
        <v>0</v>
      </c>
      <c r="R5063" t="s">
        <v>145</v>
      </c>
      <c r="S5063">
        <v>0</v>
      </c>
    </row>
    <row r="5064" spans="1:19">
      <c r="A5064" t="s">
        <v>35</v>
      </c>
      <c r="B5064" t="s">
        <v>2491</v>
      </c>
      <c r="C5064">
        <f>"MQ080807MN"</f>
        <v>0</v>
      </c>
      <c r="D5064">
        <v>1</v>
      </c>
      <c r="E5064">
        <v>0</v>
      </c>
      <c r="F5064">
        <v>0</v>
      </c>
      <c r="G5064">
        <v>0</v>
      </c>
      <c r="H5064">
        <v>1</v>
      </c>
      <c r="I5064">
        <v>0</v>
      </c>
      <c r="J5064">
        <v>14</v>
      </c>
      <c r="K5064">
        <v>115.934</v>
      </c>
      <c r="L5064" s="2">
        <v>8</v>
      </c>
      <c r="M5064">
        <v>0</v>
      </c>
      <c r="N5064" s="2">
        <v>0</v>
      </c>
      <c r="O5064">
        <v>-16.8</v>
      </c>
      <c r="P5064" t="s">
        <v>100</v>
      </c>
      <c r="Q5064">
        <v>0</v>
      </c>
      <c r="R5064" t="s">
        <v>145</v>
      </c>
      <c r="S5064">
        <v>0</v>
      </c>
    </row>
    <row r="5065" spans="1:19">
      <c r="A5065" t="s">
        <v>35</v>
      </c>
      <c r="B5065" t="s">
        <v>6441</v>
      </c>
      <c r="C5065">
        <f>"JWZ1051M"</f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14</v>
      </c>
      <c r="K5065">
        <v>13.23</v>
      </c>
      <c r="L5065" s="2">
        <v>1</v>
      </c>
      <c r="M5065">
        <v>0</v>
      </c>
      <c r="N5065" s="2">
        <v>0</v>
      </c>
      <c r="O5065">
        <v>-16.8</v>
      </c>
      <c r="P5065" t="s">
        <v>100</v>
      </c>
      <c r="Q5065">
        <v>0</v>
      </c>
      <c r="R5065" t="s">
        <v>145</v>
      </c>
      <c r="S5065">
        <v>0</v>
      </c>
    </row>
    <row r="5066" spans="1:19">
      <c r="A5066" t="s">
        <v>35</v>
      </c>
      <c r="B5066" t="s">
        <v>2730</v>
      </c>
      <c r="C5066">
        <f>"JWZ1042L"</f>
        <v>0</v>
      </c>
      <c r="D5066">
        <v>0</v>
      </c>
      <c r="E5066">
        <v>0</v>
      </c>
      <c r="F5066">
        <v>1</v>
      </c>
      <c r="G5066">
        <v>0</v>
      </c>
      <c r="H5066">
        <v>1</v>
      </c>
      <c r="I5066">
        <v>0</v>
      </c>
      <c r="J5066">
        <v>14</v>
      </c>
      <c r="K5066">
        <v>15.75</v>
      </c>
      <c r="L5066" s="2">
        <v>1</v>
      </c>
      <c r="M5066">
        <v>0</v>
      </c>
      <c r="N5066" s="2">
        <v>0</v>
      </c>
      <c r="O5066">
        <v>-16.8</v>
      </c>
      <c r="P5066" t="s">
        <v>100</v>
      </c>
      <c r="Q5066">
        <v>0</v>
      </c>
      <c r="R5066" t="s">
        <v>145</v>
      </c>
      <c r="S5066">
        <v>0</v>
      </c>
    </row>
    <row r="5067" spans="1:19">
      <c r="A5067" t="s">
        <v>35</v>
      </c>
      <c r="B5067" t="s">
        <v>7685</v>
      </c>
      <c r="C5067">
        <f>"B1919MR"</f>
        <v>0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0</v>
      </c>
      <c r="J5067">
        <v>14</v>
      </c>
      <c r="K5067">
        <v>94.669</v>
      </c>
      <c r="L5067" s="2">
        <v>7</v>
      </c>
      <c r="M5067">
        <v>0</v>
      </c>
      <c r="N5067" s="2">
        <v>0</v>
      </c>
      <c r="O5067">
        <v>-16.8</v>
      </c>
      <c r="P5067" t="s">
        <v>100</v>
      </c>
      <c r="Q5067">
        <v>0</v>
      </c>
      <c r="R5067" t="s">
        <v>145</v>
      </c>
      <c r="S5067">
        <v>0</v>
      </c>
    </row>
    <row r="5068" spans="1:19">
      <c r="A5068" t="s">
        <v>35</v>
      </c>
      <c r="B5068" t="s">
        <v>2357</v>
      </c>
      <c r="C5068">
        <f>"JWZ1060S"</f>
        <v>0</v>
      </c>
      <c r="D5068">
        <v>0</v>
      </c>
      <c r="E5068">
        <v>0</v>
      </c>
      <c r="F5068">
        <v>1</v>
      </c>
      <c r="G5068">
        <v>0</v>
      </c>
      <c r="H5068">
        <v>1</v>
      </c>
      <c r="I5068">
        <v>0</v>
      </c>
      <c r="J5068">
        <v>14</v>
      </c>
      <c r="K5068">
        <v>9.954000000000001</v>
      </c>
      <c r="L5068" s="2">
        <v>1</v>
      </c>
      <c r="M5068">
        <v>0</v>
      </c>
      <c r="N5068" s="2">
        <v>0</v>
      </c>
      <c r="O5068">
        <v>-16.8</v>
      </c>
      <c r="P5068" t="s">
        <v>100</v>
      </c>
      <c r="Q5068">
        <v>0</v>
      </c>
      <c r="R5068" t="s">
        <v>145</v>
      </c>
      <c r="S5068">
        <v>0</v>
      </c>
    </row>
    <row r="5069" spans="1:19">
      <c r="A5069" t="s">
        <v>35</v>
      </c>
      <c r="B5069" t="s">
        <v>2166</v>
      </c>
      <c r="C5069">
        <f>"ER060"</f>
        <v>0</v>
      </c>
      <c r="D5069">
        <v>2</v>
      </c>
      <c r="E5069">
        <v>0</v>
      </c>
      <c r="F5069">
        <v>0</v>
      </c>
      <c r="G5069">
        <v>0</v>
      </c>
      <c r="H5069">
        <v>2</v>
      </c>
      <c r="I5069">
        <v>0</v>
      </c>
      <c r="J5069">
        <v>14</v>
      </c>
      <c r="K5069">
        <v>41.04</v>
      </c>
      <c r="L5069" s="2">
        <v>3</v>
      </c>
      <c r="M5069">
        <v>0</v>
      </c>
      <c r="N5069" s="2">
        <v>0</v>
      </c>
      <c r="O5069">
        <v>-16.8</v>
      </c>
      <c r="P5069" t="s">
        <v>100</v>
      </c>
      <c r="Q5069">
        <v>0</v>
      </c>
      <c r="R5069" t="s">
        <v>145</v>
      </c>
      <c r="S5069">
        <v>0</v>
      </c>
    </row>
    <row r="5070" spans="1:19">
      <c r="A5070" t="s">
        <v>35</v>
      </c>
      <c r="B5070" t="s">
        <v>2261</v>
      </c>
      <c r="C5070">
        <f>"AK4"</f>
        <v>0</v>
      </c>
      <c r="D5070">
        <v>0</v>
      </c>
      <c r="E5070">
        <v>0</v>
      </c>
      <c r="F5070">
        <v>2</v>
      </c>
      <c r="G5070">
        <v>0</v>
      </c>
      <c r="H5070">
        <v>2</v>
      </c>
      <c r="I5070">
        <v>0</v>
      </c>
      <c r="J5070">
        <v>14</v>
      </c>
      <c r="K5070">
        <v>47.25</v>
      </c>
      <c r="L5070" s="2">
        <v>3</v>
      </c>
      <c r="M5070">
        <v>0</v>
      </c>
      <c r="N5070" s="2">
        <v>0</v>
      </c>
      <c r="O5070">
        <v>-16.8</v>
      </c>
      <c r="P5070" t="s">
        <v>100</v>
      </c>
      <c r="Q5070">
        <v>0</v>
      </c>
      <c r="R5070" t="s">
        <v>145</v>
      </c>
      <c r="S5070">
        <v>0</v>
      </c>
    </row>
    <row r="5071" spans="1:19">
      <c r="A5071" t="s">
        <v>35</v>
      </c>
      <c r="B5071" t="s">
        <v>2279</v>
      </c>
      <c r="C5071">
        <f>"JWZ1011S"</f>
        <v>0</v>
      </c>
      <c r="D5071">
        <v>0</v>
      </c>
      <c r="E5071">
        <v>1</v>
      </c>
      <c r="F5071">
        <v>1</v>
      </c>
      <c r="G5071">
        <v>0</v>
      </c>
      <c r="H5071">
        <v>2</v>
      </c>
      <c r="I5071">
        <v>0.5</v>
      </c>
      <c r="J5071">
        <v>15</v>
      </c>
      <c r="K5071">
        <v>9.315</v>
      </c>
      <c r="L5071" s="2">
        <v>1</v>
      </c>
      <c r="M5071">
        <v>0</v>
      </c>
      <c r="N5071" s="2">
        <v>0</v>
      </c>
      <c r="O5071">
        <v>-17.5</v>
      </c>
      <c r="P5071" t="s">
        <v>100</v>
      </c>
      <c r="Q5071">
        <v>0</v>
      </c>
      <c r="R5071" t="s">
        <v>145</v>
      </c>
      <c r="S5071">
        <v>0</v>
      </c>
    </row>
    <row r="5072" spans="1:19">
      <c r="A5072" t="s">
        <v>35</v>
      </c>
      <c r="B5072" t="s">
        <v>2503</v>
      </c>
      <c r="C5072">
        <f>"RT3423A"</f>
        <v>0</v>
      </c>
      <c r="D5072">
        <v>1</v>
      </c>
      <c r="E5072">
        <v>0</v>
      </c>
      <c r="F5072">
        <v>0</v>
      </c>
      <c r="G5072">
        <v>0</v>
      </c>
      <c r="H5072">
        <v>1</v>
      </c>
      <c r="I5072">
        <v>0</v>
      </c>
      <c r="J5072">
        <v>15</v>
      </c>
      <c r="K5072">
        <v>48.6</v>
      </c>
      <c r="L5072" s="2">
        <v>3</v>
      </c>
      <c r="M5072">
        <v>0</v>
      </c>
      <c r="N5072" s="2">
        <v>0</v>
      </c>
      <c r="O5072">
        <v>-18</v>
      </c>
      <c r="P5072" t="s">
        <v>100</v>
      </c>
      <c r="Q5072">
        <v>0</v>
      </c>
      <c r="R5072" t="s">
        <v>145</v>
      </c>
      <c r="S5072">
        <v>0</v>
      </c>
    </row>
    <row r="5073" spans="1:19">
      <c r="A5073" t="s">
        <v>35</v>
      </c>
      <c r="B5073" t="s">
        <v>8678</v>
      </c>
      <c r="C5073">
        <f>"1619L"</f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15</v>
      </c>
      <c r="K5073">
        <v>79.65000000000001</v>
      </c>
      <c r="L5073" s="2">
        <v>5</v>
      </c>
      <c r="M5073">
        <v>0</v>
      </c>
      <c r="N5073" s="2">
        <v>0</v>
      </c>
      <c r="O5073">
        <v>-18</v>
      </c>
      <c r="P5073" t="s">
        <v>100</v>
      </c>
      <c r="Q5073">
        <v>0</v>
      </c>
      <c r="R5073" t="s">
        <v>145</v>
      </c>
      <c r="S5073">
        <v>0</v>
      </c>
    </row>
    <row r="5074" spans="1:19">
      <c r="A5074" t="s">
        <v>35</v>
      </c>
      <c r="B5074" t="s">
        <v>6528</v>
      </c>
      <c r="C5074">
        <f>"JWZ1051L"</f>
        <v>0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0</v>
      </c>
      <c r="J5074">
        <v>15</v>
      </c>
      <c r="K5074">
        <v>16.875</v>
      </c>
      <c r="L5074" s="2">
        <v>1</v>
      </c>
      <c r="M5074">
        <v>0</v>
      </c>
      <c r="N5074" s="2">
        <v>0</v>
      </c>
      <c r="O5074">
        <v>-18</v>
      </c>
      <c r="P5074" t="s">
        <v>100</v>
      </c>
      <c r="Q5074">
        <v>0</v>
      </c>
      <c r="R5074" t="s">
        <v>145</v>
      </c>
      <c r="S5074">
        <v>0</v>
      </c>
    </row>
    <row r="5075" spans="1:19">
      <c r="A5075" t="s">
        <v>35</v>
      </c>
      <c r="B5075" t="s">
        <v>4562</v>
      </c>
      <c r="C5075">
        <f>"NH012L"</f>
        <v>0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15</v>
      </c>
      <c r="K5075">
        <v>62.775</v>
      </c>
      <c r="L5075" s="2">
        <v>4</v>
      </c>
      <c r="M5075">
        <v>0</v>
      </c>
      <c r="N5075" s="2">
        <v>0</v>
      </c>
      <c r="O5075">
        <v>-18</v>
      </c>
      <c r="P5075" t="s">
        <v>100</v>
      </c>
      <c r="Q5075">
        <v>0</v>
      </c>
      <c r="R5075" t="s">
        <v>145</v>
      </c>
      <c r="S5075">
        <v>0</v>
      </c>
    </row>
    <row r="5076" spans="1:19">
      <c r="A5076" t="s">
        <v>35</v>
      </c>
      <c r="B5076" t="s">
        <v>6721</v>
      </c>
      <c r="C5076">
        <f>"CL357KL"</f>
        <v>0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15</v>
      </c>
      <c r="K5076">
        <v>73.575</v>
      </c>
      <c r="L5076" s="2">
        <v>5</v>
      </c>
      <c r="M5076">
        <v>0</v>
      </c>
      <c r="N5076" s="2">
        <v>0</v>
      </c>
      <c r="O5076">
        <v>-18</v>
      </c>
      <c r="P5076" t="s">
        <v>100</v>
      </c>
      <c r="Q5076">
        <v>0</v>
      </c>
      <c r="R5076" t="s">
        <v>145</v>
      </c>
      <c r="S5076">
        <v>0</v>
      </c>
    </row>
    <row r="5077" spans="1:19">
      <c r="A5077" t="s">
        <v>35</v>
      </c>
      <c r="B5077" t="s">
        <v>6844</v>
      </c>
      <c r="C5077">
        <f>"HXC21"</f>
        <v>0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0</v>
      </c>
      <c r="J5077">
        <v>15</v>
      </c>
      <c r="K5077">
        <v>24.975</v>
      </c>
      <c r="L5077" s="2">
        <v>2</v>
      </c>
      <c r="M5077">
        <v>0</v>
      </c>
      <c r="N5077" s="2">
        <v>0</v>
      </c>
      <c r="O5077">
        <v>-18</v>
      </c>
      <c r="P5077" t="s">
        <v>100</v>
      </c>
      <c r="Q5077">
        <v>0</v>
      </c>
      <c r="R5077" t="s">
        <v>145</v>
      </c>
      <c r="S5077">
        <v>0</v>
      </c>
    </row>
    <row r="5078" spans="1:19">
      <c r="A5078" t="s">
        <v>35</v>
      </c>
      <c r="B5078" t="s">
        <v>6730</v>
      </c>
      <c r="C5078">
        <f>"CP353L"</f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15</v>
      </c>
      <c r="K5078">
        <v>45.9</v>
      </c>
      <c r="L5078" s="2">
        <v>3</v>
      </c>
      <c r="M5078">
        <v>0</v>
      </c>
      <c r="N5078" s="2">
        <v>0</v>
      </c>
      <c r="O5078">
        <v>-18</v>
      </c>
      <c r="P5078" t="s">
        <v>100</v>
      </c>
      <c r="Q5078">
        <v>0</v>
      </c>
      <c r="R5078" t="s">
        <v>145</v>
      </c>
      <c r="S5078">
        <v>0</v>
      </c>
    </row>
    <row r="5079" spans="1:19">
      <c r="A5079" t="s">
        <v>35</v>
      </c>
      <c r="B5079" t="s">
        <v>2246</v>
      </c>
      <c r="C5079">
        <f>"FURSLP"</f>
        <v>0</v>
      </c>
      <c r="D5079">
        <v>2</v>
      </c>
      <c r="E5079">
        <v>0</v>
      </c>
      <c r="F5079">
        <v>0</v>
      </c>
      <c r="G5079">
        <v>0</v>
      </c>
      <c r="H5079">
        <v>2</v>
      </c>
      <c r="I5079">
        <v>0</v>
      </c>
      <c r="J5079">
        <v>15</v>
      </c>
      <c r="K5079">
        <v>0</v>
      </c>
      <c r="L5079" s="2">
        <v>0</v>
      </c>
      <c r="M5079">
        <v>0</v>
      </c>
      <c r="N5079" s="2">
        <v>0</v>
      </c>
      <c r="O5079">
        <v>-18</v>
      </c>
      <c r="P5079" t="s">
        <v>100</v>
      </c>
      <c r="Q5079">
        <v>0</v>
      </c>
      <c r="R5079" t="s">
        <v>145</v>
      </c>
      <c r="S5079">
        <v>0</v>
      </c>
    </row>
    <row r="5080" spans="1:19">
      <c r="A5080" t="s">
        <v>35</v>
      </c>
      <c r="B5080" t="s">
        <v>6425</v>
      </c>
      <c r="C5080">
        <f>"SK3062"</f>
        <v>0</v>
      </c>
      <c r="D5080">
        <v>0</v>
      </c>
      <c r="E5080">
        <v>0</v>
      </c>
      <c r="F5080">
        <v>0</v>
      </c>
      <c r="G5080">
        <v>0</v>
      </c>
      <c r="H5080">
        <v>0</v>
      </c>
      <c r="I5080">
        <v>0</v>
      </c>
      <c r="J5080">
        <v>15</v>
      </c>
      <c r="K5080">
        <v>70.47</v>
      </c>
      <c r="L5080" s="2">
        <v>5</v>
      </c>
      <c r="M5080">
        <v>0</v>
      </c>
      <c r="N5080" s="2">
        <v>0</v>
      </c>
      <c r="O5080">
        <v>-18</v>
      </c>
      <c r="P5080" t="s">
        <v>100</v>
      </c>
      <c r="Q5080">
        <v>0</v>
      </c>
      <c r="R5080" t="s">
        <v>145</v>
      </c>
      <c r="S5080">
        <v>0</v>
      </c>
    </row>
    <row r="5081" spans="1:19">
      <c r="A5081" t="s">
        <v>35</v>
      </c>
      <c r="B5081" t="s">
        <v>2666</v>
      </c>
      <c r="C5081">
        <f>"YE26033"</f>
        <v>0</v>
      </c>
      <c r="D5081">
        <v>1</v>
      </c>
      <c r="E5081">
        <v>0</v>
      </c>
      <c r="F5081">
        <v>0</v>
      </c>
      <c r="G5081">
        <v>0</v>
      </c>
      <c r="H5081">
        <v>1</v>
      </c>
      <c r="I5081">
        <v>0</v>
      </c>
      <c r="J5081">
        <v>15</v>
      </c>
      <c r="K5081">
        <v>23.335</v>
      </c>
      <c r="L5081" s="2">
        <v>2</v>
      </c>
      <c r="M5081">
        <v>0</v>
      </c>
      <c r="N5081" s="2">
        <v>0</v>
      </c>
      <c r="O5081">
        <v>-18</v>
      </c>
      <c r="P5081" t="s">
        <v>100</v>
      </c>
      <c r="Q5081">
        <v>0</v>
      </c>
      <c r="R5081" t="s">
        <v>145</v>
      </c>
      <c r="S5081">
        <v>0</v>
      </c>
    </row>
    <row r="5082" spans="1:19">
      <c r="A5082" t="s">
        <v>35</v>
      </c>
      <c r="B5082" t="s">
        <v>7773</v>
      </c>
      <c r="C5082">
        <f>"18BLUEXXL"</f>
        <v>0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15</v>
      </c>
      <c r="K5082">
        <v>51.3</v>
      </c>
      <c r="L5082" s="2">
        <v>3</v>
      </c>
      <c r="M5082">
        <v>0</v>
      </c>
      <c r="N5082" s="2">
        <v>0</v>
      </c>
      <c r="O5082">
        <v>-18</v>
      </c>
      <c r="P5082" t="s">
        <v>100</v>
      </c>
      <c r="Q5082">
        <v>0</v>
      </c>
      <c r="R5082" t="s">
        <v>145</v>
      </c>
      <c r="S5082">
        <v>0</v>
      </c>
    </row>
    <row r="5083" spans="1:19">
      <c r="A5083" t="s">
        <v>35</v>
      </c>
      <c r="B5083" t="s">
        <v>4853</v>
      </c>
      <c r="C5083">
        <f>"JWL1060M"</f>
        <v>0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15</v>
      </c>
      <c r="K5083">
        <v>25.515</v>
      </c>
      <c r="L5083" s="2">
        <v>2</v>
      </c>
      <c r="M5083">
        <v>0</v>
      </c>
      <c r="N5083" s="2">
        <v>0</v>
      </c>
      <c r="O5083">
        <v>-18</v>
      </c>
      <c r="P5083" t="s">
        <v>100</v>
      </c>
      <c r="Q5083">
        <v>0</v>
      </c>
      <c r="R5083" t="s">
        <v>145</v>
      </c>
      <c r="S5083">
        <v>0</v>
      </c>
    </row>
    <row r="5084" spans="1:19">
      <c r="A5084" t="s">
        <v>35</v>
      </c>
      <c r="B5084" t="s">
        <v>7718</v>
      </c>
      <c r="C5084">
        <f>"B1919XLN"</f>
        <v>0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0</v>
      </c>
      <c r="J5084">
        <v>15</v>
      </c>
      <c r="K5084">
        <v>112.32</v>
      </c>
      <c r="L5084" s="2">
        <v>7</v>
      </c>
      <c r="M5084">
        <v>0</v>
      </c>
      <c r="N5084" s="2">
        <v>0</v>
      </c>
      <c r="O5084">
        <v>-18</v>
      </c>
      <c r="P5084" t="s">
        <v>100</v>
      </c>
      <c r="Q5084">
        <v>0</v>
      </c>
      <c r="R5084" t="s">
        <v>145</v>
      </c>
      <c r="S5084">
        <v>0</v>
      </c>
    </row>
    <row r="5085" spans="1:19">
      <c r="A5085" t="s">
        <v>35</v>
      </c>
      <c r="B5085" t="s">
        <v>2613</v>
      </c>
      <c r="C5085">
        <f>"1806TXL"</f>
        <v>0</v>
      </c>
      <c r="D5085">
        <v>1</v>
      </c>
      <c r="E5085">
        <v>0</v>
      </c>
      <c r="F5085">
        <v>0</v>
      </c>
      <c r="G5085">
        <v>0</v>
      </c>
      <c r="H5085">
        <v>1</v>
      </c>
      <c r="I5085">
        <v>0</v>
      </c>
      <c r="J5085">
        <v>15</v>
      </c>
      <c r="K5085">
        <v>45.9</v>
      </c>
      <c r="L5085" s="2">
        <v>3</v>
      </c>
      <c r="M5085">
        <v>0</v>
      </c>
      <c r="N5085" s="2">
        <v>0</v>
      </c>
      <c r="O5085">
        <v>-18</v>
      </c>
      <c r="P5085" t="s">
        <v>100</v>
      </c>
      <c r="Q5085">
        <v>0</v>
      </c>
      <c r="R5085" t="s">
        <v>145</v>
      </c>
      <c r="S5085">
        <v>0</v>
      </c>
    </row>
    <row r="5086" spans="1:19">
      <c r="A5086" t="s">
        <v>35</v>
      </c>
      <c r="B5086" t="s">
        <v>3223</v>
      </c>
      <c r="C5086">
        <f>"416001"</f>
        <v>0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15</v>
      </c>
      <c r="K5086">
        <v>50.625</v>
      </c>
      <c r="L5086" s="2">
        <v>3</v>
      </c>
      <c r="M5086">
        <v>0</v>
      </c>
      <c r="N5086" s="2">
        <v>0</v>
      </c>
      <c r="O5086">
        <v>-18</v>
      </c>
      <c r="P5086" t="s">
        <v>100</v>
      </c>
      <c r="Q5086">
        <v>0</v>
      </c>
      <c r="R5086" t="s">
        <v>145</v>
      </c>
      <c r="S5086">
        <v>0</v>
      </c>
    </row>
    <row r="5087" spans="1:19">
      <c r="A5087" t="s">
        <v>35</v>
      </c>
      <c r="B5087" t="s">
        <v>7748</v>
      </c>
      <c r="C5087">
        <f>"18BLUEL"</f>
        <v>0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15</v>
      </c>
      <c r="K5087">
        <v>48.6</v>
      </c>
      <c r="L5087" s="2">
        <v>3</v>
      </c>
      <c r="M5087">
        <v>0</v>
      </c>
      <c r="N5087" s="2">
        <v>0</v>
      </c>
      <c r="O5087">
        <v>-18</v>
      </c>
      <c r="P5087" t="s">
        <v>100</v>
      </c>
      <c r="Q5087">
        <v>0</v>
      </c>
      <c r="R5087" t="s">
        <v>145</v>
      </c>
      <c r="S5087">
        <v>0</v>
      </c>
    </row>
    <row r="5088" spans="1:19">
      <c r="A5088" t="s">
        <v>35</v>
      </c>
      <c r="B5088" t="s">
        <v>7747</v>
      </c>
      <c r="C5088">
        <f>"18BLUEM"</f>
        <v>0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15</v>
      </c>
      <c r="K5088">
        <v>47.25</v>
      </c>
      <c r="L5088" s="2">
        <v>3</v>
      </c>
      <c r="M5088">
        <v>0</v>
      </c>
      <c r="N5088" s="2">
        <v>0</v>
      </c>
      <c r="O5088">
        <v>-18</v>
      </c>
      <c r="P5088" t="s">
        <v>100</v>
      </c>
      <c r="Q5088">
        <v>0</v>
      </c>
      <c r="R5088" t="s">
        <v>145</v>
      </c>
      <c r="S5088">
        <v>0</v>
      </c>
    </row>
    <row r="5089" spans="1:19">
      <c r="A5089" t="s">
        <v>35</v>
      </c>
      <c r="B5089" t="s">
        <v>5432</v>
      </c>
      <c r="C5089">
        <f>"E72XS"</f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0</v>
      </c>
      <c r="J5089">
        <v>15</v>
      </c>
      <c r="K5089">
        <v>70.2</v>
      </c>
      <c r="L5089" s="2">
        <v>5</v>
      </c>
      <c r="M5089">
        <v>0</v>
      </c>
      <c r="N5089" s="2">
        <v>0</v>
      </c>
      <c r="O5089">
        <v>-18</v>
      </c>
      <c r="P5089" t="s">
        <v>100</v>
      </c>
      <c r="Q5089">
        <v>0</v>
      </c>
      <c r="R5089" t="s">
        <v>145</v>
      </c>
      <c r="S5089">
        <v>0</v>
      </c>
    </row>
    <row r="5090" spans="1:19">
      <c r="A5090" t="s">
        <v>35</v>
      </c>
      <c r="B5090" t="s">
        <v>6575</v>
      </c>
      <c r="C5090">
        <f>"JWZ1042XL"</f>
        <v>0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15</v>
      </c>
      <c r="K5090">
        <v>21.465</v>
      </c>
      <c r="L5090" s="2">
        <v>1</v>
      </c>
      <c r="M5090">
        <v>0</v>
      </c>
      <c r="N5090" s="2">
        <v>0</v>
      </c>
      <c r="O5090">
        <v>-18</v>
      </c>
      <c r="P5090" t="s">
        <v>100</v>
      </c>
      <c r="Q5090">
        <v>0</v>
      </c>
      <c r="R5090" t="s">
        <v>145</v>
      </c>
      <c r="S5090">
        <v>0</v>
      </c>
    </row>
    <row r="5091" spans="1:19">
      <c r="A5091" t="s">
        <v>35</v>
      </c>
      <c r="B5091" t="s">
        <v>2067</v>
      </c>
      <c r="C5091">
        <f>"HP071M"</f>
        <v>0</v>
      </c>
      <c r="D5091">
        <v>0</v>
      </c>
      <c r="E5091">
        <v>2</v>
      </c>
      <c r="F5091">
        <v>1</v>
      </c>
      <c r="G5091">
        <v>0</v>
      </c>
      <c r="H5091">
        <v>3</v>
      </c>
      <c r="I5091">
        <v>0.5</v>
      </c>
      <c r="J5091">
        <v>16</v>
      </c>
      <c r="K5091">
        <v>71.85599999999999</v>
      </c>
      <c r="L5091" s="2">
        <v>4</v>
      </c>
      <c r="M5091">
        <v>0</v>
      </c>
      <c r="N5091" s="2">
        <v>0</v>
      </c>
      <c r="O5091">
        <v>-18.7</v>
      </c>
      <c r="P5091" t="s">
        <v>100</v>
      </c>
      <c r="Q5091">
        <v>0</v>
      </c>
      <c r="R5091" t="s">
        <v>145</v>
      </c>
      <c r="S5091">
        <v>0</v>
      </c>
    </row>
    <row r="5092" spans="1:19">
      <c r="A5092" t="s">
        <v>35</v>
      </c>
      <c r="B5092" t="s">
        <v>2168</v>
      </c>
      <c r="C5092">
        <f>"MQ080807LC"</f>
        <v>0</v>
      </c>
      <c r="D5092">
        <v>1</v>
      </c>
      <c r="E5092">
        <v>1</v>
      </c>
      <c r="F5092">
        <v>0</v>
      </c>
      <c r="G5092">
        <v>0</v>
      </c>
      <c r="H5092">
        <v>2</v>
      </c>
      <c r="I5092">
        <v>0.5</v>
      </c>
      <c r="J5092">
        <v>16</v>
      </c>
      <c r="K5092">
        <v>139.19</v>
      </c>
      <c r="L5092" s="2">
        <v>9</v>
      </c>
      <c r="M5092">
        <v>0</v>
      </c>
      <c r="N5092" s="2">
        <v>0</v>
      </c>
      <c r="O5092">
        <v>-18.7</v>
      </c>
      <c r="P5092" t="s">
        <v>100</v>
      </c>
      <c r="Q5092">
        <v>0</v>
      </c>
      <c r="R5092" t="s">
        <v>145</v>
      </c>
      <c r="S5092">
        <v>0</v>
      </c>
    </row>
    <row r="5093" spans="1:19">
      <c r="A5093" t="s">
        <v>35</v>
      </c>
      <c r="B5093" t="s">
        <v>2292</v>
      </c>
      <c r="C5093">
        <f>"JW50543"</f>
        <v>0</v>
      </c>
      <c r="D5093">
        <v>1</v>
      </c>
      <c r="E5093">
        <v>0</v>
      </c>
      <c r="F5093">
        <v>1</v>
      </c>
      <c r="G5093">
        <v>0</v>
      </c>
      <c r="H5093">
        <v>2</v>
      </c>
      <c r="I5093">
        <v>0.5</v>
      </c>
      <c r="J5093">
        <v>16</v>
      </c>
      <c r="K5093">
        <v>21.6</v>
      </c>
      <c r="L5093" s="2">
        <v>1</v>
      </c>
      <c r="M5093">
        <v>0</v>
      </c>
      <c r="N5093" s="2">
        <v>0</v>
      </c>
      <c r="O5093">
        <v>-18.7</v>
      </c>
      <c r="P5093" t="s">
        <v>100</v>
      </c>
      <c r="Q5093">
        <v>0</v>
      </c>
      <c r="R5093" t="s">
        <v>145</v>
      </c>
      <c r="S5093">
        <v>0</v>
      </c>
    </row>
    <row r="5094" spans="1:19">
      <c r="A5094" t="s">
        <v>35</v>
      </c>
      <c r="B5094" t="s">
        <v>8332</v>
      </c>
      <c r="C5094">
        <f>"DC3106C"</f>
        <v>0</v>
      </c>
      <c r="D5094">
        <v>0</v>
      </c>
      <c r="E5094">
        <v>0</v>
      </c>
      <c r="F5094">
        <v>0</v>
      </c>
      <c r="G5094">
        <v>0</v>
      </c>
      <c r="H5094">
        <v>0</v>
      </c>
      <c r="I5094">
        <v>0</v>
      </c>
      <c r="J5094">
        <v>16</v>
      </c>
      <c r="K5094">
        <v>49.68</v>
      </c>
      <c r="L5094" s="2">
        <v>3</v>
      </c>
      <c r="M5094">
        <v>0</v>
      </c>
      <c r="N5094" s="2">
        <v>0</v>
      </c>
      <c r="O5094">
        <v>-19.2</v>
      </c>
      <c r="P5094" t="s">
        <v>100</v>
      </c>
      <c r="Q5094">
        <v>0</v>
      </c>
      <c r="R5094" t="s">
        <v>145</v>
      </c>
      <c r="S5094">
        <v>0</v>
      </c>
    </row>
    <row r="5095" spans="1:19">
      <c r="A5095" t="s">
        <v>35</v>
      </c>
      <c r="B5095" t="s">
        <v>6719</v>
      </c>
      <c r="C5095">
        <f>"CL357KS"</f>
        <v>0</v>
      </c>
      <c r="D5095">
        <v>0</v>
      </c>
      <c r="E5095">
        <v>0</v>
      </c>
      <c r="F5095">
        <v>0</v>
      </c>
      <c r="G5095">
        <v>0</v>
      </c>
      <c r="H5095">
        <v>0</v>
      </c>
      <c r="I5095">
        <v>0</v>
      </c>
      <c r="J5095">
        <v>16</v>
      </c>
      <c r="K5095">
        <v>46.08</v>
      </c>
      <c r="L5095" s="2">
        <v>3</v>
      </c>
      <c r="M5095">
        <v>0</v>
      </c>
      <c r="N5095" s="2">
        <v>0</v>
      </c>
      <c r="O5095">
        <v>-19.2</v>
      </c>
      <c r="P5095" t="s">
        <v>100</v>
      </c>
      <c r="Q5095">
        <v>0</v>
      </c>
      <c r="R5095" t="s">
        <v>145</v>
      </c>
      <c r="S5095">
        <v>0</v>
      </c>
    </row>
    <row r="5096" spans="1:19">
      <c r="A5096" t="s">
        <v>35</v>
      </c>
      <c r="B5096" t="s">
        <v>4860</v>
      </c>
      <c r="C5096">
        <f>"JWL1016M"</f>
        <v>0</v>
      </c>
      <c r="D5096">
        <v>0</v>
      </c>
      <c r="E5096">
        <v>0</v>
      </c>
      <c r="F5096">
        <v>0</v>
      </c>
      <c r="G5096">
        <v>0</v>
      </c>
      <c r="H5096">
        <v>0</v>
      </c>
      <c r="I5096">
        <v>0</v>
      </c>
      <c r="J5096">
        <v>16</v>
      </c>
      <c r="K5096">
        <v>18.576</v>
      </c>
      <c r="L5096" s="2">
        <v>1</v>
      </c>
      <c r="M5096">
        <v>0</v>
      </c>
      <c r="N5096" s="2">
        <v>0</v>
      </c>
      <c r="O5096">
        <v>-19.2</v>
      </c>
      <c r="P5096" t="s">
        <v>100</v>
      </c>
      <c r="Q5096">
        <v>0</v>
      </c>
      <c r="R5096" t="s">
        <v>145</v>
      </c>
      <c r="S5096">
        <v>0</v>
      </c>
    </row>
    <row r="5097" spans="1:19">
      <c r="A5097" t="s">
        <v>35</v>
      </c>
      <c r="B5097" t="s">
        <v>4872</v>
      </c>
      <c r="C5097">
        <f>"L026"</f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  <c r="J5097">
        <v>16</v>
      </c>
      <c r="K5097">
        <v>57.456</v>
      </c>
      <c r="L5097" s="2">
        <v>4</v>
      </c>
      <c r="M5097">
        <v>0</v>
      </c>
      <c r="N5097" s="2">
        <v>0</v>
      </c>
      <c r="O5097">
        <v>-19.2</v>
      </c>
      <c r="P5097" t="s">
        <v>100</v>
      </c>
      <c r="Q5097">
        <v>0</v>
      </c>
      <c r="R5097" t="s">
        <v>145</v>
      </c>
      <c r="S5097">
        <v>0</v>
      </c>
    </row>
    <row r="5098" spans="1:19">
      <c r="A5098" t="s">
        <v>35</v>
      </c>
      <c r="B5098" t="s">
        <v>6711</v>
      </c>
      <c r="C5098">
        <f>"CP353XS"</f>
        <v>0</v>
      </c>
      <c r="D5098">
        <v>0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16</v>
      </c>
      <c r="K5098">
        <v>31.68</v>
      </c>
      <c r="L5098" s="2">
        <v>2</v>
      </c>
      <c r="M5098">
        <v>0</v>
      </c>
      <c r="N5098" s="2">
        <v>0</v>
      </c>
      <c r="O5098">
        <v>-19.2</v>
      </c>
      <c r="P5098" t="s">
        <v>100</v>
      </c>
      <c r="Q5098">
        <v>0</v>
      </c>
      <c r="R5098" t="s">
        <v>145</v>
      </c>
      <c r="S5098">
        <v>0</v>
      </c>
    </row>
    <row r="5099" spans="1:19">
      <c r="A5099" t="s">
        <v>35</v>
      </c>
      <c r="B5099" t="s">
        <v>7057</v>
      </c>
      <c r="C5099">
        <f>"NO102ROJ"</f>
        <v>0</v>
      </c>
      <c r="D5099">
        <v>0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16</v>
      </c>
      <c r="K5099">
        <v>6.48</v>
      </c>
      <c r="L5099" s="2">
        <v>0</v>
      </c>
      <c r="M5099">
        <v>0</v>
      </c>
      <c r="N5099" s="2">
        <v>0</v>
      </c>
      <c r="O5099">
        <v>-19.2</v>
      </c>
      <c r="P5099" t="s">
        <v>100</v>
      </c>
      <c r="Q5099">
        <v>0</v>
      </c>
      <c r="R5099" t="s">
        <v>145</v>
      </c>
      <c r="S5099">
        <v>0</v>
      </c>
    </row>
    <row r="5100" spans="1:19">
      <c r="A5100" t="s">
        <v>35</v>
      </c>
      <c r="B5100" t="s">
        <v>4583</v>
      </c>
      <c r="C5100">
        <f>"LC100LAV"</f>
        <v>0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0</v>
      </c>
      <c r="J5100">
        <v>16</v>
      </c>
      <c r="K5100">
        <v>79.2</v>
      </c>
      <c r="L5100" s="2">
        <v>5</v>
      </c>
      <c r="M5100">
        <v>0</v>
      </c>
      <c r="N5100" s="2">
        <v>0</v>
      </c>
      <c r="O5100">
        <v>-19.2</v>
      </c>
      <c r="P5100" t="s">
        <v>100</v>
      </c>
      <c r="Q5100">
        <v>0</v>
      </c>
      <c r="R5100" t="s">
        <v>145</v>
      </c>
      <c r="S5100">
        <v>0</v>
      </c>
    </row>
    <row r="5101" spans="1:19">
      <c r="A5101" t="s">
        <v>35</v>
      </c>
      <c r="B5101" t="s">
        <v>4592</v>
      </c>
      <c r="C5101">
        <f>"JWL1025XL"</f>
        <v>0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16</v>
      </c>
      <c r="K5101">
        <v>25.776</v>
      </c>
      <c r="L5101" s="2">
        <v>2</v>
      </c>
      <c r="M5101">
        <v>0</v>
      </c>
      <c r="N5101" s="2">
        <v>0</v>
      </c>
      <c r="O5101">
        <v>-19.2</v>
      </c>
      <c r="P5101" t="s">
        <v>100</v>
      </c>
      <c r="Q5101">
        <v>0</v>
      </c>
      <c r="R5101" t="s">
        <v>145</v>
      </c>
      <c r="S5101">
        <v>0</v>
      </c>
    </row>
    <row r="5102" spans="1:19">
      <c r="A5102" t="s">
        <v>35</v>
      </c>
      <c r="B5102" t="s">
        <v>6840</v>
      </c>
      <c r="C5102">
        <f>"KX4143"</f>
        <v>0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16</v>
      </c>
      <c r="K5102">
        <v>14.256</v>
      </c>
      <c r="L5102" s="2">
        <v>1</v>
      </c>
      <c r="M5102">
        <v>0</v>
      </c>
      <c r="N5102" s="2">
        <v>0</v>
      </c>
      <c r="O5102">
        <v>-19.2</v>
      </c>
      <c r="P5102" t="s">
        <v>100</v>
      </c>
      <c r="Q5102">
        <v>0</v>
      </c>
      <c r="R5102" t="s">
        <v>145</v>
      </c>
      <c r="S5102">
        <v>0</v>
      </c>
    </row>
    <row r="5103" spans="1:19">
      <c r="A5103" t="s">
        <v>35</v>
      </c>
      <c r="B5103" t="s">
        <v>6835</v>
      </c>
      <c r="C5103">
        <f>"HXC01"</f>
        <v>0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  <c r="J5103">
        <v>16</v>
      </c>
      <c r="K5103">
        <v>26.64</v>
      </c>
      <c r="L5103" s="2">
        <v>2</v>
      </c>
      <c r="M5103">
        <v>0</v>
      </c>
      <c r="N5103" s="2">
        <v>0</v>
      </c>
      <c r="O5103">
        <v>-19.2</v>
      </c>
      <c r="P5103" t="s">
        <v>100</v>
      </c>
      <c r="Q5103">
        <v>0</v>
      </c>
      <c r="R5103" t="s">
        <v>145</v>
      </c>
      <c r="S5103">
        <v>0</v>
      </c>
    </row>
    <row r="5104" spans="1:19">
      <c r="A5104" t="s">
        <v>35</v>
      </c>
      <c r="B5104" t="s">
        <v>3109</v>
      </c>
      <c r="C5104">
        <f>"KE3207PS"</f>
        <v>0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16</v>
      </c>
      <c r="K5104">
        <v>39.168</v>
      </c>
      <c r="L5104" s="2">
        <v>2</v>
      </c>
      <c r="M5104">
        <v>0</v>
      </c>
      <c r="N5104" s="2">
        <v>0</v>
      </c>
      <c r="O5104">
        <v>-19.2</v>
      </c>
      <c r="P5104" t="s">
        <v>100</v>
      </c>
      <c r="Q5104">
        <v>0</v>
      </c>
      <c r="R5104" t="s">
        <v>145</v>
      </c>
      <c r="S5104">
        <v>0</v>
      </c>
    </row>
    <row r="5105" spans="1:19">
      <c r="A5105" t="s">
        <v>35</v>
      </c>
      <c r="B5105" t="s">
        <v>7720</v>
      </c>
      <c r="C5105">
        <f>"B1919MN"</f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16</v>
      </c>
      <c r="K5105">
        <v>89.09999999999999</v>
      </c>
      <c r="L5105" s="2">
        <v>6</v>
      </c>
      <c r="M5105">
        <v>0</v>
      </c>
      <c r="N5105" s="2">
        <v>0</v>
      </c>
      <c r="O5105">
        <v>-19.2</v>
      </c>
      <c r="P5105" t="s">
        <v>100</v>
      </c>
      <c r="Q5105">
        <v>0</v>
      </c>
      <c r="R5105" t="s">
        <v>145</v>
      </c>
      <c r="S5105">
        <v>0</v>
      </c>
    </row>
    <row r="5106" spans="1:19">
      <c r="A5106" t="s">
        <v>35</v>
      </c>
      <c r="B5106" t="s">
        <v>2981</v>
      </c>
      <c r="C5106">
        <f>"B1916XLA"</f>
        <v>0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16</v>
      </c>
      <c r="K5106">
        <v>156.24</v>
      </c>
      <c r="L5106" s="2">
        <v>10</v>
      </c>
      <c r="M5106">
        <v>0</v>
      </c>
      <c r="N5106" s="2">
        <v>0</v>
      </c>
      <c r="O5106">
        <v>-19.2</v>
      </c>
      <c r="P5106" t="s">
        <v>100</v>
      </c>
      <c r="Q5106">
        <v>0</v>
      </c>
      <c r="R5106" t="s">
        <v>145</v>
      </c>
      <c r="S5106">
        <v>0</v>
      </c>
    </row>
    <row r="5107" spans="1:19">
      <c r="A5107" t="s">
        <v>35</v>
      </c>
      <c r="B5107" t="s">
        <v>6423</v>
      </c>
      <c r="C5107">
        <f>"SK3010"</f>
        <v>0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16</v>
      </c>
      <c r="K5107">
        <v>65.52</v>
      </c>
      <c r="L5107" s="2">
        <v>4</v>
      </c>
      <c r="M5107">
        <v>0</v>
      </c>
      <c r="N5107" s="2">
        <v>0</v>
      </c>
      <c r="O5107">
        <v>-19.2</v>
      </c>
      <c r="P5107" t="s">
        <v>100</v>
      </c>
      <c r="Q5107">
        <v>0</v>
      </c>
      <c r="R5107" t="s">
        <v>145</v>
      </c>
      <c r="S5107">
        <v>0</v>
      </c>
    </row>
    <row r="5108" spans="1:19">
      <c r="A5108" t="s">
        <v>35</v>
      </c>
      <c r="B5108" t="s">
        <v>2299</v>
      </c>
      <c r="C5108">
        <f>"DC3106A"</f>
        <v>0</v>
      </c>
      <c r="D5108">
        <v>2</v>
      </c>
      <c r="E5108">
        <v>0</v>
      </c>
      <c r="F5108">
        <v>0</v>
      </c>
      <c r="G5108">
        <v>0</v>
      </c>
      <c r="H5108">
        <v>2</v>
      </c>
      <c r="I5108">
        <v>0</v>
      </c>
      <c r="J5108">
        <v>16</v>
      </c>
      <c r="K5108">
        <v>49.68</v>
      </c>
      <c r="L5108" s="2">
        <v>3</v>
      </c>
      <c r="M5108">
        <v>0</v>
      </c>
      <c r="N5108" s="2">
        <v>0</v>
      </c>
      <c r="O5108">
        <v>-19.2</v>
      </c>
      <c r="P5108" t="s">
        <v>100</v>
      </c>
      <c r="Q5108">
        <v>0</v>
      </c>
      <c r="R5108" t="s">
        <v>145</v>
      </c>
      <c r="S5108">
        <v>0</v>
      </c>
    </row>
    <row r="5109" spans="1:19">
      <c r="A5109" t="s">
        <v>35</v>
      </c>
      <c r="B5109" t="s">
        <v>7683</v>
      </c>
      <c r="C5109">
        <f>"B1919XLR"</f>
        <v>0</v>
      </c>
      <c r="D5109">
        <v>0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16</v>
      </c>
      <c r="K5109">
        <v>149.76</v>
      </c>
      <c r="L5109" s="2">
        <v>9</v>
      </c>
      <c r="M5109">
        <v>0</v>
      </c>
      <c r="N5109" s="2">
        <v>0</v>
      </c>
      <c r="O5109">
        <v>-19.2</v>
      </c>
      <c r="P5109" t="s">
        <v>100</v>
      </c>
      <c r="Q5109">
        <v>0</v>
      </c>
      <c r="R5109" t="s">
        <v>145</v>
      </c>
      <c r="S5109">
        <v>0</v>
      </c>
    </row>
    <row r="5110" spans="1:19">
      <c r="A5110" t="s">
        <v>35</v>
      </c>
      <c r="B5110" t="s">
        <v>7691</v>
      </c>
      <c r="C5110">
        <f>"B1919SA"</f>
        <v>0</v>
      </c>
      <c r="D5110">
        <v>0</v>
      </c>
      <c r="E5110">
        <v>0</v>
      </c>
      <c r="F5110">
        <v>0</v>
      </c>
      <c r="G5110">
        <v>0</v>
      </c>
      <c r="H5110">
        <v>0</v>
      </c>
      <c r="I5110">
        <v>0</v>
      </c>
      <c r="J5110">
        <v>16</v>
      </c>
      <c r="K5110">
        <v>102.492</v>
      </c>
      <c r="L5110" s="2">
        <v>6</v>
      </c>
      <c r="M5110">
        <v>0</v>
      </c>
      <c r="N5110" s="2">
        <v>0</v>
      </c>
      <c r="O5110">
        <v>-19.2</v>
      </c>
      <c r="P5110" t="s">
        <v>100</v>
      </c>
      <c r="Q5110">
        <v>0</v>
      </c>
      <c r="R5110" t="s">
        <v>145</v>
      </c>
      <c r="S5110">
        <v>0</v>
      </c>
    </row>
    <row r="5111" spans="1:19">
      <c r="A5111" t="s">
        <v>35</v>
      </c>
      <c r="B5111" t="s">
        <v>6655</v>
      </c>
      <c r="C5111">
        <f>"PQ015"</f>
        <v>0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0</v>
      </c>
      <c r="J5111">
        <v>16</v>
      </c>
      <c r="K5111">
        <v>24.048</v>
      </c>
      <c r="L5111" s="2">
        <v>2</v>
      </c>
      <c r="M5111">
        <v>0</v>
      </c>
      <c r="N5111" s="2">
        <v>0</v>
      </c>
      <c r="O5111">
        <v>-19.2</v>
      </c>
      <c r="P5111" t="s">
        <v>100</v>
      </c>
      <c r="Q5111">
        <v>0</v>
      </c>
      <c r="R5111" t="s">
        <v>145</v>
      </c>
      <c r="S5111">
        <v>0</v>
      </c>
    </row>
    <row r="5112" spans="1:19">
      <c r="A5112" t="s">
        <v>35</v>
      </c>
      <c r="B5112" t="s">
        <v>6718</v>
      </c>
      <c r="C5112">
        <f>"CL357KXS"</f>
        <v>0</v>
      </c>
      <c r="D5112">
        <v>0</v>
      </c>
      <c r="E5112">
        <v>0</v>
      </c>
      <c r="F5112">
        <v>0</v>
      </c>
      <c r="G5112">
        <v>0</v>
      </c>
      <c r="H5112">
        <v>0</v>
      </c>
      <c r="I5112">
        <v>0</v>
      </c>
      <c r="J5112">
        <v>16</v>
      </c>
      <c r="K5112">
        <v>31.86</v>
      </c>
      <c r="L5112" s="2">
        <v>2</v>
      </c>
      <c r="M5112">
        <v>0</v>
      </c>
      <c r="N5112" s="2">
        <v>0</v>
      </c>
      <c r="O5112">
        <v>-19.2</v>
      </c>
      <c r="P5112" t="s">
        <v>100</v>
      </c>
      <c r="Q5112">
        <v>0</v>
      </c>
      <c r="R5112" t="s">
        <v>145</v>
      </c>
      <c r="S5112">
        <v>0</v>
      </c>
    </row>
    <row r="5113" spans="1:19">
      <c r="A5113" t="s">
        <v>35</v>
      </c>
      <c r="B5113" t="s">
        <v>7684</v>
      </c>
      <c r="C5113">
        <f>"B1919SR"</f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</v>
      </c>
      <c r="J5113">
        <v>16</v>
      </c>
      <c r="K5113">
        <v>84.23999999999999</v>
      </c>
      <c r="L5113" s="2">
        <v>5</v>
      </c>
      <c r="M5113">
        <v>0</v>
      </c>
      <c r="N5113" s="2">
        <v>0</v>
      </c>
      <c r="O5113">
        <v>-19.2</v>
      </c>
      <c r="P5113" t="s">
        <v>100</v>
      </c>
      <c r="Q5113">
        <v>0</v>
      </c>
      <c r="R5113" t="s">
        <v>145</v>
      </c>
      <c r="S5113">
        <v>0</v>
      </c>
    </row>
    <row r="5114" spans="1:19">
      <c r="A5114" t="s">
        <v>35</v>
      </c>
      <c r="B5114" t="s">
        <v>3030</v>
      </c>
      <c r="C5114">
        <f>"B1916SA"</f>
        <v>0</v>
      </c>
      <c r="D5114">
        <v>0</v>
      </c>
      <c r="E5114">
        <v>0</v>
      </c>
      <c r="F5114">
        <v>0</v>
      </c>
      <c r="G5114">
        <v>0</v>
      </c>
      <c r="H5114">
        <v>0</v>
      </c>
      <c r="I5114">
        <v>0</v>
      </c>
      <c r="J5114">
        <v>16</v>
      </c>
      <c r="K5114">
        <v>128.16</v>
      </c>
      <c r="L5114" s="2">
        <v>8</v>
      </c>
      <c r="M5114">
        <v>0</v>
      </c>
      <c r="N5114" s="2">
        <v>0</v>
      </c>
      <c r="O5114">
        <v>-19.2</v>
      </c>
      <c r="P5114" t="s">
        <v>100</v>
      </c>
      <c r="Q5114">
        <v>0</v>
      </c>
      <c r="R5114" t="s">
        <v>145</v>
      </c>
      <c r="S5114">
        <v>0</v>
      </c>
    </row>
    <row r="5115" spans="1:19">
      <c r="A5115" t="s">
        <v>35</v>
      </c>
      <c r="B5115" t="s">
        <v>7956</v>
      </c>
      <c r="C5115">
        <f>"ZJ325004M"</f>
        <v>0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16</v>
      </c>
      <c r="K5115">
        <v>1.125</v>
      </c>
      <c r="L5115" s="2">
        <v>0</v>
      </c>
      <c r="M5115">
        <v>0</v>
      </c>
      <c r="N5115" s="2">
        <v>0</v>
      </c>
      <c r="O5115">
        <v>-19.2</v>
      </c>
      <c r="P5115" t="s">
        <v>100</v>
      </c>
      <c r="Q5115">
        <v>0</v>
      </c>
      <c r="R5115" t="s">
        <v>145</v>
      </c>
      <c r="S5115">
        <v>0</v>
      </c>
    </row>
    <row r="5116" spans="1:19">
      <c r="A5116" t="s">
        <v>35</v>
      </c>
      <c r="B5116" t="s">
        <v>399</v>
      </c>
      <c r="C5116">
        <f>"CK1023"</f>
        <v>0</v>
      </c>
      <c r="D5116">
        <v>18</v>
      </c>
      <c r="E5116">
        <v>13</v>
      </c>
      <c r="F5116">
        <v>24</v>
      </c>
      <c r="G5116">
        <v>1</v>
      </c>
      <c r="H5116">
        <v>56</v>
      </c>
      <c r="I5116">
        <v>15.5</v>
      </c>
      <c r="J5116">
        <v>31</v>
      </c>
      <c r="K5116">
        <v>26.505</v>
      </c>
      <c r="L5116" s="2">
        <v>1</v>
      </c>
      <c r="M5116">
        <v>0</v>
      </c>
      <c r="N5116" s="2">
        <v>0</v>
      </c>
      <c r="O5116">
        <v>-19.7</v>
      </c>
      <c r="P5116" t="s">
        <v>10284</v>
      </c>
      <c r="Q5116">
        <v>229</v>
      </c>
      <c r="R5116" t="s">
        <v>11105</v>
      </c>
      <c r="S5116">
        <v>0</v>
      </c>
    </row>
    <row r="5117" spans="1:19">
      <c r="A5117" t="s">
        <v>35</v>
      </c>
      <c r="B5117" t="s">
        <v>2325</v>
      </c>
      <c r="C5117">
        <f>"31300001"</f>
        <v>0</v>
      </c>
      <c r="D5117">
        <v>1</v>
      </c>
      <c r="E5117">
        <v>0</v>
      </c>
      <c r="F5117">
        <v>1</v>
      </c>
      <c r="G5117">
        <v>0</v>
      </c>
      <c r="H5117">
        <v>2</v>
      </c>
      <c r="I5117">
        <v>0.5</v>
      </c>
      <c r="J5117">
        <v>17</v>
      </c>
      <c r="K5117">
        <v>64.10599999999999</v>
      </c>
      <c r="L5117" s="2">
        <v>4</v>
      </c>
      <c r="M5117">
        <v>0</v>
      </c>
      <c r="N5117" s="2">
        <v>0</v>
      </c>
      <c r="O5117">
        <v>-19.9</v>
      </c>
      <c r="P5117" t="s">
        <v>11085</v>
      </c>
      <c r="Q5117">
        <v>-1.172</v>
      </c>
      <c r="R5117" t="s">
        <v>11209</v>
      </c>
      <c r="S5117">
        <v>0</v>
      </c>
    </row>
    <row r="5118" spans="1:19">
      <c r="A5118" t="s">
        <v>35</v>
      </c>
      <c r="B5118" t="s">
        <v>2068</v>
      </c>
      <c r="C5118">
        <f>"C304"</f>
        <v>0</v>
      </c>
      <c r="D5118">
        <v>2</v>
      </c>
      <c r="E5118">
        <v>0</v>
      </c>
      <c r="F5118">
        <v>1</v>
      </c>
      <c r="G5118">
        <v>0</v>
      </c>
      <c r="H5118">
        <v>3</v>
      </c>
      <c r="I5118">
        <v>0.5</v>
      </c>
      <c r="J5118">
        <v>17</v>
      </c>
      <c r="K5118">
        <v>76.34699999999999</v>
      </c>
      <c r="L5118" s="2">
        <v>4</v>
      </c>
      <c r="M5118">
        <v>0</v>
      </c>
      <c r="N5118" s="2">
        <v>0</v>
      </c>
      <c r="O5118">
        <v>-19.9</v>
      </c>
      <c r="P5118" t="s">
        <v>100</v>
      </c>
      <c r="Q5118">
        <v>0</v>
      </c>
      <c r="R5118" t="s">
        <v>145</v>
      </c>
      <c r="S5118">
        <v>0</v>
      </c>
    </row>
    <row r="5119" spans="1:19">
      <c r="A5119" t="s">
        <v>35</v>
      </c>
      <c r="B5119" t="s">
        <v>1847</v>
      </c>
      <c r="C5119">
        <f>"852350"</f>
        <v>0</v>
      </c>
      <c r="D5119">
        <v>0</v>
      </c>
      <c r="E5119">
        <v>0</v>
      </c>
      <c r="F5119">
        <v>0</v>
      </c>
      <c r="G5119">
        <v>7</v>
      </c>
      <c r="H5119">
        <v>7</v>
      </c>
      <c r="I5119">
        <v>0</v>
      </c>
      <c r="J5119">
        <v>31</v>
      </c>
      <c r="K5119">
        <v>172.794</v>
      </c>
      <c r="L5119" s="2">
        <v>6</v>
      </c>
      <c r="M5119">
        <v>0</v>
      </c>
      <c r="N5119" s="2">
        <v>0</v>
      </c>
      <c r="O5119">
        <v>-20.2</v>
      </c>
      <c r="P5119" t="s">
        <v>11086</v>
      </c>
      <c r="Q5119">
        <v>2.1</v>
      </c>
      <c r="R5119" t="s">
        <v>11210</v>
      </c>
      <c r="S5119">
        <v>1</v>
      </c>
    </row>
    <row r="5120" spans="1:19">
      <c r="A5120" t="s">
        <v>35</v>
      </c>
      <c r="B5120" t="s">
        <v>2553</v>
      </c>
      <c r="C5120">
        <f>"JWZ1047XL"</f>
        <v>0</v>
      </c>
      <c r="D5120">
        <v>0</v>
      </c>
      <c r="E5120">
        <v>1</v>
      </c>
      <c r="F5120">
        <v>0</v>
      </c>
      <c r="G5120">
        <v>0</v>
      </c>
      <c r="H5120">
        <v>1</v>
      </c>
      <c r="I5120">
        <v>0</v>
      </c>
      <c r="J5120">
        <v>17</v>
      </c>
      <c r="K5120">
        <v>24.327</v>
      </c>
      <c r="L5120" s="2">
        <v>1</v>
      </c>
      <c r="M5120">
        <v>0</v>
      </c>
      <c r="N5120" s="2">
        <v>0</v>
      </c>
      <c r="O5120">
        <v>-20.4</v>
      </c>
      <c r="P5120" t="s">
        <v>100</v>
      </c>
      <c r="Q5120">
        <v>0</v>
      </c>
      <c r="R5120" t="s">
        <v>145</v>
      </c>
      <c r="S5120">
        <v>0</v>
      </c>
    </row>
    <row r="5121" spans="1:19">
      <c r="A5121" t="s">
        <v>35</v>
      </c>
      <c r="B5121" t="s">
        <v>6413</v>
      </c>
      <c r="C5121">
        <f>"SK3020"</f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17</v>
      </c>
      <c r="K5121">
        <v>61.047</v>
      </c>
      <c r="L5121" s="2">
        <v>4</v>
      </c>
      <c r="M5121">
        <v>0</v>
      </c>
      <c r="N5121" s="2">
        <v>0</v>
      </c>
      <c r="O5121">
        <v>-20.4</v>
      </c>
      <c r="P5121" t="s">
        <v>100</v>
      </c>
      <c r="Q5121">
        <v>0</v>
      </c>
      <c r="R5121" t="s">
        <v>145</v>
      </c>
      <c r="S5121">
        <v>0</v>
      </c>
    </row>
    <row r="5122" spans="1:19">
      <c r="A5122" t="s">
        <v>35</v>
      </c>
      <c r="B5122" t="s">
        <v>2532</v>
      </c>
      <c r="C5122">
        <f>"HP071S"</f>
        <v>0</v>
      </c>
      <c r="D5122">
        <v>1</v>
      </c>
      <c r="E5122">
        <v>0</v>
      </c>
      <c r="F5122">
        <v>0</v>
      </c>
      <c r="G5122">
        <v>0</v>
      </c>
      <c r="H5122">
        <v>1</v>
      </c>
      <c r="I5122">
        <v>0</v>
      </c>
      <c r="J5122">
        <v>17</v>
      </c>
      <c r="K5122">
        <v>61.047</v>
      </c>
      <c r="L5122" s="2">
        <v>4</v>
      </c>
      <c r="M5122">
        <v>0</v>
      </c>
      <c r="N5122" s="2">
        <v>0</v>
      </c>
      <c r="O5122">
        <v>-20.4</v>
      </c>
      <c r="P5122" t="s">
        <v>100</v>
      </c>
      <c r="Q5122">
        <v>0</v>
      </c>
      <c r="R5122" t="s">
        <v>145</v>
      </c>
      <c r="S5122">
        <v>0</v>
      </c>
    </row>
    <row r="5123" spans="1:19">
      <c r="A5123" t="s">
        <v>35</v>
      </c>
      <c r="B5123" t="s">
        <v>5164</v>
      </c>
      <c r="C5123">
        <f>"LV09092TPM"</f>
        <v>0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17</v>
      </c>
      <c r="K5123">
        <v>65.02500000000001</v>
      </c>
      <c r="L5123" s="2">
        <v>4</v>
      </c>
      <c r="M5123">
        <v>0</v>
      </c>
      <c r="N5123" s="2">
        <v>0</v>
      </c>
      <c r="O5123">
        <v>-20.4</v>
      </c>
      <c r="P5123" t="s">
        <v>100</v>
      </c>
      <c r="Q5123">
        <v>0</v>
      </c>
      <c r="R5123" t="s">
        <v>145</v>
      </c>
      <c r="S5123">
        <v>0</v>
      </c>
    </row>
    <row r="5124" spans="1:19">
      <c r="A5124" t="s">
        <v>35</v>
      </c>
      <c r="B5124" t="s">
        <v>2994</v>
      </c>
      <c r="C5124">
        <f>"B1916XSG"</f>
        <v>0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0</v>
      </c>
      <c r="J5124">
        <v>17</v>
      </c>
      <c r="K5124">
        <v>120.87</v>
      </c>
      <c r="L5124" s="2">
        <v>7</v>
      </c>
      <c r="M5124">
        <v>0</v>
      </c>
      <c r="N5124" s="2">
        <v>0</v>
      </c>
      <c r="O5124">
        <v>-20.4</v>
      </c>
      <c r="P5124" t="s">
        <v>100</v>
      </c>
      <c r="Q5124">
        <v>0</v>
      </c>
      <c r="R5124" t="s">
        <v>145</v>
      </c>
      <c r="S5124">
        <v>0</v>
      </c>
    </row>
    <row r="5125" spans="1:19">
      <c r="A5125" t="s">
        <v>35</v>
      </c>
      <c r="B5125" t="s">
        <v>2164</v>
      </c>
      <c r="C5125">
        <f>"MQ080807MC"</f>
        <v>0</v>
      </c>
      <c r="D5125">
        <v>2</v>
      </c>
      <c r="E5125">
        <v>0</v>
      </c>
      <c r="F5125">
        <v>0</v>
      </c>
      <c r="G5125">
        <v>0</v>
      </c>
      <c r="H5125">
        <v>2</v>
      </c>
      <c r="I5125">
        <v>0</v>
      </c>
      <c r="J5125">
        <v>17</v>
      </c>
      <c r="K5125">
        <v>140.777</v>
      </c>
      <c r="L5125" s="2">
        <v>8</v>
      </c>
      <c r="M5125">
        <v>0</v>
      </c>
      <c r="N5125" s="2">
        <v>0</v>
      </c>
      <c r="O5125">
        <v>-20.4</v>
      </c>
      <c r="P5125" t="s">
        <v>100</v>
      </c>
      <c r="Q5125">
        <v>0</v>
      </c>
      <c r="R5125" t="s">
        <v>145</v>
      </c>
      <c r="S5125">
        <v>0</v>
      </c>
    </row>
    <row r="5126" spans="1:19">
      <c r="A5126" t="s">
        <v>35</v>
      </c>
      <c r="B5126" t="s">
        <v>6960</v>
      </c>
      <c r="C5126">
        <f>"WD467"</f>
        <v>0</v>
      </c>
      <c r="D5126">
        <v>0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17</v>
      </c>
      <c r="K5126">
        <v>16.38</v>
      </c>
      <c r="L5126" s="2">
        <v>1</v>
      </c>
      <c r="M5126">
        <v>0</v>
      </c>
      <c r="N5126" s="2">
        <v>0</v>
      </c>
      <c r="O5126">
        <v>-20.4</v>
      </c>
      <c r="P5126" t="s">
        <v>100</v>
      </c>
      <c r="Q5126">
        <v>0</v>
      </c>
      <c r="R5126" t="s">
        <v>145</v>
      </c>
      <c r="S5126">
        <v>0</v>
      </c>
    </row>
    <row r="5127" spans="1:19">
      <c r="A5127" t="s">
        <v>35</v>
      </c>
      <c r="B5127" t="s">
        <v>3151</v>
      </c>
      <c r="C5127">
        <f>"ke4805"</f>
        <v>0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17</v>
      </c>
      <c r="K5127">
        <v>37.944</v>
      </c>
      <c r="L5127" s="2">
        <v>2</v>
      </c>
      <c r="M5127">
        <v>0</v>
      </c>
      <c r="N5127" s="2">
        <v>0</v>
      </c>
      <c r="O5127">
        <v>-20.4</v>
      </c>
      <c r="P5127" t="s">
        <v>100</v>
      </c>
      <c r="Q5127">
        <v>0</v>
      </c>
      <c r="R5127" t="s">
        <v>145</v>
      </c>
      <c r="S5127">
        <v>0</v>
      </c>
    </row>
    <row r="5128" spans="1:19">
      <c r="A5128" t="s">
        <v>35</v>
      </c>
      <c r="B5128" t="s">
        <v>2614</v>
      </c>
      <c r="C5128">
        <f>"1806TM"</f>
        <v>0</v>
      </c>
      <c r="D5128">
        <v>0</v>
      </c>
      <c r="E5128">
        <v>1</v>
      </c>
      <c r="F5128">
        <v>0</v>
      </c>
      <c r="G5128">
        <v>0</v>
      </c>
      <c r="H5128">
        <v>1</v>
      </c>
      <c r="I5128">
        <v>0</v>
      </c>
      <c r="J5128">
        <v>17</v>
      </c>
      <c r="K5128">
        <v>48.96</v>
      </c>
      <c r="L5128" s="2">
        <v>3</v>
      </c>
      <c r="M5128">
        <v>0</v>
      </c>
      <c r="N5128" s="2">
        <v>0</v>
      </c>
      <c r="O5128">
        <v>-20.4</v>
      </c>
      <c r="P5128" t="s">
        <v>100</v>
      </c>
      <c r="Q5128">
        <v>0</v>
      </c>
      <c r="R5128" t="s">
        <v>145</v>
      </c>
      <c r="S5128">
        <v>0</v>
      </c>
    </row>
    <row r="5129" spans="1:19">
      <c r="A5129" t="s">
        <v>35</v>
      </c>
      <c r="B5129" t="s">
        <v>4568</v>
      </c>
      <c r="C5129">
        <f>"D11WM"</f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17</v>
      </c>
      <c r="K5129">
        <v>73.28700000000001</v>
      </c>
      <c r="L5129" s="2">
        <v>4</v>
      </c>
      <c r="M5129">
        <v>0</v>
      </c>
      <c r="N5129" s="2">
        <v>0</v>
      </c>
      <c r="O5129">
        <v>-20.4</v>
      </c>
      <c r="P5129" t="s">
        <v>100</v>
      </c>
      <c r="Q5129">
        <v>0</v>
      </c>
      <c r="R5129" t="s">
        <v>145</v>
      </c>
      <c r="S5129">
        <v>0</v>
      </c>
    </row>
    <row r="5130" spans="1:19">
      <c r="A5130" t="s">
        <v>35</v>
      </c>
      <c r="B5130" t="s">
        <v>3621</v>
      </c>
      <c r="C5130">
        <f>"VH15015S"</f>
        <v>0</v>
      </c>
      <c r="D5130">
        <v>0</v>
      </c>
      <c r="E5130">
        <v>0</v>
      </c>
      <c r="F5130">
        <v>0</v>
      </c>
      <c r="G5130">
        <v>0</v>
      </c>
      <c r="H5130">
        <v>0</v>
      </c>
      <c r="I5130">
        <v>0</v>
      </c>
      <c r="J5130">
        <v>17</v>
      </c>
      <c r="K5130">
        <v>129.87</v>
      </c>
      <c r="L5130" s="2">
        <v>8</v>
      </c>
      <c r="M5130">
        <v>0</v>
      </c>
      <c r="N5130" s="2">
        <v>0</v>
      </c>
      <c r="O5130">
        <v>-20.4</v>
      </c>
      <c r="P5130" t="s">
        <v>100</v>
      </c>
      <c r="Q5130">
        <v>0</v>
      </c>
      <c r="R5130" t="s">
        <v>145</v>
      </c>
      <c r="S5130">
        <v>0</v>
      </c>
    </row>
    <row r="5131" spans="1:19">
      <c r="A5131" t="s">
        <v>35</v>
      </c>
      <c r="B5131" t="s">
        <v>4574</v>
      </c>
      <c r="C5131">
        <f>"1801L"</f>
        <v>0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0</v>
      </c>
      <c r="J5131">
        <v>17</v>
      </c>
      <c r="K5131">
        <v>68.08499999999999</v>
      </c>
      <c r="L5131" s="2">
        <v>4</v>
      </c>
      <c r="M5131">
        <v>0</v>
      </c>
      <c r="N5131" s="2">
        <v>0</v>
      </c>
      <c r="O5131">
        <v>-20.4</v>
      </c>
      <c r="P5131" t="s">
        <v>100</v>
      </c>
      <c r="Q5131">
        <v>0</v>
      </c>
      <c r="R5131" t="s">
        <v>145</v>
      </c>
      <c r="S5131">
        <v>0</v>
      </c>
    </row>
    <row r="5132" spans="1:19">
      <c r="A5132" t="s">
        <v>35</v>
      </c>
      <c r="B5132" t="s">
        <v>6712</v>
      </c>
      <c r="C5132">
        <f>"CP353S"</f>
        <v>0</v>
      </c>
      <c r="D5132">
        <v>0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17</v>
      </c>
      <c r="K5132">
        <v>36.72</v>
      </c>
      <c r="L5132" s="2">
        <v>2</v>
      </c>
      <c r="M5132">
        <v>0</v>
      </c>
      <c r="N5132" s="2">
        <v>0</v>
      </c>
      <c r="O5132">
        <v>-20.4</v>
      </c>
      <c r="P5132" t="s">
        <v>100</v>
      </c>
      <c r="Q5132">
        <v>0</v>
      </c>
      <c r="R5132" t="s">
        <v>145</v>
      </c>
      <c r="S5132">
        <v>0</v>
      </c>
    </row>
    <row r="5133" spans="1:19">
      <c r="A5133" t="s">
        <v>35</v>
      </c>
      <c r="B5133" t="s">
        <v>5436</v>
      </c>
      <c r="C5133">
        <f>"E72L"</f>
        <v>0</v>
      </c>
      <c r="D5133">
        <v>0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17</v>
      </c>
      <c r="K5133">
        <v>84.15000000000001</v>
      </c>
      <c r="L5133" s="2">
        <v>5</v>
      </c>
      <c r="M5133">
        <v>0</v>
      </c>
      <c r="N5133" s="2">
        <v>0</v>
      </c>
      <c r="O5133">
        <v>-20.4</v>
      </c>
      <c r="P5133" t="s">
        <v>100</v>
      </c>
      <c r="Q5133">
        <v>0</v>
      </c>
      <c r="R5133" t="s">
        <v>145</v>
      </c>
      <c r="S5133">
        <v>0</v>
      </c>
    </row>
    <row r="5134" spans="1:19">
      <c r="A5134" t="s">
        <v>35</v>
      </c>
      <c r="B5134" t="s">
        <v>7112</v>
      </c>
      <c r="C5134">
        <f>"XQ31XS"</f>
        <v>0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17</v>
      </c>
      <c r="K5134">
        <v>18.36</v>
      </c>
      <c r="L5134" s="2">
        <v>1</v>
      </c>
      <c r="M5134">
        <v>0</v>
      </c>
      <c r="N5134" s="2">
        <v>0</v>
      </c>
      <c r="O5134">
        <v>-20.4</v>
      </c>
      <c r="P5134" t="s">
        <v>100</v>
      </c>
      <c r="Q5134">
        <v>0</v>
      </c>
      <c r="R5134" t="s">
        <v>145</v>
      </c>
      <c r="S5134">
        <v>0</v>
      </c>
    </row>
    <row r="5135" spans="1:19">
      <c r="A5135" t="s">
        <v>35</v>
      </c>
      <c r="B5135" t="s">
        <v>6852</v>
      </c>
      <c r="C5135">
        <f>"CL333GXS"</f>
        <v>0</v>
      </c>
      <c r="D5135">
        <v>0</v>
      </c>
      <c r="E5135">
        <v>0</v>
      </c>
      <c r="F5135">
        <v>0</v>
      </c>
      <c r="G5135">
        <v>0</v>
      </c>
      <c r="H5135">
        <v>0</v>
      </c>
      <c r="I5135">
        <v>0</v>
      </c>
      <c r="J5135">
        <v>17</v>
      </c>
      <c r="K5135">
        <v>28.305</v>
      </c>
      <c r="L5135" s="2">
        <v>2</v>
      </c>
      <c r="M5135">
        <v>0</v>
      </c>
      <c r="N5135" s="2">
        <v>0</v>
      </c>
      <c r="O5135">
        <v>-20.4</v>
      </c>
      <c r="P5135" t="s">
        <v>100</v>
      </c>
      <c r="Q5135">
        <v>0</v>
      </c>
      <c r="R5135" t="s">
        <v>145</v>
      </c>
      <c r="S5135">
        <v>0</v>
      </c>
    </row>
    <row r="5136" spans="1:19">
      <c r="A5136" t="s">
        <v>35</v>
      </c>
      <c r="B5136" t="s">
        <v>7113</v>
      </c>
      <c r="C5136">
        <f>"XQ31S"</f>
        <v>0</v>
      </c>
      <c r="D5136">
        <v>0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17</v>
      </c>
      <c r="K5136">
        <v>22.185</v>
      </c>
      <c r="L5136" s="2">
        <v>1</v>
      </c>
      <c r="M5136">
        <v>0</v>
      </c>
      <c r="N5136" s="2">
        <v>0</v>
      </c>
      <c r="O5136">
        <v>-20.4</v>
      </c>
      <c r="P5136" t="s">
        <v>100</v>
      </c>
      <c r="Q5136">
        <v>0</v>
      </c>
      <c r="R5136" t="s">
        <v>145</v>
      </c>
      <c r="S5136">
        <v>0</v>
      </c>
    </row>
    <row r="5137" spans="1:19">
      <c r="A5137" t="s">
        <v>35</v>
      </c>
      <c r="B5137" t="s">
        <v>4573</v>
      </c>
      <c r="C5137">
        <f>"1801M"</f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17</v>
      </c>
      <c r="K5137">
        <v>66.55500000000001</v>
      </c>
      <c r="L5137" s="2">
        <v>4</v>
      </c>
      <c r="M5137">
        <v>0</v>
      </c>
      <c r="N5137" s="2">
        <v>0</v>
      </c>
      <c r="O5137">
        <v>-20.4</v>
      </c>
      <c r="P5137" t="s">
        <v>100</v>
      </c>
      <c r="Q5137">
        <v>0</v>
      </c>
      <c r="R5137" t="s">
        <v>145</v>
      </c>
      <c r="S5137">
        <v>0</v>
      </c>
    </row>
    <row r="5138" spans="1:19">
      <c r="A5138" t="s">
        <v>35</v>
      </c>
      <c r="B5138" t="s">
        <v>10069</v>
      </c>
      <c r="C5138">
        <f>"FURXLL"</f>
        <v>0</v>
      </c>
      <c r="D5138">
        <v>0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17</v>
      </c>
      <c r="K5138">
        <v>74.97</v>
      </c>
      <c r="L5138" s="2">
        <v>4</v>
      </c>
      <c r="M5138">
        <v>0</v>
      </c>
      <c r="N5138" s="2">
        <v>0</v>
      </c>
      <c r="O5138">
        <v>-20.4</v>
      </c>
      <c r="P5138" t="s">
        <v>100</v>
      </c>
      <c r="Q5138">
        <v>0</v>
      </c>
      <c r="R5138" t="s">
        <v>145</v>
      </c>
      <c r="S5138">
        <v>0</v>
      </c>
    </row>
    <row r="5139" spans="1:19">
      <c r="A5139" t="s">
        <v>35</v>
      </c>
      <c r="B5139" t="s">
        <v>2487</v>
      </c>
      <c r="C5139">
        <f>"FURMLP"</f>
        <v>0</v>
      </c>
      <c r="D5139">
        <v>1</v>
      </c>
      <c r="E5139">
        <v>0</v>
      </c>
      <c r="F5139">
        <v>0</v>
      </c>
      <c r="G5139">
        <v>0</v>
      </c>
      <c r="H5139">
        <v>1</v>
      </c>
      <c r="I5139">
        <v>0</v>
      </c>
      <c r="J5139">
        <v>17</v>
      </c>
      <c r="K5139">
        <v>61.115</v>
      </c>
      <c r="L5139" s="2">
        <v>4</v>
      </c>
      <c r="M5139">
        <v>0</v>
      </c>
      <c r="N5139" s="2">
        <v>0</v>
      </c>
      <c r="O5139">
        <v>-20.4</v>
      </c>
      <c r="P5139" t="s">
        <v>100</v>
      </c>
      <c r="Q5139">
        <v>0</v>
      </c>
      <c r="R5139" t="s">
        <v>145</v>
      </c>
      <c r="S5139">
        <v>0</v>
      </c>
    </row>
    <row r="5140" spans="1:19">
      <c r="A5140" t="s">
        <v>35</v>
      </c>
      <c r="B5140" t="s">
        <v>4971</v>
      </c>
      <c r="C5140">
        <f>"1881MBXXS"</f>
        <v>0</v>
      </c>
      <c r="D5140">
        <v>0</v>
      </c>
      <c r="E5140">
        <v>0</v>
      </c>
      <c r="F5140">
        <v>0</v>
      </c>
      <c r="G5140">
        <v>0</v>
      </c>
      <c r="H5140">
        <v>0</v>
      </c>
      <c r="I5140">
        <v>0</v>
      </c>
      <c r="J5140">
        <v>17</v>
      </c>
      <c r="K5140">
        <v>72.675</v>
      </c>
      <c r="L5140" s="2">
        <v>4</v>
      </c>
      <c r="M5140">
        <v>0</v>
      </c>
      <c r="N5140" s="2">
        <v>0</v>
      </c>
      <c r="O5140">
        <v>-20.4</v>
      </c>
      <c r="P5140" t="s">
        <v>100</v>
      </c>
      <c r="Q5140">
        <v>0</v>
      </c>
      <c r="R5140" t="s">
        <v>145</v>
      </c>
      <c r="S5140">
        <v>0</v>
      </c>
    </row>
    <row r="5141" spans="1:19">
      <c r="A5141" t="s">
        <v>35</v>
      </c>
      <c r="B5141" t="s">
        <v>1979</v>
      </c>
      <c r="C5141">
        <f>"sdr114"</f>
        <v>0</v>
      </c>
      <c r="D5141">
        <v>2</v>
      </c>
      <c r="E5141">
        <v>0</v>
      </c>
      <c r="F5141">
        <v>2</v>
      </c>
      <c r="G5141">
        <v>0</v>
      </c>
      <c r="H5141">
        <v>4</v>
      </c>
      <c r="I5141">
        <v>1</v>
      </c>
      <c r="J5141">
        <v>18</v>
      </c>
      <c r="K5141">
        <v>25.11</v>
      </c>
      <c r="L5141" s="2">
        <v>1</v>
      </c>
      <c r="M5141">
        <v>0</v>
      </c>
      <c r="N5141" s="2">
        <v>0</v>
      </c>
      <c r="O5141">
        <v>-20.6</v>
      </c>
      <c r="P5141" t="s">
        <v>100</v>
      </c>
      <c r="Q5141">
        <v>0</v>
      </c>
      <c r="R5141" t="s">
        <v>145</v>
      </c>
      <c r="S5141">
        <v>0</v>
      </c>
    </row>
    <row r="5142" spans="1:19">
      <c r="A5142" t="s">
        <v>35</v>
      </c>
      <c r="B5142" t="s">
        <v>1988</v>
      </c>
      <c r="C5142">
        <f>"TQ077C"</f>
        <v>0</v>
      </c>
      <c r="D5142">
        <v>2</v>
      </c>
      <c r="E5142">
        <v>1</v>
      </c>
      <c r="F5142">
        <v>1</v>
      </c>
      <c r="G5142">
        <v>0</v>
      </c>
      <c r="H5142">
        <v>4</v>
      </c>
      <c r="I5142">
        <v>1</v>
      </c>
      <c r="J5142">
        <v>18</v>
      </c>
      <c r="K5142">
        <v>4.698</v>
      </c>
      <c r="L5142" s="2">
        <v>0</v>
      </c>
      <c r="M5142">
        <v>0</v>
      </c>
      <c r="N5142" s="2">
        <v>0</v>
      </c>
      <c r="O5142">
        <v>-20.6</v>
      </c>
      <c r="P5142" t="s">
        <v>100</v>
      </c>
      <c r="Q5142">
        <v>0</v>
      </c>
      <c r="R5142" t="s">
        <v>145</v>
      </c>
      <c r="S5142">
        <v>0</v>
      </c>
    </row>
    <row r="5143" spans="1:19">
      <c r="A5143" t="s">
        <v>35</v>
      </c>
      <c r="B5143" t="s">
        <v>2133</v>
      </c>
      <c r="C5143">
        <f>"MQ080807LV"</f>
        <v>0</v>
      </c>
      <c r="D5143">
        <v>1</v>
      </c>
      <c r="E5143">
        <v>2</v>
      </c>
      <c r="F5143">
        <v>0</v>
      </c>
      <c r="G5143">
        <v>0</v>
      </c>
      <c r="H5143">
        <v>3</v>
      </c>
      <c r="I5143">
        <v>0.5</v>
      </c>
      <c r="J5143">
        <v>18</v>
      </c>
      <c r="K5143">
        <v>156.589</v>
      </c>
      <c r="L5143" s="2">
        <v>9</v>
      </c>
      <c r="M5143">
        <v>0</v>
      </c>
      <c r="N5143" s="2">
        <v>0</v>
      </c>
      <c r="O5143">
        <v>-21.1</v>
      </c>
      <c r="P5143" t="s">
        <v>100</v>
      </c>
      <c r="Q5143">
        <v>0</v>
      </c>
      <c r="R5143" t="s">
        <v>145</v>
      </c>
      <c r="S5143">
        <v>0</v>
      </c>
    </row>
    <row r="5144" spans="1:19">
      <c r="A5144" t="s">
        <v>35</v>
      </c>
      <c r="B5144" t="s">
        <v>1813</v>
      </c>
      <c r="C5144">
        <f>"CN05"</f>
        <v>0</v>
      </c>
      <c r="D5144">
        <v>1</v>
      </c>
      <c r="E5144">
        <v>4</v>
      </c>
      <c r="F5144">
        <v>4</v>
      </c>
      <c r="G5144">
        <v>0</v>
      </c>
      <c r="H5144">
        <v>9</v>
      </c>
      <c r="I5144">
        <v>2.5</v>
      </c>
      <c r="J5144">
        <v>20</v>
      </c>
      <c r="K5144">
        <v>20.025</v>
      </c>
      <c r="L5144" s="2">
        <v>1</v>
      </c>
      <c r="M5144">
        <v>0</v>
      </c>
      <c r="N5144" s="2">
        <v>0</v>
      </c>
      <c r="O5144">
        <v>-21.5</v>
      </c>
      <c r="P5144" t="s">
        <v>100</v>
      </c>
      <c r="Q5144">
        <v>0</v>
      </c>
      <c r="R5144" t="s">
        <v>145</v>
      </c>
      <c r="S5144">
        <v>0</v>
      </c>
    </row>
    <row r="5145" spans="1:19">
      <c r="A5145" t="s">
        <v>35</v>
      </c>
      <c r="B5145" t="s">
        <v>252</v>
      </c>
      <c r="C5145">
        <f>"CK1003"</f>
        <v>0</v>
      </c>
      <c r="D5145">
        <v>21</v>
      </c>
      <c r="E5145">
        <v>53</v>
      </c>
      <c r="F5145">
        <v>43</v>
      </c>
      <c r="G5145">
        <v>2</v>
      </c>
      <c r="H5145">
        <v>119</v>
      </c>
      <c r="I5145">
        <v>32</v>
      </c>
      <c r="J5145">
        <v>48</v>
      </c>
      <c r="K5145">
        <v>41.04</v>
      </c>
      <c r="L5145" s="2">
        <v>1</v>
      </c>
      <c r="M5145">
        <v>0</v>
      </c>
      <c r="N5145" s="2">
        <v>0</v>
      </c>
      <c r="O5145">
        <v>-21.59999999999999</v>
      </c>
      <c r="P5145" t="s">
        <v>11032</v>
      </c>
      <c r="Q5145">
        <v>458</v>
      </c>
      <c r="R5145" t="s">
        <v>11105</v>
      </c>
      <c r="S5145">
        <v>0</v>
      </c>
    </row>
    <row r="5146" spans="1:19">
      <c r="A5146" t="s">
        <v>35</v>
      </c>
      <c r="B5146" t="s">
        <v>5206</v>
      </c>
      <c r="C5146">
        <f>"1840CXSR"</f>
        <v>0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18</v>
      </c>
      <c r="K5146">
        <v>5.265</v>
      </c>
      <c r="L5146" s="2">
        <v>0</v>
      </c>
      <c r="M5146">
        <v>0</v>
      </c>
      <c r="N5146" s="2">
        <v>0</v>
      </c>
      <c r="O5146">
        <v>-21.6</v>
      </c>
      <c r="P5146" t="s">
        <v>100</v>
      </c>
      <c r="Q5146">
        <v>0</v>
      </c>
      <c r="R5146" t="s">
        <v>145</v>
      </c>
      <c r="S5146">
        <v>0</v>
      </c>
    </row>
    <row r="5147" spans="1:19">
      <c r="A5147" t="s">
        <v>35</v>
      </c>
      <c r="B5147" t="s">
        <v>4590</v>
      </c>
      <c r="C5147">
        <f>"JWL1010XL"</f>
        <v>0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18</v>
      </c>
      <c r="K5147">
        <v>28.998</v>
      </c>
      <c r="L5147" s="2">
        <v>2</v>
      </c>
      <c r="M5147">
        <v>0</v>
      </c>
      <c r="N5147" s="2">
        <v>0</v>
      </c>
      <c r="O5147">
        <v>-21.6</v>
      </c>
      <c r="P5147" t="s">
        <v>100</v>
      </c>
      <c r="Q5147">
        <v>0</v>
      </c>
      <c r="R5147" t="s">
        <v>145</v>
      </c>
      <c r="S5147">
        <v>0</v>
      </c>
    </row>
    <row r="5148" spans="1:19">
      <c r="A5148" t="s">
        <v>35</v>
      </c>
      <c r="B5148" t="s">
        <v>4555</v>
      </c>
      <c r="C5148">
        <f>"D11WXL"</f>
        <v>0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18</v>
      </c>
      <c r="K5148">
        <v>80.83799999999999</v>
      </c>
      <c r="L5148" s="2">
        <v>4</v>
      </c>
      <c r="M5148">
        <v>0</v>
      </c>
      <c r="N5148" s="2">
        <v>0</v>
      </c>
      <c r="O5148">
        <v>-21.6</v>
      </c>
      <c r="P5148" t="s">
        <v>100</v>
      </c>
      <c r="Q5148">
        <v>0</v>
      </c>
      <c r="R5148" t="s">
        <v>145</v>
      </c>
      <c r="S5148">
        <v>0</v>
      </c>
    </row>
    <row r="5149" spans="1:19">
      <c r="A5149" t="s">
        <v>35</v>
      </c>
      <c r="B5149" t="s">
        <v>6426</v>
      </c>
      <c r="C5149">
        <f>"SK3063"</f>
        <v>0</v>
      </c>
      <c r="D5149">
        <v>0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18</v>
      </c>
      <c r="K5149">
        <v>84.56399999999999</v>
      </c>
      <c r="L5149" s="2">
        <v>5</v>
      </c>
      <c r="M5149">
        <v>0</v>
      </c>
      <c r="N5149" s="2">
        <v>0</v>
      </c>
      <c r="O5149">
        <v>-21.6</v>
      </c>
      <c r="P5149" t="s">
        <v>100</v>
      </c>
      <c r="Q5149">
        <v>0</v>
      </c>
      <c r="R5149" t="s">
        <v>145</v>
      </c>
      <c r="S5149">
        <v>0</v>
      </c>
    </row>
    <row r="5150" spans="1:19">
      <c r="A5150" t="s">
        <v>35</v>
      </c>
      <c r="B5150" t="s">
        <v>3874</v>
      </c>
      <c r="C5150">
        <f>"WIN101"</f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18</v>
      </c>
      <c r="K5150">
        <v>31.59</v>
      </c>
      <c r="L5150" s="2">
        <v>2</v>
      </c>
      <c r="M5150">
        <v>0</v>
      </c>
      <c r="N5150" s="2">
        <v>0</v>
      </c>
      <c r="O5150">
        <v>-21.6</v>
      </c>
      <c r="P5150" t="s">
        <v>100</v>
      </c>
      <c r="Q5150">
        <v>0</v>
      </c>
      <c r="R5150" t="s">
        <v>145</v>
      </c>
      <c r="S5150">
        <v>0</v>
      </c>
    </row>
    <row r="5151" spans="1:19">
      <c r="A5151" t="s">
        <v>35</v>
      </c>
      <c r="B5151" t="s">
        <v>2094</v>
      </c>
      <c r="C5151">
        <f>"PCM5065S"</f>
        <v>0</v>
      </c>
      <c r="D5151">
        <v>0</v>
      </c>
      <c r="E5151">
        <v>3</v>
      </c>
      <c r="F5151">
        <v>0</v>
      </c>
      <c r="G5151">
        <v>0</v>
      </c>
      <c r="H5151">
        <v>3</v>
      </c>
      <c r="I5151">
        <v>0</v>
      </c>
      <c r="J5151">
        <v>18</v>
      </c>
      <c r="K5151">
        <v>101.925</v>
      </c>
      <c r="L5151" s="2">
        <v>6</v>
      </c>
      <c r="M5151">
        <v>0</v>
      </c>
      <c r="N5151" s="2">
        <v>0</v>
      </c>
      <c r="O5151">
        <v>-21.6</v>
      </c>
      <c r="P5151" t="s">
        <v>100</v>
      </c>
      <c r="Q5151">
        <v>0</v>
      </c>
      <c r="R5151" t="s">
        <v>145</v>
      </c>
      <c r="S5151">
        <v>0</v>
      </c>
    </row>
    <row r="5152" spans="1:19">
      <c r="A5152" t="s">
        <v>35</v>
      </c>
      <c r="B5152" t="s">
        <v>4577</v>
      </c>
      <c r="C5152">
        <f>"LC100SAV"</f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18</v>
      </c>
      <c r="K5152">
        <v>71.28</v>
      </c>
      <c r="L5152" s="2">
        <v>4</v>
      </c>
      <c r="M5152">
        <v>0</v>
      </c>
      <c r="N5152" s="2">
        <v>0</v>
      </c>
      <c r="O5152">
        <v>-21.6</v>
      </c>
      <c r="P5152" t="s">
        <v>100</v>
      </c>
      <c r="Q5152">
        <v>0</v>
      </c>
      <c r="R5152" t="s">
        <v>145</v>
      </c>
      <c r="S5152">
        <v>0</v>
      </c>
    </row>
    <row r="5153" spans="1:19">
      <c r="A5153" t="s">
        <v>35</v>
      </c>
      <c r="B5153" t="s">
        <v>6851</v>
      </c>
      <c r="C5153">
        <f>"KX4229"</f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18</v>
      </c>
      <c r="K5153">
        <v>16.038</v>
      </c>
      <c r="L5153" s="2">
        <v>1</v>
      </c>
      <c r="M5153">
        <v>0</v>
      </c>
      <c r="N5153" s="2">
        <v>0</v>
      </c>
      <c r="O5153">
        <v>-21.6</v>
      </c>
      <c r="P5153" t="s">
        <v>100</v>
      </c>
      <c r="Q5153">
        <v>0</v>
      </c>
      <c r="R5153" t="s">
        <v>145</v>
      </c>
      <c r="S5153">
        <v>0</v>
      </c>
    </row>
    <row r="5154" spans="1:19">
      <c r="A5154" t="s">
        <v>35</v>
      </c>
      <c r="B5154" t="s">
        <v>4578</v>
      </c>
      <c r="C5154">
        <f>"LC100MNA"</f>
        <v>0</v>
      </c>
      <c r="D5154">
        <v>0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18</v>
      </c>
      <c r="K5154">
        <v>79.38</v>
      </c>
      <c r="L5154" s="2">
        <v>4</v>
      </c>
      <c r="M5154">
        <v>0</v>
      </c>
      <c r="N5154" s="2">
        <v>0</v>
      </c>
      <c r="O5154">
        <v>-21.6</v>
      </c>
      <c r="P5154" t="s">
        <v>100</v>
      </c>
      <c r="Q5154">
        <v>0</v>
      </c>
      <c r="R5154" t="s">
        <v>145</v>
      </c>
      <c r="S5154">
        <v>0</v>
      </c>
    </row>
    <row r="5155" spans="1:19">
      <c r="A5155" t="s">
        <v>35</v>
      </c>
      <c r="B5155" t="s">
        <v>4863</v>
      </c>
      <c r="C5155">
        <f>"JWL1032M"</f>
        <v>0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18</v>
      </c>
      <c r="K5155">
        <v>20.898</v>
      </c>
      <c r="L5155" s="2">
        <v>1</v>
      </c>
      <c r="M5155">
        <v>0</v>
      </c>
      <c r="N5155" s="2">
        <v>0</v>
      </c>
      <c r="O5155">
        <v>-21.6</v>
      </c>
      <c r="P5155" t="s">
        <v>100</v>
      </c>
      <c r="Q5155">
        <v>0</v>
      </c>
      <c r="R5155" t="s">
        <v>145</v>
      </c>
      <c r="S5155">
        <v>0</v>
      </c>
    </row>
    <row r="5156" spans="1:19">
      <c r="A5156" t="s">
        <v>35</v>
      </c>
      <c r="B5156" t="s">
        <v>4581</v>
      </c>
      <c r="C5156">
        <f>"JWL1022XL"</f>
        <v>0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18</v>
      </c>
      <c r="K5156">
        <v>28.998</v>
      </c>
      <c r="L5156" s="2">
        <v>2</v>
      </c>
      <c r="M5156">
        <v>0</v>
      </c>
      <c r="N5156" s="2">
        <v>0</v>
      </c>
      <c r="O5156">
        <v>-21.6</v>
      </c>
      <c r="P5156" t="s">
        <v>100</v>
      </c>
      <c r="Q5156">
        <v>0</v>
      </c>
      <c r="R5156" t="s">
        <v>145</v>
      </c>
      <c r="S5156">
        <v>0</v>
      </c>
    </row>
    <row r="5157" spans="1:19">
      <c r="A5157" t="s">
        <v>35</v>
      </c>
      <c r="B5157" t="s">
        <v>5886</v>
      </c>
      <c r="C5157">
        <f>"C403"</f>
        <v>0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18</v>
      </c>
      <c r="K5157">
        <v>63.18</v>
      </c>
      <c r="L5157" s="2">
        <v>4</v>
      </c>
      <c r="M5157">
        <v>0</v>
      </c>
      <c r="N5157" s="2">
        <v>0</v>
      </c>
      <c r="O5157">
        <v>-21.6</v>
      </c>
      <c r="P5157" t="s">
        <v>100</v>
      </c>
      <c r="Q5157">
        <v>0</v>
      </c>
      <c r="R5157" t="s">
        <v>145</v>
      </c>
      <c r="S5157">
        <v>0</v>
      </c>
    </row>
    <row r="5158" spans="1:19">
      <c r="A5158" t="s">
        <v>35</v>
      </c>
      <c r="B5158" t="s">
        <v>9768</v>
      </c>
      <c r="C5158">
        <f>"4806588"</f>
        <v>0</v>
      </c>
      <c r="D5158">
        <v>0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18</v>
      </c>
      <c r="K5158">
        <v>208.98</v>
      </c>
      <c r="L5158" s="2">
        <v>12</v>
      </c>
      <c r="M5158">
        <v>0</v>
      </c>
      <c r="N5158" s="2">
        <v>0</v>
      </c>
      <c r="O5158">
        <v>-21.6</v>
      </c>
      <c r="P5158" t="s">
        <v>100</v>
      </c>
      <c r="Q5158">
        <v>0</v>
      </c>
      <c r="R5158" t="s">
        <v>145</v>
      </c>
      <c r="S5158">
        <v>0</v>
      </c>
    </row>
    <row r="5159" spans="1:19">
      <c r="A5159" t="s">
        <v>35</v>
      </c>
      <c r="B5159" t="s">
        <v>5133</v>
      </c>
      <c r="C5159">
        <f>"B7162S"</f>
        <v>0</v>
      </c>
      <c r="D5159">
        <v>0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18</v>
      </c>
      <c r="K5159">
        <v>45.36</v>
      </c>
      <c r="L5159" s="2">
        <v>3</v>
      </c>
      <c r="M5159">
        <v>0</v>
      </c>
      <c r="N5159" s="2">
        <v>0</v>
      </c>
      <c r="O5159">
        <v>-21.6</v>
      </c>
      <c r="P5159" t="s">
        <v>100</v>
      </c>
      <c r="Q5159">
        <v>0</v>
      </c>
      <c r="R5159" t="s">
        <v>145</v>
      </c>
      <c r="S5159">
        <v>0</v>
      </c>
    </row>
    <row r="5160" spans="1:19">
      <c r="A5160" t="s">
        <v>35</v>
      </c>
      <c r="B5160" t="s">
        <v>2987</v>
      </c>
      <c r="C5160">
        <f>"B192202XLA"</f>
        <v>0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18</v>
      </c>
      <c r="K5160">
        <v>192.78</v>
      </c>
      <c r="L5160" s="2">
        <v>11</v>
      </c>
      <c r="M5160">
        <v>0</v>
      </c>
      <c r="N5160" s="2">
        <v>0</v>
      </c>
      <c r="O5160">
        <v>-21.6</v>
      </c>
      <c r="P5160" t="s">
        <v>100</v>
      </c>
      <c r="Q5160">
        <v>0</v>
      </c>
      <c r="R5160" t="s">
        <v>145</v>
      </c>
      <c r="S5160">
        <v>0</v>
      </c>
    </row>
    <row r="5161" spans="1:19">
      <c r="A5161" t="s">
        <v>35</v>
      </c>
      <c r="B5161" t="s">
        <v>4575</v>
      </c>
      <c r="C5161">
        <f>"LC100SNA"</f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18</v>
      </c>
      <c r="K5161">
        <v>71.28</v>
      </c>
      <c r="L5161" s="2">
        <v>4</v>
      </c>
      <c r="M5161">
        <v>0</v>
      </c>
      <c r="N5161" s="2">
        <v>0</v>
      </c>
      <c r="O5161">
        <v>-21.6</v>
      </c>
      <c r="P5161" t="s">
        <v>100</v>
      </c>
      <c r="Q5161">
        <v>0</v>
      </c>
      <c r="R5161" t="s">
        <v>145</v>
      </c>
      <c r="S5161">
        <v>0</v>
      </c>
    </row>
    <row r="5162" spans="1:19">
      <c r="A5162" t="s">
        <v>35</v>
      </c>
      <c r="B5162" t="s">
        <v>2309</v>
      </c>
      <c r="C5162">
        <f>"DGA4XL"</f>
        <v>0</v>
      </c>
      <c r="D5162">
        <v>0</v>
      </c>
      <c r="E5162">
        <v>0</v>
      </c>
      <c r="F5162">
        <v>2</v>
      </c>
      <c r="G5162">
        <v>0</v>
      </c>
      <c r="H5162">
        <v>2</v>
      </c>
      <c r="I5162">
        <v>0</v>
      </c>
      <c r="J5162">
        <v>19</v>
      </c>
      <c r="K5162">
        <v>69.52500000000001</v>
      </c>
      <c r="L5162" s="2">
        <v>4</v>
      </c>
      <c r="M5162">
        <v>0</v>
      </c>
      <c r="N5162" s="2">
        <v>0</v>
      </c>
      <c r="O5162">
        <v>-22.8</v>
      </c>
      <c r="P5162" t="s">
        <v>100</v>
      </c>
      <c r="Q5162">
        <v>0</v>
      </c>
      <c r="R5162" t="s">
        <v>145</v>
      </c>
      <c r="S5162">
        <v>0</v>
      </c>
    </row>
    <row r="5163" spans="1:19">
      <c r="A5163" t="s">
        <v>35</v>
      </c>
      <c r="B5163" t="s">
        <v>4567</v>
      </c>
      <c r="C5163">
        <f>"D11WS"</f>
        <v>0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19</v>
      </c>
      <c r="K5163">
        <v>79.515</v>
      </c>
      <c r="L5163" s="2">
        <v>4</v>
      </c>
      <c r="M5163">
        <v>0</v>
      </c>
      <c r="N5163" s="2">
        <v>0</v>
      </c>
      <c r="O5163">
        <v>-22.8</v>
      </c>
      <c r="P5163" t="s">
        <v>100</v>
      </c>
      <c r="Q5163">
        <v>0</v>
      </c>
      <c r="R5163" t="s">
        <v>145</v>
      </c>
      <c r="S5163">
        <v>0</v>
      </c>
    </row>
    <row r="5164" spans="1:19">
      <c r="A5164" t="s">
        <v>35</v>
      </c>
      <c r="B5164" t="s">
        <v>3595</v>
      </c>
      <c r="C5164">
        <f>"WD927930"</f>
        <v>0</v>
      </c>
      <c r="D5164">
        <v>0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19</v>
      </c>
      <c r="K5164">
        <v>47.965</v>
      </c>
      <c r="L5164" s="2">
        <v>3</v>
      </c>
      <c r="M5164">
        <v>0</v>
      </c>
      <c r="N5164" s="2">
        <v>0</v>
      </c>
      <c r="O5164">
        <v>-22.8</v>
      </c>
      <c r="P5164" t="s">
        <v>100</v>
      </c>
      <c r="Q5164">
        <v>0</v>
      </c>
      <c r="R5164" t="s">
        <v>145</v>
      </c>
      <c r="S5164">
        <v>0</v>
      </c>
    </row>
    <row r="5165" spans="1:19">
      <c r="A5165" t="s">
        <v>35</v>
      </c>
      <c r="B5165" t="s">
        <v>8034</v>
      </c>
      <c r="C5165">
        <f>"MQ080807XLC"</f>
        <v>0</v>
      </c>
      <c r="D5165">
        <v>0</v>
      </c>
      <c r="E5165">
        <v>0</v>
      </c>
      <c r="F5165">
        <v>0</v>
      </c>
      <c r="G5165">
        <v>0</v>
      </c>
      <c r="H5165">
        <v>0</v>
      </c>
      <c r="I5165">
        <v>0</v>
      </c>
      <c r="J5165">
        <v>19</v>
      </c>
      <c r="K5165">
        <v>171.65</v>
      </c>
      <c r="L5165" s="2">
        <v>9</v>
      </c>
      <c r="M5165">
        <v>0</v>
      </c>
      <c r="N5165" s="2">
        <v>0</v>
      </c>
      <c r="O5165">
        <v>-22.8</v>
      </c>
      <c r="P5165" t="s">
        <v>100</v>
      </c>
      <c r="Q5165">
        <v>0</v>
      </c>
      <c r="R5165" t="s">
        <v>145</v>
      </c>
      <c r="S5165">
        <v>0</v>
      </c>
    </row>
    <row r="5166" spans="1:19">
      <c r="A5166" t="s">
        <v>35</v>
      </c>
      <c r="B5166" t="s">
        <v>4922</v>
      </c>
      <c r="C5166">
        <f>"JWL1016XL"</f>
        <v>0</v>
      </c>
      <c r="D5166">
        <v>0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19</v>
      </c>
      <c r="K5166">
        <v>30.609</v>
      </c>
      <c r="L5166" s="2">
        <v>2</v>
      </c>
      <c r="M5166">
        <v>0</v>
      </c>
      <c r="N5166" s="2">
        <v>0</v>
      </c>
      <c r="O5166">
        <v>-22.8</v>
      </c>
      <c r="P5166" t="s">
        <v>100</v>
      </c>
      <c r="Q5166">
        <v>0</v>
      </c>
      <c r="R5166" t="s">
        <v>145</v>
      </c>
      <c r="S5166">
        <v>0</v>
      </c>
    </row>
    <row r="5167" spans="1:19">
      <c r="A5167" t="s">
        <v>35</v>
      </c>
      <c r="B5167" t="s">
        <v>5433</v>
      </c>
      <c r="C5167">
        <f>"E72XL"</f>
        <v>0</v>
      </c>
      <c r="D5167">
        <v>0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19</v>
      </c>
      <c r="K5167">
        <v>95.76000000000001</v>
      </c>
      <c r="L5167" s="2">
        <v>5</v>
      </c>
      <c r="M5167">
        <v>0</v>
      </c>
      <c r="N5167" s="2">
        <v>0</v>
      </c>
      <c r="O5167">
        <v>-22.8</v>
      </c>
      <c r="P5167" t="s">
        <v>100</v>
      </c>
      <c r="Q5167">
        <v>0</v>
      </c>
      <c r="R5167" t="s">
        <v>145</v>
      </c>
      <c r="S5167">
        <v>0</v>
      </c>
    </row>
    <row r="5168" spans="1:19">
      <c r="A5168" t="s">
        <v>35</v>
      </c>
      <c r="B5168" t="s">
        <v>5972</v>
      </c>
      <c r="C5168">
        <f>"CS020"</f>
        <v>0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19</v>
      </c>
      <c r="K5168">
        <v>58.995</v>
      </c>
      <c r="L5168" s="2">
        <v>3</v>
      </c>
      <c r="M5168">
        <v>0</v>
      </c>
      <c r="N5168" s="2">
        <v>0</v>
      </c>
      <c r="O5168">
        <v>-22.8</v>
      </c>
      <c r="P5168" t="s">
        <v>100</v>
      </c>
      <c r="Q5168">
        <v>0</v>
      </c>
      <c r="R5168" t="s">
        <v>145</v>
      </c>
      <c r="S5168">
        <v>0</v>
      </c>
    </row>
    <row r="5169" spans="1:19">
      <c r="A5169" t="s">
        <v>35</v>
      </c>
      <c r="B5169" t="s">
        <v>2843</v>
      </c>
      <c r="C5169">
        <f>"B19162XLA"</f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19</v>
      </c>
      <c r="K5169">
        <v>196.65</v>
      </c>
      <c r="L5169" s="2">
        <v>10</v>
      </c>
      <c r="M5169">
        <v>0</v>
      </c>
      <c r="N5169" s="2">
        <v>0</v>
      </c>
      <c r="O5169">
        <v>-22.8</v>
      </c>
      <c r="P5169" t="s">
        <v>100</v>
      </c>
      <c r="Q5169">
        <v>0</v>
      </c>
      <c r="R5169" t="s">
        <v>145</v>
      </c>
      <c r="S5169">
        <v>0</v>
      </c>
    </row>
    <row r="5170" spans="1:19">
      <c r="A5170" t="s">
        <v>35</v>
      </c>
      <c r="B5170" t="s">
        <v>4591</v>
      </c>
      <c r="C5170">
        <f>"JWL1012XL"</f>
        <v>0</v>
      </c>
      <c r="D5170">
        <v>0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19</v>
      </c>
      <c r="K5170">
        <v>30.609</v>
      </c>
      <c r="L5170" s="2">
        <v>2</v>
      </c>
      <c r="M5170">
        <v>0</v>
      </c>
      <c r="N5170" s="2">
        <v>0</v>
      </c>
      <c r="O5170">
        <v>-22.8</v>
      </c>
      <c r="P5170" t="s">
        <v>100</v>
      </c>
      <c r="Q5170">
        <v>0</v>
      </c>
      <c r="R5170" t="s">
        <v>145</v>
      </c>
      <c r="S5170">
        <v>0</v>
      </c>
    </row>
    <row r="5171" spans="1:19">
      <c r="A5171" t="s">
        <v>35</v>
      </c>
      <c r="B5171" t="s">
        <v>4508</v>
      </c>
      <c r="C5171">
        <f>"D11WXXL"</f>
        <v>0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19</v>
      </c>
      <c r="K5171">
        <v>87.039</v>
      </c>
      <c r="L5171" s="2">
        <v>5</v>
      </c>
      <c r="M5171">
        <v>0</v>
      </c>
      <c r="N5171" s="2">
        <v>0</v>
      </c>
      <c r="O5171">
        <v>-22.8</v>
      </c>
      <c r="P5171" t="s">
        <v>100</v>
      </c>
      <c r="Q5171">
        <v>0</v>
      </c>
      <c r="R5171" t="s">
        <v>145</v>
      </c>
      <c r="S5171">
        <v>0</v>
      </c>
    </row>
    <row r="5172" spans="1:19">
      <c r="A5172" t="s">
        <v>35</v>
      </c>
      <c r="B5172" t="s">
        <v>2385</v>
      </c>
      <c r="C5172">
        <f>"TQ077ROS"</f>
        <v>0</v>
      </c>
      <c r="D5172">
        <v>0</v>
      </c>
      <c r="E5172">
        <v>1</v>
      </c>
      <c r="F5172">
        <v>0</v>
      </c>
      <c r="G5172">
        <v>0</v>
      </c>
      <c r="H5172">
        <v>1</v>
      </c>
      <c r="I5172">
        <v>0</v>
      </c>
      <c r="J5172">
        <v>19</v>
      </c>
      <c r="K5172">
        <v>4.959</v>
      </c>
      <c r="L5172" s="2">
        <v>0</v>
      </c>
      <c r="M5172">
        <v>0</v>
      </c>
      <c r="N5172" s="2">
        <v>0</v>
      </c>
      <c r="O5172">
        <v>-22.8</v>
      </c>
      <c r="P5172" t="s">
        <v>100</v>
      </c>
      <c r="Q5172">
        <v>0</v>
      </c>
      <c r="R5172" t="s">
        <v>145</v>
      </c>
      <c r="S5172">
        <v>0</v>
      </c>
    </row>
    <row r="5173" spans="1:19">
      <c r="A5173" t="s">
        <v>35</v>
      </c>
      <c r="B5173" t="s">
        <v>6674</v>
      </c>
      <c r="C5173">
        <f>"CLL1"</f>
        <v>0</v>
      </c>
      <c r="D5173">
        <v>0</v>
      </c>
      <c r="E5173">
        <v>0</v>
      </c>
      <c r="F5173">
        <v>0</v>
      </c>
      <c r="G5173">
        <v>0</v>
      </c>
      <c r="H5173">
        <v>0</v>
      </c>
      <c r="I5173">
        <v>0</v>
      </c>
      <c r="J5173">
        <v>19</v>
      </c>
      <c r="K5173">
        <v>18.81</v>
      </c>
      <c r="L5173" s="2">
        <v>1</v>
      </c>
      <c r="M5173">
        <v>0</v>
      </c>
      <c r="N5173" s="2">
        <v>0</v>
      </c>
      <c r="O5173">
        <v>-22.8</v>
      </c>
      <c r="P5173" t="s">
        <v>100</v>
      </c>
      <c r="Q5173">
        <v>0</v>
      </c>
      <c r="R5173" t="s">
        <v>145</v>
      </c>
      <c r="S5173">
        <v>0</v>
      </c>
    </row>
    <row r="5174" spans="1:19">
      <c r="A5174" t="s">
        <v>35</v>
      </c>
      <c r="B5174" t="s">
        <v>4542</v>
      </c>
      <c r="C5174">
        <f>"JWL1033XL"</f>
        <v>0</v>
      </c>
      <c r="D5174">
        <v>0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19</v>
      </c>
      <c r="K5174">
        <v>30.609</v>
      </c>
      <c r="L5174" s="2">
        <v>2</v>
      </c>
      <c r="M5174">
        <v>0</v>
      </c>
      <c r="N5174" s="2">
        <v>0</v>
      </c>
      <c r="O5174">
        <v>-22.8</v>
      </c>
      <c r="P5174" t="s">
        <v>100</v>
      </c>
      <c r="Q5174">
        <v>0</v>
      </c>
      <c r="R5174" t="s">
        <v>145</v>
      </c>
      <c r="S5174">
        <v>0</v>
      </c>
    </row>
    <row r="5175" spans="1:19">
      <c r="A5175" t="s">
        <v>35</v>
      </c>
      <c r="B5175" t="s">
        <v>4862</v>
      </c>
      <c r="C5175">
        <f>"JWL1024M"</f>
        <v>0</v>
      </c>
      <c r="D5175">
        <v>0</v>
      </c>
      <c r="E5175">
        <v>0</v>
      </c>
      <c r="F5175">
        <v>0</v>
      </c>
      <c r="G5175">
        <v>0</v>
      </c>
      <c r="H5175">
        <v>0</v>
      </c>
      <c r="I5175">
        <v>0</v>
      </c>
      <c r="J5175">
        <v>19</v>
      </c>
      <c r="K5175">
        <v>22.059</v>
      </c>
      <c r="L5175" s="2">
        <v>1</v>
      </c>
      <c r="M5175">
        <v>0</v>
      </c>
      <c r="N5175" s="2">
        <v>0</v>
      </c>
      <c r="O5175">
        <v>-22.8</v>
      </c>
      <c r="P5175" t="s">
        <v>100</v>
      </c>
      <c r="Q5175">
        <v>0</v>
      </c>
      <c r="R5175" t="s">
        <v>145</v>
      </c>
      <c r="S5175">
        <v>0</v>
      </c>
    </row>
    <row r="5176" spans="1:19">
      <c r="A5176" t="s">
        <v>35</v>
      </c>
      <c r="B5176" t="s">
        <v>9638</v>
      </c>
      <c r="C5176">
        <f>"ACA45"</f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19</v>
      </c>
      <c r="K5176">
        <v>28.215</v>
      </c>
      <c r="L5176" s="2">
        <v>1</v>
      </c>
      <c r="M5176">
        <v>0</v>
      </c>
      <c r="N5176" s="2">
        <v>0</v>
      </c>
      <c r="O5176">
        <v>-22.8</v>
      </c>
      <c r="P5176" t="s">
        <v>100</v>
      </c>
      <c r="Q5176">
        <v>0</v>
      </c>
      <c r="R5176" t="s">
        <v>145</v>
      </c>
      <c r="S5176">
        <v>0</v>
      </c>
    </row>
    <row r="5177" spans="1:19">
      <c r="A5177" t="s">
        <v>35</v>
      </c>
      <c r="B5177" t="s">
        <v>8035</v>
      </c>
      <c r="C5177">
        <f>"MQ080807MV"</f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19</v>
      </c>
      <c r="K5177">
        <v>157.339</v>
      </c>
      <c r="L5177" s="2">
        <v>8</v>
      </c>
      <c r="M5177">
        <v>0</v>
      </c>
      <c r="N5177" s="2">
        <v>0</v>
      </c>
      <c r="O5177">
        <v>-22.8</v>
      </c>
      <c r="P5177" t="s">
        <v>100</v>
      </c>
      <c r="Q5177">
        <v>0</v>
      </c>
      <c r="R5177" t="s">
        <v>145</v>
      </c>
      <c r="S5177">
        <v>0</v>
      </c>
    </row>
    <row r="5178" spans="1:19">
      <c r="A5178" t="s">
        <v>35</v>
      </c>
      <c r="B5178" t="s">
        <v>2622</v>
      </c>
      <c r="C5178">
        <f>"SL310416"</f>
        <v>0</v>
      </c>
      <c r="D5178">
        <v>1</v>
      </c>
      <c r="E5178">
        <v>0</v>
      </c>
      <c r="F5178">
        <v>0</v>
      </c>
      <c r="G5178">
        <v>0</v>
      </c>
      <c r="H5178">
        <v>1</v>
      </c>
      <c r="I5178">
        <v>0</v>
      </c>
      <c r="J5178">
        <v>19</v>
      </c>
      <c r="K5178">
        <v>107.829</v>
      </c>
      <c r="L5178" s="2">
        <v>6</v>
      </c>
      <c r="M5178">
        <v>0</v>
      </c>
      <c r="N5178" s="2">
        <v>0</v>
      </c>
      <c r="O5178">
        <v>-22.8</v>
      </c>
      <c r="P5178" t="s">
        <v>100</v>
      </c>
      <c r="Q5178">
        <v>0</v>
      </c>
      <c r="R5178" t="s">
        <v>145</v>
      </c>
      <c r="S5178">
        <v>0</v>
      </c>
    </row>
    <row r="5179" spans="1:19">
      <c r="A5179" t="s">
        <v>35</v>
      </c>
      <c r="B5179" t="s">
        <v>2076</v>
      </c>
      <c r="C5179">
        <f>"X1341SROS"</f>
        <v>0</v>
      </c>
      <c r="D5179">
        <v>2</v>
      </c>
      <c r="E5179">
        <v>1</v>
      </c>
      <c r="F5179">
        <v>0</v>
      </c>
      <c r="G5179">
        <v>0</v>
      </c>
      <c r="H5179">
        <v>3</v>
      </c>
      <c r="I5179">
        <v>0.5</v>
      </c>
      <c r="J5179">
        <v>20</v>
      </c>
      <c r="K5179">
        <v>68.886</v>
      </c>
      <c r="L5179" s="2">
        <v>3</v>
      </c>
      <c r="M5179">
        <v>0</v>
      </c>
      <c r="N5179" s="2">
        <v>0</v>
      </c>
      <c r="O5179">
        <v>-23.5</v>
      </c>
      <c r="P5179" t="s">
        <v>100</v>
      </c>
      <c r="Q5179">
        <v>0</v>
      </c>
      <c r="R5179" t="s">
        <v>145</v>
      </c>
      <c r="S5179">
        <v>0</v>
      </c>
    </row>
    <row r="5180" spans="1:19">
      <c r="A5180" t="s">
        <v>35</v>
      </c>
      <c r="B5180" t="s">
        <v>2132</v>
      </c>
      <c r="C5180">
        <f>"TQ077V"</f>
        <v>0</v>
      </c>
      <c r="D5180">
        <v>0</v>
      </c>
      <c r="E5180">
        <v>1</v>
      </c>
      <c r="F5180">
        <v>2</v>
      </c>
      <c r="G5180">
        <v>0</v>
      </c>
      <c r="H5180">
        <v>3</v>
      </c>
      <c r="I5180">
        <v>0.5</v>
      </c>
      <c r="J5180">
        <v>20</v>
      </c>
      <c r="K5180">
        <v>5.22</v>
      </c>
      <c r="L5180" s="2">
        <v>0</v>
      </c>
      <c r="M5180">
        <v>0</v>
      </c>
      <c r="N5180" s="2">
        <v>0</v>
      </c>
      <c r="O5180">
        <v>-23.5</v>
      </c>
      <c r="P5180" t="s">
        <v>100</v>
      </c>
      <c r="Q5180">
        <v>0</v>
      </c>
      <c r="R5180" t="s">
        <v>145</v>
      </c>
      <c r="S5180">
        <v>0</v>
      </c>
    </row>
    <row r="5181" spans="1:19">
      <c r="A5181" t="s">
        <v>35</v>
      </c>
      <c r="B5181" t="s">
        <v>1778</v>
      </c>
      <c r="C5181">
        <f>"ke4804"</f>
        <v>0</v>
      </c>
      <c r="D5181">
        <v>2</v>
      </c>
      <c r="E5181">
        <v>6</v>
      </c>
      <c r="F5181">
        <v>3</v>
      </c>
      <c r="G5181">
        <v>0</v>
      </c>
      <c r="H5181">
        <v>11</v>
      </c>
      <c r="I5181">
        <v>2.5</v>
      </c>
      <c r="J5181">
        <v>22</v>
      </c>
      <c r="K5181">
        <v>26.73</v>
      </c>
      <c r="L5181" s="2">
        <v>1</v>
      </c>
      <c r="M5181">
        <v>0</v>
      </c>
      <c r="N5181" s="2">
        <v>0</v>
      </c>
      <c r="O5181">
        <v>-23.9</v>
      </c>
      <c r="P5181" t="s">
        <v>100</v>
      </c>
      <c r="Q5181">
        <v>0</v>
      </c>
      <c r="R5181" t="s">
        <v>145</v>
      </c>
      <c r="S5181">
        <v>0</v>
      </c>
    </row>
    <row r="5182" spans="1:19">
      <c r="A5182" t="s">
        <v>35</v>
      </c>
      <c r="B5182" t="s">
        <v>2700</v>
      </c>
      <c r="C5182">
        <f>"JW50547"</f>
        <v>0</v>
      </c>
      <c r="D5182">
        <v>0</v>
      </c>
      <c r="E5182">
        <v>0</v>
      </c>
      <c r="F5182">
        <v>1</v>
      </c>
      <c r="G5182">
        <v>0</v>
      </c>
      <c r="H5182">
        <v>1</v>
      </c>
      <c r="I5182">
        <v>0</v>
      </c>
      <c r="J5182">
        <v>20</v>
      </c>
      <c r="K5182">
        <v>57.15</v>
      </c>
      <c r="L5182" s="2">
        <v>3</v>
      </c>
      <c r="M5182">
        <v>0</v>
      </c>
      <c r="N5182" s="2">
        <v>0</v>
      </c>
      <c r="O5182">
        <v>-24</v>
      </c>
      <c r="P5182" t="s">
        <v>100</v>
      </c>
      <c r="Q5182">
        <v>0</v>
      </c>
      <c r="R5182" t="s">
        <v>145</v>
      </c>
      <c r="S5182">
        <v>0</v>
      </c>
    </row>
    <row r="5183" spans="1:19">
      <c r="A5183" t="s">
        <v>35</v>
      </c>
      <c r="B5183" t="s">
        <v>6355</v>
      </c>
      <c r="C5183">
        <f>"DGF01"</f>
        <v>0</v>
      </c>
      <c r="D5183">
        <v>0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20</v>
      </c>
      <c r="K5183">
        <v>315</v>
      </c>
      <c r="L5183" s="2">
        <v>16</v>
      </c>
      <c r="M5183">
        <v>0</v>
      </c>
      <c r="N5183" s="2">
        <v>0</v>
      </c>
      <c r="O5183">
        <v>-24</v>
      </c>
      <c r="P5183" t="s">
        <v>100</v>
      </c>
      <c r="Q5183">
        <v>0</v>
      </c>
      <c r="R5183" t="s">
        <v>145</v>
      </c>
      <c r="S5183">
        <v>0</v>
      </c>
    </row>
    <row r="5184" spans="1:19">
      <c r="A5184" t="s">
        <v>35</v>
      </c>
      <c r="B5184" t="s">
        <v>2979</v>
      </c>
      <c r="C5184">
        <f>"B19220SR"</f>
        <v>0</v>
      </c>
      <c r="D5184">
        <v>0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20</v>
      </c>
      <c r="K5184">
        <v>153</v>
      </c>
      <c r="L5184" s="2">
        <v>8</v>
      </c>
      <c r="M5184">
        <v>0</v>
      </c>
      <c r="N5184" s="2">
        <v>0</v>
      </c>
      <c r="O5184">
        <v>-24</v>
      </c>
      <c r="P5184" t="s">
        <v>100</v>
      </c>
      <c r="Q5184">
        <v>0</v>
      </c>
      <c r="R5184" t="s">
        <v>145</v>
      </c>
      <c r="S5184">
        <v>0</v>
      </c>
    </row>
    <row r="5185" spans="1:19">
      <c r="A5185" t="s">
        <v>35</v>
      </c>
      <c r="B5185" t="s">
        <v>8639</v>
      </c>
      <c r="C5185">
        <f>"SLL10310XL"</f>
        <v>0</v>
      </c>
      <c r="D5185">
        <v>0</v>
      </c>
      <c r="E5185">
        <v>0</v>
      </c>
      <c r="F5185">
        <v>0</v>
      </c>
      <c r="G5185">
        <v>0</v>
      </c>
      <c r="H5185">
        <v>0</v>
      </c>
      <c r="I5185">
        <v>0</v>
      </c>
      <c r="J5185">
        <v>20</v>
      </c>
      <c r="K5185">
        <v>64.31999999999999</v>
      </c>
      <c r="L5185" s="2">
        <v>3</v>
      </c>
      <c r="M5185">
        <v>0</v>
      </c>
      <c r="N5185" s="2">
        <v>0</v>
      </c>
      <c r="O5185">
        <v>-24</v>
      </c>
      <c r="P5185" t="s">
        <v>100</v>
      </c>
      <c r="Q5185">
        <v>0</v>
      </c>
      <c r="R5185" t="s">
        <v>145</v>
      </c>
      <c r="S5185">
        <v>0</v>
      </c>
    </row>
    <row r="5186" spans="1:19">
      <c r="A5186" t="s">
        <v>35</v>
      </c>
      <c r="B5186" t="s">
        <v>8094</v>
      </c>
      <c r="C5186">
        <f>"S0107004"</f>
        <v>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20</v>
      </c>
      <c r="K5186">
        <v>251.82</v>
      </c>
      <c r="L5186" s="2">
        <v>13</v>
      </c>
      <c r="M5186">
        <v>0</v>
      </c>
      <c r="N5186" s="2">
        <v>0</v>
      </c>
      <c r="O5186">
        <v>-24</v>
      </c>
      <c r="P5186" t="s">
        <v>100</v>
      </c>
      <c r="Q5186">
        <v>0</v>
      </c>
      <c r="R5186" t="s">
        <v>145</v>
      </c>
      <c r="S5186">
        <v>0</v>
      </c>
    </row>
    <row r="5187" spans="1:19">
      <c r="A5187" t="s">
        <v>35</v>
      </c>
      <c r="B5187" t="s">
        <v>8679</v>
      </c>
      <c r="C5187">
        <f>"WD692"</f>
        <v>0</v>
      </c>
      <c r="D5187">
        <v>0</v>
      </c>
      <c r="E5187">
        <v>0</v>
      </c>
      <c r="F5187">
        <v>0</v>
      </c>
      <c r="G5187">
        <v>0</v>
      </c>
      <c r="H5187">
        <v>0</v>
      </c>
      <c r="I5187">
        <v>0</v>
      </c>
      <c r="J5187">
        <v>20</v>
      </c>
      <c r="K5187">
        <v>45.815</v>
      </c>
      <c r="L5187" s="2">
        <v>2</v>
      </c>
      <c r="M5187">
        <v>0</v>
      </c>
      <c r="N5187" s="2">
        <v>0</v>
      </c>
      <c r="O5187">
        <v>-24</v>
      </c>
      <c r="P5187" t="s">
        <v>100</v>
      </c>
      <c r="Q5187">
        <v>0</v>
      </c>
      <c r="R5187" t="s">
        <v>145</v>
      </c>
      <c r="S5187">
        <v>0</v>
      </c>
    </row>
    <row r="5188" spans="1:19">
      <c r="A5188" t="s">
        <v>35</v>
      </c>
      <c r="B5188" t="s">
        <v>4595</v>
      </c>
      <c r="C5188">
        <f>"JWL1007XL"</f>
        <v>0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20</v>
      </c>
      <c r="K5188">
        <v>32.22</v>
      </c>
      <c r="L5188" s="2">
        <v>2</v>
      </c>
      <c r="M5188">
        <v>0</v>
      </c>
      <c r="N5188" s="2">
        <v>0</v>
      </c>
      <c r="O5188">
        <v>-24</v>
      </c>
      <c r="P5188" t="s">
        <v>100</v>
      </c>
      <c r="Q5188">
        <v>0</v>
      </c>
      <c r="R5188" t="s">
        <v>145</v>
      </c>
      <c r="S5188">
        <v>0</v>
      </c>
    </row>
    <row r="5189" spans="1:19">
      <c r="A5189" t="s">
        <v>35</v>
      </c>
      <c r="B5189" t="s">
        <v>4569</v>
      </c>
      <c r="C5189">
        <f>"D11WL"</f>
        <v>0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20</v>
      </c>
      <c r="K5189">
        <v>88.02</v>
      </c>
      <c r="L5189" s="2">
        <v>4</v>
      </c>
      <c r="M5189">
        <v>0</v>
      </c>
      <c r="N5189" s="2">
        <v>0</v>
      </c>
      <c r="O5189">
        <v>-24</v>
      </c>
      <c r="P5189" t="s">
        <v>100</v>
      </c>
      <c r="Q5189">
        <v>0</v>
      </c>
      <c r="R5189" t="s">
        <v>145</v>
      </c>
      <c r="S5189">
        <v>0</v>
      </c>
    </row>
    <row r="5190" spans="1:19">
      <c r="A5190" t="s">
        <v>35</v>
      </c>
      <c r="B5190" t="s">
        <v>4594</v>
      </c>
      <c r="C5190">
        <f>"JWL1018XL"</f>
        <v>0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20</v>
      </c>
      <c r="K5190">
        <v>32.22</v>
      </c>
      <c r="L5190" s="2">
        <v>2</v>
      </c>
      <c r="M5190">
        <v>0</v>
      </c>
      <c r="N5190" s="2">
        <v>0</v>
      </c>
      <c r="O5190">
        <v>-24</v>
      </c>
      <c r="P5190" t="s">
        <v>100</v>
      </c>
      <c r="Q5190">
        <v>0</v>
      </c>
      <c r="R5190" t="s">
        <v>145</v>
      </c>
      <c r="S5190">
        <v>0</v>
      </c>
    </row>
    <row r="5191" spans="1:19">
      <c r="A5191" t="s">
        <v>35</v>
      </c>
      <c r="B5191" t="s">
        <v>2217</v>
      </c>
      <c r="C5191">
        <f>"C401"</f>
        <v>0</v>
      </c>
      <c r="D5191">
        <v>0</v>
      </c>
      <c r="E5191">
        <v>0</v>
      </c>
      <c r="F5191">
        <v>0</v>
      </c>
      <c r="G5191">
        <v>0</v>
      </c>
      <c r="H5191">
        <v>0</v>
      </c>
      <c r="I5191">
        <v>0</v>
      </c>
      <c r="J5191">
        <v>20</v>
      </c>
      <c r="K5191">
        <v>88.2</v>
      </c>
      <c r="L5191" s="2">
        <v>4</v>
      </c>
      <c r="M5191">
        <v>0</v>
      </c>
      <c r="N5191" s="2">
        <v>0</v>
      </c>
      <c r="O5191">
        <v>-24</v>
      </c>
      <c r="P5191" t="s">
        <v>100</v>
      </c>
      <c r="Q5191">
        <v>0</v>
      </c>
      <c r="R5191" t="s">
        <v>145</v>
      </c>
      <c r="S5191">
        <v>0</v>
      </c>
    </row>
    <row r="5192" spans="1:19">
      <c r="A5192" t="s">
        <v>35</v>
      </c>
      <c r="B5192" t="s">
        <v>5060</v>
      </c>
      <c r="C5192">
        <f>"1760SBL"</f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20</v>
      </c>
      <c r="K5192">
        <v>100.89</v>
      </c>
      <c r="L5192" s="2">
        <v>5</v>
      </c>
      <c r="M5192">
        <v>0</v>
      </c>
      <c r="N5192" s="2">
        <v>0</v>
      </c>
      <c r="O5192">
        <v>-24</v>
      </c>
      <c r="P5192" t="s">
        <v>100</v>
      </c>
      <c r="Q5192">
        <v>0</v>
      </c>
      <c r="R5192" t="s">
        <v>145</v>
      </c>
      <c r="S5192">
        <v>0</v>
      </c>
    </row>
    <row r="5193" spans="1:19">
      <c r="A5193" t="s">
        <v>35</v>
      </c>
      <c r="B5193" t="s">
        <v>7688</v>
      </c>
      <c r="C5193">
        <f>"B1919LN"</f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20</v>
      </c>
      <c r="K5193">
        <v>166.5</v>
      </c>
      <c r="L5193" s="2">
        <v>8</v>
      </c>
      <c r="M5193">
        <v>0</v>
      </c>
      <c r="N5193" s="2">
        <v>0</v>
      </c>
      <c r="O5193">
        <v>-24</v>
      </c>
      <c r="P5193" t="s">
        <v>100</v>
      </c>
      <c r="Q5193">
        <v>0</v>
      </c>
      <c r="R5193" t="s">
        <v>145</v>
      </c>
      <c r="S5193">
        <v>0</v>
      </c>
    </row>
    <row r="5194" spans="1:19">
      <c r="A5194" t="s">
        <v>35</v>
      </c>
      <c r="B5194" t="s">
        <v>4778</v>
      </c>
      <c r="C5194">
        <f>"WD385524"</f>
        <v>0</v>
      </c>
      <c r="D5194">
        <v>0</v>
      </c>
      <c r="E5194">
        <v>0</v>
      </c>
      <c r="F5194">
        <v>0</v>
      </c>
      <c r="G5194">
        <v>0</v>
      </c>
      <c r="H5194">
        <v>0</v>
      </c>
      <c r="I5194">
        <v>0</v>
      </c>
      <c r="J5194">
        <v>20</v>
      </c>
      <c r="K5194">
        <v>50.4</v>
      </c>
      <c r="L5194" s="2">
        <v>3</v>
      </c>
      <c r="M5194">
        <v>0</v>
      </c>
      <c r="N5194" s="2">
        <v>0</v>
      </c>
      <c r="O5194">
        <v>-24</v>
      </c>
      <c r="P5194" t="s">
        <v>100</v>
      </c>
      <c r="Q5194">
        <v>0</v>
      </c>
      <c r="R5194" t="s">
        <v>145</v>
      </c>
      <c r="S5194">
        <v>0</v>
      </c>
    </row>
    <row r="5195" spans="1:19">
      <c r="A5195" t="s">
        <v>35</v>
      </c>
      <c r="B5195" t="s">
        <v>1894</v>
      </c>
      <c r="C5195">
        <f>"HH202"</f>
        <v>0</v>
      </c>
      <c r="D5195">
        <v>0</v>
      </c>
      <c r="E5195">
        <v>1</v>
      </c>
      <c r="F5195">
        <v>5</v>
      </c>
      <c r="G5195">
        <v>0</v>
      </c>
      <c r="H5195">
        <v>6</v>
      </c>
      <c r="I5195">
        <v>0.5</v>
      </c>
      <c r="J5195">
        <v>21</v>
      </c>
      <c r="K5195">
        <v>258.384</v>
      </c>
      <c r="L5195" s="2">
        <v>12</v>
      </c>
      <c r="M5195">
        <v>0</v>
      </c>
      <c r="N5195" s="2">
        <v>0</v>
      </c>
      <c r="O5195">
        <v>-24.7</v>
      </c>
      <c r="P5195" t="s">
        <v>100</v>
      </c>
      <c r="Q5195">
        <v>0</v>
      </c>
      <c r="R5195" t="s">
        <v>145</v>
      </c>
      <c r="S5195">
        <v>0</v>
      </c>
    </row>
    <row r="5196" spans="1:19">
      <c r="A5196" t="s">
        <v>35</v>
      </c>
      <c r="B5196" t="s">
        <v>10208</v>
      </c>
      <c r="C5196">
        <f>"S0107005"</f>
        <v>0</v>
      </c>
      <c r="D5196">
        <v>0</v>
      </c>
      <c r="E5196">
        <v>0</v>
      </c>
      <c r="F5196">
        <v>0</v>
      </c>
      <c r="G5196">
        <v>1</v>
      </c>
      <c r="H5196">
        <v>1</v>
      </c>
      <c r="I5196">
        <v>0</v>
      </c>
      <c r="J5196">
        <v>25</v>
      </c>
      <c r="K5196">
        <v>213.75</v>
      </c>
      <c r="L5196" s="2">
        <v>9</v>
      </c>
      <c r="M5196">
        <v>0</v>
      </c>
      <c r="N5196" s="2">
        <v>0</v>
      </c>
      <c r="O5196">
        <v>-25</v>
      </c>
      <c r="P5196" t="s">
        <v>11087</v>
      </c>
      <c r="Q5196">
        <v>-4.348</v>
      </c>
      <c r="R5196" t="s">
        <v>11211</v>
      </c>
      <c r="S5196">
        <v>1</v>
      </c>
    </row>
    <row r="5197" spans="1:19">
      <c r="A5197" t="s">
        <v>35</v>
      </c>
      <c r="B5197" t="s">
        <v>1656</v>
      </c>
      <c r="C5197">
        <f>"MM015XS"</f>
        <v>0</v>
      </c>
      <c r="D5197">
        <v>0</v>
      </c>
      <c r="E5197">
        <v>0</v>
      </c>
      <c r="F5197">
        <v>0</v>
      </c>
      <c r="G5197">
        <v>1</v>
      </c>
      <c r="H5197">
        <v>1</v>
      </c>
      <c r="I5197">
        <v>0</v>
      </c>
      <c r="J5197">
        <v>25</v>
      </c>
      <c r="K5197">
        <v>23.625</v>
      </c>
      <c r="L5197" s="2">
        <v>1</v>
      </c>
      <c r="M5197">
        <v>0</v>
      </c>
      <c r="N5197" s="2">
        <v>0</v>
      </c>
      <c r="O5197">
        <v>-25</v>
      </c>
      <c r="P5197" t="s">
        <v>11081</v>
      </c>
      <c r="Q5197">
        <v>95</v>
      </c>
      <c r="R5197" t="s">
        <v>11207</v>
      </c>
      <c r="S5197">
        <v>1</v>
      </c>
    </row>
    <row r="5198" spans="1:19">
      <c r="A5198" t="s">
        <v>35</v>
      </c>
      <c r="B5198" t="s">
        <v>7943</v>
      </c>
      <c r="C5198">
        <f>"FB09LCBN"</f>
        <v>0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21</v>
      </c>
      <c r="K5198">
        <v>65.205</v>
      </c>
      <c r="L5198" s="2">
        <v>3</v>
      </c>
      <c r="M5198">
        <v>0</v>
      </c>
      <c r="N5198" s="2">
        <v>0</v>
      </c>
      <c r="O5198">
        <v>-25.2</v>
      </c>
      <c r="P5198" t="s">
        <v>100</v>
      </c>
      <c r="Q5198">
        <v>0</v>
      </c>
      <c r="R5198" t="s">
        <v>145</v>
      </c>
      <c r="S5198">
        <v>0</v>
      </c>
    </row>
    <row r="5199" spans="1:19">
      <c r="A5199" t="s">
        <v>35</v>
      </c>
      <c r="B5199" t="s">
        <v>4541</v>
      </c>
      <c r="C5199">
        <f>"JWL1024XL"</f>
        <v>0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21</v>
      </c>
      <c r="K5199">
        <v>33.831</v>
      </c>
      <c r="L5199" s="2">
        <v>2</v>
      </c>
      <c r="M5199">
        <v>0</v>
      </c>
      <c r="N5199" s="2">
        <v>0</v>
      </c>
      <c r="O5199">
        <v>-25.2</v>
      </c>
      <c r="P5199" t="s">
        <v>100</v>
      </c>
      <c r="Q5199">
        <v>0</v>
      </c>
      <c r="R5199" t="s">
        <v>145</v>
      </c>
      <c r="S5199">
        <v>0</v>
      </c>
    </row>
    <row r="5200" spans="1:19">
      <c r="A5200" t="s">
        <v>35</v>
      </c>
      <c r="B5200" t="s">
        <v>8600</v>
      </c>
      <c r="C5200">
        <f>"ER007"</f>
        <v>0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21</v>
      </c>
      <c r="K5200">
        <v>65.205</v>
      </c>
      <c r="L5200" s="2">
        <v>3</v>
      </c>
      <c r="M5200">
        <v>0</v>
      </c>
      <c r="N5200" s="2">
        <v>0</v>
      </c>
      <c r="O5200">
        <v>-25.2</v>
      </c>
      <c r="P5200" t="s">
        <v>100</v>
      </c>
      <c r="Q5200">
        <v>0</v>
      </c>
      <c r="R5200" t="s">
        <v>145</v>
      </c>
      <c r="S5200">
        <v>0</v>
      </c>
    </row>
    <row r="5201" spans="1:19">
      <c r="A5201" t="s">
        <v>35</v>
      </c>
      <c r="B5201" t="s">
        <v>7962</v>
      </c>
      <c r="C5201">
        <f>"JW50545"</f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21</v>
      </c>
      <c r="K5201">
        <v>45.495</v>
      </c>
      <c r="L5201" s="2">
        <v>2</v>
      </c>
      <c r="M5201">
        <v>0</v>
      </c>
      <c r="N5201" s="2">
        <v>0</v>
      </c>
      <c r="O5201">
        <v>-25.2</v>
      </c>
      <c r="P5201" t="s">
        <v>100</v>
      </c>
      <c r="Q5201">
        <v>0</v>
      </c>
      <c r="R5201" t="s">
        <v>145</v>
      </c>
      <c r="S5201">
        <v>0</v>
      </c>
    </row>
    <row r="5202" spans="1:19">
      <c r="A5202" t="s">
        <v>35</v>
      </c>
      <c r="B5202" t="s">
        <v>6465</v>
      </c>
      <c r="C5202">
        <f>"HH088XXLV"</f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21</v>
      </c>
      <c r="K5202">
        <v>249.21</v>
      </c>
      <c r="L5202" s="2">
        <v>12</v>
      </c>
      <c r="M5202">
        <v>0</v>
      </c>
      <c r="N5202" s="2">
        <v>0</v>
      </c>
      <c r="O5202">
        <v>-25.2</v>
      </c>
      <c r="P5202" t="s">
        <v>100</v>
      </c>
      <c r="Q5202">
        <v>0</v>
      </c>
      <c r="R5202" t="s">
        <v>145</v>
      </c>
      <c r="S5202">
        <v>0</v>
      </c>
    </row>
    <row r="5203" spans="1:19">
      <c r="A5203" t="s">
        <v>35</v>
      </c>
      <c r="B5203" t="s">
        <v>3954</v>
      </c>
      <c r="C5203">
        <f>"ZJ325003M"</f>
        <v>0</v>
      </c>
      <c r="D5203">
        <v>0</v>
      </c>
      <c r="E5203">
        <v>0</v>
      </c>
      <c r="F5203">
        <v>0</v>
      </c>
      <c r="G5203">
        <v>0</v>
      </c>
      <c r="H5203">
        <v>0</v>
      </c>
      <c r="I5203">
        <v>0</v>
      </c>
      <c r="J5203">
        <v>21</v>
      </c>
      <c r="K5203">
        <v>47.88</v>
      </c>
      <c r="L5203" s="2">
        <v>2</v>
      </c>
      <c r="M5203">
        <v>0</v>
      </c>
      <c r="N5203" s="2">
        <v>0</v>
      </c>
      <c r="O5203">
        <v>-25.2</v>
      </c>
      <c r="P5203" t="s">
        <v>100</v>
      </c>
      <c r="Q5203">
        <v>0</v>
      </c>
      <c r="R5203" t="s">
        <v>145</v>
      </c>
      <c r="S5203">
        <v>0</v>
      </c>
    </row>
    <row r="5204" spans="1:19">
      <c r="A5204" t="s">
        <v>35</v>
      </c>
      <c r="B5204" t="s">
        <v>6878</v>
      </c>
      <c r="C5204">
        <f>"CL333GXL"</f>
        <v>0</v>
      </c>
      <c r="D5204">
        <v>0</v>
      </c>
      <c r="E5204">
        <v>0</v>
      </c>
      <c r="F5204">
        <v>0</v>
      </c>
      <c r="G5204">
        <v>0</v>
      </c>
      <c r="H5204">
        <v>0</v>
      </c>
      <c r="I5204">
        <v>0</v>
      </c>
      <c r="J5204">
        <v>21</v>
      </c>
      <c r="K5204">
        <v>68.985</v>
      </c>
      <c r="L5204" s="2">
        <v>3</v>
      </c>
      <c r="M5204">
        <v>0</v>
      </c>
      <c r="N5204" s="2">
        <v>0</v>
      </c>
      <c r="O5204">
        <v>-25.2</v>
      </c>
      <c r="P5204" t="s">
        <v>100</v>
      </c>
      <c r="Q5204">
        <v>0</v>
      </c>
      <c r="R5204" t="s">
        <v>145</v>
      </c>
      <c r="S5204">
        <v>0</v>
      </c>
    </row>
    <row r="5205" spans="1:19">
      <c r="A5205" t="s">
        <v>35</v>
      </c>
      <c r="B5205" t="s">
        <v>2996</v>
      </c>
      <c r="C5205">
        <f>"1817L"</f>
        <v>0</v>
      </c>
      <c r="D5205">
        <v>0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21</v>
      </c>
      <c r="K5205">
        <v>76.73399999999999</v>
      </c>
      <c r="L5205" s="2">
        <v>4</v>
      </c>
      <c r="M5205">
        <v>0</v>
      </c>
      <c r="N5205" s="2">
        <v>0</v>
      </c>
      <c r="O5205">
        <v>-25.2</v>
      </c>
      <c r="P5205" t="s">
        <v>100</v>
      </c>
      <c r="Q5205">
        <v>0</v>
      </c>
      <c r="R5205" t="s">
        <v>145</v>
      </c>
      <c r="S5205">
        <v>0</v>
      </c>
    </row>
    <row r="5206" spans="1:19">
      <c r="A5206" t="s">
        <v>35</v>
      </c>
      <c r="B5206" t="s">
        <v>2316</v>
      </c>
      <c r="C5206">
        <f>"Q9001"</f>
        <v>0</v>
      </c>
      <c r="D5206">
        <v>1</v>
      </c>
      <c r="E5206">
        <v>1</v>
      </c>
      <c r="F5206">
        <v>0</v>
      </c>
      <c r="G5206">
        <v>0</v>
      </c>
      <c r="H5206">
        <v>2</v>
      </c>
      <c r="I5206">
        <v>0.5</v>
      </c>
      <c r="J5206">
        <v>22</v>
      </c>
      <c r="K5206">
        <v>43.56</v>
      </c>
      <c r="L5206" s="2">
        <v>2</v>
      </c>
      <c r="M5206">
        <v>0</v>
      </c>
      <c r="N5206" s="2">
        <v>0</v>
      </c>
      <c r="O5206">
        <v>-25.9</v>
      </c>
      <c r="P5206" t="s">
        <v>100</v>
      </c>
      <c r="Q5206">
        <v>0</v>
      </c>
      <c r="R5206" t="s">
        <v>145</v>
      </c>
      <c r="S5206">
        <v>0</v>
      </c>
    </row>
    <row r="5207" spans="1:19">
      <c r="A5207" t="s">
        <v>35</v>
      </c>
      <c r="B5207" t="s">
        <v>7942</v>
      </c>
      <c r="C5207">
        <f>"FB09LNB"</f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22</v>
      </c>
      <c r="K5207">
        <v>68.31</v>
      </c>
      <c r="L5207" s="2">
        <v>3</v>
      </c>
      <c r="M5207">
        <v>0</v>
      </c>
      <c r="N5207" s="2">
        <v>0</v>
      </c>
      <c r="O5207">
        <v>-26.4</v>
      </c>
      <c r="P5207" t="s">
        <v>100</v>
      </c>
      <c r="Q5207">
        <v>0</v>
      </c>
      <c r="R5207" t="s">
        <v>145</v>
      </c>
      <c r="S5207">
        <v>0</v>
      </c>
    </row>
    <row r="5208" spans="1:19">
      <c r="A5208" t="s">
        <v>35</v>
      </c>
      <c r="B5208" t="s">
        <v>4923</v>
      </c>
      <c r="C5208">
        <f>"JWL1032XL"</f>
        <v>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22</v>
      </c>
      <c r="K5208">
        <v>35.442</v>
      </c>
      <c r="L5208" s="2">
        <v>2</v>
      </c>
      <c r="M5208">
        <v>0</v>
      </c>
      <c r="N5208" s="2">
        <v>0</v>
      </c>
      <c r="O5208">
        <v>-26.4</v>
      </c>
      <c r="P5208" t="s">
        <v>100</v>
      </c>
      <c r="Q5208">
        <v>0</v>
      </c>
      <c r="R5208" t="s">
        <v>145</v>
      </c>
      <c r="S5208">
        <v>0</v>
      </c>
    </row>
    <row r="5209" spans="1:19">
      <c r="A5209" t="s">
        <v>35</v>
      </c>
      <c r="B5209" t="s">
        <v>7944</v>
      </c>
      <c r="C5209">
        <f>"FB09LABN"</f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22</v>
      </c>
      <c r="K5209">
        <v>68.31</v>
      </c>
      <c r="L5209" s="2">
        <v>3</v>
      </c>
      <c r="M5209">
        <v>0</v>
      </c>
      <c r="N5209" s="2">
        <v>0</v>
      </c>
      <c r="O5209">
        <v>-26.4</v>
      </c>
      <c r="P5209" t="s">
        <v>100</v>
      </c>
      <c r="Q5209">
        <v>0</v>
      </c>
      <c r="R5209" t="s">
        <v>145</v>
      </c>
      <c r="S5209">
        <v>0</v>
      </c>
    </row>
    <row r="5210" spans="1:19">
      <c r="A5210" t="s">
        <v>35</v>
      </c>
      <c r="B5210" t="s">
        <v>7816</v>
      </c>
      <c r="C5210">
        <f>"FB09SABN"</f>
        <v>0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22</v>
      </c>
      <c r="K5210">
        <v>59.202</v>
      </c>
      <c r="L5210" s="2">
        <v>3</v>
      </c>
      <c r="M5210">
        <v>0</v>
      </c>
      <c r="N5210" s="2">
        <v>0</v>
      </c>
      <c r="O5210">
        <v>-26.4</v>
      </c>
      <c r="P5210" t="s">
        <v>100</v>
      </c>
      <c r="Q5210">
        <v>0</v>
      </c>
      <c r="R5210" t="s">
        <v>145</v>
      </c>
      <c r="S5210">
        <v>0</v>
      </c>
    </row>
    <row r="5211" spans="1:19">
      <c r="A5211" t="s">
        <v>35</v>
      </c>
      <c r="B5211" t="s">
        <v>4858</v>
      </c>
      <c r="C5211">
        <f>"JWL1012M"</f>
        <v>0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22</v>
      </c>
      <c r="K5211">
        <v>25.542</v>
      </c>
      <c r="L5211" s="2">
        <v>1</v>
      </c>
      <c r="M5211">
        <v>0</v>
      </c>
      <c r="N5211" s="2">
        <v>0</v>
      </c>
      <c r="O5211">
        <v>-26.4</v>
      </c>
      <c r="P5211" t="s">
        <v>100</v>
      </c>
      <c r="Q5211">
        <v>0</v>
      </c>
      <c r="R5211" t="s">
        <v>145</v>
      </c>
      <c r="S5211">
        <v>0</v>
      </c>
    </row>
    <row r="5212" spans="1:19">
      <c r="A5212" t="s">
        <v>35</v>
      </c>
      <c r="B5212" t="s">
        <v>6849</v>
      </c>
      <c r="C5212">
        <f>"KX4231"</f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22</v>
      </c>
      <c r="K5212">
        <v>24.75</v>
      </c>
      <c r="L5212" s="2">
        <v>1</v>
      </c>
      <c r="M5212">
        <v>0</v>
      </c>
      <c r="N5212" s="2">
        <v>0</v>
      </c>
      <c r="O5212">
        <v>-26.4</v>
      </c>
      <c r="P5212" t="s">
        <v>100</v>
      </c>
      <c r="Q5212">
        <v>0</v>
      </c>
      <c r="R5212" t="s">
        <v>145</v>
      </c>
      <c r="S5212">
        <v>0</v>
      </c>
    </row>
    <row r="5213" spans="1:19">
      <c r="A5213" t="s">
        <v>35</v>
      </c>
      <c r="B5213" t="s">
        <v>5440</v>
      </c>
      <c r="C5213">
        <f>"E231S"</f>
        <v>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22</v>
      </c>
      <c r="K5213">
        <v>49.5</v>
      </c>
      <c r="L5213" s="2">
        <v>2</v>
      </c>
      <c r="M5213">
        <v>0</v>
      </c>
      <c r="N5213" s="2">
        <v>0</v>
      </c>
      <c r="O5213">
        <v>-26.4</v>
      </c>
      <c r="P5213" t="s">
        <v>100</v>
      </c>
      <c r="Q5213">
        <v>0</v>
      </c>
      <c r="R5213" t="s">
        <v>145</v>
      </c>
      <c r="S5213">
        <v>0</v>
      </c>
    </row>
    <row r="5214" spans="1:19">
      <c r="A5214" t="s">
        <v>35</v>
      </c>
      <c r="B5214" t="s">
        <v>4855</v>
      </c>
      <c r="C5214">
        <f>"JWL1047M"</f>
        <v>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22</v>
      </c>
      <c r="K5214">
        <v>37.422</v>
      </c>
      <c r="L5214" s="2">
        <v>2</v>
      </c>
      <c r="M5214">
        <v>0</v>
      </c>
      <c r="N5214" s="2">
        <v>0</v>
      </c>
      <c r="O5214">
        <v>-26.4</v>
      </c>
      <c r="P5214" t="s">
        <v>100</v>
      </c>
      <c r="Q5214">
        <v>0</v>
      </c>
      <c r="R5214" t="s">
        <v>145</v>
      </c>
      <c r="S5214">
        <v>0</v>
      </c>
    </row>
    <row r="5215" spans="1:19">
      <c r="A5215" t="s">
        <v>35</v>
      </c>
      <c r="B5215" t="s">
        <v>3677</v>
      </c>
      <c r="C5215">
        <f>"SAS"</f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22</v>
      </c>
      <c r="K5215">
        <v>76.032</v>
      </c>
      <c r="L5215" s="2">
        <v>3</v>
      </c>
      <c r="M5215">
        <v>0</v>
      </c>
      <c r="N5215" s="2">
        <v>0</v>
      </c>
      <c r="O5215">
        <v>-26.4</v>
      </c>
      <c r="P5215" t="s">
        <v>100</v>
      </c>
      <c r="Q5215">
        <v>0</v>
      </c>
      <c r="R5215" t="s">
        <v>145</v>
      </c>
      <c r="S5215">
        <v>0</v>
      </c>
    </row>
    <row r="5216" spans="1:19">
      <c r="A5216" t="s">
        <v>35</v>
      </c>
      <c r="B5216" t="s">
        <v>2163</v>
      </c>
      <c r="C5216">
        <f>"MQ080807XLV"</f>
        <v>0</v>
      </c>
      <c r="D5216">
        <v>2</v>
      </c>
      <c r="E5216">
        <v>0</v>
      </c>
      <c r="F5216">
        <v>0</v>
      </c>
      <c r="G5216">
        <v>0</v>
      </c>
      <c r="H5216">
        <v>2</v>
      </c>
      <c r="I5216">
        <v>0</v>
      </c>
      <c r="J5216">
        <v>22</v>
      </c>
      <c r="K5216">
        <v>198.752</v>
      </c>
      <c r="L5216" s="2">
        <v>9</v>
      </c>
      <c r="M5216">
        <v>0</v>
      </c>
      <c r="N5216" s="2">
        <v>0</v>
      </c>
      <c r="O5216">
        <v>-26.4</v>
      </c>
      <c r="P5216" t="s">
        <v>100</v>
      </c>
      <c r="Q5216">
        <v>0</v>
      </c>
      <c r="R5216" t="s">
        <v>145</v>
      </c>
      <c r="S5216">
        <v>0</v>
      </c>
    </row>
    <row r="5217" spans="1:19">
      <c r="A5217" t="s">
        <v>35</v>
      </c>
      <c r="B5217" t="s">
        <v>4873</v>
      </c>
      <c r="C5217">
        <f>"L027"</f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22</v>
      </c>
      <c r="K5217">
        <v>98.80200000000001</v>
      </c>
      <c r="L5217" s="2">
        <v>4</v>
      </c>
      <c r="M5217">
        <v>0</v>
      </c>
      <c r="N5217" s="2">
        <v>0</v>
      </c>
      <c r="O5217">
        <v>-26.4</v>
      </c>
      <c r="P5217" t="s">
        <v>100</v>
      </c>
      <c r="Q5217">
        <v>0</v>
      </c>
      <c r="R5217" t="s">
        <v>145</v>
      </c>
      <c r="S5217">
        <v>0</v>
      </c>
    </row>
    <row r="5218" spans="1:19">
      <c r="A5218" t="s">
        <v>35</v>
      </c>
      <c r="B5218" t="s">
        <v>8564</v>
      </c>
      <c r="C5218">
        <f>"WD690"</f>
        <v>0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22</v>
      </c>
      <c r="K5218">
        <v>25.375</v>
      </c>
      <c r="L5218" s="2">
        <v>1</v>
      </c>
      <c r="M5218">
        <v>0</v>
      </c>
      <c r="N5218" s="2">
        <v>0</v>
      </c>
      <c r="O5218">
        <v>-26.4</v>
      </c>
      <c r="P5218" t="s">
        <v>100</v>
      </c>
      <c r="Q5218">
        <v>0</v>
      </c>
      <c r="R5218" t="s">
        <v>145</v>
      </c>
      <c r="S5218">
        <v>0</v>
      </c>
    </row>
    <row r="5219" spans="1:19">
      <c r="A5219" t="s">
        <v>35</v>
      </c>
      <c r="B5219" t="s">
        <v>2273</v>
      </c>
      <c r="C5219">
        <f>"SK3012"</f>
        <v>0</v>
      </c>
      <c r="D5219">
        <v>1</v>
      </c>
      <c r="E5219">
        <v>1</v>
      </c>
      <c r="F5219">
        <v>0</v>
      </c>
      <c r="G5219">
        <v>0</v>
      </c>
      <c r="H5219">
        <v>2</v>
      </c>
      <c r="I5219">
        <v>0.5</v>
      </c>
      <c r="J5219">
        <v>23</v>
      </c>
      <c r="K5219">
        <v>123.993</v>
      </c>
      <c r="L5219" s="2">
        <v>5</v>
      </c>
      <c r="M5219">
        <v>0</v>
      </c>
      <c r="N5219" s="2">
        <v>0</v>
      </c>
      <c r="O5219">
        <v>-27.1</v>
      </c>
      <c r="P5219" t="s">
        <v>100</v>
      </c>
      <c r="Q5219">
        <v>0</v>
      </c>
      <c r="R5219" t="s">
        <v>145</v>
      </c>
      <c r="S5219">
        <v>0</v>
      </c>
    </row>
    <row r="5220" spans="1:19">
      <c r="A5220" t="s">
        <v>35</v>
      </c>
      <c r="B5220" t="s">
        <v>6644</v>
      </c>
      <c r="C5220">
        <f>"JWZ1024XL"</f>
        <v>0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23</v>
      </c>
      <c r="K5220">
        <v>30.015</v>
      </c>
      <c r="L5220" s="2">
        <v>1</v>
      </c>
      <c r="M5220">
        <v>0</v>
      </c>
      <c r="N5220" s="2">
        <v>0</v>
      </c>
      <c r="O5220">
        <v>-27.6</v>
      </c>
      <c r="P5220" t="s">
        <v>100</v>
      </c>
      <c r="Q5220">
        <v>0</v>
      </c>
      <c r="R5220" t="s">
        <v>145</v>
      </c>
      <c r="S5220">
        <v>0</v>
      </c>
    </row>
    <row r="5221" spans="1:19">
      <c r="A5221" t="s">
        <v>35</v>
      </c>
      <c r="B5221" t="s">
        <v>4588</v>
      </c>
      <c r="C5221">
        <f>"JWL1047XL"</f>
        <v>0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23</v>
      </c>
      <c r="K5221">
        <v>56.925</v>
      </c>
      <c r="L5221" s="2">
        <v>2</v>
      </c>
      <c r="M5221">
        <v>0</v>
      </c>
      <c r="N5221" s="2">
        <v>0</v>
      </c>
      <c r="O5221">
        <v>-27.6</v>
      </c>
      <c r="P5221" t="s">
        <v>100</v>
      </c>
      <c r="Q5221">
        <v>0</v>
      </c>
      <c r="R5221" t="s">
        <v>145</v>
      </c>
      <c r="S5221">
        <v>0</v>
      </c>
    </row>
    <row r="5222" spans="1:19">
      <c r="A5222" t="s">
        <v>35</v>
      </c>
      <c r="B5222" t="s">
        <v>4593</v>
      </c>
      <c r="C5222">
        <f>"JWL1003XL"</f>
        <v>0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23</v>
      </c>
      <c r="K5222">
        <v>37.053</v>
      </c>
      <c r="L5222" s="2">
        <v>2</v>
      </c>
      <c r="M5222">
        <v>0</v>
      </c>
      <c r="N5222" s="2">
        <v>0</v>
      </c>
      <c r="O5222">
        <v>-27.6</v>
      </c>
      <c r="P5222" t="s">
        <v>100</v>
      </c>
      <c r="Q5222">
        <v>0</v>
      </c>
      <c r="R5222" t="s">
        <v>145</v>
      </c>
      <c r="S5222">
        <v>0</v>
      </c>
    </row>
    <row r="5223" spans="1:19">
      <c r="A5223" t="s">
        <v>35</v>
      </c>
      <c r="B5223" t="s">
        <v>2441</v>
      </c>
      <c r="C5223">
        <f>"JWL1007M"</f>
        <v>0</v>
      </c>
      <c r="D5223">
        <v>1</v>
      </c>
      <c r="E5223">
        <v>0</v>
      </c>
      <c r="F5223">
        <v>0</v>
      </c>
      <c r="G5223">
        <v>0</v>
      </c>
      <c r="H5223">
        <v>1</v>
      </c>
      <c r="I5223">
        <v>0</v>
      </c>
      <c r="J5223">
        <v>23</v>
      </c>
      <c r="K5223">
        <v>26.703</v>
      </c>
      <c r="L5223" s="2">
        <v>1</v>
      </c>
      <c r="M5223">
        <v>0</v>
      </c>
      <c r="N5223" s="2">
        <v>0</v>
      </c>
      <c r="O5223">
        <v>-27.6</v>
      </c>
      <c r="P5223" t="s">
        <v>100</v>
      </c>
      <c r="Q5223">
        <v>0</v>
      </c>
      <c r="R5223" t="s">
        <v>145</v>
      </c>
      <c r="S5223">
        <v>0</v>
      </c>
    </row>
    <row r="5224" spans="1:19">
      <c r="A5224" t="s">
        <v>35</v>
      </c>
      <c r="B5224" t="s">
        <v>2955</v>
      </c>
      <c r="C5224">
        <f>"B192202XLR"</f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23</v>
      </c>
      <c r="K5224">
        <v>246.33</v>
      </c>
      <c r="L5224" s="2">
        <v>11</v>
      </c>
      <c r="M5224">
        <v>0</v>
      </c>
      <c r="N5224" s="2">
        <v>0</v>
      </c>
      <c r="O5224">
        <v>-27.6</v>
      </c>
      <c r="P5224" t="s">
        <v>100</v>
      </c>
      <c r="Q5224">
        <v>0</v>
      </c>
      <c r="R5224" t="s">
        <v>145</v>
      </c>
      <c r="S5224">
        <v>0</v>
      </c>
    </row>
    <row r="5225" spans="1:19">
      <c r="A5225" t="s">
        <v>35</v>
      </c>
      <c r="B5225" t="s">
        <v>7882</v>
      </c>
      <c r="C5225">
        <f>"FB09SCBN"</f>
        <v>0</v>
      </c>
      <c r="D5225">
        <v>0</v>
      </c>
      <c r="E5225">
        <v>0</v>
      </c>
      <c r="F5225">
        <v>0</v>
      </c>
      <c r="G5225">
        <v>0</v>
      </c>
      <c r="H5225">
        <v>0</v>
      </c>
      <c r="I5225">
        <v>0</v>
      </c>
      <c r="J5225">
        <v>23</v>
      </c>
      <c r="K5225">
        <v>61.893</v>
      </c>
      <c r="L5225" s="2">
        <v>3</v>
      </c>
      <c r="M5225">
        <v>0</v>
      </c>
      <c r="N5225" s="2">
        <v>0</v>
      </c>
      <c r="O5225">
        <v>-27.6</v>
      </c>
      <c r="P5225" t="s">
        <v>100</v>
      </c>
      <c r="Q5225">
        <v>0</v>
      </c>
      <c r="R5225" t="s">
        <v>145</v>
      </c>
      <c r="S5225">
        <v>0</v>
      </c>
    </row>
    <row r="5226" spans="1:19">
      <c r="A5226" t="s">
        <v>35</v>
      </c>
      <c r="B5226" t="s">
        <v>2155</v>
      </c>
      <c r="C5226">
        <f>"PD20008L"</f>
        <v>0</v>
      </c>
      <c r="D5226">
        <v>0</v>
      </c>
      <c r="E5226">
        <v>0</v>
      </c>
      <c r="F5226">
        <v>0</v>
      </c>
      <c r="G5226">
        <v>2</v>
      </c>
      <c r="H5226">
        <v>2</v>
      </c>
      <c r="I5226">
        <v>0</v>
      </c>
      <c r="J5226">
        <v>29</v>
      </c>
      <c r="K5226">
        <v>117.965</v>
      </c>
      <c r="L5226" s="2">
        <v>4</v>
      </c>
      <c r="M5226">
        <v>0</v>
      </c>
      <c r="N5226" s="2">
        <v>0</v>
      </c>
      <c r="O5226">
        <v>-27.8</v>
      </c>
      <c r="P5226" t="s">
        <v>10600</v>
      </c>
      <c r="Q5226">
        <v>1.378</v>
      </c>
      <c r="R5226" t="s">
        <v>11212</v>
      </c>
      <c r="S5226">
        <v>1</v>
      </c>
    </row>
    <row r="5227" spans="1:19">
      <c r="A5227" t="s">
        <v>35</v>
      </c>
      <c r="B5227" t="s">
        <v>1673</v>
      </c>
      <c r="C5227">
        <f>"9306"</f>
        <v>0</v>
      </c>
      <c r="D5227">
        <v>5</v>
      </c>
      <c r="E5227">
        <v>8</v>
      </c>
      <c r="F5227">
        <v>8</v>
      </c>
      <c r="G5227">
        <v>0</v>
      </c>
      <c r="H5227">
        <v>21</v>
      </c>
      <c r="I5227">
        <v>6.5</v>
      </c>
      <c r="J5227">
        <v>29</v>
      </c>
      <c r="K5227">
        <v>15.399</v>
      </c>
      <c r="L5227" s="2">
        <v>1</v>
      </c>
      <c r="M5227">
        <v>0</v>
      </c>
      <c r="N5227" s="2">
        <v>0</v>
      </c>
      <c r="O5227">
        <v>-28.3</v>
      </c>
      <c r="P5227" t="s">
        <v>100</v>
      </c>
      <c r="Q5227">
        <v>0</v>
      </c>
      <c r="R5227" t="s">
        <v>145</v>
      </c>
      <c r="S5227">
        <v>0</v>
      </c>
    </row>
    <row r="5228" spans="1:19">
      <c r="A5228" t="s">
        <v>35</v>
      </c>
      <c r="B5228" t="s">
        <v>453</v>
      </c>
      <c r="C5228">
        <f>"D123"</f>
        <v>0</v>
      </c>
      <c r="D5228">
        <v>1</v>
      </c>
      <c r="E5228">
        <v>1</v>
      </c>
      <c r="F5228">
        <v>1</v>
      </c>
      <c r="G5228">
        <v>3</v>
      </c>
      <c r="H5228">
        <v>6</v>
      </c>
      <c r="I5228">
        <v>1</v>
      </c>
      <c r="J5228">
        <v>32</v>
      </c>
      <c r="K5228">
        <v>37.68</v>
      </c>
      <c r="L5228" s="2">
        <v>1</v>
      </c>
      <c r="M5228">
        <v>0</v>
      </c>
      <c r="N5228" s="2">
        <v>0</v>
      </c>
      <c r="O5228">
        <v>-28.4</v>
      </c>
      <c r="P5228" t="s">
        <v>11088</v>
      </c>
      <c r="Q5228">
        <v>353</v>
      </c>
      <c r="R5228" t="s">
        <v>11197</v>
      </c>
      <c r="S5228">
        <v>1</v>
      </c>
    </row>
    <row r="5229" spans="1:19">
      <c r="A5229" t="s">
        <v>35</v>
      </c>
      <c r="B5229" t="s">
        <v>861</v>
      </c>
      <c r="C5229">
        <f>"FB010MNB"</f>
        <v>0</v>
      </c>
      <c r="D5229">
        <v>0</v>
      </c>
      <c r="E5229">
        <v>0</v>
      </c>
      <c r="F5229">
        <v>0</v>
      </c>
      <c r="G5229">
        <v>1</v>
      </c>
      <c r="H5229">
        <v>1</v>
      </c>
      <c r="I5229">
        <v>0</v>
      </c>
      <c r="J5229">
        <v>28</v>
      </c>
      <c r="K5229">
        <v>81.90000000000001</v>
      </c>
      <c r="L5229" s="2">
        <v>3</v>
      </c>
      <c r="M5229">
        <v>0</v>
      </c>
      <c r="N5229" s="2">
        <v>0</v>
      </c>
      <c r="O5229">
        <v>-28.6</v>
      </c>
      <c r="P5229" t="s">
        <v>11089</v>
      </c>
      <c r="Q5229">
        <v>293</v>
      </c>
      <c r="R5229" t="s">
        <v>10271</v>
      </c>
      <c r="S5229">
        <v>1</v>
      </c>
    </row>
    <row r="5230" spans="1:19">
      <c r="A5230" t="s">
        <v>35</v>
      </c>
      <c r="B5230" t="s">
        <v>6645</v>
      </c>
      <c r="C5230">
        <f>"JWZ1001XL"</f>
        <v>0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24</v>
      </c>
      <c r="K5230">
        <v>31.32</v>
      </c>
      <c r="L5230" s="2">
        <v>1</v>
      </c>
      <c r="M5230">
        <v>0</v>
      </c>
      <c r="N5230" s="2">
        <v>0</v>
      </c>
      <c r="O5230">
        <v>-28.8</v>
      </c>
      <c r="P5230" t="s">
        <v>100</v>
      </c>
      <c r="Q5230">
        <v>0</v>
      </c>
      <c r="R5230" t="s">
        <v>145</v>
      </c>
      <c r="S5230">
        <v>0</v>
      </c>
    </row>
    <row r="5231" spans="1:19">
      <c r="A5231" t="s">
        <v>35</v>
      </c>
      <c r="B5231" t="s">
        <v>6369</v>
      </c>
      <c r="C5231">
        <f>"DGF02"</f>
        <v>0</v>
      </c>
      <c r="D5231">
        <v>0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24</v>
      </c>
      <c r="K5231">
        <v>313.2</v>
      </c>
      <c r="L5231" s="2">
        <v>13</v>
      </c>
      <c r="M5231">
        <v>0</v>
      </c>
      <c r="N5231" s="2">
        <v>0</v>
      </c>
      <c r="O5231">
        <v>-28.8</v>
      </c>
      <c r="P5231" t="s">
        <v>100</v>
      </c>
      <c r="Q5231">
        <v>0</v>
      </c>
      <c r="R5231" t="s">
        <v>145</v>
      </c>
      <c r="S5231">
        <v>0</v>
      </c>
    </row>
    <row r="5232" spans="1:19">
      <c r="A5232" t="s">
        <v>35</v>
      </c>
      <c r="B5232" t="s">
        <v>7383</v>
      </c>
      <c r="C5232">
        <f>"MM015XL"</f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24</v>
      </c>
      <c r="K5232">
        <v>22.68</v>
      </c>
      <c r="L5232" s="2">
        <v>1</v>
      </c>
      <c r="M5232">
        <v>0</v>
      </c>
      <c r="N5232" s="2">
        <v>0</v>
      </c>
      <c r="O5232">
        <v>-28.8</v>
      </c>
      <c r="P5232" t="s">
        <v>100</v>
      </c>
      <c r="Q5232">
        <v>0</v>
      </c>
      <c r="R5232" t="s">
        <v>145</v>
      </c>
      <c r="S5232">
        <v>0</v>
      </c>
    </row>
    <row r="5233" spans="1:19">
      <c r="A5233" t="s">
        <v>35</v>
      </c>
      <c r="B5233" t="s">
        <v>5503</v>
      </c>
      <c r="C5233">
        <f>"BA046MV"</f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24</v>
      </c>
      <c r="K5233">
        <v>20.79</v>
      </c>
      <c r="L5233" s="2">
        <v>1</v>
      </c>
      <c r="M5233">
        <v>0</v>
      </c>
      <c r="N5233" s="2">
        <v>0</v>
      </c>
      <c r="O5233">
        <v>-28.8</v>
      </c>
      <c r="P5233" t="s">
        <v>100</v>
      </c>
      <c r="Q5233">
        <v>0</v>
      </c>
      <c r="R5233" t="s">
        <v>145</v>
      </c>
      <c r="S5233">
        <v>0</v>
      </c>
    </row>
    <row r="5234" spans="1:19">
      <c r="A5234" t="s">
        <v>35</v>
      </c>
      <c r="B5234" t="s">
        <v>2958</v>
      </c>
      <c r="C5234">
        <f>"B19163XLA"</f>
        <v>0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24</v>
      </c>
      <c r="K5234">
        <v>262.5</v>
      </c>
      <c r="L5234" s="2">
        <v>11</v>
      </c>
      <c r="M5234">
        <v>0</v>
      </c>
      <c r="N5234" s="2">
        <v>0</v>
      </c>
      <c r="O5234">
        <v>-28.8</v>
      </c>
      <c r="P5234" t="s">
        <v>100</v>
      </c>
      <c r="Q5234">
        <v>0</v>
      </c>
      <c r="R5234" t="s">
        <v>145</v>
      </c>
      <c r="S5234">
        <v>0</v>
      </c>
    </row>
    <row r="5235" spans="1:19">
      <c r="A5235" t="s">
        <v>35</v>
      </c>
      <c r="B5235" t="s">
        <v>6529</v>
      </c>
      <c r="C5235">
        <f>"JWZ1060L"</f>
        <v>0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24</v>
      </c>
      <c r="K5235">
        <v>27</v>
      </c>
      <c r="L5235" s="2">
        <v>1</v>
      </c>
      <c r="M5235">
        <v>0</v>
      </c>
      <c r="N5235" s="2">
        <v>0</v>
      </c>
      <c r="O5235">
        <v>-28.8</v>
      </c>
      <c r="P5235" t="s">
        <v>100</v>
      </c>
      <c r="Q5235">
        <v>0</v>
      </c>
      <c r="R5235" t="s">
        <v>145</v>
      </c>
      <c r="S5235">
        <v>0</v>
      </c>
    </row>
    <row r="5236" spans="1:19">
      <c r="A5236" t="s">
        <v>35</v>
      </c>
      <c r="B5236" t="s">
        <v>6603</v>
      </c>
      <c r="C5236">
        <f>"JWZ1027XL"</f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24</v>
      </c>
      <c r="K5236">
        <v>31.32</v>
      </c>
      <c r="L5236" s="2">
        <v>1</v>
      </c>
      <c r="M5236">
        <v>0</v>
      </c>
      <c r="N5236" s="2">
        <v>0</v>
      </c>
      <c r="O5236">
        <v>-28.8</v>
      </c>
      <c r="P5236" t="s">
        <v>100</v>
      </c>
      <c r="Q5236">
        <v>0</v>
      </c>
      <c r="R5236" t="s">
        <v>145</v>
      </c>
      <c r="S5236">
        <v>0</v>
      </c>
    </row>
    <row r="5237" spans="1:19">
      <c r="A5237" t="s">
        <v>35</v>
      </c>
      <c r="B5237" t="s">
        <v>7934</v>
      </c>
      <c r="C5237">
        <f>"CLCMX1"</f>
        <v>0</v>
      </c>
      <c r="D5237">
        <v>0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24</v>
      </c>
      <c r="K5237">
        <v>19.224</v>
      </c>
      <c r="L5237" s="2">
        <v>1</v>
      </c>
      <c r="M5237">
        <v>0</v>
      </c>
      <c r="N5237" s="2">
        <v>0</v>
      </c>
      <c r="O5237">
        <v>-28.8</v>
      </c>
      <c r="P5237" t="s">
        <v>100</v>
      </c>
      <c r="Q5237">
        <v>0</v>
      </c>
      <c r="R5237" t="s">
        <v>145</v>
      </c>
      <c r="S5237">
        <v>0</v>
      </c>
    </row>
    <row r="5238" spans="1:19">
      <c r="A5238" t="s">
        <v>35</v>
      </c>
      <c r="B5238" t="s">
        <v>6805</v>
      </c>
      <c r="C5238">
        <f>"EPTK5"</f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24</v>
      </c>
      <c r="K5238">
        <v>35.244</v>
      </c>
      <c r="L5238" s="2">
        <v>1</v>
      </c>
      <c r="M5238">
        <v>0</v>
      </c>
      <c r="N5238" s="2">
        <v>0</v>
      </c>
      <c r="O5238">
        <v>-28.8</v>
      </c>
      <c r="P5238" t="s">
        <v>100</v>
      </c>
      <c r="Q5238">
        <v>0</v>
      </c>
      <c r="R5238" t="s">
        <v>145</v>
      </c>
      <c r="S5238">
        <v>0</v>
      </c>
    </row>
    <row r="5239" spans="1:19">
      <c r="A5239" t="s">
        <v>35</v>
      </c>
      <c r="B5239" t="s">
        <v>6492</v>
      </c>
      <c r="C5239">
        <f>"JWZ1027L"</f>
        <v>0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24</v>
      </c>
      <c r="K5239">
        <v>24.84</v>
      </c>
      <c r="L5239" s="2">
        <v>1</v>
      </c>
      <c r="M5239">
        <v>0</v>
      </c>
      <c r="N5239" s="2">
        <v>0</v>
      </c>
      <c r="O5239">
        <v>-28.8</v>
      </c>
      <c r="P5239" t="s">
        <v>100</v>
      </c>
      <c r="Q5239">
        <v>0</v>
      </c>
      <c r="R5239" t="s">
        <v>145</v>
      </c>
      <c r="S5239">
        <v>0</v>
      </c>
    </row>
    <row r="5240" spans="1:19">
      <c r="A5240" t="s">
        <v>35</v>
      </c>
      <c r="B5240" t="s">
        <v>4921</v>
      </c>
      <c r="C5240">
        <f>"JWL1017XL"</f>
        <v>0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24</v>
      </c>
      <c r="K5240">
        <v>38.664</v>
      </c>
      <c r="L5240" s="2">
        <v>2</v>
      </c>
      <c r="M5240">
        <v>0</v>
      </c>
      <c r="N5240" s="2">
        <v>0</v>
      </c>
      <c r="O5240">
        <v>-28.8</v>
      </c>
      <c r="P5240" t="s">
        <v>100</v>
      </c>
      <c r="Q5240">
        <v>0</v>
      </c>
      <c r="R5240" t="s">
        <v>145</v>
      </c>
      <c r="S5240">
        <v>0</v>
      </c>
    </row>
    <row r="5241" spans="1:19">
      <c r="A5241" t="s">
        <v>35</v>
      </c>
      <c r="B5241" t="s">
        <v>328</v>
      </c>
      <c r="C5241">
        <f>"DC3102A"</f>
        <v>0</v>
      </c>
      <c r="D5241">
        <v>0</v>
      </c>
      <c r="E5241">
        <v>1</v>
      </c>
      <c r="F5241">
        <v>1</v>
      </c>
      <c r="G5241">
        <v>2</v>
      </c>
      <c r="H5241">
        <v>4</v>
      </c>
      <c r="I5241">
        <v>1</v>
      </c>
      <c r="J5241">
        <v>31</v>
      </c>
      <c r="K5241">
        <v>96.255</v>
      </c>
      <c r="L5241" s="2">
        <v>3</v>
      </c>
      <c r="M5241">
        <v>0</v>
      </c>
      <c r="N5241" s="2">
        <v>0</v>
      </c>
      <c r="O5241">
        <v>-29.2</v>
      </c>
      <c r="P5241" t="s">
        <v>11090</v>
      </c>
      <c r="Q5241">
        <v>620</v>
      </c>
      <c r="R5241" t="s">
        <v>10276</v>
      </c>
      <c r="S5241">
        <v>1</v>
      </c>
    </row>
    <row r="5242" spans="1:19">
      <c r="A5242" t="s">
        <v>35</v>
      </c>
      <c r="B5242" t="s">
        <v>10201</v>
      </c>
      <c r="C5242">
        <f>"LY001MG"</f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25</v>
      </c>
      <c r="K5242">
        <v>66.789</v>
      </c>
      <c r="L5242" s="2">
        <v>3</v>
      </c>
      <c r="M5242">
        <v>0</v>
      </c>
      <c r="N5242" s="2">
        <v>0</v>
      </c>
      <c r="O5242">
        <v>-30</v>
      </c>
      <c r="P5242" t="s">
        <v>100</v>
      </c>
      <c r="Q5242">
        <v>0</v>
      </c>
      <c r="R5242" t="s">
        <v>145</v>
      </c>
      <c r="S5242">
        <v>0</v>
      </c>
    </row>
    <row r="5243" spans="1:19">
      <c r="A5243" t="s">
        <v>35</v>
      </c>
      <c r="B5243" t="s">
        <v>4967</v>
      </c>
      <c r="C5243">
        <f>"1881SGXS"</f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25</v>
      </c>
      <c r="K5243">
        <v>123.75</v>
      </c>
      <c r="L5243" s="2">
        <v>5</v>
      </c>
      <c r="M5243">
        <v>0</v>
      </c>
      <c r="N5243" s="2">
        <v>0</v>
      </c>
      <c r="O5243">
        <v>-30</v>
      </c>
      <c r="P5243" t="s">
        <v>100</v>
      </c>
      <c r="Q5243">
        <v>0</v>
      </c>
      <c r="R5243" t="s">
        <v>145</v>
      </c>
      <c r="S5243">
        <v>0</v>
      </c>
    </row>
    <row r="5244" spans="1:19">
      <c r="A5244" t="s">
        <v>35</v>
      </c>
      <c r="B5244" t="s">
        <v>2192</v>
      </c>
      <c r="C5244">
        <f>"D42XL"</f>
        <v>0</v>
      </c>
      <c r="D5244">
        <v>0</v>
      </c>
      <c r="E5244">
        <v>0</v>
      </c>
      <c r="F5244">
        <v>2</v>
      </c>
      <c r="G5244">
        <v>0</v>
      </c>
      <c r="H5244">
        <v>2</v>
      </c>
      <c r="I5244">
        <v>0</v>
      </c>
      <c r="J5244">
        <v>25</v>
      </c>
      <c r="K5244">
        <v>53.072</v>
      </c>
      <c r="L5244" s="2">
        <v>2</v>
      </c>
      <c r="M5244">
        <v>0</v>
      </c>
      <c r="N5244" s="2">
        <v>0</v>
      </c>
      <c r="O5244">
        <v>-30</v>
      </c>
      <c r="P5244" t="s">
        <v>100</v>
      </c>
      <c r="Q5244">
        <v>0</v>
      </c>
      <c r="R5244" t="s">
        <v>145</v>
      </c>
      <c r="S5244">
        <v>0</v>
      </c>
    </row>
    <row r="5245" spans="1:19">
      <c r="A5245" t="s">
        <v>35</v>
      </c>
      <c r="B5245" t="s">
        <v>2331</v>
      </c>
      <c r="C5245">
        <f>"DC3106B"</f>
        <v>0</v>
      </c>
      <c r="D5245">
        <v>0</v>
      </c>
      <c r="E5245">
        <v>0</v>
      </c>
      <c r="F5245">
        <v>0</v>
      </c>
      <c r="G5245">
        <v>1</v>
      </c>
      <c r="H5245">
        <v>1</v>
      </c>
      <c r="I5245">
        <v>0</v>
      </c>
      <c r="J5245">
        <v>30</v>
      </c>
      <c r="K5245">
        <v>66.15000000000001</v>
      </c>
      <c r="L5245" s="2">
        <v>2</v>
      </c>
      <c r="M5245">
        <v>0</v>
      </c>
      <c r="N5245" s="2">
        <v>0</v>
      </c>
      <c r="O5245">
        <v>-31</v>
      </c>
      <c r="P5245" t="s">
        <v>10347</v>
      </c>
      <c r="Q5245">
        <v>1.988</v>
      </c>
      <c r="R5245" t="s">
        <v>11213</v>
      </c>
      <c r="S5245">
        <v>1</v>
      </c>
    </row>
    <row r="5246" spans="1:19">
      <c r="A5246" t="s">
        <v>35</v>
      </c>
      <c r="B5246" t="s">
        <v>6574</v>
      </c>
      <c r="C5246">
        <f>"JWZ1060XL"</f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26</v>
      </c>
      <c r="K5246">
        <v>37.206</v>
      </c>
      <c r="L5246" s="2">
        <v>1</v>
      </c>
      <c r="M5246">
        <v>0</v>
      </c>
      <c r="N5246" s="2">
        <v>0</v>
      </c>
      <c r="O5246">
        <v>-31.2</v>
      </c>
      <c r="P5246" t="s">
        <v>100</v>
      </c>
      <c r="Q5246">
        <v>0</v>
      </c>
      <c r="R5246" t="s">
        <v>145</v>
      </c>
      <c r="S5246">
        <v>0</v>
      </c>
    </row>
    <row r="5247" spans="1:19">
      <c r="A5247" t="s">
        <v>35</v>
      </c>
      <c r="B5247" t="s">
        <v>7682</v>
      </c>
      <c r="C5247">
        <f>"B1919XXLR"</f>
        <v>0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26</v>
      </c>
      <c r="K5247">
        <v>240.345</v>
      </c>
      <c r="L5247" s="2">
        <v>9</v>
      </c>
      <c r="M5247">
        <v>0</v>
      </c>
      <c r="N5247" s="2">
        <v>0</v>
      </c>
      <c r="O5247">
        <v>-31.2</v>
      </c>
      <c r="P5247" t="s">
        <v>100</v>
      </c>
      <c r="Q5247">
        <v>0</v>
      </c>
      <c r="R5247" t="s">
        <v>145</v>
      </c>
      <c r="S5247">
        <v>0</v>
      </c>
    </row>
    <row r="5248" spans="1:19">
      <c r="A5248" t="s">
        <v>35</v>
      </c>
      <c r="B5248" t="s">
        <v>6631</v>
      </c>
      <c r="C5248">
        <f>"JWZ1022S"</f>
        <v>0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26</v>
      </c>
      <c r="K5248">
        <v>16.146</v>
      </c>
      <c r="L5248" s="2">
        <v>1</v>
      </c>
      <c r="M5248">
        <v>0</v>
      </c>
      <c r="N5248" s="2">
        <v>0</v>
      </c>
      <c r="O5248">
        <v>-31.2</v>
      </c>
      <c r="P5248" t="s">
        <v>100</v>
      </c>
      <c r="Q5248">
        <v>0</v>
      </c>
      <c r="R5248" t="s">
        <v>145</v>
      </c>
      <c r="S5248">
        <v>0</v>
      </c>
    </row>
    <row r="5249" spans="1:19">
      <c r="A5249" t="s">
        <v>35</v>
      </c>
      <c r="B5249" t="s">
        <v>7371</v>
      </c>
      <c r="C5249">
        <f>"MM015XXL"</f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26</v>
      </c>
      <c r="K5249">
        <v>24.57</v>
      </c>
      <c r="L5249" s="2">
        <v>1</v>
      </c>
      <c r="M5249">
        <v>0</v>
      </c>
      <c r="N5249" s="2">
        <v>0</v>
      </c>
      <c r="O5249">
        <v>-31.2</v>
      </c>
      <c r="P5249" t="s">
        <v>100</v>
      </c>
      <c r="Q5249">
        <v>0</v>
      </c>
      <c r="R5249" t="s">
        <v>145</v>
      </c>
      <c r="S5249">
        <v>0</v>
      </c>
    </row>
    <row r="5250" spans="1:19">
      <c r="A5250" t="s">
        <v>35</v>
      </c>
      <c r="B5250" t="s">
        <v>9075</v>
      </c>
      <c r="C5250">
        <f>"MF910"</f>
        <v>0</v>
      </c>
      <c r="D5250">
        <v>0</v>
      </c>
      <c r="E5250">
        <v>0</v>
      </c>
      <c r="F5250">
        <v>0</v>
      </c>
      <c r="G5250">
        <v>0</v>
      </c>
      <c r="H5250">
        <v>0</v>
      </c>
      <c r="I5250">
        <v>0</v>
      </c>
      <c r="J5250">
        <v>26</v>
      </c>
      <c r="K5250">
        <v>186.966</v>
      </c>
      <c r="L5250" s="2">
        <v>7</v>
      </c>
      <c r="M5250">
        <v>0</v>
      </c>
      <c r="N5250" s="2">
        <v>0</v>
      </c>
      <c r="O5250">
        <v>-31.2</v>
      </c>
      <c r="P5250" t="s">
        <v>100</v>
      </c>
      <c r="Q5250">
        <v>0</v>
      </c>
      <c r="R5250" t="s">
        <v>145</v>
      </c>
      <c r="S5250">
        <v>0</v>
      </c>
    </row>
    <row r="5251" spans="1:19">
      <c r="A5251" t="s">
        <v>35</v>
      </c>
      <c r="B5251" t="s">
        <v>9565</v>
      </c>
      <c r="C5251">
        <f>"PD20016XL"</f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26</v>
      </c>
      <c r="K5251">
        <v>178.2</v>
      </c>
      <c r="L5251" s="2">
        <v>7</v>
      </c>
      <c r="M5251">
        <v>0</v>
      </c>
      <c r="N5251" s="2">
        <v>0</v>
      </c>
      <c r="O5251">
        <v>-31.2</v>
      </c>
      <c r="P5251" t="s">
        <v>100</v>
      </c>
      <c r="Q5251">
        <v>0</v>
      </c>
      <c r="R5251" t="s">
        <v>145</v>
      </c>
      <c r="S5251">
        <v>0</v>
      </c>
    </row>
    <row r="5252" spans="1:19">
      <c r="A5252" t="s">
        <v>35</v>
      </c>
      <c r="B5252" t="s">
        <v>9059</v>
      </c>
      <c r="C5252">
        <f>"AK3"</f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26</v>
      </c>
      <c r="K5252">
        <v>79.988</v>
      </c>
      <c r="L5252" s="2">
        <v>3</v>
      </c>
      <c r="M5252">
        <v>0</v>
      </c>
      <c r="N5252" s="2">
        <v>0</v>
      </c>
      <c r="O5252">
        <v>-31.2</v>
      </c>
      <c r="P5252" t="s">
        <v>100</v>
      </c>
      <c r="Q5252">
        <v>0</v>
      </c>
      <c r="R5252" t="s">
        <v>145</v>
      </c>
      <c r="S5252">
        <v>0</v>
      </c>
    </row>
    <row r="5253" spans="1:19">
      <c r="A5253" t="s">
        <v>35</v>
      </c>
      <c r="B5253" t="s">
        <v>1740</v>
      </c>
      <c r="C5253">
        <f>"JWZ1033S"</f>
        <v>0</v>
      </c>
      <c r="D5253">
        <v>0</v>
      </c>
      <c r="E5253">
        <v>1</v>
      </c>
      <c r="F5253">
        <v>1</v>
      </c>
      <c r="G5253">
        <v>1</v>
      </c>
      <c r="H5253">
        <v>3</v>
      </c>
      <c r="I5253">
        <v>1</v>
      </c>
      <c r="J5253">
        <v>29</v>
      </c>
      <c r="K5253">
        <v>18.009</v>
      </c>
      <c r="L5253" s="2">
        <v>1</v>
      </c>
      <c r="M5253">
        <v>0</v>
      </c>
      <c r="N5253" s="2">
        <v>0</v>
      </c>
      <c r="O5253">
        <v>-31.8</v>
      </c>
      <c r="P5253" t="s">
        <v>11001</v>
      </c>
      <c r="Q5253">
        <v>43</v>
      </c>
      <c r="R5253" t="s">
        <v>11214</v>
      </c>
      <c r="S5253">
        <v>0</v>
      </c>
    </row>
    <row r="5254" spans="1:19">
      <c r="A5254" t="s">
        <v>35</v>
      </c>
      <c r="B5254" t="s">
        <v>2283</v>
      </c>
      <c r="C5254">
        <f>"G19"</f>
        <v>0</v>
      </c>
      <c r="D5254">
        <v>1</v>
      </c>
      <c r="E5254">
        <v>0</v>
      </c>
      <c r="F5254">
        <v>1</v>
      </c>
      <c r="G5254">
        <v>0</v>
      </c>
      <c r="H5254">
        <v>2</v>
      </c>
      <c r="I5254">
        <v>0.5</v>
      </c>
      <c r="J5254">
        <v>27</v>
      </c>
      <c r="K5254">
        <v>119.07</v>
      </c>
      <c r="L5254" s="2">
        <v>4</v>
      </c>
      <c r="M5254">
        <v>0</v>
      </c>
      <c r="N5254" s="2">
        <v>0</v>
      </c>
      <c r="O5254">
        <v>-31.9</v>
      </c>
      <c r="P5254" t="s">
        <v>100</v>
      </c>
      <c r="Q5254">
        <v>0</v>
      </c>
      <c r="R5254" t="s">
        <v>145</v>
      </c>
      <c r="S5254">
        <v>0</v>
      </c>
    </row>
    <row r="5255" spans="1:19">
      <c r="A5255" t="s">
        <v>35</v>
      </c>
      <c r="B5255" t="s">
        <v>7818</v>
      </c>
      <c r="C5255">
        <f>"FB010MABN"</f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27</v>
      </c>
      <c r="K5255">
        <v>78.97499999999999</v>
      </c>
      <c r="L5255" s="2">
        <v>3</v>
      </c>
      <c r="M5255">
        <v>0</v>
      </c>
      <c r="N5255" s="2">
        <v>0</v>
      </c>
      <c r="O5255">
        <v>-32.4</v>
      </c>
      <c r="P5255" t="s">
        <v>100</v>
      </c>
      <c r="Q5255">
        <v>0</v>
      </c>
      <c r="R5255" t="s">
        <v>145</v>
      </c>
      <c r="S5255">
        <v>0</v>
      </c>
    </row>
    <row r="5256" spans="1:19">
      <c r="A5256" t="s">
        <v>35</v>
      </c>
      <c r="B5256" t="s">
        <v>6958</v>
      </c>
      <c r="C5256">
        <f>"SLL21515"</f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27</v>
      </c>
      <c r="K5256">
        <v>39.8</v>
      </c>
      <c r="L5256" s="2">
        <v>1</v>
      </c>
      <c r="M5256">
        <v>0</v>
      </c>
      <c r="N5256" s="2">
        <v>0</v>
      </c>
      <c r="O5256">
        <v>-32.4</v>
      </c>
      <c r="P5256" t="s">
        <v>100</v>
      </c>
      <c r="Q5256">
        <v>0</v>
      </c>
      <c r="R5256" t="s">
        <v>145</v>
      </c>
      <c r="S5256">
        <v>0</v>
      </c>
    </row>
    <row r="5257" spans="1:19">
      <c r="A5257" t="s">
        <v>35</v>
      </c>
      <c r="B5257" t="s">
        <v>9106</v>
      </c>
      <c r="C5257">
        <f>"WPS202"</f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27</v>
      </c>
      <c r="K5257">
        <v>42.525</v>
      </c>
      <c r="L5257" s="2">
        <v>2</v>
      </c>
      <c r="M5257">
        <v>0</v>
      </c>
      <c r="N5257" s="2">
        <v>0</v>
      </c>
      <c r="O5257">
        <v>-32.4</v>
      </c>
      <c r="P5257" t="s">
        <v>100</v>
      </c>
      <c r="Q5257">
        <v>0</v>
      </c>
      <c r="R5257" t="s">
        <v>145</v>
      </c>
      <c r="S5257">
        <v>0</v>
      </c>
    </row>
    <row r="5258" spans="1:19">
      <c r="A5258" t="s">
        <v>35</v>
      </c>
      <c r="B5258" t="s">
        <v>6640</v>
      </c>
      <c r="C5258">
        <f>"JWZ1011XL"</f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27</v>
      </c>
      <c r="K5258">
        <v>35.235</v>
      </c>
      <c r="L5258" s="2">
        <v>1</v>
      </c>
      <c r="M5258">
        <v>0</v>
      </c>
      <c r="N5258" s="2">
        <v>0</v>
      </c>
      <c r="O5258">
        <v>-32.4</v>
      </c>
      <c r="P5258" t="s">
        <v>100</v>
      </c>
      <c r="Q5258">
        <v>0</v>
      </c>
      <c r="R5258" t="s">
        <v>145</v>
      </c>
      <c r="S5258">
        <v>0</v>
      </c>
    </row>
    <row r="5259" spans="1:19">
      <c r="A5259" t="s">
        <v>35</v>
      </c>
      <c r="B5259" t="s">
        <v>2698</v>
      </c>
      <c r="C5259">
        <f>"ER071"</f>
        <v>0</v>
      </c>
      <c r="D5259">
        <v>0</v>
      </c>
      <c r="E5259">
        <v>1</v>
      </c>
      <c r="F5259">
        <v>0</v>
      </c>
      <c r="G5259">
        <v>0</v>
      </c>
      <c r="H5259">
        <v>1</v>
      </c>
      <c r="I5259">
        <v>0</v>
      </c>
      <c r="J5259">
        <v>27</v>
      </c>
      <c r="K5259">
        <v>131.175</v>
      </c>
      <c r="L5259" s="2">
        <v>5</v>
      </c>
      <c r="M5259">
        <v>0</v>
      </c>
      <c r="N5259" s="2">
        <v>0</v>
      </c>
      <c r="O5259">
        <v>-32.4</v>
      </c>
      <c r="P5259" t="s">
        <v>100</v>
      </c>
      <c r="Q5259">
        <v>0</v>
      </c>
      <c r="R5259" t="s">
        <v>145</v>
      </c>
      <c r="S5259">
        <v>0</v>
      </c>
    </row>
    <row r="5260" spans="1:19">
      <c r="A5260" t="s">
        <v>35</v>
      </c>
      <c r="B5260" t="s">
        <v>7428</v>
      </c>
      <c r="C5260">
        <f>"MM015L"</f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27</v>
      </c>
      <c r="K5260">
        <v>25.515</v>
      </c>
      <c r="L5260" s="2">
        <v>1</v>
      </c>
      <c r="M5260">
        <v>0</v>
      </c>
      <c r="N5260" s="2">
        <v>0</v>
      </c>
      <c r="O5260">
        <v>-32.4</v>
      </c>
      <c r="P5260" t="s">
        <v>100</v>
      </c>
      <c r="Q5260">
        <v>0</v>
      </c>
      <c r="R5260" t="s">
        <v>145</v>
      </c>
      <c r="S5260">
        <v>0</v>
      </c>
    </row>
    <row r="5261" spans="1:19">
      <c r="A5261" t="s">
        <v>35</v>
      </c>
      <c r="B5261" t="s">
        <v>6936</v>
      </c>
      <c r="C5261">
        <f>"ER163"</f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27</v>
      </c>
      <c r="K5261">
        <v>167.67</v>
      </c>
      <c r="L5261" s="2">
        <v>6</v>
      </c>
      <c r="M5261">
        <v>0</v>
      </c>
      <c r="N5261" s="2">
        <v>0</v>
      </c>
      <c r="O5261">
        <v>-32.4</v>
      </c>
      <c r="P5261" t="s">
        <v>100</v>
      </c>
      <c r="Q5261">
        <v>0</v>
      </c>
      <c r="R5261" t="s">
        <v>145</v>
      </c>
      <c r="S5261">
        <v>0</v>
      </c>
    </row>
    <row r="5262" spans="1:19">
      <c r="A5262" t="s">
        <v>35</v>
      </c>
      <c r="B5262" t="s">
        <v>8565</v>
      </c>
      <c r="C5262">
        <f>"WD691"</f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27</v>
      </c>
      <c r="K5262">
        <v>42.405</v>
      </c>
      <c r="L5262" s="2">
        <v>2</v>
      </c>
      <c r="M5262">
        <v>0</v>
      </c>
      <c r="N5262" s="2">
        <v>0</v>
      </c>
      <c r="O5262">
        <v>-32.4</v>
      </c>
      <c r="P5262" t="s">
        <v>100</v>
      </c>
      <c r="Q5262">
        <v>0</v>
      </c>
      <c r="R5262" t="s">
        <v>145</v>
      </c>
      <c r="S5262">
        <v>0</v>
      </c>
    </row>
    <row r="5263" spans="1:19">
      <c r="A5263" t="s">
        <v>35</v>
      </c>
      <c r="B5263" t="s">
        <v>2101</v>
      </c>
      <c r="C5263">
        <f>"ER073"</f>
        <v>0</v>
      </c>
      <c r="D5263">
        <v>3</v>
      </c>
      <c r="E5263">
        <v>0</v>
      </c>
      <c r="F5263">
        <v>0</v>
      </c>
      <c r="G5263">
        <v>0</v>
      </c>
      <c r="H5263">
        <v>3</v>
      </c>
      <c r="I5263">
        <v>0</v>
      </c>
      <c r="J5263">
        <v>28</v>
      </c>
      <c r="K5263">
        <v>7.266</v>
      </c>
      <c r="L5263" s="2">
        <v>0</v>
      </c>
      <c r="M5263">
        <v>0</v>
      </c>
      <c r="N5263" s="2">
        <v>0</v>
      </c>
      <c r="O5263">
        <v>-33.6</v>
      </c>
      <c r="P5263" t="s">
        <v>100</v>
      </c>
      <c r="Q5263">
        <v>0</v>
      </c>
      <c r="R5263" t="s">
        <v>145</v>
      </c>
      <c r="S5263">
        <v>0</v>
      </c>
    </row>
    <row r="5264" spans="1:19">
      <c r="A5264" t="s">
        <v>35</v>
      </c>
      <c r="B5264" t="s">
        <v>8293</v>
      </c>
      <c r="C5264">
        <f>"PD20008S"</f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29</v>
      </c>
      <c r="K5264">
        <v>78.94799999999999</v>
      </c>
      <c r="L5264" s="2">
        <v>3</v>
      </c>
      <c r="M5264">
        <v>0</v>
      </c>
      <c r="N5264" s="2">
        <v>0</v>
      </c>
      <c r="O5264">
        <v>-34.8</v>
      </c>
      <c r="P5264" t="s">
        <v>100</v>
      </c>
      <c r="Q5264">
        <v>0</v>
      </c>
      <c r="R5264" t="s">
        <v>145</v>
      </c>
      <c r="S5264">
        <v>0</v>
      </c>
    </row>
    <row r="5265" spans="1:19">
      <c r="A5265" t="s">
        <v>35</v>
      </c>
      <c r="B5265" t="s">
        <v>9068</v>
      </c>
      <c r="C5265">
        <f>"PD20008M"</f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29</v>
      </c>
      <c r="K5265">
        <v>85.334</v>
      </c>
      <c r="L5265" s="2">
        <v>3</v>
      </c>
      <c r="M5265">
        <v>0</v>
      </c>
      <c r="N5265" s="2">
        <v>0</v>
      </c>
      <c r="O5265">
        <v>-34.8</v>
      </c>
      <c r="P5265" t="s">
        <v>100</v>
      </c>
      <c r="Q5265">
        <v>0</v>
      </c>
      <c r="R5265" t="s">
        <v>145</v>
      </c>
      <c r="S5265">
        <v>0</v>
      </c>
    </row>
    <row r="5266" spans="1:19">
      <c r="A5266" t="s">
        <v>35</v>
      </c>
      <c r="B5266" t="s">
        <v>7426</v>
      </c>
      <c r="C5266">
        <f>"MM015M"</f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29</v>
      </c>
      <c r="K5266">
        <v>27.405</v>
      </c>
      <c r="L5266" s="2">
        <v>1</v>
      </c>
      <c r="M5266">
        <v>0</v>
      </c>
      <c r="N5266" s="2">
        <v>0</v>
      </c>
      <c r="O5266">
        <v>-34.8</v>
      </c>
      <c r="P5266" t="s">
        <v>100</v>
      </c>
      <c r="Q5266">
        <v>0</v>
      </c>
      <c r="R5266" t="s">
        <v>145</v>
      </c>
      <c r="S5266">
        <v>0</v>
      </c>
    </row>
    <row r="5267" spans="1:19">
      <c r="A5267" t="s">
        <v>35</v>
      </c>
      <c r="B5267" t="s">
        <v>4920</v>
      </c>
      <c r="C5267">
        <f>"JWL1011XLBN"</f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29</v>
      </c>
      <c r="K5267">
        <v>46.719</v>
      </c>
      <c r="L5267" s="2">
        <v>2</v>
      </c>
      <c r="M5267">
        <v>0</v>
      </c>
      <c r="N5267" s="2">
        <v>0</v>
      </c>
      <c r="O5267">
        <v>-34.8</v>
      </c>
      <c r="P5267" t="s">
        <v>100</v>
      </c>
      <c r="Q5267">
        <v>0</v>
      </c>
      <c r="R5267" t="s">
        <v>145</v>
      </c>
      <c r="S5267">
        <v>0</v>
      </c>
    </row>
    <row r="5268" spans="1:19">
      <c r="A5268" t="s">
        <v>35</v>
      </c>
      <c r="B5268" t="s">
        <v>1803</v>
      </c>
      <c r="C5268">
        <f>"MF895"</f>
        <v>0</v>
      </c>
      <c r="D5268">
        <v>1</v>
      </c>
      <c r="E5268">
        <v>5</v>
      </c>
      <c r="F5268">
        <v>4</v>
      </c>
      <c r="G5268">
        <v>1</v>
      </c>
      <c r="H5268">
        <v>11</v>
      </c>
      <c r="I5268">
        <v>2.5</v>
      </c>
      <c r="J5268">
        <v>33</v>
      </c>
      <c r="K5268">
        <v>321.09</v>
      </c>
      <c r="L5268" s="2">
        <v>10</v>
      </c>
      <c r="M5268">
        <v>0</v>
      </c>
      <c r="N5268" s="2">
        <v>0</v>
      </c>
      <c r="O5268">
        <v>-35.1</v>
      </c>
      <c r="P5268" t="s">
        <v>11087</v>
      </c>
      <c r="Q5268">
        <v>-5.528</v>
      </c>
      <c r="R5268" t="s">
        <v>11215</v>
      </c>
      <c r="S5268">
        <v>0</v>
      </c>
    </row>
    <row r="5269" spans="1:19">
      <c r="A5269" t="s">
        <v>35</v>
      </c>
      <c r="B5269" t="s">
        <v>1529</v>
      </c>
      <c r="C5269">
        <f>"KHSG0108"</f>
        <v>0</v>
      </c>
      <c r="D5269">
        <v>0</v>
      </c>
      <c r="E5269">
        <v>0</v>
      </c>
      <c r="F5269">
        <v>0</v>
      </c>
      <c r="G5269">
        <v>1</v>
      </c>
      <c r="H5269">
        <v>1</v>
      </c>
      <c r="I5269">
        <v>0</v>
      </c>
      <c r="J5269">
        <v>34</v>
      </c>
      <c r="K5269">
        <v>90.27</v>
      </c>
      <c r="L5269" s="2">
        <v>3</v>
      </c>
      <c r="M5269">
        <v>0</v>
      </c>
      <c r="N5269" s="2">
        <v>0</v>
      </c>
      <c r="O5269">
        <v>-35.8</v>
      </c>
      <c r="P5269" t="s">
        <v>11071</v>
      </c>
      <c r="Q5269">
        <v>265</v>
      </c>
      <c r="R5269" t="s">
        <v>10276</v>
      </c>
      <c r="S5269">
        <v>1</v>
      </c>
    </row>
    <row r="5270" spans="1:19">
      <c r="A5270" t="s">
        <v>35</v>
      </c>
      <c r="B5270" t="s">
        <v>10117</v>
      </c>
      <c r="C5270">
        <f>"DT641SA"</f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30</v>
      </c>
      <c r="K5270">
        <v>88.5</v>
      </c>
      <c r="L5270" s="2">
        <v>3</v>
      </c>
      <c r="M5270">
        <v>0</v>
      </c>
      <c r="N5270" s="2">
        <v>0</v>
      </c>
      <c r="O5270">
        <v>-36</v>
      </c>
      <c r="P5270" t="s">
        <v>100</v>
      </c>
      <c r="Q5270">
        <v>0</v>
      </c>
      <c r="R5270" t="s">
        <v>145</v>
      </c>
      <c r="S5270">
        <v>0</v>
      </c>
    </row>
    <row r="5271" spans="1:19">
      <c r="A5271" t="s">
        <v>35</v>
      </c>
      <c r="B5271" t="s">
        <v>7708</v>
      </c>
      <c r="C5271">
        <f>"1806TXXL"</f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30</v>
      </c>
      <c r="K5271">
        <v>94.5</v>
      </c>
      <c r="L5271" s="2">
        <v>3</v>
      </c>
      <c r="M5271">
        <v>0</v>
      </c>
      <c r="N5271" s="2">
        <v>0</v>
      </c>
      <c r="O5271">
        <v>-36</v>
      </c>
      <c r="P5271" t="s">
        <v>100</v>
      </c>
      <c r="Q5271">
        <v>0</v>
      </c>
      <c r="R5271" t="s">
        <v>145</v>
      </c>
      <c r="S5271">
        <v>0</v>
      </c>
    </row>
    <row r="5272" spans="1:19">
      <c r="A5272" t="s">
        <v>35</v>
      </c>
      <c r="B5272" t="s">
        <v>8407</v>
      </c>
      <c r="C5272">
        <f>"CN06"</f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30</v>
      </c>
      <c r="K5272">
        <v>41.76</v>
      </c>
      <c r="L5272" s="2">
        <v>1</v>
      </c>
      <c r="M5272">
        <v>0</v>
      </c>
      <c r="N5272" s="2">
        <v>0</v>
      </c>
      <c r="O5272">
        <v>-36</v>
      </c>
      <c r="P5272" t="s">
        <v>100</v>
      </c>
      <c r="Q5272">
        <v>0</v>
      </c>
      <c r="R5272" t="s">
        <v>145</v>
      </c>
      <c r="S5272">
        <v>0</v>
      </c>
    </row>
    <row r="5273" spans="1:19">
      <c r="A5273" t="s">
        <v>35</v>
      </c>
      <c r="B5273" t="s">
        <v>2239</v>
      </c>
      <c r="C5273">
        <f>"830250"</f>
        <v>0</v>
      </c>
      <c r="D5273">
        <v>0</v>
      </c>
      <c r="E5273">
        <v>2</v>
      </c>
      <c r="F5273">
        <v>0</v>
      </c>
      <c r="G5273">
        <v>0</v>
      </c>
      <c r="H5273">
        <v>2</v>
      </c>
      <c r="I5273">
        <v>0</v>
      </c>
      <c r="J5273">
        <v>32</v>
      </c>
      <c r="K5273">
        <v>153.408</v>
      </c>
      <c r="L5273" s="2">
        <v>5</v>
      </c>
      <c r="M5273">
        <v>0</v>
      </c>
      <c r="N5273" s="2">
        <v>0</v>
      </c>
      <c r="O5273">
        <v>-38.4</v>
      </c>
      <c r="P5273" t="s">
        <v>100</v>
      </c>
      <c r="Q5273">
        <v>0</v>
      </c>
      <c r="R5273" t="s">
        <v>145</v>
      </c>
      <c r="S5273">
        <v>0</v>
      </c>
    </row>
    <row r="5274" spans="1:19">
      <c r="A5274" t="s">
        <v>35</v>
      </c>
      <c r="B5274" t="s">
        <v>3116</v>
      </c>
      <c r="C5274">
        <f>"KE3205PD"</f>
        <v>0</v>
      </c>
      <c r="D5274">
        <v>0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32</v>
      </c>
      <c r="K5274">
        <v>57.312</v>
      </c>
      <c r="L5274" s="2">
        <v>2</v>
      </c>
      <c r="M5274">
        <v>0</v>
      </c>
      <c r="N5274" s="2">
        <v>0</v>
      </c>
      <c r="O5274">
        <v>-38.4</v>
      </c>
      <c r="P5274" t="s">
        <v>100</v>
      </c>
      <c r="Q5274">
        <v>0</v>
      </c>
      <c r="R5274" t="s">
        <v>145</v>
      </c>
      <c r="S5274">
        <v>0</v>
      </c>
    </row>
    <row r="5275" spans="1:19">
      <c r="A5275" t="s">
        <v>35</v>
      </c>
      <c r="B5275" t="s">
        <v>8458</v>
      </c>
      <c r="C5275">
        <f>"KHSG0105"</f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32</v>
      </c>
      <c r="K5275">
        <v>83.52</v>
      </c>
      <c r="L5275" s="2">
        <v>3</v>
      </c>
      <c r="M5275">
        <v>0</v>
      </c>
      <c r="N5275" s="2">
        <v>0</v>
      </c>
      <c r="O5275">
        <v>-38.4</v>
      </c>
      <c r="P5275" t="s">
        <v>100</v>
      </c>
      <c r="Q5275">
        <v>0</v>
      </c>
      <c r="R5275" t="s">
        <v>145</v>
      </c>
      <c r="S5275">
        <v>0</v>
      </c>
    </row>
    <row r="5276" spans="1:19">
      <c r="A5276" t="s">
        <v>35</v>
      </c>
      <c r="B5276" t="s">
        <v>2899</v>
      </c>
      <c r="C5276">
        <f>"KL03"</f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33</v>
      </c>
      <c r="K5276">
        <v>53.163</v>
      </c>
      <c r="L5276" s="2">
        <v>2</v>
      </c>
      <c r="M5276">
        <v>0</v>
      </c>
      <c r="N5276" s="2">
        <v>0</v>
      </c>
      <c r="O5276">
        <v>-39.6</v>
      </c>
      <c r="P5276" t="s">
        <v>100</v>
      </c>
      <c r="Q5276">
        <v>0</v>
      </c>
      <c r="R5276" t="s">
        <v>145</v>
      </c>
      <c r="S5276">
        <v>0</v>
      </c>
    </row>
    <row r="5277" spans="1:19">
      <c r="A5277" t="s">
        <v>35</v>
      </c>
      <c r="B5277" t="s">
        <v>8307</v>
      </c>
      <c r="C5277">
        <f>"PD20008XL"</f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33</v>
      </c>
      <c r="K5277">
        <v>74.49299999999999</v>
      </c>
      <c r="L5277" s="2">
        <v>2</v>
      </c>
      <c r="M5277">
        <v>0</v>
      </c>
      <c r="N5277" s="2">
        <v>0</v>
      </c>
      <c r="O5277">
        <v>-39.6</v>
      </c>
      <c r="P5277" t="s">
        <v>100</v>
      </c>
      <c r="Q5277">
        <v>0</v>
      </c>
      <c r="R5277" t="s">
        <v>145</v>
      </c>
      <c r="S5277">
        <v>0</v>
      </c>
    </row>
    <row r="5278" spans="1:19">
      <c r="A5278" t="s">
        <v>35</v>
      </c>
      <c r="B5278" t="s">
        <v>6842</v>
      </c>
      <c r="C5278">
        <f>"CC103A"</f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33</v>
      </c>
      <c r="K5278">
        <v>53.46</v>
      </c>
      <c r="L5278" s="2">
        <v>2</v>
      </c>
      <c r="M5278">
        <v>0</v>
      </c>
      <c r="N5278" s="2">
        <v>0</v>
      </c>
      <c r="O5278">
        <v>-39.6</v>
      </c>
      <c r="P5278" t="s">
        <v>100</v>
      </c>
      <c r="Q5278">
        <v>0</v>
      </c>
      <c r="R5278" t="s">
        <v>145</v>
      </c>
      <c r="S5278">
        <v>0</v>
      </c>
    </row>
    <row r="5279" spans="1:19">
      <c r="A5279" t="s">
        <v>35</v>
      </c>
      <c r="B5279" t="s">
        <v>2276</v>
      </c>
      <c r="C5279">
        <f>"JWZ1012M"</f>
        <v>0</v>
      </c>
      <c r="D5279">
        <v>1</v>
      </c>
      <c r="E5279">
        <v>0</v>
      </c>
      <c r="F5279">
        <v>1</v>
      </c>
      <c r="G5279">
        <v>0</v>
      </c>
      <c r="H5279">
        <v>2</v>
      </c>
      <c r="I5279">
        <v>0.5</v>
      </c>
      <c r="J5279">
        <v>34</v>
      </c>
      <c r="K5279">
        <v>27.54</v>
      </c>
      <c r="L5279" s="2">
        <v>1</v>
      </c>
      <c r="M5279">
        <v>0</v>
      </c>
      <c r="N5279" s="2">
        <v>0</v>
      </c>
      <c r="O5279">
        <v>-40.3</v>
      </c>
      <c r="P5279" t="s">
        <v>100</v>
      </c>
      <c r="Q5279">
        <v>0</v>
      </c>
      <c r="R5279" t="s">
        <v>145</v>
      </c>
      <c r="S5279">
        <v>0</v>
      </c>
    </row>
    <row r="5280" spans="1:19">
      <c r="A5280" t="s">
        <v>35</v>
      </c>
      <c r="B5280" t="s">
        <v>1615</v>
      </c>
      <c r="C5280">
        <f>"JWZ1033XL"</f>
        <v>0</v>
      </c>
      <c r="D5280">
        <v>0</v>
      </c>
      <c r="E5280">
        <v>0</v>
      </c>
      <c r="F5280">
        <v>1</v>
      </c>
      <c r="G5280">
        <v>1</v>
      </c>
      <c r="H5280">
        <v>2</v>
      </c>
      <c r="I5280">
        <v>0.5</v>
      </c>
      <c r="J5280">
        <v>37</v>
      </c>
      <c r="K5280">
        <v>48.285</v>
      </c>
      <c r="L5280" s="2">
        <v>1</v>
      </c>
      <c r="M5280">
        <v>0</v>
      </c>
      <c r="N5280" s="2">
        <v>0</v>
      </c>
      <c r="O5280">
        <v>-41.9</v>
      </c>
      <c r="P5280" t="s">
        <v>11091</v>
      </c>
      <c r="Q5280">
        <v>130</v>
      </c>
      <c r="R5280" t="s">
        <v>11200</v>
      </c>
      <c r="S5280">
        <v>0</v>
      </c>
    </row>
    <row r="5281" spans="1:19">
      <c r="A5281" t="s">
        <v>35</v>
      </c>
      <c r="B5281" t="s">
        <v>2912</v>
      </c>
      <c r="C5281">
        <f>"ER134"</f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35</v>
      </c>
      <c r="K5281">
        <v>151.2</v>
      </c>
      <c r="L5281" s="2">
        <v>4</v>
      </c>
      <c r="M5281">
        <v>0</v>
      </c>
      <c r="N5281" s="2">
        <v>0</v>
      </c>
      <c r="O5281">
        <v>-42</v>
      </c>
      <c r="P5281" t="s">
        <v>100</v>
      </c>
      <c r="Q5281">
        <v>0</v>
      </c>
      <c r="R5281" t="s">
        <v>145</v>
      </c>
      <c r="S5281">
        <v>0</v>
      </c>
    </row>
    <row r="5282" spans="1:19">
      <c r="A5282" t="s">
        <v>35</v>
      </c>
      <c r="B5282" t="s">
        <v>9562</v>
      </c>
      <c r="C5282">
        <f>"DM40060XL"</f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35</v>
      </c>
      <c r="K5282">
        <v>19.98</v>
      </c>
      <c r="L5282" s="2">
        <v>1</v>
      </c>
      <c r="M5282">
        <v>0</v>
      </c>
      <c r="N5282" s="2">
        <v>0</v>
      </c>
      <c r="O5282">
        <v>-42</v>
      </c>
      <c r="P5282" t="s">
        <v>100</v>
      </c>
      <c r="Q5282">
        <v>0</v>
      </c>
      <c r="R5282" t="s">
        <v>145</v>
      </c>
      <c r="S5282">
        <v>0</v>
      </c>
    </row>
    <row r="5283" spans="1:19">
      <c r="A5283" t="s">
        <v>35</v>
      </c>
      <c r="B5283" t="s">
        <v>2554</v>
      </c>
      <c r="C5283">
        <f>"JWZ1025XL"</f>
        <v>0</v>
      </c>
      <c r="D5283">
        <v>0</v>
      </c>
      <c r="E5283">
        <v>1</v>
      </c>
      <c r="F5283">
        <v>0</v>
      </c>
      <c r="G5283">
        <v>0</v>
      </c>
      <c r="H5283">
        <v>1</v>
      </c>
      <c r="I5283">
        <v>0</v>
      </c>
      <c r="J5283">
        <v>35</v>
      </c>
      <c r="K5283">
        <v>45.675</v>
      </c>
      <c r="L5283" s="2">
        <v>1</v>
      </c>
      <c r="M5283">
        <v>0</v>
      </c>
      <c r="N5283" s="2">
        <v>0</v>
      </c>
      <c r="O5283">
        <v>-42</v>
      </c>
      <c r="P5283" t="s">
        <v>100</v>
      </c>
      <c r="Q5283">
        <v>0</v>
      </c>
      <c r="R5283" t="s">
        <v>145</v>
      </c>
      <c r="S5283">
        <v>0</v>
      </c>
    </row>
    <row r="5284" spans="1:19">
      <c r="A5284" t="s">
        <v>35</v>
      </c>
      <c r="B5284" t="s">
        <v>7116</v>
      </c>
      <c r="C5284">
        <f>"XQ31XL"</f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35</v>
      </c>
      <c r="K5284">
        <v>62.685</v>
      </c>
      <c r="L5284" s="2">
        <v>2</v>
      </c>
      <c r="M5284">
        <v>0</v>
      </c>
      <c r="N5284" s="2">
        <v>0</v>
      </c>
      <c r="O5284">
        <v>-42</v>
      </c>
      <c r="P5284" t="s">
        <v>100</v>
      </c>
      <c r="Q5284">
        <v>0</v>
      </c>
      <c r="R5284" t="s">
        <v>145</v>
      </c>
      <c r="S5284">
        <v>0</v>
      </c>
    </row>
    <row r="5285" spans="1:19">
      <c r="A5285" t="s">
        <v>35</v>
      </c>
      <c r="B5285" t="s">
        <v>7972</v>
      </c>
      <c r="C5285">
        <f>"JW50542"</f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35</v>
      </c>
      <c r="K5285">
        <v>35.469</v>
      </c>
      <c r="L5285" s="2">
        <v>1</v>
      </c>
      <c r="M5285">
        <v>0</v>
      </c>
      <c r="N5285" s="2">
        <v>0</v>
      </c>
      <c r="O5285">
        <v>-42</v>
      </c>
      <c r="P5285" t="s">
        <v>100</v>
      </c>
      <c r="Q5285">
        <v>0</v>
      </c>
      <c r="R5285" t="s">
        <v>145</v>
      </c>
      <c r="S5285">
        <v>0</v>
      </c>
    </row>
    <row r="5286" spans="1:19">
      <c r="A5286" t="s">
        <v>35</v>
      </c>
      <c r="B5286" t="s">
        <v>1955</v>
      </c>
      <c r="C5286">
        <f>"8407"</f>
        <v>0</v>
      </c>
      <c r="D5286">
        <v>0</v>
      </c>
      <c r="E5286">
        <v>2</v>
      </c>
      <c r="F5286">
        <v>3</v>
      </c>
      <c r="G5286">
        <v>6</v>
      </c>
      <c r="H5286">
        <v>11</v>
      </c>
      <c r="I5286">
        <v>2.5</v>
      </c>
      <c r="J5286">
        <v>51</v>
      </c>
      <c r="K5286">
        <v>447.525</v>
      </c>
      <c r="L5286" s="2">
        <v>9</v>
      </c>
      <c r="M5286">
        <v>0</v>
      </c>
      <c r="N5286" s="2">
        <v>0</v>
      </c>
      <c r="O5286">
        <v>-43.7</v>
      </c>
      <c r="P5286" t="s">
        <v>10245</v>
      </c>
      <c r="Q5286">
        <v>-27.44</v>
      </c>
      <c r="R5286" t="s">
        <v>11216</v>
      </c>
      <c r="S5286">
        <v>1</v>
      </c>
    </row>
    <row r="5287" spans="1:19">
      <c r="A5287" t="s">
        <v>35</v>
      </c>
      <c r="B5287" t="s">
        <v>6470</v>
      </c>
      <c r="C5287">
        <f>"JWZ1001S"</f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37</v>
      </c>
      <c r="K5287">
        <v>22.977</v>
      </c>
      <c r="L5287" s="2">
        <v>1</v>
      </c>
      <c r="M5287">
        <v>0</v>
      </c>
      <c r="N5287" s="2">
        <v>0</v>
      </c>
      <c r="O5287">
        <v>-44.4</v>
      </c>
      <c r="P5287" t="s">
        <v>100</v>
      </c>
      <c r="Q5287">
        <v>0</v>
      </c>
      <c r="R5287" t="s">
        <v>145</v>
      </c>
      <c r="S5287">
        <v>0</v>
      </c>
    </row>
    <row r="5288" spans="1:19">
      <c r="A5288" t="s">
        <v>35</v>
      </c>
      <c r="B5288" t="s">
        <v>9107</v>
      </c>
      <c r="C5288">
        <f>"WPS200"</f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38</v>
      </c>
      <c r="K5288">
        <v>32.49</v>
      </c>
      <c r="L5288" s="2">
        <v>1</v>
      </c>
      <c r="M5288">
        <v>0</v>
      </c>
      <c r="N5288" s="2">
        <v>0</v>
      </c>
      <c r="O5288">
        <v>-45.6</v>
      </c>
      <c r="P5288" t="s">
        <v>100</v>
      </c>
      <c r="Q5288">
        <v>0</v>
      </c>
      <c r="R5288" t="s">
        <v>145</v>
      </c>
      <c r="S5288">
        <v>0</v>
      </c>
    </row>
    <row r="5289" spans="1:19">
      <c r="A5289" t="s">
        <v>35</v>
      </c>
      <c r="B5289" t="s">
        <v>1879</v>
      </c>
      <c r="C5289">
        <f>"KG1257"</f>
        <v>0</v>
      </c>
      <c r="D5289">
        <v>0</v>
      </c>
      <c r="E5289">
        <v>0</v>
      </c>
      <c r="F5289">
        <v>0</v>
      </c>
      <c r="G5289">
        <v>3</v>
      </c>
      <c r="H5289">
        <v>3</v>
      </c>
      <c r="I5289">
        <v>0</v>
      </c>
      <c r="J5289">
        <v>46</v>
      </c>
      <c r="K5289">
        <v>72.45</v>
      </c>
      <c r="L5289" s="2">
        <v>2</v>
      </c>
      <c r="M5289">
        <v>0</v>
      </c>
      <c r="N5289" s="2">
        <v>0</v>
      </c>
      <c r="O5289">
        <v>-46.2</v>
      </c>
      <c r="P5289" t="s">
        <v>11092</v>
      </c>
      <c r="Q5289">
        <v>12.897</v>
      </c>
      <c r="R5289" t="s">
        <v>11217</v>
      </c>
      <c r="S5289">
        <v>1</v>
      </c>
    </row>
    <row r="5290" spans="1:19">
      <c r="A5290" t="s">
        <v>35</v>
      </c>
      <c r="B5290" t="s">
        <v>2883</v>
      </c>
      <c r="C5290">
        <f>"KL12"</f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39</v>
      </c>
      <c r="K5290">
        <v>103.545</v>
      </c>
      <c r="L5290" s="2">
        <v>3</v>
      </c>
      <c r="M5290">
        <v>0</v>
      </c>
      <c r="N5290" s="2">
        <v>0</v>
      </c>
      <c r="O5290">
        <v>-46.8</v>
      </c>
      <c r="P5290" t="s">
        <v>100</v>
      </c>
      <c r="Q5290">
        <v>0</v>
      </c>
      <c r="R5290" t="s">
        <v>145</v>
      </c>
      <c r="S5290">
        <v>0</v>
      </c>
    </row>
    <row r="5291" spans="1:19">
      <c r="A5291" t="s">
        <v>35</v>
      </c>
      <c r="B5291" t="s">
        <v>6560</v>
      </c>
      <c r="C5291">
        <f>"JWZ2540"</f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39</v>
      </c>
      <c r="K5291">
        <v>53.352</v>
      </c>
      <c r="L5291" s="2">
        <v>1</v>
      </c>
      <c r="M5291">
        <v>0</v>
      </c>
      <c r="N5291" s="2">
        <v>0</v>
      </c>
      <c r="O5291">
        <v>-46.8</v>
      </c>
      <c r="P5291" t="s">
        <v>100</v>
      </c>
      <c r="Q5291">
        <v>0</v>
      </c>
      <c r="R5291" t="s">
        <v>145</v>
      </c>
      <c r="S5291">
        <v>0</v>
      </c>
    </row>
    <row r="5292" spans="1:19">
      <c r="A5292" t="s">
        <v>35</v>
      </c>
      <c r="B5292" t="s">
        <v>2605</v>
      </c>
      <c r="C5292">
        <f>"C407"</f>
        <v>0</v>
      </c>
      <c r="D5292">
        <v>1</v>
      </c>
      <c r="E5292">
        <v>0</v>
      </c>
      <c r="F5292">
        <v>0</v>
      </c>
      <c r="G5292">
        <v>0</v>
      </c>
      <c r="H5292">
        <v>1</v>
      </c>
      <c r="I5292">
        <v>0</v>
      </c>
      <c r="J5292">
        <v>39</v>
      </c>
      <c r="K5292">
        <v>167.632</v>
      </c>
      <c r="L5292" s="2">
        <v>4</v>
      </c>
      <c r="M5292">
        <v>0</v>
      </c>
      <c r="N5292" s="2">
        <v>0</v>
      </c>
      <c r="O5292">
        <v>-46.8</v>
      </c>
      <c r="P5292" t="s">
        <v>100</v>
      </c>
      <c r="Q5292">
        <v>0</v>
      </c>
      <c r="R5292" t="s">
        <v>145</v>
      </c>
      <c r="S5292">
        <v>0</v>
      </c>
    </row>
    <row r="5293" spans="1:19">
      <c r="A5293" t="s">
        <v>35</v>
      </c>
      <c r="B5293" t="s">
        <v>2556</v>
      </c>
      <c r="C5293">
        <f>"970305"</f>
        <v>0</v>
      </c>
      <c r="D5293">
        <v>1</v>
      </c>
      <c r="E5293">
        <v>0</v>
      </c>
      <c r="F5293">
        <v>0</v>
      </c>
      <c r="G5293">
        <v>0</v>
      </c>
      <c r="H5293">
        <v>1</v>
      </c>
      <c r="I5293">
        <v>0</v>
      </c>
      <c r="J5293">
        <v>39</v>
      </c>
      <c r="K5293">
        <v>90.90900000000001</v>
      </c>
      <c r="L5293" s="2">
        <v>2</v>
      </c>
      <c r="M5293">
        <v>0</v>
      </c>
      <c r="N5293" s="2">
        <v>0</v>
      </c>
      <c r="O5293">
        <v>-46.8</v>
      </c>
      <c r="P5293" t="s">
        <v>100</v>
      </c>
      <c r="Q5293">
        <v>0</v>
      </c>
      <c r="R5293" t="s">
        <v>145</v>
      </c>
      <c r="S5293">
        <v>0</v>
      </c>
    </row>
    <row r="5294" spans="1:19">
      <c r="A5294" t="s">
        <v>35</v>
      </c>
      <c r="B5294" t="s">
        <v>8503</v>
      </c>
      <c r="C5294">
        <f>"KHSG0064"</f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41</v>
      </c>
      <c r="K5294">
        <v>34.659</v>
      </c>
      <c r="L5294" s="2">
        <v>1</v>
      </c>
      <c r="M5294">
        <v>0</v>
      </c>
      <c r="N5294" s="2">
        <v>0</v>
      </c>
      <c r="O5294">
        <v>-49.2</v>
      </c>
      <c r="P5294" t="s">
        <v>100</v>
      </c>
      <c r="Q5294">
        <v>0</v>
      </c>
      <c r="R5294" t="s">
        <v>145</v>
      </c>
      <c r="S5294">
        <v>0</v>
      </c>
    </row>
    <row r="5295" spans="1:19">
      <c r="A5295" t="s">
        <v>35</v>
      </c>
      <c r="B5295" t="s">
        <v>2428</v>
      </c>
      <c r="C5295">
        <f>"KE3206PD"</f>
        <v>0</v>
      </c>
      <c r="D5295">
        <v>0</v>
      </c>
      <c r="E5295">
        <v>0</v>
      </c>
      <c r="F5295">
        <v>1</v>
      </c>
      <c r="G5295">
        <v>0</v>
      </c>
      <c r="H5295">
        <v>1</v>
      </c>
      <c r="I5295">
        <v>0</v>
      </c>
      <c r="J5295">
        <v>41</v>
      </c>
      <c r="K5295">
        <v>90.405</v>
      </c>
      <c r="L5295" s="2">
        <v>2</v>
      </c>
      <c r="M5295">
        <v>0</v>
      </c>
      <c r="N5295" s="2">
        <v>0</v>
      </c>
      <c r="O5295">
        <v>-49.2</v>
      </c>
      <c r="P5295" t="s">
        <v>100</v>
      </c>
      <c r="Q5295">
        <v>0</v>
      </c>
      <c r="R5295" t="s">
        <v>145</v>
      </c>
      <c r="S5295">
        <v>0</v>
      </c>
    </row>
    <row r="5296" spans="1:19">
      <c r="A5296" t="s">
        <v>35</v>
      </c>
      <c r="B5296" t="s">
        <v>2263</v>
      </c>
      <c r="C5296">
        <f>"JWZ1017XL"</f>
        <v>0</v>
      </c>
      <c r="D5296">
        <v>0</v>
      </c>
      <c r="E5296">
        <v>1</v>
      </c>
      <c r="F5296">
        <v>1</v>
      </c>
      <c r="G5296">
        <v>0</v>
      </c>
      <c r="H5296">
        <v>2</v>
      </c>
      <c r="I5296">
        <v>0.5</v>
      </c>
      <c r="J5296">
        <v>42</v>
      </c>
      <c r="K5296">
        <v>54.81</v>
      </c>
      <c r="L5296" s="2">
        <v>1</v>
      </c>
      <c r="M5296">
        <v>0</v>
      </c>
      <c r="N5296" s="2">
        <v>0</v>
      </c>
      <c r="O5296">
        <v>-49.9</v>
      </c>
      <c r="P5296" t="s">
        <v>100</v>
      </c>
      <c r="Q5296">
        <v>0</v>
      </c>
      <c r="R5296" t="s">
        <v>145</v>
      </c>
      <c r="S5296">
        <v>0</v>
      </c>
    </row>
    <row r="5297" spans="1:19">
      <c r="A5297" t="s">
        <v>35</v>
      </c>
      <c r="B5297" t="s">
        <v>6959</v>
      </c>
      <c r="C5297">
        <f>"WP239"</f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42</v>
      </c>
      <c r="K5297">
        <v>164.43</v>
      </c>
      <c r="L5297" s="2">
        <v>4</v>
      </c>
      <c r="M5297">
        <v>0</v>
      </c>
      <c r="N5297" s="2">
        <v>0</v>
      </c>
      <c r="O5297">
        <v>-50.4</v>
      </c>
      <c r="P5297" t="s">
        <v>100</v>
      </c>
      <c r="Q5297">
        <v>0</v>
      </c>
      <c r="R5297" t="s">
        <v>145</v>
      </c>
      <c r="S5297">
        <v>0</v>
      </c>
    </row>
    <row r="5298" spans="1:19">
      <c r="A5298" t="s">
        <v>35</v>
      </c>
      <c r="B5298" t="s">
        <v>1984</v>
      </c>
      <c r="C5298">
        <f>"DT641LG"</f>
        <v>0</v>
      </c>
      <c r="D5298">
        <v>2</v>
      </c>
      <c r="E5298">
        <v>1</v>
      </c>
      <c r="F5298">
        <v>1</v>
      </c>
      <c r="G5298">
        <v>0</v>
      </c>
      <c r="H5298">
        <v>4</v>
      </c>
      <c r="I5298">
        <v>1</v>
      </c>
      <c r="J5298">
        <v>43</v>
      </c>
      <c r="K5298">
        <v>126.85</v>
      </c>
      <c r="L5298" s="2">
        <v>3</v>
      </c>
      <c r="M5298">
        <v>0</v>
      </c>
      <c r="N5298" s="2">
        <v>0</v>
      </c>
      <c r="O5298">
        <v>-50.6</v>
      </c>
      <c r="P5298" t="s">
        <v>100</v>
      </c>
      <c r="Q5298">
        <v>0</v>
      </c>
      <c r="R5298" t="s">
        <v>145</v>
      </c>
      <c r="S5298">
        <v>0</v>
      </c>
    </row>
    <row r="5299" spans="1:19">
      <c r="A5299" t="s">
        <v>35</v>
      </c>
      <c r="B5299" t="s">
        <v>2109</v>
      </c>
      <c r="C5299">
        <f>"KE3204P"</f>
        <v>0</v>
      </c>
      <c r="D5299">
        <v>0</v>
      </c>
      <c r="E5299">
        <v>2</v>
      </c>
      <c r="F5299">
        <v>1</v>
      </c>
      <c r="G5299">
        <v>0</v>
      </c>
      <c r="H5299">
        <v>3</v>
      </c>
      <c r="I5299">
        <v>0.5</v>
      </c>
      <c r="J5299">
        <v>44</v>
      </c>
      <c r="K5299">
        <v>80.38800000000001</v>
      </c>
      <c r="L5299" s="2">
        <v>2</v>
      </c>
      <c r="M5299">
        <v>0</v>
      </c>
      <c r="N5299" s="2">
        <v>0</v>
      </c>
      <c r="O5299">
        <v>-52.3</v>
      </c>
      <c r="P5299" t="s">
        <v>100</v>
      </c>
      <c r="Q5299">
        <v>0</v>
      </c>
      <c r="R5299" t="s">
        <v>145</v>
      </c>
      <c r="S5299">
        <v>0</v>
      </c>
    </row>
    <row r="5300" spans="1:19">
      <c r="A5300" t="s">
        <v>35</v>
      </c>
      <c r="B5300" t="s">
        <v>2519</v>
      </c>
      <c r="C5300">
        <f>"WD1109"</f>
        <v>0</v>
      </c>
      <c r="D5300">
        <v>0</v>
      </c>
      <c r="E5300">
        <v>1</v>
      </c>
      <c r="F5300">
        <v>0</v>
      </c>
      <c r="G5300">
        <v>0</v>
      </c>
      <c r="H5300">
        <v>1</v>
      </c>
      <c r="I5300">
        <v>0</v>
      </c>
      <c r="J5300">
        <v>44</v>
      </c>
      <c r="K5300">
        <v>87.12</v>
      </c>
      <c r="L5300" s="2">
        <v>2</v>
      </c>
      <c r="M5300">
        <v>0</v>
      </c>
      <c r="N5300" s="2">
        <v>0</v>
      </c>
      <c r="O5300">
        <v>-52.8</v>
      </c>
      <c r="P5300" t="s">
        <v>100</v>
      </c>
      <c r="Q5300">
        <v>0</v>
      </c>
      <c r="R5300" t="s">
        <v>145</v>
      </c>
      <c r="S5300">
        <v>0</v>
      </c>
    </row>
    <row r="5301" spans="1:19">
      <c r="A5301" t="s">
        <v>35</v>
      </c>
      <c r="B5301" t="s">
        <v>2226</v>
      </c>
      <c r="C5301">
        <f>"9401B"</f>
        <v>0</v>
      </c>
      <c r="D5301">
        <v>1</v>
      </c>
      <c r="E5301">
        <v>1</v>
      </c>
      <c r="F5301">
        <v>0</v>
      </c>
      <c r="G5301">
        <v>0</v>
      </c>
      <c r="H5301">
        <v>2</v>
      </c>
      <c r="I5301">
        <v>0.5</v>
      </c>
      <c r="J5301">
        <v>46</v>
      </c>
      <c r="K5301">
        <v>64.17</v>
      </c>
      <c r="L5301" s="2">
        <v>1</v>
      </c>
      <c r="M5301">
        <v>0</v>
      </c>
      <c r="N5301" s="2">
        <v>0</v>
      </c>
      <c r="O5301">
        <v>-54.7</v>
      </c>
      <c r="P5301" t="s">
        <v>100</v>
      </c>
      <c r="Q5301">
        <v>0</v>
      </c>
      <c r="R5301" t="s">
        <v>145</v>
      </c>
      <c r="S5301">
        <v>0</v>
      </c>
    </row>
    <row r="5302" spans="1:19">
      <c r="A5302" t="s">
        <v>35</v>
      </c>
      <c r="B5302" t="s">
        <v>1954</v>
      </c>
      <c r="C5302">
        <f>"KE3205P"</f>
        <v>0</v>
      </c>
      <c r="D5302">
        <v>0</v>
      </c>
      <c r="E5302">
        <v>0</v>
      </c>
      <c r="F5302">
        <v>2</v>
      </c>
      <c r="G5302">
        <v>1</v>
      </c>
      <c r="H5302">
        <v>3</v>
      </c>
      <c r="I5302">
        <v>0.5</v>
      </c>
      <c r="J5302">
        <v>48</v>
      </c>
      <c r="K5302">
        <v>112.32</v>
      </c>
      <c r="L5302" s="2">
        <v>2</v>
      </c>
      <c r="M5302">
        <v>0</v>
      </c>
      <c r="N5302" s="2">
        <v>0</v>
      </c>
      <c r="O5302">
        <v>-55.09999999999999</v>
      </c>
      <c r="P5302" t="s">
        <v>10998</v>
      </c>
      <c r="Q5302">
        <v>5</v>
      </c>
      <c r="R5302" t="s">
        <v>11218</v>
      </c>
      <c r="S5302">
        <v>0</v>
      </c>
    </row>
    <row r="5303" spans="1:19">
      <c r="A5303" t="s">
        <v>35</v>
      </c>
      <c r="B5303" t="s">
        <v>9791</v>
      </c>
      <c r="C5303">
        <f>"DT641LR"</f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47</v>
      </c>
      <c r="K5303">
        <v>138.65</v>
      </c>
      <c r="L5303" s="2">
        <v>3</v>
      </c>
      <c r="M5303">
        <v>0</v>
      </c>
      <c r="N5303" s="2">
        <v>0</v>
      </c>
      <c r="O5303">
        <v>-56.4</v>
      </c>
      <c r="P5303" t="s">
        <v>100</v>
      </c>
      <c r="Q5303">
        <v>0</v>
      </c>
      <c r="R5303" t="s">
        <v>145</v>
      </c>
      <c r="S5303">
        <v>0</v>
      </c>
    </row>
    <row r="5304" spans="1:19">
      <c r="A5304" t="s">
        <v>35</v>
      </c>
      <c r="B5304" t="s">
        <v>1861</v>
      </c>
      <c r="C5304">
        <f>"KE3206P"</f>
        <v>0</v>
      </c>
      <c r="D5304">
        <v>0</v>
      </c>
      <c r="E5304">
        <v>7</v>
      </c>
      <c r="F5304">
        <v>0</v>
      </c>
      <c r="G5304">
        <v>0</v>
      </c>
      <c r="H5304">
        <v>7</v>
      </c>
      <c r="I5304">
        <v>0</v>
      </c>
      <c r="J5304">
        <v>47</v>
      </c>
      <c r="K5304">
        <v>99.405</v>
      </c>
      <c r="L5304" s="2">
        <v>2</v>
      </c>
      <c r="M5304">
        <v>0</v>
      </c>
      <c r="N5304" s="2">
        <v>0</v>
      </c>
      <c r="O5304">
        <v>-56.4</v>
      </c>
      <c r="P5304" t="s">
        <v>100</v>
      </c>
      <c r="Q5304">
        <v>0</v>
      </c>
      <c r="R5304" t="s">
        <v>145</v>
      </c>
      <c r="S5304">
        <v>0</v>
      </c>
    </row>
    <row r="5305" spans="1:19">
      <c r="A5305" t="s">
        <v>35</v>
      </c>
      <c r="B5305" t="s">
        <v>4023</v>
      </c>
      <c r="C5305">
        <f>"PARCHE"</f>
        <v>0</v>
      </c>
      <c r="D5305">
        <v>0</v>
      </c>
      <c r="E5305">
        <v>0</v>
      </c>
      <c r="F5305">
        <v>0</v>
      </c>
      <c r="G5305">
        <v>0</v>
      </c>
      <c r="H5305">
        <v>0</v>
      </c>
      <c r="I5305">
        <v>0</v>
      </c>
      <c r="J5305">
        <v>48</v>
      </c>
      <c r="K5305">
        <v>96</v>
      </c>
      <c r="L5305" s="2">
        <v>2</v>
      </c>
      <c r="M5305">
        <v>0</v>
      </c>
      <c r="N5305" s="2">
        <v>0</v>
      </c>
      <c r="O5305">
        <v>-57.59999999999999</v>
      </c>
      <c r="P5305" t="s">
        <v>100</v>
      </c>
      <c r="Q5305">
        <v>0</v>
      </c>
      <c r="R5305" t="s">
        <v>145</v>
      </c>
      <c r="S5305">
        <v>0</v>
      </c>
    </row>
    <row r="5306" spans="1:19">
      <c r="A5306" t="s">
        <v>35</v>
      </c>
      <c r="B5306" t="s">
        <v>6642</v>
      </c>
      <c r="C5306">
        <f>"JWZ1007XL"</f>
        <v>0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49</v>
      </c>
      <c r="K5306">
        <v>63.945</v>
      </c>
      <c r="L5306" s="2">
        <v>1</v>
      </c>
      <c r="M5306">
        <v>0</v>
      </c>
      <c r="N5306" s="2">
        <v>0</v>
      </c>
      <c r="O5306">
        <v>-58.8</v>
      </c>
      <c r="P5306" t="s">
        <v>100</v>
      </c>
      <c r="Q5306">
        <v>0</v>
      </c>
      <c r="R5306" t="s">
        <v>145</v>
      </c>
      <c r="S5306">
        <v>0</v>
      </c>
    </row>
    <row r="5307" spans="1:19">
      <c r="A5307" t="s">
        <v>35</v>
      </c>
      <c r="B5307" t="s">
        <v>2397</v>
      </c>
      <c r="C5307">
        <f>"DT641MG"</f>
        <v>0</v>
      </c>
      <c r="D5307">
        <v>1</v>
      </c>
      <c r="E5307">
        <v>0</v>
      </c>
      <c r="F5307">
        <v>0</v>
      </c>
      <c r="G5307">
        <v>0</v>
      </c>
      <c r="H5307">
        <v>1</v>
      </c>
      <c r="I5307">
        <v>0</v>
      </c>
      <c r="J5307">
        <v>50</v>
      </c>
      <c r="K5307">
        <v>147.5</v>
      </c>
      <c r="L5307" s="2">
        <v>3</v>
      </c>
      <c r="M5307">
        <v>0</v>
      </c>
      <c r="N5307" s="2">
        <v>0</v>
      </c>
      <c r="O5307">
        <v>-60</v>
      </c>
      <c r="P5307" t="s">
        <v>100</v>
      </c>
      <c r="Q5307">
        <v>0</v>
      </c>
      <c r="R5307" t="s">
        <v>145</v>
      </c>
      <c r="S5307">
        <v>0</v>
      </c>
    </row>
    <row r="5308" spans="1:19">
      <c r="A5308" t="s">
        <v>35</v>
      </c>
      <c r="B5308" t="s">
        <v>2436</v>
      </c>
      <c r="C5308">
        <f>"DT641MA"</f>
        <v>0</v>
      </c>
      <c r="D5308">
        <v>0</v>
      </c>
      <c r="E5308">
        <v>1</v>
      </c>
      <c r="F5308">
        <v>0</v>
      </c>
      <c r="G5308">
        <v>0</v>
      </c>
      <c r="H5308">
        <v>1</v>
      </c>
      <c r="I5308">
        <v>0</v>
      </c>
      <c r="J5308">
        <v>52</v>
      </c>
      <c r="K5308">
        <v>153.4</v>
      </c>
      <c r="L5308" s="2">
        <v>3</v>
      </c>
      <c r="M5308">
        <v>0</v>
      </c>
      <c r="N5308" s="2">
        <v>0</v>
      </c>
      <c r="O5308">
        <v>-62.4</v>
      </c>
      <c r="P5308" t="s">
        <v>100</v>
      </c>
      <c r="Q5308">
        <v>0</v>
      </c>
      <c r="R5308" t="s">
        <v>145</v>
      </c>
      <c r="S5308">
        <v>0</v>
      </c>
    </row>
    <row r="5309" spans="1:19">
      <c r="A5309" t="s">
        <v>35</v>
      </c>
      <c r="B5309" t="s">
        <v>1604</v>
      </c>
      <c r="C5309">
        <f>"KL06"</f>
        <v>0</v>
      </c>
      <c r="D5309">
        <v>2</v>
      </c>
      <c r="E5309">
        <v>0</v>
      </c>
      <c r="F5309">
        <v>3</v>
      </c>
      <c r="G5309">
        <v>1</v>
      </c>
      <c r="H5309">
        <v>6</v>
      </c>
      <c r="I5309">
        <v>1.5</v>
      </c>
      <c r="J5309">
        <v>55</v>
      </c>
      <c r="K5309">
        <v>72.56699999999999</v>
      </c>
      <c r="L5309" s="2">
        <v>1</v>
      </c>
      <c r="M5309">
        <v>0</v>
      </c>
      <c r="N5309" s="2">
        <v>0</v>
      </c>
      <c r="O5309">
        <v>-62.5</v>
      </c>
      <c r="P5309" t="s">
        <v>11093</v>
      </c>
      <c r="Q5309">
        <v>129</v>
      </c>
      <c r="R5309" t="s">
        <v>11219</v>
      </c>
      <c r="S5309">
        <v>0</v>
      </c>
    </row>
    <row r="5310" spans="1:19">
      <c r="A5310" t="s">
        <v>35</v>
      </c>
      <c r="B5310" t="s">
        <v>2210</v>
      </c>
      <c r="C5310">
        <f>"ke4806"</f>
        <v>0</v>
      </c>
      <c r="D5310">
        <v>1</v>
      </c>
      <c r="E5310">
        <v>1</v>
      </c>
      <c r="F5310">
        <v>0</v>
      </c>
      <c r="G5310">
        <v>0</v>
      </c>
      <c r="H5310">
        <v>2</v>
      </c>
      <c r="I5310">
        <v>0.5</v>
      </c>
      <c r="J5310">
        <v>54</v>
      </c>
      <c r="K5310">
        <v>118.53</v>
      </c>
      <c r="L5310" s="2">
        <v>2</v>
      </c>
      <c r="M5310">
        <v>0</v>
      </c>
      <c r="N5310" s="2">
        <v>0</v>
      </c>
      <c r="O5310">
        <v>-64.3</v>
      </c>
      <c r="P5310" t="s">
        <v>100</v>
      </c>
      <c r="Q5310">
        <v>0</v>
      </c>
      <c r="R5310" t="s">
        <v>145</v>
      </c>
      <c r="S5310">
        <v>0</v>
      </c>
    </row>
    <row r="5311" spans="1:19">
      <c r="A5311" t="s">
        <v>35</v>
      </c>
      <c r="B5311" t="s">
        <v>6639</v>
      </c>
      <c r="C5311">
        <f>"JWZ1012XL"</f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55</v>
      </c>
      <c r="K5311">
        <v>71.77500000000001</v>
      </c>
      <c r="L5311" s="2">
        <v>1</v>
      </c>
      <c r="M5311">
        <v>0</v>
      </c>
      <c r="N5311" s="2">
        <v>0</v>
      </c>
      <c r="O5311">
        <v>-66</v>
      </c>
      <c r="P5311" t="s">
        <v>100</v>
      </c>
      <c r="Q5311">
        <v>0</v>
      </c>
      <c r="R5311" t="s">
        <v>145</v>
      </c>
      <c r="S5311">
        <v>0</v>
      </c>
    </row>
    <row r="5312" spans="1:19">
      <c r="A5312" t="s">
        <v>35</v>
      </c>
      <c r="B5312" t="s">
        <v>6641</v>
      </c>
      <c r="C5312">
        <f>"JWZ1016XL"</f>
        <v>0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56</v>
      </c>
      <c r="K5312">
        <v>73.08</v>
      </c>
      <c r="L5312" s="2">
        <v>1</v>
      </c>
      <c r="M5312">
        <v>0</v>
      </c>
      <c r="N5312" s="2">
        <v>0</v>
      </c>
      <c r="O5312">
        <v>-67.2</v>
      </c>
      <c r="P5312" t="s">
        <v>100</v>
      </c>
      <c r="Q5312">
        <v>0</v>
      </c>
      <c r="R5312" t="s">
        <v>145</v>
      </c>
      <c r="S5312">
        <v>0</v>
      </c>
    </row>
    <row r="5313" spans="1:19">
      <c r="A5313" t="s">
        <v>35</v>
      </c>
      <c r="B5313" t="s">
        <v>2390</v>
      </c>
      <c r="C5313">
        <f>"DT641SG"</f>
        <v>0</v>
      </c>
      <c r="D5313">
        <v>1</v>
      </c>
      <c r="E5313">
        <v>0</v>
      </c>
      <c r="F5313">
        <v>0</v>
      </c>
      <c r="G5313">
        <v>0</v>
      </c>
      <c r="H5313">
        <v>1</v>
      </c>
      <c r="I5313">
        <v>0</v>
      </c>
      <c r="J5313">
        <v>57</v>
      </c>
      <c r="K5313">
        <v>168.15</v>
      </c>
      <c r="L5313" s="2">
        <v>3</v>
      </c>
      <c r="M5313">
        <v>0</v>
      </c>
      <c r="N5313" s="2">
        <v>0</v>
      </c>
      <c r="O5313">
        <v>-68.39999999999999</v>
      </c>
      <c r="P5313" t="s">
        <v>100</v>
      </c>
      <c r="Q5313">
        <v>0</v>
      </c>
      <c r="R5313" t="s">
        <v>145</v>
      </c>
      <c r="S5313">
        <v>0</v>
      </c>
    </row>
    <row r="5314" spans="1:19">
      <c r="A5314" t="s">
        <v>35</v>
      </c>
      <c r="B5314" t="s">
        <v>382</v>
      </c>
      <c r="C5314">
        <f>"KE3207P"</f>
        <v>0</v>
      </c>
      <c r="D5314">
        <v>0</v>
      </c>
      <c r="E5314">
        <v>0</v>
      </c>
      <c r="F5314">
        <v>0</v>
      </c>
      <c r="G5314">
        <v>2</v>
      </c>
      <c r="H5314">
        <v>2</v>
      </c>
      <c r="I5314">
        <v>0</v>
      </c>
      <c r="J5314">
        <v>64</v>
      </c>
      <c r="K5314">
        <v>171.864</v>
      </c>
      <c r="L5314" s="2">
        <v>3</v>
      </c>
      <c r="M5314">
        <v>0</v>
      </c>
      <c r="N5314" s="2">
        <v>0</v>
      </c>
      <c r="O5314">
        <v>-69.8</v>
      </c>
      <c r="P5314" t="s">
        <v>11094</v>
      </c>
      <c r="Q5314">
        <v>484</v>
      </c>
      <c r="R5314" t="s">
        <v>10526</v>
      </c>
      <c r="S5314">
        <v>1</v>
      </c>
    </row>
    <row r="5315" spans="1:19">
      <c r="A5315" t="s">
        <v>35</v>
      </c>
      <c r="B5315" t="s">
        <v>269</v>
      </c>
      <c r="C5315">
        <f>"KL04"</f>
        <v>0</v>
      </c>
      <c r="D5315">
        <v>1</v>
      </c>
      <c r="E5315">
        <v>0</v>
      </c>
      <c r="F5315">
        <v>0</v>
      </c>
      <c r="G5315">
        <v>3</v>
      </c>
      <c r="H5315">
        <v>4</v>
      </c>
      <c r="I5315">
        <v>0.5</v>
      </c>
      <c r="J5315">
        <v>69</v>
      </c>
      <c r="K5315">
        <v>183.195</v>
      </c>
      <c r="L5315" s="2">
        <v>3</v>
      </c>
      <c r="M5315">
        <v>0</v>
      </c>
      <c r="N5315" s="2">
        <v>0</v>
      </c>
      <c r="O5315">
        <v>-73.3</v>
      </c>
      <c r="P5315" t="s">
        <v>10958</v>
      </c>
      <c r="Q5315">
        <v>831</v>
      </c>
      <c r="R5315" t="s">
        <v>11220</v>
      </c>
      <c r="S5315">
        <v>1</v>
      </c>
    </row>
    <row r="5316" spans="1:19">
      <c r="A5316" t="s">
        <v>35</v>
      </c>
      <c r="B5316" t="s">
        <v>1931</v>
      </c>
      <c r="C5316">
        <f>"ZJ15"</f>
        <v>0</v>
      </c>
      <c r="D5316">
        <v>0</v>
      </c>
      <c r="E5316">
        <v>3</v>
      </c>
      <c r="F5316">
        <v>2</v>
      </c>
      <c r="G5316">
        <v>0</v>
      </c>
      <c r="H5316">
        <v>5</v>
      </c>
      <c r="I5316">
        <v>1</v>
      </c>
      <c r="J5316">
        <v>66</v>
      </c>
      <c r="K5316">
        <v>40.986</v>
      </c>
      <c r="L5316" s="2">
        <v>1</v>
      </c>
      <c r="M5316">
        <v>0</v>
      </c>
      <c r="N5316" s="2">
        <v>0</v>
      </c>
      <c r="O5316">
        <v>-78.2</v>
      </c>
      <c r="P5316" t="s">
        <v>100</v>
      </c>
      <c r="Q5316">
        <v>0</v>
      </c>
      <c r="R5316" t="s">
        <v>145</v>
      </c>
      <c r="S5316">
        <v>0</v>
      </c>
    </row>
    <row r="5317" spans="1:19">
      <c r="A5317" t="s">
        <v>35</v>
      </c>
      <c r="B5317" t="s">
        <v>1655</v>
      </c>
      <c r="C5317">
        <f>"11537"</f>
        <v>0</v>
      </c>
      <c r="D5317">
        <v>8</v>
      </c>
      <c r="E5317">
        <v>17</v>
      </c>
      <c r="F5317">
        <v>0</v>
      </c>
      <c r="G5317">
        <v>0</v>
      </c>
      <c r="H5317">
        <v>25</v>
      </c>
      <c r="I5317">
        <v>4</v>
      </c>
      <c r="J5317">
        <v>71</v>
      </c>
      <c r="K5317">
        <v>49.523</v>
      </c>
      <c r="L5317" s="2">
        <v>1</v>
      </c>
      <c r="M5317">
        <v>0</v>
      </c>
      <c r="N5317" s="2">
        <v>0</v>
      </c>
      <c r="O5317">
        <v>-81.2</v>
      </c>
      <c r="P5317" t="s">
        <v>100</v>
      </c>
      <c r="Q5317">
        <v>0</v>
      </c>
      <c r="R5317" t="s">
        <v>145</v>
      </c>
      <c r="S5317">
        <v>0</v>
      </c>
    </row>
    <row r="5318" spans="1:19">
      <c r="A5318" t="s">
        <v>35</v>
      </c>
      <c r="B5318" t="s">
        <v>9792</v>
      </c>
      <c r="C5318">
        <f>"45656SA"</f>
        <v>0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68</v>
      </c>
      <c r="K5318">
        <v>84.66</v>
      </c>
      <c r="L5318" s="2">
        <v>1</v>
      </c>
      <c r="M5318">
        <v>0</v>
      </c>
      <c r="N5318" s="2">
        <v>0</v>
      </c>
      <c r="O5318">
        <v>-81.59999999999999</v>
      </c>
      <c r="P5318" t="s">
        <v>100</v>
      </c>
      <c r="Q5318">
        <v>0</v>
      </c>
      <c r="R5318" t="s">
        <v>145</v>
      </c>
      <c r="S5318">
        <v>0</v>
      </c>
    </row>
    <row r="5319" spans="1:19">
      <c r="A5319" t="s">
        <v>35</v>
      </c>
      <c r="B5319" t="s">
        <v>2512</v>
      </c>
      <c r="C5319">
        <f>"KL07"</f>
        <v>0</v>
      </c>
      <c r="D5319">
        <v>1</v>
      </c>
      <c r="E5319">
        <v>0</v>
      </c>
      <c r="F5319">
        <v>0</v>
      </c>
      <c r="G5319">
        <v>0</v>
      </c>
      <c r="H5319">
        <v>1</v>
      </c>
      <c r="I5319">
        <v>0</v>
      </c>
      <c r="J5319">
        <v>69</v>
      </c>
      <c r="K5319">
        <v>112.941</v>
      </c>
      <c r="L5319" s="2">
        <v>2</v>
      </c>
      <c r="M5319">
        <v>0</v>
      </c>
      <c r="N5319" s="2">
        <v>0</v>
      </c>
      <c r="O5319">
        <v>-82.8</v>
      </c>
      <c r="P5319" t="s">
        <v>100</v>
      </c>
      <c r="Q5319">
        <v>0</v>
      </c>
      <c r="R5319" t="s">
        <v>145</v>
      </c>
      <c r="S5319">
        <v>0</v>
      </c>
    </row>
    <row r="5320" spans="1:19">
      <c r="A5320" t="s">
        <v>35</v>
      </c>
      <c r="B5320" t="s">
        <v>3170</v>
      </c>
      <c r="C5320">
        <f>"D137XL"</f>
        <v>0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70</v>
      </c>
      <c r="K5320">
        <v>106.47</v>
      </c>
      <c r="L5320" s="2">
        <v>2</v>
      </c>
      <c r="M5320">
        <v>0</v>
      </c>
      <c r="N5320" s="2">
        <v>0</v>
      </c>
      <c r="O5320">
        <v>-84</v>
      </c>
      <c r="P5320" t="s">
        <v>100</v>
      </c>
      <c r="Q5320">
        <v>0</v>
      </c>
      <c r="R5320" t="s">
        <v>145</v>
      </c>
      <c r="S5320">
        <v>0</v>
      </c>
    </row>
    <row r="5321" spans="1:19">
      <c r="A5321" t="s">
        <v>35</v>
      </c>
      <c r="B5321" t="s">
        <v>2432</v>
      </c>
      <c r="C5321">
        <f>"45656SN"</f>
        <v>0</v>
      </c>
      <c r="D5321">
        <v>1</v>
      </c>
      <c r="E5321">
        <v>0</v>
      </c>
      <c r="F5321">
        <v>0</v>
      </c>
      <c r="G5321">
        <v>0</v>
      </c>
      <c r="H5321">
        <v>1</v>
      </c>
      <c r="I5321">
        <v>0</v>
      </c>
      <c r="J5321">
        <v>70</v>
      </c>
      <c r="K5321">
        <v>87.15000000000001</v>
      </c>
      <c r="L5321" s="2">
        <v>1</v>
      </c>
      <c r="M5321">
        <v>0</v>
      </c>
      <c r="N5321" s="2">
        <v>0</v>
      </c>
      <c r="O5321">
        <v>-84</v>
      </c>
      <c r="P5321" t="s">
        <v>100</v>
      </c>
      <c r="Q5321">
        <v>0</v>
      </c>
      <c r="R5321" t="s">
        <v>145</v>
      </c>
      <c r="S5321">
        <v>0</v>
      </c>
    </row>
    <row r="5322" spans="1:19">
      <c r="A5322" t="s">
        <v>35</v>
      </c>
      <c r="B5322" t="s">
        <v>3133</v>
      </c>
      <c r="C5322">
        <f>"KE3207PD"</f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73</v>
      </c>
      <c r="K5322">
        <v>192.798</v>
      </c>
      <c r="L5322" s="2">
        <v>3</v>
      </c>
      <c r="M5322">
        <v>0</v>
      </c>
      <c r="N5322" s="2">
        <v>0</v>
      </c>
      <c r="O5322">
        <v>-87.59999999999999</v>
      </c>
      <c r="P5322" t="s">
        <v>100</v>
      </c>
      <c r="Q5322">
        <v>0</v>
      </c>
      <c r="R5322" t="s">
        <v>145</v>
      </c>
      <c r="S5322">
        <v>0</v>
      </c>
    </row>
    <row r="5323" spans="1:19">
      <c r="A5323" t="s">
        <v>35</v>
      </c>
      <c r="B5323" t="s">
        <v>9793</v>
      </c>
      <c r="C5323">
        <f>"45656SR"</f>
        <v>0</v>
      </c>
      <c r="D5323">
        <v>0</v>
      </c>
      <c r="E5323">
        <v>0</v>
      </c>
      <c r="F5323">
        <v>0</v>
      </c>
      <c r="G5323">
        <v>0</v>
      </c>
      <c r="H5323">
        <v>0</v>
      </c>
      <c r="I5323">
        <v>0</v>
      </c>
      <c r="J5323">
        <v>75</v>
      </c>
      <c r="K5323">
        <v>93.375</v>
      </c>
      <c r="L5323" s="2">
        <v>1</v>
      </c>
      <c r="M5323">
        <v>0</v>
      </c>
      <c r="N5323" s="2">
        <v>0</v>
      </c>
      <c r="O5323">
        <v>-90</v>
      </c>
      <c r="P5323" t="s">
        <v>100</v>
      </c>
      <c r="Q5323">
        <v>0</v>
      </c>
      <c r="R5323" t="s">
        <v>145</v>
      </c>
      <c r="S5323">
        <v>0</v>
      </c>
    </row>
    <row r="5324" spans="1:19">
      <c r="A5324" t="s">
        <v>35</v>
      </c>
      <c r="B5324" t="s">
        <v>1674</v>
      </c>
      <c r="C5324">
        <f>"11551"</f>
        <v>0</v>
      </c>
      <c r="D5324">
        <v>8</v>
      </c>
      <c r="E5324">
        <v>13</v>
      </c>
      <c r="F5324">
        <v>0</v>
      </c>
      <c r="G5324">
        <v>0</v>
      </c>
      <c r="H5324">
        <v>21</v>
      </c>
      <c r="I5324">
        <v>4</v>
      </c>
      <c r="J5324">
        <v>81</v>
      </c>
      <c r="K5324">
        <v>58.199</v>
      </c>
      <c r="L5324" s="2">
        <v>1</v>
      </c>
      <c r="M5324">
        <v>0</v>
      </c>
      <c r="N5324" s="2">
        <v>0</v>
      </c>
      <c r="O5324">
        <v>-93.2</v>
      </c>
      <c r="P5324" t="s">
        <v>100</v>
      </c>
      <c r="Q5324">
        <v>0</v>
      </c>
      <c r="R5324" t="s">
        <v>145</v>
      </c>
      <c r="S5324">
        <v>0</v>
      </c>
    </row>
    <row r="5325" spans="1:19">
      <c r="A5325" t="s">
        <v>35</v>
      </c>
      <c r="B5325" t="s">
        <v>1532</v>
      </c>
      <c r="C5325">
        <f>"11506"</f>
        <v>0</v>
      </c>
      <c r="D5325">
        <v>8</v>
      </c>
      <c r="E5325">
        <v>19</v>
      </c>
      <c r="F5325">
        <v>11</v>
      </c>
      <c r="G5325">
        <v>27</v>
      </c>
      <c r="H5325">
        <v>65</v>
      </c>
      <c r="I5325">
        <v>15</v>
      </c>
      <c r="J5325">
        <v>138</v>
      </c>
      <c r="K5325">
        <v>103.293</v>
      </c>
      <c r="L5325" s="2">
        <v>1</v>
      </c>
      <c r="M5325">
        <v>0</v>
      </c>
      <c r="N5325" s="2">
        <v>0</v>
      </c>
      <c r="O5325">
        <v>-93.59999999999999</v>
      </c>
      <c r="P5325" t="s">
        <v>11095</v>
      </c>
      <c r="Q5325">
        <v>2.255</v>
      </c>
      <c r="R5325" t="s">
        <v>11221</v>
      </c>
      <c r="S5325">
        <v>1</v>
      </c>
    </row>
    <row r="5326" spans="1:19">
      <c r="A5326" t="s">
        <v>35</v>
      </c>
      <c r="B5326" t="s">
        <v>1648</v>
      </c>
      <c r="C5326">
        <f>"11513"</f>
        <v>0</v>
      </c>
      <c r="D5326">
        <v>14</v>
      </c>
      <c r="E5326">
        <v>8</v>
      </c>
      <c r="F5326">
        <v>4</v>
      </c>
      <c r="G5326">
        <v>0</v>
      </c>
      <c r="H5326">
        <v>26</v>
      </c>
      <c r="I5326">
        <v>6</v>
      </c>
      <c r="J5326">
        <v>86</v>
      </c>
      <c r="K5326">
        <v>64.371</v>
      </c>
      <c r="L5326" s="2">
        <v>1</v>
      </c>
      <c r="M5326">
        <v>0</v>
      </c>
      <c r="N5326" s="2">
        <v>0</v>
      </c>
      <c r="O5326">
        <v>-97.2</v>
      </c>
      <c r="P5326" t="s">
        <v>100</v>
      </c>
      <c r="Q5326">
        <v>0</v>
      </c>
      <c r="R5326" t="s">
        <v>145</v>
      </c>
      <c r="S5326">
        <v>0</v>
      </c>
    </row>
    <row r="5327" spans="1:19">
      <c r="A5327" t="s">
        <v>35</v>
      </c>
      <c r="B5327" t="s">
        <v>2078</v>
      </c>
      <c r="C5327">
        <f>"45656MN"</f>
        <v>0</v>
      </c>
      <c r="D5327">
        <v>2</v>
      </c>
      <c r="E5327">
        <v>1</v>
      </c>
      <c r="F5327">
        <v>0</v>
      </c>
      <c r="G5327">
        <v>0</v>
      </c>
      <c r="H5327">
        <v>3</v>
      </c>
      <c r="I5327">
        <v>0.5</v>
      </c>
      <c r="J5327">
        <v>86</v>
      </c>
      <c r="K5327">
        <v>109.65</v>
      </c>
      <c r="L5327" s="2">
        <v>1</v>
      </c>
      <c r="M5327">
        <v>0</v>
      </c>
      <c r="N5327" s="2">
        <v>0</v>
      </c>
      <c r="O5327">
        <v>-102.7</v>
      </c>
      <c r="P5327" t="s">
        <v>100</v>
      </c>
      <c r="Q5327">
        <v>0</v>
      </c>
      <c r="R5327" t="s">
        <v>145</v>
      </c>
      <c r="S5327">
        <v>0</v>
      </c>
    </row>
    <row r="5328" spans="1:19">
      <c r="A5328" t="s">
        <v>35</v>
      </c>
      <c r="B5328" t="s">
        <v>1670</v>
      </c>
      <c r="C5328">
        <f>"KL08"</f>
        <v>0</v>
      </c>
      <c r="D5328">
        <v>0</v>
      </c>
      <c r="E5328">
        <v>0</v>
      </c>
      <c r="F5328">
        <v>0</v>
      </c>
      <c r="G5328">
        <v>3</v>
      </c>
      <c r="H5328">
        <v>3</v>
      </c>
      <c r="I5328">
        <v>0</v>
      </c>
      <c r="J5328">
        <v>98</v>
      </c>
      <c r="K5328">
        <v>260.19</v>
      </c>
      <c r="L5328" s="2">
        <v>3</v>
      </c>
      <c r="M5328">
        <v>0</v>
      </c>
      <c r="N5328" s="2">
        <v>0</v>
      </c>
      <c r="O5328">
        <v>-108.6</v>
      </c>
      <c r="P5328" t="s">
        <v>11096</v>
      </c>
      <c r="Q5328">
        <v>78</v>
      </c>
      <c r="R5328" t="s">
        <v>11222</v>
      </c>
      <c r="S5328">
        <v>1</v>
      </c>
    </row>
    <row r="5329" spans="1:19">
      <c r="A5329" t="s">
        <v>35</v>
      </c>
      <c r="B5329" t="s">
        <v>9859</v>
      </c>
      <c r="C5329">
        <f>"SC02UNID"</f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91</v>
      </c>
      <c r="K5329">
        <v>34.111</v>
      </c>
      <c r="L5329" s="2">
        <v>0</v>
      </c>
      <c r="M5329">
        <v>0</v>
      </c>
      <c r="N5329" s="2">
        <v>0</v>
      </c>
      <c r="O5329">
        <v>-109.2</v>
      </c>
      <c r="P5329" t="s">
        <v>100</v>
      </c>
      <c r="Q5329">
        <v>0</v>
      </c>
      <c r="R5329" t="s">
        <v>145</v>
      </c>
      <c r="S5329">
        <v>0</v>
      </c>
    </row>
    <row r="5330" spans="1:19">
      <c r="A5330" t="s">
        <v>35</v>
      </c>
      <c r="B5330" t="s">
        <v>9810</v>
      </c>
      <c r="C5330">
        <f>"45656MR"</f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95</v>
      </c>
      <c r="K5330">
        <v>121.125</v>
      </c>
      <c r="L5330" s="2">
        <v>1</v>
      </c>
      <c r="M5330">
        <v>0</v>
      </c>
      <c r="N5330" s="2">
        <v>0</v>
      </c>
      <c r="O5330">
        <v>-114</v>
      </c>
      <c r="P5330" t="s">
        <v>100</v>
      </c>
      <c r="Q5330">
        <v>0</v>
      </c>
      <c r="R5330" t="s">
        <v>145</v>
      </c>
      <c r="S5330">
        <v>0</v>
      </c>
    </row>
    <row r="5331" spans="1:19">
      <c r="A5331" t="s">
        <v>35</v>
      </c>
      <c r="B5331" t="s">
        <v>9795</v>
      </c>
      <c r="C5331">
        <f>"45656MA"</f>
        <v>0</v>
      </c>
      <c r="D5331">
        <v>0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99</v>
      </c>
      <c r="K5331">
        <v>126.225</v>
      </c>
      <c r="L5331" s="2">
        <v>1</v>
      </c>
      <c r="M5331">
        <v>0</v>
      </c>
      <c r="N5331" s="2">
        <v>0</v>
      </c>
      <c r="O5331">
        <v>-118.8</v>
      </c>
      <c r="P5331" t="s">
        <v>100</v>
      </c>
      <c r="Q5331">
        <v>0</v>
      </c>
      <c r="R5331" t="s">
        <v>145</v>
      </c>
      <c r="S5331">
        <v>0</v>
      </c>
    </row>
    <row r="5332" spans="1:19">
      <c r="A5332" t="s">
        <v>35</v>
      </c>
      <c r="B5332" t="s">
        <v>1625</v>
      </c>
      <c r="C5332">
        <f>"11544"</f>
        <v>0</v>
      </c>
      <c r="D5332">
        <v>13</v>
      </c>
      <c r="E5332">
        <v>18</v>
      </c>
      <c r="F5332">
        <v>1</v>
      </c>
      <c r="G5332">
        <v>0</v>
      </c>
      <c r="H5332">
        <v>32</v>
      </c>
      <c r="I5332">
        <v>7</v>
      </c>
      <c r="J5332">
        <v>126</v>
      </c>
      <c r="K5332">
        <v>87.88500000000001</v>
      </c>
      <c r="L5332" s="2">
        <v>1</v>
      </c>
      <c r="M5332">
        <v>0</v>
      </c>
      <c r="N5332" s="2">
        <v>0</v>
      </c>
      <c r="O5332">
        <v>-144.2</v>
      </c>
      <c r="P5332" t="s">
        <v>100</v>
      </c>
      <c r="Q5332">
        <v>0</v>
      </c>
      <c r="R5332" t="s">
        <v>145</v>
      </c>
      <c r="S5332">
        <v>0</v>
      </c>
    </row>
    <row r="5333" spans="1:19">
      <c r="A5333" t="s">
        <v>35</v>
      </c>
      <c r="B5333" t="s">
        <v>400</v>
      </c>
      <c r="C5333">
        <f>"RJ820"</f>
        <v>0</v>
      </c>
      <c r="D5333">
        <v>8</v>
      </c>
      <c r="E5333">
        <v>1</v>
      </c>
      <c r="F5333">
        <v>0</v>
      </c>
      <c r="G5333">
        <v>2</v>
      </c>
      <c r="H5333">
        <v>11</v>
      </c>
      <c r="I5333">
        <v>1.5</v>
      </c>
      <c r="J5333">
        <v>151</v>
      </c>
      <c r="K5333">
        <v>183.465</v>
      </c>
      <c r="L5333" s="2">
        <v>1</v>
      </c>
      <c r="M5333">
        <v>0</v>
      </c>
      <c r="N5333" s="2">
        <v>0</v>
      </c>
      <c r="O5333">
        <v>-172.7</v>
      </c>
      <c r="P5333" t="s">
        <v>11039</v>
      </c>
      <c r="Q5333">
        <v>410</v>
      </c>
      <c r="R5333" t="s">
        <v>173</v>
      </c>
      <c r="S5333">
        <v>1</v>
      </c>
    </row>
    <row r="5334" spans="1:19">
      <c r="A5334" t="s">
        <v>35</v>
      </c>
      <c r="B5334" t="s">
        <v>1786</v>
      </c>
      <c r="C5334">
        <f>"6239252"</f>
        <v>0</v>
      </c>
      <c r="D5334">
        <v>10</v>
      </c>
      <c r="E5334">
        <v>0</v>
      </c>
      <c r="F5334">
        <v>0</v>
      </c>
      <c r="G5334">
        <v>0</v>
      </c>
      <c r="H5334">
        <v>10</v>
      </c>
      <c r="I5334">
        <v>0</v>
      </c>
      <c r="J5334">
        <v>149</v>
      </c>
      <c r="K5334">
        <v>25.449</v>
      </c>
      <c r="L5334" s="2">
        <v>0</v>
      </c>
      <c r="M5334">
        <v>0</v>
      </c>
      <c r="N5334" s="2">
        <v>0</v>
      </c>
      <c r="O5334">
        <v>-178.8</v>
      </c>
      <c r="P5334" t="s">
        <v>100</v>
      </c>
      <c r="Q5334">
        <v>0</v>
      </c>
      <c r="R5334" t="s">
        <v>145</v>
      </c>
      <c r="S5334">
        <v>0</v>
      </c>
    </row>
    <row r="5335" spans="1:19">
      <c r="A5335" t="s">
        <v>35</v>
      </c>
      <c r="B5335" t="s">
        <v>3055</v>
      </c>
      <c r="C5335">
        <f>"6239002"</f>
        <v>0</v>
      </c>
      <c r="D5335">
        <v>0</v>
      </c>
      <c r="E5335">
        <v>0</v>
      </c>
      <c r="F5335">
        <v>0</v>
      </c>
      <c r="G5335">
        <v>0</v>
      </c>
      <c r="H5335">
        <v>0</v>
      </c>
      <c r="I5335">
        <v>0</v>
      </c>
      <c r="J5335">
        <v>159</v>
      </c>
      <c r="K5335">
        <v>27.563</v>
      </c>
      <c r="L5335" s="2">
        <v>0</v>
      </c>
      <c r="M5335">
        <v>0</v>
      </c>
      <c r="N5335" s="2">
        <v>0</v>
      </c>
      <c r="O5335">
        <v>-190.8</v>
      </c>
      <c r="P5335" t="s">
        <v>100</v>
      </c>
      <c r="Q5335">
        <v>0</v>
      </c>
      <c r="R5335" t="s">
        <v>145</v>
      </c>
      <c r="S5335">
        <v>0</v>
      </c>
    </row>
  </sheetData>
  <autoFilter ref="A2:S5335"/>
  <hyperlinks>
    <hyperlink ref="A1" location="'ÍNDICE'!A1" display="⬅ Volver al índice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S2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3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205</v>
      </c>
      <c r="B3" t="s">
        <v>482</v>
      </c>
      <c r="C3">
        <f>"MCS0101W"</f>
        <v>0</v>
      </c>
      <c r="D3">
        <v>14</v>
      </c>
      <c r="E3">
        <v>4</v>
      </c>
      <c r="F3">
        <v>1</v>
      </c>
      <c r="G3">
        <v>0</v>
      </c>
      <c r="H3">
        <v>19</v>
      </c>
      <c r="I3">
        <v>2.5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2.5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205</v>
      </c>
      <c r="B4" t="s">
        <v>2977</v>
      </c>
      <c r="C4">
        <f>"PFGM016M"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205</v>
      </c>
      <c r="B5" t="s">
        <v>2976</v>
      </c>
      <c r="C5">
        <f>"PFGM016V"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205</v>
      </c>
      <c r="B6" t="s">
        <v>6974</v>
      </c>
      <c r="C6">
        <f>"Bulldog francés mascota"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205</v>
      </c>
      <c r="B7" t="s">
        <v>7602</v>
      </c>
      <c r="C7">
        <f>"PFGM013"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205</v>
      </c>
      <c r="B8" t="s">
        <v>7597</v>
      </c>
      <c r="C8">
        <f>"KITPFGM0M"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205</v>
      </c>
      <c r="B9" t="s">
        <v>7596</v>
      </c>
      <c r="C9">
        <f>"KITPFGM0V"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205</v>
      </c>
      <c r="B10" t="s">
        <v>7546</v>
      </c>
      <c r="C10">
        <f>"PFGM03"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205</v>
      </c>
      <c r="B11" t="s">
        <v>7506</v>
      </c>
      <c r="C11">
        <f>"PFGM01"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205</v>
      </c>
      <c r="B12" t="s">
        <v>9534</v>
      </c>
      <c r="C12">
        <f>"EO06F22"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205</v>
      </c>
      <c r="B13" t="s">
        <v>9533</v>
      </c>
      <c r="C13">
        <f>"EO06F5"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205</v>
      </c>
      <c r="B14" t="s">
        <v>10043</v>
      </c>
      <c r="C14">
        <f>"RD018"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205</v>
      </c>
      <c r="B15" t="s">
        <v>5739</v>
      </c>
      <c r="C15">
        <f>"ProductoPruebaBsale-Beetrack"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205</v>
      </c>
      <c r="B16" t="s">
        <v>3856</v>
      </c>
      <c r="C16">
        <f>"DG083M"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205</v>
      </c>
      <c r="B17" t="s">
        <v>3857</v>
      </c>
      <c r="C17">
        <f>"DG083S"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205</v>
      </c>
      <c r="B18" t="s">
        <v>9070</v>
      </c>
      <c r="C18">
        <f>"XX225"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205</v>
      </c>
      <c r="B19" t="s">
        <v>5086</v>
      </c>
      <c r="C19">
        <f>"Yorkterrier"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205</v>
      </c>
      <c r="B20" t="s">
        <v>2038</v>
      </c>
      <c r="C20">
        <f>"PFGM017"</f>
        <v>0</v>
      </c>
      <c r="D20">
        <v>1</v>
      </c>
      <c r="E20">
        <v>0</v>
      </c>
      <c r="F20">
        <v>0</v>
      </c>
      <c r="G20">
        <v>2</v>
      </c>
      <c r="H20">
        <v>3</v>
      </c>
      <c r="I20">
        <v>0.5</v>
      </c>
      <c r="J20">
        <v>7</v>
      </c>
      <c r="K20">
        <v>10.594</v>
      </c>
      <c r="L20" s="2">
        <v>2</v>
      </c>
      <c r="M20">
        <v>0</v>
      </c>
      <c r="N20" s="2">
        <v>0</v>
      </c>
      <c r="O20">
        <v>-0.9000000000000004</v>
      </c>
      <c r="P20" t="s">
        <v>11224</v>
      </c>
      <c r="Q20">
        <v>2.751</v>
      </c>
      <c r="R20" t="s">
        <v>11225</v>
      </c>
      <c r="S20">
        <v>1</v>
      </c>
    </row>
    <row r="21" spans="1:19">
      <c r="A21" t="s">
        <v>205</v>
      </c>
      <c r="B21" t="s">
        <v>5693</v>
      </c>
      <c r="C21">
        <f>"ROCIADOR"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</v>
      </c>
      <c r="K21">
        <v>2.85</v>
      </c>
      <c r="L21" s="2">
        <v>3</v>
      </c>
      <c r="M21">
        <v>0</v>
      </c>
      <c r="N21" s="2">
        <v>0</v>
      </c>
      <c r="O21">
        <v>-1.2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205</v>
      </c>
      <c r="B22" t="s">
        <v>1709</v>
      </c>
      <c r="C22">
        <f>"PFGM014"</f>
        <v>0</v>
      </c>
      <c r="D22">
        <v>0</v>
      </c>
      <c r="E22">
        <v>0</v>
      </c>
      <c r="F22">
        <v>0</v>
      </c>
      <c r="G22">
        <v>1</v>
      </c>
      <c r="H22">
        <v>1</v>
      </c>
      <c r="I22">
        <v>0</v>
      </c>
      <c r="J22">
        <v>42</v>
      </c>
      <c r="K22">
        <v>25.019</v>
      </c>
      <c r="L22" s="2">
        <v>1</v>
      </c>
      <c r="M22">
        <v>0</v>
      </c>
      <c r="N22" s="2">
        <v>0</v>
      </c>
      <c r="O22">
        <v>-45.4</v>
      </c>
      <c r="P22" t="s">
        <v>11001</v>
      </c>
      <c r="Q22">
        <v>68</v>
      </c>
      <c r="R22" t="s">
        <v>11226</v>
      </c>
      <c r="S22">
        <v>1</v>
      </c>
    </row>
    <row r="23" spans="1:19">
      <c r="A23" t="s">
        <v>205</v>
      </c>
      <c r="B23" t="s">
        <v>1893</v>
      </c>
      <c r="C23">
        <f>"PFGM015"</f>
        <v>0</v>
      </c>
      <c r="D23">
        <v>3</v>
      </c>
      <c r="E23">
        <v>0</v>
      </c>
      <c r="F23">
        <v>3</v>
      </c>
      <c r="G23">
        <v>0</v>
      </c>
      <c r="H23">
        <v>6</v>
      </c>
      <c r="I23">
        <v>1.5</v>
      </c>
      <c r="J23">
        <v>45</v>
      </c>
      <c r="K23">
        <v>20.286</v>
      </c>
      <c r="L23" s="2">
        <v>0</v>
      </c>
      <c r="M23">
        <v>0</v>
      </c>
      <c r="N23" s="2">
        <v>0</v>
      </c>
      <c r="O23">
        <v>-52.5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205</v>
      </c>
      <c r="B24" t="s">
        <v>10153</v>
      </c>
      <c r="C24">
        <f>"GIFT50000"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97</v>
      </c>
      <c r="K24">
        <v>0</v>
      </c>
      <c r="L24" s="2">
        <v>0</v>
      </c>
      <c r="M24">
        <v>0</v>
      </c>
      <c r="N24" s="2">
        <v>0</v>
      </c>
      <c r="O24">
        <v>-116.4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205</v>
      </c>
      <c r="B25" t="s">
        <v>10154</v>
      </c>
      <c r="C25">
        <f>"GIFT30000"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98</v>
      </c>
      <c r="K25">
        <v>0</v>
      </c>
      <c r="L25" s="2">
        <v>0</v>
      </c>
      <c r="M25">
        <v>0</v>
      </c>
      <c r="N25" s="2">
        <v>0</v>
      </c>
      <c r="O25">
        <v>-117.6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205</v>
      </c>
      <c r="B26" t="s">
        <v>5888</v>
      </c>
      <c r="C26">
        <f>"Prueb-Bc/29-09"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217</v>
      </c>
      <c r="K26">
        <v>0</v>
      </c>
      <c r="L26" s="2">
        <v>0</v>
      </c>
      <c r="M26">
        <v>0</v>
      </c>
      <c r="N26" s="2">
        <v>0</v>
      </c>
      <c r="O26">
        <v>-260.4</v>
      </c>
      <c r="P26" t="s">
        <v>100</v>
      </c>
      <c r="Q26">
        <v>0</v>
      </c>
      <c r="R26" t="s">
        <v>145</v>
      </c>
      <c r="S26">
        <v>0</v>
      </c>
    </row>
  </sheetData>
  <autoFilter ref="A2:S26"/>
  <hyperlinks>
    <hyperlink ref="A1" location="'ÍNDICE'!A1" display="⬅ Volver al índice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S2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6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211</v>
      </c>
      <c r="B3" t="s">
        <v>836</v>
      </c>
      <c r="C3">
        <f>"PPPCSR2001"</f>
        <v>0</v>
      </c>
      <c r="D3">
        <v>2</v>
      </c>
      <c r="E3">
        <v>0</v>
      </c>
      <c r="F3">
        <v>2</v>
      </c>
      <c r="G3">
        <v>0</v>
      </c>
      <c r="H3">
        <v>4</v>
      </c>
      <c r="I3">
        <v>1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1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211</v>
      </c>
      <c r="B4" t="s">
        <v>746</v>
      </c>
      <c r="C4">
        <f>"PCSSPP3001"</f>
        <v>0</v>
      </c>
      <c r="D4">
        <v>3</v>
      </c>
      <c r="E4">
        <v>1</v>
      </c>
      <c r="F4">
        <v>1</v>
      </c>
      <c r="G4">
        <v>0</v>
      </c>
      <c r="H4">
        <v>5</v>
      </c>
      <c r="I4">
        <v>1</v>
      </c>
      <c r="J4">
        <v>0</v>
      </c>
      <c r="K4">
        <v>0</v>
      </c>
      <c r="L4" s="2">
        <v>0</v>
      </c>
      <c r="M4">
        <v>1</v>
      </c>
      <c r="N4" s="2">
        <v>0</v>
      </c>
      <c r="O4">
        <v>1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211</v>
      </c>
      <c r="B5" t="s">
        <v>1024</v>
      </c>
      <c r="C5">
        <f>"PPPCSR1201"</f>
        <v>0</v>
      </c>
      <c r="D5">
        <v>1</v>
      </c>
      <c r="E5">
        <v>0</v>
      </c>
      <c r="F5">
        <v>1</v>
      </c>
      <c r="G5">
        <v>0</v>
      </c>
      <c r="H5">
        <v>2</v>
      </c>
      <c r="I5">
        <v>0.5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0.5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211</v>
      </c>
      <c r="B6" t="s">
        <v>933</v>
      </c>
      <c r="C6">
        <f>"PCSAPP3001"</f>
        <v>0</v>
      </c>
      <c r="D6">
        <v>3</v>
      </c>
      <c r="E6">
        <v>0</v>
      </c>
      <c r="F6">
        <v>0</v>
      </c>
      <c r="G6">
        <v>0</v>
      </c>
      <c r="H6">
        <v>3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211</v>
      </c>
      <c r="B7" t="s">
        <v>1009</v>
      </c>
      <c r="C7">
        <f>"PPPCSR0301"</f>
        <v>0</v>
      </c>
      <c r="D7">
        <v>0</v>
      </c>
      <c r="E7">
        <v>2</v>
      </c>
      <c r="F7">
        <v>0</v>
      </c>
      <c r="G7">
        <v>0</v>
      </c>
      <c r="H7">
        <v>2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211</v>
      </c>
      <c r="B8" t="s">
        <v>929</v>
      </c>
      <c r="C8">
        <f>"PCSAPS12001"</f>
        <v>0</v>
      </c>
      <c r="D8">
        <v>0</v>
      </c>
      <c r="E8">
        <v>3</v>
      </c>
      <c r="F8">
        <v>0</v>
      </c>
      <c r="G8">
        <v>0</v>
      </c>
      <c r="H8">
        <v>3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211</v>
      </c>
      <c r="B9" t="s">
        <v>1001</v>
      </c>
      <c r="C9">
        <f>"PFSACP7001"</f>
        <v>0</v>
      </c>
      <c r="D9">
        <v>2</v>
      </c>
      <c r="E9">
        <v>0</v>
      </c>
      <c r="F9">
        <v>0</v>
      </c>
      <c r="G9">
        <v>0</v>
      </c>
      <c r="H9">
        <v>2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211</v>
      </c>
      <c r="B10" t="s">
        <v>1002</v>
      </c>
      <c r="C10">
        <f>"PCSAPS3001"</f>
        <v>0</v>
      </c>
      <c r="D10">
        <v>2</v>
      </c>
      <c r="E10">
        <v>0</v>
      </c>
      <c r="F10">
        <v>0</v>
      </c>
      <c r="G10">
        <v>0</v>
      </c>
      <c r="H10">
        <v>2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211</v>
      </c>
      <c r="B11" t="s">
        <v>1298</v>
      </c>
      <c r="C11">
        <f>"PCSCPP12001"</f>
        <v>0</v>
      </c>
      <c r="D11">
        <v>0</v>
      </c>
      <c r="E11">
        <v>1</v>
      </c>
      <c r="F11">
        <v>0</v>
      </c>
      <c r="G11">
        <v>0</v>
      </c>
      <c r="H11">
        <v>1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211</v>
      </c>
      <c r="B12" t="s">
        <v>1148</v>
      </c>
      <c r="C12">
        <f>"PCSCPS3001"</f>
        <v>0</v>
      </c>
      <c r="D12">
        <v>0</v>
      </c>
      <c r="E12">
        <v>1</v>
      </c>
      <c r="F12">
        <v>0</v>
      </c>
      <c r="G12">
        <v>0</v>
      </c>
      <c r="H12">
        <v>1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211</v>
      </c>
      <c r="B13" t="s">
        <v>3163</v>
      </c>
      <c r="C13">
        <f>"PCSSPS3001"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211</v>
      </c>
      <c r="B14" t="s">
        <v>1013</v>
      </c>
      <c r="C14">
        <f>"PCSSPP12001"</f>
        <v>0</v>
      </c>
      <c r="D14">
        <v>0</v>
      </c>
      <c r="E14">
        <v>0</v>
      </c>
      <c r="F14">
        <v>2</v>
      </c>
      <c r="G14">
        <v>0</v>
      </c>
      <c r="H14">
        <v>2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211</v>
      </c>
      <c r="B15" t="s">
        <v>1012</v>
      </c>
      <c r="C15">
        <f>"PCSSPS12001"</f>
        <v>0</v>
      </c>
      <c r="D15">
        <v>0</v>
      </c>
      <c r="E15">
        <v>2</v>
      </c>
      <c r="F15">
        <v>0</v>
      </c>
      <c r="G15">
        <v>0</v>
      </c>
      <c r="H15">
        <v>2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211</v>
      </c>
      <c r="B16" t="s">
        <v>3164</v>
      </c>
      <c r="C16">
        <f>"PFSACU7001"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211</v>
      </c>
      <c r="B17" t="s">
        <v>2669</v>
      </c>
      <c r="C17">
        <f>"PFSACU2001"</f>
        <v>0</v>
      </c>
      <c r="D17">
        <v>1</v>
      </c>
      <c r="E17">
        <v>0</v>
      </c>
      <c r="F17">
        <v>0</v>
      </c>
      <c r="G17">
        <v>0</v>
      </c>
      <c r="H17">
        <v>1</v>
      </c>
      <c r="I17">
        <v>0</v>
      </c>
      <c r="J17">
        <v>1</v>
      </c>
      <c r="K17">
        <v>9.622999999999999</v>
      </c>
      <c r="L17" s="2">
        <v>10</v>
      </c>
      <c r="M17">
        <v>0</v>
      </c>
      <c r="N17" s="2">
        <v>0</v>
      </c>
      <c r="O17">
        <v>-1.2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211</v>
      </c>
      <c r="B18" t="s">
        <v>2635</v>
      </c>
      <c r="C18">
        <f>"PCSCPP3001"</f>
        <v>0</v>
      </c>
      <c r="D18">
        <v>1</v>
      </c>
      <c r="E18">
        <v>0</v>
      </c>
      <c r="F18">
        <v>0</v>
      </c>
      <c r="G18">
        <v>0</v>
      </c>
      <c r="H18">
        <v>1</v>
      </c>
      <c r="I18">
        <v>0</v>
      </c>
      <c r="J18">
        <v>2</v>
      </c>
      <c r="K18">
        <v>22.873</v>
      </c>
      <c r="L18" s="2">
        <v>11</v>
      </c>
      <c r="M18">
        <v>0</v>
      </c>
      <c r="N18" s="2">
        <v>0</v>
      </c>
      <c r="O18">
        <v>-2.4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211</v>
      </c>
      <c r="B19" t="s">
        <v>2722</v>
      </c>
      <c r="C19">
        <f>"PCSAPP12001"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3</v>
      </c>
      <c r="K19">
        <v>98.631</v>
      </c>
      <c r="L19" s="2">
        <v>33</v>
      </c>
      <c r="M19">
        <v>0</v>
      </c>
      <c r="N19" s="2">
        <v>0</v>
      </c>
      <c r="O19">
        <v>-3.6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211</v>
      </c>
      <c r="B20" t="s">
        <v>2672</v>
      </c>
      <c r="C20">
        <f>"PCSCPS12001"</f>
        <v>0</v>
      </c>
      <c r="D20">
        <v>0</v>
      </c>
      <c r="E20">
        <v>1</v>
      </c>
      <c r="F20">
        <v>0</v>
      </c>
      <c r="G20">
        <v>0</v>
      </c>
      <c r="H20">
        <v>1</v>
      </c>
      <c r="I20">
        <v>0</v>
      </c>
      <c r="J20">
        <v>5</v>
      </c>
      <c r="K20">
        <v>167.27</v>
      </c>
      <c r="L20" s="2">
        <v>33</v>
      </c>
      <c r="M20">
        <v>0</v>
      </c>
      <c r="N20" s="2">
        <v>0</v>
      </c>
      <c r="O20">
        <v>-6</v>
      </c>
      <c r="P20" t="s">
        <v>100</v>
      </c>
      <c r="Q20">
        <v>0</v>
      </c>
      <c r="R20" t="s">
        <v>145</v>
      </c>
      <c r="S20">
        <v>0</v>
      </c>
    </row>
  </sheetData>
  <autoFilter ref="A2:S20"/>
  <hyperlinks>
    <hyperlink ref="A1" location="'ÍNDICE'!A1" display="⬅ Volver al índic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694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9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2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29</v>
      </c>
      <c r="B3" t="s">
        <v>50</v>
      </c>
      <c r="C3">
        <f>"PTM"</f>
        <v>0</v>
      </c>
      <c r="D3">
        <v>100</v>
      </c>
      <c r="E3">
        <v>130</v>
      </c>
      <c r="F3">
        <v>80</v>
      </c>
      <c r="G3">
        <v>0</v>
      </c>
      <c r="H3">
        <v>310</v>
      </c>
      <c r="I3">
        <v>90</v>
      </c>
      <c r="J3">
        <v>0</v>
      </c>
      <c r="K3">
        <v>0</v>
      </c>
      <c r="L3" s="2">
        <v>0</v>
      </c>
      <c r="M3">
        <v>90</v>
      </c>
      <c r="N3" s="2">
        <v>0</v>
      </c>
      <c r="O3">
        <v>90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29</v>
      </c>
      <c r="B4" t="s">
        <v>1539</v>
      </c>
      <c r="C4">
        <f>"PTR"</f>
        <v>0</v>
      </c>
      <c r="D4">
        <v>10</v>
      </c>
      <c r="E4">
        <v>20</v>
      </c>
      <c r="F4">
        <v>10</v>
      </c>
      <c r="G4">
        <v>10</v>
      </c>
      <c r="H4">
        <v>50</v>
      </c>
      <c r="I4">
        <v>10</v>
      </c>
      <c r="J4">
        <v>10</v>
      </c>
      <c r="K4">
        <v>6.408</v>
      </c>
      <c r="L4" s="2">
        <v>1</v>
      </c>
      <c r="M4">
        <v>5</v>
      </c>
      <c r="N4" s="2">
        <v>5</v>
      </c>
      <c r="O4">
        <v>18</v>
      </c>
      <c r="P4" t="s">
        <v>10242</v>
      </c>
      <c r="Q4">
        <v>1.987</v>
      </c>
      <c r="R4" t="s">
        <v>10263</v>
      </c>
      <c r="S4">
        <v>0</v>
      </c>
    </row>
    <row r="5" spans="1:19">
      <c r="A5" t="s">
        <v>29</v>
      </c>
      <c r="B5" t="s">
        <v>725</v>
      </c>
      <c r="C5">
        <f>"RS1508"</f>
        <v>0</v>
      </c>
      <c r="D5">
        <v>1</v>
      </c>
      <c r="E5">
        <v>2</v>
      </c>
      <c r="F5">
        <v>0</v>
      </c>
      <c r="G5">
        <v>2</v>
      </c>
      <c r="H5">
        <v>5</v>
      </c>
      <c r="I5">
        <v>1.5</v>
      </c>
      <c r="J5">
        <v>0</v>
      </c>
      <c r="K5">
        <v>0</v>
      </c>
      <c r="L5" s="2">
        <v>0</v>
      </c>
      <c r="M5">
        <v>2</v>
      </c>
      <c r="N5" s="2">
        <v>0</v>
      </c>
      <c r="O5">
        <v>8.5</v>
      </c>
      <c r="P5" t="s">
        <v>10243</v>
      </c>
      <c r="Q5">
        <v>2.876</v>
      </c>
      <c r="R5" t="s">
        <v>10264</v>
      </c>
      <c r="S5">
        <v>1</v>
      </c>
    </row>
    <row r="6" spans="1:19">
      <c r="A6" t="s">
        <v>29</v>
      </c>
      <c r="B6" t="s">
        <v>860</v>
      </c>
      <c r="C6">
        <f>"77506"</f>
        <v>0</v>
      </c>
      <c r="D6">
        <v>0</v>
      </c>
      <c r="E6">
        <v>0</v>
      </c>
      <c r="F6">
        <v>0</v>
      </c>
      <c r="G6">
        <v>2</v>
      </c>
      <c r="H6">
        <v>2</v>
      </c>
      <c r="I6">
        <v>0</v>
      </c>
      <c r="J6">
        <v>0</v>
      </c>
      <c r="K6">
        <v>0</v>
      </c>
      <c r="L6" s="2">
        <v>0</v>
      </c>
      <c r="M6">
        <v>1</v>
      </c>
      <c r="N6" s="2">
        <v>0</v>
      </c>
      <c r="O6">
        <v>7</v>
      </c>
      <c r="P6" t="s">
        <v>10244</v>
      </c>
      <c r="Q6">
        <v>7.424</v>
      </c>
      <c r="R6" t="s">
        <v>10261</v>
      </c>
      <c r="S6">
        <v>1</v>
      </c>
    </row>
    <row r="7" spans="1:19">
      <c r="A7" t="s">
        <v>29</v>
      </c>
      <c r="B7" t="s">
        <v>2150</v>
      </c>
      <c r="C7">
        <f>"77326"</f>
        <v>0</v>
      </c>
      <c r="D7">
        <v>0</v>
      </c>
      <c r="E7">
        <v>0</v>
      </c>
      <c r="F7">
        <v>0</v>
      </c>
      <c r="G7">
        <v>2</v>
      </c>
      <c r="H7">
        <v>2</v>
      </c>
      <c r="I7">
        <v>0</v>
      </c>
      <c r="J7">
        <v>1</v>
      </c>
      <c r="K7">
        <v>11.655</v>
      </c>
      <c r="L7" s="2">
        <v>12</v>
      </c>
      <c r="M7">
        <v>0</v>
      </c>
      <c r="N7" s="2">
        <v>0</v>
      </c>
      <c r="O7">
        <v>5.8</v>
      </c>
      <c r="P7" t="s">
        <v>10245</v>
      </c>
      <c r="Q7">
        <v>1.9</v>
      </c>
      <c r="R7" t="s">
        <v>10265</v>
      </c>
      <c r="S7">
        <v>1</v>
      </c>
    </row>
    <row r="8" spans="1:19">
      <c r="A8" t="s">
        <v>29</v>
      </c>
      <c r="B8" t="s">
        <v>363</v>
      </c>
      <c r="C8">
        <f>"UF20P"</f>
        <v>0</v>
      </c>
      <c r="D8">
        <v>0</v>
      </c>
      <c r="E8">
        <v>0</v>
      </c>
      <c r="F8">
        <v>0</v>
      </c>
      <c r="G8">
        <v>1</v>
      </c>
      <c r="H8">
        <v>1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5</v>
      </c>
      <c r="P8" t="s">
        <v>10246</v>
      </c>
      <c r="Q8">
        <v>252</v>
      </c>
      <c r="R8" t="s">
        <v>10266</v>
      </c>
      <c r="S8">
        <v>1</v>
      </c>
    </row>
    <row r="9" spans="1:19">
      <c r="A9" t="s">
        <v>29</v>
      </c>
      <c r="B9" t="s">
        <v>10228</v>
      </c>
      <c r="C9">
        <f>"77174"</f>
        <v>0</v>
      </c>
      <c r="D9">
        <v>1</v>
      </c>
      <c r="E9">
        <v>0</v>
      </c>
      <c r="F9">
        <v>0</v>
      </c>
      <c r="G9">
        <v>1</v>
      </c>
      <c r="H9">
        <v>2</v>
      </c>
      <c r="I9">
        <v>0.5</v>
      </c>
      <c r="J9">
        <v>1</v>
      </c>
      <c r="K9">
        <v>3.591</v>
      </c>
      <c r="L9" s="2">
        <v>4</v>
      </c>
      <c r="M9">
        <v>0</v>
      </c>
      <c r="N9" s="2">
        <v>0</v>
      </c>
      <c r="O9">
        <v>4.3</v>
      </c>
      <c r="P9" t="s">
        <v>10247</v>
      </c>
      <c r="Q9">
        <v>-490</v>
      </c>
      <c r="R9" t="s">
        <v>10267</v>
      </c>
      <c r="S9">
        <v>1</v>
      </c>
    </row>
    <row r="10" spans="1:19">
      <c r="A10" t="s">
        <v>29</v>
      </c>
      <c r="B10" t="s">
        <v>258</v>
      </c>
      <c r="C10">
        <f>"60334"</f>
        <v>0</v>
      </c>
      <c r="D10">
        <v>0</v>
      </c>
      <c r="E10">
        <v>0</v>
      </c>
      <c r="F10">
        <v>0</v>
      </c>
      <c r="G10">
        <v>1</v>
      </c>
      <c r="H10">
        <v>1</v>
      </c>
      <c r="I10">
        <v>0</v>
      </c>
      <c r="J10">
        <v>1</v>
      </c>
      <c r="K10">
        <v>4.095</v>
      </c>
      <c r="L10" s="2">
        <v>4</v>
      </c>
      <c r="M10">
        <v>0</v>
      </c>
      <c r="N10" s="2">
        <v>0</v>
      </c>
      <c r="O10">
        <v>3.8</v>
      </c>
      <c r="P10" t="s">
        <v>10248</v>
      </c>
      <c r="Q10">
        <v>899</v>
      </c>
      <c r="R10" t="s">
        <v>10268</v>
      </c>
      <c r="S10">
        <v>1</v>
      </c>
    </row>
    <row r="11" spans="1:19">
      <c r="A11" t="s">
        <v>29</v>
      </c>
      <c r="B11" t="s">
        <v>422</v>
      </c>
      <c r="C11">
        <f>"PMN50"</f>
        <v>0</v>
      </c>
      <c r="D11">
        <v>0</v>
      </c>
      <c r="E11">
        <v>0</v>
      </c>
      <c r="F11">
        <v>0</v>
      </c>
      <c r="G11">
        <v>1</v>
      </c>
      <c r="H11">
        <v>1</v>
      </c>
      <c r="I11">
        <v>0</v>
      </c>
      <c r="J11">
        <v>2</v>
      </c>
      <c r="K11">
        <v>5.04</v>
      </c>
      <c r="L11" s="2">
        <v>3</v>
      </c>
      <c r="M11">
        <v>0</v>
      </c>
      <c r="N11" s="2">
        <v>0</v>
      </c>
      <c r="O11">
        <v>2.6</v>
      </c>
      <c r="P11" t="s">
        <v>10249</v>
      </c>
      <c r="Q11">
        <v>413</v>
      </c>
      <c r="R11" t="s">
        <v>10269</v>
      </c>
      <c r="S11">
        <v>1</v>
      </c>
    </row>
    <row r="12" spans="1:19">
      <c r="A12" t="s">
        <v>29</v>
      </c>
      <c r="B12" t="s">
        <v>373</v>
      </c>
      <c r="C12">
        <f>"PMH50"</f>
        <v>0</v>
      </c>
      <c r="D12">
        <v>0</v>
      </c>
      <c r="E12">
        <v>1</v>
      </c>
      <c r="F12">
        <v>0</v>
      </c>
      <c r="G12">
        <v>1</v>
      </c>
      <c r="H12">
        <v>2</v>
      </c>
      <c r="I12">
        <v>0.5</v>
      </c>
      <c r="J12">
        <v>3</v>
      </c>
      <c r="K12">
        <v>7.56</v>
      </c>
      <c r="L12" s="2">
        <v>3</v>
      </c>
      <c r="M12">
        <v>0</v>
      </c>
      <c r="N12" s="2">
        <v>0</v>
      </c>
      <c r="O12">
        <v>1.9</v>
      </c>
      <c r="P12" t="s">
        <v>10250</v>
      </c>
      <c r="Q12">
        <v>504</v>
      </c>
      <c r="R12" t="s">
        <v>10266</v>
      </c>
      <c r="S12">
        <v>1</v>
      </c>
    </row>
    <row r="13" spans="1:19">
      <c r="A13" t="s">
        <v>29</v>
      </c>
      <c r="B13" t="s">
        <v>609</v>
      </c>
      <c r="C13">
        <f>"BAT"</f>
        <v>0</v>
      </c>
      <c r="D13">
        <v>1</v>
      </c>
      <c r="E13">
        <v>2</v>
      </c>
      <c r="F13">
        <v>6</v>
      </c>
      <c r="G13">
        <v>0</v>
      </c>
      <c r="H13">
        <v>9</v>
      </c>
      <c r="I13">
        <v>1.5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1.5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29</v>
      </c>
      <c r="B14" t="s">
        <v>1068</v>
      </c>
      <c r="C14">
        <f>"H200"</f>
        <v>0</v>
      </c>
      <c r="D14">
        <v>1</v>
      </c>
      <c r="E14">
        <v>1</v>
      </c>
      <c r="F14">
        <v>0</v>
      </c>
      <c r="G14">
        <v>0</v>
      </c>
      <c r="H14">
        <v>2</v>
      </c>
      <c r="I14">
        <v>0.5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0.5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29</v>
      </c>
      <c r="B15" t="s">
        <v>912</v>
      </c>
      <c r="C15">
        <f>"RS265F"</f>
        <v>0</v>
      </c>
      <c r="D15">
        <v>1</v>
      </c>
      <c r="E15">
        <v>0</v>
      </c>
      <c r="F15">
        <v>2</v>
      </c>
      <c r="G15">
        <v>0</v>
      </c>
      <c r="H15">
        <v>3</v>
      </c>
      <c r="I15">
        <v>0.5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0.5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29</v>
      </c>
      <c r="B16" t="s">
        <v>9321</v>
      </c>
      <c r="C16">
        <f>"RS728A"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29</v>
      </c>
      <c r="B17" t="s">
        <v>9322</v>
      </c>
      <c r="C17">
        <f>"RS738A"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29</v>
      </c>
      <c r="B18" t="s">
        <v>9323</v>
      </c>
      <c r="C18">
        <f>"RS718A"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29</v>
      </c>
      <c r="B19" t="s">
        <v>9320</v>
      </c>
      <c r="C19">
        <f>"RS6001FA"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29</v>
      </c>
      <c r="B20" t="s">
        <v>9348</v>
      </c>
      <c r="C20">
        <f>"W401"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29</v>
      </c>
      <c r="B21" t="s">
        <v>3843</v>
      </c>
      <c r="C21">
        <f>"LS50B"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29</v>
      </c>
      <c r="B22" t="s">
        <v>3844</v>
      </c>
      <c r="C22">
        <f>"LS50A"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29</v>
      </c>
      <c r="B23" t="s">
        <v>9347</v>
      </c>
      <c r="C23">
        <f>"W601"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29</v>
      </c>
      <c r="B24" t="s">
        <v>8941</v>
      </c>
      <c r="C24">
        <f>"LS30B"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29</v>
      </c>
      <c r="B25" t="s">
        <v>8942</v>
      </c>
      <c r="C25">
        <f>"LS30A"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29</v>
      </c>
      <c r="B26" t="s">
        <v>8943</v>
      </c>
      <c r="C26">
        <f>"LS30P"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29</v>
      </c>
      <c r="B27" t="s">
        <v>8889</v>
      </c>
      <c r="C27">
        <f>"ADE500"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29</v>
      </c>
      <c r="B28" t="s">
        <v>8890</v>
      </c>
      <c r="C28">
        <f>"ADE400"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29</v>
      </c>
      <c r="B29" t="s">
        <v>8923</v>
      </c>
      <c r="C29">
        <f>"ADE200"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29</v>
      </c>
      <c r="B30" t="s">
        <v>8924</v>
      </c>
      <c r="C30">
        <f>"I40"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29</v>
      </c>
      <c r="B31" t="s">
        <v>8925</v>
      </c>
      <c r="C31">
        <f>"I30"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29</v>
      </c>
      <c r="B32" t="s">
        <v>9373</v>
      </c>
      <c r="C32">
        <f>"HW302"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29</v>
      </c>
      <c r="B33" t="s">
        <v>9326</v>
      </c>
      <c r="C33">
        <f>"RS1000F"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29</v>
      </c>
      <c r="B34" t="s">
        <v>9343</v>
      </c>
      <c r="C34">
        <f>"FILL100"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29</v>
      </c>
      <c r="B35" t="s">
        <v>9330</v>
      </c>
      <c r="C35">
        <f>"FPL18"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29</v>
      </c>
      <c r="B36" t="s">
        <v>3845</v>
      </c>
      <c r="C36">
        <f>"LS30T"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29</v>
      </c>
      <c r="B37" t="s">
        <v>9351</v>
      </c>
      <c r="C37">
        <f>"MC917UV"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29</v>
      </c>
      <c r="B38" t="s">
        <v>9354</v>
      </c>
      <c r="C38">
        <f>"CF600UV"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29</v>
      </c>
      <c r="B39" t="s">
        <v>9354</v>
      </c>
      <c r="C39">
        <f>"CF600"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29</v>
      </c>
      <c r="B40" t="s">
        <v>9355</v>
      </c>
      <c r="C40">
        <f>"CF1400"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29</v>
      </c>
      <c r="B41" t="s">
        <v>9356</v>
      </c>
      <c r="C41">
        <f>"CF1200"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29</v>
      </c>
      <c r="B42" t="s">
        <v>9274</v>
      </c>
      <c r="C42">
        <f>"HLBT1000"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29</v>
      </c>
      <c r="B43" t="s">
        <v>9275</v>
      </c>
      <c r="C43">
        <f>"W501F"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29</v>
      </c>
      <c r="B44" t="s">
        <v>9276</v>
      </c>
      <c r="C44">
        <f>"W301"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29</v>
      </c>
      <c r="B45" t="s">
        <v>9277</v>
      </c>
      <c r="C45">
        <f>"RS1506"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29</v>
      </c>
      <c r="B46" t="s">
        <v>1325</v>
      </c>
      <c r="C46">
        <f>"RS267F"</f>
        <v>0</v>
      </c>
      <c r="D46">
        <v>0</v>
      </c>
      <c r="E46">
        <v>1</v>
      </c>
      <c r="F46">
        <v>0</v>
      </c>
      <c r="G46">
        <v>0</v>
      </c>
      <c r="H46">
        <v>1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29</v>
      </c>
      <c r="B47" t="s">
        <v>9278</v>
      </c>
      <c r="C47">
        <f>"NB1500F"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29</v>
      </c>
      <c r="B48" t="s">
        <v>9279</v>
      </c>
      <c r="C48">
        <f>"NB800F"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29</v>
      </c>
      <c r="B49" t="s">
        <v>9328</v>
      </c>
      <c r="C49">
        <f>"LAV700"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29</v>
      </c>
      <c r="B50" t="s">
        <v>9358</v>
      </c>
      <c r="C50">
        <f>"MC915"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29</v>
      </c>
      <c r="B51" t="s">
        <v>9360</v>
      </c>
      <c r="C51">
        <f>"XY2820"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29</v>
      </c>
      <c r="B52" t="s">
        <v>9363</v>
      </c>
      <c r="C52">
        <f>"RS06A"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29</v>
      </c>
      <c r="B53" t="s">
        <v>9364</v>
      </c>
      <c r="C53">
        <f>"UV1000F"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29</v>
      </c>
      <c r="B54" t="s">
        <v>9365</v>
      </c>
      <c r="C54">
        <f>"RS103"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29</v>
      </c>
      <c r="B55" t="s">
        <v>9366</v>
      </c>
      <c r="C55">
        <f>"HBL701"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29</v>
      </c>
      <c r="B56" t="s">
        <v>9367</v>
      </c>
      <c r="C56">
        <f>"HBL501"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29</v>
      </c>
      <c r="B57" t="s">
        <v>9368</v>
      </c>
      <c r="C57">
        <f>"HBL301"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29</v>
      </c>
      <c r="B58" t="s">
        <v>9369</v>
      </c>
      <c r="C58">
        <f>"H100"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29</v>
      </c>
      <c r="B59" t="s">
        <v>9370</v>
      </c>
      <c r="C59">
        <f>"H500"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29</v>
      </c>
      <c r="B60" t="s">
        <v>9345</v>
      </c>
      <c r="C60">
        <f>"RS1507"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29</v>
      </c>
      <c r="B61" t="s">
        <v>9346</v>
      </c>
      <c r="C61">
        <f>"HLBT700"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29</v>
      </c>
      <c r="B62" t="s">
        <v>1326</v>
      </c>
      <c r="C62">
        <f>"RS266F"</f>
        <v>0</v>
      </c>
      <c r="D62">
        <v>0</v>
      </c>
      <c r="E62">
        <v>1</v>
      </c>
      <c r="F62">
        <v>0</v>
      </c>
      <c r="G62">
        <v>0</v>
      </c>
      <c r="H62">
        <v>1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29</v>
      </c>
      <c r="B63" t="s">
        <v>9325</v>
      </c>
      <c r="C63">
        <f>"RS2002"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29</v>
      </c>
      <c r="B64" t="s">
        <v>1373</v>
      </c>
      <c r="C64">
        <f>"BSL12"</f>
        <v>0</v>
      </c>
      <c r="D64">
        <v>0</v>
      </c>
      <c r="E64">
        <v>1</v>
      </c>
      <c r="F64">
        <v>0</v>
      </c>
      <c r="G64">
        <v>0</v>
      </c>
      <c r="H64">
        <v>1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29</v>
      </c>
      <c r="B65" t="s">
        <v>6934</v>
      </c>
      <c r="C65">
        <f>"A102"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29</v>
      </c>
      <c r="B66" t="s">
        <v>6945</v>
      </c>
      <c r="C66">
        <f>"DALLIOGRANULAT"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29</v>
      </c>
      <c r="B67" t="s">
        <v>6948</v>
      </c>
      <c r="C67">
        <f>"65342"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29</v>
      </c>
      <c r="B68" t="s">
        <v>3833</v>
      </c>
      <c r="C68">
        <f>"DR08003B"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29</v>
      </c>
      <c r="B69" t="s">
        <v>3833</v>
      </c>
      <c r="C69">
        <f>"DR08002A"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29</v>
      </c>
      <c r="B70" t="s">
        <v>3834</v>
      </c>
      <c r="C70">
        <f>"DR081"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29</v>
      </c>
      <c r="B71" t="s">
        <v>3835</v>
      </c>
      <c r="C71">
        <f>"DR082"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29</v>
      </c>
      <c r="B72" t="s">
        <v>3836</v>
      </c>
      <c r="C72">
        <f>"DR09002"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29</v>
      </c>
      <c r="B73" t="s">
        <v>3836</v>
      </c>
      <c r="C73">
        <f>"DR08002"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29</v>
      </c>
      <c r="B74" t="s">
        <v>3837</v>
      </c>
      <c r="C74">
        <f>"MALAWI250ML"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29</v>
      </c>
      <c r="B75" t="s">
        <v>9353</v>
      </c>
      <c r="C75">
        <f>"CF800"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29</v>
      </c>
      <c r="B76" t="s">
        <v>8932</v>
      </c>
      <c r="C76">
        <f>"PMM100"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29</v>
      </c>
      <c r="B77" t="s">
        <v>8935</v>
      </c>
      <c r="C77">
        <f>"LS60B"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29</v>
      </c>
      <c r="B78" t="s">
        <v>8936</v>
      </c>
      <c r="C78">
        <f>"LS60T"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29</v>
      </c>
      <c r="B79" t="s">
        <v>7820</v>
      </c>
      <c r="C79">
        <f>"63524"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29</v>
      </c>
      <c r="B80" t="s">
        <v>7821</v>
      </c>
      <c r="C80">
        <f>"63526"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29</v>
      </c>
      <c r="B81" t="s">
        <v>3762</v>
      </c>
      <c r="C81">
        <f>"77514"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29</v>
      </c>
      <c r="B82" t="s">
        <v>3763</v>
      </c>
      <c r="C82">
        <f>"77516"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29</v>
      </c>
      <c r="B83" t="s">
        <v>3764</v>
      </c>
      <c r="C83">
        <f>"61224"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29</v>
      </c>
      <c r="B84" t="s">
        <v>3765</v>
      </c>
      <c r="C84">
        <f>"61226"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29</v>
      </c>
      <c r="B85" t="s">
        <v>3767</v>
      </c>
      <c r="C85">
        <f>"61214"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29</v>
      </c>
      <c r="B86" t="s">
        <v>3768</v>
      </c>
      <c r="C86">
        <f>"61216"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29</v>
      </c>
      <c r="B87" t="s">
        <v>3785</v>
      </c>
      <c r="C87">
        <f>"61263"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29</v>
      </c>
      <c r="B88" t="s">
        <v>3770</v>
      </c>
      <c r="C88">
        <f>"61253"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29</v>
      </c>
      <c r="B89" t="s">
        <v>8930</v>
      </c>
      <c r="C89">
        <f>"PMM50"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29</v>
      </c>
      <c r="B90" t="s">
        <v>9331</v>
      </c>
      <c r="C90">
        <f>"FERTIL"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29</v>
      </c>
      <c r="B91" t="s">
        <v>9332</v>
      </c>
      <c r="C91">
        <f>"FERTIL18"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29</v>
      </c>
      <c r="B92" t="s">
        <v>9333</v>
      </c>
      <c r="C92">
        <f>"TAVTOR"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29</v>
      </c>
      <c r="B93" t="s">
        <v>9504</v>
      </c>
      <c r="C93">
        <f>"70011"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29</v>
      </c>
      <c r="B94" t="s">
        <v>9543</v>
      </c>
      <c r="C94">
        <f>"PH2500"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29</v>
      </c>
      <c r="B95" t="s">
        <v>7092</v>
      </c>
      <c r="C95">
        <f>"DISCUSGRAND"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29</v>
      </c>
      <c r="B96" t="s">
        <v>9371</v>
      </c>
      <c r="C96">
        <f>"H80"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29</v>
      </c>
      <c r="B97" t="s">
        <v>9357</v>
      </c>
      <c r="C97">
        <f>"HBL801"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29</v>
      </c>
      <c r="B98" t="s">
        <v>9313</v>
      </c>
      <c r="C98">
        <f>"HBL802"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29</v>
      </c>
      <c r="B99" t="s">
        <v>1327</v>
      </c>
      <c r="C99">
        <f>"CF688UV"</f>
        <v>0</v>
      </c>
      <c r="D99">
        <v>0</v>
      </c>
      <c r="E99">
        <v>1</v>
      </c>
      <c r="F99">
        <v>0</v>
      </c>
      <c r="G99">
        <v>0</v>
      </c>
      <c r="H99">
        <v>1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29</v>
      </c>
      <c r="B100" t="s">
        <v>1328</v>
      </c>
      <c r="C100">
        <f>"CY20"</f>
        <v>0</v>
      </c>
      <c r="D100">
        <v>0</v>
      </c>
      <c r="E100">
        <v>0</v>
      </c>
      <c r="F100">
        <v>1</v>
      </c>
      <c r="G100">
        <v>0</v>
      </c>
      <c r="H100">
        <v>1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29</v>
      </c>
      <c r="B101" t="s">
        <v>9319</v>
      </c>
      <c r="C101">
        <f>"RS082A"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29</v>
      </c>
      <c r="B102" t="s">
        <v>9324</v>
      </c>
      <c r="C102">
        <f>"RS618B"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29</v>
      </c>
      <c r="B103" t="s">
        <v>3840</v>
      </c>
      <c r="C103">
        <f>"LS60A"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29</v>
      </c>
      <c r="B104" t="s">
        <v>3841</v>
      </c>
      <c r="C104">
        <f>"LS50T"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29</v>
      </c>
      <c r="B105" t="s">
        <v>7093</v>
      </c>
      <c r="C105">
        <f>"DISCUSGRANWILD"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29</v>
      </c>
      <c r="B106" t="s">
        <v>1372</v>
      </c>
      <c r="C106">
        <f>"61614"</f>
        <v>0</v>
      </c>
      <c r="D106">
        <v>0</v>
      </c>
      <c r="E106">
        <v>0</v>
      </c>
      <c r="F106">
        <v>1</v>
      </c>
      <c r="G106">
        <v>0</v>
      </c>
      <c r="H106">
        <v>1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29</v>
      </c>
      <c r="B107" t="s">
        <v>6916</v>
      </c>
      <c r="C107">
        <f>"AS20"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29</v>
      </c>
      <c r="B108" t="s">
        <v>6917</v>
      </c>
      <c r="C108">
        <f>"AS18"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29</v>
      </c>
      <c r="B109" t="s">
        <v>6918</v>
      </c>
      <c r="C109">
        <f>"AS16"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29</v>
      </c>
      <c r="B110" t="s">
        <v>6919</v>
      </c>
      <c r="C110">
        <f>"LY2412"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29</v>
      </c>
      <c r="B111" t="s">
        <v>6920</v>
      </c>
      <c r="C111">
        <f>"HA02310"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29</v>
      </c>
      <c r="B112" t="s">
        <v>6921</v>
      </c>
      <c r="C112">
        <f>"HA0238"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29</v>
      </c>
      <c r="B113" t="s">
        <v>6922</v>
      </c>
      <c r="C113">
        <f>"HA0236"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29</v>
      </c>
      <c r="B114" t="s">
        <v>6923</v>
      </c>
      <c r="C114">
        <f>"HA0234"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29</v>
      </c>
      <c r="B115" t="s">
        <v>6942</v>
      </c>
      <c r="C115">
        <f>"DIFGRANDE"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29</v>
      </c>
      <c r="B116" t="s">
        <v>8937</v>
      </c>
      <c r="C116">
        <f>"LS60R"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29</v>
      </c>
      <c r="B117" t="s">
        <v>4639</v>
      </c>
      <c r="C117">
        <f>"rs380R"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29</v>
      </c>
      <c r="B118" t="s">
        <v>1475</v>
      </c>
      <c r="C118">
        <f>"HR600B"</f>
        <v>0</v>
      </c>
      <c r="D118">
        <v>0</v>
      </c>
      <c r="E118">
        <v>0</v>
      </c>
      <c r="F118">
        <v>1</v>
      </c>
      <c r="G118">
        <v>0</v>
      </c>
      <c r="H118">
        <v>1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29</v>
      </c>
      <c r="B119" t="s">
        <v>10124</v>
      </c>
      <c r="C119">
        <f>"DOPA1"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29</v>
      </c>
      <c r="B120" t="s">
        <v>10197</v>
      </c>
      <c r="C120">
        <f>"77076"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29</v>
      </c>
      <c r="B121" t="s">
        <v>10162</v>
      </c>
      <c r="C121">
        <f>"60476"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29</v>
      </c>
      <c r="B122" t="s">
        <v>10204</v>
      </c>
      <c r="C122">
        <f>"77176"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29</v>
      </c>
      <c r="B123" t="s">
        <v>10191</v>
      </c>
      <c r="C123">
        <f>"PMGA50"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29</v>
      </c>
      <c r="B124" t="s">
        <v>8879</v>
      </c>
      <c r="C124">
        <f>"45158"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29</v>
      </c>
      <c r="B125" t="s">
        <v>8880</v>
      </c>
      <c r="C125">
        <f>"45177"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29</v>
      </c>
      <c r="B126" t="s">
        <v>8850</v>
      </c>
      <c r="C126">
        <f>"45256"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29</v>
      </c>
      <c r="B127" t="s">
        <v>8851</v>
      </c>
      <c r="C127">
        <f>"45255"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29</v>
      </c>
      <c r="B128" t="s">
        <v>8854</v>
      </c>
      <c r="C128">
        <f>"45258"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29</v>
      </c>
      <c r="B129" t="s">
        <v>9349</v>
      </c>
      <c r="C129">
        <f>"CF300"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29</v>
      </c>
      <c r="B130" t="s">
        <v>9179</v>
      </c>
      <c r="C130">
        <f>"34001"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29</v>
      </c>
      <c r="B131" t="s">
        <v>8712</v>
      </c>
      <c r="C131">
        <f>"Z454"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29</v>
      </c>
      <c r="B132" t="s">
        <v>8713</v>
      </c>
      <c r="C132">
        <f>"Z448"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29</v>
      </c>
      <c r="B133" t="s">
        <v>8714</v>
      </c>
      <c r="C133">
        <f>"Z455"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29</v>
      </c>
      <c r="B134" t="s">
        <v>8875</v>
      </c>
      <c r="C134">
        <f>"40879"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29</v>
      </c>
      <c r="B135" t="s">
        <v>8877</v>
      </c>
      <c r="C135">
        <f>"45156"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29</v>
      </c>
      <c r="B136" t="s">
        <v>8878</v>
      </c>
      <c r="C136">
        <f>"45155"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29</v>
      </c>
      <c r="B137" t="s">
        <v>10146</v>
      </c>
      <c r="C137">
        <f>"PMGA25"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29</v>
      </c>
      <c r="B138" t="s">
        <v>10147</v>
      </c>
      <c r="C138">
        <f>"PMGA100"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29</v>
      </c>
      <c r="B139" t="s">
        <v>10002</v>
      </c>
      <c r="C139">
        <f>"61736"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29</v>
      </c>
      <c r="B140" t="s">
        <v>10003</v>
      </c>
      <c r="C140">
        <f>"61726"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29</v>
      </c>
      <c r="B141" t="s">
        <v>10004</v>
      </c>
      <c r="C141">
        <f>"61716"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29</v>
      </c>
      <c r="B142" t="s">
        <v>9984</v>
      </c>
      <c r="C142">
        <f>"GGP"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29</v>
      </c>
      <c r="B143" t="s">
        <v>892</v>
      </c>
      <c r="C143">
        <f>"40677"</f>
        <v>0</v>
      </c>
      <c r="D143">
        <v>0</v>
      </c>
      <c r="E143">
        <v>3</v>
      </c>
      <c r="F143">
        <v>0</v>
      </c>
      <c r="G143">
        <v>0</v>
      </c>
      <c r="H143">
        <v>3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29</v>
      </c>
      <c r="B144" t="s">
        <v>8732</v>
      </c>
      <c r="C144">
        <f>"CH9082"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29</v>
      </c>
      <c r="B145" t="s">
        <v>8556</v>
      </c>
      <c r="C145">
        <f>"CH9983"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29</v>
      </c>
      <c r="B146" t="s">
        <v>8563</v>
      </c>
      <c r="C146">
        <f>"rs06"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29</v>
      </c>
      <c r="B147" t="s">
        <v>8520</v>
      </c>
      <c r="C147">
        <f>"rs09"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29</v>
      </c>
      <c r="B148" t="s">
        <v>8521</v>
      </c>
      <c r="C148">
        <f>"SM001"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29</v>
      </c>
      <c r="B149" t="s">
        <v>8522</v>
      </c>
      <c r="C149">
        <f>"SM002"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29</v>
      </c>
      <c r="B150" t="s">
        <v>8530</v>
      </c>
      <c r="C150">
        <f>"32134"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29</v>
      </c>
      <c r="B151" t="s">
        <v>8531</v>
      </c>
      <c r="C151">
        <f>"32132"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29</v>
      </c>
      <c r="B152" t="s">
        <v>9852</v>
      </c>
      <c r="C152">
        <f>"HCC"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29</v>
      </c>
      <c r="B153" t="s">
        <v>9757</v>
      </c>
      <c r="C153">
        <f>"PMHM50"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29</v>
      </c>
      <c r="B154" t="s">
        <v>9758</v>
      </c>
      <c r="C154">
        <f>"PMHM25"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29</v>
      </c>
      <c r="B155" t="s">
        <v>9759</v>
      </c>
      <c r="C155">
        <f>"PHHM100"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29</v>
      </c>
      <c r="B156" t="s">
        <v>9789</v>
      </c>
      <c r="C156">
        <f>"32072"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29</v>
      </c>
      <c r="B157" t="s">
        <v>4638</v>
      </c>
      <c r="C157">
        <f>"rs600N"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29</v>
      </c>
      <c r="B158" t="s">
        <v>6085</v>
      </c>
      <c r="C158">
        <f>"80103"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29</v>
      </c>
      <c r="B159" t="s">
        <v>6091</v>
      </c>
      <c r="C159">
        <f>"F0045"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29</v>
      </c>
      <c r="B160" t="s">
        <v>4792</v>
      </c>
      <c r="C160">
        <f>"HR300B"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100</v>
      </c>
      <c r="Q160">
        <v>0</v>
      </c>
      <c r="R160" t="s">
        <v>145</v>
      </c>
      <c r="S160">
        <v>0</v>
      </c>
    </row>
    <row r="161" spans="1:19">
      <c r="A161" t="s">
        <v>29</v>
      </c>
      <c r="B161" t="s">
        <v>4793</v>
      </c>
      <c r="C161">
        <f>"HRG800D"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29</v>
      </c>
      <c r="B162" t="s">
        <v>1432</v>
      </c>
      <c r="C162">
        <f>"HRG800B"</f>
        <v>0</v>
      </c>
      <c r="D162">
        <v>1</v>
      </c>
      <c r="E162">
        <v>0</v>
      </c>
      <c r="F162">
        <v>0</v>
      </c>
      <c r="G162">
        <v>0</v>
      </c>
      <c r="H162">
        <v>1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29</v>
      </c>
      <c r="B163" t="s">
        <v>4810</v>
      </c>
      <c r="C163">
        <f>"C580BL"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29</v>
      </c>
      <c r="B164" t="s">
        <v>4808</v>
      </c>
      <c r="C164">
        <f>"KM550H"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29</v>
      </c>
      <c r="B165" t="s">
        <v>4809</v>
      </c>
      <c r="C165">
        <f>"QR223"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29</v>
      </c>
      <c r="B166" t="s">
        <v>5468</v>
      </c>
      <c r="C166">
        <f>"C580NG"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100</v>
      </c>
      <c r="Q166">
        <v>0</v>
      </c>
      <c r="R166" t="s">
        <v>145</v>
      </c>
      <c r="S166">
        <v>0</v>
      </c>
    </row>
    <row r="167" spans="1:19">
      <c r="A167" t="s">
        <v>29</v>
      </c>
      <c r="B167" t="s">
        <v>6096</v>
      </c>
      <c r="C167">
        <f>"C480NG"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100</v>
      </c>
      <c r="Q167">
        <v>0</v>
      </c>
      <c r="R167" t="s">
        <v>145</v>
      </c>
      <c r="S167">
        <v>0</v>
      </c>
    </row>
    <row r="168" spans="1:19">
      <c r="A168" t="s">
        <v>29</v>
      </c>
      <c r="B168" t="s">
        <v>6097</v>
      </c>
      <c r="C168">
        <f>"C380NG"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29</v>
      </c>
      <c r="B169" t="s">
        <v>4668</v>
      </c>
      <c r="C169">
        <f>"blp31"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100</v>
      </c>
      <c r="Q169">
        <v>0</v>
      </c>
      <c r="R169" t="s">
        <v>145</v>
      </c>
      <c r="S169">
        <v>0</v>
      </c>
    </row>
    <row r="170" spans="1:19">
      <c r="A170" t="s">
        <v>29</v>
      </c>
      <c r="B170" t="s">
        <v>4637</v>
      </c>
      <c r="C170">
        <f>"blp22"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29</v>
      </c>
      <c r="B171" t="s">
        <v>882</v>
      </c>
      <c r="C171">
        <f>"20711"</f>
        <v>0</v>
      </c>
      <c r="D171">
        <v>0</v>
      </c>
      <c r="E171">
        <v>3</v>
      </c>
      <c r="F171">
        <v>0</v>
      </c>
      <c r="G171">
        <v>0</v>
      </c>
      <c r="H171">
        <v>3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29</v>
      </c>
      <c r="B172" t="s">
        <v>9268</v>
      </c>
      <c r="C172">
        <f>"980F"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29</v>
      </c>
      <c r="B173" t="s">
        <v>9269</v>
      </c>
      <c r="C173">
        <f>"960F"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29</v>
      </c>
      <c r="B174" t="s">
        <v>9270</v>
      </c>
      <c r="C174">
        <f>"950F"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100</v>
      </c>
      <c r="Q174">
        <v>0</v>
      </c>
      <c r="R174" t="s">
        <v>145</v>
      </c>
      <c r="S174">
        <v>0</v>
      </c>
    </row>
    <row r="175" spans="1:19">
      <c r="A175" t="s">
        <v>29</v>
      </c>
      <c r="B175" t="s">
        <v>9303</v>
      </c>
      <c r="C175">
        <f>"JUP01"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100</v>
      </c>
      <c r="Q175">
        <v>0</v>
      </c>
      <c r="R175" t="s">
        <v>145</v>
      </c>
      <c r="S175">
        <v>0</v>
      </c>
    </row>
    <row r="176" spans="1:19">
      <c r="A176" t="s">
        <v>29</v>
      </c>
      <c r="B176" t="s">
        <v>9304</v>
      </c>
      <c r="C176">
        <f>"JUP22"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100</v>
      </c>
      <c r="Q176">
        <v>0</v>
      </c>
      <c r="R176" t="s">
        <v>145</v>
      </c>
      <c r="S176">
        <v>0</v>
      </c>
    </row>
    <row r="177" spans="1:19">
      <c r="A177" t="s">
        <v>29</v>
      </c>
      <c r="B177" t="s">
        <v>9306</v>
      </c>
      <c r="C177">
        <f>"HW404B"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100</v>
      </c>
      <c r="Q177">
        <v>0</v>
      </c>
      <c r="R177" t="s">
        <v>145</v>
      </c>
      <c r="S177">
        <v>0</v>
      </c>
    </row>
    <row r="178" spans="1:19">
      <c r="A178" t="s">
        <v>29</v>
      </c>
      <c r="B178" t="s">
        <v>1324</v>
      </c>
      <c r="C178">
        <f>"HW303B"</f>
        <v>0</v>
      </c>
      <c r="D178">
        <v>1</v>
      </c>
      <c r="E178">
        <v>0</v>
      </c>
      <c r="F178">
        <v>0</v>
      </c>
      <c r="G178">
        <v>0</v>
      </c>
      <c r="H178">
        <v>1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100</v>
      </c>
      <c r="Q178">
        <v>0</v>
      </c>
      <c r="R178" t="s">
        <v>145</v>
      </c>
      <c r="S178">
        <v>0</v>
      </c>
    </row>
    <row r="179" spans="1:19">
      <c r="A179" t="s">
        <v>29</v>
      </c>
      <c r="B179" t="s">
        <v>9307</v>
      </c>
      <c r="C179">
        <f>"MV100"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100</v>
      </c>
      <c r="Q179">
        <v>0</v>
      </c>
      <c r="R179" t="s">
        <v>145</v>
      </c>
      <c r="S179">
        <v>0</v>
      </c>
    </row>
    <row r="180" spans="1:19">
      <c r="A180" t="s">
        <v>29</v>
      </c>
      <c r="B180" t="s">
        <v>9310</v>
      </c>
      <c r="C180">
        <f>"HW502"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100</v>
      </c>
      <c r="Q180">
        <v>0</v>
      </c>
      <c r="R180" t="s">
        <v>145</v>
      </c>
      <c r="S180">
        <v>0</v>
      </c>
    </row>
    <row r="181" spans="1:19">
      <c r="A181" t="s">
        <v>29</v>
      </c>
      <c r="B181" t="s">
        <v>9311</v>
      </c>
      <c r="C181">
        <f>"JP044F"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100</v>
      </c>
      <c r="Q181">
        <v>0</v>
      </c>
      <c r="R181" t="s">
        <v>145</v>
      </c>
      <c r="S181">
        <v>0</v>
      </c>
    </row>
    <row r="182" spans="1:19">
      <c r="A182" t="s">
        <v>29</v>
      </c>
      <c r="B182" t="s">
        <v>8926</v>
      </c>
      <c r="C182">
        <f>"I20"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100</v>
      </c>
      <c r="Q182">
        <v>0</v>
      </c>
      <c r="R182" t="s">
        <v>145</v>
      </c>
      <c r="S182">
        <v>0</v>
      </c>
    </row>
    <row r="183" spans="1:19">
      <c r="A183" t="s">
        <v>29</v>
      </c>
      <c r="B183" t="s">
        <v>8927</v>
      </c>
      <c r="C183">
        <f>"I15"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100</v>
      </c>
      <c r="Q183">
        <v>0</v>
      </c>
      <c r="R183" t="s">
        <v>145</v>
      </c>
      <c r="S183">
        <v>0</v>
      </c>
    </row>
    <row r="184" spans="1:19">
      <c r="A184" t="s">
        <v>29</v>
      </c>
      <c r="B184" t="s">
        <v>8944</v>
      </c>
      <c r="C184">
        <f>"AS017S"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100</v>
      </c>
      <c r="Q184">
        <v>0</v>
      </c>
      <c r="R184" t="s">
        <v>145</v>
      </c>
      <c r="S184">
        <v>0</v>
      </c>
    </row>
    <row r="185" spans="1:19">
      <c r="A185" t="s">
        <v>29</v>
      </c>
      <c r="B185" t="s">
        <v>9985</v>
      </c>
      <c r="C185">
        <f>"GAMMARUSGRS"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100</v>
      </c>
      <c r="Q185">
        <v>0</v>
      </c>
      <c r="R185" t="s">
        <v>145</v>
      </c>
      <c r="S185">
        <v>0</v>
      </c>
    </row>
    <row r="186" spans="1:19">
      <c r="A186" t="s">
        <v>29</v>
      </c>
      <c r="B186" t="s">
        <v>8895</v>
      </c>
      <c r="C186">
        <f>"LS35"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100</v>
      </c>
      <c r="Q186">
        <v>0</v>
      </c>
      <c r="R186" t="s">
        <v>145</v>
      </c>
      <c r="S186">
        <v>0</v>
      </c>
    </row>
    <row r="187" spans="1:19">
      <c r="A187" t="s">
        <v>29</v>
      </c>
      <c r="B187" t="s">
        <v>8896</v>
      </c>
      <c r="C187">
        <f>"LS70"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100</v>
      </c>
      <c r="Q187">
        <v>0</v>
      </c>
      <c r="R187" t="s">
        <v>145</v>
      </c>
      <c r="S187">
        <v>0</v>
      </c>
    </row>
    <row r="188" spans="1:19">
      <c r="A188" t="s">
        <v>29</v>
      </c>
      <c r="B188" t="s">
        <v>8988</v>
      </c>
      <c r="C188">
        <f>"F301"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100</v>
      </c>
      <c r="Q188">
        <v>0</v>
      </c>
      <c r="R188" t="s">
        <v>145</v>
      </c>
      <c r="S188">
        <v>0</v>
      </c>
    </row>
    <row r="189" spans="1:19">
      <c r="A189" t="s">
        <v>29</v>
      </c>
      <c r="B189" t="s">
        <v>8766</v>
      </c>
      <c r="C189">
        <f>"LED1090R"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100</v>
      </c>
      <c r="Q189">
        <v>0</v>
      </c>
      <c r="R189" t="s">
        <v>145</v>
      </c>
      <c r="S189">
        <v>0</v>
      </c>
    </row>
    <row r="190" spans="1:19">
      <c r="A190" t="s">
        <v>29</v>
      </c>
      <c r="B190" t="s">
        <v>8767</v>
      </c>
      <c r="C190">
        <f>"LED1090M"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100</v>
      </c>
      <c r="Q190">
        <v>0</v>
      </c>
      <c r="R190" t="s">
        <v>145</v>
      </c>
      <c r="S190">
        <v>0</v>
      </c>
    </row>
    <row r="191" spans="1:19">
      <c r="A191" t="s">
        <v>29</v>
      </c>
      <c r="B191" t="s">
        <v>8769</v>
      </c>
      <c r="C191">
        <f>"LED1089R"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100</v>
      </c>
      <c r="Q191">
        <v>0</v>
      </c>
      <c r="R191" t="s">
        <v>145</v>
      </c>
      <c r="S191">
        <v>0</v>
      </c>
    </row>
    <row r="192" spans="1:19">
      <c r="A192" t="s">
        <v>29</v>
      </c>
      <c r="B192" t="s">
        <v>8770</v>
      </c>
      <c r="C192">
        <f>"LED1089M"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100</v>
      </c>
      <c r="Q192">
        <v>0</v>
      </c>
      <c r="R192" t="s">
        <v>145</v>
      </c>
      <c r="S192">
        <v>0</v>
      </c>
    </row>
    <row r="193" spans="1:19">
      <c r="A193" t="s">
        <v>29</v>
      </c>
      <c r="B193" t="s">
        <v>8771</v>
      </c>
      <c r="C193">
        <f>"LED1089B"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100</v>
      </c>
      <c r="Q193">
        <v>0</v>
      </c>
      <c r="R193" t="s">
        <v>145</v>
      </c>
      <c r="S193">
        <v>0</v>
      </c>
    </row>
    <row r="194" spans="1:19">
      <c r="A194" t="s">
        <v>29</v>
      </c>
      <c r="B194" t="s">
        <v>9257</v>
      </c>
      <c r="C194">
        <f>"JP023F"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100</v>
      </c>
      <c r="Q194">
        <v>0</v>
      </c>
      <c r="R194" t="s">
        <v>145</v>
      </c>
      <c r="S194">
        <v>0</v>
      </c>
    </row>
    <row r="195" spans="1:19">
      <c r="A195" t="s">
        <v>29</v>
      </c>
      <c r="B195" t="s">
        <v>9258</v>
      </c>
      <c r="C195">
        <f>"NW600F"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100</v>
      </c>
      <c r="Q195">
        <v>0</v>
      </c>
      <c r="R195" t="s">
        <v>145</v>
      </c>
      <c r="S195">
        <v>0</v>
      </c>
    </row>
    <row r="196" spans="1:19">
      <c r="A196" t="s">
        <v>29</v>
      </c>
      <c r="B196" t="s">
        <v>9259</v>
      </c>
      <c r="C196">
        <f>"NW450F"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100</v>
      </c>
      <c r="Q196">
        <v>0</v>
      </c>
      <c r="R196" t="s">
        <v>145</v>
      </c>
      <c r="S196">
        <v>0</v>
      </c>
    </row>
    <row r="197" spans="1:19">
      <c r="A197" t="s">
        <v>29</v>
      </c>
      <c r="B197" t="s">
        <v>3875</v>
      </c>
      <c r="C197">
        <f>"ACO3"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100</v>
      </c>
      <c r="Q197">
        <v>0</v>
      </c>
      <c r="R197" t="s">
        <v>145</v>
      </c>
      <c r="S197">
        <v>0</v>
      </c>
    </row>
    <row r="198" spans="1:19">
      <c r="A198" t="s">
        <v>29</v>
      </c>
      <c r="B198" t="s">
        <v>9350</v>
      </c>
      <c r="C198">
        <f>"MC918UV"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100</v>
      </c>
      <c r="Q198">
        <v>0</v>
      </c>
      <c r="R198" t="s">
        <v>145</v>
      </c>
      <c r="S198">
        <v>0</v>
      </c>
    </row>
    <row r="199" spans="1:19">
      <c r="A199" t="s">
        <v>29</v>
      </c>
      <c r="B199" t="s">
        <v>8894</v>
      </c>
      <c r="C199">
        <f>"LS50"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100</v>
      </c>
      <c r="Q199">
        <v>0</v>
      </c>
      <c r="R199" t="s">
        <v>145</v>
      </c>
      <c r="S199">
        <v>0</v>
      </c>
    </row>
    <row r="200" spans="1:19">
      <c r="A200" t="s">
        <v>29</v>
      </c>
      <c r="B200" t="s">
        <v>9426</v>
      </c>
      <c r="C200">
        <f>"F50E"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100</v>
      </c>
      <c r="Q200">
        <v>0</v>
      </c>
      <c r="R200" t="s">
        <v>145</v>
      </c>
      <c r="S200">
        <v>0</v>
      </c>
    </row>
    <row r="201" spans="1:19">
      <c r="A201" t="s">
        <v>29</v>
      </c>
      <c r="B201" t="s">
        <v>9427</v>
      </c>
      <c r="C201">
        <f>"F30E"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100</v>
      </c>
      <c r="Q201">
        <v>0</v>
      </c>
      <c r="R201" t="s">
        <v>145</v>
      </c>
      <c r="S201">
        <v>0</v>
      </c>
    </row>
    <row r="202" spans="1:19">
      <c r="A202" t="s">
        <v>29</v>
      </c>
      <c r="B202" t="s">
        <v>1504</v>
      </c>
      <c r="C202">
        <f>"MLS6006A"</f>
        <v>0</v>
      </c>
      <c r="D202">
        <v>0</v>
      </c>
      <c r="E202">
        <v>0</v>
      </c>
      <c r="F202">
        <v>1</v>
      </c>
      <c r="G202">
        <v>0</v>
      </c>
      <c r="H202">
        <v>1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100</v>
      </c>
      <c r="Q202">
        <v>0</v>
      </c>
      <c r="R202" t="s">
        <v>145</v>
      </c>
      <c r="S202">
        <v>0</v>
      </c>
    </row>
    <row r="203" spans="1:19">
      <c r="A203" t="s">
        <v>29</v>
      </c>
      <c r="B203" t="s">
        <v>10121</v>
      </c>
      <c r="C203">
        <f>"DOPR1"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100</v>
      </c>
      <c r="Q203">
        <v>0</v>
      </c>
      <c r="R203" t="s">
        <v>145</v>
      </c>
      <c r="S203">
        <v>0</v>
      </c>
    </row>
    <row r="204" spans="1:19">
      <c r="A204" t="s">
        <v>29</v>
      </c>
      <c r="B204" t="s">
        <v>10122</v>
      </c>
      <c r="C204">
        <f>"DOPN1"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100</v>
      </c>
      <c r="Q204">
        <v>0</v>
      </c>
      <c r="R204" t="s">
        <v>145</v>
      </c>
      <c r="S204">
        <v>0</v>
      </c>
    </row>
    <row r="205" spans="1:19">
      <c r="A205" t="s">
        <v>29</v>
      </c>
      <c r="B205" t="s">
        <v>10123</v>
      </c>
      <c r="C205">
        <f>"DOPB1"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100</v>
      </c>
      <c r="Q205">
        <v>0</v>
      </c>
      <c r="R205" t="s">
        <v>145</v>
      </c>
      <c r="S205">
        <v>0</v>
      </c>
    </row>
    <row r="206" spans="1:19">
      <c r="A206" t="s">
        <v>29</v>
      </c>
      <c r="B206" t="s">
        <v>9296</v>
      </c>
      <c r="C206">
        <f>"HJ611B"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100</v>
      </c>
      <c r="Q206">
        <v>0</v>
      </c>
      <c r="R206" t="s">
        <v>145</v>
      </c>
      <c r="S206">
        <v>0</v>
      </c>
    </row>
    <row r="207" spans="1:19">
      <c r="A207" t="s">
        <v>29</v>
      </c>
      <c r="B207" t="s">
        <v>9253</v>
      </c>
      <c r="C207">
        <f>"HJ411B"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100</v>
      </c>
      <c r="Q207">
        <v>0</v>
      </c>
      <c r="R207" t="s">
        <v>145</v>
      </c>
      <c r="S207">
        <v>0</v>
      </c>
    </row>
    <row r="208" spans="1:19">
      <c r="A208" t="s">
        <v>29</v>
      </c>
      <c r="B208" t="s">
        <v>9254</v>
      </c>
      <c r="C208">
        <f>"HJ111B"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100</v>
      </c>
      <c r="Q208">
        <v>0</v>
      </c>
      <c r="R208" t="s">
        <v>145</v>
      </c>
      <c r="S208">
        <v>0</v>
      </c>
    </row>
    <row r="209" spans="1:19">
      <c r="A209" t="s">
        <v>29</v>
      </c>
      <c r="B209" t="s">
        <v>9255</v>
      </c>
      <c r="C209">
        <f>"JP025F"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100</v>
      </c>
      <c r="Q209">
        <v>0</v>
      </c>
      <c r="R209" t="s">
        <v>145</v>
      </c>
      <c r="S209">
        <v>0</v>
      </c>
    </row>
    <row r="210" spans="1:19">
      <c r="A210" t="s">
        <v>29</v>
      </c>
      <c r="B210" t="s">
        <v>8772</v>
      </c>
      <c r="C210">
        <f>"LED1088R"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100</v>
      </c>
      <c r="Q210">
        <v>0</v>
      </c>
      <c r="R210" t="s">
        <v>145</v>
      </c>
      <c r="S210">
        <v>0</v>
      </c>
    </row>
    <row r="211" spans="1:19">
      <c r="A211" t="s">
        <v>29</v>
      </c>
      <c r="B211" t="s">
        <v>8797</v>
      </c>
      <c r="C211">
        <f>"LED1088M"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100</v>
      </c>
      <c r="Q211">
        <v>0</v>
      </c>
      <c r="R211" t="s">
        <v>145</v>
      </c>
      <c r="S211">
        <v>0</v>
      </c>
    </row>
    <row r="212" spans="1:19">
      <c r="A212" t="s">
        <v>29</v>
      </c>
      <c r="B212" t="s">
        <v>8798</v>
      </c>
      <c r="C212">
        <f>"LED1088B"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100</v>
      </c>
      <c r="Q212">
        <v>0</v>
      </c>
      <c r="R212" t="s">
        <v>145</v>
      </c>
      <c r="S212">
        <v>0</v>
      </c>
    </row>
    <row r="213" spans="1:19">
      <c r="A213" t="s">
        <v>29</v>
      </c>
      <c r="B213" t="s">
        <v>9282</v>
      </c>
      <c r="C213">
        <f>"F1200"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100</v>
      </c>
      <c r="Q213">
        <v>0</v>
      </c>
      <c r="R213" t="s">
        <v>145</v>
      </c>
      <c r="S213">
        <v>0</v>
      </c>
    </row>
    <row r="214" spans="1:19">
      <c r="A214" t="s">
        <v>29</v>
      </c>
      <c r="B214" t="s">
        <v>8871</v>
      </c>
      <c r="C214">
        <f>"LE80"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100</v>
      </c>
      <c r="Q214">
        <v>0</v>
      </c>
      <c r="R214" t="s">
        <v>145</v>
      </c>
      <c r="S214">
        <v>0</v>
      </c>
    </row>
    <row r="215" spans="1:19">
      <c r="A215" t="s">
        <v>29</v>
      </c>
      <c r="B215" t="s">
        <v>8872</v>
      </c>
      <c r="C215">
        <f>"LE60"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100</v>
      </c>
      <c r="Q215">
        <v>0</v>
      </c>
      <c r="R215" t="s">
        <v>145</v>
      </c>
      <c r="S215">
        <v>0</v>
      </c>
    </row>
    <row r="216" spans="1:19">
      <c r="A216" t="s">
        <v>29</v>
      </c>
      <c r="B216" t="s">
        <v>8785</v>
      </c>
      <c r="C216">
        <f>"LE40"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100</v>
      </c>
      <c r="Q216">
        <v>0</v>
      </c>
      <c r="R216" t="s">
        <v>145</v>
      </c>
      <c r="S216">
        <v>0</v>
      </c>
    </row>
    <row r="217" spans="1:19">
      <c r="A217" t="s">
        <v>29</v>
      </c>
      <c r="B217" t="s">
        <v>8786</v>
      </c>
      <c r="C217">
        <f>"LE30"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100</v>
      </c>
      <c r="Q217">
        <v>0</v>
      </c>
      <c r="R217" t="s">
        <v>145</v>
      </c>
      <c r="S217">
        <v>0</v>
      </c>
    </row>
    <row r="218" spans="1:19">
      <c r="A218" t="s">
        <v>29</v>
      </c>
      <c r="B218" t="s">
        <v>8792</v>
      </c>
      <c r="C218">
        <f>"D20LED"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100</v>
      </c>
      <c r="Q218">
        <v>0</v>
      </c>
      <c r="R218" t="s">
        <v>145</v>
      </c>
      <c r="S218">
        <v>0</v>
      </c>
    </row>
    <row r="219" spans="1:19">
      <c r="A219" t="s">
        <v>29</v>
      </c>
      <c r="B219" t="s">
        <v>8881</v>
      </c>
      <c r="C219">
        <f>"D14LED"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100</v>
      </c>
      <c r="Q219">
        <v>0</v>
      </c>
      <c r="R219" t="s">
        <v>145</v>
      </c>
      <c r="S219">
        <v>0</v>
      </c>
    </row>
    <row r="220" spans="1:19">
      <c r="A220" t="s">
        <v>29</v>
      </c>
      <c r="B220" t="s">
        <v>8882</v>
      </c>
      <c r="C220">
        <f>"D10LED"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100</v>
      </c>
      <c r="Q220">
        <v>0</v>
      </c>
      <c r="R220" t="s">
        <v>145</v>
      </c>
      <c r="S220">
        <v>0</v>
      </c>
    </row>
    <row r="221" spans="1:19">
      <c r="A221" t="s">
        <v>29</v>
      </c>
      <c r="B221" t="s">
        <v>8874</v>
      </c>
      <c r="C221">
        <f>"40657"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100</v>
      </c>
      <c r="Q221">
        <v>0</v>
      </c>
      <c r="R221" t="s">
        <v>145</v>
      </c>
      <c r="S221">
        <v>0</v>
      </c>
    </row>
    <row r="222" spans="1:19">
      <c r="A222" t="s">
        <v>29</v>
      </c>
      <c r="B222" t="s">
        <v>9260</v>
      </c>
      <c r="C222">
        <f>"CF900"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100</v>
      </c>
      <c r="Q222">
        <v>0</v>
      </c>
      <c r="R222" t="s">
        <v>145</v>
      </c>
      <c r="S222">
        <v>0</v>
      </c>
    </row>
    <row r="223" spans="1:19">
      <c r="A223" t="s">
        <v>29</v>
      </c>
      <c r="B223" t="s">
        <v>9262</v>
      </c>
      <c r="C223">
        <f>"HLBT200"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100</v>
      </c>
      <c r="Q223">
        <v>0</v>
      </c>
      <c r="R223" t="s">
        <v>145</v>
      </c>
      <c r="S223">
        <v>0</v>
      </c>
    </row>
    <row r="224" spans="1:19">
      <c r="A224" t="s">
        <v>29</v>
      </c>
      <c r="B224" t="s">
        <v>9263</v>
      </c>
      <c r="C224">
        <f>"RP400"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100</v>
      </c>
      <c r="Q224">
        <v>0</v>
      </c>
      <c r="R224" t="s">
        <v>145</v>
      </c>
      <c r="S224">
        <v>0</v>
      </c>
    </row>
    <row r="225" spans="1:19">
      <c r="A225" t="s">
        <v>29</v>
      </c>
      <c r="B225" t="s">
        <v>9264</v>
      </c>
      <c r="C225">
        <f>"RP200"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100</v>
      </c>
      <c r="Q225">
        <v>0</v>
      </c>
      <c r="R225" t="s">
        <v>145</v>
      </c>
      <c r="S225">
        <v>0</v>
      </c>
    </row>
    <row r="226" spans="1:19">
      <c r="A226" t="s">
        <v>29</v>
      </c>
      <c r="B226" t="s">
        <v>9265</v>
      </c>
      <c r="C226">
        <f>"F800"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100</v>
      </c>
      <c r="Q226">
        <v>0</v>
      </c>
      <c r="R226" t="s">
        <v>145</v>
      </c>
      <c r="S226">
        <v>0</v>
      </c>
    </row>
    <row r="227" spans="1:19">
      <c r="A227" t="s">
        <v>29</v>
      </c>
      <c r="B227" t="s">
        <v>8886</v>
      </c>
      <c r="C227">
        <f>"LE16"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100</v>
      </c>
      <c r="Q227">
        <v>0</v>
      </c>
      <c r="R227" t="s">
        <v>145</v>
      </c>
      <c r="S227">
        <v>0</v>
      </c>
    </row>
    <row r="228" spans="1:19">
      <c r="A228" t="s">
        <v>29</v>
      </c>
      <c r="B228" t="s">
        <v>6365</v>
      </c>
      <c r="C228">
        <f>"CH5170"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100</v>
      </c>
      <c r="Q228">
        <v>0</v>
      </c>
      <c r="R228" t="s">
        <v>145</v>
      </c>
      <c r="S228">
        <v>0</v>
      </c>
    </row>
    <row r="229" spans="1:19">
      <c r="A229" t="s">
        <v>29</v>
      </c>
      <c r="B229" t="s">
        <v>6366</v>
      </c>
      <c r="C229">
        <f>"CH1836"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100</v>
      </c>
      <c r="Q229">
        <v>0</v>
      </c>
      <c r="R229" t="s">
        <v>145</v>
      </c>
      <c r="S229">
        <v>0</v>
      </c>
    </row>
    <row r="230" spans="1:19">
      <c r="A230" t="s">
        <v>29</v>
      </c>
      <c r="B230" t="s">
        <v>6258</v>
      </c>
      <c r="C230">
        <f>"CH10029"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100</v>
      </c>
      <c r="Q230">
        <v>0</v>
      </c>
      <c r="R230" t="s">
        <v>145</v>
      </c>
      <c r="S230">
        <v>0</v>
      </c>
    </row>
    <row r="231" spans="1:19">
      <c r="A231" t="s">
        <v>29</v>
      </c>
      <c r="B231" t="s">
        <v>6259</v>
      </c>
      <c r="C231">
        <f>"CH5980"</f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 s="2">
        <v>0</v>
      </c>
      <c r="M231">
        <v>0</v>
      </c>
      <c r="N231" s="2">
        <v>0</v>
      </c>
      <c r="O231">
        <v>0</v>
      </c>
      <c r="P231" t="s">
        <v>100</v>
      </c>
      <c r="Q231">
        <v>0</v>
      </c>
      <c r="R231" t="s">
        <v>145</v>
      </c>
      <c r="S231">
        <v>0</v>
      </c>
    </row>
    <row r="232" spans="1:19">
      <c r="A232" t="s">
        <v>29</v>
      </c>
      <c r="B232" t="s">
        <v>6269</v>
      </c>
      <c r="C232">
        <f>"U124"</f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 s="2">
        <v>0</v>
      </c>
      <c r="M232">
        <v>0</v>
      </c>
      <c r="N232" s="2">
        <v>0</v>
      </c>
      <c r="O232">
        <v>0</v>
      </c>
      <c r="P232" t="s">
        <v>100</v>
      </c>
      <c r="Q232">
        <v>0</v>
      </c>
      <c r="R232" t="s">
        <v>145</v>
      </c>
      <c r="S232">
        <v>0</v>
      </c>
    </row>
    <row r="233" spans="1:19">
      <c r="A233" t="s">
        <v>29</v>
      </c>
      <c r="B233" t="s">
        <v>6157</v>
      </c>
      <c r="C233">
        <f>"GLASS1"</f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 s="2">
        <v>0</v>
      </c>
      <c r="M233">
        <v>0</v>
      </c>
      <c r="N233" s="2">
        <v>0</v>
      </c>
      <c r="O233">
        <v>0</v>
      </c>
      <c r="P233" t="s">
        <v>100</v>
      </c>
      <c r="Q233">
        <v>0</v>
      </c>
      <c r="R233" t="s">
        <v>145</v>
      </c>
      <c r="S233">
        <v>0</v>
      </c>
    </row>
    <row r="234" spans="1:19">
      <c r="A234" t="s">
        <v>29</v>
      </c>
      <c r="B234" t="s">
        <v>6163</v>
      </c>
      <c r="C234">
        <f>"CNI200"</f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 s="2">
        <v>0</v>
      </c>
      <c r="M234">
        <v>0</v>
      </c>
      <c r="N234" s="2">
        <v>0</v>
      </c>
      <c r="O234">
        <v>0</v>
      </c>
      <c r="P234" t="s">
        <v>100</v>
      </c>
      <c r="Q234">
        <v>0</v>
      </c>
      <c r="R234" t="s">
        <v>145</v>
      </c>
      <c r="S234">
        <v>0</v>
      </c>
    </row>
    <row r="235" spans="1:19">
      <c r="A235" t="s">
        <v>29</v>
      </c>
      <c r="B235" t="s">
        <v>6164</v>
      </c>
      <c r="C235">
        <f>"CNI100"</f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 s="2">
        <v>0</v>
      </c>
      <c r="M235">
        <v>0</v>
      </c>
      <c r="N235" s="2">
        <v>0</v>
      </c>
      <c r="O235">
        <v>0</v>
      </c>
      <c r="P235" t="s">
        <v>100</v>
      </c>
      <c r="Q235">
        <v>0</v>
      </c>
      <c r="R235" t="s">
        <v>145</v>
      </c>
      <c r="S235">
        <v>0</v>
      </c>
    </row>
    <row r="236" spans="1:19">
      <c r="A236" t="s">
        <v>29</v>
      </c>
      <c r="B236" t="s">
        <v>6147</v>
      </c>
      <c r="C236">
        <f>"X105L"</f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 s="2">
        <v>0</v>
      </c>
      <c r="M236">
        <v>0</v>
      </c>
      <c r="N236" s="2">
        <v>0</v>
      </c>
      <c r="O236">
        <v>0</v>
      </c>
      <c r="P236" t="s">
        <v>100</v>
      </c>
      <c r="Q236">
        <v>0</v>
      </c>
      <c r="R236" t="s">
        <v>145</v>
      </c>
      <c r="S236">
        <v>0</v>
      </c>
    </row>
    <row r="237" spans="1:19">
      <c r="A237" t="s">
        <v>29</v>
      </c>
      <c r="B237" t="s">
        <v>6148</v>
      </c>
      <c r="C237">
        <f>"X102L"</f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 s="2">
        <v>0</v>
      </c>
      <c r="M237">
        <v>0</v>
      </c>
      <c r="N237" s="2">
        <v>0</v>
      </c>
      <c r="O237">
        <v>0</v>
      </c>
      <c r="P237" t="s">
        <v>100</v>
      </c>
      <c r="Q237">
        <v>0</v>
      </c>
      <c r="R237" t="s">
        <v>145</v>
      </c>
      <c r="S237">
        <v>0</v>
      </c>
    </row>
    <row r="238" spans="1:19">
      <c r="A238" t="s">
        <v>29</v>
      </c>
      <c r="B238" t="s">
        <v>1433</v>
      </c>
      <c r="C238">
        <f>"KY9L"</f>
        <v>0</v>
      </c>
      <c r="D238">
        <v>0</v>
      </c>
      <c r="E238">
        <v>0</v>
      </c>
      <c r="F238">
        <v>1</v>
      </c>
      <c r="G238">
        <v>0</v>
      </c>
      <c r="H238">
        <v>1</v>
      </c>
      <c r="I238">
        <v>0</v>
      </c>
      <c r="J238">
        <v>0</v>
      </c>
      <c r="K238">
        <v>0</v>
      </c>
      <c r="L238" s="2">
        <v>0</v>
      </c>
      <c r="M238">
        <v>0</v>
      </c>
      <c r="N238" s="2">
        <v>0</v>
      </c>
      <c r="O238">
        <v>0</v>
      </c>
      <c r="P238" t="s">
        <v>100</v>
      </c>
      <c r="Q238">
        <v>0</v>
      </c>
      <c r="R238" t="s">
        <v>145</v>
      </c>
      <c r="S238">
        <v>0</v>
      </c>
    </row>
    <row r="239" spans="1:19">
      <c r="A239" t="s">
        <v>29</v>
      </c>
      <c r="B239" t="s">
        <v>5983</v>
      </c>
      <c r="C239">
        <f>"KY3L"</f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 s="2">
        <v>0</v>
      </c>
      <c r="M239">
        <v>0</v>
      </c>
      <c r="N239" s="2">
        <v>0</v>
      </c>
      <c r="O239">
        <v>0</v>
      </c>
      <c r="P239" t="s">
        <v>100</v>
      </c>
      <c r="Q239">
        <v>0</v>
      </c>
      <c r="R239" t="s">
        <v>145</v>
      </c>
      <c r="S239">
        <v>0</v>
      </c>
    </row>
    <row r="240" spans="1:19">
      <c r="A240" t="s">
        <v>29</v>
      </c>
      <c r="B240" t="s">
        <v>3854</v>
      </c>
      <c r="C240">
        <f>"DR081Y"</f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 s="2">
        <v>0</v>
      </c>
      <c r="M240">
        <v>0</v>
      </c>
      <c r="N240" s="2">
        <v>0</v>
      </c>
      <c r="O240">
        <v>0</v>
      </c>
      <c r="P240" t="s">
        <v>100</v>
      </c>
      <c r="Q240">
        <v>0</v>
      </c>
      <c r="R240" t="s">
        <v>145</v>
      </c>
      <c r="S240">
        <v>0</v>
      </c>
    </row>
    <row r="241" spans="1:19">
      <c r="A241" t="s">
        <v>29</v>
      </c>
      <c r="B241" t="s">
        <v>6059</v>
      </c>
      <c r="C241">
        <f>"CH10007"</f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 s="2">
        <v>0</v>
      </c>
      <c r="M241">
        <v>0</v>
      </c>
      <c r="N241" s="2">
        <v>0</v>
      </c>
      <c r="O241">
        <v>0</v>
      </c>
      <c r="P241" t="s">
        <v>100</v>
      </c>
      <c r="Q241">
        <v>0</v>
      </c>
      <c r="R241" t="s">
        <v>145</v>
      </c>
      <c r="S241">
        <v>0</v>
      </c>
    </row>
    <row r="242" spans="1:19">
      <c r="A242" t="s">
        <v>29</v>
      </c>
      <c r="B242" t="s">
        <v>6060</v>
      </c>
      <c r="C242">
        <f>"CH2283"</f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 s="2">
        <v>0</v>
      </c>
      <c r="M242">
        <v>0</v>
      </c>
      <c r="N242" s="2">
        <v>0</v>
      </c>
      <c r="O242">
        <v>0</v>
      </c>
      <c r="P242" t="s">
        <v>100</v>
      </c>
      <c r="Q242">
        <v>0</v>
      </c>
      <c r="R242" t="s">
        <v>145</v>
      </c>
      <c r="S242">
        <v>0</v>
      </c>
    </row>
    <row r="243" spans="1:19">
      <c r="A243" t="s">
        <v>29</v>
      </c>
      <c r="B243" t="s">
        <v>6061</v>
      </c>
      <c r="C243">
        <f>"U326"</f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 s="2">
        <v>0</v>
      </c>
      <c r="M243">
        <v>0</v>
      </c>
      <c r="N243" s="2">
        <v>0</v>
      </c>
      <c r="O243">
        <v>0</v>
      </c>
      <c r="P243" t="s">
        <v>100</v>
      </c>
      <c r="Q243">
        <v>0</v>
      </c>
      <c r="R243" t="s">
        <v>145</v>
      </c>
      <c r="S243">
        <v>0</v>
      </c>
    </row>
    <row r="244" spans="1:19">
      <c r="A244" t="s">
        <v>29</v>
      </c>
      <c r="B244" t="s">
        <v>6393</v>
      </c>
      <c r="C244">
        <f>"CHD002"</f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 s="2">
        <v>0</v>
      </c>
      <c r="M244">
        <v>0</v>
      </c>
      <c r="N244" s="2">
        <v>0</v>
      </c>
      <c r="O244">
        <v>0</v>
      </c>
      <c r="P244" t="s">
        <v>100</v>
      </c>
      <c r="Q244">
        <v>0</v>
      </c>
      <c r="R244" t="s">
        <v>145</v>
      </c>
      <c r="S244">
        <v>0</v>
      </c>
    </row>
    <row r="245" spans="1:19">
      <c r="A245" t="s">
        <v>29</v>
      </c>
      <c r="B245" t="s">
        <v>6395</v>
      </c>
      <c r="C245">
        <f>"CH22273CS"</f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 s="2">
        <v>0</v>
      </c>
      <c r="M245">
        <v>0</v>
      </c>
      <c r="N245" s="2">
        <v>0</v>
      </c>
      <c r="O245">
        <v>0</v>
      </c>
      <c r="P245" t="s">
        <v>100</v>
      </c>
      <c r="Q245">
        <v>0</v>
      </c>
      <c r="R245" t="s">
        <v>145</v>
      </c>
      <c r="S245">
        <v>0</v>
      </c>
    </row>
    <row r="246" spans="1:19">
      <c r="A246" t="s">
        <v>29</v>
      </c>
      <c r="B246" t="s">
        <v>6397</v>
      </c>
      <c r="C246">
        <f>"CH3843"</f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 s="2">
        <v>0</v>
      </c>
      <c r="M246">
        <v>0</v>
      </c>
      <c r="N246" s="2">
        <v>0</v>
      </c>
      <c r="O246">
        <v>0</v>
      </c>
      <c r="P246" t="s">
        <v>100</v>
      </c>
      <c r="Q246">
        <v>0</v>
      </c>
      <c r="R246" t="s">
        <v>145</v>
      </c>
      <c r="S246">
        <v>0</v>
      </c>
    </row>
    <row r="247" spans="1:19">
      <c r="A247" t="s">
        <v>29</v>
      </c>
      <c r="B247" t="s">
        <v>6003</v>
      </c>
      <c r="C247">
        <f>"20674"</f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 s="2">
        <v>0</v>
      </c>
      <c r="M247">
        <v>0</v>
      </c>
      <c r="N247" s="2">
        <v>0</v>
      </c>
      <c r="O247">
        <v>0</v>
      </c>
      <c r="P247" t="s">
        <v>100</v>
      </c>
      <c r="Q247">
        <v>0</v>
      </c>
      <c r="R247" t="s">
        <v>145</v>
      </c>
      <c r="S247">
        <v>0</v>
      </c>
    </row>
    <row r="248" spans="1:19">
      <c r="A248" t="s">
        <v>29</v>
      </c>
      <c r="B248" t="s">
        <v>5991</v>
      </c>
      <c r="C248">
        <f>"77105"</f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 s="2">
        <v>0</v>
      </c>
      <c r="M248">
        <v>0</v>
      </c>
      <c r="N248" s="2">
        <v>0</v>
      </c>
      <c r="O248">
        <v>0</v>
      </c>
      <c r="P248" t="s">
        <v>100</v>
      </c>
      <c r="Q248">
        <v>0</v>
      </c>
      <c r="R248" t="s">
        <v>145</v>
      </c>
      <c r="S248">
        <v>0</v>
      </c>
    </row>
    <row r="249" spans="1:19">
      <c r="A249" t="s">
        <v>29</v>
      </c>
      <c r="B249" t="s">
        <v>4789</v>
      </c>
      <c r="C249">
        <f>"CH2635"</f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 s="2">
        <v>0</v>
      </c>
      <c r="M249">
        <v>0</v>
      </c>
      <c r="N249" s="2">
        <v>0</v>
      </c>
      <c r="O249">
        <v>0</v>
      </c>
      <c r="P249" t="s">
        <v>100</v>
      </c>
      <c r="Q249">
        <v>0</v>
      </c>
      <c r="R249" t="s">
        <v>145</v>
      </c>
      <c r="S249">
        <v>0</v>
      </c>
    </row>
    <row r="250" spans="1:19">
      <c r="A250" t="s">
        <v>29</v>
      </c>
      <c r="B250" t="s">
        <v>6062</v>
      </c>
      <c r="C250">
        <f>"CH88013"</f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 s="2">
        <v>0</v>
      </c>
      <c r="M250">
        <v>0</v>
      </c>
      <c r="N250" s="2">
        <v>0</v>
      </c>
      <c r="O250">
        <v>0</v>
      </c>
      <c r="P250" t="s">
        <v>100</v>
      </c>
      <c r="Q250">
        <v>0</v>
      </c>
      <c r="R250" t="s">
        <v>145</v>
      </c>
      <c r="S250">
        <v>0</v>
      </c>
    </row>
    <row r="251" spans="1:19">
      <c r="A251" t="s">
        <v>29</v>
      </c>
      <c r="B251" t="s">
        <v>6016</v>
      </c>
      <c r="C251">
        <f>"GT3003"</f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 s="2">
        <v>0</v>
      </c>
      <c r="M251">
        <v>0</v>
      </c>
      <c r="N251" s="2">
        <v>0</v>
      </c>
      <c r="O251">
        <v>0</v>
      </c>
      <c r="P251" t="s">
        <v>100</v>
      </c>
      <c r="Q251">
        <v>0</v>
      </c>
      <c r="R251" t="s">
        <v>145</v>
      </c>
      <c r="S251">
        <v>0</v>
      </c>
    </row>
    <row r="252" spans="1:19">
      <c r="A252" t="s">
        <v>29</v>
      </c>
      <c r="B252" t="s">
        <v>6017</v>
      </c>
      <c r="C252">
        <f>"GT3001"</f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 s="2">
        <v>0</v>
      </c>
      <c r="M252">
        <v>0</v>
      </c>
      <c r="N252" s="2">
        <v>0</v>
      </c>
      <c r="O252">
        <v>0</v>
      </c>
      <c r="P252" t="s">
        <v>100</v>
      </c>
      <c r="Q252">
        <v>0</v>
      </c>
      <c r="R252" t="s">
        <v>145</v>
      </c>
      <c r="S252">
        <v>0</v>
      </c>
    </row>
    <row r="253" spans="1:19">
      <c r="A253" t="s">
        <v>29</v>
      </c>
      <c r="B253" t="s">
        <v>4531</v>
      </c>
      <c r="C253">
        <f>"HE600N"</f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 s="2">
        <v>0</v>
      </c>
      <c r="M253">
        <v>0</v>
      </c>
      <c r="N253" s="2">
        <v>0</v>
      </c>
      <c r="O253">
        <v>0</v>
      </c>
      <c r="P253" t="s">
        <v>100</v>
      </c>
      <c r="Q253">
        <v>0</v>
      </c>
      <c r="R253" t="s">
        <v>145</v>
      </c>
      <c r="S253">
        <v>0</v>
      </c>
    </row>
    <row r="254" spans="1:19">
      <c r="A254" t="s">
        <v>29</v>
      </c>
      <c r="B254" t="s">
        <v>6316</v>
      </c>
      <c r="C254">
        <f>"CH2273B"</f>
        <v>0</v>
      </c>
      <c r="D254">
        <v>0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 s="2">
        <v>0</v>
      </c>
      <c r="M254">
        <v>0</v>
      </c>
      <c r="N254" s="2">
        <v>0</v>
      </c>
      <c r="O254">
        <v>0</v>
      </c>
      <c r="P254" t="s">
        <v>100</v>
      </c>
      <c r="Q254">
        <v>0</v>
      </c>
      <c r="R254" t="s">
        <v>145</v>
      </c>
      <c r="S254">
        <v>0</v>
      </c>
    </row>
    <row r="255" spans="1:19">
      <c r="A255" t="s">
        <v>29</v>
      </c>
      <c r="B255" t="s">
        <v>9834</v>
      </c>
      <c r="C255">
        <f>"77333"</f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 s="2">
        <v>0</v>
      </c>
      <c r="M255">
        <v>0</v>
      </c>
      <c r="N255" s="2">
        <v>0</v>
      </c>
      <c r="O255">
        <v>0</v>
      </c>
      <c r="P255" t="s">
        <v>100</v>
      </c>
      <c r="Q255">
        <v>0</v>
      </c>
      <c r="R255" t="s">
        <v>145</v>
      </c>
      <c r="S255">
        <v>0</v>
      </c>
    </row>
    <row r="256" spans="1:19">
      <c r="A256" t="s">
        <v>29</v>
      </c>
      <c r="B256" t="s">
        <v>6270</v>
      </c>
      <c r="C256">
        <f>"CH1800"</f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 s="2">
        <v>0</v>
      </c>
      <c r="M256">
        <v>0</v>
      </c>
      <c r="N256" s="2">
        <v>0</v>
      </c>
      <c r="O256">
        <v>0</v>
      </c>
      <c r="P256" t="s">
        <v>100</v>
      </c>
      <c r="Q256">
        <v>0</v>
      </c>
      <c r="R256" t="s">
        <v>145</v>
      </c>
      <c r="S256">
        <v>0</v>
      </c>
    </row>
    <row r="257" spans="1:19">
      <c r="A257" t="s">
        <v>29</v>
      </c>
      <c r="B257" t="s">
        <v>6273</v>
      </c>
      <c r="C257">
        <f>"CH1817"</f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 s="2">
        <v>0</v>
      </c>
      <c r="M257">
        <v>0</v>
      </c>
      <c r="N257" s="2">
        <v>0</v>
      </c>
      <c r="O257">
        <v>0</v>
      </c>
      <c r="P257" t="s">
        <v>100</v>
      </c>
      <c r="Q257">
        <v>0</v>
      </c>
      <c r="R257" t="s">
        <v>145</v>
      </c>
      <c r="S257">
        <v>0</v>
      </c>
    </row>
    <row r="258" spans="1:19">
      <c r="A258" t="s">
        <v>29</v>
      </c>
      <c r="B258" t="s">
        <v>6275</v>
      </c>
      <c r="C258">
        <f>"CH4602S"</f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 s="2">
        <v>0</v>
      </c>
      <c r="M258">
        <v>0</v>
      </c>
      <c r="N258" s="2">
        <v>0</v>
      </c>
      <c r="O258">
        <v>0</v>
      </c>
      <c r="P258" t="s">
        <v>100</v>
      </c>
      <c r="Q258">
        <v>0</v>
      </c>
      <c r="R258" t="s">
        <v>145</v>
      </c>
      <c r="S258">
        <v>0</v>
      </c>
    </row>
    <row r="259" spans="1:19">
      <c r="A259" t="s">
        <v>29</v>
      </c>
      <c r="B259" t="s">
        <v>6019</v>
      </c>
      <c r="C259">
        <f>"67761"</f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 s="2">
        <v>0</v>
      </c>
      <c r="M259">
        <v>0</v>
      </c>
      <c r="N259" s="2">
        <v>0</v>
      </c>
      <c r="O259">
        <v>0</v>
      </c>
      <c r="P259" t="s">
        <v>100</v>
      </c>
      <c r="Q259">
        <v>0</v>
      </c>
      <c r="R259" t="s">
        <v>145</v>
      </c>
      <c r="S259">
        <v>0</v>
      </c>
    </row>
    <row r="260" spans="1:19">
      <c r="A260" t="s">
        <v>29</v>
      </c>
      <c r="B260" t="s">
        <v>6020</v>
      </c>
      <c r="C260">
        <f>"67414"</f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 s="2">
        <v>0</v>
      </c>
      <c r="M260">
        <v>0</v>
      </c>
      <c r="N260" s="2">
        <v>0</v>
      </c>
      <c r="O260">
        <v>0</v>
      </c>
      <c r="P260" t="s">
        <v>100</v>
      </c>
      <c r="Q260">
        <v>0</v>
      </c>
      <c r="R260" t="s">
        <v>145</v>
      </c>
      <c r="S260">
        <v>0</v>
      </c>
    </row>
    <row r="261" spans="1:19">
      <c r="A261" t="s">
        <v>29</v>
      </c>
      <c r="B261" t="s">
        <v>6230</v>
      </c>
      <c r="C261">
        <f>"F10025"</f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 s="2">
        <v>0</v>
      </c>
      <c r="M261">
        <v>0</v>
      </c>
      <c r="N261" s="2">
        <v>0</v>
      </c>
      <c r="O261">
        <v>0</v>
      </c>
      <c r="P261" t="s">
        <v>100</v>
      </c>
      <c r="Q261">
        <v>0</v>
      </c>
      <c r="R261" t="s">
        <v>145</v>
      </c>
      <c r="S261">
        <v>0</v>
      </c>
    </row>
    <row r="262" spans="1:19">
      <c r="A262" t="s">
        <v>29</v>
      </c>
      <c r="B262" t="s">
        <v>6186</v>
      </c>
      <c r="C262">
        <f>"BAA"</f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 s="2">
        <v>0</v>
      </c>
      <c r="M262">
        <v>0</v>
      </c>
      <c r="N262" s="2">
        <v>0</v>
      </c>
      <c r="O262">
        <v>0</v>
      </c>
      <c r="P262" t="s">
        <v>100</v>
      </c>
      <c r="Q262">
        <v>0</v>
      </c>
      <c r="R262" t="s">
        <v>145</v>
      </c>
      <c r="S262">
        <v>0</v>
      </c>
    </row>
    <row r="263" spans="1:19">
      <c r="A263" t="s">
        <v>29</v>
      </c>
      <c r="B263" t="s">
        <v>6188</v>
      </c>
      <c r="C263">
        <f>"SAG"</f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 s="2">
        <v>0</v>
      </c>
      <c r="M263">
        <v>0</v>
      </c>
      <c r="N263" s="2">
        <v>0</v>
      </c>
      <c r="O263">
        <v>0</v>
      </c>
      <c r="P263" t="s">
        <v>100</v>
      </c>
      <c r="Q263">
        <v>0</v>
      </c>
      <c r="R263" t="s">
        <v>145</v>
      </c>
      <c r="S263">
        <v>0</v>
      </c>
    </row>
    <row r="264" spans="1:19">
      <c r="A264" t="s">
        <v>29</v>
      </c>
      <c r="B264" t="s">
        <v>6251</v>
      </c>
      <c r="C264">
        <f>"80314"</f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 s="2">
        <v>0</v>
      </c>
      <c r="M264">
        <v>0</v>
      </c>
      <c r="N264" s="2">
        <v>0</v>
      </c>
      <c r="O264">
        <v>0</v>
      </c>
      <c r="P264" t="s">
        <v>100</v>
      </c>
      <c r="Q264">
        <v>0</v>
      </c>
      <c r="R264" t="s">
        <v>145</v>
      </c>
      <c r="S264">
        <v>0</v>
      </c>
    </row>
    <row r="265" spans="1:19">
      <c r="A265" t="s">
        <v>29</v>
      </c>
      <c r="B265" t="s">
        <v>5597</v>
      </c>
      <c r="C265">
        <f>"100M"</f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 s="2">
        <v>0</v>
      </c>
      <c r="M265">
        <v>0</v>
      </c>
      <c r="N265" s="2">
        <v>0</v>
      </c>
      <c r="O265">
        <v>0</v>
      </c>
      <c r="P265" t="s">
        <v>100</v>
      </c>
      <c r="Q265">
        <v>0</v>
      </c>
      <c r="R265" t="s">
        <v>145</v>
      </c>
      <c r="S265">
        <v>0</v>
      </c>
    </row>
    <row r="266" spans="1:19">
      <c r="A266" t="s">
        <v>29</v>
      </c>
      <c r="B266" t="s">
        <v>5695</v>
      </c>
      <c r="C266">
        <f>"LBL12"</f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 s="2">
        <v>0</v>
      </c>
      <c r="M266">
        <v>0</v>
      </c>
      <c r="N266" s="2">
        <v>0</v>
      </c>
      <c r="O266">
        <v>0</v>
      </c>
      <c r="P266" t="s">
        <v>100</v>
      </c>
      <c r="Q266">
        <v>0</v>
      </c>
      <c r="R266" t="s">
        <v>145</v>
      </c>
      <c r="S266">
        <v>0</v>
      </c>
    </row>
    <row r="267" spans="1:19">
      <c r="A267" t="s">
        <v>29</v>
      </c>
      <c r="B267" t="s">
        <v>6364</v>
      </c>
      <c r="C267">
        <f>"CH6258"</f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 s="2">
        <v>0</v>
      </c>
      <c r="M267">
        <v>0</v>
      </c>
      <c r="N267" s="2">
        <v>0</v>
      </c>
      <c r="O267">
        <v>0</v>
      </c>
      <c r="P267" t="s">
        <v>100</v>
      </c>
      <c r="Q267">
        <v>0</v>
      </c>
      <c r="R267" t="s">
        <v>145</v>
      </c>
      <c r="S267">
        <v>0</v>
      </c>
    </row>
    <row r="268" spans="1:19">
      <c r="A268" t="s">
        <v>29</v>
      </c>
      <c r="B268" t="s">
        <v>3404</v>
      </c>
      <c r="C268">
        <f>"LBL07"</f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 s="2">
        <v>0</v>
      </c>
      <c r="M268">
        <v>0</v>
      </c>
      <c r="N268" s="2">
        <v>0</v>
      </c>
      <c r="O268">
        <v>0</v>
      </c>
      <c r="P268" t="s">
        <v>100</v>
      </c>
      <c r="Q268">
        <v>0</v>
      </c>
      <c r="R268" t="s">
        <v>145</v>
      </c>
      <c r="S268">
        <v>0</v>
      </c>
    </row>
    <row r="269" spans="1:19">
      <c r="A269" t="s">
        <v>29</v>
      </c>
      <c r="B269" t="s">
        <v>5776</v>
      </c>
      <c r="C269">
        <f>"AF012"</f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 s="2">
        <v>0</v>
      </c>
      <c r="M269">
        <v>0</v>
      </c>
      <c r="N269" s="2">
        <v>0</v>
      </c>
      <c r="O269">
        <v>0</v>
      </c>
      <c r="P269" t="s">
        <v>100</v>
      </c>
      <c r="Q269">
        <v>0</v>
      </c>
      <c r="R269" t="s">
        <v>145</v>
      </c>
      <c r="S269">
        <v>0</v>
      </c>
    </row>
    <row r="270" spans="1:19">
      <c r="A270" t="s">
        <v>29</v>
      </c>
      <c r="B270" t="s">
        <v>1208</v>
      </c>
      <c r="C270">
        <f>"33034"</f>
        <v>0</v>
      </c>
      <c r="D270">
        <v>0</v>
      </c>
      <c r="E270">
        <v>0</v>
      </c>
      <c r="F270">
        <v>1</v>
      </c>
      <c r="G270">
        <v>0</v>
      </c>
      <c r="H270">
        <v>1</v>
      </c>
      <c r="I270">
        <v>0</v>
      </c>
      <c r="J270">
        <v>0</v>
      </c>
      <c r="K270">
        <v>0</v>
      </c>
      <c r="L270" s="2">
        <v>0</v>
      </c>
      <c r="M270">
        <v>0</v>
      </c>
      <c r="N270" s="2">
        <v>0</v>
      </c>
      <c r="O270">
        <v>0</v>
      </c>
      <c r="P270" t="s">
        <v>100</v>
      </c>
      <c r="Q270">
        <v>0</v>
      </c>
      <c r="R270" t="s">
        <v>145</v>
      </c>
      <c r="S270">
        <v>0</v>
      </c>
    </row>
    <row r="271" spans="1:19">
      <c r="A271" t="s">
        <v>29</v>
      </c>
      <c r="B271" t="s">
        <v>5643</v>
      </c>
      <c r="C271">
        <f>"U125"</f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 s="2">
        <v>0</v>
      </c>
      <c r="M271">
        <v>0</v>
      </c>
      <c r="N271" s="2">
        <v>0</v>
      </c>
      <c r="O271">
        <v>0</v>
      </c>
      <c r="P271" t="s">
        <v>100</v>
      </c>
      <c r="Q271">
        <v>0</v>
      </c>
      <c r="R271" t="s">
        <v>145</v>
      </c>
      <c r="S271">
        <v>0</v>
      </c>
    </row>
    <row r="272" spans="1:19">
      <c r="A272" t="s">
        <v>29</v>
      </c>
      <c r="B272" t="s">
        <v>5993</v>
      </c>
      <c r="C272">
        <f>"70409"</f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 s="2">
        <v>0</v>
      </c>
      <c r="M272">
        <v>0</v>
      </c>
      <c r="N272" s="2">
        <v>0</v>
      </c>
      <c r="O272">
        <v>0</v>
      </c>
      <c r="P272" t="s">
        <v>100</v>
      </c>
      <c r="Q272">
        <v>0</v>
      </c>
      <c r="R272" t="s">
        <v>145</v>
      </c>
      <c r="S272">
        <v>0</v>
      </c>
    </row>
    <row r="273" spans="1:19">
      <c r="A273" t="s">
        <v>29</v>
      </c>
      <c r="B273" t="s">
        <v>1434</v>
      </c>
      <c r="C273">
        <f>"70401"</f>
        <v>0</v>
      </c>
      <c r="D273">
        <v>0</v>
      </c>
      <c r="E273">
        <v>0</v>
      </c>
      <c r="F273">
        <v>1</v>
      </c>
      <c r="G273">
        <v>0</v>
      </c>
      <c r="H273">
        <v>1</v>
      </c>
      <c r="I273">
        <v>0</v>
      </c>
      <c r="J273">
        <v>0</v>
      </c>
      <c r="K273">
        <v>0</v>
      </c>
      <c r="L273" s="2">
        <v>0</v>
      </c>
      <c r="M273">
        <v>0</v>
      </c>
      <c r="N273" s="2">
        <v>0</v>
      </c>
      <c r="O273">
        <v>0</v>
      </c>
      <c r="P273" t="s">
        <v>100</v>
      </c>
      <c r="Q273">
        <v>0</v>
      </c>
      <c r="R273" t="s">
        <v>145</v>
      </c>
      <c r="S273">
        <v>0</v>
      </c>
    </row>
    <row r="274" spans="1:19">
      <c r="A274" t="s">
        <v>29</v>
      </c>
      <c r="B274" t="s">
        <v>1435</v>
      </c>
      <c r="C274">
        <f>"77103"</f>
        <v>0</v>
      </c>
      <c r="D274">
        <v>0</v>
      </c>
      <c r="E274">
        <v>0</v>
      </c>
      <c r="F274">
        <v>1</v>
      </c>
      <c r="G274">
        <v>0</v>
      </c>
      <c r="H274">
        <v>1</v>
      </c>
      <c r="I274">
        <v>0</v>
      </c>
      <c r="J274">
        <v>0</v>
      </c>
      <c r="K274">
        <v>0</v>
      </c>
      <c r="L274" s="2">
        <v>0</v>
      </c>
      <c r="M274">
        <v>0</v>
      </c>
      <c r="N274" s="2">
        <v>0</v>
      </c>
      <c r="O274">
        <v>0</v>
      </c>
      <c r="P274" t="s">
        <v>100</v>
      </c>
      <c r="Q274">
        <v>0</v>
      </c>
      <c r="R274" t="s">
        <v>145</v>
      </c>
      <c r="S274">
        <v>0</v>
      </c>
    </row>
    <row r="275" spans="1:19">
      <c r="A275" t="s">
        <v>29</v>
      </c>
      <c r="B275" t="s">
        <v>5968</v>
      </c>
      <c r="C275">
        <f>"U409"</f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 s="2">
        <v>0</v>
      </c>
      <c r="M275">
        <v>0</v>
      </c>
      <c r="N275" s="2">
        <v>0</v>
      </c>
      <c r="O275">
        <v>0</v>
      </c>
      <c r="P275" t="s">
        <v>100</v>
      </c>
      <c r="Q275">
        <v>0</v>
      </c>
      <c r="R275" t="s">
        <v>145</v>
      </c>
      <c r="S275">
        <v>0</v>
      </c>
    </row>
    <row r="276" spans="1:19">
      <c r="A276" t="s">
        <v>29</v>
      </c>
      <c r="B276" t="s">
        <v>6035</v>
      </c>
      <c r="C276">
        <f>"STC1001"</f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 s="2">
        <v>0</v>
      </c>
      <c r="M276">
        <v>0</v>
      </c>
      <c r="N276" s="2">
        <v>0</v>
      </c>
      <c r="O276">
        <v>0</v>
      </c>
      <c r="P276" t="s">
        <v>100</v>
      </c>
      <c r="Q276">
        <v>0</v>
      </c>
      <c r="R276" t="s">
        <v>145</v>
      </c>
      <c r="S276">
        <v>0</v>
      </c>
    </row>
    <row r="277" spans="1:19">
      <c r="A277" t="s">
        <v>29</v>
      </c>
      <c r="B277" t="s">
        <v>6047</v>
      </c>
      <c r="C277">
        <f>"77133"</f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 s="2">
        <v>0</v>
      </c>
      <c r="M277">
        <v>0</v>
      </c>
      <c r="N277" s="2">
        <v>0</v>
      </c>
      <c r="O277">
        <v>0</v>
      </c>
      <c r="P277" t="s">
        <v>100</v>
      </c>
      <c r="Q277">
        <v>0</v>
      </c>
      <c r="R277" t="s">
        <v>145</v>
      </c>
      <c r="S277">
        <v>0</v>
      </c>
    </row>
    <row r="278" spans="1:19">
      <c r="A278" t="s">
        <v>29</v>
      </c>
      <c r="B278" t="s">
        <v>2098</v>
      </c>
      <c r="C278">
        <f>"P506"</f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 s="2">
        <v>0</v>
      </c>
      <c r="M278">
        <v>0</v>
      </c>
      <c r="N278" s="2">
        <v>0</v>
      </c>
      <c r="O278">
        <v>0</v>
      </c>
      <c r="P278" t="s">
        <v>100</v>
      </c>
      <c r="Q278">
        <v>0</v>
      </c>
      <c r="R278" t="s">
        <v>145</v>
      </c>
      <c r="S278">
        <v>0</v>
      </c>
    </row>
    <row r="279" spans="1:19">
      <c r="A279" t="s">
        <v>29</v>
      </c>
      <c r="B279" t="s">
        <v>6219</v>
      </c>
      <c r="C279">
        <f>"B2"</f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 s="2">
        <v>0</v>
      </c>
      <c r="M279">
        <v>0</v>
      </c>
      <c r="N279" s="2">
        <v>0</v>
      </c>
      <c r="O279">
        <v>0</v>
      </c>
      <c r="P279" t="s">
        <v>100</v>
      </c>
      <c r="Q279">
        <v>0</v>
      </c>
      <c r="R279" t="s">
        <v>145</v>
      </c>
      <c r="S279">
        <v>0</v>
      </c>
    </row>
    <row r="280" spans="1:19">
      <c r="A280" t="s">
        <v>29</v>
      </c>
      <c r="B280" t="s">
        <v>6220</v>
      </c>
      <c r="C280">
        <f>"CH6654"</f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 s="2">
        <v>0</v>
      </c>
      <c r="M280">
        <v>0</v>
      </c>
      <c r="N280" s="2">
        <v>0</v>
      </c>
      <c r="O280">
        <v>0</v>
      </c>
      <c r="P280" t="s">
        <v>100</v>
      </c>
      <c r="Q280">
        <v>0</v>
      </c>
      <c r="R280" t="s">
        <v>145</v>
      </c>
      <c r="S280">
        <v>0</v>
      </c>
    </row>
    <row r="281" spans="1:19">
      <c r="A281" t="s">
        <v>29</v>
      </c>
      <c r="B281" t="s">
        <v>5490</v>
      </c>
      <c r="C281">
        <f>"RED8"</f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 s="2">
        <v>0</v>
      </c>
      <c r="M281">
        <v>0</v>
      </c>
      <c r="N281" s="2">
        <v>0</v>
      </c>
      <c r="O281">
        <v>0</v>
      </c>
      <c r="P281" t="s">
        <v>100</v>
      </c>
      <c r="Q281">
        <v>0</v>
      </c>
      <c r="R281" t="s">
        <v>145</v>
      </c>
      <c r="S281">
        <v>0</v>
      </c>
    </row>
    <row r="282" spans="1:19">
      <c r="A282" t="s">
        <v>29</v>
      </c>
      <c r="B282" t="s">
        <v>5287</v>
      </c>
      <c r="C282">
        <f>"BTP"</f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 s="2">
        <v>0</v>
      </c>
      <c r="M282">
        <v>0</v>
      </c>
      <c r="N282" s="2">
        <v>0</v>
      </c>
      <c r="O282">
        <v>0</v>
      </c>
      <c r="P282" t="s">
        <v>100</v>
      </c>
      <c r="Q282">
        <v>0</v>
      </c>
      <c r="R282" t="s">
        <v>145</v>
      </c>
      <c r="S282">
        <v>0</v>
      </c>
    </row>
    <row r="283" spans="1:19">
      <c r="A283" t="s">
        <v>29</v>
      </c>
      <c r="B283" t="s">
        <v>4535</v>
      </c>
      <c r="C283">
        <f>"GT30073"</f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 s="2">
        <v>0</v>
      </c>
      <c r="M283">
        <v>0</v>
      </c>
      <c r="N283" s="2">
        <v>0</v>
      </c>
      <c r="O283">
        <v>0</v>
      </c>
      <c r="P283" t="s">
        <v>100</v>
      </c>
      <c r="Q283">
        <v>0</v>
      </c>
      <c r="R283" t="s">
        <v>145</v>
      </c>
      <c r="S283">
        <v>0</v>
      </c>
    </row>
    <row r="284" spans="1:19">
      <c r="A284" t="s">
        <v>29</v>
      </c>
      <c r="B284" t="s">
        <v>4536</v>
      </c>
      <c r="C284">
        <f>"GT30072"</f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 s="2">
        <v>0</v>
      </c>
      <c r="M284">
        <v>0</v>
      </c>
      <c r="N284" s="2">
        <v>0</v>
      </c>
      <c r="O284">
        <v>0</v>
      </c>
      <c r="P284" t="s">
        <v>100</v>
      </c>
      <c r="Q284">
        <v>0</v>
      </c>
      <c r="R284" t="s">
        <v>145</v>
      </c>
      <c r="S284">
        <v>0</v>
      </c>
    </row>
    <row r="285" spans="1:19">
      <c r="A285" t="s">
        <v>29</v>
      </c>
      <c r="B285" t="s">
        <v>4537</v>
      </c>
      <c r="C285">
        <f>"GT30071"</f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 s="2">
        <v>0</v>
      </c>
      <c r="M285">
        <v>0</v>
      </c>
      <c r="N285" s="2">
        <v>0</v>
      </c>
      <c r="O285">
        <v>0</v>
      </c>
      <c r="P285" t="s">
        <v>100</v>
      </c>
      <c r="Q285">
        <v>0</v>
      </c>
      <c r="R285" t="s">
        <v>145</v>
      </c>
      <c r="S285">
        <v>0</v>
      </c>
    </row>
    <row r="286" spans="1:19">
      <c r="A286" t="s">
        <v>29</v>
      </c>
      <c r="B286" t="s">
        <v>1460</v>
      </c>
      <c r="C286">
        <f>"R362PL"</f>
        <v>0</v>
      </c>
      <c r="D286">
        <v>0</v>
      </c>
      <c r="E286">
        <v>0</v>
      </c>
      <c r="F286">
        <v>1</v>
      </c>
      <c r="G286">
        <v>0</v>
      </c>
      <c r="H286">
        <v>1</v>
      </c>
      <c r="I286">
        <v>0</v>
      </c>
      <c r="J286">
        <v>0</v>
      </c>
      <c r="K286">
        <v>0</v>
      </c>
      <c r="L286" s="2">
        <v>0</v>
      </c>
      <c r="M286">
        <v>0</v>
      </c>
      <c r="N286" s="2">
        <v>0</v>
      </c>
      <c r="O286">
        <v>0</v>
      </c>
      <c r="P286" t="s">
        <v>100</v>
      </c>
      <c r="Q286">
        <v>0</v>
      </c>
      <c r="R286" t="s">
        <v>145</v>
      </c>
      <c r="S286">
        <v>0</v>
      </c>
    </row>
    <row r="287" spans="1:19">
      <c r="A287" t="s">
        <v>29</v>
      </c>
      <c r="B287" t="s">
        <v>4539</v>
      </c>
      <c r="C287">
        <f>"R362NG"</f>
        <v>0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 s="2">
        <v>0</v>
      </c>
      <c r="M287">
        <v>0</v>
      </c>
      <c r="N287" s="2">
        <v>0</v>
      </c>
      <c r="O287">
        <v>0</v>
      </c>
      <c r="P287" t="s">
        <v>100</v>
      </c>
      <c r="Q287">
        <v>0</v>
      </c>
      <c r="R287" t="s">
        <v>145</v>
      </c>
      <c r="S287">
        <v>0</v>
      </c>
    </row>
    <row r="288" spans="1:19">
      <c r="A288" t="s">
        <v>29</v>
      </c>
      <c r="B288" t="s">
        <v>4524</v>
      </c>
      <c r="C288">
        <f>"R352NG"</f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 s="2">
        <v>0</v>
      </c>
      <c r="M288">
        <v>0</v>
      </c>
      <c r="N288" s="2">
        <v>0</v>
      </c>
      <c r="O288">
        <v>0</v>
      </c>
      <c r="P288" t="s">
        <v>100</v>
      </c>
      <c r="Q288">
        <v>0</v>
      </c>
      <c r="R288" t="s">
        <v>145</v>
      </c>
      <c r="S288">
        <v>0</v>
      </c>
    </row>
    <row r="289" spans="1:19">
      <c r="A289" t="s">
        <v>29</v>
      </c>
      <c r="B289" t="s">
        <v>4480</v>
      </c>
      <c r="C289">
        <f>"R375NG"</f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 s="2">
        <v>0</v>
      </c>
      <c r="M289">
        <v>0</v>
      </c>
      <c r="N289" s="2">
        <v>0</v>
      </c>
      <c r="O289">
        <v>0</v>
      </c>
      <c r="P289" t="s">
        <v>100</v>
      </c>
      <c r="Q289">
        <v>0</v>
      </c>
      <c r="R289" t="s">
        <v>145</v>
      </c>
      <c r="S289">
        <v>0</v>
      </c>
    </row>
    <row r="290" spans="1:19">
      <c r="A290" t="s">
        <v>29</v>
      </c>
      <c r="B290" t="s">
        <v>4481</v>
      </c>
      <c r="C290">
        <f>"RS230EL"</f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 s="2">
        <v>0</v>
      </c>
      <c r="M290">
        <v>0</v>
      </c>
      <c r="N290" s="2">
        <v>0</v>
      </c>
      <c r="O290">
        <v>0</v>
      </c>
      <c r="P290" t="s">
        <v>100</v>
      </c>
      <c r="Q290">
        <v>0</v>
      </c>
      <c r="R290" t="s">
        <v>145</v>
      </c>
      <c r="S290">
        <v>0</v>
      </c>
    </row>
    <row r="291" spans="1:19">
      <c r="A291" t="s">
        <v>29</v>
      </c>
      <c r="B291" t="s">
        <v>4651</v>
      </c>
      <c r="C291">
        <f>"QR224"</f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 s="2">
        <v>0</v>
      </c>
      <c r="M291">
        <v>0</v>
      </c>
      <c r="N291" s="2">
        <v>0</v>
      </c>
      <c r="O291">
        <v>0</v>
      </c>
      <c r="P291" t="s">
        <v>100</v>
      </c>
      <c r="Q291">
        <v>0</v>
      </c>
      <c r="R291" t="s">
        <v>145</v>
      </c>
      <c r="S291">
        <v>0</v>
      </c>
    </row>
    <row r="292" spans="1:19">
      <c r="A292" t="s">
        <v>29</v>
      </c>
      <c r="B292" t="s">
        <v>1291</v>
      </c>
      <c r="C292">
        <f>"R600"</f>
        <v>0</v>
      </c>
      <c r="D292">
        <v>0</v>
      </c>
      <c r="E292">
        <v>0</v>
      </c>
      <c r="F292">
        <v>1</v>
      </c>
      <c r="G292">
        <v>0</v>
      </c>
      <c r="H292">
        <v>1</v>
      </c>
      <c r="I292">
        <v>0</v>
      </c>
      <c r="J292">
        <v>0</v>
      </c>
      <c r="K292">
        <v>0</v>
      </c>
      <c r="L292" s="2">
        <v>0</v>
      </c>
      <c r="M292">
        <v>0</v>
      </c>
      <c r="N292" s="2">
        <v>0</v>
      </c>
      <c r="O292">
        <v>0</v>
      </c>
      <c r="P292" t="s">
        <v>100</v>
      </c>
      <c r="Q292">
        <v>0</v>
      </c>
      <c r="R292" t="s">
        <v>145</v>
      </c>
      <c r="S292">
        <v>0</v>
      </c>
    </row>
    <row r="293" spans="1:19">
      <c r="A293" t="s">
        <v>29</v>
      </c>
      <c r="B293" t="s">
        <v>5409</v>
      </c>
      <c r="C293">
        <f>"DPS3"</f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 s="2">
        <v>0</v>
      </c>
      <c r="M293">
        <v>0</v>
      </c>
      <c r="N293" s="2">
        <v>0</v>
      </c>
      <c r="O293">
        <v>0</v>
      </c>
      <c r="P293" t="s">
        <v>100</v>
      </c>
      <c r="Q293">
        <v>0</v>
      </c>
      <c r="R293" t="s">
        <v>145</v>
      </c>
      <c r="S293">
        <v>0</v>
      </c>
    </row>
    <row r="294" spans="1:19">
      <c r="A294" t="s">
        <v>29</v>
      </c>
      <c r="B294" t="s">
        <v>4532</v>
      </c>
      <c r="C294">
        <f>"HE600B"</f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 s="2">
        <v>0</v>
      </c>
      <c r="M294">
        <v>0</v>
      </c>
      <c r="N294" s="2">
        <v>0</v>
      </c>
      <c r="O294">
        <v>0</v>
      </c>
      <c r="P294" t="s">
        <v>100</v>
      </c>
      <c r="Q294">
        <v>0</v>
      </c>
      <c r="R294" t="s">
        <v>145</v>
      </c>
      <c r="S294">
        <v>0</v>
      </c>
    </row>
    <row r="295" spans="1:19">
      <c r="A295" t="s">
        <v>29</v>
      </c>
      <c r="B295" t="s">
        <v>4659</v>
      </c>
      <c r="C295">
        <f>"R800"</f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 s="2">
        <v>0</v>
      </c>
      <c r="M295">
        <v>0</v>
      </c>
      <c r="N295" s="2">
        <v>0</v>
      </c>
      <c r="O295">
        <v>0</v>
      </c>
      <c r="P295" t="s">
        <v>100</v>
      </c>
      <c r="Q295">
        <v>0</v>
      </c>
      <c r="R295" t="s">
        <v>145</v>
      </c>
      <c r="S295">
        <v>0</v>
      </c>
    </row>
    <row r="296" spans="1:19">
      <c r="A296" t="s">
        <v>29</v>
      </c>
      <c r="B296" t="s">
        <v>8715</v>
      </c>
      <c r="C296">
        <f>"225774"</f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 s="2">
        <v>0</v>
      </c>
      <c r="M296">
        <v>0</v>
      </c>
      <c r="N296" s="2">
        <v>0</v>
      </c>
      <c r="O296">
        <v>0</v>
      </c>
      <c r="P296" t="s">
        <v>100</v>
      </c>
      <c r="Q296">
        <v>0</v>
      </c>
      <c r="R296" t="s">
        <v>145</v>
      </c>
      <c r="S296">
        <v>0</v>
      </c>
    </row>
    <row r="297" spans="1:19">
      <c r="A297" t="s">
        <v>29</v>
      </c>
      <c r="B297" t="s">
        <v>6084</v>
      </c>
      <c r="C297">
        <f>"80104"</f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 s="2">
        <v>0</v>
      </c>
      <c r="M297">
        <v>0</v>
      </c>
      <c r="N297" s="2">
        <v>0</v>
      </c>
      <c r="O297">
        <v>0</v>
      </c>
      <c r="P297" t="s">
        <v>100</v>
      </c>
      <c r="Q297">
        <v>0</v>
      </c>
      <c r="R297" t="s">
        <v>145</v>
      </c>
      <c r="S297">
        <v>0</v>
      </c>
    </row>
    <row r="298" spans="1:19">
      <c r="A298" t="s">
        <v>29</v>
      </c>
      <c r="B298" t="s">
        <v>6083</v>
      </c>
      <c r="C298">
        <f>"80100"</f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 s="2">
        <v>0</v>
      </c>
      <c r="M298">
        <v>0</v>
      </c>
      <c r="N298" s="2">
        <v>0</v>
      </c>
      <c r="O298">
        <v>0</v>
      </c>
      <c r="P298" t="s">
        <v>100</v>
      </c>
      <c r="Q298">
        <v>0</v>
      </c>
      <c r="R298" t="s">
        <v>145</v>
      </c>
      <c r="S298">
        <v>0</v>
      </c>
    </row>
    <row r="299" spans="1:19">
      <c r="A299" t="s">
        <v>29</v>
      </c>
      <c r="B299" t="s">
        <v>4734</v>
      </c>
      <c r="C299">
        <f>"4202"</f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 s="2">
        <v>0</v>
      </c>
      <c r="M299">
        <v>0</v>
      </c>
      <c r="N299" s="2">
        <v>0</v>
      </c>
      <c r="O299">
        <v>0</v>
      </c>
      <c r="P299" t="s">
        <v>100</v>
      </c>
      <c r="Q299">
        <v>0</v>
      </c>
      <c r="R299" t="s">
        <v>145</v>
      </c>
      <c r="S299">
        <v>0</v>
      </c>
    </row>
    <row r="300" spans="1:19">
      <c r="A300" t="s">
        <v>29</v>
      </c>
      <c r="B300" t="s">
        <v>4748</v>
      </c>
      <c r="C300">
        <f>"4201"</f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 s="2">
        <v>0</v>
      </c>
      <c r="M300">
        <v>0</v>
      </c>
      <c r="N300" s="2">
        <v>0</v>
      </c>
      <c r="O300">
        <v>0</v>
      </c>
      <c r="P300" t="s">
        <v>100</v>
      </c>
      <c r="Q300">
        <v>0</v>
      </c>
      <c r="R300" t="s">
        <v>145</v>
      </c>
      <c r="S300">
        <v>0</v>
      </c>
    </row>
    <row r="301" spans="1:19">
      <c r="A301" t="s">
        <v>29</v>
      </c>
      <c r="B301" t="s">
        <v>1200</v>
      </c>
      <c r="C301">
        <f>"MC111"</f>
        <v>0</v>
      </c>
      <c r="D301">
        <v>0</v>
      </c>
      <c r="E301">
        <v>0</v>
      </c>
      <c r="F301">
        <v>1</v>
      </c>
      <c r="G301">
        <v>0</v>
      </c>
      <c r="H301">
        <v>1</v>
      </c>
      <c r="I301">
        <v>0</v>
      </c>
      <c r="J301">
        <v>0</v>
      </c>
      <c r="K301">
        <v>0</v>
      </c>
      <c r="L301" s="2">
        <v>0</v>
      </c>
      <c r="M301">
        <v>0</v>
      </c>
      <c r="N301" s="2">
        <v>0</v>
      </c>
      <c r="O301">
        <v>0</v>
      </c>
      <c r="P301" t="s">
        <v>100</v>
      </c>
      <c r="Q301">
        <v>0</v>
      </c>
      <c r="R301" t="s">
        <v>145</v>
      </c>
      <c r="S301">
        <v>0</v>
      </c>
    </row>
    <row r="302" spans="1:19">
      <c r="A302" t="s">
        <v>29</v>
      </c>
      <c r="B302" t="s">
        <v>4526</v>
      </c>
      <c r="C302">
        <f>"180CAZ"</f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 s="2">
        <v>0</v>
      </c>
      <c r="M302">
        <v>0</v>
      </c>
      <c r="N302" s="2">
        <v>0</v>
      </c>
      <c r="O302">
        <v>0</v>
      </c>
      <c r="P302" t="s">
        <v>100</v>
      </c>
      <c r="Q302">
        <v>0</v>
      </c>
      <c r="R302" t="s">
        <v>145</v>
      </c>
      <c r="S302">
        <v>0</v>
      </c>
    </row>
    <row r="303" spans="1:19">
      <c r="A303" t="s">
        <v>29</v>
      </c>
      <c r="B303" t="s">
        <v>4525</v>
      </c>
      <c r="C303">
        <f>"180CROJ"</f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 s="2">
        <v>0</v>
      </c>
      <c r="M303">
        <v>0</v>
      </c>
      <c r="N303" s="2">
        <v>0</v>
      </c>
      <c r="O303">
        <v>0</v>
      </c>
      <c r="P303" t="s">
        <v>100</v>
      </c>
      <c r="Q303">
        <v>0</v>
      </c>
      <c r="R303" t="s">
        <v>145</v>
      </c>
      <c r="S303">
        <v>0</v>
      </c>
    </row>
    <row r="304" spans="1:19">
      <c r="A304" t="s">
        <v>29</v>
      </c>
      <c r="B304" t="s">
        <v>4606</v>
      </c>
      <c r="C304">
        <f>"TUBI100"</f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 s="2">
        <v>0</v>
      </c>
      <c r="M304">
        <v>0</v>
      </c>
      <c r="N304" s="2">
        <v>0</v>
      </c>
      <c r="O304">
        <v>0</v>
      </c>
      <c r="P304" t="s">
        <v>100</v>
      </c>
      <c r="Q304">
        <v>0</v>
      </c>
      <c r="R304" t="s">
        <v>145</v>
      </c>
      <c r="S304">
        <v>0</v>
      </c>
    </row>
    <row r="305" spans="1:19">
      <c r="A305" t="s">
        <v>29</v>
      </c>
      <c r="B305" t="s">
        <v>4605</v>
      </c>
      <c r="C305">
        <f>"77083"</f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 s="2">
        <v>0</v>
      </c>
      <c r="M305">
        <v>0</v>
      </c>
      <c r="N305" s="2">
        <v>0</v>
      </c>
      <c r="O305">
        <v>0</v>
      </c>
      <c r="P305" t="s">
        <v>100</v>
      </c>
      <c r="Q305">
        <v>0</v>
      </c>
      <c r="R305" t="s">
        <v>145</v>
      </c>
      <c r="S305">
        <v>0</v>
      </c>
    </row>
    <row r="306" spans="1:19">
      <c r="A306" t="s">
        <v>29</v>
      </c>
      <c r="B306" t="s">
        <v>5292</v>
      </c>
      <c r="C306">
        <f>"BTU"</f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 s="2">
        <v>0</v>
      </c>
      <c r="M306">
        <v>0</v>
      </c>
      <c r="N306" s="2">
        <v>0</v>
      </c>
      <c r="O306">
        <v>0</v>
      </c>
      <c r="P306" t="s">
        <v>100</v>
      </c>
      <c r="Q306">
        <v>0</v>
      </c>
      <c r="R306" t="s">
        <v>145</v>
      </c>
      <c r="S306">
        <v>0</v>
      </c>
    </row>
    <row r="307" spans="1:19">
      <c r="A307" t="s">
        <v>29</v>
      </c>
      <c r="B307" t="s">
        <v>7624</v>
      </c>
      <c r="C307">
        <f>"TBX"</f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 s="2">
        <v>0</v>
      </c>
      <c r="M307">
        <v>0</v>
      </c>
      <c r="N307" s="2">
        <v>0</v>
      </c>
      <c r="O307">
        <v>0</v>
      </c>
      <c r="P307" t="s">
        <v>100</v>
      </c>
      <c r="Q307">
        <v>0</v>
      </c>
      <c r="R307" t="s">
        <v>145</v>
      </c>
      <c r="S307">
        <v>0</v>
      </c>
    </row>
    <row r="308" spans="1:19">
      <c r="A308" t="s">
        <v>29</v>
      </c>
      <c r="B308" t="s">
        <v>5410</v>
      </c>
      <c r="C308">
        <f>"DPS2"</f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 s="2">
        <v>0</v>
      </c>
      <c r="M308">
        <v>0</v>
      </c>
      <c r="N308" s="2">
        <v>0</v>
      </c>
      <c r="O308">
        <v>0</v>
      </c>
      <c r="P308" t="s">
        <v>100</v>
      </c>
      <c r="Q308">
        <v>0</v>
      </c>
      <c r="R308" t="s">
        <v>145</v>
      </c>
      <c r="S308">
        <v>0</v>
      </c>
    </row>
    <row r="309" spans="1:19">
      <c r="A309" t="s">
        <v>29</v>
      </c>
      <c r="B309" t="s">
        <v>4533</v>
      </c>
      <c r="C309">
        <f>"HR600N"</f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 s="2">
        <v>0</v>
      </c>
      <c r="M309">
        <v>0</v>
      </c>
      <c r="N309" s="2">
        <v>0</v>
      </c>
      <c r="O309">
        <v>0</v>
      </c>
      <c r="P309" t="s">
        <v>100</v>
      </c>
      <c r="Q309">
        <v>0</v>
      </c>
      <c r="R309" t="s">
        <v>145</v>
      </c>
      <c r="S309">
        <v>0</v>
      </c>
    </row>
    <row r="310" spans="1:19">
      <c r="A310" t="s">
        <v>29</v>
      </c>
      <c r="B310" t="s">
        <v>1354</v>
      </c>
      <c r="C310">
        <f>"CH77862"</f>
        <v>0</v>
      </c>
      <c r="D310">
        <v>0</v>
      </c>
      <c r="E310">
        <v>0</v>
      </c>
      <c r="F310">
        <v>1</v>
      </c>
      <c r="G310">
        <v>0</v>
      </c>
      <c r="H310">
        <v>1</v>
      </c>
      <c r="I310">
        <v>0</v>
      </c>
      <c r="J310">
        <v>0</v>
      </c>
      <c r="K310">
        <v>0</v>
      </c>
      <c r="L310" s="2">
        <v>0</v>
      </c>
      <c r="M310">
        <v>0</v>
      </c>
      <c r="N310" s="2">
        <v>0</v>
      </c>
      <c r="O310">
        <v>0</v>
      </c>
      <c r="P310" t="s">
        <v>100</v>
      </c>
      <c r="Q310">
        <v>0</v>
      </c>
      <c r="R310" t="s">
        <v>145</v>
      </c>
      <c r="S310">
        <v>0</v>
      </c>
    </row>
    <row r="311" spans="1:19">
      <c r="A311" t="s">
        <v>29</v>
      </c>
      <c r="B311" t="s">
        <v>6001</v>
      </c>
      <c r="C311">
        <f>"U780M"</f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 s="2">
        <v>0</v>
      </c>
      <c r="M311">
        <v>0</v>
      </c>
      <c r="N311" s="2">
        <v>0</v>
      </c>
      <c r="O311">
        <v>0</v>
      </c>
      <c r="P311" t="s">
        <v>100</v>
      </c>
      <c r="Q311">
        <v>0</v>
      </c>
      <c r="R311" t="s">
        <v>145</v>
      </c>
      <c r="S311">
        <v>0</v>
      </c>
    </row>
    <row r="312" spans="1:19">
      <c r="A312" t="s">
        <v>29</v>
      </c>
      <c r="B312" t="s">
        <v>6367</v>
      </c>
      <c r="C312">
        <f>"U780S"</f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 s="2">
        <v>0</v>
      </c>
      <c r="M312">
        <v>0</v>
      </c>
      <c r="N312" s="2">
        <v>0</v>
      </c>
      <c r="O312">
        <v>0</v>
      </c>
      <c r="P312" t="s">
        <v>100</v>
      </c>
      <c r="Q312">
        <v>0</v>
      </c>
      <c r="R312" t="s">
        <v>145</v>
      </c>
      <c r="S312">
        <v>0</v>
      </c>
    </row>
    <row r="313" spans="1:19">
      <c r="A313" t="s">
        <v>29</v>
      </c>
      <c r="B313" t="s">
        <v>6368</v>
      </c>
      <c r="C313">
        <f>"U817"</f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 s="2">
        <v>0</v>
      </c>
      <c r="M313">
        <v>0</v>
      </c>
      <c r="N313" s="2">
        <v>0</v>
      </c>
      <c r="O313">
        <v>0</v>
      </c>
      <c r="P313" t="s">
        <v>100</v>
      </c>
      <c r="Q313">
        <v>0</v>
      </c>
      <c r="R313" t="s">
        <v>145</v>
      </c>
      <c r="S313">
        <v>0</v>
      </c>
    </row>
    <row r="314" spans="1:19">
      <c r="A314" t="s">
        <v>29</v>
      </c>
      <c r="B314" t="s">
        <v>6310</v>
      </c>
      <c r="C314">
        <f>"CH6255"</f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 s="2">
        <v>0</v>
      </c>
      <c r="M314">
        <v>0</v>
      </c>
      <c r="N314" s="2">
        <v>0</v>
      </c>
      <c r="O314">
        <v>0</v>
      </c>
      <c r="P314" t="s">
        <v>100</v>
      </c>
      <c r="Q314">
        <v>0</v>
      </c>
      <c r="R314" t="s">
        <v>145</v>
      </c>
      <c r="S314">
        <v>0</v>
      </c>
    </row>
    <row r="315" spans="1:19">
      <c r="A315" t="s">
        <v>29</v>
      </c>
      <c r="B315" t="s">
        <v>6311</v>
      </c>
      <c r="C315">
        <f>"CH1864"</f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 s="2">
        <v>0</v>
      </c>
      <c r="M315">
        <v>0</v>
      </c>
      <c r="N315" s="2">
        <v>0</v>
      </c>
      <c r="O315">
        <v>0</v>
      </c>
      <c r="P315" t="s">
        <v>100</v>
      </c>
      <c r="Q315">
        <v>0</v>
      </c>
      <c r="R315" t="s">
        <v>145</v>
      </c>
      <c r="S315">
        <v>0</v>
      </c>
    </row>
    <row r="316" spans="1:19">
      <c r="A316" t="s">
        <v>29</v>
      </c>
      <c r="B316" t="s">
        <v>6312</v>
      </c>
      <c r="C316">
        <f>"CH1007"</f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 s="2">
        <v>0</v>
      </c>
      <c r="M316">
        <v>0</v>
      </c>
      <c r="N316" s="2">
        <v>0</v>
      </c>
      <c r="O316">
        <v>0</v>
      </c>
      <c r="P316" t="s">
        <v>100</v>
      </c>
      <c r="Q316">
        <v>0</v>
      </c>
      <c r="R316" t="s">
        <v>145</v>
      </c>
      <c r="S316">
        <v>0</v>
      </c>
    </row>
    <row r="317" spans="1:19">
      <c r="A317" t="s">
        <v>29</v>
      </c>
      <c r="B317" t="s">
        <v>6067</v>
      </c>
      <c r="C317">
        <f>"S01"</f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 s="2">
        <v>0</v>
      </c>
      <c r="M317">
        <v>0</v>
      </c>
      <c r="N317" s="2">
        <v>0</v>
      </c>
      <c r="O317">
        <v>0</v>
      </c>
      <c r="P317" t="s">
        <v>100</v>
      </c>
      <c r="Q317">
        <v>0</v>
      </c>
      <c r="R317" t="s">
        <v>145</v>
      </c>
      <c r="S317">
        <v>0</v>
      </c>
    </row>
    <row r="318" spans="1:19">
      <c r="A318" t="s">
        <v>29</v>
      </c>
      <c r="B318" t="s">
        <v>6068</v>
      </c>
      <c r="C318">
        <f>"REPTM"</f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 s="2">
        <v>0</v>
      </c>
      <c r="M318">
        <v>0</v>
      </c>
      <c r="N318" s="2">
        <v>0</v>
      </c>
      <c r="O318">
        <v>0</v>
      </c>
      <c r="P318" t="s">
        <v>100</v>
      </c>
      <c r="Q318">
        <v>0</v>
      </c>
      <c r="R318" t="s">
        <v>145</v>
      </c>
      <c r="S318">
        <v>0</v>
      </c>
    </row>
    <row r="319" spans="1:19">
      <c r="A319" t="s">
        <v>29</v>
      </c>
      <c r="B319" t="s">
        <v>5987</v>
      </c>
      <c r="C319">
        <f>"HR230R"</f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 s="2">
        <v>0</v>
      </c>
      <c r="M319">
        <v>0</v>
      </c>
      <c r="N319" s="2">
        <v>0</v>
      </c>
      <c r="O319">
        <v>0</v>
      </c>
      <c r="P319" t="s">
        <v>100</v>
      </c>
      <c r="Q319">
        <v>0</v>
      </c>
      <c r="R319" t="s">
        <v>145</v>
      </c>
      <c r="S319">
        <v>0</v>
      </c>
    </row>
    <row r="320" spans="1:19">
      <c r="A320" t="s">
        <v>29</v>
      </c>
      <c r="B320" t="s">
        <v>5943</v>
      </c>
      <c r="C320">
        <f>"HR230N"</f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 s="2">
        <v>0</v>
      </c>
      <c r="M320">
        <v>0</v>
      </c>
      <c r="N320" s="2">
        <v>0</v>
      </c>
      <c r="O320">
        <v>0</v>
      </c>
      <c r="P320" t="s">
        <v>100</v>
      </c>
      <c r="Q320">
        <v>0</v>
      </c>
      <c r="R320" t="s">
        <v>145</v>
      </c>
      <c r="S320">
        <v>0</v>
      </c>
    </row>
    <row r="321" spans="1:19">
      <c r="A321" t="s">
        <v>29</v>
      </c>
      <c r="B321" t="s">
        <v>5944</v>
      </c>
      <c r="C321">
        <f>"HR230B"</f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 s="2">
        <v>0</v>
      </c>
      <c r="M321">
        <v>0</v>
      </c>
      <c r="N321" s="2">
        <v>0</v>
      </c>
      <c r="O321">
        <v>0</v>
      </c>
      <c r="P321" t="s">
        <v>100</v>
      </c>
      <c r="Q321">
        <v>0</v>
      </c>
      <c r="R321" t="s">
        <v>145</v>
      </c>
      <c r="S321">
        <v>0</v>
      </c>
    </row>
    <row r="322" spans="1:19">
      <c r="A322" t="s">
        <v>29</v>
      </c>
      <c r="B322" t="s">
        <v>5043</v>
      </c>
      <c r="C322">
        <f>"77146"</f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 s="2">
        <v>0</v>
      </c>
      <c r="M322">
        <v>0</v>
      </c>
      <c r="N322" s="2">
        <v>0</v>
      </c>
      <c r="O322">
        <v>0</v>
      </c>
      <c r="P322" t="s">
        <v>100</v>
      </c>
      <c r="Q322">
        <v>0</v>
      </c>
      <c r="R322" t="s">
        <v>145</v>
      </c>
      <c r="S322">
        <v>0</v>
      </c>
    </row>
    <row r="323" spans="1:19">
      <c r="A323" t="s">
        <v>29</v>
      </c>
      <c r="B323" t="s">
        <v>5946</v>
      </c>
      <c r="C323">
        <f>"HR500R"</f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 s="2">
        <v>0</v>
      </c>
      <c r="M323">
        <v>0</v>
      </c>
      <c r="N323" s="2">
        <v>0</v>
      </c>
      <c r="O323">
        <v>0</v>
      </c>
      <c r="P323" t="s">
        <v>100</v>
      </c>
      <c r="Q323">
        <v>0</v>
      </c>
      <c r="R323" t="s">
        <v>145</v>
      </c>
      <c r="S323">
        <v>0</v>
      </c>
    </row>
    <row r="324" spans="1:19">
      <c r="A324" t="s">
        <v>29</v>
      </c>
      <c r="B324" t="s">
        <v>5947</v>
      </c>
      <c r="C324">
        <f>"HR500N"</f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 s="2">
        <v>0</v>
      </c>
      <c r="M324">
        <v>0</v>
      </c>
      <c r="N324" s="2">
        <v>0</v>
      </c>
      <c r="O324">
        <v>0</v>
      </c>
      <c r="P324" t="s">
        <v>100</v>
      </c>
      <c r="Q324">
        <v>0</v>
      </c>
      <c r="R324" t="s">
        <v>145</v>
      </c>
      <c r="S324">
        <v>0</v>
      </c>
    </row>
    <row r="325" spans="1:19">
      <c r="A325" t="s">
        <v>29</v>
      </c>
      <c r="B325" t="s">
        <v>5948</v>
      </c>
      <c r="C325">
        <f>"HR500B"</f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 s="2">
        <v>0</v>
      </c>
      <c r="M325">
        <v>0</v>
      </c>
      <c r="N325" s="2">
        <v>0</v>
      </c>
      <c r="O325">
        <v>0</v>
      </c>
      <c r="P325" t="s">
        <v>100</v>
      </c>
      <c r="Q325">
        <v>0</v>
      </c>
      <c r="R325" t="s">
        <v>145</v>
      </c>
      <c r="S325">
        <v>0</v>
      </c>
    </row>
    <row r="326" spans="1:19">
      <c r="A326" t="s">
        <v>29</v>
      </c>
      <c r="B326" t="s">
        <v>5949</v>
      </c>
      <c r="C326">
        <f>"HR500A"</f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 s="2">
        <v>0</v>
      </c>
      <c r="M326">
        <v>0</v>
      </c>
      <c r="N326" s="2">
        <v>0</v>
      </c>
      <c r="O326">
        <v>0</v>
      </c>
      <c r="P326" t="s">
        <v>100</v>
      </c>
      <c r="Q326">
        <v>0</v>
      </c>
      <c r="R326" t="s">
        <v>145</v>
      </c>
      <c r="S326">
        <v>0</v>
      </c>
    </row>
    <row r="327" spans="1:19">
      <c r="A327" t="s">
        <v>29</v>
      </c>
      <c r="B327" t="s">
        <v>5950</v>
      </c>
      <c r="C327">
        <f>"HR380R"</f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 s="2">
        <v>0</v>
      </c>
      <c r="M327">
        <v>0</v>
      </c>
      <c r="N327" s="2">
        <v>0</v>
      </c>
      <c r="O327">
        <v>0</v>
      </c>
      <c r="P327" t="s">
        <v>100</v>
      </c>
      <c r="Q327">
        <v>0</v>
      </c>
      <c r="R327" t="s">
        <v>145</v>
      </c>
      <c r="S327">
        <v>0</v>
      </c>
    </row>
    <row r="328" spans="1:19">
      <c r="A328" t="s">
        <v>29</v>
      </c>
      <c r="B328" t="s">
        <v>5951</v>
      </c>
      <c r="C328">
        <f>"HR380N"</f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 s="2">
        <v>0</v>
      </c>
      <c r="M328">
        <v>0</v>
      </c>
      <c r="N328" s="2">
        <v>0</v>
      </c>
      <c r="O328">
        <v>0</v>
      </c>
      <c r="P328" t="s">
        <v>100</v>
      </c>
      <c r="Q328">
        <v>0</v>
      </c>
      <c r="R328" t="s">
        <v>145</v>
      </c>
      <c r="S328">
        <v>0</v>
      </c>
    </row>
    <row r="329" spans="1:19">
      <c r="A329" t="s">
        <v>29</v>
      </c>
      <c r="B329" t="s">
        <v>4482</v>
      </c>
      <c r="C329">
        <f>"HR380B"</f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s="2">
        <v>0</v>
      </c>
      <c r="M329">
        <v>0</v>
      </c>
      <c r="N329" s="2">
        <v>0</v>
      </c>
      <c r="O329">
        <v>0</v>
      </c>
      <c r="P329" t="s">
        <v>100</v>
      </c>
      <c r="Q329">
        <v>0</v>
      </c>
      <c r="R329" t="s">
        <v>145</v>
      </c>
      <c r="S329">
        <v>0</v>
      </c>
    </row>
    <row r="330" spans="1:19">
      <c r="A330" t="s">
        <v>29</v>
      </c>
      <c r="B330" t="s">
        <v>4702</v>
      </c>
      <c r="C330">
        <f>"HR380A"</f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 s="2">
        <v>0</v>
      </c>
      <c r="M330">
        <v>0</v>
      </c>
      <c r="N330" s="2">
        <v>0</v>
      </c>
      <c r="O330">
        <v>0</v>
      </c>
      <c r="P330" t="s">
        <v>100</v>
      </c>
      <c r="Q330">
        <v>0</v>
      </c>
      <c r="R330" t="s">
        <v>145</v>
      </c>
      <c r="S330">
        <v>0</v>
      </c>
    </row>
    <row r="331" spans="1:19">
      <c r="A331" t="s">
        <v>29</v>
      </c>
      <c r="B331" t="s">
        <v>4657</v>
      </c>
      <c r="C331">
        <f>"HR300R"</f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 s="2">
        <v>0</v>
      </c>
      <c r="M331">
        <v>0</v>
      </c>
      <c r="N331" s="2">
        <v>0</v>
      </c>
      <c r="O331">
        <v>0</v>
      </c>
      <c r="P331" t="s">
        <v>100</v>
      </c>
      <c r="Q331">
        <v>0</v>
      </c>
      <c r="R331" t="s">
        <v>145</v>
      </c>
      <c r="S331">
        <v>0</v>
      </c>
    </row>
    <row r="332" spans="1:19">
      <c r="A332" t="s">
        <v>29</v>
      </c>
      <c r="B332" t="s">
        <v>4658</v>
      </c>
      <c r="C332">
        <f>"HR300N"</f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 s="2">
        <v>0</v>
      </c>
      <c r="M332">
        <v>0</v>
      </c>
      <c r="N332" s="2">
        <v>0</v>
      </c>
      <c r="O332">
        <v>0</v>
      </c>
      <c r="P332" t="s">
        <v>100</v>
      </c>
      <c r="Q332">
        <v>0</v>
      </c>
      <c r="R332" t="s">
        <v>145</v>
      </c>
      <c r="S332">
        <v>0</v>
      </c>
    </row>
    <row r="333" spans="1:19">
      <c r="A333" t="s">
        <v>29</v>
      </c>
      <c r="B333" t="s">
        <v>4791</v>
      </c>
      <c r="C333">
        <f>"HR300A"</f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 s="2">
        <v>0</v>
      </c>
      <c r="M333">
        <v>0</v>
      </c>
      <c r="N333" s="2">
        <v>0</v>
      </c>
      <c r="O333">
        <v>0</v>
      </c>
      <c r="P333" t="s">
        <v>100</v>
      </c>
      <c r="Q333">
        <v>0</v>
      </c>
      <c r="R333" t="s">
        <v>145</v>
      </c>
      <c r="S333">
        <v>0</v>
      </c>
    </row>
    <row r="334" spans="1:19">
      <c r="A334" t="s">
        <v>29</v>
      </c>
      <c r="B334" t="s">
        <v>5953</v>
      </c>
      <c r="C334">
        <f>"NS60"</f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 s="2">
        <v>0</v>
      </c>
      <c r="M334">
        <v>0</v>
      </c>
      <c r="N334" s="2">
        <v>0</v>
      </c>
      <c r="O334">
        <v>0</v>
      </c>
      <c r="P334" t="s">
        <v>100</v>
      </c>
      <c r="Q334">
        <v>0</v>
      </c>
      <c r="R334" t="s">
        <v>145</v>
      </c>
      <c r="S334">
        <v>0</v>
      </c>
    </row>
    <row r="335" spans="1:19">
      <c r="A335" t="s">
        <v>29</v>
      </c>
      <c r="B335" t="s">
        <v>5038</v>
      </c>
      <c r="C335">
        <f>"60446"</f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 s="2">
        <v>0</v>
      </c>
      <c r="M335">
        <v>0</v>
      </c>
      <c r="N335" s="2">
        <v>0</v>
      </c>
      <c r="O335">
        <v>0</v>
      </c>
      <c r="P335" t="s">
        <v>100</v>
      </c>
      <c r="Q335">
        <v>0</v>
      </c>
      <c r="R335" t="s">
        <v>145</v>
      </c>
      <c r="S335">
        <v>0</v>
      </c>
    </row>
    <row r="336" spans="1:19">
      <c r="A336" t="s">
        <v>29</v>
      </c>
      <c r="B336" t="s">
        <v>5945</v>
      </c>
      <c r="C336">
        <f>"HR230A"</f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 s="2">
        <v>0</v>
      </c>
      <c r="M336">
        <v>0</v>
      </c>
      <c r="N336" s="2">
        <v>0</v>
      </c>
      <c r="O336">
        <v>0</v>
      </c>
      <c r="P336" t="s">
        <v>100</v>
      </c>
      <c r="Q336">
        <v>0</v>
      </c>
      <c r="R336" t="s">
        <v>145</v>
      </c>
      <c r="S336">
        <v>0</v>
      </c>
    </row>
    <row r="337" spans="1:19">
      <c r="A337" t="s">
        <v>29</v>
      </c>
      <c r="B337" t="s">
        <v>3903</v>
      </c>
      <c r="C337">
        <f>"77622"</f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 s="2">
        <v>0</v>
      </c>
      <c r="M337">
        <v>0</v>
      </c>
      <c r="N337" s="2">
        <v>0</v>
      </c>
      <c r="O337">
        <v>0</v>
      </c>
      <c r="P337" t="s">
        <v>100</v>
      </c>
      <c r="Q337">
        <v>0</v>
      </c>
      <c r="R337" t="s">
        <v>145</v>
      </c>
      <c r="S337">
        <v>0</v>
      </c>
    </row>
    <row r="338" spans="1:19">
      <c r="A338" t="s">
        <v>29</v>
      </c>
      <c r="B338" t="s">
        <v>3816</v>
      </c>
      <c r="C338">
        <f>"F208"</f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 s="2">
        <v>0</v>
      </c>
      <c r="M338">
        <v>0</v>
      </c>
      <c r="N338" s="2">
        <v>0</v>
      </c>
      <c r="O338">
        <v>0</v>
      </c>
      <c r="P338" t="s">
        <v>100</v>
      </c>
      <c r="Q338">
        <v>0</v>
      </c>
      <c r="R338" t="s">
        <v>145</v>
      </c>
      <c r="S338">
        <v>0</v>
      </c>
    </row>
    <row r="339" spans="1:19">
      <c r="A339" t="s">
        <v>29</v>
      </c>
      <c r="B339" t="s">
        <v>3801</v>
      </c>
      <c r="C339">
        <f>"MFS"</f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 s="2">
        <v>0</v>
      </c>
      <c r="M339">
        <v>0</v>
      </c>
      <c r="N339" s="2">
        <v>0</v>
      </c>
      <c r="O339">
        <v>0</v>
      </c>
      <c r="P339" t="s">
        <v>100</v>
      </c>
      <c r="Q339">
        <v>0</v>
      </c>
      <c r="R339" t="s">
        <v>145</v>
      </c>
      <c r="S339">
        <v>0</v>
      </c>
    </row>
    <row r="340" spans="1:19">
      <c r="A340" t="s">
        <v>29</v>
      </c>
      <c r="B340" t="s">
        <v>3802</v>
      </c>
      <c r="C340">
        <f>"MFN"</f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 s="2">
        <v>0</v>
      </c>
      <c r="M340">
        <v>0</v>
      </c>
      <c r="N340" s="2">
        <v>0</v>
      </c>
      <c r="O340">
        <v>0</v>
      </c>
      <c r="P340" t="s">
        <v>100</v>
      </c>
      <c r="Q340">
        <v>0</v>
      </c>
      <c r="R340" t="s">
        <v>145</v>
      </c>
      <c r="S340">
        <v>0</v>
      </c>
    </row>
    <row r="341" spans="1:19">
      <c r="A341" t="s">
        <v>29</v>
      </c>
      <c r="B341" t="s">
        <v>3803</v>
      </c>
      <c r="C341">
        <f>"MFF"</f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 s="2">
        <v>0</v>
      </c>
      <c r="M341">
        <v>0</v>
      </c>
      <c r="N341" s="2">
        <v>0</v>
      </c>
      <c r="O341">
        <v>0</v>
      </c>
      <c r="P341" t="s">
        <v>100</v>
      </c>
      <c r="Q341">
        <v>0</v>
      </c>
      <c r="R341" t="s">
        <v>145</v>
      </c>
      <c r="S341">
        <v>0</v>
      </c>
    </row>
    <row r="342" spans="1:19">
      <c r="A342" t="s">
        <v>29</v>
      </c>
      <c r="B342" t="s">
        <v>3798</v>
      </c>
      <c r="C342">
        <f>"61236"</f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 s="2">
        <v>0</v>
      </c>
      <c r="M342">
        <v>0</v>
      </c>
      <c r="N342" s="2">
        <v>0</v>
      </c>
      <c r="O342">
        <v>0</v>
      </c>
      <c r="P342" t="s">
        <v>100</v>
      </c>
      <c r="Q342">
        <v>0</v>
      </c>
      <c r="R342" t="s">
        <v>145</v>
      </c>
      <c r="S342">
        <v>0</v>
      </c>
    </row>
    <row r="343" spans="1:19">
      <c r="A343" t="s">
        <v>29</v>
      </c>
      <c r="B343" t="s">
        <v>8191</v>
      </c>
      <c r="C343">
        <f>"A007"</f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 s="2">
        <v>0</v>
      </c>
      <c r="M343">
        <v>0</v>
      </c>
      <c r="N343" s="2">
        <v>0</v>
      </c>
      <c r="O343">
        <v>0</v>
      </c>
      <c r="P343" t="s">
        <v>100</v>
      </c>
      <c r="Q343">
        <v>0</v>
      </c>
      <c r="R343" t="s">
        <v>145</v>
      </c>
      <c r="S343">
        <v>0</v>
      </c>
    </row>
    <row r="344" spans="1:19">
      <c r="A344" t="s">
        <v>29</v>
      </c>
      <c r="B344" t="s">
        <v>8192</v>
      </c>
      <c r="C344">
        <f>"A005"</f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 s="2">
        <v>0</v>
      </c>
      <c r="M344">
        <v>0</v>
      </c>
      <c r="N344" s="2">
        <v>0</v>
      </c>
      <c r="O344">
        <v>0</v>
      </c>
      <c r="P344" t="s">
        <v>100</v>
      </c>
      <c r="Q344">
        <v>0</v>
      </c>
      <c r="R344" t="s">
        <v>145</v>
      </c>
      <c r="S344">
        <v>0</v>
      </c>
    </row>
    <row r="345" spans="1:19">
      <c r="A345" t="s">
        <v>29</v>
      </c>
      <c r="B345" t="s">
        <v>7887</v>
      </c>
      <c r="C345">
        <f>"HYH025DD"</f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 s="2">
        <v>0</v>
      </c>
      <c r="M345">
        <v>0</v>
      </c>
      <c r="N345" s="2">
        <v>0</v>
      </c>
      <c r="O345">
        <v>0</v>
      </c>
      <c r="P345" t="s">
        <v>100</v>
      </c>
      <c r="Q345">
        <v>0</v>
      </c>
      <c r="R345" t="s">
        <v>145</v>
      </c>
      <c r="S345">
        <v>0</v>
      </c>
    </row>
    <row r="346" spans="1:19">
      <c r="A346" t="s">
        <v>29</v>
      </c>
      <c r="B346" t="s">
        <v>1242</v>
      </c>
      <c r="C346">
        <f>"CHJ1500"</f>
        <v>0</v>
      </c>
      <c r="D346">
        <v>0</v>
      </c>
      <c r="E346">
        <v>1</v>
      </c>
      <c r="F346">
        <v>0</v>
      </c>
      <c r="G346">
        <v>0</v>
      </c>
      <c r="H346">
        <v>1</v>
      </c>
      <c r="I346">
        <v>0</v>
      </c>
      <c r="J346">
        <v>0</v>
      </c>
      <c r="K346">
        <v>0</v>
      </c>
      <c r="L346" s="2">
        <v>0</v>
      </c>
      <c r="M346">
        <v>0</v>
      </c>
      <c r="N346" s="2">
        <v>0</v>
      </c>
      <c r="O346">
        <v>0</v>
      </c>
      <c r="P346" t="s">
        <v>100</v>
      </c>
      <c r="Q346">
        <v>0</v>
      </c>
      <c r="R346" t="s">
        <v>145</v>
      </c>
      <c r="S346">
        <v>0</v>
      </c>
    </row>
    <row r="347" spans="1:19">
      <c r="A347" t="s">
        <v>29</v>
      </c>
      <c r="B347" t="s">
        <v>3848</v>
      </c>
      <c r="C347">
        <f>"RS1201"</f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 s="2">
        <v>0</v>
      </c>
      <c r="M347">
        <v>0</v>
      </c>
      <c r="N347" s="2">
        <v>0</v>
      </c>
      <c r="O347">
        <v>0</v>
      </c>
      <c r="P347" t="s">
        <v>100</v>
      </c>
      <c r="Q347">
        <v>0</v>
      </c>
      <c r="R347" t="s">
        <v>145</v>
      </c>
      <c r="S347">
        <v>0</v>
      </c>
    </row>
    <row r="348" spans="1:19">
      <c r="A348" t="s">
        <v>29</v>
      </c>
      <c r="B348" t="s">
        <v>3849</v>
      </c>
      <c r="C348">
        <f>"RS4100A"</f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 s="2">
        <v>0</v>
      </c>
      <c r="M348">
        <v>0</v>
      </c>
      <c r="N348" s="2">
        <v>0</v>
      </c>
      <c r="O348">
        <v>0</v>
      </c>
      <c r="P348" t="s">
        <v>100</v>
      </c>
      <c r="Q348">
        <v>0</v>
      </c>
      <c r="R348" t="s">
        <v>145</v>
      </c>
      <c r="S348">
        <v>0</v>
      </c>
    </row>
    <row r="349" spans="1:19">
      <c r="A349" t="s">
        <v>29</v>
      </c>
      <c r="B349" t="s">
        <v>9008</v>
      </c>
      <c r="C349">
        <f>"34304"</f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 s="2">
        <v>0</v>
      </c>
      <c r="M349">
        <v>0</v>
      </c>
      <c r="N349" s="2">
        <v>0</v>
      </c>
      <c r="O349">
        <v>0</v>
      </c>
      <c r="P349" t="s">
        <v>100</v>
      </c>
      <c r="Q349">
        <v>0</v>
      </c>
      <c r="R349" t="s">
        <v>145</v>
      </c>
      <c r="S349">
        <v>0</v>
      </c>
    </row>
    <row r="350" spans="1:19">
      <c r="A350" t="s">
        <v>29</v>
      </c>
      <c r="B350" t="s">
        <v>3550</v>
      </c>
      <c r="C350">
        <f>"67104"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 s="2">
        <v>0</v>
      </c>
      <c r="M350">
        <v>0</v>
      </c>
      <c r="N350" s="2">
        <v>0</v>
      </c>
      <c r="O350">
        <v>0</v>
      </c>
      <c r="P350" t="s">
        <v>100</v>
      </c>
      <c r="Q350">
        <v>0</v>
      </c>
      <c r="R350" t="s">
        <v>145</v>
      </c>
      <c r="S350">
        <v>0</v>
      </c>
    </row>
    <row r="351" spans="1:19">
      <c r="A351" t="s">
        <v>29</v>
      </c>
      <c r="B351" t="s">
        <v>1011</v>
      </c>
      <c r="C351">
        <f>"67101"</f>
        <v>0</v>
      </c>
      <c r="D351">
        <v>0</v>
      </c>
      <c r="E351">
        <v>0</v>
      </c>
      <c r="F351">
        <v>2</v>
      </c>
      <c r="G351">
        <v>0</v>
      </c>
      <c r="H351">
        <v>2</v>
      </c>
      <c r="I351">
        <v>0</v>
      </c>
      <c r="J351">
        <v>0</v>
      </c>
      <c r="K351">
        <v>0</v>
      </c>
      <c r="L351" s="2">
        <v>0</v>
      </c>
      <c r="M351">
        <v>0</v>
      </c>
      <c r="N351" s="2">
        <v>0</v>
      </c>
      <c r="O351">
        <v>0</v>
      </c>
      <c r="P351" t="s">
        <v>100</v>
      </c>
      <c r="Q351">
        <v>0</v>
      </c>
      <c r="R351" t="s">
        <v>145</v>
      </c>
      <c r="S351">
        <v>0</v>
      </c>
    </row>
    <row r="352" spans="1:19">
      <c r="A352" t="s">
        <v>29</v>
      </c>
      <c r="B352" t="s">
        <v>3913</v>
      </c>
      <c r="C352">
        <f>"LBL02"</f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 s="2">
        <v>0</v>
      </c>
      <c r="M352">
        <v>0</v>
      </c>
      <c r="N352" s="2">
        <v>0</v>
      </c>
      <c r="O352">
        <v>0</v>
      </c>
      <c r="P352" t="s">
        <v>100</v>
      </c>
      <c r="Q352">
        <v>0</v>
      </c>
      <c r="R352" t="s">
        <v>145</v>
      </c>
      <c r="S352">
        <v>0</v>
      </c>
    </row>
    <row r="353" spans="1:19">
      <c r="A353" t="s">
        <v>29</v>
      </c>
      <c r="B353" t="s">
        <v>3576</v>
      </c>
      <c r="C353">
        <f>"SK200"</f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 s="2">
        <v>0</v>
      </c>
      <c r="M353">
        <v>0</v>
      </c>
      <c r="N353" s="2">
        <v>0</v>
      </c>
      <c r="O353">
        <v>0</v>
      </c>
      <c r="P353" t="s">
        <v>100</v>
      </c>
      <c r="Q353">
        <v>0</v>
      </c>
      <c r="R353" t="s">
        <v>145</v>
      </c>
      <c r="S353">
        <v>0</v>
      </c>
    </row>
    <row r="354" spans="1:19">
      <c r="A354" t="s">
        <v>29</v>
      </c>
      <c r="B354" t="s">
        <v>3936</v>
      </c>
      <c r="C354">
        <f>"HW602B"</f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 s="2">
        <v>0</v>
      </c>
      <c r="M354">
        <v>0</v>
      </c>
      <c r="N354" s="2">
        <v>0</v>
      </c>
      <c r="O354">
        <v>0</v>
      </c>
      <c r="P354" t="s">
        <v>100</v>
      </c>
      <c r="Q354">
        <v>0</v>
      </c>
      <c r="R354" t="s">
        <v>145</v>
      </c>
      <c r="S354">
        <v>0</v>
      </c>
    </row>
    <row r="355" spans="1:19">
      <c r="A355" t="s">
        <v>29</v>
      </c>
      <c r="B355" t="s">
        <v>7295</v>
      </c>
      <c r="C355">
        <f>"RS150W"</f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 s="2">
        <v>0</v>
      </c>
      <c r="M355">
        <v>0</v>
      </c>
      <c r="N355" s="2">
        <v>0</v>
      </c>
      <c r="O355">
        <v>0</v>
      </c>
      <c r="P355" t="s">
        <v>100</v>
      </c>
      <c r="Q355">
        <v>0</v>
      </c>
      <c r="R355" t="s">
        <v>145</v>
      </c>
      <c r="S355">
        <v>0</v>
      </c>
    </row>
    <row r="356" spans="1:19">
      <c r="A356" t="s">
        <v>29</v>
      </c>
      <c r="B356" t="s">
        <v>7296</v>
      </c>
      <c r="C356">
        <f>"RS100W"</f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 s="2">
        <v>0</v>
      </c>
      <c r="M356">
        <v>0</v>
      </c>
      <c r="N356" s="2">
        <v>0</v>
      </c>
      <c r="O356">
        <v>0</v>
      </c>
      <c r="P356" t="s">
        <v>100</v>
      </c>
      <c r="Q356">
        <v>0</v>
      </c>
      <c r="R356" t="s">
        <v>145</v>
      </c>
      <c r="S356">
        <v>0</v>
      </c>
    </row>
    <row r="357" spans="1:19">
      <c r="A357" t="s">
        <v>29</v>
      </c>
      <c r="B357" t="s">
        <v>7296</v>
      </c>
      <c r="C357">
        <f>"CN100"</f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 s="2">
        <v>0</v>
      </c>
      <c r="M357">
        <v>0</v>
      </c>
      <c r="N357" s="2">
        <v>0</v>
      </c>
      <c r="O357">
        <v>0</v>
      </c>
      <c r="P357" t="s">
        <v>100</v>
      </c>
      <c r="Q357">
        <v>0</v>
      </c>
      <c r="R357" t="s">
        <v>145</v>
      </c>
      <c r="S357">
        <v>0</v>
      </c>
    </row>
    <row r="358" spans="1:19">
      <c r="A358" t="s">
        <v>29</v>
      </c>
      <c r="B358" t="s">
        <v>7297</v>
      </c>
      <c r="C358">
        <f>"MCA5"</f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 s="2">
        <v>0</v>
      </c>
      <c r="M358">
        <v>0</v>
      </c>
      <c r="N358" s="2">
        <v>0</v>
      </c>
      <c r="O358">
        <v>0</v>
      </c>
      <c r="P358" t="s">
        <v>100</v>
      </c>
      <c r="Q358">
        <v>0</v>
      </c>
      <c r="R358" t="s">
        <v>145</v>
      </c>
      <c r="S358">
        <v>0</v>
      </c>
    </row>
    <row r="359" spans="1:19">
      <c r="A359" t="s">
        <v>29</v>
      </c>
      <c r="B359" t="s">
        <v>6605</v>
      </c>
      <c r="C359">
        <f>"MCA20"</f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 s="2">
        <v>0</v>
      </c>
      <c r="M359">
        <v>0</v>
      </c>
      <c r="N359" s="2">
        <v>0</v>
      </c>
      <c r="O359">
        <v>0</v>
      </c>
      <c r="P359" t="s">
        <v>100</v>
      </c>
      <c r="Q359">
        <v>0</v>
      </c>
      <c r="R359" t="s">
        <v>145</v>
      </c>
      <c r="S359">
        <v>0</v>
      </c>
    </row>
    <row r="360" spans="1:19">
      <c r="A360" t="s">
        <v>29</v>
      </c>
      <c r="B360" t="s">
        <v>6606</v>
      </c>
      <c r="C360">
        <f>"MCA15"</f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 s="2">
        <v>0</v>
      </c>
      <c r="M360">
        <v>0</v>
      </c>
      <c r="N360" s="2">
        <v>0</v>
      </c>
      <c r="O360">
        <v>0</v>
      </c>
      <c r="P360" t="s">
        <v>100</v>
      </c>
      <c r="Q360">
        <v>0</v>
      </c>
      <c r="R360" t="s">
        <v>145</v>
      </c>
      <c r="S360">
        <v>0</v>
      </c>
    </row>
    <row r="361" spans="1:19">
      <c r="A361" t="s">
        <v>29</v>
      </c>
      <c r="B361" t="s">
        <v>2748</v>
      </c>
      <c r="C361">
        <f>"PERLON"</f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 s="2">
        <v>0</v>
      </c>
      <c r="M361">
        <v>0</v>
      </c>
      <c r="N361" s="2">
        <v>0</v>
      </c>
      <c r="O361">
        <v>0</v>
      </c>
      <c r="P361" t="s">
        <v>100</v>
      </c>
      <c r="Q361">
        <v>0</v>
      </c>
      <c r="R361" t="s">
        <v>145</v>
      </c>
      <c r="S361">
        <v>0</v>
      </c>
    </row>
    <row r="362" spans="1:19">
      <c r="A362" t="s">
        <v>29</v>
      </c>
      <c r="B362" t="s">
        <v>2940</v>
      </c>
      <c r="C362">
        <f>"PTV"</f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 s="2">
        <v>0</v>
      </c>
      <c r="M362">
        <v>0</v>
      </c>
      <c r="N362" s="2">
        <v>0</v>
      </c>
      <c r="O362">
        <v>0</v>
      </c>
      <c r="P362" t="s">
        <v>100</v>
      </c>
      <c r="Q362">
        <v>0</v>
      </c>
      <c r="R362" t="s">
        <v>145</v>
      </c>
      <c r="S362">
        <v>0</v>
      </c>
    </row>
    <row r="363" spans="1:19">
      <c r="A363" t="s">
        <v>29</v>
      </c>
      <c r="B363" t="s">
        <v>3850</v>
      </c>
      <c r="C363">
        <f>"RS5100"</f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 s="2">
        <v>0</v>
      </c>
      <c r="M363">
        <v>0</v>
      </c>
      <c r="N363" s="2">
        <v>0</v>
      </c>
      <c r="O363">
        <v>0</v>
      </c>
      <c r="P363" t="s">
        <v>100</v>
      </c>
      <c r="Q363">
        <v>0</v>
      </c>
      <c r="R363" t="s">
        <v>145</v>
      </c>
      <c r="S363">
        <v>0</v>
      </c>
    </row>
    <row r="364" spans="1:19">
      <c r="A364" t="s">
        <v>29</v>
      </c>
      <c r="B364" t="s">
        <v>3860</v>
      </c>
      <c r="C364">
        <f>"ACO2"</f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 s="2">
        <v>0</v>
      </c>
      <c r="M364">
        <v>0</v>
      </c>
      <c r="N364" s="2">
        <v>0</v>
      </c>
      <c r="O364">
        <v>0</v>
      </c>
      <c r="P364" t="s">
        <v>100</v>
      </c>
      <c r="Q364">
        <v>0</v>
      </c>
      <c r="R364" t="s">
        <v>145</v>
      </c>
      <c r="S364">
        <v>0</v>
      </c>
    </row>
    <row r="365" spans="1:19">
      <c r="A365" t="s">
        <v>29</v>
      </c>
      <c r="B365" t="s">
        <v>3861</v>
      </c>
      <c r="C365">
        <f>"ACO1"</f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 s="2">
        <v>0</v>
      </c>
      <c r="M365">
        <v>0</v>
      </c>
      <c r="N365" s="2">
        <v>0</v>
      </c>
      <c r="O365">
        <v>0</v>
      </c>
      <c r="P365" t="s">
        <v>100</v>
      </c>
      <c r="Q365">
        <v>0</v>
      </c>
      <c r="R365" t="s">
        <v>145</v>
      </c>
      <c r="S365">
        <v>0</v>
      </c>
    </row>
    <row r="366" spans="1:19">
      <c r="A366" t="s">
        <v>29</v>
      </c>
      <c r="B366" t="s">
        <v>3854</v>
      </c>
      <c r="C366">
        <f>"DR082Y"</f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 s="2">
        <v>0</v>
      </c>
      <c r="M366">
        <v>0</v>
      </c>
      <c r="N366" s="2">
        <v>0</v>
      </c>
      <c r="O366">
        <v>0</v>
      </c>
      <c r="P366" t="s">
        <v>100</v>
      </c>
      <c r="Q366">
        <v>0</v>
      </c>
      <c r="R366" t="s">
        <v>145</v>
      </c>
      <c r="S366">
        <v>0</v>
      </c>
    </row>
    <row r="367" spans="1:19">
      <c r="A367" t="s">
        <v>29</v>
      </c>
      <c r="B367" t="s">
        <v>5083</v>
      </c>
      <c r="C367">
        <f>"60464"</f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 s="2">
        <v>0</v>
      </c>
      <c r="M367">
        <v>0</v>
      </c>
      <c r="N367" s="2">
        <v>0</v>
      </c>
      <c r="O367">
        <v>0</v>
      </c>
      <c r="P367" t="s">
        <v>100</v>
      </c>
      <c r="Q367">
        <v>0</v>
      </c>
      <c r="R367" t="s">
        <v>145</v>
      </c>
      <c r="S367">
        <v>0</v>
      </c>
    </row>
    <row r="368" spans="1:19">
      <c r="A368" t="s">
        <v>29</v>
      </c>
      <c r="B368" t="s">
        <v>6932</v>
      </c>
      <c r="C368">
        <f>"AS03"</f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 s="2">
        <v>0</v>
      </c>
      <c r="M368">
        <v>0</v>
      </c>
      <c r="N368" s="2">
        <v>0</v>
      </c>
      <c r="O368">
        <v>0</v>
      </c>
      <c r="P368" t="s">
        <v>100</v>
      </c>
      <c r="Q368">
        <v>0</v>
      </c>
      <c r="R368" t="s">
        <v>145</v>
      </c>
      <c r="S368">
        <v>0</v>
      </c>
    </row>
    <row r="369" spans="1:19">
      <c r="A369" t="s">
        <v>29</v>
      </c>
      <c r="B369" t="s">
        <v>7385</v>
      </c>
      <c r="C369">
        <f>"63351"</f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 s="2">
        <v>0</v>
      </c>
      <c r="M369">
        <v>0</v>
      </c>
      <c r="N369" s="2">
        <v>0</v>
      </c>
      <c r="O369">
        <v>0</v>
      </c>
      <c r="P369" t="s">
        <v>100</v>
      </c>
      <c r="Q369">
        <v>0</v>
      </c>
      <c r="R369" t="s">
        <v>145</v>
      </c>
      <c r="S369">
        <v>0</v>
      </c>
    </row>
    <row r="370" spans="1:19">
      <c r="A370" t="s">
        <v>29</v>
      </c>
      <c r="B370" t="s">
        <v>7686</v>
      </c>
      <c r="C370">
        <f>"MC916"</f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 s="2">
        <v>0</v>
      </c>
      <c r="M370">
        <v>0</v>
      </c>
      <c r="N370" s="2">
        <v>0</v>
      </c>
      <c r="O370">
        <v>0</v>
      </c>
      <c r="P370" t="s">
        <v>100</v>
      </c>
      <c r="Q370">
        <v>0</v>
      </c>
      <c r="R370" t="s">
        <v>145</v>
      </c>
      <c r="S370">
        <v>0</v>
      </c>
    </row>
    <row r="371" spans="1:19">
      <c r="A371" t="s">
        <v>29</v>
      </c>
      <c r="B371" t="s">
        <v>6512</v>
      </c>
      <c r="C371">
        <f>"D150"</f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 s="2">
        <v>0</v>
      </c>
      <c r="M371">
        <v>0</v>
      </c>
      <c r="N371" s="2">
        <v>0</v>
      </c>
      <c r="O371">
        <v>0</v>
      </c>
      <c r="P371" t="s">
        <v>100</v>
      </c>
      <c r="Q371">
        <v>0</v>
      </c>
      <c r="R371" t="s">
        <v>145</v>
      </c>
      <c r="S371">
        <v>0</v>
      </c>
    </row>
    <row r="372" spans="1:19">
      <c r="A372" t="s">
        <v>29</v>
      </c>
      <c r="B372" t="s">
        <v>6513</v>
      </c>
      <c r="C372">
        <f>"RS75W"</f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 s="2">
        <v>0</v>
      </c>
      <c r="M372">
        <v>0</v>
      </c>
      <c r="N372" s="2">
        <v>0</v>
      </c>
      <c r="O372">
        <v>0</v>
      </c>
      <c r="P372" t="s">
        <v>100</v>
      </c>
      <c r="Q372">
        <v>0</v>
      </c>
      <c r="R372" t="s">
        <v>145</v>
      </c>
      <c r="S372">
        <v>0</v>
      </c>
    </row>
    <row r="373" spans="1:19">
      <c r="A373" t="s">
        <v>29</v>
      </c>
      <c r="B373" t="s">
        <v>2064</v>
      </c>
      <c r="C373">
        <f>"CN50"</f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 s="2">
        <v>0</v>
      </c>
      <c r="M373">
        <v>0</v>
      </c>
      <c r="N373" s="2">
        <v>0</v>
      </c>
      <c r="O373">
        <v>0</v>
      </c>
      <c r="P373" t="s">
        <v>100</v>
      </c>
      <c r="Q373">
        <v>0</v>
      </c>
      <c r="R373" t="s">
        <v>145</v>
      </c>
      <c r="S373">
        <v>0</v>
      </c>
    </row>
    <row r="374" spans="1:19">
      <c r="A374" t="s">
        <v>29</v>
      </c>
      <c r="B374" t="s">
        <v>7292</v>
      </c>
      <c r="C374">
        <f>"CN300"</f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 s="2">
        <v>0</v>
      </c>
      <c r="M374">
        <v>0</v>
      </c>
      <c r="N374" s="2">
        <v>0</v>
      </c>
      <c r="O374">
        <v>0</v>
      </c>
      <c r="P374" t="s">
        <v>100</v>
      </c>
      <c r="Q374">
        <v>0</v>
      </c>
      <c r="R374" t="s">
        <v>145</v>
      </c>
      <c r="S374">
        <v>0</v>
      </c>
    </row>
    <row r="375" spans="1:19">
      <c r="A375" t="s">
        <v>29</v>
      </c>
      <c r="B375" t="s">
        <v>7294</v>
      </c>
      <c r="C375">
        <f>"CN25"</f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 s="2">
        <v>0</v>
      </c>
      <c r="M375">
        <v>0</v>
      </c>
      <c r="N375" s="2">
        <v>0</v>
      </c>
      <c r="O375">
        <v>0</v>
      </c>
      <c r="P375" t="s">
        <v>100</v>
      </c>
      <c r="Q375">
        <v>0</v>
      </c>
      <c r="R375" t="s">
        <v>145</v>
      </c>
      <c r="S375">
        <v>0</v>
      </c>
    </row>
    <row r="376" spans="1:19">
      <c r="A376" t="s">
        <v>29</v>
      </c>
      <c r="B376" t="s">
        <v>1375</v>
      </c>
      <c r="C376">
        <f>"A016"</f>
        <v>0</v>
      </c>
      <c r="D376">
        <v>1</v>
      </c>
      <c r="E376">
        <v>0</v>
      </c>
      <c r="F376">
        <v>0</v>
      </c>
      <c r="G376">
        <v>0</v>
      </c>
      <c r="H376">
        <v>1</v>
      </c>
      <c r="I376">
        <v>0</v>
      </c>
      <c r="J376">
        <v>0</v>
      </c>
      <c r="K376">
        <v>0</v>
      </c>
      <c r="L376" s="2">
        <v>0</v>
      </c>
      <c r="M376">
        <v>0</v>
      </c>
      <c r="N376" s="2">
        <v>0</v>
      </c>
      <c r="O376">
        <v>0</v>
      </c>
      <c r="P376" t="s">
        <v>100</v>
      </c>
      <c r="Q376">
        <v>0</v>
      </c>
      <c r="R376" t="s">
        <v>145</v>
      </c>
      <c r="S376">
        <v>0</v>
      </c>
    </row>
    <row r="377" spans="1:19">
      <c r="A377" t="s">
        <v>29</v>
      </c>
      <c r="B377" t="s">
        <v>3906</v>
      </c>
      <c r="C377">
        <f>"ATS220"</f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 s="2">
        <v>0</v>
      </c>
      <c r="M377">
        <v>0</v>
      </c>
      <c r="N377" s="2">
        <v>0</v>
      </c>
      <c r="O377">
        <v>0</v>
      </c>
      <c r="P377" t="s">
        <v>100</v>
      </c>
      <c r="Q377">
        <v>0</v>
      </c>
      <c r="R377" t="s">
        <v>145</v>
      </c>
      <c r="S377">
        <v>0</v>
      </c>
    </row>
    <row r="378" spans="1:19">
      <c r="A378" t="s">
        <v>29</v>
      </c>
      <c r="B378" t="s">
        <v>1395</v>
      </c>
      <c r="C378">
        <f>"F205"</f>
        <v>0</v>
      </c>
      <c r="D378">
        <v>0</v>
      </c>
      <c r="E378">
        <v>0</v>
      </c>
      <c r="F378">
        <v>1</v>
      </c>
      <c r="G378">
        <v>0</v>
      </c>
      <c r="H378">
        <v>1</v>
      </c>
      <c r="I378">
        <v>0</v>
      </c>
      <c r="J378">
        <v>0</v>
      </c>
      <c r="K378">
        <v>0</v>
      </c>
      <c r="L378" s="2">
        <v>0</v>
      </c>
      <c r="M378">
        <v>0</v>
      </c>
      <c r="N378" s="2">
        <v>0</v>
      </c>
      <c r="O378">
        <v>0</v>
      </c>
      <c r="P378" t="s">
        <v>100</v>
      </c>
      <c r="Q378">
        <v>0</v>
      </c>
      <c r="R378" t="s">
        <v>145</v>
      </c>
      <c r="S378">
        <v>0</v>
      </c>
    </row>
    <row r="379" spans="1:19">
      <c r="A379" t="s">
        <v>29</v>
      </c>
      <c r="B379" t="s">
        <v>7150</v>
      </c>
      <c r="C379">
        <f>"HP03"</f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 s="2">
        <v>0</v>
      </c>
      <c r="M379">
        <v>0</v>
      </c>
      <c r="N379" s="2">
        <v>0</v>
      </c>
      <c r="O379">
        <v>0</v>
      </c>
      <c r="P379" t="s">
        <v>100</v>
      </c>
      <c r="Q379">
        <v>0</v>
      </c>
      <c r="R379" t="s">
        <v>145</v>
      </c>
      <c r="S379">
        <v>0</v>
      </c>
    </row>
    <row r="380" spans="1:19">
      <c r="A380" t="s">
        <v>29</v>
      </c>
      <c r="B380" t="s">
        <v>7151</v>
      </c>
      <c r="C380">
        <f>"HP02"</f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 s="2">
        <v>0</v>
      </c>
      <c r="M380">
        <v>0</v>
      </c>
      <c r="N380" s="2">
        <v>0</v>
      </c>
      <c r="O380">
        <v>0</v>
      </c>
      <c r="P380" t="s">
        <v>100</v>
      </c>
      <c r="Q380">
        <v>0</v>
      </c>
      <c r="R380" t="s">
        <v>145</v>
      </c>
      <c r="S380">
        <v>0</v>
      </c>
    </row>
    <row r="381" spans="1:19">
      <c r="A381" t="s">
        <v>29</v>
      </c>
      <c r="B381" t="s">
        <v>7214</v>
      </c>
      <c r="C381">
        <f>"CALCA"</f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 s="2">
        <v>0</v>
      </c>
      <c r="M381">
        <v>0</v>
      </c>
      <c r="N381" s="2">
        <v>0</v>
      </c>
      <c r="O381">
        <v>0</v>
      </c>
      <c r="P381" t="s">
        <v>100</v>
      </c>
      <c r="Q381">
        <v>0</v>
      </c>
      <c r="R381" t="s">
        <v>145</v>
      </c>
      <c r="S381">
        <v>0</v>
      </c>
    </row>
    <row r="382" spans="1:19">
      <c r="A382" t="s">
        <v>29</v>
      </c>
      <c r="B382" t="s">
        <v>7856</v>
      </c>
      <c r="C382">
        <f>"32182"</f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 s="2">
        <v>0</v>
      </c>
      <c r="M382">
        <v>0</v>
      </c>
      <c r="N382" s="2">
        <v>0</v>
      </c>
      <c r="O382">
        <v>0</v>
      </c>
      <c r="P382" t="s">
        <v>100</v>
      </c>
      <c r="Q382">
        <v>0</v>
      </c>
      <c r="R382" t="s">
        <v>145</v>
      </c>
      <c r="S382">
        <v>0</v>
      </c>
    </row>
    <row r="383" spans="1:19">
      <c r="A383" t="s">
        <v>29</v>
      </c>
      <c r="B383" t="s">
        <v>7810</v>
      </c>
      <c r="C383">
        <f>"60954"</f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 s="2">
        <v>0</v>
      </c>
      <c r="M383">
        <v>0</v>
      </c>
      <c r="N383" s="2">
        <v>0</v>
      </c>
      <c r="O383">
        <v>0</v>
      </c>
      <c r="P383" t="s">
        <v>100</v>
      </c>
      <c r="Q383">
        <v>0</v>
      </c>
      <c r="R383" t="s">
        <v>145</v>
      </c>
      <c r="S383">
        <v>0</v>
      </c>
    </row>
    <row r="384" spans="1:19">
      <c r="A384" t="s">
        <v>29</v>
      </c>
      <c r="B384" t="s">
        <v>7819</v>
      </c>
      <c r="C384">
        <f>"60454"</f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 s="2">
        <v>0</v>
      </c>
      <c r="M384">
        <v>0</v>
      </c>
      <c r="N384" s="2">
        <v>0</v>
      </c>
      <c r="O384">
        <v>0</v>
      </c>
      <c r="P384" t="s">
        <v>100</v>
      </c>
      <c r="Q384">
        <v>0</v>
      </c>
      <c r="R384" t="s">
        <v>145</v>
      </c>
      <c r="S384">
        <v>0</v>
      </c>
    </row>
    <row r="385" spans="1:19">
      <c r="A385" t="s">
        <v>29</v>
      </c>
      <c r="B385" t="s">
        <v>6591</v>
      </c>
      <c r="C385">
        <f>"MCA10"</f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 s="2">
        <v>0</v>
      </c>
      <c r="M385">
        <v>0</v>
      </c>
      <c r="N385" s="2">
        <v>0</v>
      </c>
      <c r="O385">
        <v>0</v>
      </c>
      <c r="P385" t="s">
        <v>100</v>
      </c>
      <c r="Q385">
        <v>0</v>
      </c>
      <c r="R385" t="s">
        <v>145</v>
      </c>
      <c r="S385">
        <v>0</v>
      </c>
    </row>
    <row r="386" spans="1:19">
      <c r="A386" t="s">
        <v>29</v>
      </c>
      <c r="B386" t="s">
        <v>6903</v>
      </c>
      <c r="C386">
        <f>"CNI25"</f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 s="2">
        <v>0</v>
      </c>
      <c r="M386">
        <v>0</v>
      </c>
      <c r="N386" s="2">
        <v>0</v>
      </c>
      <c r="O386">
        <v>0</v>
      </c>
      <c r="P386" t="s">
        <v>100</v>
      </c>
      <c r="Q386">
        <v>0</v>
      </c>
      <c r="R386" t="s">
        <v>145</v>
      </c>
      <c r="S386">
        <v>0</v>
      </c>
    </row>
    <row r="387" spans="1:19">
      <c r="A387" t="s">
        <v>29</v>
      </c>
      <c r="B387" t="s">
        <v>6904</v>
      </c>
      <c r="C387">
        <f>"CNI75"</f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 s="2">
        <v>0</v>
      </c>
      <c r="M387">
        <v>0</v>
      </c>
      <c r="N387" s="2">
        <v>0</v>
      </c>
      <c r="O387">
        <v>0</v>
      </c>
      <c r="P387" t="s">
        <v>100</v>
      </c>
      <c r="Q387">
        <v>0</v>
      </c>
      <c r="R387" t="s">
        <v>145</v>
      </c>
      <c r="S387">
        <v>0</v>
      </c>
    </row>
    <row r="388" spans="1:19">
      <c r="A388" t="s">
        <v>29</v>
      </c>
      <c r="B388" t="s">
        <v>6905</v>
      </c>
      <c r="C388">
        <f>"CNI50"</f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 s="2">
        <v>0</v>
      </c>
      <c r="M388">
        <v>0</v>
      </c>
      <c r="N388" s="2">
        <v>0</v>
      </c>
      <c r="O388">
        <v>0</v>
      </c>
      <c r="P388" t="s">
        <v>100</v>
      </c>
      <c r="Q388">
        <v>0</v>
      </c>
      <c r="R388" t="s">
        <v>145</v>
      </c>
      <c r="S388">
        <v>0</v>
      </c>
    </row>
    <row r="389" spans="1:19">
      <c r="A389" t="s">
        <v>29</v>
      </c>
      <c r="B389" t="s">
        <v>3880</v>
      </c>
      <c r="C389">
        <f>"BT111"</f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 s="2">
        <v>0</v>
      </c>
      <c r="M389">
        <v>0</v>
      </c>
      <c r="N389" s="2">
        <v>0</v>
      </c>
      <c r="O389">
        <v>0</v>
      </c>
      <c r="P389" t="s">
        <v>100</v>
      </c>
      <c r="Q389">
        <v>0</v>
      </c>
      <c r="R389" t="s">
        <v>145</v>
      </c>
      <c r="S389">
        <v>0</v>
      </c>
    </row>
    <row r="390" spans="1:19">
      <c r="A390" t="s">
        <v>29</v>
      </c>
      <c r="B390" t="s">
        <v>3881</v>
      </c>
      <c r="C390">
        <f>"ATS320"</f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 s="2">
        <v>0</v>
      </c>
      <c r="M390">
        <v>0</v>
      </c>
      <c r="N390" s="2">
        <v>0</v>
      </c>
      <c r="O390">
        <v>0</v>
      </c>
      <c r="P390" t="s">
        <v>100</v>
      </c>
      <c r="Q390">
        <v>0</v>
      </c>
      <c r="R390" t="s">
        <v>145</v>
      </c>
      <c r="S390">
        <v>0</v>
      </c>
    </row>
    <row r="391" spans="1:19">
      <c r="A391" t="s">
        <v>29</v>
      </c>
      <c r="B391" t="s">
        <v>7280</v>
      </c>
      <c r="C391">
        <f>"63344"</f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 s="2">
        <v>0</v>
      </c>
      <c r="M391">
        <v>0</v>
      </c>
      <c r="N391" s="2">
        <v>0</v>
      </c>
      <c r="O391">
        <v>0</v>
      </c>
      <c r="P391" t="s">
        <v>100</v>
      </c>
      <c r="Q391">
        <v>0</v>
      </c>
      <c r="R391" t="s">
        <v>145</v>
      </c>
      <c r="S391">
        <v>0</v>
      </c>
    </row>
    <row r="392" spans="1:19">
      <c r="A392" t="s">
        <v>29</v>
      </c>
      <c r="B392" t="s">
        <v>2878</v>
      </c>
      <c r="C392">
        <f>"HRG1000B"</f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 s="2">
        <v>0</v>
      </c>
      <c r="M392">
        <v>0</v>
      </c>
      <c r="N392" s="2">
        <v>0</v>
      </c>
      <c r="O392">
        <v>0</v>
      </c>
      <c r="P392" t="s">
        <v>100</v>
      </c>
      <c r="Q392">
        <v>0</v>
      </c>
      <c r="R392" t="s">
        <v>145</v>
      </c>
      <c r="S392">
        <v>0</v>
      </c>
    </row>
    <row r="393" spans="1:19">
      <c r="A393" t="s">
        <v>29</v>
      </c>
      <c r="B393" t="s">
        <v>2880</v>
      </c>
      <c r="C393">
        <f>"34032"</f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 s="2">
        <v>0</v>
      </c>
      <c r="M393">
        <v>0</v>
      </c>
      <c r="N393" s="2">
        <v>0</v>
      </c>
      <c r="O393">
        <v>0</v>
      </c>
      <c r="P393" t="s">
        <v>100</v>
      </c>
      <c r="Q393">
        <v>0</v>
      </c>
      <c r="R393" t="s">
        <v>145</v>
      </c>
      <c r="S393">
        <v>0</v>
      </c>
    </row>
    <row r="394" spans="1:19">
      <c r="A394" t="s">
        <v>29</v>
      </c>
      <c r="B394" t="s">
        <v>2831</v>
      </c>
      <c r="C394">
        <f>"34022"</f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 s="2">
        <v>0</v>
      </c>
      <c r="M394">
        <v>0</v>
      </c>
      <c r="N394" s="2">
        <v>0</v>
      </c>
      <c r="O394">
        <v>0</v>
      </c>
      <c r="P394" t="s">
        <v>100</v>
      </c>
      <c r="Q394">
        <v>0</v>
      </c>
      <c r="R394" t="s">
        <v>145</v>
      </c>
      <c r="S394">
        <v>0</v>
      </c>
    </row>
    <row r="395" spans="1:19">
      <c r="A395" t="s">
        <v>29</v>
      </c>
      <c r="B395" t="s">
        <v>2966</v>
      </c>
      <c r="C395">
        <f>"34062"</f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 s="2">
        <v>0</v>
      </c>
      <c r="M395">
        <v>0</v>
      </c>
      <c r="N395" s="2">
        <v>0</v>
      </c>
      <c r="O395">
        <v>0</v>
      </c>
      <c r="P395" t="s">
        <v>100</v>
      </c>
      <c r="Q395">
        <v>0</v>
      </c>
      <c r="R395" t="s">
        <v>145</v>
      </c>
      <c r="S395">
        <v>0</v>
      </c>
    </row>
    <row r="396" spans="1:19">
      <c r="A396" t="s">
        <v>29</v>
      </c>
      <c r="B396" t="s">
        <v>3692</v>
      </c>
      <c r="C396">
        <f>"P350"</f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 s="2">
        <v>0</v>
      </c>
      <c r="M396">
        <v>0</v>
      </c>
      <c r="N396" s="2">
        <v>0</v>
      </c>
      <c r="O396">
        <v>0</v>
      </c>
      <c r="P396" t="s">
        <v>100</v>
      </c>
      <c r="Q396">
        <v>0</v>
      </c>
      <c r="R396" t="s">
        <v>145</v>
      </c>
      <c r="S396">
        <v>0</v>
      </c>
    </row>
    <row r="397" spans="1:19">
      <c r="A397" t="s">
        <v>29</v>
      </c>
      <c r="B397" t="s">
        <v>3360</v>
      </c>
      <c r="C397">
        <f>"CY4015T"</f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 s="2">
        <v>0</v>
      </c>
      <c r="M397">
        <v>0</v>
      </c>
      <c r="N397" s="2">
        <v>0</v>
      </c>
      <c r="O397">
        <v>0</v>
      </c>
      <c r="P397" t="s">
        <v>100</v>
      </c>
      <c r="Q397">
        <v>0</v>
      </c>
      <c r="R397" t="s">
        <v>145</v>
      </c>
      <c r="S397">
        <v>0</v>
      </c>
    </row>
    <row r="398" spans="1:19">
      <c r="A398" t="s">
        <v>29</v>
      </c>
      <c r="B398" t="s">
        <v>5863</v>
      </c>
      <c r="C398">
        <f>"LBL03"</f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 s="2">
        <v>0</v>
      </c>
      <c r="M398">
        <v>0</v>
      </c>
      <c r="N398" s="2">
        <v>0</v>
      </c>
      <c r="O398">
        <v>0</v>
      </c>
      <c r="P398" t="s">
        <v>100</v>
      </c>
      <c r="Q398">
        <v>0</v>
      </c>
      <c r="R398" t="s">
        <v>145</v>
      </c>
      <c r="S398">
        <v>0</v>
      </c>
    </row>
    <row r="399" spans="1:19">
      <c r="A399" t="s">
        <v>29</v>
      </c>
      <c r="B399" t="s">
        <v>5869</v>
      </c>
      <c r="C399">
        <f>"11365"</f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 s="2">
        <v>0</v>
      </c>
      <c r="M399">
        <v>0</v>
      </c>
      <c r="N399" s="2">
        <v>0</v>
      </c>
      <c r="O399">
        <v>0</v>
      </c>
      <c r="P399" t="s">
        <v>100</v>
      </c>
      <c r="Q399">
        <v>0</v>
      </c>
      <c r="R399" t="s">
        <v>145</v>
      </c>
      <c r="S399">
        <v>0</v>
      </c>
    </row>
    <row r="400" spans="1:19">
      <c r="A400" t="s">
        <v>29</v>
      </c>
      <c r="B400" t="s">
        <v>5873</v>
      </c>
      <c r="C400">
        <f>"11364"</f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 s="2">
        <v>0</v>
      </c>
      <c r="M400">
        <v>0</v>
      </c>
      <c r="N400" s="2">
        <v>0</v>
      </c>
      <c r="O400">
        <v>0</v>
      </c>
      <c r="P400" t="s">
        <v>100</v>
      </c>
      <c r="Q400">
        <v>0</v>
      </c>
      <c r="R400" t="s">
        <v>145</v>
      </c>
      <c r="S400">
        <v>0</v>
      </c>
    </row>
    <row r="401" spans="1:19">
      <c r="A401" t="s">
        <v>29</v>
      </c>
      <c r="B401" t="s">
        <v>5516</v>
      </c>
      <c r="C401">
        <f>"BI100"</f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 s="2">
        <v>0</v>
      </c>
      <c r="M401">
        <v>0</v>
      </c>
      <c r="N401" s="2">
        <v>0</v>
      </c>
      <c r="O401">
        <v>0</v>
      </c>
      <c r="P401" t="s">
        <v>100</v>
      </c>
      <c r="Q401">
        <v>0</v>
      </c>
      <c r="R401" t="s">
        <v>145</v>
      </c>
      <c r="S401">
        <v>0</v>
      </c>
    </row>
    <row r="402" spans="1:19">
      <c r="A402" t="s">
        <v>29</v>
      </c>
      <c r="B402" t="s">
        <v>5678</v>
      </c>
      <c r="C402">
        <f>"TR250"</f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 s="2">
        <v>0</v>
      </c>
      <c r="M402">
        <v>0</v>
      </c>
      <c r="N402" s="2">
        <v>0</v>
      </c>
      <c r="O402">
        <v>0</v>
      </c>
      <c r="P402" t="s">
        <v>100</v>
      </c>
      <c r="Q402">
        <v>0</v>
      </c>
      <c r="R402" t="s">
        <v>145</v>
      </c>
      <c r="S402">
        <v>0</v>
      </c>
    </row>
    <row r="403" spans="1:19">
      <c r="A403" t="s">
        <v>29</v>
      </c>
      <c r="B403" t="s">
        <v>3430</v>
      </c>
      <c r="C403">
        <f>"MMIX3"</f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 s="2">
        <v>0</v>
      </c>
      <c r="M403">
        <v>0</v>
      </c>
      <c r="N403" s="2">
        <v>0</v>
      </c>
      <c r="O403">
        <v>0</v>
      </c>
      <c r="P403" t="s">
        <v>100</v>
      </c>
      <c r="Q403">
        <v>0</v>
      </c>
      <c r="R403" t="s">
        <v>145</v>
      </c>
      <c r="S403">
        <v>0</v>
      </c>
    </row>
    <row r="404" spans="1:19">
      <c r="A404" t="s">
        <v>29</v>
      </c>
      <c r="B404" t="s">
        <v>3664</v>
      </c>
      <c r="C404">
        <f>"RS160"</f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 s="2">
        <v>0</v>
      </c>
      <c r="M404">
        <v>0</v>
      </c>
      <c r="N404" s="2">
        <v>0</v>
      </c>
      <c r="O404">
        <v>0</v>
      </c>
      <c r="P404" t="s">
        <v>100</v>
      </c>
      <c r="Q404">
        <v>0</v>
      </c>
      <c r="R404" t="s">
        <v>145</v>
      </c>
      <c r="S404">
        <v>0</v>
      </c>
    </row>
    <row r="405" spans="1:19">
      <c r="A405" t="s">
        <v>29</v>
      </c>
      <c r="B405" t="s">
        <v>5645</v>
      </c>
      <c r="C405">
        <f>"B3"</f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 s="2">
        <v>0</v>
      </c>
      <c r="M405">
        <v>0</v>
      </c>
      <c r="N405" s="2">
        <v>0</v>
      </c>
      <c r="O405">
        <v>0</v>
      </c>
      <c r="P405" t="s">
        <v>100</v>
      </c>
      <c r="Q405">
        <v>0</v>
      </c>
      <c r="R405" t="s">
        <v>145</v>
      </c>
      <c r="S405">
        <v>0</v>
      </c>
    </row>
    <row r="406" spans="1:19">
      <c r="A406" t="s">
        <v>29</v>
      </c>
      <c r="B406" t="s">
        <v>5646</v>
      </c>
      <c r="C406">
        <f>"T1161"</f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 s="2">
        <v>0</v>
      </c>
      <c r="M406">
        <v>0</v>
      </c>
      <c r="N406" s="2">
        <v>0</v>
      </c>
      <c r="O406">
        <v>0</v>
      </c>
      <c r="P406" t="s">
        <v>100</v>
      </c>
      <c r="Q406">
        <v>0</v>
      </c>
      <c r="R406" t="s">
        <v>145</v>
      </c>
      <c r="S406">
        <v>0</v>
      </c>
    </row>
    <row r="407" spans="1:19">
      <c r="A407" t="s">
        <v>29</v>
      </c>
      <c r="B407" t="s">
        <v>5505</v>
      </c>
      <c r="C407">
        <f>"RED3"</f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 s="2">
        <v>0</v>
      </c>
      <c r="M407">
        <v>0</v>
      </c>
      <c r="N407" s="2">
        <v>0</v>
      </c>
      <c r="O407">
        <v>0</v>
      </c>
      <c r="P407" t="s">
        <v>100</v>
      </c>
      <c r="Q407">
        <v>0</v>
      </c>
      <c r="R407" t="s">
        <v>145</v>
      </c>
      <c r="S407">
        <v>0</v>
      </c>
    </row>
    <row r="408" spans="1:19">
      <c r="A408" t="s">
        <v>29</v>
      </c>
      <c r="B408" t="s">
        <v>5506</v>
      </c>
      <c r="C408">
        <f>"RED12"</f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 s="2">
        <v>0</v>
      </c>
      <c r="M408">
        <v>0</v>
      </c>
      <c r="N408" s="2">
        <v>0</v>
      </c>
      <c r="O408">
        <v>0</v>
      </c>
      <c r="P408" t="s">
        <v>100</v>
      </c>
      <c r="Q408">
        <v>0</v>
      </c>
      <c r="R408" t="s">
        <v>145</v>
      </c>
      <c r="S408">
        <v>0</v>
      </c>
    </row>
    <row r="409" spans="1:19">
      <c r="A409" t="s">
        <v>29</v>
      </c>
      <c r="B409" t="s">
        <v>5926</v>
      </c>
      <c r="C409">
        <f>"FPM500"</f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 s="2">
        <v>0</v>
      </c>
      <c r="M409">
        <v>0</v>
      </c>
      <c r="N409" s="2">
        <v>0</v>
      </c>
      <c r="O409">
        <v>0</v>
      </c>
      <c r="P409" t="s">
        <v>100</v>
      </c>
      <c r="Q409">
        <v>0</v>
      </c>
      <c r="R409" t="s">
        <v>145</v>
      </c>
      <c r="S409">
        <v>0</v>
      </c>
    </row>
    <row r="410" spans="1:19">
      <c r="A410" t="s">
        <v>29</v>
      </c>
      <c r="B410" t="s">
        <v>5883</v>
      </c>
      <c r="C410">
        <f>"PULGA100"</f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 s="2">
        <v>0</v>
      </c>
      <c r="M410">
        <v>0</v>
      </c>
      <c r="N410" s="2">
        <v>0</v>
      </c>
      <c r="O410">
        <v>0</v>
      </c>
      <c r="P410" t="s">
        <v>100</v>
      </c>
      <c r="Q410">
        <v>0</v>
      </c>
      <c r="R410" t="s">
        <v>145</v>
      </c>
      <c r="S410">
        <v>0</v>
      </c>
    </row>
    <row r="411" spans="1:19">
      <c r="A411" t="s">
        <v>29</v>
      </c>
      <c r="B411" t="s">
        <v>5843</v>
      </c>
      <c r="C411">
        <f>"FPM"</f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 s="2">
        <v>0</v>
      </c>
      <c r="M411">
        <v>0</v>
      </c>
      <c r="N411" s="2">
        <v>0</v>
      </c>
      <c r="O411">
        <v>0</v>
      </c>
      <c r="P411" t="s">
        <v>100</v>
      </c>
      <c r="Q411">
        <v>0</v>
      </c>
      <c r="R411" t="s">
        <v>145</v>
      </c>
      <c r="S411">
        <v>0</v>
      </c>
    </row>
    <row r="412" spans="1:19">
      <c r="A412" t="s">
        <v>29</v>
      </c>
      <c r="B412" t="s">
        <v>5800</v>
      </c>
      <c r="C412">
        <f>"PMP50"</f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 s="2">
        <v>0</v>
      </c>
      <c r="M412">
        <v>0</v>
      </c>
      <c r="N412" s="2">
        <v>0</v>
      </c>
      <c r="O412">
        <v>0</v>
      </c>
      <c r="P412" t="s">
        <v>100</v>
      </c>
      <c r="Q412">
        <v>0</v>
      </c>
      <c r="R412" t="s">
        <v>145</v>
      </c>
      <c r="S412">
        <v>0</v>
      </c>
    </row>
    <row r="413" spans="1:19">
      <c r="A413" t="s">
        <v>29</v>
      </c>
      <c r="B413" t="s">
        <v>5801</v>
      </c>
      <c r="C413">
        <f>"PMP25"</f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 s="2">
        <v>0</v>
      </c>
      <c r="M413">
        <v>0</v>
      </c>
      <c r="N413" s="2">
        <v>0</v>
      </c>
      <c r="O413">
        <v>0</v>
      </c>
      <c r="P413" t="s">
        <v>100</v>
      </c>
      <c r="Q413">
        <v>0</v>
      </c>
      <c r="R413" t="s">
        <v>145</v>
      </c>
      <c r="S413">
        <v>0</v>
      </c>
    </row>
    <row r="414" spans="1:19">
      <c r="A414" t="s">
        <v>29</v>
      </c>
      <c r="B414" t="s">
        <v>5802</v>
      </c>
      <c r="C414">
        <f>"PMP100"</f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 s="2">
        <v>0</v>
      </c>
      <c r="M414">
        <v>0</v>
      </c>
      <c r="N414" s="2">
        <v>0</v>
      </c>
      <c r="O414">
        <v>0</v>
      </c>
      <c r="P414" t="s">
        <v>100</v>
      </c>
      <c r="Q414">
        <v>0</v>
      </c>
      <c r="R414" t="s">
        <v>145</v>
      </c>
      <c r="S414">
        <v>0</v>
      </c>
    </row>
    <row r="415" spans="1:19">
      <c r="A415" t="s">
        <v>29</v>
      </c>
      <c r="B415" t="s">
        <v>3429</v>
      </c>
      <c r="C415">
        <f>"MMIX2"</f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 s="2">
        <v>0</v>
      </c>
      <c r="M415">
        <v>0</v>
      </c>
      <c r="N415" s="2">
        <v>0</v>
      </c>
      <c r="O415">
        <v>0</v>
      </c>
      <c r="P415" t="s">
        <v>100</v>
      </c>
      <c r="Q415">
        <v>0</v>
      </c>
      <c r="R415" t="s">
        <v>145</v>
      </c>
      <c r="S415">
        <v>0</v>
      </c>
    </row>
    <row r="416" spans="1:19">
      <c r="A416" t="s">
        <v>29</v>
      </c>
      <c r="B416" t="s">
        <v>6241</v>
      </c>
      <c r="C416">
        <f>"BT104"</f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 s="2">
        <v>0</v>
      </c>
      <c r="M416">
        <v>0</v>
      </c>
      <c r="N416" s="2">
        <v>0</v>
      </c>
      <c r="O416">
        <v>0</v>
      </c>
      <c r="P416" t="s">
        <v>100</v>
      </c>
      <c r="Q416">
        <v>0</v>
      </c>
      <c r="R416" t="s">
        <v>145</v>
      </c>
      <c r="S416">
        <v>0</v>
      </c>
    </row>
    <row r="417" spans="1:19">
      <c r="A417" t="s">
        <v>29</v>
      </c>
      <c r="B417" t="s">
        <v>8372</v>
      </c>
      <c r="C417">
        <f>"34392"</f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 s="2">
        <v>0</v>
      </c>
      <c r="M417">
        <v>0</v>
      </c>
      <c r="N417" s="2">
        <v>0</v>
      </c>
      <c r="O417">
        <v>0</v>
      </c>
      <c r="P417" t="s">
        <v>100</v>
      </c>
      <c r="Q417">
        <v>0</v>
      </c>
      <c r="R417" t="s">
        <v>145</v>
      </c>
      <c r="S417">
        <v>0</v>
      </c>
    </row>
    <row r="418" spans="1:19">
      <c r="A418" t="s">
        <v>29</v>
      </c>
      <c r="B418" t="s">
        <v>5644</v>
      </c>
      <c r="C418">
        <f>"K722"</f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 s="2">
        <v>0</v>
      </c>
      <c r="M418">
        <v>0</v>
      </c>
      <c r="N418" s="2">
        <v>0</v>
      </c>
      <c r="O418">
        <v>0</v>
      </c>
      <c r="P418" t="s">
        <v>100</v>
      </c>
      <c r="Q418">
        <v>0</v>
      </c>
      <c r="R418" t="s">
        <v>145</v>
      </c>
      <c r="S418">
        <v>0</v>
      </c>
    </row>
    <row r="419" spans="1:19">
      <c r="A419" t="s">
        <v>29</v>
      </c>
      <c r="B419" t="s">
        <v>3666</v>
      </c>
      <c r="C419">
        <f>"BP1"</f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 s="2">
        <v>0</v>
      </c>
      <c r="M419">
        <v>0</v>
      </c>
      <c r="N419" s="2">
        <v>0</v>
      </c>
      <c r="O419">
        <v>0</v>
      </c>
      <c r="P419" t="s">
        <v>100</v>
      </c>
      <c r="Q419">
        <v>0</v>
      </c>
      <c r="R419" t="s">
        <v>145</v>
      </c>
      <c r="S419">
        <v>0</v>
      </c>
    </row>
    <row r="420" spans="1:19">
      <c r="A420" t="s">
        <v>29</v>
      </c>
      <c r="B420" t="s">
        <v>3667</v>
      </c>
      <c r="C420">
        <f>"BP3"</f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 s="2">
        <v>0</v>
      </c>
      <c r="M420">
        <v>0</v>
      </c>
      <c r="N420" s="2">
        <v>0</v>
      </c>
      <c r="O420">
        <v>0</v>
      </c>
      <c r="P420" t="s">
        <v>100</v>
      </c>
      <c r="Q420">
        <v>0</v>
      </c>
      <c r="R420" t="s">
        <v>145</v>
      </c>
      <c r="S420">
        <v>0</v>
      </c>
    </row>
    <row r="421" spans="1:19">
      <c r="A421" t="s">
        <v>29</v>
      </c>
      <c r="B421" t="s">
        <v>1079</v>
      </c>
      <c r="C421">
        <f>"RS600"</f>
        <v>0</v>
      </c>
      <c r="D421">
        <v>0</v>
      </c>
      <c r="E421">
        <v>2</v>
      </c>
      <c r="F421">
        <v>0</v>
      </c>
      <c r="G421">
        <v>0</v>
      </c>
      <c r="H421">
        <v>2</v>
      </c>
      <c r="I421">
        <v>0</v>
      </c>
      <c r="J421">
        <v>0</v>
      </c>
      <c r="K421">
        <v>0</v>
      </c>
      <c r="L421" s="2">
        <v>0</v>
      </c>
      <c r="M421">
        <v>0</v>
      </c>
      <c r="N421" s="2">
        <v>0</v>
      </c>
      <c r="O421">
        <v>0</v>
      </c>
      <c r="P421" t="s">
        <v>100</v>
      </c>
      <c r="Q421">
        <v>0</v>
      </c>
      <c r="R421" t="s">
        <v>145</v>
      </c>
      <c r="S421">
        <v>0</v>
      </c>
    </row>
    <row r="422" spans="1:19">
      <c r="A422" t="s">
        <v>29</v>
      </c>
      <c r="B422" t="s">
        <v>3995</v>
      </c>
      <c r="C422">
        <f>"HQJ900Q"</f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 s="2">
        <v>0</v>
      </c>
      <c r="M422">
        <v>0</v>
      </c>
      <c r="N422" s="2">
        <v>0</v>
      </c>
      <c r="O422">
        <v>0</v>
      </c>
      <c r="P422" t="s">
        <v>100</v>
      </c>
      <c r="Q422">
        <v>0</v>
      </c>
      <c r="R422" t="s">
        <v>145</v>
      </c>
      <c r="S422">
        <v>0</v>
      </c>
    </row>
    <row r="423" spans="1:19">
      <c r="A423" t="s">
        <v>29</v>
      </c>
      <c r="B423" t="s">
        <v>3675</v>
      </c>
      <c r="C423">
        <f>"HQJ1000B"</f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 s="2">
        <v>0</v>
      </c>
      <c r="M423">
        <v>0</v>
      </c>
      <c r="N423" s="2">
        <v>0</v>
      </c>
      <c r="O423">
        <v>0</v>
      </c>
      <c r="P423" t="s">
        <v>100</v>
      </c>
      <c r="Q423">
        <v>0</v>
      </c>
      <c r="R423" t="s">
        <v>145</v>
      </c>
      <c r="S423">
        <v>0</v>
      </c>
    </row>
    <row r="424" spans="1:19">
      <c r="A424" t="s">
        <v>29</v>
      </c>
      <c r="B424" t="s">
        <v>3702</v>
      </c>
      <c r="C424">
        <f>"E168"</f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 s="2">
        <v>0</v>
      </c>
      <c r="M424">
        <v>0</v>
      </c>
      <c r="N424" s="2">
        <v>0</v>
      </c>
      <c r="O424">
        <v>0</v>
      </c>
      <c r="P424" t="s">
        <v>100</v>
      </c>
      <c r="Q424">
        <v>0</v>
      </c>
      <c r="R424" t="s">
        <v>145</v>
      </c>
      <c r="S424">
        <v>0</v>
      </c>
    </row>
    <row r="425" spans="1:19">
      <c r="A425" t="s">
        <v>29</v>
      </c>
      <c r="B425" t="s">
        <v>3704</v>
      </c>
      <c r="C425">
        <f>"JTP16000R"</f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 s="2">
        <v>0</v>
      </c>
      <c r="M425">
        <v>0</v>
      </c>
      <c r="N425" s="2">
        <v>0</v>
      </c>
      <c r="O425">
        <v>0</v>
      </c>
      <c r="P425" t="s">
        <v>100</v>
      </c>
      <c r="Q425">
        <v>0</v>
      </c>
      <c r="R425" t="s">
        <v>145</v>
      </c>
      <c r="S425">
        <v>0</v>
      </c>
    </row>
    <row r="426" spans="1:19">
      <c r="A426" t="s">
        <v>29</v>
      </c>
      <c r="B426" t="s">
        <v>1243</v>
      </c>
      <c r="C426">
        <f>"JTP10000R"</f>
        <v>0</v>
      </c>
      <c r="D426">
        <v>0</v>
      </c>
      <c r="E426">
        <v>1</v>
      </c>
      <c r="F426">
        <v>0</v>
      </c>
      <c r="G426">
        <v>0</v>
      </c>
      <c r="H426">
        <v>1</v>
      </c>
      <c r="I426">
        <v>0</v>
      </c>
      <c r="J426">
        <v>0</v>
      </c>
      <c r="K426">
        <v>0</v>
      </c>
      <c r="L426" s="2">
        <v>0</v>
      </c>
      <c r="M426">
        <v>0</v>
      </c>
      <c r="N426" s="2">
        <v>0</v>
      </c>
      <c r="O426">
        <v>0</v>
      </c>
      <c r="P426" t="s">
        <v>100</v>
      </c>
      <c r="Q426">
        <v>0</v>
      </c>
      <c r="R426" t="s">
        <v>145</v>
      </c>
      <c r="S426">
        <v>0</v>
      </c>
    </row>
    <row r="427" spans="1:19">
      <c r="A427" t="s">
        <v>29</v>
      </c>
      <c r="B427" t="s">
        <v>1244</v>
      </c>
      <c r="C427">
        <f>"CHJ900"</f>
        <v>0</v>
      </c>
      <c r="D427">
        <v>0</v>
      </c>
      <c r="E427">
        <v>0</v>
      </c>
      <c r="F427">
        <v>1</v>
      </c>
      <c r="G427">
        <v>0</v>
      </c>
      <c r="H427">
        <v>1</v>
      </c>
      <c r="I427">
        <v>0</v>
      </c>
      <c r="J427">
        <v>0</v>
      </c>
      <c r="K427">
        <v>0</v>
      </c>
      <c r="L427" s="2">
        <v>0</v>
      </c>
      <c r="M427">
        <v>0</v>
      </c>
      <c r="N427" s="2">
        <v>0</v>
      </c>
      <c r="O427">
        <v>0</v>
      </c>
      <c r="P427" t="s">
        <v>100</v>
      </c>
      <c r="Q427">
        <v>0</v>
      </c>
      <c r="R427" t="s">
        <v>145</v>
      </c>
      <c r="S427">
        <v>0</v>
      </c>
    </row>
    <row r="428" spans="1:19">
      <c r="A428" t="s">
        <v>29</v>
      </c>
      <c r="B428" t="s">
        <v>3847</v>
      </c>
      <c r="C428">
        <f>"CHJ600"</f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 s="2">
        <v>0</v>
      </c>
      <c r="M428">
        <v>0</v>
      </c>
      <c r="N428" s="2">
        <v>0</v>
      </c>
      <c r="O428">
        <v>0</v>
      </c>
      <c r="P428" t="s">
        <v>100</v>
      </c>
      <c r="Q428">
        <v>0</v>
      </c>
      <c r="R428" t="s">
        <v>145</v>
      </c>
      <c r="S428">
        <v>0</v>
      </c>
    </row>
    <row r="429" spans="1:19">
      <c r="A429" t="s">
        <v>29</v>
      </c>
      <c r="B429" t="s">
        <v>1080</v>
      </c>
      <c r="C429">
        <f>"CHJ500"</f>
        <v>0</v>
      </c>
      <c r="D429">
        <v>0</v>
      </c>
      <c r="E429">
        <v>2</v>
      </c>
      <c r="F429">
        <v>0</v>
      </c>
      <c r="G429">
        <v>0</v>
      </c>
      <c r="H429">
        <v>2</v>
      </c>
      <c r="I429">
        <v>0</v>
      </c>
      <c r="J429">
        <v>0</v>
      </c>
      <c r="K429">
        <v>0</v>
      </c>
      <c r="L429" s="2">
        <v>0</v>
      </c>
      <c r="M429">
        <v>0</v>
      </c>
      <c r="N429" s="2">
        <v>0</v>
      </c>
      <c r="O429">
        <v>0</v>
      </c>
      <c r="P429" t="s">
        <v>100</v>
      </c>
      <c r="Q429">
        <v>0</v>
      </c>
      <c r="R429" t="s">
        <v>145</v>
      </c>
      <c r="S429">
        <v>0</v>
      </c>
    </row>
    <row r="430" spans="1:19">
      <c r="A430" t="s">
        <v>29</v>
      </c>
      <c r="B430" t="s">
        <v>3432</v>
      </c>
      <c r="C430">
        <f>"EL"</f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 s="2">
        <v>0</v>
      </c>
      <c r="M430">
        <v>0</v>
      </c>
      <c r="N430" s="2">
        <v>0</v>
      </c>
      <c r="O430">
        <v>0</v>
      </c>
      <c r="P430" t="s">
        <v>100</v>
      </c>
      <c r="Q430">
        <v>0</v>
      </c>
      <c r="R430" t="s">
        <v>145</v>
      </c>
      <c r="S430">
        <v>0</v>
      </c>
    </row>
    <row r="431" spans="1:19">
      <c r="A431" t="s">
        <v>29</v>
      </c>
      <c r="B431" t="s">
        <v>3433</v>
      </c>
      <c r="C431">
        <f>"NF003V"</f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 s="2">
        <v>0</v>
      </c>
      <c r="M431">
        <v>0</v>
      </c>
      <c r="N431" s="2">
        <v>0</v>
      </c>
      <c r="O431">
        <v>0</v>
      </c>
      <c r="P431" t="s">
        <v>100</v>
      </c>
      <c r="Q431">
        <v>0</v>
      </c>
      <c r="R431" t="s">
        <v>145</v>
      </c>
      <c r="S431">
        <v>0</v>
      </c>
    </row>
    <row r="432" spans="1:19">
      <c r="A432" t="s">
        <v>29</v>
      </c>
      <c r="B432" t="s">
        <v>2875</v>
      </c>
      <c r="C432">
        <f>"HRG1000D"</f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 s="2">
        <v>0</v>
      </c>
      <c r="M432">
        <v>0</v>
      </c>
      <c r="N432" s="2">
        <v>0</v>
      </c>
      <c r="O432">
        <v>0</v>
      </c>
      <c r="P432" t="s">
        <v>100</v>
      </c>
      <c r="Q432">
        <v>0</v>
      </c>
      <c r="R432" t="s">
        <v>145</v>
      </c>
      <c r="S432">
        <v>0</v>
      </c>
    </row>
    <row r="433" spans="1:19">
      <c r="A433" t="s">
        <v>29</v>
      </c>
      <c r="B433" t="s">
        <v>3436</v>
      </c>
      <c r="C433">
        <f>"NF003A"</f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 s="2">
        <v>0</v>
      </c>
      <c r="M433">
        <v>0</v>
      </c>
      <c r="N433" s="2">
        <v>0</v>
      </c>
      <c r="O433">
        <v>0</v>
      </c>
      <c r="P433" t="s">
        <v>100</v>
      </c>
      <c r="Q433">
        <v>0</v>
      </c>
      <c r="R433" t="s">
        <v>145</v>
      </c>
      <c r="S433">
        <v>0</v>
      </c>
    </row>
    <row r="434" spans="1:19">
      <c r="A434" t="s">
        <v>29</v>
      </c>
      <c r="B434" t="s">
        <v>3443</v>
      </c>
      <c r="C434">
        <f>"UF28P"</f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 s="2">
        <v>0</v>
      </c>
      <c r="M434">
        <v>0</v>
      </c>
      <c r="N434" s="2">
        <v>0</v>
      </c>
      <c r="O434">
        <v>0</v>
      </c>
      <c r="P434" t="s">
        <v>100</v>
      </c>
      <c r="Q434">
        <v>0</v>
      </c>
      <c r="R434" t="s">
        <v>145</v>
      </c>
      <c r="S434">
        <v>0</v>
      </c>
    </row>
    <row r="435" spans="1:19">
      <c r="A435" t="s">
        <v>29</v>
      </c>
      <c r="B435" t="s">
        <v>3445</v>
      </c>
      <c r="C435">
        <f>"UF16P"</f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 s="2">
        <v>0</v>
      </c>
      <c r="M435">
        <v>0</v>
      </c>
      <c r="N435" s="2">
        <v>0</v>
      </c>
      <c r="O435">
        <v>0</v>
      </c>
      <c r="P435" t="s">
        <v>100</v>
      </c>
      <c r="Q435">
        <v>0</v>
      </c>
      <c r="R435" t="s">
        <v>145</v>
      </c>
      <c r="S435">
        <v>0</v>
      </c>
    </row>
    <row r="436" spans="1:19">
      <c r="A436" t="s">
        <v>29</v>
      </c>
      <c r="B436" t="s">
        <v>3446</v>
      </c>
      <c r="C436">
        <f>"UF12P"</f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 s="2">
        <v>0</v>
      </c>
      <c r="M436">
        <v>0</v>
      </c>
      <c r="N436" s="2">
        <v>0</v>
      </c>
      <c r="O436">
        <v>0</v>
      </c>
      <c r="P436" t="s">
        <v>100</v>
      </c>
      <c r="Q436">
        <v>0</v>
      </c>
      <c r="R436" t="s">
        <v>145</v>
      </c>
      <c r="S436">
        <v>0</v>
      </c>
    </row>
    <row r="437" spans="1:19">
      <c r="A437" t="s">
        <v>29</v>
      </c>
      <c r="B437" t="s">
        <v>3493</v>
      </c>
      <c r="C437">
        <f>"DU27"</f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 s="2">
        <v>0</v>
      </c>
      <c r="M437">
        <v>0</v>
      </c>
      <c r="N437" s="2">
        <v>0</v>
      </c>
      <c r="O437">
        <v>0</v>
      </c>
      <c r="P437" t="s">
        <v>100</v>
      </c>
      <c r="Q437">
        <v>0</v>
      </c>
      <c r="R437" t="s">
        <v>145</v>
      </c>
      <c r="S437">
        <v>0</v>
      </c>
    </row>
    <row r="438" spans="1:19">
      <c r="A438" t="s">
        <v>29</v>
      </c>
      <c r="B438" t="s">
        <v>3492</v>
      </c>
      <c r="C438">
        <f>"CH1865"</f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 s="2">
        <v>0</v>
      </c>
      <c r="M438">
        <v>0</v>
      </c>
      <c r="N438" s="2">
        <v>0</v>
      </c>
      <c r="O438">
        <v>0</v>
      </c>
      <c r="P438" t="s">
        <v>100</v>
      </c>
      <c r="Q438">
        <v>0</v>
      </c>
      <c r="R438" t="s">
        <v>145</v>
      </c>
      <c r="S438">
        <v>0</v>
      </c>
    </row>
    <row r="439" spans="1:19">
      <c r="A439" t="s">
        <v>29</v>
      </c>
      <c r="B439" t="s">
        <v>3452</v>
      </c>
      <c r="C439">
        <f>"1863"</f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 s="2">
        <v>0</v>
      </c>
      <c r="M439">
        <v>0</v>
      </c>
      <c r="N439" s="2">
        <v>0</v>
      </c>
      <c r="O439">
        <v>0</v>
      </c>
      <c r="P439" t="s">
        <v>100</v>
      </c>
      <c r="Q439">
        <v>0</v>
      </c>
      <c r="R439" t="s">
        <v>145</v>
      </c>
      <c r="S439">
        <v>0</v>
      </c>
    </row>
    <row r="440" spans="1:19">
      <c r="A440" t="s">
        <v>29</v>
      </c>
      <c r="B440" t="s">
        <v>1255</v>
      </c>
      <c r="C440">
        <f>"YBSZ04"</f>
        <v>0</v>
      </c>
      <c r="D440">
        <v>0</v>
      </c>
      <c r="E440">
        <v>0</v>
      </c>
      <c r="F440">
        <v>1</v>
      </c>
      <c r="G440">
        <v>0</v>
      </c>
      <c r="H440">
        <v>1</v>
      </c>
      <c r="I440">
        <v>0</v>
      </c>
      <c r="J440">
        <v>0</v>
      </c>
      <c r="K440">
        <v>0</v>
      </c>
      <c r="L440" s="2">
        <v>0</v>
      </c>
      <c r="M440">
        <v>0</v>
      </c>
      <c r="N440" s="2">
        <v>0</v>
      </c>
      <c r="O440">
        <v>0</v>
      </c>
      <c r="P440" t="s">
        <v>100</v>
      </c>
      <c r="Q440">
        <v>0</v>
      </c>
      <c r="R440" t="s">
        <v>145</v>
      </c>
      <c r="S440">
        <v>0</v>
      </c>
    </row>
    <row r="441" spans="1:19">
      <c r="A441" t="s">
        <v>29</v>
      </c>
      <c r="B441" t="s">
        <v>3454</v>
      </c>
      <c r="C441">
        <f>"YBSZ02"</f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 s="2">
        <v>0</v>
      </c>
      <c r="M441">
        <v>0</v>
      </c>
      <c r="N441" s="2">
        <v>0</v>
      </c>
      <c r="O441">
        <v>0</v>
      </c>
      <c r="P441" t="s">
        <v>100</v>
      </c>
      <c r="Q441">
        <v>0</v>
      </c>
      <c r="R441" t="s">
        <v>145</v>
      </c>
      <c r="S441">
        <v>0</v>
      </c>
    </row>
    <row r="442" spans="1:19">
      <c r="A442" t="s">
        <v>29</v>
      </c>
      <c r="B442" t="s">
        <v>3486</v>
      </c>
      <c r="C442">
        <f>"YBSZ03"</f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 s="2">
        <v>0</v>
      </c>
      <c r="M442">
        <v>0</v>
      </c>
      <c r="N442" s="2">
        <v>0</v>
      </c>
      <c r="O442">
        <v>0</v>
      </c>
      <c r="P442" t="s">
        <v>100</v>
      </c>
      <c r="Q442">
        <v>0</v>
      </c>
      <c r="R442" t="s">
        <v>145</v>
      </c>
      <c r="S442">
        <v>0</v>
      </c>
    </row>
    <row r="443" spans="1:19">
      <c r="A443" t="s">
        <v>29</v>
      </c>
      <c r="B443" t="s">
        <v>3498</v>
      </c>
      <c r="C443">
        <f>"80102"</f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 s="2">
        <v>0</v>
      </c>
      <c r="M443">
        <v>0</v>
      </c>
      <c r="N443" s="2">
        <v>0</v>
      </c>
      <c r="O443">
        <v>0</v>
      </c>
      <c r="P443" t="s">
        <v>100</v>
      </c>
      <c r="Q443">
        <v>0</v>
      </c>
      <c r="R443" t="s">
        <v>145</v>
      </c>
      <c r="S443">
        <v>0</v>
      </c>
    </row>
    <row r="444" spans="1:19">
      <c r="A444" t="s">
        <v>29</v>
      </c>
      <c r="B444" t="s">
        <v>3309</v>
      </c>
      <c r="C444">
        <f>"NNPN"</f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 s="2">
        <v>0</v>
      </c>
      <c r="M444">
        <v>0</v>
      </c>
      <c r="N444" s="2">
        <v>0</v>
      </c>
      <c r="O444">
        <v>0</v>
      </c>
      <c r="P444" t="s">
        <v>100</v>
      </c>
      <c r="Q444">
        <v>0</v>
      </c>
      <c r="R444" t="s">
        <v>145</v>
      </c>
      <c r="S444">
        <v>0</v>
      </c>
    </row>
    <row r="445" spans="1:19">
      <c r="A445" t="s">
        <v>29</v>
      </c>
      <c r="B445" t="s">
        <v>3635</v>
      </c>
      <c r="C445">
        <f>"DOPC1"</f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 s="2">
        <v>0</v>
      </c>
      <c r="M445">
        <v>0</v>
      </c>
      <c r="N445" s="2">
        <v>0</v>
      </c>
      <c r="O445">
        <v>0</v>
      </c>
      <c r="P445" t="s">
        <v>100</v>
      </c>
      <c r="Q445">
        <v>0</v>
      </c>
      <c r="R445" t="s">
        <v>145</v>
      </c>
      <c r="S445">
        <v>0</v>
      </c>
    </row>
    <row r="446" spans="1:19">
      <c r="A446" t="s">
        <v>29</v>
      </c>
      <c r="B446" t="s">
        <v>3105</v>
      </c>
      <c r="C446">
        <f>"NF003RSV"</f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 s="2">
        <v>0</v>
      </c>
      <c r="M446">
        <v>0</v>
      </c>
      <c r="N446" s="2">
        <v>0</v>
      </c>
      <c r="O446">
        <v>0</v>
      </c>
      <c r="P446" t="s">
        <v>100</v>
      </c>
      <c r="Q446">
        <v>0</v>
      </c>
      <c r="R446" t="s">
        <v>145</v>
      </c>
      <c r="S446">
        <v>0</v>
      </c>
    </row>
    <row r="447" spans="1:19">
      <c r="A447" t="s">
        <v>29</v>
      </c>
      <c r="B447" t="s">
        <v>2013</v>
      </c>
      <c r="C447">
        <f>"RS2001"</f>
        <v>0</v>
      </c>
      <c r="D447">
        <v>1</v>
      </c>
      <c r="E447">
        <v>1</v>
      </c>
      <c r="F447">
        <v>2</v>
      </c>
      <c r="G447">
        <v>0</v>
      </c>
      <c r="H447">
        <v>4</v>
      </c>
      <c r="I447">
        <v>1</v>
      </c>
      <c r="J447">
        <v>1</v>
      </c>
      <c r="K447">
        <v>4.491</v>
      </c>
      <c r="L447" s="2">
        <v>4</v>
      </c>
      <c r="M447">
        <v>0</v>
      </c>
      <c r="N447" s="2">
        <v>0</v>
      </c>
      <c r="O447">
        <v>-0.2</v>
      </c>
      <c r="P447" t="s">
        <v>100</v>
      </c>
      <c r="Q447">
        <v>0</v>
      </c>
      <c r="R447" t="s">
        <v>145</v>
      </c>
      <c r="S447">
        <v>0</v>
      </c>
    </row>
    <row r="448" spans="1:19">
      <c r="A448" t="s">
        <v>29</v>
      </c>
      <c r="B448" t="s">
        <v>2062</v>
      </c>
      <c r="C448">
        <f>"TDI830"</f>
        <v>0</v>
      </c>
      <c r="D448">
        <v>1</v>
      </c>
      <c r="E448">
        <v>1</v>
      </c>
      <c r="F448">
        <v>1</v>
      </c>
      <c r="G448">
        <v>0</v>
      </c>
      <c r="H448">
        <v>3</v>
      </c>
      <c r="I448">
        <v>1</v>
      </c>
      <c r="J448">
        <v>1</v>
      </c>
      <c r="K448">
        <v>621</v>
      </c>
      <c r="L448" s="2">
        <v>621</v>
      </c>
      <c r="M448">
        <v>0</v>
      </c>
      <c r="N448" s="2">
        <v>0</v>
      </c>
      <c r="O448">
        <v>-0.2</v>
      </c>
      <c r="P448" t="s">
        <v>100</v>
      </c>
      <c r="Q448">
        <v>0</v>
      </c>
      <c r="R448" t="s">
        <v>145</v>
      </c>
      <c r="S448">
        <v>0</v>
      </c>
    </row>
    <row r="449" spans="1:19">
      <c r="A449" t="s">
        <v>29</v>
      </c>
      <c r="B449" t="s">
        <v>2291</v>
      </c>
      <c r="C449">
        <f>"34335"</f>
        <v>0</v>
      </c>
      <c r="D449">
        <v>1</v>
      </c>
      <c r="E449">
        <v>1</v>
      </c>
      <c r="F449">
        <v>0</v>
      </c>
      <c r="G449">
        <v>0</v>
      </c>
      <c r="H449">
        <v>2</v>
      </c>
      <c r="I449">
        <v>0.5</v>
      </c>
      <c r="J449">
        <v>1</v>
      </c>
      <c r="K449">
        <v>6.291</v>
      </c>
      <c r="L449" s="2">
        <v>6</v>
      </c>
      <c r="M449">
        <v>0</v>
      </c>
      <c r="N449" s="2">
        <v>0</v>
      </c>
      <c r="O449">
        <v>-0.7</v>
      </c>
      <c r="P449" t="s">
        <v>100</v>
      </c>
      <c r="Q449">
        <v>0</v>
      </c>
      <c r="R449" t="s">
        <v>145</v>
      </c>
      <c r="S449">
        <v>0</v>
      </c>
    </row>
    <row r="450" spans="1:19">
      <c r="A450" t="s">
        <v>29</v>
      </c>
      <c r="B450" t="s">
        <v>2511</v>
      </c>
      <c r="C450">
        <f>"RS380U"</f>
        <v>0</v>
      </c>
      <c r="D450">
        <v>1</v>
      </c>
      <c r="E450">
        <v>0</v>
      </c>
      <c r="F450">
        <v>0</v>
      </c>
      <c r="G450">
        <v>0</v>
      </c>
      <c r="H450">
        <v>1</v>
      </c>
      <c r="I450">
        <v>0</v>
      </c>
      <c r="J450">
        <v>1</v>
      </c>
      <c r="K450">
        <v>57.9</v>
      </c>
      <c r="L450" s="2">
        <v>58</v>
      </c>
      <c r="M450">
        <v>0</v>
      </c>
      <c r="N450" s="2">
        <v>0</v>
      </c>
      <c r="O450">
        <v>-1.2</v>
      </c>
      <c r="P450" t="s">
        <v>100</v>
      </c>
      <c r="Q450">
        <v>0</v>
      </c>
      <c r="R450" t="s">
        <v>145</v>
      </c>
      <c r="S450">
        <v>0</v>
      </c>
    </row>
    <row r="451" spans="1:19">
      <c r="A451" t="s">
        <v>29</v>
      </c>
      <c r="B451" t="s">
        <v>9755</v>
      </c>
      <c r="C451">
        <f>"PMH25"</f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1</v>
      </c>
      <c r="K451">
        <v>1.62</v>
      </c>
      <c r="L451" s="2">
        <v>2</v>
      </c>
      <c r="M451">
        <v>0</v>
      </c>
      <c r="N451" s="2">
        <v>0</v>
      </c>
      <c r="O451">
        <v>-1.2</v>
      </c>
      <c r="P451" t="s">
        <v>100</v>
      </c>
      <c r="Q451">
        <v>0</v>
      </c>
      <c r="R451" t="s">
        <v>145</v>
      </c>
      <c r="S451">
        <v>0</v>
      </c>
    </row>
    <row r="452" spans="1:19">
      <c r="A452" t="s">
        <v>29</v>
      </c>
      <c r="B452" t="s">
        <v>9147</v>
      </c>
      <c r="C452">
        <f>"84001"</f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1</v>
      </c>
      <c r="K452">
        <v>4.455</v>
      </c>
      <c r="L452" s="2">
        <v>4</v>
      </c>
      <c r="M452">
        <v>0</v>
      </c>
      <c r="N452" s="2">
        <v>0</v>
      </c>
      <c r="O452">
        <v>-1.2</v>
      </c>
      <c r="P452" t="s">
        <v>100</v>
      </c>
      <c r="Q452">
        <v>0</v>
      </c>
      <c r="R452" t="s">
        <v>145</v>
      </c>
      <c r="S452">
        <v>0</v>
      </c>
    </row>
    <row r="453" spans="1:19">
      <c r="A453" t="s">
        <v>29</v>
      </c>
      <c r="B453" t="s">
        <v>2560</v>
      </c>
      <c r="C453">
        <f>"uv0085"</f>
        <v>0</v>
      </c>
      <c r="D453">
        <v>0</v>
      </c>
      <c r="E453">
        <v>1</v>
      </c>
      <c r="F453">
        <v>0</v>
      </c>
      <c r="G453">
        <v>0</v>
      </c>
      <c r="H453">
        <v>1</v>
      </c>
      <c r="I453">
        <v>0</v>
      </c>
      <c r="J453">
        <v>1</v>
      </c>
      <c r="K453">
        <v>22.41</v>
      </c>
      <c r="L453" s="2">
        <v>22</v>
      </c>
      <c r="M453">
        <v>0</v>
      </c>
      <c r="N453" s="2">
        <v>0</v>
      </c>
      <c r="O453">
        <v>-1.2</v>
      </c>
      <c r="P453" t="s">
        <v>100</v>
      </c>
      <c r="Q453">
        <v>0</v>
      </c>
      <c r="R453" t="s">
        <v>145</v>
      </c>
      <c r="S453">
        <v>0</v>
      </c>
    </row>
    <row r="454" spans="1:19">
      <c r="A454" t="s">
        <v>29</v>
      </c>
      <c r="B454" t="s">
        <v>4538</v>
      </c>
      <c r="C454">
        <f>"R352PL"</f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1</v>
      </c>
      <c r="K454">
        <v>139.5</v>
      </c>
      <c r="L454" s="2">
        <v>140</v>
      </c>
      <c r="M454">
        <v>0</v>
      </c>
      <c r="N454" s="2">
        <v>0</v>
      </c>
      <c r="O454">
        <v>-1.2</v>
      </c>
      <c r="P454" t="s">
        <v>100</v>
      </c>
      <c r="Q454">
        <v>0</v>
      </c>
      <c r="R454" t="s">
        <v>145</v>
      </c>
      <c r="S454">
        <v>0</v>
      </c>
    </row>
    <row r="455" spans="1:19">
      <c r="A455" t="s">
        <v>29</v>
      </c>
      <c r="B455" t="s">
        <v>2424</v>
      </c>
      <c r="C455">
        <f>"970F"</f>
        <v>0</v>
      </c>
      <c r="D455">
        <v>1</v>
      </c>
      <c r="E455">
        <v>0</v>
      </c>
      <c r="F455">
        <v>0</v>
      </c>
      <c r="G455">
        <v>0</v>
      </c>
      <c r="H455">
        <v>1</v>
      </c>
      <c r="I455">
        <v>0</v>
      </c>
      <c r="J455">
        <v>1</v>
      </c>
      <c r="K455">
        <v>12.15</v>
      </c>
      <c r="L455" s="2">
        <v>12</v>
      </c>
      <c r="M455">
        <v>0</v>
      </c>
      <c r="N455" s="2">
        <v>0</v>
      </c>
      <c r="O455">
        <v>-1.2</v>
      </c>
      <c r="P455" t="s">
        <v>100</v>
      </c>
      <c r="Q455">
        <v>0</v>
      </c>
      <c r="R455" t="s">
        <v>145</v>
      </c>
      <c r="S455">
        <v>0</v>
      </c>
    </row>
    <row r="456" spans="1:19">
      <c r="A456" t="s">
        <v>29</v>
      </c>
      <c r="B456" t="s">
        <v>8768</v>
      </c>
      <c r="C456">
        <f>"LED1090B"</f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1</v>
      </c>
      <c r="K456">
        <v>17.46</v>
      </c>
      <c r="L456" s="2">
        <v>17</v>
      </c>
      <c r="M456">
        <v>0</v>
      </c>
      <c r="N456" s="2">
        <v>0</v>
      </c>
      <c r="O456">
        <v>-1.2</v>
      </c>
      <c r="P456" t="s">
        <v>100</v>
      </c>
      <c r="Q456">
        <v>0</v>
      </c>
      <c r="R456" t="s">
        <v>145</v>
      </c>
      <c r="S456">
        <v>0</v>
      </c>
    </row>
    <row r="457" spans="1:19">
      <c r="A457" t="s">
        <v>29</v>
      </c>
      <c r="B457" t="s">
        <v>9422</v>
      </c>
      <c r="C457">
        <f>"PMF25"</f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1</v>
      </c>
      <c r="K457">
        <v>1.62</v>
      </c>
      <c r="L457" s="2">
        <v>2</v>
      </c>
      <c r="M457">
        <v>0</v>
      </c>
      <c r="N457" s="2">
        <v>0</v>
      </c>
      <c r="O457">
        <v>-1.2</v>
      </c>
      <c r="P457" t="s">
        <v>100</v>
      </c>
      <c r="Q457">
        <v>0</v>
      </c>
      <c r="R457" t="s">
        <v>145</v>
      </c>
      <c r="S457">
        <v>0</v>
      </c>
    </row>
    <row r="458" spans="1:19">
      <c r="A458" t="s">
        <v>29</v>
      </c>
      <c r="B458" t="s">
        <v>9327</v>
      </c>
      <c r="C458">
        <f>"NB1700F"</f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1</v>
      </c>
      <c r="K458">
        <v>5.49</v>
      </c>
      <c r="L458" s="2">
        <v>5</v>
      </c>
      <c r="M458">
        <v>0</v>
      </c>
      <c r="N458" s="2">
        <v>0</v>
      </c>
      <c r="O458">
        <v>-1.2</v>
      </c>
      <c r="P458" t="s">
        <v>100</v>
      </c>
      <c r="Q458">
        <v>0</v>
      </c>
      <c r="R458" t="s">
        <v>145</v>
      </c>
      <c r="S458">
        <v>0</v>
      </c>
    </row>
    <row r="459" spans="1:19">
      <c r="A459" t="s">
        <v>29</v>
      </c>
      <c r="B459" t="s">
        <v>9280</v>
      </c>
      <c r="C459">
        <f>"nb3000f"</f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1</v>
      </c>
      <c r="K459">
        <v>7.785</v>
      </c>
      <c r="L459" s="2">
        <v>8</v>
      </c>
      <c r="M459">
        <v>0</v>
      </c>
      <c r="N459" s="2">
        <v>0</v>
      </c>
      <c r="O459">
        <v>-1.2</v>
      </c>
      <c r="P459" t="s">
        <v>100</v>
      </c>
      <c r="Q459">
        <v>0</v>
      </c>
      <c r="R459" t="s">
        <v>145</v>
      </c>
      <c r="S459">
        <v>0</v>
      </c>
    </row>
    <row r="460" spans="1:19">
      <c r="A460" t="s">
        <v>29</v>
      </c>
      <c r="B460" t="s">
        <v>9281</v>
      </c>
      <c r="C460">
        <f>"NB2450F"</f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1</v>
      </c>
      <c r="K460">
        <v>6.75</v>
      </c>
      <c r="L460" s="2">
        <v>7</v>
      </c>
      <c r="M460">
        <v>0</v>
      </c>
      <c r="N460" s="2">
        <v>0</v>
      </c>
      <c r="O460">
        <v>-1.2</v>
      </c>
      <c r="P460" t="s">
        <v>100</v>
      </c>
      <c r="Q460">
        <v>0</v>
      </c>
      <c r="R460" t="s">
        <v>145</v>
      </c>
      <c r="S460">
        <v>0</v>
      </c>
    </row>
    <row r="461" spans="1:19">
      <c r="A461" t="s">
        <v>29</v>
      </c>
      <c r="B461" t="s">
        <v>9344</v>
      </c>
      <c r="C461">
        <f>"RS3004"</f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1</v>
      </c>
      <c r="K461">
        <v>6.291</v>
      </c>
      <c r="L461" s="2">
        <v>6</v>
      </c>
      <c r="M461">
        <v>0</v>
      </c>
      <c r="N461" s="2">
        <v>0</v>
      </c>
      <c r="O461">
        <v>-1.2</v>
      </c>
      <c r="P461" t="s">
        <v>100</v>
      </c>
      <c r="Q461">
        <v>0</v>
      </c>
      <c r="R461" t="s">
        <v>145</v>
      </c>
      <c r="S461">
        <v>0</v>
      </c>
    </row>
    <row r="462" spans="1:19">
      <c r="A462" t="s">
        <v>29</v>
      </c>
      <c r="B462" t="s">
        <v>9272</v>
      </c>
      <c r="C462">
        <f>"KF200"</f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1</v>
      </c>
      <c r="K462">
        <v>3.411</v>
      </c>
      <c r="L462" s="2">
        <v>3</v>
      </c>
      <c r="M462">
        <v>0</v>
      </c>
      <c r="N462" s="2">
        <v>0</v>
      </c>
      <c r="O462">
        <v>-1.2</v>
      </c>
      <c r="P462" t="s">
        <v>100</v>
      </c>
      <c r="Q462">
        <v>0</v>
      </c>
      <c r="R462" t="s">
        <v>145</v>
      </c>
      <c r="S462">
        <v>0</v>
      </c>
    </row>
    <row r="463" spans="1:19">
      <c r="A463" t="s">
        <v>29</v>
      </c>
      <c r="B463" t="s">
        <v>9305</v>
      </c>
      <c r="C463">
        <f>"JUP02"</f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1</v>
      </c>
      <c r="K463">
        <v>17.01</v>
      </c>
      <c r="L463" s="2">
        <v>17</v>
      </c>
      <c r="M463">
        <v>0</v>
      </c>
      <c r="N463" s="2">
        <v>0</v>
      </c>
      <c r="O463">
        <v>-1.2</v>
      </c>
      <c r="P463" t="s">
        <v>100</v>
      </c>
      <c r="Q463">
        <v>0</v>
      </c>
      <c r="R463" t="s">
        <v>145</v>
      </c>
      <c r="S463">
        <v>0</v>
      </c>
    </row>
    <row r="464" spans="1:19">
      <c r="A464" t="s">
        <v>29</v>
      </c>
      <c r="B464" t="s">
        <v>8876</v>
      </c>
      <c r="C464">
        <f>"45111"</f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1</v>
      </c>
      <c r="K464">
        <v>53.91</v>
      </c>
      <c r="L464" s="2">
        <v>54</v>
      </c>
      <c r="M464">
        <v>0</v>
      </c>
      <c r="N464" s="2">
        <v>0</v>
      </c>
      <c r="O464">
        <v>-1.2</v>
      </c>
      <c r="P464" t="s">
        <v>100</v>
      </c>
      <c r="Q464">
        <v>0</v>
      </c>
      <c r="R464" t="s">
        <v>145</v>
      </c>
      <c r="S464">
        <v>0</v>
      </c>
    </row>
    <row r="465" spans="1:19">
      <c r="A465" t="s">
        <v>29</v>
      </c>
      <c r="B465" t="s">
        <v>9308</v>
      </c>
      <c r="C465">
        <f>"ps2012"</f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1</v>
      </c>
      <c r="K465">
        <v>15.705</v>
      </c>
      <c r="L465" s="2">
        <v>16</v>
      </c>
      <c r="M465">
        <v>0</v>
      </c>
      <c r="N465" s="2">
        <v>0</v>
      </c>
      <c r="O465">
        <v>-1.2</v>
      </c>
      <c r="P465" t="s">
        <v>100</v>
      </c>
      <c r="Q465">
        <v>0</v>
      </c>
      <c r="R465" t="s">
        <v>145</v>
      </c>
      <c r="S465">
        <v>0</v>
      </c>
    </row>
    <row r="466" spans="1:19">
      <c r="A466" t="s">
        <v>29</v>
      </c>
      <c r="B466" t="s">
        <v>9256</v>
      </c>
      <c r="C466">
        <f>"JP024F"</f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1</v>
      </c>
      <c r="K466">
        <v>6.21</v>
      </c>
      <c r="L466" s="2">
        <v>6</v>
      </c>
      <c r="M466">
        <v>0</v>
      </c>
      <c r="N466" s="2">
        <v>0</v>
      </c>
      <c r="O466">
        <v>-1.2</v>
      </c>
      <c r="P466" t="s">
        <v>100</v>
      </c>
      <c r="Q466">
        <v>0</v>
      </c>
      <c r="R466" t="s">
        <v>145</v>
      </c>
      <c r="S466">
        <v>0</v>
      </c>
    </row>
    <row r="467" spans="1:19">
      <c r="A467" t="s">
        <v>29</v>
      </c>
      <c r="B467" t="s">
        <v>10119</v>
      </c>
      <c r="C467">
        <f>"CDP609"</f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1</v>
      </c>
      <c r="K467">
        <v>4.41</v>
      </c>
      <c r="L467" s="2">
        <v>4</v>
      </c>
      <c r="M467">
        <v>0</v>
      </c>
      <c r="N467" s="2">
        <v>0</v>
      </c>
      <c r="O467">
        <v>-1.2</v>
      </c>
      <c r="P467" t="s">
        <v>100</v>
      </c>
      <c r="Q467">
        <v>0</v>
      </c>
      <c r="R467" t="s">
        <v>145</v>
      </c>
      <c r="S467">
        <v>0</v>
      </c>
    </row>
    <row r="468" spans="1:19">
      <c r="A468" t="s">
        <v>29</v>
      </c>
      <c r="B468" t="s">
        <v>2699</v>
      </c>
      <c r="C468">
        <f>"RS3002"</f>
        <v>0</v>
      </c>
      <c r="D468">
        <v>1</v>
      </c>
      <c r="E468">
        <v>0</v>
      </c>
      <c r="F468">
        <v>0</v>
      </c>
      <c r="G468">
        <v>0</v>
      </c>
      <c r="H468">
        <v>1</v>
      </c>
      <c r="I468">
        <v>0</v>
      </c>
      <c r="J468">
        <v>1</v>
      </c>
      <c r="K468">
        <v>5.8</v>
      </c>
      <c r="L468" s="2">
        <v>6</v>
      </c>
      <c r="M468">
        <v>0</v>
      </c>
      <c r="N468" s="2">
        <v>0</v>
      </c>
      <c r="O468">
        <v>-1.2</v>
      </c>
      <c r="P468" t="s">
        <v>100</v>
      </c>
      <c r="Q468">
        <v>0</v>
      </c>
      <c r="R468" t="s">
        <v>145</v>
      </c>
      <c r="S468">
        <v>0</v>
      </c>
    </row>
    <row r="469" spans="1:19">
      <c r="A469" t="s">
        <v>29</v>
      </c>
      <c r="B469" t="s">
        <v>2630</v>
      </c>
      <c r="C469">
        <f>"HT10"</f>
        <v>0</v>
      </c>
      <c r="D469">
        <v>0</v>
      </c>
      <c r="E469">
        <v>0</v>
      </c>
      <c r="F469">
        <v>1</v>
      </c>
      <c r="G469">
        <v>0</v>
      </c>
      <c r="H469">
        <v>1</v>
      </c>
      <c r="I469">
        <v>0</v>
      </c>
      <c r="J469">
        <v>1</v>
      </c>
      <c r="K469">
        <v>0</v>
      </c>
      <c r="L469" s="2">
        <v>0</v>
      </c>
      <c r="M469">
        <v>0</v>
      </c>
      <c r="N469" s="2">
        <v>0</v>
      </c>
      <c r="O469">
        <v>-1.2</v>
      </c>
      <c r="P469" t="s">
        <v>100</v>
      </c>
      <c r="Q469">
        <v>0</v>
      </c>
      <c r="R469" t="s">
        <v>145</v>
      </c>
      <c r="S469">
        <v>0</v>
      </c>
    </row>
    <row r="470" spans="1:19">
      <c r="A470" t="s">
        <v>29</v>
      </c>
      <c r="B470" t="s">
        <v>2420</v>
      </c>
      <c r="C470">
        <f>"D0601C"</f>
        <v>0</v>
      </c>
      <c r="D470">
        <v>1</v>
      </c>
      <c r="E470">
        <v>0</v>
      </c>
      <c r="F470">
        <v>0</v>
      </c>
      <c r="G470">
        <v>0</v>
      </c>
      <c r="H470">
        <v>1</v>
      </c>
      <c r="I470">
        <v>0</v>
      </c>
      <c r="J470">
        <v>1</v>
      </c>
      <c r="K470">
        <v>17.55</v>
      </c>
      <c r="L470" s="2">
        <v>18</v>
      </c>
      <c r="M470">
        <v>0</v>
      </c>
      <c r="N470" s="2">
        <v>0</v>
      </c>
      <c r="O470">
        <v>-1.2</v>
      </c>
      <c r="P470" t="s">
        <v>100</v>
      </c>
      <c r="Q470">
        <v>0</v>
      </c>
      <c r="R470" t="s">
        <v>145</v>
      </c>
      <c r="S470">
        <v>0</v>
      </c>
    </row>
    <row r="471" spans="1:19">
      <c r="A471" t="s">
        <v>29</v>
      </c>
      <c r="B471" t="s">
        <v>9314</v>
      </c>
      <c r="C471">
        <f>"C2400UV"</f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1</v>
      </c>
      <c r="K471">
        <v>179.1</v>
      </c>
      <c r="L471" s="2">
        <v>179</v>
      </c>
      <c r="M471">
        <v>0</v>
      </c>
      <c r="N471" s="2">
        <v>0</v>
      </c>
      <c r="O471">
        <v>-1.2</v>
      </c>
      <c r="P471" t="s">
        <v>100</v>
      </c>
      <c r="Q471">
        <v>0</v>
      </c>
      <c r="R471" t="s">
        <v>145</v>
      </c>
      <c r="S471">
        <v>0</v>
      </c>
    </row>
    <row r="472" spans="1:19">
      <c r="A472" t="s">
        <v>29</v>
      </c>
      <c r="B472" t="s">
        <v>9372</v>
      </c>
      <c r="C472">
        <f>"H800"</f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1</v>
      </c>
      <c r="K472">
        <v>17.28</v>
      </c>
      <c r="L472" s="2">
        <v>17</v>
      </c>
      <c r="M472">
        <v>0</v>
      </c>
      <c r="N472" s="2">
        <v>0</v>
      </c>
      <c r="O472">
        <v>-1.2</v>
      </c>
      <c r="P472" t="s">
        <v>100</v>
      </c>
      <c r="Q472">
        <v>0</v>
      </c>
      <c r="R472" t="s">
        <v>145</v>
      </c>
      <c r="S472">
        <v>0</v>
      </c>
    </row>
    <row r="473" spans="1:19">
      <c r="A473" t="s">
        <v>29</v>
      </c>
      <c r="B473" t="s">
        <v>2021</v>
      </c>
      <c r="C473">
        <f>"34366"</f>
        <v>0</v>
      </c>
      <c r="D473">
        <v>0</v>
      </c>
      <c r="E473">
        <v>4</v>
      </c>
      <c r="F473">
        <v>0</v>
      </c>
      <c r="G473">
        <v>0</v>
      </c>
      <c r="H473">
        <v>4</v>
      </c>
      <c r="I473">
        <v>0</v>
      </c>
      <c r="J473">
        <v>1</v>
      </c>
      <c r="K473">
        <v>8.279999999999999</v>
      </c>
      <c r="L473" s="2">
        <v>8</v>
      </c>
      <c r="M473">
        <v>0</v>
      </c>
      <c r="N473" s="2">
        <v>0</v>
      </c>
      <c r="O473">
        <v>-1.2</v>
      </c>
      <c r="P473" t="s">
        <v>100</v>
      </c>
      <c r="Q473">
        <v>0</v>
      </c>
      <c r="R473" t="s">
        <v>145</v>
      </c>
      <c r="S473">
        <v>0</v>
      </c>
    </row>
    <row r="474" spans="1:19">
      <c r="A474" t="s">
        <v>29</v>
      </c>
      <c r="B474" t="s">
        <v>9687</v>
      </c>
      <c r="C474">
        <f>"34014"</f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1</v>
      </c>
      <c r="K474">
        <v>3.285</v>
      </c>
      <c r="L474" s="2">
        <v>3</v>
      </c>
      <c r="M474">
        <v>0</v>
      </c>
      <c r="N474" s="2">
        <v>0</v>
      </c>
      <c r="O474">
        <v>-1.2</v>
      </c>
      <c r="P474" t="s">
        <v>100</v>
      </c>
      <c r="Q474">
        <v>0</v>
      </c>
      <c r="R474" t="s">
        <v>145</v>
      </c>
      <c r="S474">
        <v>0</v>
      </c>
    </row>
    <row r="475" spans="1:19">
      <c r="A475" t="s">
        <v>29</v>
      </c>
      <c r="B475" t="s">
        <v>8931</v>
      </c>
      <c r="C475">
        <f>"PMM25"</f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1</v>
      </c>
      <c r="K475">
        <v>1.62</v>
      </c>
      <c r="L475" s="2">
        <v>2</v>
      </c>
      <c r="M475">
        <v>0</v>
      </c>
      <c r="N475" s="2">
        <v>0</v>
      </c>
      <c r="O475">
        <v>-1.2</v>
      </c>
      <c r="P475" t="s">
        <v>100</v>
      </c>
      <c r="Q475">
        <v>0</v>
      </c>
      <c r="R475" t="s">
        <v>145</v>
      </c>
      <c r="S475">
        <v>0</v>
      </c>
    </row>
    <row r="476" spans="1:19">
      <c r="A476" t="s">
        <v>29</v>
      </c>
      <c r="B476" t="s">
        <v>6947</v>
      </c>
      <c r="C476">
        <f>"60623"</f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1</v>
      </c>
      <c r="K476">
        <v>3.51</v>
      </c>
      <c r="L476" s="2">
        <v>4</v>
      </c>
      <c r="M476">
        <v>0</v>
      </c>
      <c r="N476" s="2">
        <v>0</v>
      </c>
      <c r="O476">
        <v>-1.2</v>
      </c>
      <c r="P476" t="s">
        <v>100</v>
      </c>
      <c r="Q476">
        <v>0</v>
      </c>
      <c r="R476" t="s">
        <v>145</v>
      </c>
      <c r="S476">
        <v>0</v>
      </c>
    </row>
    <row r="477" spans="1:19">
      <c r="A477" t="s">
        <v>29</v>
      </c>
      <c r="B477" t="s">
        <v>6946</v>
      </c>
      <c r="C477">
        <f>"60626"</f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1</v>
      </c>
      <c r="K477">
        <v>17.55</v>
      </c>
      <c r="L477" s="2">
        <v>18</v>
      </c>
      <c r="M477">
        <v>0</v>
      </c>
      <c r="N477" s="2">
        <v>0</v>
      </c>
      <c r="O477">
        <v>-1.2</v>
      </c>
      <c r="P477" t="s">
        <v>100</v>
      </c>
      <c r="Q477">
        <v>0</v>
      </c>
      <c r="R477" t="s">
        <v>145</v>
      </c>
      <c r="S477">
        <v>0</v>
      </c>
    </row>
    <row r="478" spans="1:19">
      <c r="A478" t="s">
        <v>29</v>
      </c>
      <c r="B478" t="s">
        <v>9315</v>
      </c>
      <c r="C478">
        <f>"CF888UV"</f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1</v>
      </c>
      <c r="K478">
        <v>67.5</v>
      </c>
      <c r="L478" s="2">
        <v>68</v>
      </c>
      <c r="M478">
        <v>0</v>
      </c>
      <c r="N478" s="2">
        <v>0</v>
      </c>
      <c r="O478">
        <v>-1.2</v>
      </c>
      <c r="P478" t="s">
        <v>100</v>
      </c>
      <c r="Q478">
        <v>0</v>
      </c>
      <c r="R478" t="s">
        <v>145</v>
      </c>
      <c r="S478">
        <v>0</v>
      </c>
    </row>
    <row r="479" spans="1:19">
      <c r="A479" t="s">
        <v>29</v>
      </c>
      <c r="B479" t="s">
        <v>7140</v>
      </c>
      <c r="C479">
        <f>"A016BA"</f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1</v>
      </c>
      <c r="K479">
        <v>1.521</v>
      </c>
      <c r="L479" s="2">
        <v>2</v>
      </c>
      <c r="M479">
        <v>0</v>
      </c>
      <c r="N479" s="2">
        <v>0</v>
      </c>
      <c r="O479">
        <v>-1.2</v>
      </c>
      <c r="P479" t="s">
        <v>100</v>
      </c>
      <c r="Q479">
        <v>0</v>
      </c>
      <c r="R479" t="s">
        <v>145</v>
      </c>
      <c r="S479">
        <v>0</v>
      </c>
    </row>
    <row r="480" spans="1:19">
      <c r="A480" t="s">
        <v>29</v>
      </c>
      <c r="B480" t="s">
        <v>3766</v>
      </c>
      <c r="C480">
        <f>"61176"</f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1</v>
      </c>
      <c r="K480">
        <v>10.71</v>
      </c>
      <c r="L480" s="2">
        <v>11</v>
      </c>
      <c r="M480">
        <v>0</v>
      </c>
      <c r="N480" s="2">
        <v>0</v>
      </c>
      <c r="O480">
        <v>-1.2</v>
      </c>
      <c r="P480" t="s">
        <v>100</v>
      </c>
      <c r="Q480">
        <v>0</v>
      </c>
      <c r="R480" t="s">
        <v>145</v>
      </c>
      <c r="S480">
        <v>0</v>
      </c>
    </row>
    <row r="481" spans="1:19">
      <c r="A481" t="s">
        <v>29</v>
      </c>
      <c r="B481" t="s">
        <v>3761</v>
      </c>
      <c r="C481">
        <f>"80428"</f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1</v>
      </c>
      <c r="K481">
        <v>41.355</v>
      </c>
      <c r="L481" s="2">
        <v>41</v>
      </c>
      <c r="M481">
        <v>0</v>
      </c>
      <c r="N481" s="2">
        <v>0</v>
      </c>
      <c r="O481">
        <v>-1.2</v>
      </c>
      <c r="P481" t="s">
        <v>100</v>
      </c>
      <c r="Q481">
        <v>0</v>
      </c>
      <c r="R481" t="s">
        <v>145</v>
      </c>
      <c r="S481">
        <v>0</v>
      </c>
    </row>
    <row r="482" spans="1:19">
      <c r="A482" t="s">
        <v>29</v>
      </c>
      <c r="B482" t="s">
        <v>2244</v>
      </c>
      <c r="C482">
        <f>"BB12"</f>
        <v>0</v>
      </c>
      <c r="D482">
        <v>2</v>
      </c>
      <c r="E482">
        <v>0</v>
      </c>
      <c r="F482">
        <v>0</v>
      </c>
      <c r="G482">
        <v>0</v>
      </c>
      <c r="H482">
        <v>2</v>
      </c>
      <c r="I482">
        <v>0</v>
      </c>
      <c r="J482">
        <v>1</v>
      </c>
      <c r="K482">
        <v>2.475</v>
      </c>
      <c r="L482" s="2">
        <v>2</v>
      </c>
      <c r="M482">
        <v>0</v>
      </c>
      <c r="N482" s="2">
        <v>0</v>
      </c>
      <c r="O482">
        <v>-1.2</v>
      </c>
      <c r="P482" t="s">
        <v>100</v>
      </c>
      <c r="Q482">
        <v>0</v>
      </c>
      <c r="R482" t="s">
        <v>145</v>
      </c>
      <c r="S482">
        <v>0</v>
      </c>
    </row>
    <row r="483" spans="1:19">
      <c r="A483" t="s">
        <v>29</v>
      </c>
      <c r="B483" t="s">
        <v>3804</v>
      </c>
      <c r="C483">
        <f>"MFC"</f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1</v>
      </c>
      <c r="K483">
        <v>2.205</v>
      </c>
      <c r="L483" s="2">
        <v>2</v>
      </c>
      <c r="M483">
        <v>0</v>
      </c>
      <c r="N483" s="2">
        <v>0</v>
      </c>
      <c r="O483">
        <v>-1.2</v>
      </c>
      <c r="P483" t="s">
        <v>100</v>
      </c>
      <c r="Q483">
        <v>0</v>
      </c>
      <c r="R483" t="s">
        <v>145</v>
      </c>
      <c r="S483">
        <v>0</v>
      </c>
    </row>
    <row r="484" spans="1:19">
      <c r="A484" t="s">
        <v>29</v>
      </c>
      <c r="B484" t="s">
        <v>3797</v>
      </c>
      <c r="C484">
        <f>"61234"</f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1</v>
      </c>
      <c r="K484">
        <v>8.01</v>
      </c>
      <c r="L484" s="2">
        <v>8</v>
      </c>
      <c r="M484">
        <v>0</v>
      </c>
      <c r="N484" s="2">
        <v>0</v>
      </c>
      <c r="O484">
        <v>-1.2</v>
      </c>
      <c r="P484" t="s">
        <v>100</v>
      </c>
      <c r="Q484">
        <v>0</v>
      </c>
      <c r="R484" t="s">
        <v>145</v>
      </c>
      <c r="S484">
        <v>0</v>
      </c>
    </row>
    <row r="485" spans="1:19">
      <c r="A485" t="s">
        <v>29</v>
      </c>
      <c r="B485" t="s">
        <v>7387</v>
      </c>
      <c r="C485">
        <f>"YBSZ06"</f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1</v>
      </c>
      <c r="K485">
        <v>3.96</v>
      </c>
      <c r="L485" s="2">
        <v>4</v>
      </c>
      <c r="M485">
        <v>0</v>
      </c>
      <c r="N485" s="2">
        <v>0</v>
      </c>
      <c r="O485">
        <v>-1.2</v>
      </c>
      <c r="P485" t="s">
        <v>100</v>
      </c>
      <c r="Q485">
        <v>0</v>
      </c>
      <c r="R485" t="s">
        <v>145</v>
      </c>
      <c r="S485">
        <v>0</v>
      </c>
    </row>
    <row r="486" spans="1:19">
      <c r="A486" t="s">
        <v>29</v>
      </c>
      <c r="B486" t="s">
        <v>6935</v>
      </c>
      <c r="C486">
        <f>"BSL1"</f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1</v>
      </c>
      <c r="K486">
        <v>198</v>
      </c>
      <c r="L486" s="2">
        <v>198</v>
      </c>
      <c r="M486">
        <v>0</v>
      </c>
      <c r="N486" s="2">
        <v>0</v>
      </c>
      <c r="O486">
        <v>-1.2</v>
      </c>
      <c r="P486" t="s">
        <v>100</v>
      </c>
      <c r="Q486">
        <v>0</v>
      </c>
      <c r="R486" t="s">
        <v>145</v>
      </c>
      <c r="S486">
        <v>0</v>
      </c>
    </row>
    <row r="487" spans="1:19">
      <c r="A487" t="s">
        <v>29</v>
      </c>
      <c r="B487" t="s">
        <v>8888</v>
      </c>
      <c r="C487">
        <f>"LED20120"</f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1</v>
      </c>
      <c r="K487">
        <v>42.75</v>
      </c>
      <c r="L487" s="2">
        <v>43</v>
      </c>
      <c r="M487">
        <v>0</v>
      </c>
      <c r="N487" s="2">
        <v>0</v>
      </c>
      <c r="O487">
        <v>-1.2</v>
      </c>
      <c r="P487" t="s">
        <v>100</v>
      </c>
      <c r="Q487">
        <v>0</v>
      </c>
      <c r="R487" t="s">
        <v>145</v>
      </c>
      <c r="S487">
        <v>0</v>
      </c>
    </row>
    <row r="488" spans="1:19">
      <c r="A488" t="s">
        <v>29</v>
      </c>
      <c r="B488" t="s">
        <v>8887</v>
      </c>
      <c r="C488">
        <f>"LED2030"</f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1</v>
      </c>
      <c r="K488">
        <v>16.11</v>
      </c>
      <c r="L488" s="2">
        <v>16</v>
      </c>
      <c r="M488">
        <v>0</v>
      </c>
      <c r="N488" s="2">
        <v>0</v>
      </c>
      <c r="O488">
        <v>-1.2</v>
      </c>
      <c r="P488" t="s">
        <v>100</v>
      </c>
      <c r="Q488">
        <v>0</v>
      </c>
      <c r="R488" t="s">
        <v>145</v>
      </c>
      <c r="S488">
        <v>0</v>
      </c>
    </row>
    <row r="489" spans="1:19">
      <c r="A489" t="s">
        <v>29</v>
      </c>
      <c r="B489" t="s">
        <v>9317</v>
      </c>
      <c r="C489">
        <f>"HW505B"</f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1</v>
      </c>
      <c r="K489">
        <v>34.5</v>
      </c>
      <c r="L489" s="2">
        <v>34</v>
      </c>
      <c r="M489">
        <v>0</v>
      </c>
      <c r="N489" s="2">
        <v>0</v>
      </c>
      <c r="O489">
        <v>-1.2</v>
      </c>
      <c r="P489" t="s">
        <v>100</v>
      </c>
      <c r="Q489">
        <v>0</v>
      </c>
      <c r="R489" t="s">
        <v>145</v>
      </c>
      <c r="S489">
        <v>0</v>
      </c>
    </row>
    <row r="490" spans="1:19">
      <c r="A490" t="s">
        <v>29</v>
      </c>
      <c r="B490" t="s">
        <v>9318</v>
      </c>
      <c r="C490">
        <f>"HW504B"</f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1</v>
      </c>
      <c r="K490">
        <v>44.55</v>
      </c>
      <c r="L490" s="2">
        <v>45</v>
      </c>
      <c r="M490">
        <v>0</v>
      </c>
      <c r="N490" s="2">
        <v>0</v>
      </c>
      <c r="O490">
        <v>-1.2</v>
      </c>
      <c r="P490" t="s">
        <v>100</v>
      </c>
      <c r="Q490">
        <v>0</v>
      </c>
      <c r="R490" t="s">
        <v>145</v>
      </c>
      <c r="S490">
        <v>0</v>
      </c>
    </row>
    <row r="491" spans="1:19">
      <c r="A491" t="s">
        <v>29</v>
      </c>
      <c r="B491" t="s">
        <v>9359</v>
      </c>
      <c r="C491">
        <f>"SFP16"</f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1</v>
      </c>
      <c r="K491">
        <v>5.985</v>
      </c>
      <c r="L491" s="2">
        <v>6</v>
      </c>
      <c r="M491">
        <v>0</v>
      </c>
      <c r="N491" s="2">
        <v>0</v>
      </c>
      <c r="O491">
        <v>-1.2</v>
      </c>
      <c r="P491" t="s">
        <v>100</v>
      </c>
      <c r="Q491">
        <v>0</v>
      </c>
      <c r="R491" t="s">
        <v>145</v>
      </c>
      <c r="S491">
        <v>0</v>
      </c>
    </row>
    <row r="492" spans="1:19">
      <c r="A492" t="s">
        <v>29</v>
      </c>
      <c r="B492" t="s">
        <v>3665</v>
      </c>
      <c r="C492">
        <f>"BB10200"</f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1</v>
      </c>
      <c r="K492">
        <v>19.5</v>
      </c>
      <c r="L492" s="2">
        <v>20</v>
      </c>
      <c r="M492">
        <v>0</v>
      </c>
      <c r="N492" s="2">
        <v>0</v>
      </c>
      <c r="O492">
        <v>-1.2</v>
      </c>
      <c r="P492" t="s">
        <v>100</v>
      </c>
      <c r="Q492">
        <v>0</v>
      </c>
      <c r="R492" t="s">
        <v>145</v>
      </c>
      <c r="S492">
        <v>0</v>
      </c>
    </row>
    <row r="493" spans="1:19">
      <c r="A493" t="s">
        <v>29</v>
      </c>
      <c r="B493" t="s">
        <v>3668</v>
      </c>
      <c r="C493">
        <f>"RS1000"</f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1</v>
      </c>
      <c r="K493">
        <v>12.51</v>
      </c>
      <c r="L493" s="2">
        <v>13</v>
      </c>
      <c r="M493">
        <v>0</v>
      </c>
      <c r="N493" s="2">
        <v>0</v>
      </c>
      <c r="O493">
        <v>-1.2</v>
      </c>
      <c r="P493" t="s">
        <v>100</v>
      </c>
      <c r="Q493">
        <v>0</v>
      </c>
      <c r="R493" t="s">
        <v>145</v>
      </c>
      <c r="S493">
        <v>0</v>
      </c>
    </row>
    <row r="494" spans="1:19">
      <c r="A494" t="s">
        <v>29</v>
      </c>
      <c r="B494" t="s">
        <v>3989</v>
      </c>
      <c r="C494">
        <f>"HJ1543"</f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1</v>
      </c>
      <c r="K494">
        <v>18.81</v>
      </c>
      <c r="L494" s="2">
        <v>19</v>
      </c>
      <c r="M494">
        <v>0</v>
      </c>
      <c r="N494" s="2">
        <v>0</v>
      </c>
      <c r="O494">
        <v>-1.2</v>
      </c>
      <c r="P494" t="s">
        <v>100</v>
      </c>
      <c r="Q494">
        <v>0</v>
      </c>
      <c r="R494" t="s">
        <v>145</v>
      </c>
      <c r="S494">
        <v>0</v>
      </c>
    </row>
    <row r="495" spans="1:19">
      <c r="A495" t="s">
        <v>29</v>
      </c>
      <c r="B495" t="s">
        <v>4475</v>
      </c>
      <c r="C495">
        <f>"QP205"</f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</v>
      </c>
      <c r="K495">
        <v>801</v>
      </c>
      <c r="L495" s="2">
        <v>801</v>
      </c>
      <c r="M495">
        <v>0</v>
      </c>
      <c r="N495" s="2">
        <v>0</v>
      </c>
      <c r="O495">
        <v>-1.2</v>
      </c>
      <c r="P495" t="s">
        <v>100</v>
      </c>
      <c r="Q495">
        <v>0</v>
      </c>
      <c r="R495" t="s">
        <v>145</v>
      </c>
      <c r="S495">
        <v>0</v>
      </c>
    </row>
    <row r="496" spans="1:19">
      <c r="A496" t="s">
        <v>29</v>
      </c>
      <c r="B496" t="s">
        <v>3982</v>
      </c>
      <c r="C496">
        <f>"P608"</f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1</v>
      </c>
      <c r="K496">
        <v>10.35</v>
      </c>
      <c r="L496" s="2">
        <v>10</v>
      </c>
      <c r="M496">
        <v>0</v>
      </c>
      <c r="N496" s="2">
        <v>0</v>
      </c>
      <c r="O496">
        <v>-1.2</v>
      </c>
      <c r="P496" t="s">
        <v>100</v>
      </c>
      <c r="Q496">
        <v>0</v>
      </c>
      <c r="R496" t="s">
        <v>145</v>
      </c>
      <c r="S496">
        <v>0</v>
      </c>
    </row>
    <row r="497" spans="1:19">
      <c r="A497" t="s">
        <v>29</v>
      </c>
      <c r="B497" t="s">
        <v>3992</v>
      </c>
      <c r="C497">
        <f>"P808"</f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</v>
      </c>
      <c r="K497">
        <v>17.91</v>
      </c>
      <c r="L497" s="2">
        <v>18</v>
      </c>
      <c r="M497">
        <v>0</v>
      </c>
      <c r="N497" s="2">
        <v>0</v>
      </c>
      <c r="O497">
        <v>-1.2</v>
      </c>
      <c r="P497" t="s">
        <v>100</v>
      </c>
      <c r="Q497">
        <v>0</v>
      </c>
      <c r="R497" t="s">
        <v>145</v>
      </c>
      <c r="S497">
        <v>0</v>
      </c>
    </row>
    <row r="498" spans="1:19">
      <c r="A498" t="s">
        <v>29</v>
      </c>
      <c r="B498" t="s">
        <v>3993</v>
      </c>
      <c r="C498">
        <f>"P708"</f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1</v>
      </c>
      <c r="K498">
        <v>16.11</v>
      </c>
      <c r="L498" s="2">
        <v>16</v>
      </c>
      <c r="M498">
        <v>0</v>
      </c>
      <c r="N498" s="2">
        <v>0</v>
      </c>
      <c r="O498">
        <v>-1.2</v>
      </c>
      <c r="P498" t="s">
        <v>100</v>
      </c>
      <c r="Q498">
        <v>0</v>
      </c>
      <c r="R498" t="s">
        <v>145</v>
      </c>
      <c r="S498">
        <v>0</v>
      </c>
    </row>
    <row r="499" spans="1:19">
      <c r="A499" t="s">
        <v>29</v>
      </c>
      <c r="B499" t="s">
        <v>3851</v>
      </c>
      <c r="C499">
        <f>"JEP1500"</f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1</v>
      </c>
      <c r="K499">
        <v>66.15000000000001</v>
      </c>
      <c r="L499" s="2">
        <v>66</v>
      </c>
      <c r="M499">
        <v>0</v>
      </c>
      <c r="N499" s="2">
        <v>0</v>
      </c>
      <c r="O499">
        <v>-1.2</v>
      </c>
      <c r="P499" t="s">
        <v>100</v>
      </c>
      <c r="Q499">
        <v>0</v>
      </c>
      <c r="R499" t="s">
        <v>145</v>
      </c>
      <c r="S499">
        <v>0</v>
      </c>
    </row>
    <row r="500" spans="1:19">
      <c r="A500" t="s">
        <v>29</v>
      </c>
      <c r="B500" t="s">
        <v>2471</v>
      </c>
      <c r="C500">
        <f>"PMN100"</f>
        <v>0</v>
      </c>
      <c r="D500">
        <v>0</v>
      </c>
      <c r="E500">
        <v>1</v>
      </c>
      <c r="F500">
        <v>0</v>
      </c>
      <c r="G500">
        <v>0</v>
      </c>
      <c r="H500">
        <v>1</v>
      </c>
      <c r="I500">
        <v>0</v>
      </c>
      <c r="J500">
        <v>1</v>
      </c>
      <c r="K500">
        <v>4.32</v>
      </c>
      <c r="L500" s="2">
        <v>4</v>
      </c>
      <c r="M500">
        <v>0</v>
      </c>
      <c r="N500" s="2">
        <v>0</v>
      </c>
      <c r="O500">
        <v>-1.2</v>
      </c>
      <c r="P500" t="s">
        <v>100</v>
      </c>
      <c r="Q500">
        <v>0</v>
      </c>
      <c r="R500" t="s">
        <v>145</v>
      </c>
      <c r="S500">
        <v>0</v>
      </c>
    </row>
    <row r="501" spans="1:19">
      <c r="A501" t="s">
        <v>29</v>
      </c>
      <c r="B501" t="s">
        <v>9352</v>
      </c>
      <c r="C501">
        <f>"CF1288UV"</f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1</v>
      </c>
      <c r="K501">
        <v>76.5</v>
      </c>
      <c r="L501" s="2">
        <v>76</v>
      </c>
      <c r="M501">
        <v>0</v>
      </c>
      <c r="N501" s="2">
        <v>0</v>
      </c>
      <c r="O501">
        <v>-1.2</v>
      </c>
      <c r="P501" t="s">
        <v>100</v>
      </c>
      <c r="Q501">
        <v>0</v>
      </c>
      <c r="R501" t="s">
        <v>145</v>
      </c>
      <c r="S501">
        <v>0</v>
      </c>
    </row>
    <row r="502" spans="1:19">
      <c r="A502" t="s">
        <v>29</v>
      </c>
      <c r="B502" t="s">
        <v>5317</v>
      </c>
      <c r="C502">
        <f>"UV0087"</f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1</v>
      </c>
      <c r="K502">
        <v>22.41</v>
      </c>
      <c r="L502" s="2">
        <v>22</v>
      </c>
      <c r="M502">
        <v>0</v>
      </c>
      <c r="N502" s="2">
        <v>0</v>
      </c>
      <c r="O502">
        <v>-1.2</v>
      </c>
      <c r="P502" t="s">
        <v>100</v>
      </c>
      <c r="Q502">
        <v>0</v>
      </c>
      <c r="R502" t="s">
        <v>145</v>
      </c>
      <c r="S502">
        <v>0</v>
      </c>
    </row>
    <row r="503" spans="1:19">
      <c r="A503" t="s">
        <v>29</v>
      </c>
      <c r="B503" t="s">
        <v>3447</v>
      </c>
      <c r="C503">
        <f>"UF32P"</f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1</v>
      </c>
      <c r="K503">
        <v>0</v>
      </c>
      <c r="L503" s="2">
        <v>0</v>
      </c>
      <c r="M503">
        <v>0</v>
      </c>
      <c r="N503" s="2">
        <v>0</v>
      </c>
      <c r="O503">
        <v>-1.2</v>
      </c>
      <c r="P503" t="s">
        <v>100</v>
      </c>
      <c r="Q503">
        <v>0</v>
      </c>
      <c r="R503" t="s">
        <v>145</v>
      </c>
      <c r="S503">
        <v>0</v>
      </c>
    </row>
    <row r="504" spans="1:19">
      <c r="A504" t="s">
        <v>29</v>
      </c>
      <c r="B504" t="s">
        <v>5874</v>
      </c>
      <c r="C504">
        <f>"77504"</f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1</v>
      </c>
      <c r="K504">
        <v>5.085</v>
      </c>
      <c r="L504" s="2">
        <v>5</v>
      </c>
      <c r="M504">
        <v>0</v>
      </c>
      <c r="N504" s="2">
        <v>0</v>
      </c>
      <c r="O504">
        <v>-1.2</v>
      </c>
      <c r="P504" t="s">
        <v>100</v>
      </c>
      <c r="Q504">
        <v>0</v>
      </c>
      <c r="R504" t="s">
        <v>145</v>
      </c>
      <c r="S504">
        <v>0</v>
      </c>
    </row>
    <row r="505" spans="1:19">
      <c r="A505" t="s">
        <v>29</v>
      </c>
      <c r="B505" t="s">
        <v>2550</v>
      </c>
      <c r="C505">
        <f>"WD0502A"</f>
        <v>0</v>
      </c>
      <c r="D505">
        <v>0</v>
      </c>
      <c r="E505">
        <v>0</v>
      </c>
      <c r="F505">
        <v>1</v>
      </c>
      <c r="G505">
        <v>0</v>
      </c>
      <c r="H505">
        <v>1</v>
      </c>
      <c r="I505">
        <v>0</v>
      </c>
      <c r="J505">
        <v>1</v>
      </c>
      <c r="K505">
        <v>2.009</v>
      </c>
      <c r="L505" s="2">
        <v>2</v>
      </c>
      <c r="M505">
        <v>0</v>
      </c>
      <c r="N505" s="2">
        <v>0</v>
      </c>
      <c r="O505">
        <v>-1.2</v>
      </c>
      <c r="P505" t="s">
        <v>100</v>
      </c>
      <c r="Q505">
        <v>0</v>
      </c>
      <c r="R505" t="s">
        <v>145</v>
      </c>
      <c r="S505">
        <v>0</v>
      </c>
    </row>
    <row r="506" spans="1:19">
      <c r="A506" t="s">
        <v>29</v>
      </c>
      <c r="B506" t="s">
        <v>2489</v>
      </c>
      <c r="C506">
        <f>"33125"</f>
        <v>0</v>
      </c>
      <c r="D506">
        <v>0</v>
      </c>
      <c r="E506">
        <v>0</v>
      </c>
      <c r="F506">
        <v>1</v>
      </c>
      <c r="G506">
        <v>0</v>
      </c>
      <c r="H506">
        <v>1</v>
      </c>
      <c r="I506">
        <v>0</v>
      </c>
      <c r="J506">
        <v>1</v>
      </c>
      <c r="K506">
        <v>5.805</v>
      </c>
      <c r="L506" s="2">
        <v>6</v>
      </c>
      <c r="M506">
        <v>0</v>
      </c>
      <c r="N506" s="2">
        <v>0</v>
      </c>
      <c r="O506">
        <v>-1.2</v>
      </c>
      <c r="P506" t="s">
        <v>100</v>
      </c>
      <c r="Q506">
        <v>0</v>
      </c>
      <c r="R506" t="s">
        <v>145</v>
      </c>
      <c r="S506">
        <v>0</v>
      </c>
    </row>
    <row r="507" spans="1:19">
      <c r="A507" t="s">
        <v>29</v>
      </c>
      <c r="B507" t="s">
        <v>6392</v>
      </c>
      <c r="C507">
        <f>"CHD001"</f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1</v>
      </c>
      <c r="K507">
        <v>1.665</v>
      </c>
      <c r="L507" s="2">
        <v>2</v>
      </c>
      <c r="M507">
        <v>0</v>
      </c>
      <c r="N507" s="2">
        <v>0</v>
      </c>
      <c r="O507">
        <v>-1.2</v>
      </c>
      <c r="P507" t="s">
        <v>100</v>
      </c>
      <c r="Q507">
        <v>0</v>
      </c>
      <c r="R507" t="s">
        <v>145</v>
      </c>
      <c r="S507">
        <v>0</v>
      </c>
    </row>
    <row r="508" spans="1:19">
      <c r="A508" t="s">
        <v>29</v>
      </c>
      <c r="B508" t="s">
        <v>6394</v>
      </c>
      <c r="C508">
        <f>"CHD003"</f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1</v>
      </c>
      <c r="K508">
        <v>4.05</v>
      </c>
      <c r="L508" s="2">
        <v>4</v>
      </c>
      <c r="M508">
        <v>0</v>
      </c>
      <c r="N508" s="2">
        <v>0</v>
      </c>
      <c r="O508">
        <v>-1.2</v>
      </c>
      <c r="P508" t="s">
        <v>100</v>
      </c>
      <c r="Q508">
        <v>0</v>
      </c>
      <c r="R508" t="s">
        <v>145</v>
      </c>
      <c r="S508">
        <v>0</v>
      </c>
    </row>
    <row r="509" spans="1:19">
      <c r="A509" t="s">
        <v>29</v>
      </c>
      <c r="B509" t="s">
        <v>2645</v>
      </c>
      <c r="C509">
        <f>"60333"</f>
        <v>0</v>
      </c>
      <c r="D509">
        <v>0</v>
      </c>
      <c r="E509">
        <v>0</v>
      </c>
      <c r="F509">
        <v>1</v>
      </c>
      <c r="G509">
        <v>0</v>
      </c>
      <c r="H509">
        <v>1</v>
      </c>
      <c r="I509">
        <v>0</v>
      </c>
      <c r="J509">
        <v>1</v>
      </c>
      <c r="K509">
        <v>3.591</v>
      </c>
      <c r="L509" s="2">
        <v>4</v>
      </c>
      <c r="M509">
        <v>0</v>
      </c>
      <c r="N509" s="2">
        <v>0</v>
      </c>
      <c r="O509">
        <v>-1.2</v>
      </c>
      <c r="P509" t="s">
        <v>100</v>
      </c>
      <c r="Q509">
        <v>0</v>
      </c>
      <c r="R509" t="s">
        <v>145</v>
      </c>
      <c r="S509">
        <v>0</v>
      </c>
    </row>
    <row r="510" spans="1:19">
      <c r="A510" t="s">
        <v>29</v>
      </c>
      <c r="B510" t="s">
        <v>3405</v>
      </c>
      <c r="C510">
        <f>"YBSZ01"</f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1</v>
      </c>
      <c r="K510">
        <v>3.96</v>
      </c>
      <c r="L510" s="2">
        <v>4</v>
      </c>
      <c r="M510">
        <v>0</v>
      </c>
      <c r="N510" s="2">
        <v>0</v>
      </c>
      <c r="O510">
        <v>-1.2</v>
      </c>
      <c r="P510" t="s">
        <v>100</v>
      </c>
      <c r="Q510">
        <v>0</v>
      </c>
      <c r="R510" t="s">
        <v>145</v>
      </c>
      <c r="S510">
        <v>0</v>
      </c>
    </row>
    <row r="511" spans="1:19">
      <c r="A511" t="s">
        <v>29</v>
      </c>
      <c r="B511" t="s">
        <v>6098</v>
      </c>
      <c r="C511">
        <f>"DPS45"</f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1</v>
      </c>
      <c r="K511">
        <v>0</v>
      </c>
      <c r="L511" s="2">
        <v>0</v>
      </c>
      <c r="M511">
        <v>0</v>
      </c>
      <c r="N511" s="2">
        <v>0</v>
      </c>
      <c r="O511">
        <v>-1.2</v>
      </c>
      <c r="P511" t="s">
        <v>100</v>
      </c>
      <c r="Q511">
        <v>0</v>
      </c>
      <c r="R511" t="s">
        <v>145</v>
      </c>
      <c r="S511">
        <v>0</v>
      </c>
    </row>
    <row r="512" spans="1:19">
      <c r="A512" t="s">
        <v>29</v>
      </c>
      <c r="B512" t="s">
        <v>4661</v>
      </c>
      <c r="C512">
        <f>"D10200A"</f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1</v>
      </c>
      <c r="K512">
        <v>2.25</v>
      </c>
      <c r="L512" s="2">
        <v>2</v>
      </c>
      <c r="M512">
        <v>0</v>
      </c>
      <c r="N512" s="2">
        <v>0</v>
      </c>
      <c r="O512">
        <v>-1.2</v>
      </c>
      <c r="P512" t="s">
        <v>100</v>
      </c>
      <c r="Q512">
        <v>0</v>
      </c>
      <c r="R512" t="s">
        <v>145</v>
      </c>
      <c r="S512">
        <v>0</v>
      </c>
    </row>
    <row r="513" spans="1:19">
      <c r="A513" t="s">
        <v>29</v>
      </c>
      <c r="B513" t="s">
        <v>2305</v>
      </c>
      <c r="C513">
        <f>"180CAM"</f>
        <v>0</v>
      </c>
      <c r="D513">
        <v>2</v>
      </c>
      <c r="E513">
        <v>0</v>
      </c>
      <c r="F513">
        <v>0</v>
      </c>
      <c r="G513">
        <v>0</v>
      </c>
      <c r="H513">
        <v>2</v>
      </c>
      <c r="I513">
        <v>0</v>
      </c>
      <c r="J513">
        <v>1</v>
      </c>
      <c r="K513">
        <v>666</v>
      </c>
      <c r="L513" s="2">
        <v>666</v>
      </c>
      <c r="M513">
        <v>0</v>
      </c>
      <c r="N513" s="2">
        <v>0</v>
      </c>
      <c r="O513">
        <v>-1.2</v>
      </c>
      <c r="P513" t="s">
        <v>100</v>
      </c>
      <c r="Q513">
        <v>0</v>
      </c>
      <c r="R513" t="s">
        <v>145</v>
      </c>
      <c r="S513">
        <v>0</v>
      </c>
    </row>
    <row r="514" spans="1:19">
      <c r="A514" t="s">
        <v>29</v>
      </c>
      <c r="B514" t="s">
        <v>10211</v>
      </c>
      <c r="C514">
        <f>"C380BL"</f>
        <v>0</v>
      </c>
      <c r="D514">
        <v>0</v>
      </c>
      <c r="E514">
        <v>0</v>
      </c>
      <c r="F514">
        <v>1</v>
      </c>
      <c r="G514">
        <v>0</v>
      </c>
      <c r="H514">
        <v>1</v>
      </c>
      <c r="I514">
        <v>0</v>
      </c>
      <c r="J514">
        <v>1</v>
      </c>
      <c r="K514">
        <v>35.01</v>
      </c>
      <c r="L514" s="2">
        <v>35</v>
      </c>
      <c r="M514">
        <v>0</v>
      </c>
      <c r="N514" s="2">
        <v>0</v>
      </c>
      <c r="O514">
        <v>-1.2</v>
      </c>
      <c r="P514" t="s">
        <v>10251</v>
      </c>
      <c r="Q514">
        <v>-7.002</v>
      </c>
      <c r="R514" t="s">
        <v>10266</v>
      </c>
      <c r="S514">
        <v>0</v>
      </c>
    </row>
    <row r="515" spans="1:19">
      <c r="A515" t="s">
        <v>29</v>
      </c>
      <c r="B515" t="s">
        <v>6313</v>
      </c>
      <c r="C515">
        <f>"U58"</f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1</v>
      </c>
      <c r="K515">
        <v>4.275</v>
      </c>
      <c r="L515" s="2">
        <v>4</v>
      </c>
      <c r="M515">
        <v>0</v>
      </c>
      <c r="N515" s="2">
        <v>0</v>
      </c>
      <c r="O515">
        <v>-1.2</v>
      </c>
      <c r="P515" t="s">
        <v>100</v>
      </c>
      <c r="Q515">
        <v>0</v>
      </c>
      <c r="R515" t="s">
        <v>145</v>
      </c>
      <c r="S515">
        <v>0</v>
      </c>
    </row>
    <row r="516" spans="1:19">
      <c r="A516" t="s">
        <v>29</v>
      </c>
      <c r="B516" t="s">
        <v>2653</v>
      </c>
      <c r="C516">
        <f>"PONZA5"</f>
        <v>0</v>
      </c>
      <c r="D516">
        <v>0</v>
      </c>
      <c r="E516">
        <v>0</v>
      </c>
      <c r="F516">
        <v>1</v>
      </c>
      <c r="G516">
        <v>0</v>
      </c>
      <c r="H516">
        <v>1</v>
      </c>
      <c r="I516">
        <v>0</v>
      </c>
      <c r="J516">
        <v>1</v>
      </c>
      <c r="K516">
        <v>9.975</v>
      </c>
      <c r="L516" s="2">
        <v>10</v>
      </c>
      <c r="M516">
        <v>0</v>
      </c>
      <c r="N516" s="2">
        <v>0</v>
      </c>
      <c r="O516">
        <v>-1.2</v>
      </c>
      <c r="P516" t="s">
        <v>100</v>
      </c>
      <c r="Q516">
        <v>0</v>
      </c>
      <c r="R516" t="s">
        <v>145</v>
      </c>
      <c r="S516">
        <v>0</v>
      </c>
    </row>
    <row r="517" spans="1:19">
      <c r="A517" t="s">
        <v>29</v>
      </c>
      <c r="B517" t="s">
        <v>6160</v>
      </c>
      <c r="C517">
        <f>"D500"</f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1</v>
      </c>
      <c r="K517">
        <v>5.391</v>
      </c>
      <c r="L517" s="2">
        <v>5</v>
      </c>
      <c r="M517">
        <v>0</v>
      </c>
      <c r="N517" s="2">
        <v>0</v>
      </c>
      <c r="O517">
        <v>-1.2</v>
      </c>
      <c r="P517" t="s">
        <v>100</v>
      </c>
      <c r="Q517">
        <v>0</v>
      </c>
      <c r="R517" t="s">
        <v>145</v>
      </c>
      <c r="S517">
        <v>0</v>
      </c>
    </row>
    <row r="518" spans="1:19">
      <c r="A518" t="s">
        <v>29</v>
      </c>
      <c r="B518" t="s">
        <v>5623</v>
      </c>
      <c r="C518">
        <f>"80323"</f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1</v>
      </c>
      <c r="K518">
        <v>1.701</v>
      </c>
      <c r="L518" s="2">
        <v>2</v>
      </c>
      <c r="M518">
        <v>0</v>
      </c>
      <c r="N518" s="2">
        <v>0</v>
      </c>
      <c r="O518">
        <v>-1.2</v>
      </c>
      <c r="P518" t="s">
        <v>100</v>
      </c>
      <c r="Q518">
        <v>0</v>
      </c>
      <c r="R518" t="s">
        <v>145</v>
      </c>
      <c r="S518">
        <v>0</v>
      </c>
    </row>
    <row r="519" spans="1:19">
      <c r="A519" t="s">
        <v>29</v>
      </c>
      <c r="B519" t="s">
        <v>3715</v>
      </c>
      <c r="C519">
        <f>"RS1500"</f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1</v>
      </c>
      <c r="K519">
        <v>26.91</v>
      </c>
      <c r="L519" s="2">
        <v>27</v>
      </c>
      <c r="M519">
        <v>0</v>
      </c>
      <c r="N519" s="2">
        <v>0</v>
      </c>
      <c r="O519">
        <v>-1.2</v>
      </c>
      <c r="P519" t="s">
        <v>100</v>
      </c>
      <c r="Q519">
        <v>0</v>
      </c>
      <c r="R519" t="s">
        <v>145</v>
      </c>
      <c r="S519">
        <v>0</v>
      </c>
    </row>
    <row r="520" spans="1:19">
      <c r="A520" t="s">
        <v>29</v>
      </c>
      <c r="B520" t="s">
        <v>3994</v>
      </c>
      <c r="C520">
        <f>"HQJ500G"</f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1</v>
      </c>
      <c r="K520">
        <v>2.835</v>
      </c>
      <c r="L520" s="2">
        <v>3</v>
      </c>
      <c r="M520">
        <v>0</v>
      </c>
      <c r="N520" s="2">
        <v>0</v>
      </c>
      <c r="O520">
        <v>-1.2</v>
      </c>
      <c r="P520" t="s">
        <v>100</v>
      </c>
      <c r="Q520">
        <v>0</v>
      </c>
      <c r="R520" t="s">
        <v>145</v>
      </c>
      <c r="S520">
        <v>0</v>
      </c>
    </row>
    <row r="521" spans="1:19">
      <c r="A521" t="s">
        <v>29</v>
      </c>
      <c r="B521" t="s">
        <v>6240</v>
      </c>
      <c r="C521">
        <f>"D10200B"</f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1</v>
      </c>
      <c r="K521">
        <v>2.25</v>
      </c>
      <c r="L521" s="2">
        <v>2</v>
      </c>
      <c r="M521">
        <v>0</v>
      </c>
      <c r="N521" s="2">
        <v>0</v>
      </c>
      <c r="O521">
        <v>-1.2</v>
      </c>
      <c r="P521" t="s">
        <v>100</v>
      </c>
      <c r="Q521">
        <v>0</v>
      </c>
      <c r="R521" t="s">
        <v>145</v>
      </c>
      <c r="S521">
        <v>0</v>
      </c>
    </row>
    <row r="522" spans="1:19">
      <c r="A522" t="s">
        <v>29</v>
      </c>
      <c r="B522" t="s">
        <v>2437</v>
      </c>
      <c r="C522">
        <f>"E268"</f>
        <v>0</v>
      </c>
      <c r="D522">
        <v>0</v>
      </c>
      <c r="E522">
        <v>1</v>
      </c>
      <c r="F522">
        <v>0</v>
      </c>
      <c r="G522">
        <v>0</v>
      </c>
      <c r="H522">
        <v>1</v>
      </c>
      <c r="I522">
        <v>0</v>
      </c>
      <c r="J522">
        <v>1</v>
      </c>
      <c r="K522">
        <v>4.491</v>
      </c>
      <c r="L522" s="2">
        <v>4</v>
      </c>
      <c r="M522">
        <v>0</v>
      </c>
      <c r="N522" s="2">
        <v>0</v>
      </c>
      <c r="O522">
        <v>-1.2</v>
      </c>
      <c r="P522" t="s">
        <v>100</v>
      </c>
      <c r="Q522">
        <v>0</v>
      </c>
      <c r="R522" t="s">
        <v>145</v>
      </c>
      <c r="S522">
        <v>0</v>
      </c>
    </row>
    <row r="523" spans="1:19">
      <c r="A523" t="s">
        <v>29</v>
      </c>
      <c r="B523" t="s">
        <v>2272</v>
      </c>
      <c r="C523">
        <f>"20622"</f>
        <v>0</v>
      </c>
      <c r="D523">
        <v>1</v>
      </c>
      <c r="E523">
        <v>1</v>
      </c>
      <c r="F523">
        <v>0</v>
      </c>
      <c r="G523">
        <v>0</v>
      </c>
      <c r="H523">
        <v>2</v>
      </c>
      <c r="I523">
        <v>0.5</v>
      </c>
      <c r="J523">
        <v>2</v>
      </c>
      <c r="K523">
        <v>7.02</v>
      </c>
      <c r="L523" s="2">
        <v>4</v>
      </c>
      <c r="M523">
        <v>0</v>
      </c>
      <c r="N523" s="2">
        <v>0</v>
      </c>
      <c r="O523">
        <v>-1.9</v>
      </c>
      <c r="P523" t="s">
        <v>100</v>
      </c>
      <c r="Q523">
        <v>0</v>
      </c>
      <c r="R523" t="s">
        <v>145</v>
      </c>
      <c r="S523">
        <v>0</v>
      </c>
    </row>
    <row r="524" spans="1:19">
      <c r="A524" t="s">
        <v>29</v>
      </c>
      <c r="B524" t="s">
        <v>1842</v>
      </c>
      <c r="C524">
        <f>"BSL6"</f>
        <v>0</v>
      </c>
      <c r="D524">
        <v>7</v>
      </c>
      <c r="E524">
        <v>1</v>
      </c>
      <c r="F524">
        <v>0</v>
      </c>
      <c r="G524">
        <v>0</v>
      </c>
      <c r="H524">
        <v>8</v>
      </c>
      <c r="I524">
        <v>0.5</v>
      </c>
      <c r="J524">
        <v>2</v>
      </c>
      <c r="K524">
        <v>1.422</v>
      </c>
      <c r="L524" s="2">
        <v>1</v>
      </c>
      <c r="M524">
        <v>0</v>
      </c>
      <c r="N524" s="2">
        <v>0</v>
      </c>
      <c r="O524">
        <v>-1.9</v>
      </c>
      <c r="P524" t="s">
        <v>100</v>
      </c>
      <c r="Q524">
        <v>0</v>
      </c>
      <c r="R524" t="s">
        <v>145</v>
      </c>
      <c r="S524">
        <v>0</v>
      </c>
    </row>
    <row r="525" spans="1:19">
      <c r="A525" t="s">
        <v>29</v>
      </c>
      <c r="B525" t="s">
        <v>6034</v>
      </c>
      <c r="C525">
        <f>"CH9697"</f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2</v>
      </c>
      <c r="K525">
        <v>0</v>
      </c>
      <c r="L525" s="2">
        <v>0</v>
      </c>
      <c r="M525">
        <v>0</v>
      </c>
      <c r="N525" s="2">
        <v>0</v>
      </c>
      <c r="O525">
        <v>-2.4</v>
      </c>
      <c r="P525" t="s">
        <v>100</v>
      </c>
      <c r="Q525">
        <v>0</v>
      </c>
      <c r="R525" t="s">
        <v>145</v>
      </c>
      <c r="S525">
        <v>0</v>
      </c>
    </row>
    <row r="526" spans="1:19">
      <c r="A526" t="s">
        <v>29</v>
      </c>
      <c r="B526" t="s">
        <v>2401</v>
      </c>
      <c r="C526">
        <f>"CH11216"</f>
        <v>0</v>
      </c>
      <c r="D526">
        <v>0</v>
      </c>
      <c r="E526">
        <v>0</v>
      </c>
      <c r="F526">
        <v>1</v>
      </c>
      <c r="G526">
        <v>0</v>
      </c>
      <c r="H526">
        <v>1</v>
      </c>
      <c r="I526">
        <v>0</v>
      </c>
      <c r="J526">
        <v>2</v>
      </c>
      <c r="K526">
        <v>17.1</v>
      </c>
      <c r="L526" s="2">
        <v>9</v>
      </c>
      <c r="M526">
        <v>0</v>
      </c>
      <c r="N526" s="2">
        <v>0</v>
      </c>
      <c r="O526">
        <v>-2.4</v>
      </c>
      <c r="P526" t="s">
        <v>100</v>
      </c>
      <c r="Q526">
        <v>0</v>
      </c>
      <c r="R526" t="s">
        <v>145</v>
      </c>
      <c r="S526">
        <v>0</v>
      </c>
    </row>
    <row r="527" spans="1:19">
      <c r="A527" t="s">
        <v>29</v>
      </c>
      <c r="B527" t="s">
        <v>6276</v>
      </c>
      <c r="C527">
        <f>"DR0817S"</f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2</v>
      </c>
      <c r="K527">
        <v>44.82</v>
      </c>
      <c r="L527" s="2">
        <v>22</v>
      </c>
      <c r="M527">
        <v>0</v>
      </c>
      <c r="N527" s="2">
        <v>0</v>
      </c>
      <c r="O527">
        <v>-2.4</v>
      </c>
      <c r="P527" t="s">
        <v>100</v>
      </c>
      <c r="Q527">
        <v>0</v>
      </c>
      <c r="R527" t="s">
        <v>145</v>
      </c>
      <c r="S527">
        <v>0</v>
      </c>
    </row>
    <row r="528" spans="1:19">
      <c r="A528" t="s">
        <v>29</v>
      </c>
      <c r="B528" t="s">
        <v>5990</v>
      </c>
      <c r="C528">
        <f>"70065"</f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2</v>
      </c>
      <c r="K528">
        <v>10.782</v>
      </c>
      <c r="L528" s="2">
        <v>5</v>
      </c>
      <c r="M528">
        <v>0</v>
      </c>
      <c r="N528" s="2">
        <v>0</v>
      </c>
      <c r="O528">
        <v>-2.4</v>
      </c>
      <c r="P528" t="s">
        <v>100</v>
      </c>
      <c r="Q528">
        <v>0</v>
      </c>
      <c r="R528" t="s">
        <v>145</v>
      </c>
      <c r="S528">
        <v>0</v>
      </c>
    </row>
    <row r="529" spans="1:19">
      <c r="A529" t="s">
        <v>29</v>
      </c>
      <c r="B529" t="s">
        <v>6144</v>
      </c>
      <c r="C529">
        <f>"34333"</f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2</v>
      </c>
      <c r="K529">
        <v>3.402</v>
      </c>
      <c r="L529" s="2">
        <v>2</v>
      </c>
      <c r="M529">
        <v>0</v>
      </c>
      <c r="N529" s="2">
        <v>0</v>
      </c>
      <c r="O529">
        <v>-2.4</v>
      </c>
      <c r="P529" t="s">
        <v>100</v>
      </c>
      <c r="Q529">
        <v>0</v>
      </c>
      <c r="R529" t="s">
        <v>145</v>
      </c>
      <c r="S529">
        <v>0</v>
      </c>
    </row>
    <row r="530" spans="1:19">
      <c r="A530" t="s">
        <v>29</v>
      </c>
      <c r="B530" t="s">
        <v>3198</v>
      </c>
      <c r="C530">
        <f>"YBSZ07"</f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2</v>
      </c>
      <c r="K530">
        <v>19.62</v>
      </c>
      <c r="L530" s="2">
        <v>10</v>
      </c>
      <c r="M530">
        <v>0</v>
      </c>
      <c r="N530" s="2">
        <v>0</v>
      </c>
      <c r="O530">
        <v>-2.4</v>
      </c>
      <c r="P530" t="s">
        <v>100</v>
      </c>
      <c r="Q530">
        <v>0</v>
      </c>
      <c r="R530" t="s">
        <v>145</v>
      </c>
      <c r="S530">
        <v>0</v>
      </c>
    </row>
    <row r="531" spans="1:19">
      <c r="A531" t="s">
        <v>29</v>
      </c>
      <c r="B531" t="s">
        <v>2967</v>
      </c>
      <c r="C531">
        <f>"34061"</f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2</v>
      </c>
      <c r="K531">
        <v>3.402</v>
      </c>
      <c r="L531" s="2">
        <v>2</v>
      </c>
      <c r="M531">
        <v>0</v>
      </c>
      <c r="N531" s="2">
        <v>0</v>
      </c>
      <c r="O531">
        <v>-2.4</v>
      </c>
      <c r="P531" t="s">
        <v>100</v>
      </c>
      <c r="Q531">
        <v>0</v>
      </c>
      <c r="R531" t="s">
        <v>145</v>
      </c>
      <c r="S531">
        <v>0</v>
      </c>
    </row>
    <row r="532" spans="1:19">
      <c r="A532" t="s">
        <v>29</v>
      </c>
      <c r="B532" t="s">
        <v>2654</v>
      </c>
      <c r="C532">
        <f>"HQJ1600B"</f>
        <v>0</v>
      </c>
      <c r="D532">
        <v>0</v>
      </c>
      <c r="E532">
        <v>1</v>
      </c>
      <c r="F532">
        <v>0</v>
      </c>
      <c r="G532">
        <v>0</v>
      </c>
      <c r="H532">
        <v>1</v>
      </c>
      <c r="I532">
        <v>0</v>
      </c>
      <c r="J532">
        <v>2</v>
      </c>
      <c r="K532">
        <v>15.2</v>
      </c>
      <c r="L532" s="2">
        <v>8</v>
      </c>
      <c r="M532">
        <v>0</v>
      </c>
      <c r="N532" s="2">
        <v>0</v>
      </c>
      <c r="O532">
        <v>-2.4</v>
      </c>
      <c r="P532" t="s">
        <v>100</v>
      </c>
      <c r="Q532">
        <v>0</v>
      </c>
      <c r="R532" t="s">
        <v>145</v>
      </c>
      <c r="S532">
        <v>0</v>
      </c>
    </row>
    <row r="533" spans="1:19">
      <c r="A533" t="s">
        <v>29</v>
      </c>
      <c r="B533" t="s">
        <v>3991</v>
      </c>
      <c r="C533">
        <f>"P150"</f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2</v>
      </c>
      <c r="K533">
        <v>5.85</v>
      </c>
      <c r="L533" s="2">
        <v>3</v>
      </c>
      <c r="M533">
        <v>0</v>
      </c>
      <c r="N533" s="2">
        <v>0</v>
      </c>
      <c r="O533">
        <v>-2.4</v>
      </c>
      <c r="P533" t="s">
        <v>100</v>
      </c>
      <c r="Q533">
        <v>0</v>
      </c>
      <c r="R533" t="s">
        <v>145</v>
      </c>
      <c r="S533">
        <v>0</v>
      </c>
    </row>
    <row r="534" spans="1:19">
      <c r="A534" t="s">
        <v>29</v>
      </c>
      <c r="B534" t="s">
        <v>3444</v>
      </c>
      <c r="C534">
        <f>"UF24P"</f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2</v>
      </c>
      <c r="K534">
        <v>2.88</v>
      </c>
      <c r="L534" s="2">
        <v>1</v>
      </c>
      <c r="M534">
        <v>0</v>
      </c>
      <c r="N534" s="2">
        <v>0</v>
      </c>
      <c r="O534">
        <v>-2.4</v>
      </c>
      <c r="P534" t="s">
        <v>100</v>
      </c>
      <c r="Q534">
        <v>0</v>
      </c>
      <c r="R534" t="s">
        <v>145</v>
      </c>
      <c r="S534">
        <v>0</v>
      </c>
    </row>
    <row r="535" spans="1:19">
      <c r="A535" t="s">
        <v>29</v>
      </c>
      <c r="B535" t="s">
        <v>7292</v>
      </c>
      <c r="C535">
        <f>"RS300W"</f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2</v>
      </c>
      <c r="K535">
        <v>5.85</v>
      </c>
      <c r="L535" s="2">
        <v>3</v>
      </c>
      <c r="M535">
        <v>0</v>
      </c>
      <c r="N535" s="2">
        <v>0</v>
      </c>
      <c r="O535">
        <v>-2.4</v>
      </c>
      <c r="P535" t="s">
        <v>100</v>
      </c>
      <c r="Q535">
        <v>0</v>
      </c>
      <c r="R535" t="s">
        <v>145</v>
      </c>
      <c r="S535">
        <v>0</v>
      </c>
    </row>
    <row r="536" spans="1:19">
      <c r="A536" t="s">
        <v>29</v>
      </c>
      <c r="B536" t="s">
        <v>2402</v>
      </c>
      <c r="C536">
        <f>"LBL13"</f>
        <v>0</v>
      </c>
      <c r="D536">
        <v>1</v>
      </c>
      <c r="E536">
        <v>0</v>
      </c>
      <c r="F536">
        <v>0</v>
      </c>
      <c r="G536">
        <v>0</v>
      </c>
      <c r="H536">
        <v>1</v>
      </c>
      <c r="I536">
        <v>0</v>
      </c>
      <c r="J536">
        <v>2</v>
      </c>
      <c r="K536">
        <v>2.16</v>
      </c>
      <c r="L536" s="2">
        <v>1</v>
      </c>
      <c r="M536">
        <v>0</v>
      </c>
      <c r="N536" s="2">
        <v>0</v>
      </c>
      <c r="O536">
        <v>-2.4</v>
      </c>
      <c r="P536" t="s">
        <v>100</v>
      </c>
      <c r="Q536">
        <v>0</v>
      </c>
      <c r="R536" t="s">
        <v>145</v>
      </c>
      <c r="S536">
        <v>0</v>
      </c>
    </row>
    <row r="537" spans="1:19">
      <c r="A537" t="s">
        <v>29</v>
      </c>
      <c r="B537" t="s">
        <v>3799</v>
      </c>
      <c r="C537">
        <f>"80426"</f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2</v>
      </c>
      <c r="K537">
        <v>28.71</v>
      </c>
      <c r="L537" s="2">
        <v>14</v>
      </c>
      <c r="M537">
        <v>0</v>
      </c>
      <c r="N537" s="2">
        <v>0</v>
      </c>
      <c r="O537">
        <v>-2.4</v>
      </c>
      <c r="P537" t="s">
        <v>100</v>
      </c>
      <c r="Q537">
        <v>0</v>
      </c>
      <c r="R537" t="s">
        <v>145</v>
      </c>
      <c r="S537">
        <v>0</v>
      </c>
    </row>
    <row r="538" spans="1:19">
      <c r="A538" t="s">
        <v>29</v>
      </c>
      <c r="B538" t="s">
        <v>10234</v>
      </c>
      <c r="C538">
        <f>"A017S"</f>
        <v>0</v>
      </c>
      <c r="D538">
        <v>0</v>
      </c>
      <c r="E538">
        <v>0</v>
      </c>
      <c r="F538">
        <v>1</v>
      </c>
      <c r="G538">
        <v>0</v>
      </c>
      <c r="H538">
        <v>1</v>
      </c>
      <c r="I538">
        <v>0</v>
      </c>
      <c r="J538">
        <v>2</v>
      </c>
      <c r="K538">
        <v>10.782</v>
      </c>
      <c r="L538" s="2">
        <v>5</v>
      </c>
      <c r="M538">
        <v>0</v>
      </c>
      <c r="N538" s="2">
        <v>0</v>
      </c>
      <c r="O538">
        <v>-2.4</v>
      </c>
      <c r="P538" t="s">
        <v>10252</v>
      </c>
      <c r="Q538">
        <v>-951</v>
      </c>
      <c r="R538" t="s">
        <v>10270</v>
      </c>
      <c r="S538">
        <v>0</v>
      </c>
    </row>
    <row r="539" spans="1:19">
      <c r="A539" t="s">
        <v>29</v>
      </c>
      <c r="B539" t="s">
        <v>3997</v>
      </c>
      <c r="C539">
        <f>"NFF04"</f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2</v>
      </c>
      <c r="K539">
        <v>279</v>
      </c>
      <c r="L539" s="2">
        <v>140</v>
      </c>
      <c r="M539">
        <v>0</v>
      </c>
      <c r="N539" s="2">
        <v>0</v>
      </c>
      <c r="O539">
        <v>-2.4</v>
      </c>
      <c r="P539" t="s">
        <v>100</v>
      </c>
      <c r="Q539">
        <v>0</v>
      </c>
      <c r="R539" t="s">
        <v>145</v>
      </c>
      <c r="S539">
        <v>0</v>
      </c>
    </row>
    <row r="540" spans="1:19">
      <c r="A540" t="s">
        <v>29</v>
      </c>
      <c r="B540" t="s">
        <v>2688</v>
      </c>
      <c r="C540">
        <f>"SFP34"</f>
        <v>0</v>
      </c>
      <c r="D540">
        <v>0</v>
      </c>
      <c r="E540">
        <v>1</v>
      </c>
      <c r="F540">
        <v>0</v>
      </c>
      <c r="G540">
        <v>0</v>
      </c>
      <c r="H540">
        <v>1</v>
      </c>
      <c r="I540">
        <v>0</v>
      </c>
      <c r="J540">
        <v>2</v>
      </c>
      <c r="K540">
        <v>15.57</v>
      </c>
      <c r="L540" s="2">
        <v>8</v>
      </c>
      <c r="M540">
        <v>0</v>
      </c>
      <c r="N540" s="2">
        <v>0</v>
      </c>
      <c r="O540">
        <v>-2.4</v>
      </c>
      <c r="P540" t="s">
        <v>100</v>
      </c>
      <c r="Q540">
        <v>0</v>
      </c>
      <c r="R540" t="s">
        <v>145</v>
      </c>
      <c r="S540">
        <v>0</v>
      </c>
    </row>
    <row r="541" spans="1:19">
      <c r="A541" t="s">
        <v>29</v>
      </c>
      <c r="B541" t="s">
        <v>8891</v>
      </c>
      <c r="C541">
        <f>"ADE300"</f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2</v>
      </c>
      <c r="K541">
        <v>24.3</v>
      </c>
      <c r="L541" s="2">
        <v>12</v>
      </c>
      <c r="M541">
        <v>0</v>
      </c>
      <c r="N541" s="2">
        <v>0</v>
      </c>
      <c r="O541">
        <v>-2.4</v>
      </c>
      <c r="P541" t="s">
        <v>100</v>
      </c>
      <c r="Q541">
        <v>0</v>
      </c>
      <c r="R541" t="s">
        <v>145</v>
      </c>
      <c r="S541">
        <v>0</v>
      </c>
    </row>
    <row r="542" spans="1:19">
      <c r="A542" t="s">
        <v>29</v>
      </c>
      <c r="B542" t="s">
        <v>8940</v>
      </c>
      <c r="C542">
        <f>"LS30R"</f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2</v>
      </c>
      <c r="K542">
        <v>3.51</v>
      </c>
      <c r="L542" s="2">
        <v>2</v>
      </c>
      <c r="M542">
        <v>0</v>
      </c>
      <c r="N542" s="2">
        <v>0</v>
      </c>
      <c r="O542">
        <v>-2.4</v>
      </c>
      <c r="P542" t="s">
        <v>100</v>
      </c>
      <c r="Q542">
        <v>0</v>
      </c>
      <c r="R542" t="s">
        <v>145</v>
      </c>
      <c r="S542">
        <v>0</v>
      </c>
    </row>
    <row r="543" spans="1:19">
      <c r="A543" t="s">
        <v>29</v>
      </c>
      <c r="B543" t="s">
        <v>9362</v>
      </c>
      <c r="C543">
        <f>"RS062A"</f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2</v>
      </c>
      <c r="K543">
        <v>4.82</v>
      </c>
      <c r="L543" s="2">
        <v>2</v>
      </c>
      <c r="M543">
        <v>0</v>
      </c>
      <c r="N543" s="2">
        <v>0</v>
      </c>
      <c r="O543">
        <v>-2.4</v>
      </c>
      <c r="P543" t="s">
        <v>100</v>
      </c>
      <c r="Q543">
        <v>0</v>
      </c>
      <c r="R543" t="s">
        <v>145</v>
      </c>
      <c r="S543">
        <v>0</v>
      </c>
    </row>
    <row r="544" spans="1:19">
      <c r="A544" t="s">
        <v>29</v>
      </c>
      <c r="B544" t="s">
        <v>2549</v>
      </c>
      <c r="C544">
        <f>"RS201"</f>
        <v>0</v>
      </c>
      <c r="D544">
        <v>0</v>
      </c>
      <c r="E544">
        <v>1</v>
      </c>
      <c r="F544">
        <v>0</v>
      </c>
      <c r="G544">
        <v>0</v>
      </c>
      <c r="H544">
        <v>1</v>
      </c>
      <c r="I544">
        <v>0</v>
      </c>
      <c r="J544">
        <v>2</v>
      </c>
      <c r="K544">
        <v>8.5</v>
      </c>
      <c r="L544" s="2">
        <v>4</v>
      </c>
      <c r="M544">
        <v>0</v>
      </c>
      <c r="N544" s="2">
        <v>0</v>
      </c>
      <c r="O544">
        <v>-2.4</v>
      </c>
      <c r="P544" t="s">
        <v>100</v>
      </c>
      <c r="Q544">
        <v>0</v>
      </c>
      <c r="R544" t="s">
        <v>145</v>
      </c>
      <c r="S544">
        <v>0</v>
      </c>
    </row>
    <row r="545" spans="1:19">
      <c r="A545" t="s">
        <v>29</v>
      </c>
      <c r="B545" t="s">
        <v>1990</v>
      </c>
      <c r="C545">
        <f>"PMF100"</f>
        <v>0</v>
      </c>
      <c r="D545">
        <v>0</v>
      </c>
      <c r="E545">
        <v>4</v>
      </c>
      <c r="F545">
        <v>0</v>
      </c>
      <c r="G545">
        <v>0</v>
      </c>
      <c r="H545">
        <v>4</v>
      </c>
      <c r="I545">
        <v>0</v>
      </c>
      <c r="J545">
        <v>2</v>
      </c>
      <c r="K545">
        <v>2.866</v>
      </c>
      <c r="L545" s="2">
        <v>1</v>
      </c>
      <c r="M545">
        <v>0</v>
      </c>
      <c r="N545" s="2">
        <v>0</v>
      </c>
      <c r="O545">
        <v>-2.4</v>
      </c>
      <c r="P545" t="s">
        <v>100</v>
      </c>
      <c r="Q545">
        <v>0</v>
      </c>
      <c r="R545" t="s">
        <v>145</v>
      </c>
      <c r="S545">
        <v>0</v>
      </c>
    </row>
    <row r="546" spans="1:19">
      <c r="A546" t="s">
        <v>29</v>
      </c>
      <c r="B546" t="s">
        <v>2350</v>
      </c>
      <c r="C546">
        <f>"PMF50"</f>
        <v>0</v>
      </c>
      <c r="D546">
        <v>0</v>
      </c>
      <c r="E546">
        <v>1</v>
      </c>
      <c r="F546">
        <v>0</v>
      </c>
      <c r="G546">
        <v>0</v>
      </c>
      <c r="H546">
        <v>1</v>
      </c>
      <c r="I546">
        <v>0</v>
      </c>
      <c r="J546">
        <v>2</v>
      </c>
      <c r="K546">
        <v>5.04</v>
      </c>
      <c r="L546" s="2">
        <v>3</v>
      </c>
      <c r="M546">
        <v>0</v>
      </c>
      <c r="N546" s="2">
        <v>0</v>
      </c>
      <c r="O546">
        <v>-2.4</v>
      </c>
      <c r="P546" t="s">
        <v>100</v>
      </c>
      <c r="Q546">
        <v>0</v>
      </c>
      <c r="R546" t="s">
        <v>145</v>
      </c>
      <c r="S546">
        <v>0</v>
      </c>
    </row>
    <row r="547" spans="1:19">
      <c r="A547" t="s">
        <v>29</v>
      </c>
      <c r="B547" t="s">
        <v>6929</v>
      </c>
      <c r="C547">
        <f>"BSDRL"</f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2</v>
      </c>
      <c r="K547">
        <v>3.15</v>
      </c>
      <c r="L547" s="2">
        <v>2</v>
      </c>
      <c r="M547">
        <v>0</v>
      </c>
      <c r="N547" s="2">
        <v>0</v>
      </c>
      <c r="O547">
        <v>-2.4</v>
      </c>
      <c r="P547" t="s">
        <v>100</v>
      </c>
      <c r="Q547">
        <v>0</v>
      </c>
      <c r="R547" t="s">
        <v>145</v>
      </c>
      <c r="S547">
        <v>0</v>
      </c>
    </row>
    <row r="548" spans="1:19">
      <c r="A548" t="s">
        <v>29</v>
      </c>
      <c r="B548" t="s">
        <v>3510</v>
      </c>
      <c r="C548">
        <f>"MCAL"</f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2</v>
      </c>
      <c r="K548">
        <v>4.98</v>
      </c>
      <c r="L548" s="2">
        <v>2</v>
      </c>
      <c r="M548">
        <v>0</v>
      </c>
      <c r="N548" s="2">
        <v>0</v>
      </c>
      <c r="O548">
        <v>-2.4</v>
      </c>
      <c r="P548" t="s">
        <v>100</v>
      </c>
      <c r="Q548">
        <v>0</v>
      </c>
      <c r="R548" t="s">
        <v>145</v>
      </c>
      <c r="S548">
        <v>0</v>
      </c>
    </row>
    <row r="549" spans="1:19">
      <c r="A549" t="s">
        <v>29</v>
      </c>
      <c r="B549" t="s">
        <v>3981</v>
      </c>
      <c r="C549">
        <f>"RS701"</f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2</v>
      </c>
      <c r="K549">
        <v>3.96</v>
      </c>
      <c r="L549" s="2">
        <v>2</v>
      </c>
      <c r="M549">
        <v>0</v>
      </c>
      <c r="N549" s="2">
        <v>0</v>
      </c>
      <c r="O549">
        <v>-2.4</v>
      </c>
      <c r="P549" t="s">
        <v>100</v>
      </c>
      <c r="Q549">
        <v>0</v>
      </c>
      <c r="R549" t="s">
        <v>145</v>
      </c>
      <c r="S549">
        <v>0</v>
      </c>
    </row>
    <row r="550" spans="1:19">
      <c r="A550" t="s">
        <v>29</v>
      </c>
      <c r="B550" t="s">
        <v>3453</v>
      </c>
      <c r="C550">
        <f>"YBSZ05"</f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2</v>
      </c>
      <c r="K550">
        <v>7.92</v>
      </c>
      <c r="L550" s="2">
        <v>4</v>
      </c>
      <c r="M550">
        <v>0</v>
      </c>
      <c r="N550" s="2">
        <v>0</v>
      </c>
      <c r="O550">
        <v>-2.4</v>
      </c>
      <c r="P550" t="s">
        <v>100</v>
      </c>
      <c r="Q550">
        <v>0</v>
      </c>
      <c r="R550" t="s">
        <v>145</v>
      </c>
      <c r="S550">
        <v>0</v>
      </c>
    </row>
    <row r="551" spans="1:19">
      <c r="A551" t="s">
        <v>29</v>
      </c>
      <c r="B551" t="s">
        <v>6272</v>
      </c>
      <c r="C551">
        <f>"CH11818"</f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2</v>
      </c>
      <c r="K551">
        <v>5.382</v>
      </c>
      <c r="L551" s="2">
        <v>3</v>
      </c>
      <c r="M551">
        <v>0</v>
      </c>
      <c r="N551" s="2">
        <v>0</v>
      </c>
      <c r="O551">
        <v>-2.4</v>
      </c>
      <c r="P551" t="s">
        <v>100</v>
      </c>
      <c r="Q551">
        <v>0</v>
      </c>
      <c r="R551" t="s">
        <v>145</v>
      </c>
      <c r="S551">
        <v>0</v>
      </c>
    </row>
    <row r="552" spans="1:19">
      <c r="A552" t="s">
        <v>29</v>
      </c>
      <c r="B552" t="s">
        <v>2599</v>
      </c>
      <c r="C552">
        <f>"D50"</f>
        <v>0</v>
      </c>
      <c r="D552">
        <v>1</v>
      </c>
      <c r="E552">
        <v>0</v>
      </c>
      <c r="F552">
        <v>0</v>
      </c>
      <c r="G552">
        <v>0</v>
      </c>
      <c r="H552">
        <v>1</v>
      </c>
      <c r="I552">
        <v>0</v>
      </c>
      <c r="J552">
        <v>2</v>
      </c>
      <c r="K552">
        <v>13.5</v>
      </c>
      <c r="L552" s="2">
        <v>7</v>
      </c>
      <c r="M552">
        <v>0</v>
      </c>
      <c r="N552" s="2">
        <v>0</v>
      </c>
      <c r="O552">
        <v>-2.4</v>
      </c>
      <c r="P552" t="s">
        <v>100</v>
      </c>
      <c r="Q552">
        <v>0</v>
      </c>
      <c r="R552" t="s">
        <v>145</v>
      </c>
      <c r="S552">
        <v>0</v>
      </c>
    </row>
    <row r="553" spans="1:19">
      <c r="A553" t="s">
        <v>29</v>
      </c>
      <c r="B553" t="s">
        <v>2611</v>
      </c>
      <c r="C553">
        <f>"CNI500"</f>
        <v>0</v>
      </c>
      <c r="D553">
        <v>0</v>
      </c>
      <c r="E553">
        <v>1</v>
      </c>
      <c r="F553">
        <v>0</v>
      </c>
      <c r="G553">
        <v>0</v>
      </c>
      <c r="H553">
        <v>1</v>
      </c>
      <c r="I553">
        <v>0</v>
      </c>
      <c r="J553">
        <v>2</v>
      </c>
      <c r="K553">
        <v>10.384</v>
      </c>
      <c r="L553" s="2">
        <v>5</v>
      </c>
      <c r="M553">
        <v>0</v>
      </c>
      <c r="N553" s="2">
        <v>0</v>
      </c>
      <c r="O553">
        <v>-2.4</v>
      </c>
      <c r="P553" t="s">
        <v>100</v>
      </c>
      <c r="Q553">
        <v>0</v>
      </c>
      <c r="R553" t="s">
        <v>145</v>
      </c>
      <c r="S553">
        <v>0</v>
      </c>
    </row>
    <row r="554" spans="1:19">
      <c r="A554" t="s">
        <v>29</v>
      </c>
      <c r="B554" t="s">
        <v>6314</v>
      </c>
      <c r="C554">
        <f>"CH44177"</f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2</v>
      </c>
      <c r="K554">
        <v>10.782</v>
      </c>
      <c r="L554" s="2">
        <v>5</v>
      </c>
      <c r="M554">
        <v>0</v>
      </c>
      <c r="N554" s="2">
        <v>0</v>
      </c>
      <c r="O554">
        <v>-2.4</v>
      </c>
      <c r="P554" t="s">
        <v>100</v>
      </c>
      <c r="Q554">
        <v>0</v>
      </c>
      <c r="R554" t="s">
        <v>145</v>
      </c>
      <c r="S554">
        <v>0</v>
      </c>
    </row>
    <row r="555" spans="1:19">
      <c r="A555" t="s">
        <v>29</v>
      </c>
      <c r="B555" t="s">
        <v>6014</v>
      </c>
      <c r="C555">
        <f>"CH9796"</f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2</v>
      </c>
      <c r="K555">
        <v>3.42</v>
      </c>
      <c r="L555" s="2">
        <v>2</v>
      </c>
      <c r="M555">
        <v>0</v>
      </c>
      <c r="N555" s="2">
        <v>0</v>
      </c>
      <c r="O555">
        <v>-2.4</v>
      </c>
      <c r="P555" t="s">
        <v>100</v>
      </c>
      <c r="Q555">
        <v>0</v>
      </c>
      <c r="R555" t="s">
        <v>145</v>
      </c>
      <c r="S555">
        <v>0</v>
      </c>
    </row>
    <row r="556" spans="1:19">
      <c r="A556" t="s">
        <v>29</v>
      </c>
      <c r="B556" t="s">
        <v>1982</v>
      </c>
      <c r="C556">
        <f>"CH10026"</f>
        <v>0</v>
      </c>
      <c r="D556">
        <v>4</v>
      </c>
      <c r="E556">
        <v>0</v>
      </c>
      <c r="F556">
        <v>0</v>
      </c>
      <c r="G556">
        <v>0</v>
      </c>
      <c r="H556">
        <v>4</v>
      </c>
      <c r="I556">
        <v>0</v>
      </c>
      <c r="J556">
        <v>2</v>
      </c>
      <c r="K556">
        <v>7.182</v>
      </c>
      <c r="L556" s="2">
        <v>4</v>
      </c>
      <c r="M556">
        <v>0</v>
      </c>
      <c r="N556" s="2">
        <v>0</v>
      </c>
      <c r="O556">
        <v>-2.4</v>
      </c>
      <c r="P556" t="s">
        <v>100</v>
      </c>
      <c r="Q556">
        <v>0</v>
      </c>
      <c r="R556" t="s">
        <v>145</v>
      </c>
      <c r="S556">
        <v>0</v>
      </c>
    </row>
    <row r="557" spans="1:19">
      <c r="A557" t="s">
        <v>29</v>
      </c>
      <c r="B557" t="s">
        <v>2412</v>
      </c>
      <c r="C557">
        <f>"HA118"</f>
        <v>0</v>
      </c>
      <c r="D557">
        <v>0</v>
      </c>
      <c r="E557">
        <v>1</v>
      </c>
      <c r="F557">
        <v>0</v>
      </c>
      <c r="G557">
        <v>0</v>
      </c>
      <c r="H557">
        <v>1</v>
      </c>
      <c r="I557">
        <v>0</v>
      </c>
      <c r="J557">
        <v>2</v>
      </c>
      <c r="K557">
        <v>1.782</v>
      </c>
      <c r="L557" s="2">
        <v>1</v>
      </c>
      <c r="M557">
        <v>0</v>
      </c>
      <c r="N557" s="2">
        <v>0</v>
      </c>
      <c r="O557">
        <v>-2.4</v>
      </c>
      <c r="P557" t="s">
        <v>100</v>
      </c>
      <c r="Q557">
        <v>0</v>
      </c>
      <c r="R557" t="s">
        <v>145</v>
      </c>
      <c r="S557">
        <v>0</v>
      </c>
    </row>
    <row r="558" spans="1:19">
      <c r="A558" t="s">
        <v>29</v>
      </c>
      <c r="B558" t="s">
        <v>8928</v>
      </c>
      <c r="C558">
        <f>"LED2060"</f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2</v>
      </c>
      <c r="K558">
        <v>49.041</v>
      </c>
      <c r="L558" s="2">
        <v>25</v>
      </c>
      <c r="M558">
        <v>0</v>
      </c>
      <c r="N558" s="2">
        <v>0</v>
      </c>
      <c r="O558">
        <v>-2.4</v>
      </c>
      <c r="P558" t="s">
        <v>100</v>
      </c>
      <c r="Q558">
        <v>0</v>
      </c>
      <c r="R558" t="s">
        <v>145</v>
      </c>
      <c r="S558">
        <v>0</v>
      </c>
    </row>
    <row r="559" spans="1:19">
      <c r="A559" t="s">
        <v>29</v>
      </c>
      <c r="B559" t="s">
        <v>9273</v>
      </c>
      <c r="C559">
        <f>"KF150"</f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2</v>
      </c>
      <c r="K559">
        <v>5.382</v>
      </c>
      <c r="L559" s="2">
        <v>3</v>
      </c>
      <c r="M559">
        <v>0</v>
      </c>
      <c r="N559" s="2">
        <v>0</v>
      </c>
      <c r="O559">
        <v>-2.4</v>
      </c>
      <c r="P559" t="s">
        <v>100</v>
      </c>
      <c r="Q559">
        <v>0</v>
      </c>
      <c r="R559" t="s">
        <v>145</v>
      </c>
      <c r="S559">
        <v>0</v>
      </c>
    </row>
    <row r="560" spans="1:19">
      <c r="A560" t="s">
        <v>29</v>
      </c>
      <c r="B560" t="s">
        <v>5082</v>
      </c>
      <c r="C560">
        <f>"WP1000"</f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2</v>
      </c>
      <c r="K560">
        <v>10.242</v>
      </c>
      <c r="L560" s="2">
        <v>5</v>
      </c>
      <c r="M560">
        <v>0</v>
      </c>
      <c r="N560" s="2">
        <v>0</v>
      </c>
      <c r="O560">
        <v>-2.4</v>
      </c>
      <c r="P560" t="s">
        <v>100</v>
      </c>
      <c r="Q560">
        <v>0</v>
      </c>
      <c r="R560" t="s">
        <v>145</v>
      </c>
      <c r="S560">
        <v>0</v>
      </c>
    </row>
    <row r="561" spans="1:19">
      <c r="A561" t="s">
        <v>29</v>
      </c>
      <c r="B561" t="s">
        <v>5068</v>
      </c>
      <c r="C561">
        <f>"60463"</f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2</v>
      </c>
      <c r="K561">
        <v>5.382</v>
      </c>
      <c r="L561" s="2">
        <v>3</v>
      </c>
      <c r="M561">
        <v>0</v>
      </c>
      <c r="N561" s="2">
        <v>0</v>
      </c>
      <c r="O561">
        <v>-2.4</v>
      </c>
      <c r="P561" t="s">
        <v>100</v>
      </c>
      <c r="Q561">
        <v>0</v>
      </c>
      <c r="R561" t="s">
        <v>145</v>
      </c>
      <c r="S561">
        <v>0</v>
      </c>
    </row>
    <row r="562" spans="1:19">
      <c r="A562" t="s">
        <v>29</v>
      </c>
      <c r="B562" t="s">
        <v>9853</v>
      </c>
      <c r="C562">
        <f>"HOJ50"</f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2</v>
      </c>
      <c r="K562">
        <v>0</v>
      </c>
      <c r="L562" s="2">
        <v>0</v>
      </c>
      <c r="M562">
        <v>0</v>
      </c>
      <c r="N562" s="2">
        <v>0</v>
      </c>
      <c r="O562">
        <v>-2.4</v>
      </c>
      <c r="P562" t="s">
        <v>100</v>
      </c>
      <c r="Q562">
        <v>0</v>
      </c>
      <c r="R562" t="s">
        <v>145</v>
      </c>
      <c r="S562">
        <v>0</v>
      </c>
    </row>
    <row r="563" spans="1:19">
      <c r="A563" t="s">
        <v>29</v>
      </c>
      <c r="B563" t="s">
        <v>339</v>
      </c>
      <c r="C563">
        <f>"20624"</f>
        <v>0</v>
      </c>
      <c r="D563">
        <v>0</v>
      </c>
      <c r="E563">
        <v>1</v>
      </c>
      <c r="F563">
        <v>0</v>
      </c>
      <c r="G563">
        <v>1</v>
      </c>
      <c r="H563">
        <v>2</v>
      </c>
      <c r="I563">
        <v>0.5</v>
      </c>
      <c r="J563">
        <v>7</v>
      </c>
      <c r="K563">
        <v>40.636</v>
      </c>
      <c r="L563" s="2">
        <v>6</v>
      </c>
      <c r="M563">
        <v>0</v>
      </c>
      <c r="N563" s="2">
        <v>0</v>
      </c>
      <c r="O563">
        <v>-2.9</v>
      </c>
      <c r="P563" t="s">
        <v>10253</v>
      </c>
      <c r="Q563">
        <v>582</v>
      </c>
      <c r="R563" t="s">
        <v>10271</v>
      </c>
      <c r="S563">
        <v>1</v>
      </c>
    </row>
    <row r="564" spans="1:19">
      <c r="A564" t="s">
        <v>29</v>
      </c>
      <c r="B564" t="s">
        <v>2064</v>
      </c>
      <c r="C564">
        <f>"RS50W"</f>
        <v>0</v>
      </c>
      <c r="D564">
        <v>1</v>
      </c>
      <c r="E564">
        <v>0</v>
      </c>
      <c r="F564">
        <v>2</v>
      </c>
      <c r="G564">
        <v>0</v>
      </c>
      <c r="H564">
        <v>3</v>
      </c>
      <c r="I564">
        <v>0.5</v>
      </c>
      <c r="J564">
        <v>3</v>
      </c>
      <c r="K564">
        <v>6.615</v>
      </c>
      <c r="L564" s="2">
        <v>2</v>
      </c>
      <c r="M564">
        <v>0</v>
      </c>
      <c r="N564" s="2">
        <v>0</v>
      </c>
      <c r="O564">
        <v>-3.1</v>
      </c>
      <c r="P564" t="s">
        <v>100</v>
      </c>
      <c r="Q564">
        <v>0</v>
      </c>
      <c r="R564" t="s">
        <v>145</v>
      </c>
      <c r="S564">
        <v>0</v>
      </c>
    </row>
    <row r="565" spans="1:19">
      <c r="A565" t="s">
        <v>29</v>
      </c>
      <c r="B565" t="s">
        <v>1864</v>
      </c>
      <c r="C565">
        <f>"01143"</f>
        <v>0</v>
      </c>
      <c r="D565">
        <v>0</v>
      </c>
      <c r="E565">
        <v>3</v>
      </c>
      <c r="F565">
        <v>4</v>
      </c>
      <c r="G565">
        <v>0</v>
      </c>
      <c r="H565">
        <v>7</v>
      </c>
      <c r="I565">
        <v>1.5</v>
      </c>
      <c r="J565">
        <v>4</v>
      </c>
      <c r="K565">
        <v>17.82</v>
      </c>
      <c r="L565" s="2">
        <v>4</v>
      </c>
      <c r="M565">
        <v>0</v>
      </c>
      <c r="N565" s="2">
        <v>0</v>
      </c>
      <c r="O565">
        <v>-3.3</v>
      </c>
      <c r="P565" t="s">
        <v>100</v>
      </c>
      <c r="Q565">
        <v>0</v>
      </c>
      <c r="R565" t="s">
        <v>145</v>
      </c>
      <c r="S565">
        <v>0</v>
      </c>
    </row>
    <row r="566" spans="1:19">
      <c r="A566" t="s">
        <v>29</v>
      </c>
      <c r="B566" t="s">
        <v>2374</v>
      </c>
      <c r="C566">
        <f>"BCM"</f>
        <v>0</v>
      </c>
      <c r="D566">
        <v>1</v>
      </c>
      <c r="E566">
        <v>0</v>
      </c>
      <c r="F566">
        <v>0</v>
      </c>
      <c r="G566">
        <v>0</v>
      </c>
      <c r="H566">
        <v>1</v>
      </c>
      <c r="I566">
        <v>0</v>
      </c>
      <c r="J566">
        <v>3</v>
      </c>
      <c r="K566">
        <v>2.403</v>
      </c>
      <c r="L566" s="2">
        <v>1</v>
      </c>
      <c r="M566">
        <v>0</v>
      </c>
      <c r="N566" s="2">
        <v>0</v>
      </c>
      <c r="O566">
        <v>-3.6</v>
      </c>
      <c r="P566" t="s">
        <v>100</v>
      </c>
      <c r="Q566">
        <v>0</v>
      </c>
      <c r="R566" t="s">
        <v>145</v>
      </c>
      <c r="S566">
        <v>0</v>
      </c>
    </row>
    <row r="567" spans="1:19">
      <c r="A567" t="s">
        <v>29</v>
      </c>
      <c r="B567" t="s">
        <v>2615</v>
      </c>
      <c r="C567">
        <f>"34011"</f>
        <v>0</v>
      </c>
      <c r="D567">
        <v>1</v>
      </c>
      <c r="E567">
        <v>0</v>
      </c>
      <c r="F567">
        <v>0</v>
      </c>
      <c r="G567">
        <v>0</v>
      </c>
      <c r="H567">
        <v>1</v>
      </c>
      <c r="I567">
        <v>0</v>
      </c>
      <c r="J567">
        <v>3</v>
      </c>
      <c r="K567">
        <v>5.013</v>
      </c>
      <c r="L567" s="2">
        <v>2</v>
      </c>
      <c r="M567">
        <v>0</v>
      </c>
      <c r="N567" s="2">
        <v>0</v>
      </c>
      <c r="O567">
        <v>-3.6</v>
      </c>
      <c r="P567" t="s">
        <v>100</v>
      </c>
      <c r="Q567">
        <v>0</v>
      </c>
      <c r="R567" t="s">
        <v>145</v>
      </c>
      <c r="S567">
        <v>0</v>
      </c>
    </row>
    <row r="568" spans="1:19">
      <c r="A568" t="s">
        <v>29</v>
      </c>
      <c r="B568" t="s">
        <v>2734</v>
      </c>
      <c r="C568">
        <f>"RS05B"</f>
        <v>0</v>
      </c>
      <c r="D568">
        <v>1</v>
      </c>
      <c r="E568">
        <v>0</v>
      </c>
      <c r="F568">
        <v>0</v>
      </c>
      <c r="G568">
        <v>0</v>
      </c>
      <c r="H568">
        <v>1</v>
      </c>
      <c r="I568">
        <v>0</v>
      </c>
      <c r="J568">
        <v>3</v>
      </c>
      <c r="K568">
        <v>5.373</v>
      </c>
      <c r="L568" s="2">
        <v>2</v>
      </c>
      <c r="M568">
        <v>0</v>
      </c>
      <c r="N568" s="2">
        <v>0</v>
      </c>
      <c r="O568">
        <v>-3.6</v>
      </c>
      <c r="P568" t="s">
        <v>100</v>
      </c>
      <c r="Q568">
        <v>0</v>
      </c>
      <c r="R568" t="s">
        <v>145</v>
      </c>
      <c r="S568">
        <v>0</v>
      </c>
    </row>
    <row r="569" spans="1:19">
      <c r="A569" t="s">
        <v>29</v>
      </c>
      <c r="B569" t="s">
        <v>6949</v>
      </c>
      <c r="C569">
        <f>"DALLIO100"</f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3</v>
      </c>
      <c r="K569">
        <v>7.425</v>
      </c>
      <c r="L569" s="2">
        <v>2</v>
      </c>
      <c r="M569">
        <v>0</v>
      </c>
      <c r="N569" s="2">
        <v>0</v>
      </c>
      <c r="O569">
        <v>-3.6</v>
      </c>
      <c r="P569" t="s">
        <v>100</v>
      </c>
      <c r="Q569">
        <v>0</v>
      </c>
      <c r="R569" t="s">
        <v>145</v>
      </c>
      <c r="S569">
        <v>0</v>
      </c>
    </row>
    <row r="570" spans="1:19">
      <c r="A570" t="s">
        <v>29</v>
      </c>
      <c r="B570" t="s">
        <v>7294</v>
      </c>
      <c r="C570">
        <f>"RS25W"</f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3</v>
      </c>
      <c r="K570">
        <v>6.075</v>
      </c>
      <c r="L570" s="2">
        <v>2</v>
      </c>
      <c r="M570">
        <v>0</v>
      </c>
      <c r="N570" s="2">
        <v>0</v>
      </c>
      <c r="O570">
        <v>-3.6</v>
      </c>
      <c r="P570" t="s">
        <v>100</v>
      </c>
      <c r="Q570">
        <v>0</v>
      </c>
      <c r="R570" t="s">
        <v>145</v>
      </c>
      <c r="S570">
        <v>0</v>
      </c>
    </row>
    <row r="571" spans="1:19">
      <c r="A571" t="s">
        <v>29</v>
      </c>
      <c r="B571" t="s">
        <v>6972</v>
      </c>
      <c r="C571">
        <f>"A016TR"</f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3</v>
      </c>
      <c r="K571">
        <v>4.185</v>
      </c>
      <c r="L571" s="2">
        <v>1</v>
      </c>
      <c r="M571">
        <v>0</v>
      </c>
      <c r="N571" s="2">
        <v>0</v>
      </c>
      <c r="O571">
        <v>-3.6</v>
      </c>
      <c r="P571" t="s">
        <v>100</v>
      </c>
      <c r="Q571">
        <v>0</v>
      </c>
      <c r="R571" t="s">
        <v>145</v>
      </c>
      <c r="S571">
        <v>0</v>
      </c>
    </row>
    <row r="572" spans="1:19">
      <c r="A572" t="s">
        <v>29</v>
      </c>
      <c r="B572" t="s">
        <v>6012</v>
      </c>
      <c r="C572">
        <f>"CH22009"</f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3</v>
      </c>
      <c r="K572">
        <v>13.473</v>
      </c>
      <c r="L572" s="2">
        <v>4</v>
      </c>
      <c r="M572">
        <v>0</v>
      </c>
      <c r="N572" s="2">
        <v>0</v>
      </c>
      <c r="O572">
        <v>-3.6</v>
      </c>
      <c r="P572" t="s">
        <v>100</v>
      </c>
      <c r="Q572">
        <v>0</v>
      </c>
      <c r="R572" t="s">
        <v>145</v>
      </c>
      <c r="S572">
        <v>0</v>
      </c>
    </row>
    <row r="573" spans="1:19">
      <c r="A573" t="s">
        <v>29</v>
      </c>
      <c r="B573" t="s">
        <v>6002</v>
      </c>
      <c r="C573">
        <f>"U780L"</f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3</v>
      </c>
      <c r="K573">
        <v>11.345</v>
      </c>
      <c r="L573" s="2">
        <v>4</v>
      </c>
      <c r="M573">
        <v>0</v>
      </c>
      <c r="N573" s="2">
        <v>0</v>
      </c>
      <c r="O573">
        <v>-3.6</v>
      </c>
      <c r="P573" t="s">
        <v>100</v>
      </c>
      <c r="Q573">
        <v>0</v>
      </c>
      <c r="R573" t="s">
        <v>145</v>
      </c>
      <c r="S573">
        <v>0</v>
      </c>
    </row>
    <row r="574" spans="1:19">
      <c r="A574" t="s">
        <v>29</v>
      </c>
      <c r="B574" t="s">
        <v>6274</v>
      </c>
      <c r="C574">
        <f>"CH55502A"</f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3</v>
      </c>
      <c r="K574">
        <v>12.501</v>
      </c>
      <c r="L574" s="2">
        <v>4</v>
      </c>
      <c r="M574">
        <v>0</v>
      </c>
      <c r="N574" s="2">
        <v>0</v>
      </c>
      <c r="O574">
        <v>-3.6</v>
      </c>
      <c r="P574" t="s">
        <v>100</v>
      </c>
      <c r="Q574">
        <v>0</v>
      </c>
      <c r="R574" t="s">
        <v>145</v>
      </c>
      <c r="S574">
        <v>0</v>
      </c>
    </row>
    <row r="575" spans="1:19">
      <c r="A575" t="s">
        <v>29</v>
      </c>
      <c r="B575" t="s">
        <v>5816</v>
      </c>
      <c r="C575">
        <f>"00365"</f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3</v>
      </c>
      <c r="K575">
        <v>12.681</v>
      </c>
      <c r="L575" s="2">
        <v>4</v>
      </c>
      <c r="M575">
        <v>0</v>
      </c>
      <c r="N575" s="2">
        <v>0</v>
      </c>
      <c r="O575">
        <v>-3.6</v>
      </c>
      <c r="P575" t="s">
        <v>100</v>
      </c>
      <c r="Q575">
        <v>0</v>
      </c>
      <c r="R575" t="s">
        <v>145</v>
      </c>
      <c r="S575">
        <v>0</v>
      </c>
    </row>
    <row r="576" spans="1:19">
      <c r="A576" t="s">
        <v>29</v>
      </c>
      <c r="B576" t="s">
        <v>2478</v>
      </c>
      <c r="C576">
        <f>"34064"</f>
        <v>0</v>
      </c>
      <c r="D576">
        <v>0</v>
      </c>
      <c r="E576">
        <v>1</v>
      </c>
      <c r="F576">
        <v>0</v>
      </c>
      <c r="G576">
        <v>0</v>
      </c>
      <c r="H576">
        <v>1</v>
      </c>
      <c r="I576">
        <v>0</v>
      </c>
      <c r="J576">
        <v>3</v>
      </c>
      <c r="K576">
        <v>13.23</v>
      </c>
      <c r="L576" s="2">
        <v>4</v>
      </c>
      <c r="M576">
        <v>0</v>
      </c>
      <c r="N576" s="2">
        <v>0</v>
      </c>
      <c r="O576">
        <v>-3.6</v>
      </c>
      <c r="P576" t="s">
        <v>100</v>
      </c>
      <c r="Q576">
        <v>0</v>
      </c>
      <c r="R576" t="s">
        <v>145</v>
      </c>
      <c r="S576">
        <v>0</v>
      </c>
    </row>
    <row r="577" spans="1:19">
      <c r="A577" t="s">
        <v>29</v>
      </c>
      <c r="B577" t="s">
        <v>10120</v>
      </c>
      <c r="C577">
        <f>"CDP611"</f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3</v>
      </c>
      <c r="K577">
        <v>13.23</v>
      </c>
      <c r="L577" s="2">
        <v>4</v>
      </c>
      <c r="M577">
        <v>0</v>
      </c>
      <c r="N577" s="2">
        <v>0</v>
      </c>
      <c r="O577">
        <v>-3.6</v>
      </c>
      <c r="P577" t="s">
        <v>100</v>
      </c>
      <c r="Q577">
        <v>0</v>
      </c>
      <c r="R577" t="s">
        <v>145</v>
      </c>
      <c r="S577">
        <v>0</v>
      </c>
    </row>
    <row r="578" spans="1:19">
      <c r="A578" t="s">
        <v>29</v>
      </c>
      <c r="B578" t="s">
        <v>10196</v>
      </c>
      <c r="C578">
        <f>"77074"</f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3</v>
      </c>
      <c r="K578">
        <v>6.345</v>
      </c>
      <c r="L578" s="2">
        <v>2</v>
      </c>
      <c r="M578">
        <v>0</v>
      </c>
      <c r="N578" s="2">
        <v>0</v>
      </c>
      <c r="O578">
        <v>-3.6</v>
      </c>
      <c r="P578" t="s">
        <v>100</v>
      </c>
      <c r="Q578">
        <v>0</v>
      </c>
      <c r="R578" t="s">
        <v>145</v>
      </c>
      <c r="S578">
        <v>0</v>
      </c>
    </row>
    <row r="579" spans="1:19">
      <c r="A579" t="s">
        <v>29</v>
      </c>
      <c r="B579" t="s">
        <v>8892</v>
      </c>
      <c r="C579">
        <f>"AS017M"</f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3</v>
      </c>
      <c r="K579">
        <v>26.73</v>
      </c>
      <c r="L579" s="2">
        <v>9</v>
      </c>
      <c r="M579">
        <v>0</v>
      </c>
      <c r="N579" s="2">
        <v>0</v>
      </c>
      <c r="O579">
        <v>-3.6</v>
      </c>
      <c r="P579" t="s">
        <v>100</v>
      </c>
      <c r="Q579">
        <v>0</v>
      </c>
      <c r="R579" t="s">
        <v>145</v>
      </c>
      <c r="S579">
        <v>0</v>
      </c>
    </row>
    <row r="580" spans="1:19">
      <c r="A580" t="s">
        <v>29</v>
      </c>
      <c r="B580" t="s">
        <v>9261</v>
      </c>
      <c r="C580">
        <f>"CF700"</f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3</v>
      </c>
      <c r="K580">
        <v>26.73</v>
      </c>
      <c r="L580" s="2">
        <v>9</v>
      </c>
      <c r="M580">
        <v>0</v>
      </c>
      <c r="N580" s="2">
        <v>0</v>
      </c>
      <c r="O580">
        <v>-3.6</v>
      </c>
      <c r="P580" t="s">
        <v>100</v>
      </c>
      <c r="Q580">
        <v>0</v>
      </c>
      <c r="R580" t="s">
        <v>145</v>
      </c>
      <c r="S580">
        <v>0</v>
      </c>
    </row>
    <row r="581" spans="1:19">
      <c r="A581" t="s">
        <v>29</v>
      </c>
      <c r="B581" t="s">
        <v>9266</v>
      </c>
      <c r="C581">
        <f>"F2000"</f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3</v>
      </c>
      <c r="K581">
        <v>31.23</v>
      </c>
      <c r="L581" s="2">
        <v>10</v>
      </c>
      <c r="M581">
        <v>0</v>
      </c>
      <c r="N581" s="2">
        <v>0</v>
      </c>
      <c r="O581">
        <v>-3.6</v>
      </c>
      <c r="P581" t="s">
        <v>100</v>
      </c>
      <c r="Q581">
        <v>0</v>
      </c>
      <c r="R581" t="s">
        <v>145</v>
      </c>
      <c r="S581">
        <v>0</v>
      </c>
    </row>
    <row r="582" spans="1:19">
      <c r="A582" t="s">
        <v>29</v>
      </c>
      <c r="B582" t="s">
        <v>8893</v>
      </c>
      <c r="C582">
        <f>"AS017L"</f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3</v>
      </c>
      <c r="K582">
        <v>31.482</v>
      </c>
      <c r="L582" s="2">
        <v>10</v>
      </c>
      <c r="M582">
        <v>0</v>
      </c>
      <c r="N582" s="2">
        <v>0</v>
      </c>
      <c r="O582">
        <v>-3.6</v>
      </c>
      <c r="P582" t="s">
        <v>100</v>
      </c>
      <c r="Q582">
        <v>0</v>
      </c>
      <c r="R582" t="s">
        <v>145</v>
      </c>
      <c r="S582">
        <v>0</v>
      </c>
    </row>
    <row r="583" spans="1:19">
      <c r="A583" t="s">
        <v>29</v>
      </c>
      <c r="B583" t="s">
        <v>5642</v>
      </c>
      <c r="C583">
        <f>"U718"</f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3</v>
      </c>
      <c r="K583">
        <v>22.815</v>
      </c>
      <c r="L583" s="2">
        <v>8</v>
      </c>
      <c r="M583">
        <v>0</v>
      </c>
      <c r="N583" s="2">
        <v>0</v>
      </c>
      <c r="O583">
        <v>-3.6</v>
      </c>
      <c r="P583" t="s">
        <v>100</v>
      </c>
      <c r="Q583">
        <v>0</v>
      </c>
      <c r="R583" t="s">
        <v>145</v>
      </c>
      <c r="S583">
        <v>0</v>
      </c>
    </row>
    <row r="584" spans="1:19">
      <c r="A584" t="s">
        <v>29</v>
      </c>
      <c r="B584" t="s">
        <v>5492</v>
      </c>
      <c r="C584">
        <f>"RED6"</f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3</v>
      </c>
      <c r="K584">
        <v>1.593</v>
      </c>
      <c r="L584" s="2">
        <v>1</v>
      </c>
      <c r="M584">
        <v>0</v>
      </c>
      <c r="N584" s="2">
        <v>0</v>
      </c>
      <c r="O584">
        <v>-3.6</v>
      </c>
      <c r="P584" t="s">
        <v>100</v>
      </c>
      <c r="Q584">
        <v>0</v>
      </c>
      <c r="R584" t="s">
        <v>145</v>
      </c>
      <c r="S584">
        <v>0</v>
      </c>
    </row>
    <row r="585" spans="1:19">
      <c r="A585" t="s">
        <v>29</v>
      </c>
      <c r="B585" t="s">
        <v>9905</v>
      </c>
      <c r="C585">
        <f>"34394"</f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3</v>
      </c>
      <c r="K585">
        <v>9.720000000000001</v>
      </c>
      <c r="L585" s="2">
        <v>3</v>
      </c>
      <c r="M585">
        <v>0</v>
      </c>
      <c r="N585" s="2">
        <v>0</v>
      </c>
      <c r="O585">
        <v>-3.6</v>
      </c>
      <c r="P585" t="s">
        <v>100</v>
      </c>
      <c r="Q585">
        <v>0</v>
      </c>
      <c r="R585" t="s">
        <v>145</v>
      </c>
      <c r="S585">
        <v>0</v>
      </c>
    </row>
    <row r="586" spans="1:19">
      <c r="A586" t="s">
        <v>29</v>
      </c>
      <c r="B586" t="s">
        <v>3990</v>
      </c>
      <c r="C586">
        <f>"P200"</f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3</v>
      </c>
      <c r="K586">
        <v>5.13</v>
      </c>
      <c r="L586" s="2">
        <v>2</v>
      </c>
      <c r="M586">
        <v>0</v>
      </c>
      <c r="N586" s="2">
        <v>0</v>
      </c>
      <c r="O586">
        <v>-3.6</v>
      </c>
      <c r="P586" t="s">
        <v>100</v>
      </c>
      <c r="Q586">
        <v>0</v>
      </c>
      <c r="R586" t="s">
        <v>145</v>
      </c>
      <c r="S586">
        <v>0</v>
      </c>
    </row>
    <row r="587" spans="1:19">
      <c r="A587" t="s">
        <v>29</v>
      </c>
      <c r="B587" t="s">
        <v>2027</v>
      </c>
      <c r="C587">
        <f>"AF015"</f>
        <v>0</v>
      </c>
      <c r="D587">
        <v>1</v>
      </c>
      <c r="E587">
        <v>1</v>
      </c>
      <c r="F587">
        <v>2</v>
      </c>
      <c r="G587">
        <v>0</v>
      </c>
      <c r="H587">
        <v>4</v>
      </c>
      <c r="I587">
        <v>1</v>
      </c>
      <c r="J587">
        <v>4</v>
      </c>
      <c r="K587">
        <v>42.84</v>
      </c>
      <c r="L587" s="2">
        <v>11</v>
      </c>
      <c r="M587">
        <v>0</v>
      </c>
      <c r="N587" s="2">
        <v>0</v>
      </c>
      <c r="O587">
        <v>-3.8</v>
      </c>
      <c r="P587" t="s">
        <v>100</v>
      </c>
      <c r="Q587">
        <v>0</v>
      </c>
      <c r="R587" t="s">
        <v>145</v>
      </c>
      <c r="S587">
        <v>0</v>
      </c>
    </row>
    <row r="588" spans="1:19">
      <c r="A588" t="s">
        <v>29</v>
      </c>
      <c r="B588" t="s">
        <v>1986</v>
      </c>
      <c r="C588">
        <f>"77175"</f>
        <v>0</v>
      </c>
      <c r="D588">
        <v>1</v>
      </c>
      <c r="E588">
        <v>2</v>
      </c>
      <c r="F588">
        <v>1</v>
      </c>
      <c r="G588">
        <v>0</v>
      </c>
      <c r="H588">
        <v>4</v>
      </c>
      <c r="I588">
        <v>1</v>
      </c>
      <c r="J588">
        <v>4</v>
      </c>
      <c r="K588">
        <v>19.8</v>
      </c>
      <c r="L588" s="2">
        <v>5</v>
      </c>
      <c r="M588">
        <v>0</v>
      </c>
      <c r="N588" s="2">
        <v>0</v>
      </c>
      <c r="O588">
        <v>-3.8</v>
      </c>
      <c r="P588" t="s">
        <v>100</v>
      </c>
      <c r="Q588">
        <v>0</v>
      </c>
      <c r="R588" t="s">
        <v>145</v>
      </c>
      <c r="S588">
        <v>0</v>
      </c>
    </row>
    <row r="589" spans="1:19">
      <c r="A589" t="s">
        <v>29</v>
      </c>
      <c r="B589" t="s">
        <v>1992</v>
      </c>
      <c r="C589">
        <f>"MC110"</f>
        <v>0</v>
      </c>
      <c r="D589">
        <v>3</v>
      </c>
      <c r="E589">
        <v>1</v>
      </c>
      <c r="F589">
        <v>0</v>
      </c>
      <c r="G589">
        <v>0</v>
      </c>
      <c r="H589">
        <v>4</v>
      </c>
      <c r="I589">
        <v>0.5</v>
      </c>
      <c r="J589">
        <v>4</v>
      </c>
      <c r="K589">
        <v>5.364</v>
      </c>
      <c r="L589" s="2">
        <v>1</v>
      </c>
      <c r="M589">
        <v>0</v>
      </c>
      <c r="N589" s="2">
        <v>0</v>
      </c>
      <c r="O589">
        <v>-4.3</v>
      </c>
      <c r="P589" t="s">
        <v>100</v>
      </c>
      <c r="Q589">
        <v>0</v>
      </c>
      <c r="R589" t="s">
        <v>145</v>
      </c>
      <c r="S589">
        <v>0</v>
      </c>
    </row>
    <row r="590" spans="1:19">
      <c r="A590" t="s">
        <v>29</v>
      </c>
      <c r="B590" t="s">
        <v>2098</v>
      </c>
      <c r="C590">
        <f>"P504"</f>
        <v>0</v>
      </c>
      <c r="D590">
        <v>1</v>
      </c>
      <c r="E590">
        <v>2</v>
      </c>
      <c r="F590">
        <v>0</v>
      </c>
      <c r="G590">
        <v>0</v>
      </c>
      <c r="H590">
        <v>3</v>
      </c>
      <c r="I590">
        <v>0.5</v>
      </c>
      <c r="J590">
        <v>4</v>
      </c>
      <c r="K590">
        <v>1.62</v>
      </c>
      <c r="L590" s="2">
        <v>0</v>
      </c>
      <c r="M590">
        <v>0</v>
      </c>
      <c r="N590" s="2">
        <v>0</v>
      </c>
      <c r="O590">
        <v>-4.3</v>
      </c>
      <c r="P590" t="s">
        <v>100</v>
      </c>
      <c r="Q590">
        <v>0</v>
      </c>
      <c r="R590" t="s">
        <v>145</v>
      </c>
      <c r="S590">
        <v>0</v>
      </c>
    </row>
    <row r="591" spans="1:19">
      <c r="A591" t="s">
        <v>29</v>
      </c>
      <c r="B591" t="s">
        <v>3197</v>
      </c>
      <c r="C591">
        <f>"YBSZ08"</f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4</v>
      </c>
      <c r="K591">
        <v>21.06</v>
      </c>
      <c r="L591" s="2">
        <v>5</v>
      </c>
      <c r="M591">
        <v>0</v>
      </c>
      <c r="N591" s="2">
        <v>0</v>
      </c>
      <c r="O591">
        <v>-4.8</v>
      </c>
      <c r="P591" t="s">
        <v>100</v>
      </c>
      <c r="Q591">
        <v>0</v>
      </c>
      <c r="R591" t="s">
        <v>145</v>
      </c>
      <c r="S591">
        <v>0</v>
      </c>
    </row>
    <row r="592" spans="1:19">
      <c r="A592" t="s">
        <v>29</v>
      </c>
      <c r="B592" t="s">
        <v>4318</v>
      </c>
      <c r="C592">
        <f>"PMN25"</f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4</v>
      </c>
      <c r="K592">
        <v>6.48</v>
      </c>
      <c r="L592" s="2">
        <v>2</v>
      </c>
      <c r="M592">
        <v>0</v>
      </c>
      <c r="N592" s="2">
        <v>0</v>
      </c>
      <c r="O592">
        <v>-4.8</v>
      </c>
      <c r="P592" t="s">
        <v>100</v>
      </c>
      <c r="Q592">
        <v>0</v>
      </c>
      <c r="R592" t="s">
        <v>145</v>
      </c>
      <c r="S592">
        <v>0</v>
      </c>
    </row>
    <row r="593" spans="1:19">
      <c r="A593" t="s">
        <v>29</v>
      </c>
      <c r="B593" t="s">
        <v>4607</v>
      </c>
      <c r="C593">
        <f>"01133"</f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4</v>
      </c>
      <c r="K593">
        <v>14.04</v>
      </c>
      <c r="L593" s="2">
        <v>4</v>
      </c>
      <c r="M593">
        <v>0</v>
      </c>
      <c r="N593" s="2">
        <v>0</v>
      </c>
      <c r="O593">
        <v>-4.8</v>
      </c>
      <c r="P593" t="s">
        <v>100</v>
      </c>
      <c r="Q593">
        <v>0</v>
      </c>
      <c r="R593" t="s">
        <v>145</v>
      </c>
      <c r="S593">
        <v>0</v>
      </c>
    </row>
    <row r="594" spans="1:19">
      <c r="A594" t="s">
        <v>29</v>
      </c>
      <c r="B594" t="s">
        <v>4540</v>
      </c>
      <c r="C594">
        <f>"180CVE"</f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4</v>
      </c>
      <c r="K594">
        <v>2.664</v>
      </c>
      <c r="L594" s="2">
        <v>1</v>
      </c>
      <c r="M594">
        <v>0</v>
      </c>
      <c r="N594" s="2">
        <v>0</v>
      </c>
      <c r="O594">
        <v>-4.8</v>
      </c>
      <c r="P594" t="s">
        <v>100</v>
      </c>
      <c r="Q594">
        <v>0</v>
      </c>
      <c r="R594" t="s">
        <v>145</v>
      </c>
      <c r="S594">
        <v>0</v>
      </c>
    </row>
    <row r="595" spans="1:19">
      <c r="A595" t="s">
        <v>29</v>
      </c>
      <c r="B595" t="s">
        <v>4807</v>
      </c>
      <c r="C595">
        <f>"C480BL"</f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4</v>
      </c>
      <c r="K595">
        <v>174.6</v>
      </c>
      <c r="L595" s="2">
        <v>44</v>
      </c>
      <c r="M595">
        <v>0</v>
      </c>
      <c r="N595" s="2">
        <v>0</v>
      </c>
      <c r="O595">
        <v>-4.8</v>
      </c>
      <c r="P595" t="s">
        <v>100</v>
      </c>
      <c r="Q595">
        <v>0</v>
      </c>
      <c r="R595" t="s">
        <v>145</v>
      </c>
      <c r="S595">
        <v>0</v>
      </c>
    </row>
    <row r="596" spans="1:19">
      <c r="A596" t="s">
        <v>29</v>
      </c>
      <c r="B596" t="s">
        <v>2063</v>
      </c>
      <c r="C596">
        <f>"34334"</f>
        <v>0</v>
      </c>
      <c r="D596">
        <v>0</v>
      </c>
      <c r="E596">
        <v>3</v>
      </c>
      <c r="F596">
        <v>0</v>
      </c>
      <c r="G596">
        <v>0</v>
      </c>
      <c r="H596">
        <v>3</v>
      </c>
      <c r="I596">
        <v>0</v>
      </c>
      <c r="J596">
        <v>4</v>
      </c>
      <c r="K596">
        <v>12.95</v>
      </c>
      <c r="L596" s="2">
        <v>3</v>
      </c>
      <c r="M596">
        <v>0</v>
      </c>
      <c r="N596" s="2">
        <v>0</v>
      </c>
      <c r="O596">
        <v>-4.8</v>
      </c>
      <c r="P596" t="s">
        <v>100</v>
      </c>
      <c r="Q596">
        <v>0</v>
      </c>
      <c r="R596" t="s">
        <v>145</v>
      </c>
      <c r="S596">
        <v>0</v>
      </c>
    </row>
    <row r="597" spans="1:19">
      <c r="A597" t="s">
        <v>29</v>
      </c>
      <c r="B597" t="s">
        <v>6323</v>
      </c>
      <c r="C597">
        <f>"CH4602L"</f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4</v>
      </c>
      <c r="K597">
        <v>22.536</v>
      </c>
      <c r="L597" s="2">
        <v>6</v>
      </c>
      <c r="M597">
        <v>0</v>
      </c>
      <c r="N597" s="2">
        <v>0</v>
      </c>
      <c r="O597">
        <v>-4.8</v>
      </c>
      <c r="P597" t="s">
        <v>100</v>
      </c>
      <c r="Q597">
        <v>0</v>
      </c>
      <c r="R597" t="s">
        <v>145</v>
      </c>
      <c r="S597">
        <v>0</v>
      </c>
    </row>
    <row r="598" spans="1:19">
      <c r="A598" t="s">
        <v>29</v>
      </c>
      <c r="B598" t="s">
        <v>4788</v>
      </c>
      <c r="C598">
        <f>"NS102"</f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4</v>
      </c>
      <c r="K598">
        <v>5.724</v>
      </c>
      <c r="L598" s="2">
        <v>1</v>
      </c>
      <c r="M598">
        <v>0</v>
      </c>
      <c r="N598" s="2">
        <v>0</v>
      </c>
      <c r="O598">
        <v>-4.8</v>
      </c>
      <c r="P598" t="s">
        <v>100</v>
      </c>
      <c r="Q598">
        <v>0</v>
      </c>
      <c r="R598" t="s">
        <v>145</v>
      </c>
      <c r="S598">
        <v>0</v>
      </c>
    </row>
    <row r="599" spans="1:19">
      <c r="A599" t="s">
        <v>29</v>
      </c>
      <c r="B599" t="s">
        <v>5957</v>
      </c>
      <c r="C599">
        <f>"DR0817SSS"</f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4</v>
      </c>
      <c r="K599">
        <v>60.84</v>
      </c>
      <c r="L599" s="2">
        <v>15</v>
      </c>
      <c r="M599">
        <v>0</v>
      </c>
      <c r="N599" s="2">
        <v>0</v>
      </c>
      <c r="O599">
        <v>-4.8</v>
      </c>
      <c r="P599" t="s">
        <v>100</v>
      </c>
      <c r="Q599">
        <v>0</v>
      </c>
      <c r="R599" t="s">
        <v>145</v>
      </c>
      <c r="S599">
        <v>0</v>
      </c>
    </row>
    <row r="600" spans="1:19">
      <c r="A600" t="s">
        <v>29</v>
      </c>
      <c r="B600" t="s">
        <v>6162</v>
      </c>
      <c r="C600">
        <f>"CNI300"</f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4</v>
      </c>
      <c r="K600">
        <v>18.72</v>
      </c>
      <c r="L600" s="2">
        <v>5</v>
      </c>
      <c r="M600">
        <v>0</v>
      </c>
      <c r="N600" s="2">
        <v>0</v>
      </c>
      <c r="O600">
        <v>-4.8</v>
      </c>
      <c r="P600" t="s">
        <v>100</v>
      </c>
      <c r="Q600">
        <v>0</v>
      </c>
      <c r="R600" t="s">
        <v>145</v>
      </c>
      <c r="S600">
        <v>0</v>
      </c>
    </row>
    <row r="601" spans="1:19">
      <c r="A601" t="s">
        <v>29</v>
      </c>
      <c r="B601" t="s">
        <v>6928</v>
      </c>
      <c r="C601">
        <f>"BSDRS"</f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4</v>
      </c>
      <c r="K601">
        <v>3.42</v>
      </c>
      <c r="L601" s="2">
        <v>1</v>
      </c>
      <c r="M601">
        <v>0</v>
      </c>
      <c r="N601" s="2">
        <v>0</v>
      </c>
      <c r="O601">
        <v>-4.8</v>
      </c>
      <c r="P601" t="s">
        <v>100</v>
      </c>
      <c r="Q601">
        <v>0</v>
      </c>
      <c r="R601" t="s">
        <v>145</v>
      </c>
      <c r="S601">
        <v>0</v>
      </c>
    </row>
    <row r="602" spans="1:19">
      <c r="A602" t="s">
        <v>29</v>
      </c>
      <c r="B602" t="s">
        <v>9554</v>
      </c>
      <c r="C602">
        <f>"BB11"</f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4</v>
      </c>
      <c r="K602">
        <v>17.964</v>
      </c>
      <c r="L602" s="2">
        <v>4</v>
      </c>
      <c r="M602">
        <v>0</v>
      </c>
      <c r="N602" s="2">
        <v>0</v>
      </c>
      <c r="O602">
        <v>-4.8</v>
      </c>
      <c r="P602" t="s">
        <v>100</v>
      </c>
      <c r="Q602">
        <v>0</v>
      </c>
      <c r="R602" t="s">
        <v>145</v>
      </c>
      <c r="S602">
        <v>0</v>
      </c>
    </row>
    <row r="603" spans="1:19">
      <c r="A603" t="s">
        <v>29</v>
      </c>
      <c r="B603" t="s">
        <v>9756</v>
      </c>
      <c r="C603">
        <f>"PMH100"</f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4</v>
      </c>
      <c r="K603">
        <v>17.28</v>
      </c>
      <c r="L603" s="2">
        <v>4</v>
      </c>
      <c r="M603">
        <v>0</v>
      </c>
      <c r="N603" s="2">
        <v>0</v>
      </c>
      <c r="O603">
        <v>-4.8</v>
      </c>
      <c r="P603" t="s">
        <v>100</v>
      </c>
      <c r="Q603">
        <v>0</v>
      </c>
      <c r="R603" t="s">
        <v>145</v>
      </c>
      <c r="S603">
        <v>0</v>
      </c>
    </row>
    <row r="604" spans="1:19">
      <c r="A604" t="s">
        <v>29</v>
      </c>
      <c r="B604" t="s">
        <v>5072</v>
      </c>
      <c r="C604">
        <f>"WP3000"</f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4</v>
      </c>
      <c r="K604">
        <v>0</v>
      </c>
      <c r="L604" s="2">
        <v>0</v>
      </c>
      <c r="M604">
        <v>0</v>
      </c>
      <c r="N604" s="2">
        <v>0</v>
      </c>
      <c r="O604">
        <v>-4.8</v>
      </c>
      <c r="P604" t="s">
        <v>100</v>
      </c>
      <c r="Q604">
        <v>0</v>
      </c>
      <c r="R604" t="s">
        <v>145</v>
      </c>
      <c r="S604">
        <v>0</v>
      </c>
    </row>
    <row r="605" spans="1:19">
      <c r="A605" t="s">
        <v>29</v>
      </c>
      <c r="B605" t="s">
        <v>10202</v>
      </c>
      <c r="C605">
        <f>"70371"</f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4</v>
      </c>
      <c r="K605">
        <v>3.564</v>
      </c>
      <c r="L605" s="2">
        <v>1</v>
      </c>
      <c r="M605">
        <v>0</v>
      </c>
      <c r="N605" s="2">
        <v>0</v>
      </c>
      <c r="O605">
        <v>-4.8</v>
      </c>
      <c r="P605" t="s">
        <v>100</v>
      </c>
      <c r="Q605">
        <v>0</v>
      </c>
      <c r="R605" t="s">
        <v>145</v>
      </c>
      <c r="S605">
        <v>0</v>
      </c>
    </row>
    <row r="606" spans="1:19">
      <c r="A606" t="s">
        <v>29</v>
      </c>
      <c r="B606" t="s">
        <v>7811</v>
      </c>
      <c r="C606">
        <f>"60854"</f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4</v>
      </c>
      <c r="K606">
        <v>11.7</v>
      </c>
      <c r="L606" s="2">
        <v>3</v>
      </c>
      <c r="M606">
        <v>0</v>
      </c>
      <c r="N606" s="2">
        <v>0</v>
      </c>
      <c r="O606">
        <v>-4.8</v>
      </c>
      <c r="P606" t="s">
        <v>100</v>
      </c>
      <c r="Q606">
        <v>0</v>
      </c>
      <c r="R606" t="s">
        <v>145</v>
      </c>
      <c r="S606">
        <v>0</v>
      </c>
    </row>
    <row r="607" spans="1:19">
      <c r="A607" t="s">
        <v>29</v>
      </c>
      <c r="B607" t="s">
        <v>6396</v>
      </c>
      <c r="C607">
        <f>"CH6768"</f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4</v>
      </c>
      <c r="K607">
        <v>6.84</v>
      </c>
      <c r="L607" s="2">
        <v>2</v>
      </c>
      <c r="M607">
        <v>0</v>
      </c>
      <c r="N607" s="2">
        <v>0</v>
      </c>
      <c r="O607">
        <v>-4.8</v>
      </c>
      <c r="P607" t="s">
        <v>100</v>
      </c>
      <c r="Q607">
        <v>0</v>
      </c>
      <c r="R607" t="s">
        <v>145</v>
      </c>
      <c r="S607">
        <v>0</v>
      </c>
    </row>
    <row r="608" spans="1:19">
      <c r="A608" t="s">
        <v>29</v>
      </c>
      <c r="B608" t="s">
        <v>9271</v>
      </c>
      <c r="C608">
        <f>"KF350"</f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5</v>
      </c>
      <c r="K608">
        <v>18.9</v>
      </c>
      <c r="L608" s="2">
        <v>4</v>
      </c>
      <c r="M608">
        <v>0</v>
      </c>
      <c r="N608" s="2">
        <v>0</v>
      </c>
      <c r="O608">
        <v>-6</v>
      </c>
      <c r="P608" t="s">
        <v>100</v>
      </c>
      <c r="Q608">
        <v>0</v>
      </c>
      <c r="R608" t="s">
        <v>145</v>
      </c>
      <c r="S608">
        <v>0</v>
      </c>
    </row>
    <row r="609" spans="1:19">
      <c r="A609" t="s">
        <v>29</v>
      </c>
      <c r="B609" t="s">
        <v>9640</v>
      </c>
      <c r="C609">
        <f>"AS14W"</f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5</v>
      </c>
      <c r="K609">
        <v>94.455</v>
      </c>
      <c r="L609" s="2">
        <v>19</v>
      </c>
      <c r="M609">
        <v>0</v>
      </c>
      <c r="N609" s="2">
        <v>0</v>
      </c>
      <c r="O609">
        <v>-6</v>
      </c>
      <c r="P609" t="s">
        <v>100</v>
      </c>
      <c r="Q609">
        <v>0</v>
      </c>
      <c r="R609" t="s">
        <v>145</v>
      </c>
      <c r="S609">
        <v>0</v>
      </c>
    </row>
    <row r="610" spans="1:19">
      <c r="A610" t="s">
        <v>29</v>
      </c>
      <c r="B610" t="s">
        <v>6271</v>
      </c>
      <c r="C610">
        <f>"CH11814"</f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5</v>
      </c>
      <c r="K610">
        <v>10.305</v>
      </c>
      <c r="L610" s="2">
        <v>2</v>
      </c>
      <c r="M610">
        <v>0</v>
      </c>
      <c r="N610" s="2">
        <v>0</v>
      </c>
      <c r="O610">
        <v>-6</v>
      </c>
      <c r="P610" t="s">
        <v>100</v>
      </c>
      <c r="Q610">
        <v>0</v>
      </c>
      <c r="R610" t="s">
        <v>145</v>
      </c>
      <c r="S610">
        <v>0</v>
      </c>
    </row>
    <row r="611" spans="1:19">
      <c r="A611" t="s">
        <v>29</v>
      </c>
      <c r="B611" t="s">
        <v>2509</v>
      </c>
      <c r="C611">
        <f>"GT30075"</f>
        <v>0</v>
      </c>
      <c r="D611">
        <v>1</v>
      </c>
      <c r="E611">
        <v>0</v>
      </c>
      <c r="F611">
        <v>0</v>
      </c>
      <c r="G611">
        <v>0</v>
      </c>
      <c r="H611">
        <v>1</v>
      </c>
      <c r="I611">
        <v>0</v>
      </c>
      <c r="J611">
        <v>5</v>
      </c>
      <c r="K611">
        <v>125.845</v>
      </c>
      <c r="L611" s="2">
        <v>25</v>
      </c>
      <c r="M611">
        <v>0</v>
      </c>
      <c r="N611" s="2">
        <v>0</v>
      </c>
      <c r="O611">
        <v>-6</v>
      </c>
      <c r="P611" t="s">
        <v>100</v>
      </c>
      <c r="Q611">
        <v>0</v>
      </c>
      <c r="R611" t="s">
        <v>145</v>
      </c>
      <c r="S611">
        <v>0</v>
      </c>
    </row>
    <row r="612" spans="1:19">
      <c r="A612" t="s">
        <v>29</v>
      </c>
      <c r="B612" t="s">
        <v>6604</v>
      </c>
      <c r="C612">
        <f>"MCA25"</f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5</v>
      </c>
      <c r="K612">
        <v>2.025</v>
      </c>
      <c r="L612" s="2">
        <v>0</v>
      </c>
      <c r="M612">
        <v>0</v>
      </c>
      <c r="N612" s="2">
        <v>0</v>
      </c>
      <c r="O612">
        <v>-6</v>
      </c>
      <c r="P612" t="s">
        <v>100</v>
      </c>
      <c r="Q612">
        <v>0</v>
      </c>
      <c r="R612" t="s">
        <v>145</v>
      </c>
      <c r="S612">
        <v>0</v>
      </c>
    </row>
    <row r="613" spans="1:19">
      <c r="A613" t="s">
        <v>29</v>
      </c>
      <c r="B613" t="s">
        <v>3877</v>
      </c>
      <c r="C613">
        <f>"MCA50"</f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5</v>
      </c>
      <c r="K613">
        <v>2.7</v>
      </c>
      <c r="L613" s="2">
        <v>1</v>
      </c>
      <c r="M613">
        <v>0</v>
      </c>
      <c r="N613" s="2">
        <v>0</v>
      </c>
      <c r="O613">
        <v>-6</v>
      </c>
      <c r="P613" t="s">
        <v>100</v>
      </c>
      <c r="Q613">
        <v>0</v>
      </c>
      <c r="R613" t="s">
        <v>145</v>
      </c>
      <c r="S613">
        <v>0</v>
      </c>
    </row>
    <row r="614" spans="1:19">
      <c r="A614" t="s">
        <v>29</v>
      </c>
      <c r="B614" t="s">
        <v>2267</v>
      </c>
      <c r="C614">
        <f>"CH11027"</f>
        <v>0</v>
      </c>
      <c r="D614">
        <v>1</v>
      </c>
      <c r="E614">
        <v>0</v>
      </c>
      <c r="F614">
        <v>1</v>
      </c>
      <c r="G614">
        <v>0</v>
      </c>
      <c r="H614">
        <v>2</v>
      </c>
      <c r="I614">
        <v>0.5</v>
      </c>
      <c r="J614">
        <v>6</v>
      </c>
      <c r="K614">
        <v>29.7</v>
      </c>
      <c r="L614" s="2">
        <v>5</v>
      </c>
      <c r="M614">
        <v>0</v>
      </c>
      <c r="N614" s="2">
        <v>0</v>
      </c>
      <c r="O614">
        <v>-6.699999999999999</v>
      </c>
      <c r="P614" t="s">
        <v>100</v>
      </c>
      <c r="Q614">
        <v>0</v>
      </c>
      <c r="R614" t="s">
        <v>145</v>
      </c>
      <c r="S614">
        <v>0</v>
      </c>
    </row>
    <row r="615" spans="1:19">
      <c r="A615" t="s">
        <v>29</v>
      </c>
      <c r="B615" t="s">
        <v>4790</v>
      </c>
      <c r="C615">
        <f>"CH88059S"</f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6</v>
      </c>
      <c r="K615">
        <v>19.17</v>
      </c>
      <c r="L615" s="2">
        <v>3</v>
      </c>
      <c r="M615">
        <v>0</v>
      </c>
      <c r="N615" s="2">
        <v>0</v>
      </c>
      <c r="O615">
        <v>-7.199999999999999</v>
      </c>
      <c r="P615" t="s">
        <v>100</v>
      </c>
      <c r="Q615">
        <v>0</v>
      </c>
      <c r="R615" t="s">
        <v>145</v>
      </c>
      <c r="S615">
        <v>0</v>
      </c>
    </row>
    <row r="616" spans="1:19">
      <c r="A616" t="s">
        <v>29</v>
      </c>
      <c r="B616" t="s">
        <v>5493</v>
      </c>
      <c r="C616">
        <f>"RED5"</f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6</v>
      </c>
      <c r="K616">
        <v>2.97</v>
      </c>
      <c r="L616" s="2">
        <v>0</v>
      </c>
      <c r="M616">
        <v>0</v>
      </c>
      <c r="N616" s="2">
        <v>0</v>
      </c>
      <c r="O616">
        <v>-7.199999999999999</v>
      </c>
      <c r="P616" t="s">
        <v>100</v>
      </c>
      <c r="Q616">
        <v>0</v>
      </c>
      <c r="R616" t="s">
        <v>145</v>
      </c>
      <c r="S616">
        <v>0</v>
      </c>
    </row>
    <row r="617" spans="1:19">
      <c r="A617" t="s">
        <v>29</v>
      </c>
      <c r="B617" t="s">
        <v>5622</v>
      </c>
      <c r="C617">
        <f>"80325"</f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6</v>
      </c>
      <c r="K617">
        <v>31.86</v>
      </c>
      <c r="L617" s="2">
        <v>5</v>
      </c>
      <c r="M617">
        <v>0</v>
      </c>
      <c r="N617" s="2">
        <v>0</v>
      </c>
      <c r="O617">
        <v>-7.199999999999999</v>
      </c>
      <c r="P617" t="s">
        <v>100</v>
      </c>
      <c r="Q617">
        <v>0</v>
      </c>
      <c r="R617" t="s">
        <v>145</v>
      </c>
      <c r="S617">
        <v>0</v>
      </c>
    </row>
    <row r="618" spans="1:19">
      <c r="A618" t="s">
        <v>29</v>
      </c>
      <c r="B618" t="s">
        <v>6000</v>
      </c>
      <c r="C618">
        <f>"CH88842S"</f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6</v>
      </c>
      <c r="K618">
        <v>18.398</v>
      </c>
      <c r="L618" s="2">
        <v>3</v>
      </c>
      <c r="M618">
        <v>0</v>
      </c>
      <c r="N618" s="2">
        <v>0</v>
      </c>
      <c r="O618">
        <v>-7.199999999999999</v>
      </c>
      <c r="P618" t="s">
        <v>100</v>
      </c>
      <c r="Q618">
        <v>0</v>
      </c>
      <c r="R618" t="s">
        <v>145</v>
      </c>
      <c r="S618">
        <v>0</v>
      </c>
    </row>
    <row r="619" spans="1:19">
      <c r="A619" t="s">
        <v>29</v>
      </c>
      <c r="B619" t="s">
        <v>2623</v>
      </c>
      <c r="C619">
        <f>"rs11"</f>
        <v>0</v>
      </c>
      <c r="D619">
        <v>0</v>
      </c>
      <c r="E619">
        <v>0</v>
      </c>
      <c r="F619">
        <v>1</v>
      </c>
      <c r="G619">
        <v>0</v>
      </c>
      <c r="H619">
        <v>1</v>
      </c>
      <c r="I619">
        <v>0</v>
      </c>
      <c r="J619">
        <v>6</v>
      </c>
      <c r="K619">
        <v>26.46</v>
      </c>
      <c r="L619" s="2">
        <v>4</v>
      </c>
      <c r="M619">
        <v>0</v>
      </c>
      <c r="N619" s="2">
        <v>0</v>
      </c>
      <c r="O619">
        <v>-7.199999999999999</v>
      </c>
      <c r="P619" t="s">
        <v>100</v>
      </c>
      <c r="Q619">
        <v>0</v>
      </c>
      <c r="R619" t="s">
        <v>145</v>
      </c>
      <c r="S619">
        <v>0</v>
      </c>
    </row>
    <row r="620" spans="1:19">
      <c r="A620" t="s">
        <v>29</v>
      </c>
      <c r="B620" t="s">
        <v>2216</v>
      </c>
      <c r="C620">
        <f>"BSL2"</f>
        <v>0</v>
      </c>
      <c r="D620">
        <v>0</v>
      </c>
      <c r="E620">
        <v>2</v>
      </c>
      <c r="F620">
        <v>0</v>
      </c>
      <c r="G620">
        <v>0</v>
      </c>
      <c r="H620">
        <v>2</v>
      </c>
      <c r="I620">
        <v>0</v>
      </c>
      <c r="J620">
        <v>6</v>
      </c>
      <c r="K620">
        <v>1.512</v>
      </c>
      <c r="L620" s="2">
        <v>0</v>
      </c>
      <c r="M620">
        <v>0</v>
      </c>
      <c r="N620" s="2">
        <v>0</v>
      </c>
      <c r="O620">
        <v>-7.199999999999999</v>
      </c>
      <c r="P620" t="s">
        <v>100</v>
      </c>
      <c r="Q620">
        <v>0</v>
      </c>
      <c r="R620" t="s">
        <v>145</v>
      </c>
      <c r="S620">
        <v>0</v>
      </c>
    </row>
    <row r="621" spans="1:19">
      <c r="A621" t="s">
        <v>29</v>
      </c>
      <c r="B621" t="s">
        <v>6547</v>
      </c>
      <c r="C621">
        <f>"D300"</f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6</v>
      </c>
      <c r="K621">
        <v>31.32</v>
      </c>
      <c r="L621" s="2">
        <v>5</v>
      </c>
      <c r="M621">
        <v>0</v>
      </c>
      <c r="N621" s="2">
        <v>0</v>
      </c>
      <c r="O621">
        <v>-7.199999999999999</v>
      </c>
      <c r="P621" t="s">
        <v>100</v>
      </c>
      <c r="Q621">
        <v>0</v>
      </c>
      <c r="R621" t="s">
        <v>145</v>
      </c>
      <c r="S621">
        <v>0</v>
      </c>
    </row>
    <row r="622" spans="1:19">
      <c r="A622" t="s">
        <v>29</v>
      </c>
      <c r="B622" t="s">
        <v>9316</v>
      </c>
      <c r="C622">
        <f>"RS75"</f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6</v>
      </c>
      <c r="K622">
        <v>323.46</v>
      </c>
      <c r="L622" s="2">
        <v>54</v>
      </c>
      <c r="M622">
        <v>0</v>
      </c>
      <c r="N622" s="2">
        <v>0</v>
      </c>
      <c r="O622">
        <v>-7.199999999999999</v>
      </c>
      <c r="P622" t="s">
        <v>100</v>
      </c>
      <c r="Q622">
        <v>0</v>
      </c>
      <c r="R622" t="s">
        <v>145</v>
      </c>
      <c r="S622">
        <v>0</v>
      </c>
    </row>
    <row r="623" spans="1:19">
      <c r="A623" t="s">
        <v>29</v>
      </c>
      <c r="B623" t="s">
        <v>6159</v>
      </c>
      <c r="C623">
        <f>"D25"</f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7</v>
      </c>
      <c r="K623">
        <v>44.037</v>
      </c>
      <c r="L623" s="2">
        <v>6</v>
      </c>
      <c r="M623">
        <v>0</v>
      </c>
      <c r="N623" s="2">
        <v>0</v>
      </c>
      <c r="O623">
        <v>-8.4</v>
      </c>
      <c r="P623" t="s">
        <v>100</v>
      </c>
      <c r="Q623">
        <v>0</v>
      </c>
      <c r="R623" t="s">
        <v>145</v>
      </c>
      <c r="S623">
        <v>0</v>
      </c>
    </row>
    <row r="624" spans="1:19">
      <c r="A624" t="s">
        <v>29</v>
      </c>
      <c r="B624" t="s">
        <v>6161</v>
      </c>
      <c r="C624">
        <f>"D100"</f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7</v>
      </c>
      <c r="K624">
        <v>50.337</v>
      </c>
      <c r="L624" s="2">
        <v>7</v>
      </c>
      <c r="M624">
        <v>0</v>
      </c>
      <c r="N624" s="2">
        <v>0</v>
      </c>
      <c r="O624">
        <v>-8.4</v>
      </c>
      <c r="P624" t="s">
        <v>100</v>
      </c>
      <c r="Q624">
        <v>0</v>
      </c>
      <c r="R624" t="s">
        <v>145</v>
      </c>
      <c r="S624">
        <v>0</v>
      </c>
    </row>
    <row r="625" spans="1:19">
      <c r="A625" t="s">
        <v>29</v>
      </c>
      <c r="B625" t="s">
        <v>2583</v>
      </c>
      <c r="C625">
        <f>"CH22274AS"</f>
        <v>0</v>
      </c>
      <c r="D625">
        <v>0</v>
      </c>
      <c r="E625">
        <v>0</v>
      </c>
      <c r="F625">
        <v>1</v>
      </c>
      <c r="G625">
        <v>0</v>
      </c>
      <c r="H625">
        <v>1</v>
      </c>
      <c r="I625">
        <v>0</v>
      </c>
      <c r="J625">
        <v>7</v>
      </c>
      <c r="K625">
        <v>50.337</v>
      </c>
      <c r="L625" s="2">
        <v>7</v>
      </c>
      <c r="M625">
        <v>0</v>
      </c>
      <c r="N625" s="2">
        <v>0</v>
      </c>
      <c r="O625">
        <v>-8.4</v>
      </c>
      <c r="P625" t="s">
        <v>100</v>
      </c>
      <c r="Q625">
        <v>0</v>
      </c>
      <c r="R625" t="s">
        <v>145</v>
      </c>
      <c r="S625">
        <v>0</v>
      </c>
    </row>
    <row r="626" spans="1:19">
      <c r="A626" t="s">
        <v>29</v>
      </c>
      <c r="B626" t="s">
        <v>4534</v>
      </c>
      <c r="C626">
        <f>"GT30074"</f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7</v>
      </c>
      <c r="K626">
        <v>125.84</v>
      </c>
      <c r="L626" s="2">
        <v>18</v>
      </c>
      <c r="M626">
        <v>0</v>
      </c>
      <c r="N626" s="2">
        <v>0</v>
      </c>
      <c r="O626">
        <v>-8.4</v>
      </c>
      <c r="P626" t="s">
        <v>100</v>
      </c>
      <c r="Q626">
        <v>0</v>
      </c>
      <c r="R626" t="s">
        <v>145</v>
      </c>
      <c r="S626">
        <v>0</v>
      </c>
    </row>
    <row r="627" spans="1:19">
      <c r="A627" t="s">
        <v>29</v>
      </c>
      <c r="B627" t="s">
        <v>6013</v>
      </c>
      <c r="C627">
        <f>"CH22827"</f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8</v>
      </c>
      <c r="K627">
        <v>28.728</v>
      </c>
      <c r="L627" s="2">
        <v>4</v>
      </c>
      <c r="M627">
        <v>0</v>
      </c>
      <c r="N627" s="2">
        <v>0</v>
      </c>
      <c r="O627">
        <v>-9.6</v>
      </c>
      <c r="P627" t="s">
        <v>100</v>
      </c>
      <c r="Q627">
        <v>0</v>
      </c>
      <c r="R627" t="s">
        <v>145</v>
      </c>
      <c r="S627">
        <v>0</v>
      </c>
    </row>
    <row r="628" spans="1:19">
      <c r="A628" t="s">
        <v>29</v>
      </c>
      <c r="B628" t="s">
        <v>9428</v>
      </c>
      <c r="C628">
        <f>"F3M2"</f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8</v>
      </c>
      <c r="K628">
        <v>9.071999999999999</v>
      </c>
      <c r="L628" s="2">
        <v>1</v>
      </c>
      <c r="M628">
        <v>0</v>
      </c>
      <c r="N628" s="2">
        <v>0</v>
      </c>
      <c r="O628">
        <v>-9.6</v>
      </c>
      <c r="P628" t="s">
        <v>100</v>
      </c>
      <c r="Q628">
        <v>0</v>
      </c>
      <c r="R628" t="s">
        <v>145</v>
      </c>
      <c r="S628">
        <v>0</v>
      </c>
    </row>
    <row r="629" spans="1:19">
      <c r="A629" t="s">
        <v>29</v>
      </c>
      <c r="B629" t="s">
        <v>9425</v>
      </c>
      <c r="C629">
        <f>"F3"</f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8</v>
      </c>
      <c r="K629">
        <v>9.071999999999999</v>
      </c>
      <c r="L629" s="2">
        <v>1</v>
      </c>
      <c r="M629">
        <v>0</v>
      </c>
      <c r="N629" s="2">
        <v>0</v>
      </c>
      <c r="O629">
        <v>-9.6</v>
      </c>
      <c r="P629" t="s">
        <v>100</v>
      </c>
      <c r="Q629">
        <v>0</v>
      </c>
      <c r="R629" t="s">
        <v>145</v>
      </c>
      <c r="S629">
        <v>0</v>
      </c>
    </row>
    <row r="630" spans="1:19">
      <c r="A630" t="s">
        <v>29</v>
      </c>
      <c r="B630" t="s">
        <v>6315</v>
      </c>
      <c r="C630">
        <f>"CH40016"</f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8</v>
      </c>
      <c r="K630">
        <v>28.728</v>
      </c>
      <c r="L630" s="2">
        <v>4</v>
      </c>
      <c r="M630">
        <v>0</v>
      </c>
      <c r="N630" s="2">
        <v>0</v>
      </c>
      <c r="O630">
        <v>-9.6</v>
      </c>
      <c r="P630" t="s">
        <v>100</v>
      </c>
      <c r="Q630">
        <v>0</v>
      </c>
      <c r="R630" t="s">
        <v>145</v>
      </c>
      <c r="S630">
        <v>0</v>
      </c>
    </row>
    <row r="631" spans="1:19">
      <c r="A631" t="s">
        <v>29</v>
      </c>
      <c r="B631" t="s">
        <v>6931</v>
      </c>
      <c r="C631">
        <f>"A017M"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9</v>
      </c>
      <c r="K631">
        <v>64.71899999999999</v>
      </c>
      <c r="L631" s="2">
        <v>7</v>
      </c>
      <c r="M631">
        <v>0</v>
      </c>
      <c r="N631" s="2">
        <v>0</v>
      </c>
      <c r="O631">
        <v>-10.8</v>
      </c>
      <c r="P631" t="s">
        <v>100</v>
      </c>
      <c r="Q631">
        <v>0</v>
      </c>
      <c r="R631" t="s">
        <v>145</v>
      </c>
      <c r="S631">
        <v>0</v>
      </c>
    </row>
    <row r="632" spans="1:19">
      <c r="A632" t="s">
        <v>29</v>
      </c>
      <c r="B632" t="s">
        <v>5641</v>
      </c>
      <c r="C632">
        <f>"CH55151SA"</f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9</v>
      </c>
      <c r="K632">
        <v>36.855</v>
      </c>
      <c r="L632" s="2">
        <v>4</v>
      </c>
      <c r="M632">
        <v>0</v>
      </c>
      <c r="N632" s="2">
        <v>0</v>
      </c>
      <c r="O632">
        <v>-10.8</v>
      </c>
      <c r="P632" t="s">
        <v>100</v>
      </c>
      <c r="Q632">
        <v>0</v>
      </c>
      <c r="R632" t="s">
        <v>145</v>
      </c>
      <c r="S632">
        <v>0</v>
      </c>
    </row>
    <row r="633" spans="1:19">
      <c r="A633" t="s">
        <v>29</v>
      </c>
      <c r="B633" t="s">
        <v>6309</v>
      </c>
      <c r="C633">
        <f>"CH44611"</f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9</v>
      </c>
      <c r="K633">
        <v>60.75</v>
      </c>
      <c r="L633" s="2">
        <v>7</v>
      </c>
      <c r="M633">
        <v>0</v>
      </c>
      <c r="N633" s="2">
        <v>0</v>
      </c>
      <c r="O633">
        <v>-10.8</v>
      </c>
      <c r="P633" t="s">
        <v>100</v>
      </c>
      <c r="Q633">
        <v>0</v>
      </c>
      <c r="R633" t="s">
        <v>145</v>
      </c>
      <c r="S633">
        <v>0</v>
      </c>
    </row>
    <row r="634" spans="1:19">
      <c r="A634" t="s">
        <v>29</v>
      </c>
      <c r="B634" t="s">
        <v>6021</v>
      </c>
      <c r="C634">
        <f>"67411"</f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9</v>
      </c>
      <c r="K634">
        <v>13.689</v>
      </c>
      <c r="L634" s="2">
        <v>2</v>
      </c>
      <c r="M634">
        <v>0</v>
      </c>
      <c r="N634" s="2">
        <v>0</v>
      </c>
      <c r="O634">
        <v>-10.8</v>
      </c>
      <c r="P634" t="s">
        <v>100</v>
      </c>
      <c r="Q634">
        <v>0</v>
      </c>
      <c r="R634" t="s">
        <v>145</v>
      </c>
      <c r="S634">
        <v>0</v>
      </c>
    </row>
    <row r="635" spans="1:19">
      <c r="A635" t="s">
        <v>29</v>
      </c>
      <c r="B635" t="s">
        <v>10230</v>
      </c>
      <c r="C635">
        <f>"D710"</f>
        <v>0</v>
      </c>
      <c r="D635">
        <v>1</v>
      </c>
      <c r="E635">
        <v>0</v>
      </c>
      <c r="F635">
        <v>0</v>
      </c>
      <c r="G635">
        <v>1</v>
      </c>
      <c r="H635">
        <v>2</v>
      </c>
      <c r="I635">
        <v>0.5</v>
      </c>
      <c r="J635">
        <v>14</v>
      </c>
      <c r="K635">
        <v>28.35</v>
      </c>
      <c r="L635" s="2">
        <v>2</v>
      </c>
      <c r="M635">
        <v>0</v>
      </c>
      <c r="N635" s="2">
        <v>0</v>
      </c>
      <c r="O635">
        <v>-11.3</v>
      </c>
      <c r="P635" t="s">
        <v>10254</v>
      </c>
      <c r="Q635">
        <v>-516</v>
      </c>
      <c r="R635" t="s">
        <v>10272</v>
      </c>
      <c r="S635">
        <v>1</v>
      </c>
    </row>
    <row r="636" spans="1:19">
      <c r="A636" t="s">
        <v>29</v>
      </c>
      <c r="B636" t="s">
        <v>1653</v>
      </c>
      <c r="C636">
        <f>"BB28"</f>
        <v>0</v>
      </c>
      <c r="D636">
        <v>10</v>
      </c>
      <c r="E636">
        <v>5</v>
      </c>
      <c r="F636">
        <v>2</v>
      </c>
      <c r="G636">
        <v>8</v>
      </c>
      <c r="H636">
        <v>25</v>
      </c>
      <c r="I636">
        <v>6.5</v>
      </c>
      <c r="J636">
        <v>31</v>
      </c>
      <c r="K636">
        <v>155</v>
      </c>
      <c r="L636" s="2">
        <v>5</v>
      </c>
      <c r="M636">
        <v>0</v>
      </c>
      <c r="N636" s="2">
        <v>0</v>
      </c>
      <c r="O636">
        <v>-11.7</v>
      </c>
      <c r="P636" t="s">
        <v>10255</v>
      </c>
      <c r="Q636">
        <v>1.238</v>
      </c>
      <c r="R636" t="s">
        <v>10273</v>
      </c>
      <c r="S636">
        <v>1</v>
      </c>
    </row>
    <row r="637" spans="1:19">
      <c r="A637" t="s">
        <v>29</v>
      </c>
      <c r="B637" t="s">
        <v>3842</v>
      </c>
      <c r="C637">
        <f>"LS50R"</f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10</v>
      </c>
      <c r="K637">
        <v>19.8</v>
      </c>
      <c r="L637" s="2">
        <v>2</v>
      </c>
      <c r="M637">
        <v>0</v>
      </c>
      <c r="N637" s="2">
        <v>0</v>
      </c>
      <c r="O637">
        <v>-12</v>
      </c>
      <c r="P637" t="s">
        <v>100</v>
      </c>
      <c r="Q637">
        <v>0</v>
      </c>
      <c r="R637" t="s">
        <v>145</v>
      </c>
      <c r="S637">
        <v>0</v>
      </c>
    </row>
    <row r="638" spans="1:19">
      <c r="A638" t="s">
        <v>29</v>
      </c>
      <c r="B638" t="s">
        <v>6902</v>
      </c>
      <c r="C638">
        <f>"D200"</f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10</v>
      </c>
      <c r="K638">
        <v>48.15</v>
      </c>
      <c r="L638" s="2">
        <v>5</v>
      </c>
      <c r="M638">
        <v>0</v>
      </c>
      <c r="N638" s="2">
        <v>0</v>
      </c>
      <c r="O638">
        <v>-12</v>
      </c>
      <c r="P638" t="s">
        <v>100</v>
      </c>
      <c r="Q638">
        <v>0</v>
      </c>
      <c r="R638" t="s">
        <v>145</v>
      </c>
      <c r="S638">
        <v>0</v>
      </c>
    </row>
    <row r="639" spans="1:19">
      <c r="A639" t="s">
        <v>29</v>
      </c>
      <c r="B639" t="s">
        <v>10198</v>
      </c>
      <c r="C639">
        <f>"77073"</f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10</v>
      </c>
      <c r="K639">
        <v>12.15</v>
      </c>
      <c r="L639" s="2">
        <v>1</v>
      </c>
      <c r="M639">
        <v>0</v>
      </c>
      <c r="N639" s="2">
        <v>0</v>
      </c>
      <c r="O639">
        <v>-12</v>
      </c>
      <c r="P639" t="s">
        <v>100</v>
      </c>
      <c r="Q639">
        <v>0</v>
      </c>
      <c r="R639" t="s">
        <v>145</v>
      </c>
      <c r="S639">
        <v>0</v>
      </c>
    </row>
    <row r="640" spans="1:19">
      <c r="A640" t="s">
        <v>29</v>
      </c>
      <c r="B640" t="s">
        <v>7037</v>
      </c>
      <c r="C640">
        <f>"AA014"</f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10</v>
      </c>
      <c r="K640">
        <v>4.05</v>
      </c>
      <c r="L640" s="2">
        <v>0</v>
      </c>
      <c r="M640">
        <v>0</v>
      </c>
      <c r="N640" s="2">
        <v>0</v>
      </c>
      <c r="O640">
        <v>-12</v>
      </c>
      <c r="P640" t="s">
        <v>100</v>
      </c>
      <c r="Q640">
        <v>0</v>
      </c>
      <c r="R640" t="s">
        <v>145</v>
      </c>
      <c r="S640">
        <v>0</v>
      </c>
    </row>
    <row r="641" spans="1:19">
      <c r="A641" t="s">
        <v>29</v>
      </c>
      <c r="B641" t="s">
        <v>2536</v>
      </c>
      <c r="C641">
        <f>"CH55152AS"</f>
        <v>0</v>
      </c>
      <c r="D641">
        <v>0</v>
      </c>
      <c r="E641">
        <v>1</v>
      </c>
      <c r="F641">
        <v>0</v>
      </c>
      <c r="G641">
        <v>0</v>
      </c>
      <c r="H641">
        <v>1</v>
      </c>
      <c r="I641">
        <v>0</v>
      </c>
      <c r="J641">
        <v>10</v>
      </c>
      <c r="K641">
        <v>43.65</v>
      </c>
      <c r="L641" s="2">
        <v>4</v>
      </c>
      <c r="M641">
        <v>0</v>
      </c>
      <c r="N641" s="2">
        <v>0</v>
      </c>
      <c r="O641">
        <v>-12</v>
      </c>
      <c r="P641" t="s">
        <v>100</v>
      </c>
      <c r="Q641">
        <v>0</v>
      </c>
      <c r="R641" t="s">
        <v>145</v>
      </c>
      <c r="S641">
        <v>0</v>
      </c>
    </row>
    <row r="642" spans="1:19">
      <c r="A642" t="s">
        <v>29</v>
      </c>
      <c r="B642" t="s">
        <v>3714</v>
      </c>
      <c r="C642">
        <f>"RS360"</f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11</v>
      </c>
      <c r="K642">
        <v>49.401</v>
      </c>
      <c r="L642" s="2">
        <v>4</v>
      </c>
      <c r="M642">
        <v>0</v>
      </c>
      <c r="N642" s="2">
        <v>0</v>
      </c>
      <c r="O642">
        <v>-13.2</v>
      </c>
      <c r="P642" t="s">
        <v>100</v>
      </c>
      <c r="Q642">
        <v>0</v>
      </c>
      <c r="R642" t="s">
        <v>145</v>
      </c>
      <c r="S642">
        <v>0</v>
      </c>
    </row>
    <row r="643" spans="1:19">
      <c r="A643" t="s">
        <v>29</v>
      </c>
      <c r="B643" t="s">
        <v>9641</v>
      </c>
      <c r="C643">
        <f>"AS8W"</f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11</v>
      </c>
      <c r="K643">
        <v>143.52</v>
      </c>
      <c r="L643" s="2">
        <v>13</v>
      </c>
      <c r="M643">
        <v>0</v>
      </c>
      <c r="N643" s="2">
        <v>0</v>
      </c>
      <c r="O643">
        <v>-13.2</v>
      </c>
      <c r="P643" t="s">
        <v>100</v>
      </c>
      <c r="Q643">
        <v>0</v>
      </c>
      <c r="R643" t="s">
        <v>145</v>
      </c>
      <c r="S643">
        <v>0</v>
      </c>
    </row>
    <row r="644" spans="1:19">
      <c r="A644" t="s">
        <v>29</v>
      </c>
      <c r="B644" t="s">
        <v>5507</v>
      </c>
      <c r="C644">
        <f>"RED10"</f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11</v>
      </c>
      <c r="K644">
        <v>8.811</v>
      </c>
      <c r="L644" s="2">
        <v>1</v>
      </c>
      <c r="M644">
        <v>0</v>
      </c>
      <c r="N644" s="2">
        <v>0</v>
      </c>
      <c r="O644">
        <v>-13.2</v>
      </c>
      <c r="P644" t="s">
        <v>100</v>
      </c>
      <c r="Q644">
        <v>0</v>
      </c>
      <c r="R644" t="s">
        <v>145</v>
      </c>
      <c r="S644">
        <v>0</v>
      </c>
    </row>
    <row r="645" spans="1:19">
      <c r="A645" t="s">
        <v>29</v>
      </c>
      <c r="B645" t="s">
        <v>1746</v>
      </c>
      <c r="C645">
        <f>"BAP1"</f>
        <v>0</v>
      </c>
      <c r="D645">
        <v>0</v>
      </c>
      <c r="E645">
        <v>2</v>
      </c>
      <c r="F645">
        <v>11</v>
      </c>
      <c r="G645">
        <v>0</v>
      </c>
      <c r="H645">
        <v>13</v>
      </c>
      <c r="I645">
        <v>1</v>
      </c>
      <c r="J645">
        <v>12</v>
      </c>
      <c r="K645">
        <v>3.78</v>
      </c>
      <c r="L645" s="2">
        <v>0</v>
      </c>
      <c r="M645">
        <v>0</v>
      </c>
      <c r="N645" s="2">
        <v>0</v>
      </c>
      <c r="O645">
        <v>-13.4</v>
      </c>
      <c r="P645" t="s">
        <v>100</v>
      </c>
      <c r="Q645">
        <v>0</v>
      </c>
      <c r="R645" t="s">
        <v>145</v>
      </c>
      <c r="S645">
        <v>0</v>
      </c>
    </row>
    <row r="646" spans="1:19">
      <c r="A646" t="s">
        <v>29</v>
      </c>
      <c r="B646" t="s">
        <v>5491</v>
      </c>
      <c r="C646">
        <f>"RED7"</f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12</v>
      </c>
      <c r="K646">
        <v>5.412</v>
      </c>
      <c r="L646" s="2">
        <v>0</v>
      </c>
      <c r="M646">
        <v>0</v>
      </c>
      <c r="N646" s="2">
        <v>0</v>
      </c>
      <c r="O646">
        <v>-14.4</v>
      </c>
      <c r="P646" t="s">
        <v>100</v>
      </c>
      <c r="Q646">
        <v>0</v>
      </c>
      <c r="R646" t="s">
        <v>145</v>
      </c>
      <c r="S646">
        <v>0</v>
      </c>
    </row>
    <row r="647" spans="1:19">
      <c r="A647" t="s">
        <v>29</v>
      </c>
      <c r="B647" t="s">
        <v>5952</v>
      </c>
      <c r="C647">
        <f>"CH44610"</f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12</v>
      </c>
      <c r="K647">
        <v>60.372</v>
      </c>
      <c r="L647" s="2">
        <v>5</v>
      </c>
      <c r="M647">
        <v>0</v>
      </c>
      <c r="N647" s="2">
        <v>0</v>
      </c>
      <c r="O647">
        <v>-14.4</v>
      </c>
      <c r="P647" t="s">
        <v>100</v>
      </c>
      <c r="Q647">
        <v>0</v>
      </c>
      <c r="R647" t="s">
        <v>145</v>
      </c>
      <c r="S647">
        <v>0</v>
      </c>
    </row>
    <row r="648" spans="1:19">
      <c r="A648" t="s">
        <v>29</v>
      </c>
      <c r="B648" t="s">
        <v>6297</v>
      </c>
      <c r="C648">
        <f>"U708B"</f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12</v>
      </c>
      <c r="K648">
        <v>87.91200000000001</v>
      </c>
      <c r="L648" s="2">
        <v>7</v>
      </c>
      <c r="M648">
        <v>0</v>
      </c>
      <c r="N648" s="2">
        <v>0</v>
      </c>
      <c r="O648">
        <v>-14.4</v>
      </c>
      <c r="P648" t="s">
        <v>100</v>
      </c>
      <c r="Q648">
        <v>0</v>
      </c>
      <c r="R648" t="s">
        <v>145</v>
      </c>
      <c r="S648">
        <v>0</v>
      </c>
    </row>
    <row r="649" spans="1:19">
      <c r="A649" t="s">
        <v>29</v>
      </c>
      <c r="B649" t="s">
        <v>6218</v>
      </c>
      <c r="C649">
        <f>"CH88532"</f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13</v>
      </c>
      <c r="K649">
        <v>40.365</v>
      </c>
      <c r="L649" s="2">
        <v>3</v>
      </c>
      <c r="M649">
        <v>0</v>
      </c>
      <c r="N649" s="2">
        <v>0</v>
      </c>
      <c r="O649">
        <v>-15.6</v>
      </c>
      <c r="P649" t="s">
        <v>100</v>
      </c>
      <c r="Q649">
        <v>0</v>
      </c>
      <c r="R649" t="s">
        <v>145</v>
      </c>
      <c r="S649">
        <v>0</v>
      </c>
    </row>
    <row r="650" spans="1:19">
      <c r="A650" t="s">
        <v>29</v>
      </c>
      <c r="B650" t="s">
        <v>6930</v>
      </c>
      <c r="C650">
        <f>"A017L"</f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17</v>
      </c>
      <c r="K650">
        <v>143.856</v>
      </c>
      <c r="L650" s="2">
        <v>8</v>
      </c>
      <c r="M650">
        <v>0</v>
      </c>
      <c r="N650" s="2">
        <v>0</v>
      </c>
      <c r="O650">
        <v>-20.4</v>
      </c>
      <c r="P650" t="s">
        <v>100</v>
      </c>
      <c r="Q650">
        <v>0</v>
      </c>
      <c r="R650" t="s">
        <v>145</v>
      </c>
      <c r="S650">
        <v>0</v>
      </c>
    </row>
    <row r="651" spans="1:19">
      <c r="A651" t="s">
        <v>29</v>
      </c>
      <c r="B651" t="s">
        <v>3921</v>
      </c>
      <c r="C651">
        <f>"MCA70"</f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17</v>
      </c>
      <c r="K651">
        <v>9.18</v>
      </c>
      <c r="L651" s="2">
        <v>1</v>
      </c>
      <c r="M651">
        <v>0</v>
      </c>
      <c r="N651" s="2">
        <v>0</v>
      </c>
      <c r="O651">
        <v>-20.4</v>
      </c>
      <c r="P651" t="s">
        <v>100</v>
      </c>
      <c r="Q651">
        <v>0</v>
      </c>
      <c r="R651" t="s">
        <v>145</v>
      </c>
      <c r="S651">
        <v>0</v>
      </c>
    </row>
    <row r="652" spans="1:19">
      <c r="A652" t="s">
        <v>29</v>
      </c>
      <c r="B652" t="s">
        <v>3878</v>
      </c>
      <c r="C652">
        <f>"MCA40"</f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18</v>
      </c>
      <c r="K652">
        <v>9.720000000000001</v>
      </c>
      <c r="L652" s="2">
        <v>1</v>
      </c>
      <c r="M652">
        <v>0</v>
      </c>
      <c r="N652" s="2">
        <v>0</v>
      </c>
      <c r="O652">
        <v>-21.6</v>
      </c>
      <c r="P652" t="s">
        <v>100</v>
      </c>
      <c r="Q652">
        <v>0</v>
      </c>
      <c r="R652" t="s">
        <v>145</v>
      </c>
      <c r="S652">
        <v>0</v>
      </c>
    </row>
    <row r="653" spans="1:19">
      <c r="A653" t="s">
        <v>29</v>
      </c>
      <c r="B653" t="s">
        <v>3008</v>
      </c>
      <c r="C653">
        <f>"1213"</f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18</v>
      </c>
      <c r="K653">
        <v>12.46</v>
      </c>
      <c r="L653" s="2">
        <v>1</v>
      </c>
      <c r="M653">
        <v>0</v>
      </c>
      <c r="N653" s="2">
        <v>0</v>
      </c>
      <c r="O653">
        <v>-21.6</v>
      </c>
      <c r="P653" t="s">
        <v>100</v>
      </c>
      <c r="Q653">
        <v>0</v>
      </c>
      <c r="R653" t="s">
        <v>145</v>
      </c>
      <c r="S653">
        <v>0</v>
      </c>
    </row>
    <row r="654" spans="1:19">
      <c r="A654" t="s">
        <v>29</v>
      </c>
      <c r="B654" t="s">
        <v>1676</v>
      </c>
      <c r="C654">
        <f>"F2M3"</f>
        <v>0</v>
      </c>
      <c r="D654">
        <v>21</v>
      </c>
      <c r="E654">
        <v>0</v>
      </c>
      <c r="F654">
        <v>0</v>
      </c>
      <c r="G654">
        <v>0</v>
      </c>
      <c r="H654">
        <v>21</v>
      </c>
      <c r="I654">
        <v>0</v>
      </c>
      <c r="J654">
        <v>19</v>
      </c>
      <c r="K654">
        <v>12.474</v>
      </c>
      <c r="L654" s="2">
        <v>1</v>
      </c>
      <c r="M654">
        <v>0</v>
      </c>
      <c r="N654" s="2">
        <v>0</v>
      </c>
      <c r="O654">
        <v>-22.8</v>
      </c>
      <c r="P654" t="s">
        <v>100</v>
      </c>
      <c r="Q654">
        <v>0</v>
      </c>
      <c r="R654" t="s">
        <v>145</v>
      </c>
      <c r="S654">
        <v>0</v>
      </c>
    </row>
    <row r="655" spans="1:19">
      <c r="A655" t="s">
        <v>29</v>
      </c>
      <c r="B655" t="s">
        <v>2459</v>
      </c>
      <c r="C655">
        <f>"NF003M"</f>
        <v>0</v>
      </c>
      <c r="D655">
        <v>1</v>
      </c>
      <c r="E655">
        <v>0</v>
      </c>
      <c r="F655">
        <v>0</v>
      </c>
      <c r="G655">
        <v>0</v>
      </c>
      <c r="H655">
        <v>1</v>
      </c>
      <c r="I655">
        <v>0</v>
      </c>
      <c r="J655">
        <v>19</v>
      </c>
      <c r="K655">
        <v>4.19</v>
      </c>
      <c r="L655" s="2">
        <v>0</v>
      </c>
      <c r="M655">
        <v>0</v>
      </c>
      <c r="N655" s="2">
        <v>0</v>
      </c>
      <c r="O655">
        <v>-22.8</v>
      </c>
      <c r="P655" t="s">
        <v>100</v>
      </c>
      <c r="Q655">
        <v>0</v>
      </c>
      <c r="R655" t="s">
        <v>145</v>
      </c>
      <c r="S655">
        <v>0</v>
      </c>
    </row>
    <row r="656" spans="1:19">
      <c r="A656" t="s">
        <v>29</v>
      </c>
      <c r="B656" t="s">
        <v>2411</v>
      </c>
      <c r="C656">
        <f>"NF003RR"</f>
        <v>0</v>
      </c>
      <c r="D656">
        <v>1</v>
      </c>
      <c r="E656">
        <v>0</v>
      </c>
      <c r="F656">
        <v>0</v>
      </c>
      <c r="G656">
        <v>0</v>
      </c>
      <c r="H656">
        <v>1</v>
      </c>
      <c r="I656">
        <v>0</v>
      </c>
      <c r="J656">
        <v>21</v>
      </c>
      <c r="K656">
        <v>4.631</v>
      </c>
      <c r="L656" s="2">
        <v>0</v>
      </c>
      <c r="M656">
        <v>0</v>
      </c>
      <c r="N656" s="2">
        <v>0</v>
      </c>
      <c r="O656">
        <v>-25.2</v>
      </c>
      <c r="P656" t="s">
        <v>100</v>
      </c>
      <c r="Q656">
        <v>0</v>
      </c>
      <c r="R656" t="s">
        <v>145</v>
      </c>
      <c r="S656">
        <v>0</v>
      </c>
    </row>
    <row r="657" spans="1:19">
      <c r="A657" t="s">
        <v>29</v>
      </c>
      <c r="B657" t="s">
        <v>3876</v>
      </c>
      <c r="C657">
        <f>"MCA60"</f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21</v>
      </c>
      <c r="K657">
        <v>11.34</v>
      </c>
      <c r="L657" s="2">
        <v>1</v>
      </c>
      <c r="M657">
        <v>0</v>
      </c>
      <c r="N657" s="2">
        <v>0</v>
      </c>
      <c r="O657">
        <v>-25.2</v>
      </c>
      <c r="P657" t="s">
        <v>100</v>
      </c>
      <c r="Q657">
        <v>0</v>
      </c>
      <c r="R657" t="s">
        <v>145</v>
      </c>
      <c r="S657">
        <v>0</v>
      </c>
    </row>
    <row r="658" spans="1:19">
      <c r="A658" t="s">
        <v>29</v>
      </c>
      <c r="B658" t="s">
        <v>1883</v>
      </c>
      <c r="C658">
        <f>"CA13AM"</f>
        <v>0</v>
      </c>
      <c r="D658">
        <v>1</v>
      </c>
      <c r="E658">
        <v>5</v>
      </c>
      <c r="F658">
        <v>0</v>
      </c>
      <c r="G658">
        <v>0</v>
      </c>
      <c r="H658">
        <v>6</v>
      </c>
      <c r="I658">
        <v>0.5</v>
      </c>
      <c r="J658">
        <v>22</v>
      </c>
      <c r="K658">
        <v>6.435</v>
      </c>
      <c r="L658" s="2">
        <v>0</v>
      </c>
      <c r="M658">
        <v>0</v>
      </c>
      <c r="N658" s="2">
        <v>0</v>
      </c>
      <c r="O658">
        <v>-25.9</v>
      </c>
      <c r="P658" t="s">
        <v>100</v>
      </c>
      <c r="Q658">
        <v>0</v>
      </c>
      <c r="R658" t="s">
        <v>145</v>
      </c>
      <c r="S658">
        <v>0</v>
      </c>
    </row>
    <row r="659" spans="1:19">
      <c r="A659" t="s">
        <v>29</v>
      </c>
      <c r="B659" t="s">
        <v>1733</v>
      </c>
      <c r="C659">
        <f>"CA13RV"</f>
        <v>0</v>
      </c>
      <c r="D659">
        <v>0</v>
      </c>
      <c r="E659">
        <v>0</v>
      </c>
      <c r="F659">
        <v>0</v>
      </c>
      <c r="G659">
        <v>1</v>
      </c>
      <c r="H659">
        <v>1</v>
      </c>
      <c r="I659">
        <v>0</v>
      </c>
      <c r="J659">
        <v>26</v>
      </c>
      <c r="K659">
        <v>7.605</v>
      </c>
      <c r="L659" s="2">
        <v>0</v>
      </c>
      <c r="M659">
        <v>0</v>
      </c>
      <c r="N659" s="2">
        <v>0</v>
      </c>
      <c r="O659">
        <v>-26.2</v>
      </c>
      <c r="P659" t="s">
        <v>10256</v>
      </c>
      <c r="Q659">
        <v>53</v>
      </c>
      <c r="R659" t="s">
        <v>10274</v>
      </c>
      <c r="S659">
        <v>1</v>
      </c>
    </row>
    <row r="660" spans="1:19">
      <c r="A660" t="s">
        <v>29</v>
      </c>
      <c r="B660" t="s">
        <v>1889</v>
      </c>
      <c r="C660">
        <f>"NF003RV"</f>
        <v>0</v>
      </c>
      <c r="D660">
        <v>6</v>
      </c>
      <c r="E660">
        <v>0</v>
      </c>
      <c r="F660">
        <v>0</v>
      </c>
      <c r="G660">
        <v>0</v>
      </c>
      <c r="H660">
        <v>6</v>
      </c>
      <c r="I660">
        <v>0</v>
      </c>
      <c r="J660">
        <v>22</v>
      </c>
      <c r="K660">
        <v>6.51</v>
      </c>
      <c r="L660" s="2">
        <v>0</v>
      </c>
      <c r="M660">
        <v>0</v>
      </c>
      <c r="N660" s="2">
        <v>0</v>
      </c>
      <c r="O660">
        <v>-26.4</v>
      </c>
      <c r="P660" t="s">
        <v>100</v>
      </c>
      <c r="Q660">
        <v>0</v>
      </c>
      <c r="R660" t="s">
        <v>145</v>
      </c>
      <c r="S660">
        <v>0</v>
      </c>
    </row>
    <row r="661" spans="1:19">
      <c r="A661" t="s">
        <v>29</v>
      </c>
      <c r="B661" t="s">
        <v>3879</v>
      </c>
      <c r="C661">
        <f>"MCA100"</f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23</v>
      </c>
      <c r="K661">
        <v>12.42</v>
      </c>
      <c r="L661" s="2">
        <v>1</v>
      </c>
      <c r="M661">
        <v>0</v>
      </c>
      <c r="N661" s="2">
        <v>0</v>
      </c>
      <c r="O661">
        <v>-27.6</v>
      </c>
      <c r="P661" t="s">
        <v>100</v>
      </c>
      <c r="Q661">
        <v>0</v>
      </c>
      <c r="R661" t="s">
        <v>145</v>
      </c>
      <c r="S661">
        <v>0</v>
      </c>
    </row>
    <row r="662" spans="1:19">
      <c r="A662" t="s">
        <v>29</v>
      </c>
      <c r="B662" t="s">
        <v>6924</v>
      </c>
      <c r="C662">
        <f>"BSP3"</f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24</v>
      </c>
      <c r="K662">
        <v>7.191</v>
      </c>
      <c r="L662" s="2">
        <v>0</v>
      </c>
      <c r="M662">
        <v>0</v>
      </c>
      <c r="N662" s="2">
        <v>0</v>
      </c>
      <c r="O662">
        <v>-28.8</v>
      </c>
      <c r="P662" t="s">
        <v>100</v>
      </c>
      <c r="Q662">
        <v>0</v>
      </c>
      <c r="R662" t="s">
        <v>145</v>
      </c>
      <c r="S662">
        <v>0</v>
      </c>
    </row>
    <row r="663" spans="1:19">
      <c r="A663" t="s">
        <v>29</v>
      </c>
      <c r="B663" t="s">
        <v>1556</v>
      </c>
      <c r="C663">
        <f>"RS200W"</f>
        <v>0</v>
      </c>
      <c r="D663">
        <v>0</v>
      </c>
      <c r="E663">
        <v>0</v>
      </c>
      <c r="F663">
        <v>1</v>
      </c>
      <c r="G663">
        <v>1</v>
      </c>
      <c r="H663">
        <v>2</v>
      </c>
      <c r="I663">
        <v>0.5</v>
      </c>
      <c r="J663">
        <v>28</v>
      </c>
      <c r="K663">
        <v>60.48</v>
      </c>
      <c r="L663" s="2">
        <v>2</v>
      </c>
      <c r="M663">
        <v>0</v>
      </c>
      <c r="N663" s="2">
        <v>0</v>
      </c>
      <c r="O663">
        <v>-31.1</v>
      </c>
      <c r="P663" t="s">
        <v>10257</v>
      </c>
      <c r="Q663">
        <v>215</v>
      </c>
      <c r="R663" t="s">
        <v>10275</v>
      </c>
      <c r="S663">
        <v>0</v>
      </c>
    </row>
    <row r="664" spans="1:19">
      <c r="A664" t="s">
        <v>29</v>
      </c>
      <c r="B664" t="s">
        <v>2450</v>
      </c>
      <c r="C664">
        <f>"360533"</f>
        <v>0</v>
      </c>
      <c r="D664">
        <v>1</v>
      </c>
      <c r="E664">
        <v>0</v>
      </c>
      <c r="F664">
        <v>0</v>
      </c>
      <c r="G664">
        <v>0</v>
      </c>
      <c r="H664">
        <v>1</v>
      </c>
      <c r="I664">
        <v>0</v>
      </c>
      <c r="J664">
        <v>26</v>
      </c>
      <c r="K664">
        <v>69.03</v>
      </c>
      <c r="L664" s="2">
        <v>3</v>
      </c>
      <c r="M664">
        <v>0</v>
      </c>
      <c r="N664" s="2">
        <v>0</v>
      </c>
      <c r="O664">
        <v>-31.2</v>
      </c>
      <c r="P664" t="s">
        <v>100</v>
      </c>
      <c r="Q664">
        <v>0</v>
      </c>
      <c r="R664" t="s">
        <v>145</v>
      </c>
      <c r="S664">
        <v>0</v>
      </c>
    </row>
    <row r="665" spans="1:19">
      <c r="A665" t="s">
        <v>29</v>
      </c>
      <c r="B665" t="s">
        <v>2215</v>
      </c>
      <c r="C665">
        <f>"BSSTAR"</f>
        <v>0</v>
      </c>
      <c r="D665">
        <v>1</v>
      </c>
      <c r="E665">
        <v>1</v>
      </c>
      <c r="F665">
        <v>0</v>
      </c>
      <c r="G665">
        <v>0</v>
      </c>
      <c r="H665">
        <v>2</v>
      </c>
      <c r="I665">
        <v>0.5</v>
      </c>
      <c r="J665">
        <v>27</v>
      </c>
      <c r="K665">
        <v>23.085</v>
      </c>
      <c r="L665" s="2">
        <v>1</v>
      </c>
      <c r="M665">
        <v>0</v>
      </c>
      <c r="N665" s="2">
        <v>0</v>
      </c>
      <c r="O665">
        <v>-31.9</v>
      </c>
      <c r="P665" t="s">
        <v>100</v>
      </c>
      <c r="Q665">
        <v>0</v>
      </c>
      <c r="R665" t="s">
        <v>145</v>
      </c>
      <c r="S665">
        <v>0</v>
      </c>
    </row>
    <row r="666" spans="1:19">
      <c r="A666" t="s">
        <v>29</v>
      </c>
      <c r="B666" t="s">
        <v>1639</v>
      </c>
      <c r="C666">
        <f>"AA015"</f>
        <v>0</v>
      </c>
      <c r="D666">
        <v>0</v>
      </c>
      <c r="E666">
        <v>1</v>
      </c>
      <c r="F666">
        <v>0</v>
      </c>
      <c r="G666">
        <v>2</v>
      </c>
      <c r="H666">
        <v>3</v>
      </c>
      <c r="I666">
        <v>0.5</v>
      </c>
      <c r="J666">
        <v>35</v>
      </c>
      <c r="K666">
        <v>18.585</v>
      </c>
      <c r="L666" s="2">
        <v>1</v>
      </c>
      <c r="M666">
        <v>0</v>
      </c>
      <c r="N666" s="2">
        <v>0</v>
      </c>
      <c r="O666">
        <v>-34.5</v>
      </c>
      <c r="P666" t="s">
        <v>10258</v>
      </c>
      <c r="Q666">
        <v>106</v>
      </c>
      <c r="R666" t="s">
        <v>10276</v>
      </c>
      <c r="S666">
        <v>1</v>
      </c>
    </row>
    <row r="667" spans="1:19">
      <c r="A667" t="s">
        <v>29</v>
      </c>
      <c r="B667" t="s">
        <v>1647</v>
      </c>
      <c r="C667">
        <f>"K723"</f>
        <v>0</v>
      </c>
      <c r="D667">
        <v>2</v>
      </c>
      <c r="E667">
        <v>2</v>
      </c>
      <c r="F667">
        <v>0</v>
      </c>
      <c r="G667">
        <v>1</v>
      </c>
      <c r="H667">
        <v>5</v>
      </c>
      <c r="I667">
        <v>1.5</v>
      </c>
      <c r="J667">
        <v>38</v>
      </c>
      <c r="K667">
        <v>33.858</v>
      </c>
      <c r="L667" s="2">
        <v>1</v>
      </c>
      <c r="M667">
        <v>0</v>
      </c>
      <c r="N667" s="2">
        <v>0</v>
      </c>
      <c r="O667">
        <v>-39.1</v>
      </c>
      <c r="P667" t="s">
        <v>10259</v>
      </c>
      <c r="Q667">
        <v>89</v>
      </c>
      <c r="R667" t="s">
        <v>10276</v>
      </c>
      <c r="S667">
        <v>1</v>
      </c>
    </row>
    <row r="668" spans="1:19">
      <c r="A668" t="s">
        <v>29</v>
      </c>
      <c r="B668" t="s">
        <v>2531</v>
      </c>
      <c r="C668">
        <f>"M990"</f>
        <v>0</v>
      </c>
      <c r="D668">
        <v>1</v>
      </c>
      <c r="E668">
        <v>0</v>
      </c>
      <c r="F668">
        <v>0</v>
      </c>
      <c r="G668">
        <v>0</v>
      </c>
      <c r="H668">
        <v>1</v>
      </c>
      <c r="I668">
        <v>0</v>
      </c>
      <c r="J668">
        <v>34</v>
      </c>
      <c r="K668">
        <v>56.61</v>
      </c>
      <c r="L668" s="2">
        <v>2</v>
      </c>
      <c r="M668">
        <v>0</v>
      </c>
      <c r="N668" s="2">
        <v>0</v>
      </c>
      <c r="O668">
        <v>-40.8</v>
      </c>
      <c r="P668" t="s">
        <v>100</v>
      </c>
      <c r="Q668">
        <v>0</v>
      </c>
      <c r="R668" t="s">
        <v>145</v>
      </c>
      <c r="S668">
        <v>0</v>
      </c>
    </row>
    <row r="669" spans="1:19">
      <c r="A669" t="s">
        <v>29</v>
      </c>
      <c r="B669" t="s">
        <v>1682</v>
      </c>
      <c r="C669">
        <f>"F2M2"</f>
        <v>0</v>
      </c>
      <c r="D669">
        <v>20</v>
      </c>
      <c r="E669">
        <v>0</v>
      </c>
      <c r="F669">
        <v>0</v>
      </c>
      <c r="G669">
        <v>0</v>
      </c>
      <c r="H669">
        <v>20</v>
      </c>
      <c r="I669">
        <v>0</v>
      </c>
      <c r="J669">
        <v>36</v>
      </c>
      <c r="K669">
        <v>4.104</v>
      </c>
      <c r="L669" s="2">
        <v>0</v>
      </c>
      <c r="M669">
        <v>0</v>
      </c>
      <c r="N669" s="2">
        <v>0</v>
      </c>
      <c r="O669">
        <v>-43.2</v>
      </c>
      <c r="P669" t="s">
        <v>100</v>
      </c>
      <c r="Q669">
        <v>0</v>
      </c>
      <c r="R669" t="s">
        <v>145</v>
      </c>
      <c r="S669">
        <v>0</v>
      </c>
    </row>
    <row r="670" spans="1:19">
      <c r="A670" t="s">
        <v>29</v>
      </c>
      <c r="B670" t="s">
        <v>5504</v>
      </c>
      <c r="C670">
        <f>"red4"</f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41</v>
      </c>
      <c r="K670">
        <v>18.081</v>
      </c>
      <c r="L670" s="2">
        <v>0</v>
      </c>
      <c r="M670">
        <v>0</v>
      </c>
      <c r="N670" s="2">
        <v>0</v>
      </c>
      <c r="O670">
        <v>-49.2</v>
      </c>
      <c r="P670" t="s">
        <v>100</v>
      </c>
      <c r="Q670">
        <v>0</v>
      </c>
      <c r="R670" t="s">
        <v>145</v>
      </c>
      <c r="S670">
        <v>0</v>
      </c>
    </row>
    <row r="671" spans="1:19">
      <c r="A671" t="s">
        <v>29</v>
      </c>
      <c r="B671" t="s">
        <v>1700</v>
      </c>
      <c r="C671">
        <f>"CA12V"</f>
        <v>0</v>
      </c>
      <c r="D671">
        <v>1</v>
      </c>
      <c r="E671">
        <v>1</v>
      </c>
      <c r="F671">
        <v>0</v>
      </c>
      <c r="G671">
        <v>1</v>
      </c>
      <c r="H671">
        <v>3</v>
      </c>
      <c r="I671">
        <v>1</v>
      </c>
      <c r="J671">
        <v>53</v>
      </c>
      <c r="K671">
        <v>18.603</v>
      </c>
      <c r="L671" s="2">
        <v>0</v>
      </c>
      <c r="M671">
        <v>0</v>
      </c>
      <c r="N671" s="2">
        <v>0</v>
      </c>
      <c r="O671">
        <v>-57.59999999999999</v>
      </c>
      <c r="P671" t="s">
        <v>10260</v>
      </c>
      <c r="Q671">
        <v>62</v>
      </c>
      <c r="R671" t="s">
        <v>10277</v>
      </c>
      <c r="S671">
        <v>1</v>
      </c>
    </row>
    <row r="672" spans="1:19">
      <c r="A672" t="s">
        <v>29</v>
      </c>
      <c r="B672" t="s">
        <v>2405</v>
      </c>
      <c r="C672">
        <f>"BSSHELL"</f>
        <v>0</v>
      </c>
      <c r="D672">
        <v>1</v>
      </c>
      <c r="E672">
        <v>0</v>
      </c>
      <c r="F672">
        <v>0</v>
      </c>
      <c r="G672">
        <v>0</v>
      </c>
      <c r="H672">
        <v>1</v>
      </c>
      <c r="I672">
        <v>0</v>
      </c>
      <c r="J672">
        <v>48</v>
      </c>
      <c r="K672">
        <v>25.488</v>
      </c>
      <c r="L672" s="2">
        <v>1</v>
      </c>
      <c r="M672">
        <v>0</v>
      </c>
      <c r="N672" s="2">
        <v>0</v>
      </c>
      <c r="O672">
        <v>-57.59999999999999</v>
      </c>
      <c r="P672" t="s">
        <v>100</v>
      </c>
      <c r="Q672">
        <v>0</v>
      </c>
      <c r="R672" t="s">
        <v>145</v>
      </c>
      <c r="S672">
        <v>0</v>
      </c>
    </row>
    <row r="673" spans="1:19">
      <c r="A673" t="s">
        <v>29</v>
      </c>
      <c r="B673" t="s">
        <v>2555</v>
      </c>
      <c r="C673">
        <f>"F8"</f>
        <v>0</v>
      </c>
      <c r="D673">
        <v>0</v>
      </c>
      <c r="E673">
        <v>0</v>
      </c>
      <c r="F673">
        <v>1</v>
      </c>
      <c r="G673">
        <v>0</v>
      </c>
      <c r="H673">
        <v>1</v>
      </c>
      <c r="I673">
        <v>0</v>
      </c>
      <c r="J673">
        <v>48</v>
      </c>
      <c r="K673">
        <v>9.576000000000001</v>
      </c>
      <c r="L673" s="2">
        <v>0</v>
      </c>
      <c r="M673">
        <v>0</v>
      </c>
      <c r="N673" s="2">
        <v>0</v>
      </c>
      <c r="O673">
        <v>-57.59999999999999</v>
      </c>
      <c r="P673" t="s">
        <v>100</v>
      </c>
      <c r="Q673">
        <v>0</v>
      </c>
      <c r="R673" t="s">
        <v>145</v>
      </c>
      <c r="S673">
        <v>0</v>
      </c>
    </row>
    <row r="674" spans="1:19">
      <c r="A674" t="s">
        <v>29</v>
      </c>
      <c r="B674" t="s">
        <v>5290</v>
      </c>
      <c r="C674">
        <f>"PT5"</f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50</v>
      </c>
      <c r="K674">
        <v>10.125</v>
      </c>
      <c r="L674" s="2">
        <v>0</v>
      </c>
      <c r="M674">
        <v>0</v>
      </c>
      <c r="N674" s="2">
        <v>0</v>
      </c>
      <c r="O674">
        <v>-60</v>
      </c>
      <c r="P674" t="s">
        <v>100</v>
      </c>
      <c r="Q674">
        <v>0</v>
      </c>
      <c r="R674" t="s">
        <v>145</v>
      </c>
      <c r="S674">
        <v>0</v>
      </c>
    </row>
    <row r="675" spans="1:19">
      <c r="A675" t="s">
        <v>29</v>
      </c>
      <c r="B675" t="s">
        <v>5289</v>
      </c>
      <c r="C675">
        <f>"PT3"</f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50</v>
      </c>
      <c r="K675">
        <v>2.025</v>
      </c>
      <c r="L675" s="2">
        <v>0</v>
      </c>
      <c r="M675">
        <v>0</v>
      </c>
      <c r="N675" s="2">
        <v>0</v>
      </c>
      <c r="O675">
        <v>-60</v>
      </c>
      <c r="P675" t="s">
        <v>100</v>
      </c>
      <c r="Q675">
        <v>0</v>
      </c>
      <c r="R675" t="s">
        <v>145</v>
      </c>
      <c r="S675">
        <v>0</v>
      </c>
    </row>
    <row r="676" spans="1:19">
      <c r="A676" t="s">
        <v>29</v>
      </c>
      <c r="B676" t="s">
        <v>5288</v>
      </c>
      <c r="C676">
        <f>"PT2"</f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50</v>
      </c>
      <c r="K676">
        <v>3.263</v>
      </c>
      <c r="L676" s="2">
        <v>0</v>
      </c>
      <c r="M676">
        <v>0</v>
      </c>
      <c r="N676" s="2">
        <v>0</v>
      </c>
      <c r="O676">
        <v>-60</v>
      </c>
      <c r="P676" t="s">
        <v>100</v>
      </c>
      <c r="Q676">
        <v>0</v>
      </c>
      <c r="R676" t="s">
        <v>145</v>
      </c>
      <c r="S676">
        <v>0</v>
      </c>
    </row>
    <row r="677" spans="1:19">
      <c r="A677" t="s">
        <v>29</v>
      </c>
      <c r="B677" t="s">
        <v>1596</v>
      </c>
      <c r="C677">
        <f>"PTB"</f>
        <v>0</v>
      </c>
      <c r="D677">
        <v>0</v>
      </c>
      <c r="E677">
        <v>20</v>
      </c>
      <c r="F677">
        <v>20</v>
      </c>
      <c r="G677">
        <v>0</v>
      </c>
      <c r="H677">
        <v>40</v>
      </c>
      <c r="I677">
        <v>10</v>
      </c>
      <c r="J677">
        <v>60</v>
      </c>
      <c r="K677">
        <v>38.448</v>
      </c>
      <c r="L677" s="2">
        <v>1</v>
      </c>
      <c r="M677">
        <v>0</v>
      </c>
      <c r="N677" s="2">
        <v>0</v>
      </c>
      <c r="O677">
        <v>-62</v>
      </c>
      <c r="P677" t="s">
        <v>100</v>
      </c>
      <c r="Q677">
        <v>0</v>
      </c>
      <c r="R677" t="s">
        <v>145</v>
      </c>
      <c r="S677">
        <v>0</v>
      </c>
    </row>
    <row r="678" spans="1:19">
      <c r="A678" t="s">
        <v>29</v>
      </c>
      <c r="B678" t="s">
        <v>3858</v>
      </c>
      <c r="C678">
        <f>"200M"</f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65</v>
      </c>
      <c r="K678">
        <v>8.746</v>
      </c>
      <c r="L678" s="2">
        <v>0</v>
      </c>
      <c r="M678">
        <v>0</v>
      </c>
      <c r="N678" s="2">
        <v>0</v>
      </c>
      <c r="O678">
        <v>-78</v>
      </c>
      <c r="P678" t="s">
        <v>100</v>
      </c>
      <c r="Q678">
        <v>0</v>
      </c>
      <c r="R678" t="s">
        <v>145</v>
      </c>
      <c r="S678">
        <v>0</v>
      </c>
    </row>
    <row r="679" spans="1:19">
      <c r="A679" t="s">
        <v>29</v>
      </c>
      <c r="B679" t="s">
        <v>3104</v>
      </c>
      <c r="C679">
        <f>"CA13V"</f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69</v>
      </c>
      <c r="K679">
        <v>293</v>
      </c>
      <c r="L679" s="2">
        <v>4</v>
      </c>
      <c r="M679">
        <v>0</v>
      </c>
      <c r="N679" s="2">
        <v>0</v>
      </c>
      <c r="O679">
        <v>-82.8</v>
      </c>
      <c r="P679" t="s">
        <v>100</v>
      </c>
      <c r="Q679">
        <v>0</v>
      </c>
      <c r="R679" t="s">
        <v>145</v>
      </c>
      <c r="S679">
        <v>0</v>
      </c>
    </row>
    <row r="680" spans="1:19">
      <c r="A680" t="s">
        <v>29</v>
      </c>
      <c r="B680" t="s">
        <v>2551</v>
      </c>
      <c r="C680">
        <f>"MCA30"</f>
        <v>0</v>
      </c>
      <c r="D680">
        <v>1</v>
      </c>
      <c r="E680">
        <v>0</v>
      </c>
      <c r="F680">
        <v>0</v>
      </c>
      <c r="G680">
        <v>0</v>
      </c>
      <c r="H680">
        <v>1</v>
      </c>
      <c r="I680">
        <v>0</v>
      </c>
      <c r="J680">
        <v>69</v>
      </c>
      <c r="K680">
        <v>37.26</v>
      </c>
      <c r="L680" s="2">
        <v>1</v>
      </c>
      <c r="M680">
        <v>0</v>
      </c>
      <c r="N680" s="2">
        <v>0</v>
      </c>
      <c r="O680">
        <v>-82.8</v>
      </c>
      <c r="P680" t="s">
        <v>100</v>
      </c>
      <c r="Q680">
        <v>0</v>
      </c>
      <c r="R680" t="s">
        <v>145</v>
      </c>
      <c r="S680">
        <v>0</v>
      </c>
    </row>
    <row r="681" spans="1:19">
      <c r="A681" t="s">
        <v>29</v>
      </c>
      <c r="B681" t="s">
        <v>9424</v>
      </c>
      <c r="C681">
        <f>"M2KF1"</f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70</v>
      </c>
      <c r="K681">
        <v>9.66</v>
      </c>
      <c r="L681" s="2">
        <v>0</v>
      </c>
      <c r="M681">
        <v>0</v>
      </c>
      <c r="N681" s="2">
        <v>0</v>
      </c>
      <c r="O681">
        <v>-84</v>
      </c>
      <c r="P681" t="s">
        <v>100</v>
      </c>
      <c r="Q681">
        <v>0</v>
      </c>
      <c r="R681" t="s">
        <v>145</v>
      </c>
      <c r="S681">
        <v>0</v>
      </c>
    </row>
    <row r="682" spans="1:19">
      <c r="A682" t="s">
        <v>29</v>
      </c>
      <c r="B682" t="s">
        <v>6933</v>
      </c>
      <c r="C682">
        <f>"BSL4"</f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84</v>
      </c>
      <c r="K682">
        <v>37.044</v>
      </c>
      <c r="L682" s="2">
        <v>0</v>
      </c>
      <c r="M682">
        <v>0</v>
      </c>
      <c r="N682" s="2">
        <v>0</v>
      </c>
      <c r="O682">
        <v>-100.8</v>
      </c>
      <c r="P682" t="s">
        <v>100</v>
      </c>
      <c r="Q682">
        <v>0</v>
      </c>
      <c r="R682" t="s">
        <v>145</v>
      </c>
      <c r="S682">
        <v>0</v>
      </c>
    </row>
    <row r="683" spans="1:19">
      <c r="A683" t="s">
        <v>29</v>
      </c>
      <c r="B683" t="s">
        <v>5179</v>
      </c>
      <c r="C683">
        <f>"BTX"</f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92</v>
      </c>
      <c r="K683">
        <v>2.944</v>
      </c>
      <c r="L683" s="2">
        <v>0</v>
      </c>
      <c r="M683">
        <v>0</v>
      </c>
      <c r="N683" s="2">
        <v>0</v>
      </c>
      <c r="O683">
        <v>-110.4</v>
      </c>
      <c r="P683" t="s">
        <v>100</v>
      </c>
      <c r="Q683">
        <v>0</v>
      </c>
      <c r="R683" t="s">
        <v>145</v>
      </c>
      <c r="S683">
        <v>0</v>
      </c>
    </row>
    <row r="684" spans="1:19">
      <c r="A684" t="s">
        <v>29</v>
      </c>
      <c r="B684" t="s">
        <v>3359</v>
      </c>
      <c r="C684">
        <f>"CT5020T"</f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100</v>
      </c>
      <c r="K684">
        <v>13.5</v>
      </c>
      <c r="L684" s="2">
        <v>0</v>
      </c>
      <c r="M684">
        <v>0</v>
      </c>
      <c r="N684" s="2">
        <v>0</v>
      </c>
      <c r="O684">
        <v>-120</v>
      </c>
      <c r="P684" t="s">
        <v>100</v>
      </c>
      <c r="Q684">
        <v>0</v>
      </c>
      <c r="R684" t="s">
        <v>145</v>
      </c>
      <c r="S684">
        <v>0</v>
      </c>
    </row>
    <row r="685" spans="1:19">
      <c r="A685" t="s">
        <v>29</v>
      </c>
      <c r="B685" t="s">
        <v>5305</v>
      </c>
      <c r="C685">
        <f>"SB2"</f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100</v>
      </c>
      <c r="K685">
        <v>270</v>
      </c>
      <c r="L685" s="2">
        <v>3</v>
      </c>
      <c r="M685">
        <v>0</v>
      </c>
      <c r="N685" s="2">
        <v>0</v>
      </c>
      <c r="O685">
        <v>-120</v>
      </c>
      <c r="P685" t="s">
        <v>100</v>
      </c>
      <c r="Q685">
        <v>0</v>
      </c>
      <c r="R685" t="s">
        <v>145</v>
      </c>
      <c r="S685">
        <v>0</v>
      </c>
    </row>
    <row r="686" spans="1:19">
      <c r="A686" t="s">
        <v>29</v>
      </c>
      <c r="B686" t="s">
        <v>5291</v>
      </c>
      <c r="C686">
        <f>"PT11"</f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100</v>
      </c>
      <c r="K686">
        <v>8.955</v>
      </c>
      <c r="L686" s="2">
        <v>0</v>
      </c>
      <c r="M686">
        <v>0</v>
      </c>
      <c r="N686" s="2">
        <v>0</v>
      </c>
      <c r="O686">
        <v>-120</v>
      </c>
      <c r="P686" t="s">
        <v>100</v>
      </c>
      <c r="Q686">
        <v>0</v>
      </c>
      <c r="R686" t="s">
        <v>145</v>
      </c>
      <c r="S686">
        <v>0</v>
      </c>
    </row>
    <row r="687" spans="1:19">
      <c r="A687" t="s">
        <v>29</v>
      </c>
      <c r="B687" t="s">
        <v>2037</v>
      </c>
      <c r="C687">
        <f>"SB1"</f>
        <v>0</v>
      </c>
      <c r="D687">
        <v>0</v>
      </c>
      <c r="E687">
        <v>3</v>
      </c>
      <c r="F687">
        <v>0</v>
      </c>
      <c r="G687">
        <v>2</v>
      </c>
      <c r="H687">
        <v>5</v>
      </c>
      <c r="I687">
        <v>1</v>
      </c>
      <c r="J687">
        <v>115</v>
      </c>
      <c r="K687">
        <v>310.5</v>
      </c>
      <c r="L687" s="2">
        <v>3</v>
      </c>
      <c r="M687">
        <v>0</v>
      </c>
      <c r="N687" s="2">
        <v>0</v>
      </c>
      <c r="O687">
        <v>-130</v>
      </c>
      <c r="P687" t="s">
        <v>10261</v>
      </c>
      <c r="Q687">
        <v>-5.232</v>
      </c>
      <c r="R687" t="s">
        <v>10278</v>
      </c>
      <c r="S687">
        <v>1</v>
      </c>
    </row>
    <row r="688" spans="1:19">
      <c r="A688" t="s">
        <v>29</v>
      </c>
      <c r="B688" t="s">
        <v>2026</v>
      </c>
      <c r="C688">
        <f>"LBL16"</f>
        <v>0</v>
      </c>
      <c r="D688">
        <v>0</v>
      </c>
      <c r="E688">
        <v>0</v>
      </c>
      <c r="F688">
        <v>4</v>
      </c>
      <c r="G688">
        <v>0</v>
      </c>
      <c r="H688">
        <v>4</v>
      </c>
      <c r="I688">
        <v>0</v>
      </c>
      <c r="J688">
        <v>122</v>
      </c>
      <c r="K688">
        <v>103.212</v>
      </c>
      <c r="L688" s="2">
        <v>1</v>
      </c>
      <c r="M688">
        <v>0</v>
      </c>
      <c r="N688" s="2">
        <v>0</v>
      </c>
      <c r="O688">
        <v>-146.4</v>
      </c>
      <c r="P688" t="s">
        <v>100</v>
      </c>
      <c r="Q688">
        <v>0</v>
      </c>
      <c r="R688" t="s">
        <v>145</v>
      </c>
      <c r="S688">
        <v>0</v>
      </c>
    </row>
    <row r="689" spans="1:19">
      <c r="A689" t="s">
        <v>29</v>
      </c>
      <c r="B689" t="s">
        <v>254</v>
      </c>
      <c r="C689">
        <f>"AA022"</f>
        <v>0</v>
      </c>
      <c r="D689">
        <v>0</v>
      </c>
      <c r="E689">
        <v>0</v>
      </c>
      <c r="F689">
        <v>0</v>
      </c>
      <c r="G689">
        <v>22</v>
      </c>
      <c r="H689">
        <v>22</v>
      </c>
      <c r="I689">
        <v>0</v>
      </c>
      <c r="J689">
        <v>178</v>
      </c>
      <c r="K689">
        <v>9.612</v>
      </c>
      <c r="L689" s="2">
        <v>0</v>
      </c>
      <c r="M689">
        <v>0</v>
      </c>
      <c r="N689" s="2">
        <v>0</v>
      </c>
      <c r="O689">
        <v>-166.6</v>
      </c>
      <c r="P689" t="s">
        <v>10262</v>
      </c>
      <c r="Q689">
        <v>845</v>
      </c>
      <c r="R689" t="s">
        <v>10279</v>
      </c>
      <c r="S689">
        <v>1</v>
      </c>
    </row>
    <row r="690" spans="1:19">
      <c r="A690" t="s">
        <v>29</v>
      </c>
      <c r="B690" t="s">
        <v>1903</v>
      </c>
      <c r="C690">
        <f>"MDIF"</f>
        <v>0</v>
      </c>
      <c r="D690">
        <v>0</v>
      </c>
      <c r="E690">
        <v>3</v>
      </c>
      <c r="F690">
        <v>3</v>
      </c>
      <c r="G690">
        <v>0</v>
      </c>
      <c r="H690">
        <v>6</v>
      </c>
      <c r="I690">
        <v>1.5</v>
      </c>
      <c r="J690">
        <v>200</v>
      </c>
      <c r="K690">
        <v>12.582</v>
      </c>
      <c r="L690" s="2">
        <v>0</v>
      </c>
      <c r="M690">
        <v>0</v>
      </c>
      <c r="N690" s="2">
        <v>0</v>
      </c>
      <c r="O690">
        <v>-238.5</v>
      </c>
      <c r="P690" t="s">
        <v>100</v>
      </c>
      <c r="Q690">
        <v>0</v>
      </c>
      <c r="R690" t="s">
        <v>145</v>
      </c>
      <c r="S690">
        <v>0</v>
      </c>
    </row>
    <row r="691" spans="1:19">
      <c r="A691" t="s">
        <v>29</v>
      </c>
      <c r="B691" t="s">
        <v>1922</v>
      </c>
      <c r="C691">
        <f>"GLASS12"</f>
        <v>0</v>
      </c>
      <c r="D691">
        <v>2</v>
      </c>
      <c r="E691">
        <v>0</v>
      </c>
      <c r="F691">
        <v>3</v>
      </c>
      <c r="G691">
        <v>0</v>
      </c>
      <c r="H691">
        <v>5</v>
      </c>
      <c r="I691">
        <v>1</v>
      </c>
      <c r="J691">
        <v>225</v>
      </c>
      <c r="K691">
        <v>101.081</v>
      </c>
      <c r="L691" s="2">
        <v>0</v>
      </c>
      <c r="M691">
        <v>0</v>
      </c>
      <c r="N691" s="2">
        <v>0</v>
      </c>
      <c r="O691">
        <v>-269</v>
      </c>
      <c r="P691" t="s">
        <v>100</v>
      </c>
      <c r="Q691">
        <v>0</v>
      </c>
      <c r="R691" t="s">
        <v>145</v>
      </c>
      <c r="S691">
        <v>0</v>
      </c>
    </row>
    <row r="692" spans="1:19">
      <c r="A692" t="s">
        <v>29</v>
      </c>
      <c r="B692" t="s">
        <v>2458</v>
      </c>
      <c r="C692">
        <f>"CA12R"</f>
        <v>0</v>
      </c>
      <c r="D692">
        <v>1</v>
      </c>
      <c r="E692">
        <v>0</v>
      </c>
      <c r="F692">
        <v>0</v>
      </c>
      <c r="G692">
        <v>0</v>
      </c>
      <c r="H692">
        <v>1</v>
      </c>
      <c r="I692">
        <v>0</v>
      </c>
      <c r="J692">
        <v>263</v>
      </c>
      <c r="K692">
        <v>92.313</v>
      </c>
      <c r="L692" s="2">
        <v>0</v>
      </c>
      <c r="M692">
        <v>0</v>
      </c>
      <c r="N692" s="2">
        <v>0</v>
      </c>
      <c r="O692">
        <v>-315.6</v>
      </c>
      <c r="P692" t="s">
        <v>100</v>
      </c>
      <c r="Q692">
        <v>0</v>
      </c>
      <c r="R692" t="s">
        <v>145</v>
      </c>
      <c r="S692">
        <v>0</v>
      </c>
    </row>
    <row r="693" spans="1:19">
      <c r="A693" t="s">
        <v>29</v>
      </c>
      <c r="B693" t="s">
        <v>2678</v>
      </c>
      <c r="C693">
        <f>"LBL18"</f>
        <v>0</v>
      </c>
      <c r="D693">
        <v>0</v>
      </c>
      <c r="E693">
        <v>1</v>
      </c>
      <c r="F693">
        <v>0</v>
      </c>
      <c r="G693">
        <v>0</v>
      </c>
      <c r="H693">
        <v>1</v>
      </c>
      <c r="I693">
        <v>0</v>
      </c>
      <c r="J693">
        <v>269</v>
      </c>
      <c r="K693">
        <v>397.563</v>
      </c>
      <c r="L693" s="2">
        <v>1</v>
      </c>
      <c r="M693">
        <v>0</v>
      </c>
      <c r="N693" s="2">
        <v>0</v>
      </c>
      <c r="O693">
        <v>-322.8</v>
      </c>
      <c r="P693" t="s">
        <v>100</v>
      </c>
      <c r="Q693">
        <v>0</v>
      </c>
      <c r="R693" t="s">
        <v>145</v>
      </c>
      <c r="S693">
        <v>0</v>
      </c>
    </row>
    <row r="694" spans="1:19">
      <c r="A694" t="s">
        <v>29</v>
      </c>
      <c r="B694" t="s">
        <v>1541</v>
      </c>
      <c r="C694">
        <f>"NC0129"</f>
        <v>0</v>
      </c>
      <c r="D694">
        <v>0</v>
      </c>
      <c r="E694">
        <v>18</v>
      </c>
      <c r="F694">
        <v>19</v>
      </c>
      <c r="G694">
        <v>0</v>
      </c>
      <c r="H694">
        <v>37</v>
      </c>
      <c r="I694">
        <v>9</v>
      </c>
      <c r="J694">
        <v>366</v>
      </c>
      <c r="K694">
        <v>39.528</v>
      </c>
      <c r="L694" s="2">
        <v>0</v>
      </c>
      <c r="M694">
        <v>0</v>
      </c>
      <c r="N694" s="2">
        <v>0</v>
      </c>
      <c r="O694">
        <v>-430.2</v>
      </c>
      <c r="P694" t="s">
        <v>100</v>
      </c>
      <c r="Q694">
        <v>108</v>
      </c>
      <c r="R694" t="s">
        <v>145</v>
      </c>
      <c r="S694">
        <v>0</v>
      </c>
    </row>
  </sheetData>
  <autoFilter ref="A2:S694"/>
  <hyperlinks>
    <hyperlink ref="A1" location="'ÍNDICE'!A1" display="⬅ Volver al índice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S16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225</v>
      </c>
      <c r="B3" t="s">
        <v>2873</v>
      </c>
      <c r="C3">
        <f>"ASANA100"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225</v>
      </c>
      <c r="B4" t="s">
        <v>8532</v>
      </c>
      <c r="C4">
        <f>"00430"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225</v>
      </c>
      <c r="B5" t="s">
        <v>3509</v>
      </c>
      <c r="C5">
        <f>"MM100"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225</v>
      </c>
      <c r="B6" t="s">
        <v>3846</v>
      </c>
      <c r="C6">
        <f>"MTR"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225</v>
      </c>
      <c r="B7" t="s">
        <v>4286</v>
      </c>
      <c r="C7">
        <f>"00530"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225</v>
      </c>
      <c r="B8" t="s">
        <v>4306</v>
      </c>
      <c r="C8">
        <f>"NFERRO100"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225</v>
      </c>
      <c r="B9" t="s">
        <v>4340</v>
      </c>
      <c r="C9">
        <f>"NFERRO250"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</v>
      </c>
      <c r="K9">
        <v>3.1</v>
      </c>
      <c r="L9" s="2">
        <v>3</v>
      </c>
      <c r="M9">
        <v>0</v>
      </c>
      <c r="N9" s="2">
        <v>0</v>
      </c>
      <c r="O9">
        <v>-1.2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225</v>
      </c>
      <c r="B10" t="s">
        <v>4319</v>
      </c>
      <c r="C10">
        <f>"NL500"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v>11.691</v>
      </c>
      <c r="L10" s="2">
        <v>12</v>
      </c>
      <c r="M10">
        <v>0</v>
      </c>
      <c r="N10" s="2">
        <v>0</v>
      </c>
      <c r="O10">
        <v>-1.2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225</v>
      </c>
      <c r="B11" t="s">
        <v>4265</v>
      </c>
      <c r="C11">
        <f>"OR20KG"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</v>
      </c>
      <c r="K11">
        <v>0</v>
      </c>
      <c r="L11" s="2">
        <v>0</v>
      </c>
      <c r="M11">
        <v>0</v>
      </c>
      <c r="N11" s="2">
        <v>0</v>
      </c>
      <c r="O11">
        <v>-1.2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225</v>
      </c>
      <c r="B12" t="s">
        <v>2879</v>
      </c>
      <c r="C12">
        <f>"2100"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8.359999999999999</v>
      </c>
      <c r="L12" s="2">
        <v>4</v>
      </c>
      <c r="M12">
        <v>0</v>
      </c>
      <c r="N12" s="2">
        <v>0</v>
      </c>
      <c r="O12">
        <v>-2.4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225</v>
      </c>
      <c r="B13" t="s">
        <v>6046</v>
      </c>
      <c r="C13">
        <f>"77134"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</v>
      </c>
      <c r="K13">
        <v>16.875</v>
      </c>
      <c r="L13" s="2">
        <v>3</v>
      </c>
      <c r="M13">
        <v>0</v>
      </c>
      <c r="N13" s="2">
        <v>0</v>
      </c>
      <c r="O13">
        <v>-6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225</v>
      </c>
      <c r="B14" t="s">
        <v>4343</v>
      </c>
      <c r="C14">
        <f>"NOP200"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7</v>
      </c>
      <c r="K14">
        <v>6.57</v>
      </c>
      <c r="L14" s="2">
        <v>1</v>
      </c>
      <c r="M14">
        <v>0</v>
      </c>
      <c r="N14" s="2">
        <v>0</v>
      </c>
      <c r="O14">
        <v>-8.4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225</v>
      </c>
      <c r="B15" t="s">
        <v>4342</v>
      </c>
      <c r="C15">
        <f>"NOP400"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8</v>
      </c>
      <c r="K15">
        <v>0</v>
      </c>
      <c r="L15" s="2">
        <v>0</v>
      </c>
      <c r="M15">
        <v>0</v>
      </c>
      <c r="N15" s="2">
        <v>0</v>
      </c>
      <c r="O15">
        <v>-9.6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225</v>
      </c>
      <c r="B16" t="s">
        <v>4344</v>
      </c>
      <c r="C16">
        <f>"NON200"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8</v>
      </c>
      <c r="K16">
        <v>47.088</v>
      </c>
      <c r="L16" s="2">
        <v>6</v>
      </c>
      <c r="M16">
        <v>0</v>
      </c>
      <c r="N16" s="2">
        <v>0</v>
      </c>
      <c r="O16">
        <v>-9.6</v>
      </c>
      <c r="P16" t="s">
        <v>100</v>
      </c>
      <c r="Q16">
        <v>0</v>
      </c>
      <c r="R16" t="s">
        <v>145</v>
      </c>
      <c r="S16">
        <v>0</v>
      </c>
    </row>
  </sheetData>
  <autoFilter ref="A2:S16"/>
  <hyperlinks>
    <hyperlink ref="A1" location="'ÍNDICE'!A1" display="⬅ Volver al índice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S2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204</v>
      </c>
      <c r="B3" t="s">
        <v>431</v>
      </c>
      <c r="C3">
        <f>"12341824"</f>
        <v>0</v>
      </c>
      <c r="D3">
        <v>15</v>
      </c>
      <c r="E3">
        <v>16</v>
      </c>
      <c r="F3">
        <v>0</v>
      </c>
      <c r="G3">
        <v>0</v>
      </c>
      <c r="H3">
        <v>31</v>
      </c>
      <c r="I3">
        <v>7.5</v>
      </c>
      <c r="J3">
        <v>0</v>
      </c>
      <c r="K3">
        <v>0</v>
      </c>
      <c r="L3" s="2">
        <v>0</v>
      </c>
      <c r="M3">
        <v>8</v>
      </c>
      <c r="N3" s="2">
        <v>0</v>
      </c>
      <c r="O3">
        <v>7.5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204</v>
      </c>
      <c r="B4" t="s">
        <v>572</v>
      </c>
      <c r="C4">
        <f>"12604219"</f>
        <v>0</v>
      </c>
      <c r="D4">
        <v>4</v>
      </c>
      <c r="E4">
        <v>7</v>
      </c>
      <c r="F4">
        <v>0</v>
      </c>
      <c r="G4">
        <v>0</v>
      </c>
      <c r="H4">
        <v>11</v>
      </c>
      <c r="I4">
        <v>2</v>
      </c>
      <c r="J4">
        <v>0</v>
      </c>
      <c r="K4">
        <v>0</v>
      </c>
      <c r="L4" s="2">
        <v>0</v>
      </c>
      <c r="M4">
        <v>2</v>
      </c>
      <c r="N4" s="2">
        <v>0</v>
      </c>
      <c r="O4">
        <v>2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204</v>
      </c>
      <c r="B5" t="s">
        <v>703</v>
      </c>
      <c r="C5">
        <f>"12450606"</f>
        <v>0</v>
      </c>
      <c r="D5">
        <v>3</v>
      </c>
      <c r="E5">
        <v>3</v>
      </c>
      <c r="F5">
        <v>0</v>
      </c>
      <c r="G5">
        <v>0</v>
      </c>
      <c r="H5">
        <v>6</v>
      </c>
      <c r="I5">
        <v>1.5</v>
      </c>
      <c r="J5">
        <v>0</v>
      </c>
      <c r="K5">
        <v>0</v>
      </c>
      <c r="L5" s="2">
        <v>0</v>
      </c>
      <c r="M5">
        <v>2</v>
      </c>
      <c r="N5" s="2">
        <v>0</v>
      </c>
      <c r="O5">
        <v>1.5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204</v>
      </c>
      <c r="B6" t="s">
        <v>704</v>
      </c>
      <c r="C6">
        <f>"12604194"</f>
        <v>0</v>
      </c>
      <c r="D6">
        <v>4</v>
      </c>
      <c r="E6">
        <v>2</v>
      </c>
      <c r="F6">
        <v>0</v>
      </c>
      <c r="G6">
        <v>0</v>
      </c>
      <c r="H6">
        <v>6</v>
      </c>
      <c r="I6">
        <v>1</v>
      </c>
      <c r="J6">
        <v>0</v>
      </c>
      <c r="K6">
        <v>0</v>
      </c>
      <c r="L6" s="2">
        <v>0</v>
      </c>
      <c r="M6">
        <v>1</v>
      </c>
      <c r="N6" s="2">
        <v>0</v>
      </c>
      <c r="O6">
        <v>1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204</v>
      </c>
      <c r="B7" t="s">
        <v>627</v>
      </c>
      <c r="C7">
        <f>"12450588"</f>
        <v>0</v>
      </c>
      <c r="D7">
        <v>6</v>
      </c>
      <c r="E7">
        <v>2</v>
      </c>
      <c r="F7">
        <v>0</v>
      </c>
      <c r="G7">
        <v>0</v>
      </c>
      <c r="H7">
        <v>8</v>
      </c>
      <c r="I7">
        <v>1</v>
      </c>
      <c r="J7">
        <v>0</v>
      </c>
      <c r="K7">
        <v>0</v>
      </c>
      <c r="L7" s="2">
        <v>0</v>
      </c>
      <c r="M7">
        <v>1</v>
      </c>
      <c r="N7" s="2">
        <v>0</v>
      </c>
      <c r="O7">
        <v>1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204</v>
      </c>
      <c r="B8" t="s">
        <v>758</v>
      </c>
      <c r="C8">
        <f>"12453318"</f>
        <v>0</v>
      </c>
      <c r="D8">
        <v>3</v>
      </c>
      <c r="E8">
        <v>2</v>
      </c>
      <c r="F8">
        <v>0</v>
      </c>
      <c r="G8">
        <v>0</v>
      </c>
      <c r="H8">
        <v>5</v>
      </c>
      <c r="I8">
        <v>1</v>
      </c>
      <c r="J8">
        <v>0</v>
      </c>
      <c r="K8">
        <v>0</v>
      </c>
      <c r="L8" s="2">
        <v>0</v>
      </c>
      <c r="M8">
        <v>1</v>
      </c>
      <c r="N8" s="2">
        <v>0</v>
      </c>
      <c r="O8">
        <v>1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204</v>
      </c>
      <c r="B9" t="s">
        <v>757</v>
      </c>
      <c r="C9">
        <f>"12450081"</f>
        <v>0</v>
      </c>
      <c r="D9">
        <v>3</v>
      </c>
      <c r="E9">
        <v>2</v>
      </c>
      <c r="F9">
        <v>0</v>
      </c>
      <c r="G9">
        <v>0</v>
      </c>
      <c r="H9">
        <v>5</v>
      </c>
      <c r="I9">
        <v>1</v>
      </c>
      <c r="J9">
        <v>0</v>
      </c>
      <c r="K9">
        <v>0</v>
      </c>
      <c r="L9" s="2">
        <v>0</v>
      </c>
      <c r="M9">
        <v>1</v>
      </c>
      <c r="N9" s="2">
        <v>0</v>
      </c>
      <c r="O9">
        <v>1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204</v>
      </c>
      <c r="B10" t="s">
        <v>856</v>
      </c>
      <c r="C10">
        <f>"12450610"</f>
        <v>0</v>
      </c>
      <c r="D10">
        <v>3</v>
      </c>
      <c r="E10">
        <v>1</v>
      </c>
      <c r="F10">
        <v>0</v>
      </c>
      <c r="G10">
        <v>0</v>
      </c>
      <c r="H10">
        <v>4</v>
      </c>
      <c r="I10">
        <v>0.5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0.5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204</v>
      </c>
      <c r="B11" t="s">
        <v>5904</v>
      </c>
      <c r="C11">
        <f>"12599627"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204</v>
      </c>
      <c r="B12" t="s">
        <v>5903</v>
      </c>
      <c r="C12">
        <f>"12604195"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204</v>
      </c>
      <c r="B13" t="s">
        <v>796</v>
      </c>
      <c r="C13">
        <f>"12450068"</f>
        <v>0</v>
      </c>
      <c r="D13">
        <v>0</v>
      </c>
      <c r="E13">
        <v>4</v>
      </c>
      <c r="F13">
        <v>0</v>
      </c>
      <c r="G13">
        <v>0</v>
      </c>
      <c r="H13">
        <v>4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204</v>
      </c>
      <c r="B14" t="s">
        <v>5911</v>
      </c>
      <c r="C14">
        <f>"12453113"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204</v>
      </c>
      <c r="B15" t="s">
        <v>940</v>
      </c>
      <c r="C15">
        <f>"124821113"</f>
        <v>0</v>
      </c>
      <c r="D15">
        <v>3</v>
      </c>
      <c r="E15">
        <v>0</v>
      </c>
      <c r="F15">
        <v>0</v>
      </c>
      <c r="G15">
        <v>0</v>
      </c>
      <c r="H15">
        <v>3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204</v>
      </c>
      <c r="B16" t="s">
        <v>620</v>
      </c>
      <c r="C16">
        <f>"12448695"</f>
        <v>0</v>
      </c>
      <c r="D16">
        <v>0</v>
      </c>
      <c r="E16">
        <v>8</v>
      </c>
      <c r="F16">
        <v>0</v>
      </c>
      <c r="G16">
        <v>0</v>
      </c>
      <c r="H16">
        <v>8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204</v>
      </c>
      <c r="B17" t="s">
        <v>715</v>
      </c>
      <c r="C17">
        <f>"12449837"</f>
        <v>0</v>
      </c>
      <c r="D17">
        <v>0</v>
      </c>
      <c r="E17">
        <v>0</v>
      </c>
      <c r="F17">
        <v>6</v>
      </c>
      <c r="G17">
        <v>0</v>
      </c>
      <c r="H17">
        <v>6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204</v>
      </c>
      <c r="B18" t="s">
        <v>5902</v>
      </c>
      <c r="C18">
        <f>"12600054"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204</v>
      </c>
      <c r="B19" t="s">
        <v>519</v>
      </c>
      <c r="C19">
        <f>"12340774"</f>
        <v>0</v>
      </c>
      <c r="D19">
        <v>0</v>
      </c>
      <c r="E19">
        <v>15</v>
      </c>
      <c r="F19">
        <v>0</v>
      </c>
      <c r="G19">
        <v>0</v>
      </c>
      <c r="H19">
        <v>15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204</v>
      </c>
      <c r="B20" t="s">
        <v>5884</v>
      </c>
      <c r="C20">
        <f>"12482280"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204</v>
      </c>
      <c r="B21" t="s">
        <v>825</v>
      </c>
      <c r="C21">
        <f>"12595478"</f>
        <v>0</v>
      </c>
      <c r="D21">
        <v>4</v>
      </c>
      <c r="E21">
        <v>0</v>
      </c>
      <c r="F21">
        <v>0</v>
      </c>
      <c r="G21">
        <v>0</v>
      </c>
      <c r="H21">
        <v>4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204</v>
      </c>
      <c r="B22" t="s">
        <v>5893</v>
      </c>
      <c r="C22">
        <f>"12453312"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204</v>
      </c>
      <c r="B23" t="s">
        <v>5897</v>
      </c>
      <c r="C23">
        <f>"12453294"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204</v>
      </c>
      <c r="B24" t="s">
        <v>471</v>
      </c>
      <c r="C24">
        <f>"12340775"</f>
        <v>0</v>
      </c>
      <c r="D24">
        <v>0</v>
      </c>
      <c r="E24">
        <v>21</v>
      </c>
      <c r="F24">
        <v>0</v>
      </c>
      <c r="G24">
        <v>0</v>
      </c>
      <c r="H24">
        <v>21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204</v>
      </c>
      <c r="B25" t="s">
        <v>5895</v>
      </c>
      <c r="C25">
        <f>"12453105"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204</v>
      </c>
      <c r="B26" t="s">
        <v>5894</v>
      </c>
      <c r="C26">
        <f>"12599652"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204</v>
      </c>
      <c r="B27" t="s">
        <v>1469</v>
      </c>
      <c r="C27">
        <f>"12604242"</f>
        <v>0</v>
      </c>
      <c r="D27">
        <v>1</v>
      </c>
      <c r="E27">
        <v>0</v>
      </c>
      <c r="F27">
        <v>0</v>
      </c>
      <c r="G27">
        <v>0</v>
      </c>
      <c r="H27">
        <v>1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204</v>
      </c>
      <c r="B28" t="s">
        <v>1468</v>
      </c>
      <c r="C28">
        <f>"12604241"</f>
        <v>0</v>
      </c>
      <c r="D28">
        <v>1</v>
      </c>
      <c r="E28">
        <v>0</v>
      </c>
      <c r="F28">
        <v>0</v>
      </c>
      <c r="G28">
        <v>0</v>
      </c>
      <c r="H28">
        <v>1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204</v>
      </c>
      <c r="B29" t="s">
        <v>2320</v>
      </c>
      <c r="C29">
        <f>"12453683"</f>
        <v>0</v>
      </c>
      <c r="D29">
        <v>0</v>
      </c>
      <c r="E29">
        <v>0</v>
      </c>
      <c r="F29">
        <v>0</v>
      </c>
      <c r="G29">
        <v>1</v>
      </c>
      <c r="H29">
        <v>1</v>
      </c>
      <c r="I29">
        <v>0</v>
      </c>
      <c r="J29">
        <v>5</v>
      </c>
      <c r="K29">
        <v>149.3</v>
      </c>
      <c r="L29" s="2">
        <v>30</v>
      </c>
      <c r="M29">
        <v>0</v>
      </c>
      <c r="N29" s="2">
        <v>0</v>
      </c>
      <c r="O29">
        <v>-1</v>
      </c>
      <c r="P29" t="s">
        <v>10877</v>
      </c>
      <c r="Q29">
        <v>3.67</v>
      </c>
      <c r="R29" t="s">
        <v>11230</v>
      </c>
      <c r="S29">
        <v>1</v>
      </c>
    </row>
  </sheetData>
  <autoFilter ref="A2:S29"/>
  <hyperlinks>
    <hyperlink ref="A1" location="'ÍNDICE'!A1" display="⬅ Volver al índice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S23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223</v>
      </c>
      <c r="B3" t="s">
        <v>6391</v>
      </c>
      <c r="C3">
        <f>"BC33J13"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223</v>
      </c>
      <c r="B4" t="s">
        <v>6390</v>
      </c>
      <c r="C4">
        <f>"BC33H12"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223</v>
      </c>
      <c r="B5" t="s">
        <v>5608</v>
      </c>
      <c r="C5">
        <f>"20100320"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223</v>
      </c>
      <c r="B6" t="s">
        <v>5607</v>
      </c>
      <c r="C6">
        <f>"5101105"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223</v>
      </c>
      <c r="B7" t="s">
        <v>5521</v>
      </c>
      <c r="C7">
        <f>"5101108"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223</v>
      </c>
      <c r="B8" t="s">
        <v>6257</v>
      </c>
      <c r="C8">
        <f>"8166370"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223</v>
      </c>
      <c r="B9" t="s">
        <v>3085</v>
      </c>
      <c r="C9">
        <f>"7499619"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223</v>
      </c>
      <c r="B10" t="s">
        <v>3084</v>
      </c>
      <c r="C10">
        <f>"277060"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223</v>
      </c>
      <c r="B11" t="s">
        <v>2828</v>
      </c>
      <c r="C11">
        <f>"276660"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223</v>
      </c>
      <c r="B12" t="s">
        <v>9157</v>
      </c>
      <c r="C12">
        <f>"5670004"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223</v>
      </c>
      <c r="B13" t="s">
        <v>9156</v>
      </c>
      <c r="C13">
        <f>"8208410"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223</v>
      </c>
      <c r="B14" t="s">
        <v>9155</v>
      </c>
      <c r="C14">
        <f>"8208400"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223</v>
      </c>
      <c r="B15" t="s">
        <v>9154</v>
      </c>
      <c r="C15">
        <f>"7141006"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223</v>
      </c>
      <c r="B16" t="s">
        <v>4802</v>
      </c>
      <c r="C16">
        <f>"254790"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223</v>
      </c>
      <c r="B17" t="s">
        <v>8981</v>
      </c>
      <c r="C17">
        <f>"5212120"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223</v>
      </c>
      <c r="B18" t="s">
        <v>3988</v>
      </c>
      <c r="C18">
        <f>"5500011"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223</v>
      </c>
      <c r="B19" t="s">
        <v>9646</v>
      </c>
      <c r="C19">
        <f>"5445120"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223</v>
      </c>
      <c r="B20" t="s">
        <v>6977</v>
      </c>
      <c r="C20">
        <f>"5502508"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223</v>
      </c>
      <c r="B21" t="s">
        <v>6976</v>
      </c>
      <c r="C21">
        <f>"3311825"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223</v>
      </c>
      <c r="B22" t="s">
        <v>6975</v>
      </c>
      <c r="C22">
        <f>"3747030"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223</v>
      </c>
      <c r="B23" t="s">
        <v>6973</v>
      </c>
      <c r="C23">
        <f>"10503211"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223</v>
      </c>
      <c r="B24" t="s">
        <v>7386</v>
      </c>
      <c r="C24">
        <f>"5046100"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223</v>
      </c>
      <c r="B25" t="s">
        <v>7555</v>
      </c>
      <c r="C25">
        <f>"2721075"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223</v>
      </c>
      <c r="B26" t="s">
        <v>8046</v>
      </c>
      <c r="C26">
        <f>"3746010"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223</v>
      </c>
      <c r="B27" t="s">
        <v>6943</v>
      </c>
      <c r="C27">
        <f>"5442025"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223</v>
      </c>
      <c r="B28" t="s">
        <v>6987</v>
      </c>
      <c r="C28">
        <f>"5500419"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223</v>
      </c>
      <c r="B29" t="s">
        <v>7001</v>
      </c>
      <c r="C29">
        <f>"5500508"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223</v>
      </c>
      <c r="B30" t="s">
        <v>6887</v>
      </c>
      <c r="C30">
        <f>"2006100"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223</v>
      </c>
      <c r="B31" t="s">
        <v>6886</v>
      </c>
      <c r="C31">
        <f>"20400605"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223</v>
      </c>
      <c r="B32" t="s">
        <v>6937</v>
      </c>
      <c r="C32">
        <f>"2114020"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223</v>
      </c>
      <c r="B33" t="s">
        <v>9696</v>
      </c>
      <c r="C33">
        <f>"1014915"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223</v>
      </c>
      <c r="B34" t="s">
        <v>9695</v>
      </c>
      <c r="C34">
        <f>"9577130"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223</v>
      </c>
      <c r="B35" t="s">
        <v>9694</v>
      </c>
      <c r="C35">
        <f>"9576405"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223</v>
      </c>
      <c r="B36" t="s">
        <v>9693</v>
      </c>
      <c r="C36">
        <f>"10145949"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223</v>
      </c>
      <c r="B37" t="s">
        <v>9692</v>
      </c>
      <c r="C37">
        <f>"913584000"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223</v>
      </c>
      <c r="B38" t="s">
        <v>9691</v>
      </c>
      <c r="C38">
        <f>"913572800"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223</v>
      </c>
      <c r="B39" t="s">
        <v>9690</v>
      </c>
      <c r="C39">
        <f>"7050150"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223</v>
      </c>
      <c r="B40" t="s">
        <v>9689</v>
      </c>
      <c r="C40">
        <f>"10145907"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223</v>
      </c>
      <c r="B41" t="s">
        <v>9688</v>
      </c>
      <c r="C41">
        <f>"10145903"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223</v>
      </c>
      <c r="B42" t="s">
        <v>9671</v>
      </c>
      <c r="C42">
        <f>"10145931"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223</v>
      </c>
      <c r="B43" t="s">
        <v>9627</v>
      </c>
      <c r="C43">
        <f>"10145921"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223</v>
      </c>
      <c r="B44" t="s">
        <v>9626</v>
      </c>
      <c r="C44">
        <f>"704528"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223</v>
      </c>
      <c r="B45" t="s">
        <v>9625</v>
      </c>
      <c r="C45">
        <f>"1643244443"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223</v>
      </c>
      <c r="B46" t="s">
        <v>9624</v>
      </c>
      <c r="C46">
        <f>"10145939"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223</v>
      </c>
      <c r="B47" t="s">
        <v>9623</v>
      </c>
      <c r="C47">
        <f>"10145929"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223</v>
      </c>
      <c r="B48" t="s">
        <v>9622</v>
      </c>
      <c r="C48">
        <f>"10145945"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223</v>
      </c>
      <c r="B49" t="s">
        <v>9619</v>
      </c>
      <c r="C49">
        <f>"5640015"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223</v>
      </c>
      <c r="B50" t="s">
        <v>9630</v>
      </c>
      <c r="C50">
        <f>"3361015"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223</v>
      </c>
      <c r="B51" t="s">
        <v>9299</v>
      </c>
      <c r="C51">
        <f>"5600015"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223</v>
      </c>
      <c r="B52" t="s">
        <v>9298</v>
      </c>
      <c r="C52">
        <f>"5600075"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223</v>
      </c>
      <c r="B53" t="s">
        <v>9977</v>
      </c>
      <c r="C53">
        <f>"7118060"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223</v>
      </c>
      <c r="B54" t="s">
        <v>9976</v>
      </c>
      <c r="C54">
        <f>"7112050"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223</v>
      </c>
      <c r="B55" t="s">
        <v>9990</v>
      </c>
      <c r="C55">
        <f>"5040101"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223</v>
      </c>
      <c r="B56" t="s">
        <v>9974</v>
      </c>
      <c r="C56">
        <f>"2050020"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223</v>
      </c>
      <c r="B57" t="s">
        <v>9973</v>
      </c>
      <c r="C57">
        <f>"44725"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223</v>
      </c>
      <c r="B58" t="s">
        <v>9964</v>
      </c>
      <c r="C58">
        <f>"1232015"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223</v>
      </c>
      <c r="B59" t="s">
        <v>9963</v>
      </c>
      <c r="C59">
        <f>"1232035"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223</v>
      </c>
      <c r="B60" t="s">
        <v>9962</v>
      </c>
      <c r="C60">
        <f>"1231015"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223</v>
      </c>
      <c r="B61" t="s">
        <v>9961</v>
      </c>
      <c r="C61">
        <f>"1231035"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223</v>
      </c>
      <c r="B62" t="s">
        <v>10159</v>
      </c>
      <c r="C62">
        <f>"5210120"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223</v>
      </c>
      <c r="B63" t="s">
        <v>10158</v>
      </c>
      <c r="C63">
        <f>"5510120"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223</v>
      </c>
      <c r="B64" t="s">
        <v>10157</v>
      </c>
      <c r="C64">
        <f>"5002129"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223</v>
      </c>
      <c r="B65" t="s">
        <v>10156</v>
      </c>
      <c r="C65">
        <f>"5412150"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223</v>
      </c>
      <c r="B66" t="s">
        <v>10155</v>
      </c>
      <c r="C66">
        <f>"5411150"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223</v>
      </c>
      <c r="B67" t="s">
        <v>10206</v>
      </c>
      <c r="C67">
        <f>"10503011"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223</v>
      </c>
      <c r="B68" t="s">
        <v>10205</v>
      </c>
      <c r="C68">
        <f>"5213120"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223</v>
      </c>
      <c r="B69" t="s">
        <v>9796</v>
      </c>
      <c r="C69">
        <f>"5376015"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223</v>
      </c>
      <c r="B70" t="s">
        <v>9776</v>
      </c>
      <c r="C70">
        <f>"285210"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223</v>
      </c>
      <c r="B71" t="s">
        <v>9775</v>
      </c>
      <c r="C71">
        <f>"5019101"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223</v>
      </c>
      <c r="B72" t="s">
        <v>9737</v>
      </c>
      <c r="C72">
        <f>"1643245660"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223</v>
      </c>
      <c r="B73" t="s">
        <v>9736</v>
      </c>
      <c r="C73">
        <f>"2217015"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223</v>
      </c>
      <c r="B74" t="s">
        <v>8637</v>
      </c>
      <c r="C74">
        <f>"7771513"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223</v>
      </c>
      <c r="B75" t="s">
        <v>8540</v>
      </c>
      <c r="C75">
        <f>"5801015"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223</v>
      </c>
      <c r="B76" t="s">
        <v>8539</v>
      </c>
      <c r="C76">
        <f>"5901100"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223</v>
      </c>
      <c r="B77" t="s">
        <v>8538</v>
      </c>
      <c r="C77">
        <f>"5901020"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223</v>
      </c>
      <c r="B78" t="s">
        <v>8537</v>
      </c>
      <c r="C78">
        <f>"2301406"</f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223</v>
      </c>
      <c r="B79" t="s">
        <v>8536</v>
      </c>
      <c r="C79">
        <f>"11301408"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223</v>
      </c>
      <c r="B80" t="s">
        <v>8552</v>
      </c>
      <c r="C80">
        <f>"5100405"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223</v>
      </c>
      <c r="B81" t="s">
        <v>8551</v>
      </c>
      <c r="C81">
        <f>"3610075"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223</v>
      </c>
      <c r="B82" t="s">
        <v>8550</v>
      </c>
      <c r="C82">
        <f>"5101605"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223</v>
      </c>
      <c r="B83" t="s">
        <v>8578</v>
      </c>
      <c r="C83">
        <f>"3660075"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223</v>
      </c>
      <c r="B84" t="s">
        <v>8577</v>
      </c>
      <c r="C84">
        <f>"229150"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223</v>
      </c>
      <c r="B85" t="s">
        <v>8576</v>
      </c>
      <c r="C85">
        <f>"3623015"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223</v>
      </c>
      <c r="B86" t="s">
        <v>8726</v>
      </c>
      <c r="C86">
        <f>"41039"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223</v>
      </c>
      <c r="B87" t="s">
        <v>8725</v>
      </c>
      <c r="C87">
        <f>"BC42P14"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223</v>
      </c>
      <c r="B88" t="s">
        <v>8724</v>
      </c>
      <c r="C88">
        <f>"5377015"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 s="2">
        <v>0</v>
      </c>
      <c r="M88">
        <v>0</v>
      </c>
      <c r="N88" s="2">
        <v>0</v>
      </c>
      <c r="O88">
        <v>0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223</v>
      </c>
      <c r="B89" t="s">
        <v>9165</v>
      </c>
      <c r="C89">
        <f>"3680004"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 s="2">
        <v>0</v>
      </c>
      <c r="M89">
        <v>0</v>
      </c>
      <c r="N89" s="2">
        <v>0</v>
      </c>
      <c r="O89">
        <v>0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223</v>
      </c>
      <c r="B90" t="s">
        <v>8832</v>
      </c>
      <c r="C90">
        <f>"249280"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2">
        <v>0</v>
      </c>
      <c r="M90">
        <v>0</v>
      </c>
      <c r="N90" s="2">
        <v>0</v>
      </c>
      <c r="O90">
        <v>0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223</v>
      </c>
      <c r="B91" t="s">
        <v>8831</v>
      </c>
      <c r="C91">
        <f>"5680015"</f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 s="2">
        <v>0</v>
      </c>
      <c r="M91">
        <v>0</v>
      </c>
      <c r="N91" s="2">
        <v>0</v>
      </c>
      <c r="O91">
        <v>0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223</v>
      </c>
      <c r="B92" t="s">
        <v>8830</v>
      </c>
      <c r="C92">
        <f>"5680075"</f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 s="2">
        <v>0</v>
      </c>
      <c r="M92">
        <v>0</v>
      </c>
      <c r="N92" s="2">
        <v>0</v>
      </c>
      <c r="O92">
        <v>0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223</v>
      </c>
      <c r="B93" t="s">
        <v>8829</v>
      </c>
      <c r="C93">
        <f>"20100120"</f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 s="2">
        <v>0</v>
      </c>
      <c r="M93">
        <v>0</v>
      </c>
      <c r="N93" s="2">
        <v>0</v>
      </c>
      <c r="O93">
        <v>0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223</v>
      </c>
      <c r="B94" t="s">
        <v>8828</v>
      </c>
      <c r="C94">
        <f>"5101205"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 s="2">
        <v>0</v>
      </c>
      <c r="M94">
        <v>0</v>
      </c>
      <c r="N94" s="2">
        <v>0</v>
      </c>
      <c r="O94">
        <v>0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223</v>
      </c>
      <c r="B95" t="s">
        <v>8827</v>
      </c>
      <c r="C95">
        <f>"BC33G11"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 s="2">
        <v>0</v>
      </c>
      <c r="M95">
        <v>0</v>
      </c>
      <c r="N95" s="2">
        <v>0</v>
      </c>
      <c r="O95">
        <v>0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223</v>
      </c>
      <c r="B96" t="s">
        <v>8826</v>
      </c>
      <c r="C96">
        <f>"249630"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 s="2">
        <v>0</v>
      </c>
      <c r="M96">
        <v>0</v>
      </c>
      <c r="N96" s="2">
        <v>0</v>
      </c>
      <c r="O96">
        <v>0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223</v>
      </c>
      <c r="B97" t="s">
        <v>8825</v>
      </c>
      <c r="C97">
        <f>"20101220"</f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 s="2">
        <v>0</v>
      </c>
      <c r="M97">
        <v>0</v>
      </c>
      <c r="N97" s="2">
        <v>0</v>
      </c>
      <c r="O97">
        <v>0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223</v>
      </c>
      <c r="B98" t="s">
        <v>9021</v>
      </c>
      <c r="C98">
        <f>"456400"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 s="2">
        <v>0</v>
      </c>
      <c r="M98">
        <v>0</v>
      </c>
      <c r="N98" s="2">
        <v>0</v>
      </c>
      <c r="O98">
        <v>0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223</v>
      </c>
      <c r="B99" t="s">
        <v>8838</v>
      </c>
      <c r="C99">
        <f>"3721120"</f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 s="2">
        <v>0</v>
      </c>
      <c r="M99">
        <v>0</v>
      </c>
      <c r="N99" s="2">
        <v>0</v>
      </c>
      <c r="O99">
        <v>0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223</v>
      </c>
      <c r="B100" t="s">
        <v>8837</v>
      </c>
      <c r="C100">
        <f>"5211120"</f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 s="2">
        <v>0</v>
      </c>
      <c r="M100">
        <v>0</v>
      </c>
      <c r="N100" s="2">
        <v>0</v>
      </c>
      <c r="O100">
        <v>0</v>
      </c>
      <c r="P100" t="s">
        <v>100</v>
      </c>
      <c r="Q100">
        <v>0</v>
      </c>
      <c r="R100" t="s">
        <v>145</v>
      </c>
      <c r="S100">
        <v>0</v>
      </c>
    </row>
    <row r="101" spans="1:19">
      <c r="A101" t="s">
        <v>223</v>
      </c>
      <c r="B101" t="s">
        <v>8773</v>
      </c>
      <c r="C101">
        <f>"42025"</f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2">
        <v>0</v>
      </c>
      <c r="M101">
        <v>0</v>
      </c>
      <c r="N101" s="2">
        <v>0</v>
      </c>
      <c r="O101">
        <v>0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223</v>
      </c>
      <c r="B102" t="s">
        <v>8860</v>
      </c>
      <c r="C102">
        <f>"7742021"</f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 s="2">
        <v>0</v>
      </c>
      <c r="M102">
        <v>0</v>
      </c>
      <c r="N102" s="2">
        <v>0</v>
      </c>
      <c r="O102">
        <v>0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223</v>
      </c>
      <c r="B103" t="s">
        <v>8859</v>
      </c>
      <c r="C103">
        <f>"7141025"</f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2">
        <v>0</v>
      </c>
      <c r="M103">
        <v>0</v>
      </c>
      <c r="N103" s="2">
        <v>0</v>
      </c>
      <c r="O103">
        <v>0</v>
      </c>
      <c r="P103" t="s">
        <v>100</v>
      </c>
      <c r="Q103">
        <v>0</v>
      </c>
      <c r="R103" t="s">
        <v>145</v>
      </c>
      <c r="S103">
        <v>0</v>
      </c>
    </row>
    <row r="104" spans="1:19">
      <c r="A104" t="s">
        <v>223</v>
      </c>
      <c r="B104" t="s">
        <v>8858</v>
      </c>
      <c r="C104">
        <f>"7742031"</f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 s="2">
        <v>0</v>
      </c>
      <c r="M104">
        <v>0</v>
      </c>
      <c r="N104" s="2">
        <v>0</v>
      </c>
      <c r="O104">
        <v>0</v>
      </c>
      <c r="P104" t="s">
        <v>100</v>
      </c>
      <c r="Q104">
        <v>0</v>
      </c>
      <c r="R104" t="s">
        <v>145</v>
      </c>
      <c r="S104">
        <v>0</v>
      </c>
    </row>
    <row r="105" spans="1:19">
      <c r="A105" t="s">
        <v>223</v>
      </c>
      <c r="B105" t="s">
        <v>8857</v>
      </c>
      <c r="C105">
        <f>"7742041"</f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 s="2">
        <v>0</v>
      </c>
      <c r="M105">
        <v>0</v>
      </c>
      <c r="N105" s="2">
        <v>0</v>
      </c>
      <c r="O105">
        <v>0</v>
      </c>
      <c r="P105" t="s">
        <v>100</v>
      </c>
      <c r="Q105">
        <v>0</v>
      </c>
      <c r="R105" t="s">
        <v>145</v>
      </c>
      <c r="S105">
        <v>0</v>
      </c>
    </row>
    <row r="106" spans="1:19">
      <c r="A106" t="s">
        <v>223</v>
      </c>
      <c r="B106" t="s">
        <v>8764</v>
      </c>
      <c r="C106">
        <f>"41011"</f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 s="2">
        <v>0</v>
      </c>
      <c r="M106">
        <v>0</v>
      </c>
      <c r="N106" s="2">
        <v>0</v>
      </c>
      <c r="O106">
        <v>0</v>
      </c>
      <c r="P106" t="s">
        <v>100</v>
      </c>
      <c r="Q106">
        <v>0</v>
      </c>
      <c r="R106" t="s">
        <v>145</v>
      </c>
      <c r="S106">
        <v>0</v>
      </c>
    </row>
    <row r="107" spans="1:19">
      <c r="A107" t="s">
        <v>223</v>
      </c>
      <c r="B107" t="s">
        <v>8808</v>
      </c>
      <c r="C107">
        <f>"41065"</f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 s="2">
        <v>0</v>
      </c>
      <c r="M107">
        <v>0</v>
      </c>
      <c r="N107" s="2">
        <v>0</v>
      </c>
      <c r="O107">
        <v>0</v>
      </c>
      <c r="P107" t="s">
        <v>100</v>
      </c>
      <c r="Q107">
        <v>0</v>
      </c>
      <c r="R107" t="s">
        <v>145</v>
      </c>
      <c r="S107">
        <v>0</v>
      </c>
    </row>
    <row r="108" spans="1:19">
      <c r="A108" t="s">
        <v>223</v>
      </c>
      <c r="B108" t="s">
        <v>8823</v>
      </c>
      <c r="C108">
        <f>"7119030"</f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 s="2">
        <v>0</v>
      </c>
      <c r="M108">
        <v>0</v>
      </c>
      <c r="N108" s="2">
        <v>0</v>
      </c>
      <c r="O108">
        <v>0</v>
      </c>
      <c r="P108" t="s">
        <v>100</v>
      </c>
      <c r="Q108">
        <v>0</v>
      </c>
      <c r="R108" t="s">
        <v>145</v>
      </c>
      <c r="S108">
        <v>0</v>
      </c>
    </row>
    <row r="109" spans="1:19">
      <c r="A109" t="s">
        <v>223</v>
      </c>
      <c r="B109" t="s">
        <v>8822</v>
      </c>
      <c r="C109">
        <f>"7117040"</f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 s="2">
        <v>0</v>
      </c>
      <c r="M109">
        <v>0</v>
      </c>
      <c r="N109" s="2">
        <v>0</v>
      </c>
      <c r="O109">
        <v>0</v>
      </c>
      <c r="P109" t="s">
        <v>100</v>
      </c>
      <c r="Q109">
        <v>0</v>
      </c>
      <c r="R109" t="s">
        <v>145</v>
      </c>
      <c r="S109">
        <v>0</v>
      </c>
    </row>
    <row r="110" spans="1:19">
      <c r="A110" t="s">
        <v>223</v>
      </c>
      <c r="B110" t="s">
        <v>8784</v>
      </c>
      <c r="C110">
        <f>"7147263"</f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2">
        <v>0</v>
      </c>
      <c r="M110">
        <v>0</v>
      </c>
      <c r="N110" s="2">
        <v>0</v>
      </c>
      <c r="O110">
        <v>0</v>
      </c>
      <c r="P110" t="s">
        <v>100</v>
      </c>
      <c r="Q110">
        <v>0</v>
      </c>
      <c r="R110" t="s">
        <v>145</v>
      </c>
      <c r="S110">
        <v>0</v>
      </c>
    </row>
    <row r="111" spans="1:19">
      <c r="A111" t="s">
        <v>223</v>
      </c>
      <c r="B111" t="s">
        <v>8783</v>
      </c>
      <c r="C111">
        <f>"7141045"</f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 s="2">
        <v>0</v>
      </c>
      <c r="M111">
        <v>0</v>
      </c>
      <c r="N111" s="2">
        <v>0</v>
      </c>
      <c r="O111">
        <v>0</v>
      </c>
      <c r="P111" t="s">
        <v>100</v>
      </c>
      <c r="Q111">
        <v>0</v>
      </c>
      <c r="R111" t="s">
        <v>145</v>
      </c>
      <c r="S111">
        <v>0</v>
      </c>
    </row>
    <row r="112" spans="1:19">
      <c r="A112" t="s">
        <v>223</v>
      </c>
      <c r="B112" t="s">
        <v>8782</v>
      </c>
      <c r="C112">
        <f>"7116010"</f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 s="2">
        <v>0</v>
      </c>
      <c r="M112">
        <v>0</v>
      </c>
      <c r="N112" s="2">
        <v>0</v>
      </c>
      <c r="O112">
        <v>0</v>
      </c>
      <c r="P112" t="s">
        <v>100</v>
      </c>
      <c r="Q112">
        <v>0</v>
      </c>
      <c r="R112" t="s">
        <v>145</v>
      </c>
      <c r="S112">
        <v>0</v>
      </c>
    </row>
    <row r="113" spans="1:19">
      <c r="A113" t="s">
        <v>223</v>
      </c>
      <c r="B113" t="s">
        <v>8781</v>
      </c>
      <c r="C113">
        <f>"7742011"</f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 s="2">
        <v>0</v>
      </c>
      <c r="M113">
        <v>0</v>
      </c>
      <c r="N113" s="2">
        <v>0</v>
      </c>
      <c r="O113">
        <v>0</v>
      </c>
      <c r="P113" t="s">
        <v>100</v>
      </c>
      <c r="Q113">
        <v>0</v>
      </c>
      <c r="R113" t="s">
        <v>145</v>
      </c>
      <c r="S113">
        <v>0</v>
      </c>
    </row>
    <row r="114" spans="1:19">
      <c r="A114" t="s">
        <v>223</v>
      </c>
      <c r="B114" t="s">
        <v>8996</v>
      </c>
      <c r="C114">
        <f>"5371015"</f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 s="2">
        <v>0</v>
      </c>
      <c r="M114">
        <v>0</v>
      </c>
      <c r="N114" s="2">
        <v>0</v>
      </c>
      <c r="O114">
        <v>0</v>
      </c>
      <c r="P114" t="s">
        <v>100</v>
      </c>
      <c r="Q114">
        <v>0</v>
      </c>
      <c r="R114" t="s">
        <v>145</v>
      </c>
      <c r="S114">
        <v>0</v>
      </c>
    </row>
    <row r="115" spans="1:19">
      <c r="A115" t="s">
        <v>223</v>
      </c>
      <c r="B115" t="s">
        <v>8995</v>
      </c>
      <c r="C115">
        <f>"5371075"</f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 s="2">
        <v>0</v>
      </c>
      <c r="M115">
        <v>0</v>
      </c>
      <c r="N115" s="2">
        <v>0</v>
      </c>
      <c r="O115">
        <v>0</v>
      </c>
      <c r="P115" t="s">
        <v>100</v>
      </c>
      <c r="Q115">
        <v>0</v>
      </c>
      <c r="R115" t="s">
        <v>145</v>
      </c>
      <c r="S115">
        <v>0</v>
      </c>
    </row>
    <row r="116" spans="1:19">
      <c r="A116" t="s">
        <v>223</v>
      </c>
      <c r="B116" t="s">
        <v>3871</v>
      </c>
      <c r="C116">
        <f>"5501904"</f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2">
        <v>0</v>
      </c>
      <c r="M116">
        <v>0</v>
      </c>
      <c r="N116" s="2">
        <v>0</v>
      </c>
      <c r="O116">
        <v>0</v>
      </c>
      <c r="P116" t="s">
        <v>100</v>
      </c>
      <c r="Q116">
        <v>0</v>
      </c>
      <c r="R116" t="s">
        <v>145</v>
      </c>
      <c r="S116">
        <v>0</v>
      </c>
    </row>
    <row r="117" spans="1:19">
      <c r="A117" t="s">
        <v>223</v>
      </c>
      <c r="B117" t="s">
        <v>3794</v>
      </c>
      <c r="C117">
        <f>"42045"</f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 s="2">
        <v>0</v>
      </c>
      <c r="M117">
        <v>0</v>
      </c>
      <c r="N117" s="2">
        <v>0</v>
      </c>
      <c r="O117">
        <v>0</v>
      </c>
      <c r="P117" t="s">
        <v>100</v>
      </c>
      <c r="Q117">
        <v>0</v>
      </c>
      <c r="R117" t="s">
        <v>145</v>
      </c>
      <c r="S117">
        <v>0</v>
      </c>
    </row>
    <row r="118" spans="1:19">
      <c r="A118" t="s">
        <v>223</v>
      </c>
      <c r="B118" t="s">
        <v>3793</v>
      </c>
      <c r="C118">
        <f>"1233015"</f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 s="2">
        <v>0</v>
      </c>
      <c r="M118">
        <v>0</v>
      </c>
      <c r="N118" s="2">
        <v>0</v>
      </c>
      <c r="O118">
        <v>0</v>
      </c>
      <c r="P118" t="s">
        <v>100</v>
      </c>
      <c r="Q118">
        <v>0</v>
      </c>
      <c r="R118" t="s">
        <v>145</v>
      </c>
      <c r="S118">
        <v>0</v>
      </c>
    </row>
    <row r="119" spans="1:19">
      <c r="A119" t="s">
        <v>223</v>
      </c>
      <c r="B119" t="s">
        <v>3792</v>
      </c>
      <c r="C119">
        <f>"5105129"</f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 s="2">
        <v>0</v>
      </c>
      <c r="M119">
        <v>0</v>
      </c>
      <c r="N119" s="2">
        <v>0</v>
      </c>
      <c r="O119">
        <v>0</v>
      </c>
      <c r="P119" t="s">
        <v>100</v>
      </c>
      <c r="Q119">
        <v>0</v>
      </c>
      <c r="R119" t="s">
        <v>145</v>
      </c>
      <c r="S119">
        <v>0</v>
      </c>
    </row>
    <row r="120" spans="1:19">
      <c r="A120" t="s">
        <v>223</v>
      </c>
      <c r="B120" t="s">
        <v>3791</v>
      </c>
      <c r="C120">
        <f>"5101129"</f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 s="2">
        <v>0</v>
      </c>
      <c r="M120">
        <v>0</v>
      </c>
      <c r="N120" s="2">
        <v>0</v>
      </c>
      <c r="O120">
        <v>0</v>
      </c>
      <c r="P120" t="s">
        <v>100</v>
      </c>
      <c r="Q120">
        <v>0</v>
      </c>
      <c r="R120" t="s">
        <v>145</v>
      </c>
      <c r="S120">
        <v>0</v>
      </c>
    </row>
    <row r="121" spans="1:19">
      <c r="A121" t="s">
        <v>223</v>
      </c>
      <c r="B121" t="s">
        <v>3790</v>
      </c>
      <c r="C121">
        <f>"101918187"</f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 s="2">
        <v>0</v>
      </c>
      <c r="M121">
        <v>0</v>
      </c>
      <c r="N121" s="2">
        <v>0</v>
      </c>
      <c r="O121">
        <v>0</v>
      </c>
      <c r="P121" t="s">
        <v>100</v>
      </c>
      <c r="Q121">
        <v>0</v>
      </c>
      <c r="R121" t="s">
        <v>145</v>
      </c>
      <c r="S121">
        <v>0</v>
      </c>
    </row>
    <row r="122" spans="1:19">
      <c r="A122" t="s">
        <v>223</v>
      </c>
      <c r="B122" t="s">
        <v>3789</v>
      </c>
      <c r="C122">
        <f>"5414150"</f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 s="2">
        <v>0</v>
      </c>
      <c r="M122">
        <v>0</v>
      </c>
      <c r="N122" s="2">
        <v>0</v>
      </c>
      <c r="O122">
        <v>0</v>
      </c>
      <c r="P122" t="s">
        <v>100</v>
      </c>
      <c r="Q122">
        <v>0</v>
      </c>
      <c r="R122" t="s">
        <v>145</v>
      </c>
      <c r="S122">
        <v>0</v>
      </c>
    </row>
    <row r="123" spans="1:19">
      <c r="A123" t="s">
        <v>223</v>
      </c>
      <c r="B123" t="s">
        <v>3788</v>
      </c>
      <c r="C123">
        <f>"5103129"</f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2">
        <v>0</v>
      </c>
      <c r="M123">
        <v>0</v>
      </c>
      <c r="N123" s="2">
        <v>0</v>
      </c>
      <c r="O123">
        <v>0</v>
      </c>
      <c r="P123" t="s">
        <v>100</v>
      </c>
      <c r="Q123">
        <v>0</v>
      </c>
      <c r="R123" t="s">
        <v>145</v>
      </c>
      <c r="S123">
        <v>0</v>
      </c>
    </row>
    <row r="124" spans="1:19">
      <c r="A124" t="s">
        <v>223</v>
      </c>
      <c r="B124" t="s">
        <v>3787</v>
      </c>
      <c r="C124">
        <f>"4503100"</f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 s="2">
        <v>0</v>
      </c>
      <c r="M124">
        <v>0</v>
      </c>
      <c r="N124" s="2">
        <v>0</v>
      </c>
      <c r="O124">
        <v>0</v>
      </c>
      <c r="P124" t="s">
        <v>100</v>
      </c>
      <c r="Q124">
        <v>0</v>
      </c>
      <c r="R124" t="s">
        <v>145</v>
      </c>
      <c r="S124">
        <v>0</v>
      </c>
    </row>
    <row r="125" spans="1:19">
      <c r="A125" t="s">
        <v>223</v>
      </c>
      <c r="B125" t="s">
        <v>3786</v>
      </c>
      <c r="C125">
        <f>"10300093"</f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 s="2">
        <v>0</v>
      </c>
      <c r="M125">
        <v>0</v>
      </c>
      <c r="N125" s="2">
        <v>0</v>
      </c>
      <c r="O125">
        <v>0</v>
      </c>
      <c r="P125" t="s">
        <v>100</v>
      </c>
      <c r="Q125">
        <v>0</v>
      </c>
      <c r="R125" t="s">
        <v>145</v>
      </c>
      <c r="S125">
        <v>0</v>
      </c>
    </row>
    <row r="126" spans="1:19">
      <c r="A126" t="s">
        <v>223</v>
      </c>
      <c r="B126" t="s">
        <v>3964</v>
      </c>
      <c r="C126">
        <f>"5001025"</f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 s="2">
        <v>0</v>
      </c>
      <c r="M126">
        <v>0</v>
      </c>
      <c r="N126" s="2">
        <v>0</v>
      </c>
      <c r="O126">
        <v>0</v>
      </c>
      <c r="P126" t="s">
        <v>100</v>
      </c>
      <c r="Q126">
        <v>0</v>
      </c>
      <c r="R126" t="s">
        <v>145</v>
      </c>
      <c r="S126">
        <v>0</v>
      </c>
    </row>
    <row r="127" spans="1:19">
      <c r="A127" t="s">
        <v>223</v>
      </c>
      <c r="B127" t="s">
        <v>3963</v>
      </c>
      <c r="C127">
        <f>"5006129"</f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 s="2">
        <v>0</v>
      </c>
      <c r="M127">
        <v>0</v>
      </c>
      <c r="N127" s="2">
        <v>0</v>
      </c>
      <c r="O127">
        <v>0</v>
      </c>
      <c r="P127" t="s">
        <v>100</v>
      </c>
      <c r="Q127">
        <v>0</v>
      </c>
      <c r="R127" t="s">
        <v>145</v>
      </c>
      <c r="S127">
        <v>0</v>
      </c>
    </row>
    <row r="128" spans="1:19">
      <c r="A128" t="s">
        <v>223</v>
      </c>
      <c r="B128" t="s">
        <v>3953</v>
      </c>
      <c r="C128">
        <f>"5426151"</f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 s="2">
        <v>0</v>
      </c>
      <c r="M128">
        <v>0</v>
      </c>
      <c r="N128" s="2">
        <v>0</v>
      </c>
      <c r="O128">
        <v>0</v>
      </c>
      <c r="P128" t="s">
        <v>100</v>
      </c>
      <c r="Q128">
        <v>0</v>
      </c>
      <c r="R128" t="s">
        <v>145</v>
      </c>
      <c r="S128">
        <v>0</v>
      </c>
    </row>
    <row r="129" spans="1:19">
      <c r="A129" t="s">
        <v>223</v>
      </c>
      <c r="B129" t="s">
        <v>3968</v>
      </c>
      <c r="C129">
        <f>"5633150"</f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 s="2">
        <v>0</v>
      </c>
      <c r="M129">
        <v>0</v>
      </c>
      <c r="N129" s="2">
        <v>0</v>
      </c>
      <c r="O129">
        <v>0</v>
      </c>
      <c r="P129" t="s">
        <v>100</v>
      </c>
      <c r="Q129">
        <v>0</v>
      </c>
      <c r="R129" t="s">
        <v>145</v>
      </c>
      <c r="S129">
        <v>0</v>
      </c>
    </row>
    <row r="130" spans="1:19">
      <c r="A130" t="s">
        <v>223</v>
      </c>
      <c r="B130" t="s">
        <v>3951</v>
      </c>
      <c r="C130">
        <f>"5426150"</f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2">
        <v>0</v>
      </c>
      <c r="M130">
        <v>0</v>
      </c>
      <c r="N130" s="2">
        <v>0</v>
      </c>
      <c r="O130">
        <v>0</v>
      </c>
      <c r="P130" t="s">
        <v>100</v>
      </c>
      <c r="Q130">
        <v>0</v>
      </c>
      <c r="R130" t="s">
        <v>145</v>
      </c>
      <c r="S130">
        <v>0</v>
      </c>
    </row>
    <row r="131" spans="1:19">
      <c r="A131" t="s">
        <v>223</v>
      </c>
      <c r="B131" t="s">
        <v>3949</v>
      </c>
      <c r="C131">
        <f>"10200019"</f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 s="2">
        <v>0</v>
      </c>
      <c r="M131">
        <v>0</v>
      </c>
      <c r="N131" s="2">
        <v>0</v>
      </c>
      <c r="O131">
        <v>0</v>
      </c>
      <c r="P131" t="s">
        <v>100</v>
      </c>
      <c r="Q131">
        <v>0</v>
      </c>
      <c r="R131" t="s">
        <v>145</v>
      </c>
      <c r="S131">
        <v>0</v>
      </c>
    </row>
    <row r="132" spans="1:19">
      <c r="A132" t="s">
        <v>223</v>
      </c>
      <c r="B132" t="s">
        <v>3948</v>
      </c>
      <c r="C132">
        <f>"2425030"</f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 s="2">
        <v>0</v>
      </c>
      <c r="M132">
        <v>0</v>
      </c>
      <c r="N132" s="2">
        <v>0</v>
      </c>
      <c r="O132">
        <v>0</v>
      </c>
      <c r="P132" t="s">
        <v>100</v>
      </c>
      <c r="Q132">
        <v>0</v>
      </c>
      <c r="R132" t="s">
        <v>145</v>
      </c>
      <c r="S132">
        <v>0</v>
      </c>
    </row>
    <row r="133" spans="1:19">
      <c r="A133" t="s">
        <v>223</v>
      </c>
      <c r="B133" t="s">
        <v>3975</v>
      </c>
      <c r="C133">
        <f>"5624100"</f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 s="2">
        <v>0</v>
      </c>
      <c r="M133">
        <v>0</v>
      </c>
      <c r="N133" s="2">
        <v>0</v>
      </c>
      <c r="O133">
        <v>0</v>
      </c>
      <c r="P133" t="s">
        <v>100</v>
      </c>
      <c r="Q133">
        <v>0</v>
      </c>
      <c r="R133" t="s">
        <v>145</v>
      </c>
      <c r="S133">
        <v>0</v>
      </c>
    </row>
    <row r="134" spans="1:19">
      <c r="A134" t="s">
        <v>223</v>
      </c>
      <c r="B134" t="s">
        <v>3889</v>
      </c>
      <c r="C134">
        <f>"250940"</f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 s="2">
        <v>0</v>
      </c>
      <c r="M134">
        <v>0</v>
      </c>
      <c r="N134" s="2">
        <v>0</v>
      </c>
      <c r="O134">
        <v>0</v>
      </c>
      <c r="P134" t="s">
        <v>100</v>
      </c>
      <c r="Q134">
        <v>0</v>
      </c>
      <c r="R134" t="s">
        <v>145</v>
      </c>
      <c r="S134">
        <v>0</v>
      </c>
    </row>
    <row r="135" spans="1:19">
      <c r="A135" t="s">
        <v>223</v>
      </c>
      <c r="B135" t="s">
        <v>3888</v>
      </c>
      <c r="C135">
        <f>"ROYAL1"</f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2">
        <v>0</v>
      </c>
      <c r="M135">
        <v>0</v>
      </c>
      <c r="N135" s="2">
        <v>0</v>
      </c>
      <c r="O135">
        <v>0</v>
      </c>
      <c r="P135" t="s">
        <v>100</v>
      </c>
      <c r="Q135">
        <v>0</v>
      </c>
      <c r="R135" t="s">
        <v>145</v>
      </c>
      <c r="S135">
        <v>0</v>
      </c>
    </row>
    <row r="136" spans="1:19">
      <c r="A136" t="s">
        <v>223</v>
      </c>
      <c r="B136" t="s">
        <v>3920</v>
      </c>
      <c r="C136">
        <f>"5010025"</f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2">
        <v>0</v>
      </c>
      <c r="M136">
        <v>0</v>
      </c>
      <c r="N136" s="2">
        <v>0</v>
      </c>
      <c r="O136">
        <v>0</v>
      </c>
      <c r="P136" t="s">
        <v>100</v>
      </c>
      <c r="Q136">
        <v>0</v>
      </c>
      <c r="R136" t="s">
        <v>145</v>
      </c>
      <c r="S136">
        <v>0</v>
      </c>
    </row>
    <row r="137" spans="1:19">
      <c r="A137" t="s">
        <v>223</v>
      </c>
      <c r="B137" t="s">
        <v>3919</v>
      </c>
      <c r="C137">
        <f>"5001049"</f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 s="2">
        <v>0</v>
      </c>
      <c r="M137">
        <v>0</v>
      </c>
      <c r="N137" s="2">
        <v>0</v>
      </c>
      <c r="O137">
        <v>0</v>
      </c>
      <c r="P137" t="s">
        <v>100</v>
      </c>
      <c r="Q137">
        <v>0</v>
      </c>
      <c r="R137" t="s">
        <v>145</v>
      </c>
      <c r="S137">
        <v>0</v>
      </c>
    </row>
    <row r="138" spans="1:19">
      <c r="A138" t="s">
        <v>223</v>
      </c>
      <c r="B138" t="s">
        <v>3918</v>
      </c>
      <c r="C138">
        <f>"5201025"</f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 s="2">
        <v>0</v>
      </c>
      <c r="M138">
        <v>0</v>
      </c>
      <c r="N138" s="2">
        <v>0</v>
      </c>
      <c r="O138">
        <v>0</v>
      </c>
      <c r="P138" t="s">
        <v>100</v>
      </c>
      <c r="Q138">
        <v>0</v>
      </c>
      <c r="R138" t="s">
        <v>145</v>
      </c>
      <c r="S138">
        <v>0</v>
      </c>
    </row>
    <row r="139" spans="1:19">
      <c r="A139" t="s">
        <v>223</v>
      </c>
      <c r="B139" t="s">
        <v>3917</v>
      </c>
      <c r="C139">
        <f>"5201079"</f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 s="2">
        <v>0</v>
      </c>
      <c r="M139">
        <v>0</v>
      </c>
      <c r="N139" s="2">
        <v>0</v>
      </c>
      <c r="O139">
        <v>0</v>
      </c>
      <c r="P139" t="s">
        <v>100</v>
      </c>
      <c r="Q139">
        <v>0</v>
      </c>
      <c r="R139" t="s">
        <v>145</v>
      </c>
      <c r="S139">
        <v>0</v>
      </c>
    </row>
    <row r="140" spans="1:19">
      <c r="A140" t="s">
        <v>223</v>
      </c>
      <c r="B140" t="s">
        <v>3916</v>
      </c>
      <c r="C140">
        <f>"5001089"</f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2">
        <v>0</v>
      </c>
      <c r="M140">
        <v>0</v>
      </c>
      <c r="N140" s="2">
        <v>0</v>
      </c>
      <c r="O140">
        <v>0</v>
      </c>
      <c r="P140" t="s">
        <v>100</v>
      </c>
      <c r="Q140">
        <v>0</v>
      </c>
      <c r="R140" t="s">
        <v>145</v>
      </c>
      <c r="S140">
        <v>0</v>
      </c>
    </row>
    <row r="141" spans="1:19">
      <c r="A141" t="s">
        <v>223</v>
      </c>
      <c r="B141" t="s">
        <v>3915</v>
      </c>
      <c r="C141">
        <f>"5456025"</f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2">
        <v>0</v>
      </c>
      <c r="M141">
        <v>0</v>
      </c>
      <c r="N141" s="2">
        <v>0</v>
      </c>
      <c r="O141">
        <v>0</v>
      </c>
      <c r="P141" t="s">
        <v>100</v>
      </c>
      <c r="Q141">
        <v>0</v>
      </c>
      <c r="R141" t="s">
        <v>145</v>
      </c>
      <c r="S141">
        <v>0</v>
      </c>
    </row>
    <row r="142" spans="1:19">
      <c r="A142" t="s">
        <v>223</v>
      </c>
      <c r="B142" t="s">
        <v>3592</v>
      </c>
      <c r="C142">
        <f>"5101004"</f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2">
        <v>0</v>
      </c>
      <c r="M142">
        <v>0</v>
      </c>
      <c r="N142" s="2">
        <v>0</v>
      </c>
      <c r="O142">
        <v>0</v>
      </c>
      <c r="P142" t="s">
        <v>100</v>
      </c>
      <c r="Q142">
        <v>0</v>
      </c>
      <c r="R142" t="s">
        <v>145</v>
      </c>
      <c r="S142">
        <v>0</v>
      </c>
    </row>
    <row r="143" spans="1:19">
      <c r="A143" t="s">
        <v>223</v>
      </c>
      <c r="B143" t="s">
        <v>3589</v>
      </c>
      <c r="C143">
        <f>"5454025"</f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 s="2">
        <v>0</v>
      </c>
      <c r="M143">
        <v>0</v>
      </c>
      <c r="N143" s="2">
        <v>0</v>
      </c>
      <c r="O143">
        <v>0</v>
      </c>
      <c r="P143" t="s">
        <v>100</v>
      </c>
      <c r="Q143">
        <v>0</v>
      </c>
      <c r="R143" t="s">
        <v>145</v>
      </c>
      <c r="S143">
        <v>0</v>
      </c>
    </row>
    <row r="144" spans="1:19">
      <c r="A144" t="s">
        <v>223</v>
      </c>
      <c r="B144" t="s">
        <v>3928</v>
      </c>
      <c r="C144">
        <f>"2464030"</f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 s="2">
        <v>0</v>
      </c>
      <c r="M144">
        <v>0</v>
      </c>
      <c r="N144" s="2">
        <v>0</v>
      </c>
      <c r="O144">
        <v>0</v>
      </c>
      <c r="P144" t="s">
        <v>100</v>
      </c>
      <c r="Q144">
        <v>0</v>
      </c>
      <c r="R144" t="s">
        <v>145</v>
      </c>
      <c r="S144">
        <v>0</v>
      </c>
    </row>
    <row r="145" spans="1:19">
      <c r="A145" t="s">
        <v>223</v>
      </c>
      <c r="B145" t="s">
        <v>3927</v>
      </c>
      <c r="C145">
        <f>"5437010"</f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 s="2">
        <v>0</v>
      </c>
      <c r="M145">
        <v>0</v>
      </c>
      <c r="N145" s="2">
        <v>0</v>
      </c>
      <c r="O145">
        <v>0</v>
      </c>
      <c r="P145" t="s">
        <v>100</v>
      </c>
      <c r="Q145">
        <v>0</v>
      </c>
      <c r="R145" t="s">
        <v>145</v>
      </c>
      <c r="S145">
        <v>0</v>
      </c>
    </row>
    <row r="146" spans="1:19">
      <c r="A146" t="s">
        <v>223</v>
      </c>
      <c r="B146" t="s">
        <v>3926</v>
      </c>
      <c r="C146">
        <f>"5430025"</f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2">
        <v>0</v>
      </c>
      <c r="M146">
        <v>0</v>
      </c>
      <c r="N146" s="2">
        <v>0</v>
      </c>
      <c r="O146">
        <v>0</v>
      </c>
      <c r="P146" t="s">
        <v>100</v>
      </c>
      <c r="Q146">
        <v>0</v>
      </c>
      <c r="R146" t="s">
        <v>145</v>
      </c>
      <c r="S146">
        <v>0</v>
      </c>
    </row>
    <row r="147" spans="1:19">
      <c r="A147" t="s">
        <v>223</v>
      </c>
      <c r="B147" t="s">
        <v>3925</v>
      </c>
      <c r="C147">
        <f>"5430030"</f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2">
        <v>0</v>
      </c>
      <c r="M147">
        <v>0</v>
      </c>
      <c r="N147" s="2">
        <v>0</v>
      </c>
      <c r="O147">
        <v>0</v>
      </c>
      <c r="P147" t="s">
        <v>100</v>
      </c>
      <c r="Q147">
        <v>0</v>
      </c>
      <c r="R147" t="s">
        <v>145</v>
      </c>
      <c r="S147">
        <v>0</v>
      </c>
    </row>
    <row r="148" spans="1:19">
      <c r="A148" t="s">
        <v>223</v>
      </c>
      <c r="B148" t="s">
        <v>3924</v>
      </c>
      <c r="C148">
        <f>"5453025"</f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2">
        <v>0</v>
      </c>
      <c r="M148">
        <v>0</v>
      </c>
      <c r="N148" s="2">
        <v>0</v>
      </c>
      <c r="O148">
        <v>0</v>
      </c>
      <c r="P148" t="s">
        <v>100</v>
      </c>
      <c r="Q148">
        <v>0</v>
      </c>
      <c r="R148" t="s">
        <v>145</v>
      </c>
      <c r="S148">
        <v>0</v>
      </c>
    </row>
    <row r="149" spans="1:19">
      <c r="A149" t="s">
        <v>223</v>
      </c>
      <c r="B149" t="s">
        <v>3923</v>
      </c>
      <c r="C149">
        <f>"2453030"</f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2">
        <v>0</v>
      </c>
      <c r="M149">
        <v>0</v>
      </c>
      <c r="N149" s="2">
        <v>0</v>
      </c>
      <c r="O149">
        <v>0</v>
      </c>
      <c r="P149" t="s">
        <v>100</v>
      </c>
      <c r="Q149">
        <v>0</v>
      </c>
      <c r="R149" t="s">
        <v>145</v>
      </c>
      <c r="S149">
        <v>0</v>
      </c>
    </row>
    <row r="150" spans="1:19">
      <c r="A150" t="s">
        <v>223</v>
      </c>
      <c r="B150" t="s">
        <v>3937</v>
      </c>
      <c r="C150">
        <f>"5437075"</f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2">
        <v>0</v>
      </c>
      <c r="M150">
        <v>0</v>
      </c>
      <c r="N150" s="2">
        <v>0</v>
      </c>
      <c r="O150">
        <v>0</v>
      </c>
      <c r="P150" t="s">
        <v>100</v>
      </c>
      <c r="Q150">
        <v>0</v>
      </c>
      <c r="R150" t="s">
        <v>145</v>
      </c>
      <c r="S150">
        <v>0</v>
      </c>
    </row>
    <row r="151" spans="1:19">
      <c r="A151" t="s">
        <v>223</v>
      </c>
      <c r="B151" t="s">
        <v>3575</v>
      </c>
      <c r="C151">
        <f>"2436030"</f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2">
        <v>0</v>
      </c>
      <c r="M151">
        <v>0</v>
      </c>
      <c r="N151" s="2">
        <v>0</v>
      </c>
      <c r="O151">
        <v>0</v>
      </c>
      <c r="P151" t="s">
        <v>100</v>
      </c>
      <c r="Q151">
        <v>0</v>
      </c>
      <c r="R151" t="s">
        <v>145</v>
      </c>
      <c r="S151">
        <v>0</v>
      </c>
    </row>
    <row r="152" spans="1:19">
      <c r="A152" t="s">
        <v>223</v>
      </c>
      <c r="B152" t="s">
        <v>3625</v>
      </c>
      <c r="C152">
        <f>"2018020"</f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2">
        <v>0</v>
      </c>
      <c r="M152">
        <v>0</v>
      </c>
      <c r="N152" s="2">
        <v>0</v>
      </c>
      <c r="O152">
        <v>0</v>
      </c>
      <c r="P152" t="s">
        <v>100</v>
      </c>
      <c r="Q152">
        <v>0</v>
      </c>
      <c r="R152" t="s">
        <v>145</v>
      </c>
      <c r="S152">
        <v>0</v>
      </c>
    </row>
    <row r="153" spans="1:19">
      <c r="A153" t="s">
        <v>223</v>
      </c>
      <c r="B153" t="s">
        <v>3624</v>
      </c>
      <c r="C153">
        <f>"2028100"</f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2">
        <v>0</v>
      </c>
      <c r="M153">
        <v>0</v>
      </c>
      <c r="N153" s="2">
        <v>0</v>
      </c>
      <c r="O153">
        <v>0</v>
      </c>
      <c r="P153" t="s">
        <v>100</v>
      </c>
      <c r="Q153">
        <v>0</v>
      </c>
      <c r="R153" t="s">
        <v>145</v>
      </c>
      <c r="S153">
        <v>0</v>
      </c>
    </row>
    <row r="154" spans="1:19">
      <c r="A154" t="s">
        <v>223</v>
      </c>
      <c r="B154" t="s">
        <v>3518</v>
      </c>
      <c r="C154">
        <f>"5101705"</f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 s="2">
        <v>0</v>
      </c>
      <c r="M154">
        <v>0</v>
      </c>
      <c r="N154" s="2">
        <v>0</v>
      </c>
      <c r="O154">
        <v>0</v>
      </c>
      <c r="P154" t="s">
        <v>100</v>
      </c>
      <c r="Q154">
        <v>0</v>
      </c>
      <c r="R154" t="s">
        <v>145</v>
      </c>
      <c r="S154">
        <v>0</v>
      </c>
    </row>
    <row r="155" spans="1:19">
      <c r="A155" t="s">
        <v>223</v>
      </c>
      <c r="B155" t="s">
        <v>3547</v>
      </c>
      <c r="C155">
        <f>"249450"</f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2">
        <v>0</v>
      </c>
      <c r="M155">
        <v>0</v>
      </c>
      <c r="N155" s="2">
        <v>0</v>
      </c>
      <c r="O155">
        <v>0</v>
      </c>
      <c r="P155" t="s">
        <v>100</v>
      </c>
      <c r="Q155">
        <v>0</v>
      </c>
      <c r="R155" t="s">
        <v>145</v>
      </c>
      <c r="S155">
        <v>0</v>
      </c>
    </row>
    <row r="156" spans="1:19">
      <c r="A156" t="s">
        <v>223</v>
      </c>
      <c r="B156" t="s">
        <v>2957</v>
      </c>
      <c r="C156">
        <f>"5362015"</f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2">
        <v>0</v>
      </c>
      <c r="M156">
        <v>0</v>
      </c>
      <c r="N156" s="2">
        <v>0</v>
      </c>
      <c r="O156">
        <v>0</v>
      </c>
      <c r="P156" t="s">
        <v>100</v>
      </c>
      <c r="Q156">
        <v>0</v>
      </c>
      <c r="R156" t="s">
        <v>145</v>
      </c>
      <c r="S156">
        <v>0</v>
      </c>
    </row>
    <row r="157" spans="1:19">
      <c r="A157" t="s">
        <v>223</v>
      </c>
      <c r="B157" t="s">
        <v>5815</v>
      </c>
      <c r="C157">
        <f>"5441025"</f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 s="2">
        <v>0</v>
      </c>
      <c r="M157">
        <v>0</v>
      </c>
      <c r="N157" s="2">
        <v>0</v>
      </c>
      <c r="O157">
        <v>0</v>
      </c>
      <c r="P157" t="s">
        <v>100</v>
      </c>
      <c r="Q157">
        <v>0</v>
      </c>
      <c r="R157" t="s">
        <v>145</v>
      </c>
      <c r="S157">
        <v>0</v>
      </c>
    </row>
    <row r="158" spans="1:19">
      <c r="A158" t="s">
        <v>223</v>
      </c>
      <c r="B158" t="s">
        <v>5814</v>
      </c>
      <c r="C158">
        <f>"5501108"</f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 s="2">
        <v>0</v>
      </c>
      <c r="M158">
        <v>0</v>
      </c>
      <c r="N158" s="2">
        <v>0</v>
      </c>
      <c r="O158">
        <v>0</v>
      </c>
      <c r="P158" t="s">
        <v>100</v>
      </c>
      <c r="Q158">
        <v>0</v>
      </c>
      <c r="R158" t="s">
        <v>145</v>
      </c>
      <c r="S158">
        <v>0</v>
      </c>
    </row>
    <row r="159" spans="1:19">
      <c r="A159" t="s">
        <v>223</v>
      </c>
      <c r="B159" t="s">
        <v>5813</v>
      </c>
      <c r="C159">
        <f>"3712030"</f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 s="2">
        <v>0</v>
      </c>
      <c r="M159">
        <v>0</v>
      </c>
      <c r="N159" s="2">
        <v>0</v>
      </c>
      <c r="O159">
        <v>0</v>
      </c>
      <c r="P159" t="s">
        <v>100</v>
      </c>
      <c r="Q159">
        <v>0</v>
      </c>
      <c r="R159" t="s">
        <v>145</v>
      </c>
      <c r="S159">
        <v>0</v>
      </c>
    </row>
    <row r="160" spans="1:19">
      <c r="A160" t="s">
        <v>223</v>
      </c>
      <c r="B160" t="s">
        <v>5798</v>
      </c>
      <c r="C160">
        <f>"at66c16"</f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 s="2">
        <v>0</v>
      </c>
      <c r="M160">
        <v>0</v>
      </c>
      <c r="N160" s="2">
        <v>0</v>
      </c>
      <c r="O160">
        <v>0</v>
      </c>
      <c r="P160" t="s">
        <v>100</v>
      </c>
      <c r="Q160">
        <v>0</v>
      </c>
      <c r="R160" t="s">
        <v>145</v>
      </c>
      <c r="S160">
        <v>0</v>
      </c>
    </row>
    <row r="161" spans="1:19">
      <c r="A161" t="s">
        <v>223</v>
      </c>
      <c r="B161" t="s">
        <v>5797</v>
      </c>
      <c r="C161">
        <f>"AT66N17"</f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 s="2">
        <v>0</v>
      </c>
      <c r="M161">
        <v>0</v>
      </c>
      <c r="N161" s="2">
        <v>0</v>
      </c>
      <c r="O161">
        <v>0</v>
      </c>
      <c r="P161" t="s">
        <v>100</v>
      </c>
      <c r="Q161">
        <v>0</v>
      </c>
      <c r="R161" t="s">
        <v>145</v>
      </c>
      <c r="S161">
        <v>0</v>
      </c>
    </row>
    <row r="162" spans="1:19">
      <c r="A162" t="s">
        <v>223</v>
      </c>
      <c r="B162" t="s">
        <v>5796</v>
      </c>
      <c r="C162">
        <f>"CC64P"</f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 s="2">
        <v>0</v>
      </c>
      <c r="M162">
        <v>0</v>
      </c>
      <c r="N162" s="2">
        <v>0</v>
      </c>
      <c r="O162">
        <v>0</v>
      </c>
      <c r="P162" t="s">
        <v>100</v>
      </c>
      <c r="Q162">
        <v>0</v>
      </c>
      <c r="R162" t="s">
        <v>145</v>
      </c>
      <c r="S162">
        <v>0</v>
      </c>
    </row>
    <row r="163" spans="1:19">
      <c r="A163" t="s">
        <v>223</v>
      </c>
      <c r="B163" t="s">
        <v>5795</v>
      </c>
      <c r="C163">
        <f>"BM39P1"</f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 s="2">
        <v>0</v>
      </c>
      <c r="M163">
        <v>0</v>
      </c>
      <c r="N163" s="2">
        <v>0</v>
      </c>
      <c r="O163">
        <v>0</v>
      </c>
      <c r="P163" t="s">
        <v>100</v>
      </c>
      <c r="Q163">
        <v>0</v>
      </c>
      <c r="R163" t="s">
        <v>145</v>
      </c>
      <c r="S163">
        <v>0</v>
      </c>
    </row>
    <row r="164" spans="1:19">
      <c r="A164" t="s">
        <v>223</v>
      </c>
      <c r="B164" t="s">
        <v>5794</v>
      </c>
      <c r="C164">
        <f>"BR30G11"</f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 s="2">
        <v>0</v>
      </c>
      <c r="M164">
        <v>0</v>
      </c>
      <c r="N164" s="2">
        <v>0</v>
      </c>
      <c r="O164">
        <v>0</v>
      </c>
      <c r="P164" t="s">
        <v>100</v>
      </c>
      <c r="Q164">
        <v>0</v>
      </c>
      <c r="R164" t="s">
        <v>145</v>
      </c>
      <c r="S164">
        <v>0</v>
      </c>
    </row>
    <row r="165" spans="1:19">
      <c r="A165" t="s">
        <v>223</v>
      </c>
      <c r="B165" t="s">
        <v>5711</v>
      </c>
      <c r="C165">
        <f>"BR29X12"</f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 s="2">
        <v>0</v>
      </c>
      <c r="M165">
        <v>0</v>
      </c>
      <c r="N165" s="2">
        <v>0</v>
      </c>
      <c r="O165">
        <v>0</v>
      </c>
      <c r="P165" t="s">
        <v>100</v>
      </c>
      <c r="Q165">
        <v>0</v>
      </c>
      <c r="R165" t="s">
        <v>145</v>
      </c>
      <c r="S165">
        <v>0</v>
      </c>
    </row>
    <row r="166" spans="1:19">
      <c r="A166" t="s">
        <v>223</v>
      </c>
      <c r="B166" t="s">
        <v>5710</v>
      </c>
      <c r="C166">
        <f>"BR29H21"</f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 s="2">
        <v>0</v>
      </c>
      <c r="M166">
        <v>0</v>
      </c>
      <c r="N166" s="2">
        <v>0</v>
      </c>
      <c r="O166">
        <v>0</v>
      </c>
      <c r="P166" t="s">
        <v>100</v>
      </c>
      <c r="Q166">
        <v>0</v>
      </c>
      <c r="R166" t="s">
        <v>145</v>
      </c>
      <c r="S166">
        <v>0</v>
      </c>
    </row>
    <row r="167" spans="1:19">
      <c r="A167" t="s">
        <v>223</v>
      </c>
      <c r="B167" t="s">
        <v>5709</v>
      </c>
      <c r="C167">
        <f>"BR28P22"</f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 s="2">
        <v>0</v>
      </c>
      <c r="M167">
        <v>0</v>
      </c>
      <c r="N167" s="2">
        <v>0</v>
      </c>
      <c r="O167">
        <v>0</v>
      </c>
      <c r="P167" t="s">
        <v>100</v>
      </c>
      <c r="Q167">
        <v>0</v>
      </c>
      <c r="R167" t="s">
        <v>145</v>
      </c>
      <c r="S167">
        <v>0</v>
      </c>
    </row>
    <row r="168" spans="1:19">
      <c r="A168" t="s">
        <v>223</v>
      </c>
      <c r="B168" t="s">
        <v>5708</v>
      </c>
      <c r="C168">
        <f>"BR05G31"</f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 s="2">
        <v>0</v>
      </c>
      <c r="M168">
        <v>0</v>
      </c>
      <c r="N168" s="2">
        <v>0</v>
      </c>
      <c r="O168">
        <v>0</v>
      </c>
      <c r="P168" t="s">
        <v>100</v>
      </c>
      <c r="Q168">
        <v>0</v>
      </c>
      <c r="R168" t="s">
        <v>145</v>
      </c>
      <c r="S168">
        <v>0</v>
      </c>
    </row>
    <row r="169" spans="1:19">
      <c r="A169" t="s">
        <v>223</v>
      </c>
      <c r="B169" t="s">
        <v>5790</v>
      </c>
      <c r="C169">
        <f>"BP96J32"</f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 s="2">
        <v>0</v>
      </c>
      <c r="M169">
        <v>0</v>
      </c>
      <c r="N169" s="2">
        <v>0</v>
      </c>
      <c r="O169">
        <v>0</v>
      </c>
      <c r="P169" t="s">
        <v>100</v>
      </c>
      <c r="Q169">
        <v>0</v>
      </c>
      <c r="R169" t="s">
        <v>145</v>
      </c>
      <c r="S169">
        <v>0</v>
      </c>
    </row>
    <row r="170" spans="1:19">
      <c r="A170" t="s">
        <v>223</v>
      </c>
      <c r="B170" t="s">
        <v>5773</v>
      </c>
      <c r="C170">
        <f>"AT66X18"</f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 s="2">
        <v>0</v>
      </c>
      <c r="M170">
        <v>0</v>
      </c>
      <c r="N170" s="2">
        <v>0</v>
      </c>
      <c r="O170">
        <v>0</v>
      </c>
      <c r="P170" t="s">
        <v>100</v>
      </c>
      <c r="Q170">
        <v>0</v>
      </c>
      <c r="R170" t="s">
        <v>145</v>
      </c>
      <c r="S170">
        <v>0</v>
      </c>
    </row>
    <row r="171" spans="1:19">
      <c r="A171" t="s">
        <v>223</v>
      </c>
      <c r="B171" t="s">
        <v>5726</v>
      </c>
      <c r="C171">
        <f>"AT65P15"</f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 s="2">
        <v>0</v>
      </c>
      <c r="M171">
        <v>0</v>
      </c>
      <c r="N171" s="2">
        <v>0</v>
      </c>
      <c r="O171">
        <v>0</v>
      </c>
      <c r="P171" t="s">
        <v>100</v>
      </c>
      <c r="Q171">
        <v>0</v>
      </c>
      <c r="R171" t="s">
        <v>145</v>
      </c>
      <c r="S171">
        <v>0</v>
      </c>
    </row>
    <row r="172" spans="1:19">
      <c r="A172" t="s">
        <v>223</v>
      </c>
      <c r="B172" t="s">
        <v>5933</v>
      </c>
      <c r="C172">
        <f>"42015"</f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 s="2">
        <v>0</v>
      </c>
      <c r="M172">
        <v>0</v>
      </c>
      <c r="N172" s="2">
        <v>0</v>
      </c>
      <c r="O172">
        <v>0</v>
      </c>
      <c r="P172" t="s">
        <v>100</v>
      </c>
      <c r="Q172">
        <v>0</v>
      </c>
      <c r="R172" t="s">
        <v>145</v>
      </c>
      <c r="S172">
        <v>0</v>
      </c>
    </row>
    <row r="173" spans="1:19">
      <c r="A173" t="s">
        <v>223</v>
      </c>
      <c r="B173" t="s">
        <v>5834</v>
      </c>
      <c r="C173">
        <f>"3441010"</f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 s="2">
        <v>0</v>
      </c>
      <c r="M173">
        <v>0</v>
      </c>
      <c r="N173" s="2">
        <v>0</v>
      </c>
      <c r="O173">
        <v>0</v>
      </c>
      <c r="P173" t="s">
        <v>100</v>
      </c>
      <c r="Q173">
        <v>0</v>
      </c>
      <c r="R173" t="s">
        <v>145</v>
      </c>
      <c r="S173">
        <v>0</v>
      </c>
    </row>
    <row r="174" spans="1:19">
      <c r="A174" t="s">
        <v>223</v>
      </c>
      <c r="B174" t="s">
        <v>5508</v>
      </c>
      <c r="C174">
        <f>"44785"</f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 s="2">
        <v>0</v>
      </c>
      <c r="M174">
        <v>0</v>
      </c>
      <c r="N174" s="2">
        <v>0</v>
      </c>
      <c r="O174">
        <v>0</v>
      </c>
      <c r="P174" t="s">
        <v>100</v>
      </c>
      <c r="Q174">
        <v>0</v>
      </c>
      <c r="R174" t="s">
        <v>145</v>
      </c>
      <c r="S174">
        <v>0</v>
      </c>
    </row>
    <row r="175" spans="1:19">
      <c r="A175" t="s">
        <v>223</v>
      </c>
      <c r="B175" t="s">
        <v>5655</v>
      </c>
      <c r="C175">
        <f>"2057015"</f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 s="2">
        <v>0</v>
      </c>
      <c r="M175">
        <v>0</v>
      </c>
      <c r="N175" s="2">
        <v>0</v>
      </c>
      <c r="O175">
        <v>0</v>
      </c>
      <c r="P175" t="s">
        <v>100</v>
      </c>
      <c r="Q175">
        <v>0</v>
      </c>
      <c r="R175" t="s">
        <v>145</v>
      </c>
      <c r="S175">
        <v>0</v>
      </c>
    </row>
    <row r="176" spans="1:19">
      <c r="A176" t="s">
        <v>223</v>
      </c>
      <c r="B176" t="s">
        <v>5654</v>
      </c>
      <c r="C176">
        <f>"5047020"</f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 s="2">
        <v>0</v>
      </c>
      <c r="M176">
        <v>0</v>
      </c>
      <c r="N176" s="2">
        <v>0</v>
      </c>
      <c r="O176">
        <v>0</v>
      </c>
      <c r="P176" t="s">
        <v>100</v>
      </c>
      <c r="Q176">
        <v>0</v>
      </c>
      <c r="R176" t="s">
        <v>145</v>
      </c>
      <c r="S176">
        <v>0</v>
      </c>
    </row>
    <row r="177" spans="1:19">
      <c r="A177" t="s">
        <v>223</v>
      </c>
      <c r="B177" t="s">
        <v>5653</v>
      </c>
      <c r="C177">
        <f>"AK05Y"</f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 s="2">
        <v>0</v>
      </c>
      <c r="M177">
        <v>0</v>
      </c>
      <c r="N177" s="2">
        <v>0</v>
      </c>
      <c r="O177">
        <v>0</v>
      </c>
      <c r="P177" t="s">
        <v>100</v>
      </c>
      <c r="Q177">
        <v>0</v>
      </c>
      <c r="R177" t="s">
        <v>145</v>
      </c>
      <c r="S177">
        <v>0</v>
      </c>
    </row>
    <row r="178" spans="1:19">
      <c r="A178" t="s">
        <v>223</v>
      </c>
      <c r="B178" t="s">
        <v>5485</v>
      </c>
      <c r="C178">
        <f>"44821"</f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 s="2">
        <v>0</v>
      </c>
      <c r="M178">
        <v>0</v>
      </c>
      <c r="N178" s="2">
        <v>0</v>
      </c>
      <c r="O178">
        <v>0</v>
      </c>
      <c r="P178" t="s">
        <v>100</v>
      </c>
      <c r="Q178">
        <v>0</v>
      </c>
      <c r="R178" t="s">
        <v>145</v>
      </c>
      <c r="S178">
        <v>0</v>
      </c>
    </row>
    <row r="179" spans="1:19">
      <c r="A179" t="s">
        <v>223</v>
      </c>
      <c r="B179" t="s">
        <v>5484</v>
      </c>
      <c r="C179">
        <f>"540505"</f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 s="2">
        <v>0</v>
      </c>
      <c r="M179">
        <v>0</v>
      </c>
      <c r="N179" s="2">
        <v>0</v>
      </c>
      <c r="O179">
        <v>0</v>
      </c>
      <c r="P179" t="s">
        <v>100</v>
      </c>
      <c r="Q179">
        <v>0</v>
      </c>
      <c r="R179" t="s">
        <v>145</v>
      </c>
      <c r="S179">
        <v>0</v>
      </c>
    </row>
    <row r="180" spans="1:19">
      <c r="A180" t="s">
        <v>223</v>
      </c>
      <c r="B180" t="s">
        <v>5591</v>
      </c>
      <c r="C180">
        <f>"2110020"</f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 s="2">
        <v>0</v>
      </c>
      <c r="M180">
        <v>0</v>
      </c>
      <c r="N180" s="2">
        <v>0</v>
      </c>
      <c r="O180">
        <v>0</v>
      </c>
      <c r="P180" t="s">
        <v>100</v>
      </c>
      <c r="Q180">
        <v>0</v>
      </c>
      <c r="R180" t="s">
        <v>145</v>
      </c>
      <c r="S180">
        <v>0</v>
      </c>
    </row>
    <row r="181" spans="1:19">
      <c r="A181" t="s">
        <v>223</v>
      </c>
      <c r="B181" t="s">
        <v>5687</v>
      </c>
      <c r="C181">
        <f>"3653015"</f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 s="2">
        <v>0</v>
      </c>
      <c r="M181">
        <v>0</v>
      </c>
      <c r="N181" s="2">
        <v>0</v>
      </c>
      <c r="O181">
        <v>0</v>
      </c>
      <c r="P181" t="s">
        <v>100</v>
      </c>
      <c r="Q181">
        <v>0</v>
      </c>
      <c r="R181" t="s">
        <v>145</v>
      </c>
      <c r="S181">
        <v>0</v>
      </c>
    </row>
    <row r="182" spans="1:19">
      <c r="A182" t="s">
        <v>223</v>
      </c>
      <c r="B182" t="s">
        <v>5686</v>
      </c>
      <c r="C182">
        <f>"1508952457019"</f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 s="2">
        <v>0</v>
      </c>
      <c r="M182">
        <v>0</v>
      </c>
      <c r="N182" s="2">
        <v>0</v>
      </c>
      <c r="O182">
        <v>0</v>
      </c>
      <c r="P182" t="s">
        <v>100</v>
      </c>
      <c r="Q182">
        <v>0</v>
      </c>
      <c r="R182" t="s">
        <v>145</v>
      </c>
      <c r="S182">
        <v>0</v>
      </c>
    </row>
    <row r="183" spans="1:19">
      <c r="A183" t="s">
        <v>223</v>
      </c>
      <c r="B183" t="s">
        <v>5685</v>
      </c>
      <c r="C183">
        <f>"AY08S"</f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 s="2">
        <v>0</v>
      </c>
      <c r="M183">
        <v>0</v>
      </c>
      <c r="N183" s="2">
        <v>0</v>
      </c>
      <c r="O183">
        <v>0</v>
      </c>
      <c r="P183" t="s">
        <v>100</v>
      </c>
      <c r="Q183">
        <v>0</v>
      </c>
      <c r="R183" t="s">
        <v>145</v>
      </c>
      <c r="S183">
        <v>0</v>
      </c>
    </row>
    <row r="184" spans="1:19">
      <c r="A184" t="s">
        <v>223</v>
      </c>
      <c r="B184" t="s">
        <v>5684</v>
      </c>
      <c r="C184">
        <f>"21100005"</f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 s="2">
        <v>0</v>
      </c>
      <c r="M184">
        <v>0</v>
      </c>
      <c r="N184" s="2">
        <v>0</v>
      </c>
      <c r="O184">
        <v>0</v>
      </c>
      <c r="P184" t="s">
        <v>100</v>
      </c>
      <c r="Q184">
        <v>0</v>
      </c>
      <c r="R184" t="s">
        <v>145</v>
      </c>
      <c r="S184">
        <v>0</v>
      </c>
    </row>
    <row r="185" spans="1:19">
      <c r="A185" t="s">
        <v>223</v>
      </c>
      <c r="B185" t="s">
        <v>5683</v>
      </c>
      <c r="C185">
        <f>"AY09D"</f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 s="2">
        <v>0</v>
      </c>
      <c r="M185">
        <v>0</v>
      </c>
      <c r="N185" s="2">
        <v>0</v>
      </c>
      <c r="O185">
        <v>0</v>
      </c>
      <c r="P185" t="s">
        <v>100</v>
      </c>
      <c r="Q185">
        <v>0</v>
      </c>
      <c r="R185" t="s">
        <v>145</v>
      </c>
      <c r="S185">
        <v>0</v>
      </c>
    </row>
    <row r="186" spans="1:19">
      <c r="A186" t="s">
        <v>223</v>
      </c>
      <c r="B186" t="s">
        <v>5698</v>
      </c>
      <c r="C186">
        <f>"1508952411629"</f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 s="2">
        <v>0</v>
      </c>
      <c r="M186">
        <v>0</v>
      </c>
      <c r="N186" s="2">
        <v>0</v>
      </c>
      <c r="O186">
        <v>0</v>
      </c>
      <c r="P186" t="s">
        <v>100</v>
      </c>
      <c r="Q186">
        <v>0</v>
      </c>
      <c r="R186" t="s">
        <v>145</v>
      </c>
      <c r="S186">
        <v>0</v>
      </c>
    </row>
    <row r="187" spans="1:19">
      <c r="A187" t="s">
        <v>223</v>
      </c>
      <c r="B187" t="s">
        <v>5681</v>
      </c>
      <c r="C187">
        <f>"5502019"</f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 s="2">
        <v>0</v>
      </c>
      <c r="M187">
        <v>0</v>
      </c>
      <c r="N187" s="2">
        <v>0</v>
      </c>
      <c r="O187">
        <v>0</v>
      </c>
      <c r="P187" t="s">
        <v>100</v>
      </c>
      <c r="Q187">
        <v>0</v>
      </c>
      <c r="R187" t="s">
        <v>145</v>
      </c>
      <c r="S187">
        <v>0</v>
      </c>
    </row>
    <row r="188" spans="1:19">
      <c r="A188" t="s">
        <v>223</v>
      </c>
      <c r="B188" t="s">
        <v>5593</v>
      </c>
      <c r="C188">
        <f>"1508952545298"</f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 s="2">
        <v>0</v>
      </c>
      <c r="M188">
        <v>0</v>
      </c>
      <c r="N188" s="2">
        <v>0</v>
      </c>
      <c r="O188">
        <v>0</v>
      </c>
      <c r="P188" t="s">
        <v>100</v>
      </c>
      <c r="Q188">
        <v>0</v>
      </c>
      <c r="R188" t="s">
        <v>145</v>
      </c>
      <c r="S188">
        <v>0</v>
      </c>
    </row>
    <row r="189" spans="1:19">
      <c r="A189" t="s">
        <v>223</v>
      </c>
      <c r="B189" t="s">
        <v>5592</v>
      </c>
      <c r="C189">
        <f>"2072015"</f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 s="2">
        <v>0</v>
      </c>
      <c r="M189">
        <v>0</v>
      </c>
      <c r="N189" s="2">
        <v>0</v>
      </c>
      <c r="O189">
        <v>0</v>
      </c>
      <c r="P189" t="s">
        <v>100</v>
      </c>
      <c r="Q189">
        <v>0</v>
      </c>
      <c r="R189" t="s">
        <v>145</v>
      </c>
      <c r="S189">
        <v>0</v>
      </c>
    </row>
    <row r="190" spans="1:19">
      <c r="A190" t="s">
        <v>223</v>
      </c>
      <c r="B190" t="s">
        <v>5620</v>
      </c>
      <c r="C190">
        <f>"2073075"</f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 s="2">
        <v>0</v>
      </c>
      <c r="M190">
        <v>0</v>
      </c>
      <c r="N190" s="2">
        <v>0</v>
      </c>
      <c r="O190">
        <v>0</v>
      </c>
      <c r="P190" t="s">
        <v>100</v>
      </c>
      <c r="Q190">
        <v>0</v>
      </c>
      <c r="R190" t="s">
        <v>145</v>
      </c>
      <c r="S190">
        <v>0</v>
      </c>
    </row>
    <row r="191" spans="1:19">
      <c r="A191" t="s">
        <v>223</v>
      </c>
      <c r="B191" t="s">
        <v>5619</v>
      </c>
      <c r="C191">
        <f>"2125015"</f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 s="2">
        <v>0</v>
      </c>
      <c r="M191">
        <v>0</v>
      </c>
      <c r="N191" s="2">
        <v>0</v>
      </c>
      <c r="O191">
        <v>0</v>
      </c>
      <c r="P191" t="s">
        <v>100</v>
      </c>
      <c r="Q191">
        <v>0</v>
      </c>
      <c r="R191" t="s">
        <v>145</v>
      </c>
      <c r="S191">
        <v>0</v>
      </c>
    </row>
    <row r="192" spans="1:19">
      <c r="A192" t="s">
        <v>223</v>
      </c>
      <c r="B192" t="s">
        <v>5618</v>
      </c>
      <c r="C192">
        <f>"BL18F"</f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 s="2">
        <v>0</v>
      </c>
      <c r="M192">
        <v>0</v>
      </c>
      <c r="N192" s="2">
        <v>0</v>
      </c>
      <c r="O192">
        <v>0</v>
      </c>
      <c r="P192" t="s">
        <v>100</v>
      </c>
      <c r="Q192">
        <v>0</v>
      </c>
      <c r="R192" t="s">
        <v>145</v>
      </c>
      <c r="S192">
        <v>0</v>
      </c>
    </row>
    <row r="193" spans="1:19">
      <c r="A193" t="s">
        <v>223</v>
      </c>
      <c r="B193" t="s">
        <v>5617</v>
      </c>
      <c r="C193">
        <f>"5062010"</f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 s="2">
        <v>0</v>
      </c>
      <c r="M193">
        <v>0</v>
      </c>
      <c r="N193" s="2">
        <v>0</v>
      </c>
      <c r="O193">
        <v>0</v>
      </c>
      <c r="P193" t="s">
        <v>100</v>
      </c>
      <c r="Q193">
        <v>0</v>
      </c>
      <c r="R193" t="s">
        <v>145</v>
      </c>
      <c r="S193">
        <v>0</v>
      </c>
    </row>
    <row r="194" spans="1:19">
      <c r="A194" t="s">
        <v>223</v>
      </c>
      <c r="B194" t="s">
        <v>5609</v>
      </c>
      <c r="C194">
        <f>"5444025"</f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 s="2">
        <v>0</v>
      </c>
      <c r="M194">
        <v>0</v>
      </c>
      <c r="N194" s="2">
        <v>0</v>
      </c>
      <c r="O194">
        <v>0</v>
      </c>
      <c r="P194" t="s">
        <v>100</v>
      </c>
      <c r="Q194">
        <v>0</v>
      </c>
      <c r="R194" t="s">
        <v>145</v>
      </c>
      <c r="S194">
        <v>0</v>
      </c>
    </row>
    <row r="195" spans="1:19">
      <c r="A195" t="s">
        <v>223</v>
      </c>
      <c r="B195" t="s">
        <v>6254</v>
      </c>
      <c r="C195">
        <f>"1234015"</f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 s="2">
        <v>0</v>
      </c>
      <c r="M195">
        <v>0</v>
      </c>
      <c r="N195" s="2">
        <v>0</v>
      </c>
      <c r="O195">
        <v>0</v>
      </c>
      <c r="P195" t="s">
        <v>100</v>
      </c>
      <c r="Q195">
        <v>0</v>
      </c>
      <c r="R195" t="s">
        <v>145</v>
      </c>
      <c r="S195">
        <v>0</v>
      </c>
    </row>
    <row r="196" spans="1:19">
      <c r="A196" t="s">
        <v>223</v>
      </c>
      <c r="B196" t="s">
        <v>6290</v>
      </c>
      <c r="C196">
        <f>"5630015"</f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 s="2">
        <v>0</v>
      </c>
      <c r="M196">
        <v>0</v>
      </c>
      <c r="N196" s="2">
        <v>0</v>
      </c>
      <c r="O196">
        <v>0</v>
      </c>
      <c r="P196" t="s">
        <v>100</v>
      </c>
      <c r="Q196">
        <v>0</v>
      </c>
      <c r="R196" t="s">
        <v>145</v>
      </c>
      <c r="S196">
        <v>0</v>
      </c>
    </row>
    <row r="197" spans="1:19">
      <c r="A197" t="s">
        <v>223</v>
      </c>
      <c r="B197" t="s">
        <v>6289</v>
      </c>
      <c r="C197">
        <f>"10145241"</f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 s="2">
        <v>0</v>
      </c>
      <c r="M197">
        <v>0</v>
      </c>
      <c r="N197" s="2">
        <v>0</v>
      </c>
      <c r="O197">
        <v>0</v>
      </c>
      <c r="P197" t="s">
        <v>100</v>
      </c>
      <c r="Q197">
        <v>0</v>
      </c>
      <c r="R197" t="s">
        <v>145</v>
      </c>
      <c r="S197">
        <v>0</v>
      </c>
    </row>
    <row r="198" spans="1:19">
      <c r="A198" t="s">
        <v>223</v>
      </c>
      <c r="B198" t="s">
        <v>6222</v>
      </c>
      <c r="C198">
        <f>"5501519"</f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 s="2">
        <v>0</v>
      </c>
      <c r="M198">
        <v>0</v>
      </c>
      <c r="N198" s="2">
        <v>0</v>
      </c>
      <c r="O198">
        <v>0</v>
      </c>
      <c r="P198" t="s">
        <v>100</v>
      </c>
      <c r="Q198">
        <v>0</v>
      </c>
      <c r="R198" t="s">
        <v>145</v>
      </c>
      <c r="S198">
        <v>0</v>
      </c>
    </row>
    <row r="199" spans="1:19">
      <c r="A199" t="s">
        <v>223</v>
      </c>
      <c r="B199" t="s">
        <v>6221</v>
      </c>
      <c r="C199">
        <f>"5501419"</f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 s="2">
        <v>0</v>
      </c>
      <c r="M199">
        <v>0</v>
      </c>
      <c r="N199" s="2">
        <v>0</v>
      </c>
      <c r="O199">
        <v>0</v>
      </c>
      <c r="P199" t="s">
        <v>100</v>
      </c>
      <c r="Q199">
        <v>0</v>
      </c>
      <c r="R199" t="s">
        <v>145</v>
      </c>
      <c r="S199">
        <v>0</v>
      </c>
    </row>
    <row r="200" spans="1:19">
      <c r="A200" t="s">
        <v>223</v>
      </c>
      <c r="B200" t="s">
        <v>6189</v>
      </c>
      <c r="C200">
        <f>"3441030"</f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 s="2">
        <v>0</v>
      </c>
      <c r="M200">
        <v>0</v>
      </c>
      <c r="N200" s="2">
        <v>0</v>
      </c>
      <c r="O200">
        <v>0</v>
      </c>
      <c r="P200" t="s">
        <v>100</v>
      </c>
      <c r="Q200">
        <v>0</v>
      </c>
      <c r="R200" t="s">
        <v>145</v>
      </c>
      <c r="S200">
        <v>0</v>
      </c>
    </row>
    <row r="201" spans="1:19">
      <c r="A201" t="s">
        <v>223</v>
      </c>
      <c r="B201" t="s">
        <v>6038</v>
      </c>
      <c r="C201">
        <f>"2415200"</f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 s="2">
        <v>0</v>
      </c>
      <c r="M201">
        <v>0</v>
      </c>
      <c r="N201" s="2">
        <v>0</v>
      </c>
      <c r="O201">
        <v>0</v>
      </c>
      <c r="P201" t="s">
        <v>100</v>
      </c>
      <c r="Q201">
        <v>0</v>
      </c>
      <c r="R201" t="s">
        <v>145</v>
      </c>
      <c r="S201">
        <v>0</v>
      </c>
    </row>
    <row r="202" spans="1:19">
      <c r="A202" t="s">
        <v>223</v>
      </c>
      <c r="B202" t="s">
        <v>6037</v>
      </c>
      <c r="C202">
        <f>"227210"</f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 s="2">
        <v>0</v>
      </c>
      <c r="M202">
        <v>0</v>
      </c>
      <c r="N202" s="2">
        <v>0</v>
      </c>
      <c r="O202">
        <v>0</v>
      </c>
      <c r="P202" t="s">
        <v>100</v>
      </c>
      <c r="Q202">
        <v>0</v>
      </c>
      <c r="R202" t="s">
        <v>145</v>
      </c>
      <c r="S202">
        <v>0</v>
      </c>
    </row>
    <row r="203" spans="1:19">
      <c r="A203" t="s">
        <v>223</v>
      </c>
      <c r="B203" t="s">
        <v>6036</v>
      </c>
      <c r="C203">
        <f>"227240"</f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 s="2">
        <v>0</v>
      </c>
      <c r="M203">
        <v>0</v>
      </c>
      <c r="N203" s="2">
        <v>0</v>
      </c>
      <c r="O203">
        <v>0</v>
      </c>
      <c r="P203" t="s">
        <v>100</v>
      </c>
      <c r="Q203">
        <v>0</v>
      </c>
      <c r="R203" t="s">
        <v>145</v>
      </c>
      <c r="S203">
        <v>0</v>
      </c>
    </row>
    <row r="204" spans="1:19">
      <c r="A204" t="s">
        <v>223</v>
      </c>
      <c r="B204" t="s">
        <v>5284</v>
      </c>
      <c r="C204">
        <f>"2104015"</f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 s="2">
        <v>0</v>
      </c>
      <c r="M204">
        <v>0</v>
      </c>
      <c r="N204" s="2">
        <v>0</v>
      </c>
      <c r="O204">
        <v>0</v>
      </c>
      <c r="P204" t="s">
        <v>100</v>
      </c>
      <c r="Q204">
        <v>0</v>
      </c>
      <c r="R204" t="s">
        <v>145</v>
      </c>
      <c r="S204">
        <v>0</v>
      </c>
    </row>
    <row r="205" spans="1:19">
      <c r="A205" t="s">
        <v>223</v>
      </c>
      <c r="B205" t="s">
        <v>5299</v>
      </c>
      <c r="C205">
        <f>"2004100"</f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 s="2">
        <v>0</v>
      </c>
      <c r="M205">
        <v>0</v>
      </c>
      <c r="N205" s="2">
        <v>0</v>
      </c>
      <c r="O205">
        <v>0</v>
      </c>
      <c r="P205" t="s">
        <v>100</v>
      </c>
      <c r="Q205">
        <v>0</v>
      </c>
      <c r="R205" t="s">
        <v>145</v>
      </c>
      <c r="S205">
        <v>0</v>
      </c>
    </row>
    <row r="206" spans="1:19">
      <c r="A206" t="s">
        <v>223</v>
      </c>
      <c r="B206" t="s">
        <v>5282</v>
      </c>
      <c r="C206">
        <f>"5004020"</f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 s="2">
        <v>0</v>
      </c>
      <c r="M206">
        <v>0</v>
      </c>
      <c r="N206" s="2">
        <v>0</v>
      </c>
      <c r="O206">
        <v>0</v>
      </c>
      <c r="P206" t="s">
        <v>100</v>
      </c>
      <c r="Q206">
        <v>0</v>
      </c>
      <c r="R206" t="s">
        <v>145</v>
      </c>
      <c r="S206">
        <v>0</v>
      </c>
    </row>
    <row r="207" spans="1:19">
      <c r="A207" t="s">
        <v>223</v>
      </c>
      <c r="B207" t="s">
        <v>5281</v>
      </c>
      <c r="C207">
        <f>"3379015"</f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 s="2">
        <v>0</v>
      </c>
      <c r="M207">
        <v>0</v>
      </c>
      <c r="N207" s="2">
        <v>0</v>
      </c>
      <c r="O207">
        <v>0</v>
      </c>
      <c r="P207" t="s">
        <v>100</v>
      </c>
      <c r="Q207">
        <v>0</v>
      </c>
      <c r="R207" t="s">
        <v>145</v>
      </c>
      <c r="S207">
        <v>0</v>
      </c>
    </row>
    <row r="208" spans="1:19">
      <c r="A208" t="s">
        <v>223</v>
      </c>
      <c r="B208" t="s">
        <v>5280</v>
      </c>
      <c r="C208">
        <f>"241440"</f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 s="2">
        <v>0</v>
      </c>
      <c r="M208">
        <v>0</v>
      </c>
      <c r="N208" s="2">
        <v>0</v>
      </c>
      <c r="O208">
        <v>0</v>
      </c>
      <c r="P208" t="s">
        <v>100</v>
      </c>
      <c r="Q208">
        <v>0</v>
      </c>
      <c r="R208" t="s">
        <v>145</v>
      </c>
      <c r="S208">
        <v>0</v>
      </c>
    </row>
    <row r="209" spans="1:19">
      <c r="A209" t="s">
        <v>223</v>
      </c>
      <c r="B209" t="s">
        <v>5279</v>
      </c>
      <c r="C209">
        <f>"241420"</f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 s="2">
        <v>0</v>
      </c>
      <c r="M209">
        <v>0</v>
      </c>
      <c r="N209" s="2">
        <v>0</v>
      </c>
      <c r="O209">
        <v>0</v>
      </c>
      <c r="P209" t="s">
        <v>100</v>
      </c>
      <c r="Q209">
        <v>0</v>
      </c>
      <c r="R209" t="s">
        <v>145</v>
      </c>
      <c r="S209">
        <v>0</v>
      </c>
    </row>
    <row r="210" spans="1:19">
      <c r="A210" t="s">
        <v>223</v>
      </c>
      <c r="B210" t="s">
        <v>5278</v>
      </c>
      <c r="C210">
        <f>"3379075"</f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 s="2">
        <v>0</v>
      </c>
      <c r="M210">
        <v>0</v>
      </c>
      <c r="N210" s="2">
        <v>0</v>
      </c>
      <c r="O210">
        <v>0</v>
      </c>
      <c r="P210" t="s">
        <v>100</v>
      </c>
      <c r="Q210">
        <v>0</v>
      </c>
      <c r="R210" t="s">
        <v>145</v>
      </c>
      <c r="S210">
        <v>0</v>
      </c>
    </row>
    <row r="211" spans="1:19">
      <c r="A211" t="s">
        <v>223</v>
      </c>
      <c r="B211" t="s">
        <v>5277</v>
      </c>
      <c r="C211">
        <f>"BW14W"</f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 s="2">
        <v>0</v>
      </c>
      <c r="M211">
        <v>0</v>
      </c>
      <c r="N211" s="2">
        <v>0</v>
      </c>
      <c r="O211">
        <v>0</v>
      </c>
      <c r="P211" t="s">
        <v>100</v>
      </c>
      <c r="Q211">
        <v>0</v>
      </c>
      <c r="R211" t="s">
        <v>145</v>
      </c>
      <c r="S211">
        <v>0</v>
      </c>
    </row>
    <row r="212" spans="1:19">
      <c r="A212" t="s">
        <v>223</v>
      </c>
      <c r="B212" t="s">
        <v>5276</v>
      </c>
      <c r="C212">
        <f>"44294"</f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 s="2">
        <v>0</v>
      </c>
      <c r="M212">
        <v>0</v>
      </c>
      <c r="N212" s="2">
        <v>0</v>
      </c>
      <c r="O212">
        <v>0</v>
      </c>
      <c r="P212" t="s">
        <v>100</v>
      </c>
      <c r="Q212">
        <v>0</v>
      </c>
      <c r="R212" t="s">
        <v>145</v>
      </c>
      <c r="S212">
        <v>0</v>
      </c>
    </row>
    <row r="213" spans="1:19">
      <c r="A213" t="s">
        <v>223</v>
      </c>
      <c r="B213" t="s">
        <v>5275</v>
      </c>
      <c r="C213">
        <f>"5109015"</f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 s="2">
        <v>0</v>
      </c>
      <c r="M213">
        <v>0</v>
      </c>
      <c r="N213" s="2">
        <v>0</v>
      </c>
      <c r="O213">
        <v>0</v>
      </c>
      <c r="P213" t="s">
        <v>100</v>
      </c>
      <c r="Q213">
        <v>0</v>
      </c>
      <c r="R213" t="s">
        <v>145</v>
      </c>
      <c r="S213">
        <v>0</v>
      </c>
    </row>
    <row r="214" spans="1:19">
      <c r="A214" t="s">
        <v>223</v>
      </c>
      <c r="B214" t="s">
        <v>5274</v>
      </c>
      <c r="C214">
        <f>"20400410"</f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 s="2">
        <v>0</v>
      </c>
      <c r="M214">
        <v>0</v>
      </c>
      <c r="N214" s="2">
        <v>0</v>
      </c>
      <c r="O214">
        <v>0</v>
      </c>
      <c r="P214" t="s">
        <v>100</v>
      </c>
      <c r="Q214">
        <v>0</v>
      </c>
      <c r="R214" t="s">
        <v>145</v>
      </c>
      <c r="S214">
        <v>0</v>
      </c>
    </row>
    <row r="215" spans="1:19">
      <c r="A215" t="s">
        <v>223</v>
      </c>
      <c r="B215" t="s">
        <v>5273</v>
      </c>
      <c r="C215">
        <f>"2109075"</f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 s="2">
        <v>0</v>
      </c>
      <c r="M215">
        <v>0</v>
      </c>
      <c r="N215" s="2">
        <v>0</v>
      </c>
      <c r="O215">
        <v>0</v>
      </c>
      <c r="P215" t="s">
        <v>100</v>
      </c>
      <c r="Q215">
        <v>0</v>
      </c>
      <c r="R215" t="s">
        <v>145</v>
      </c>
      <c r="S215">
        <v>0</v>
      </c>
    </row>
    <row r="216" spans="1:19">
      <c r="A216" t="s">
        <v>223</v>
      </c>
      <c r="B216" t="s">
        <v>5272</v>
      </c>
      <c r="C216">
        <f>"1620494807860"</f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 s="2">
        <v>0</v>
      </c>
      <c r="M216">
        <v>0</v>
      </c>
      <c r="N216" s="2">
        <v>0</v>
      </c>
      <c r="O216">
        <v>0</v>
      </c>
      <c r="P216" t="s">
        <v>100</v>
      </c>
      <c r="Q216">
        <v>0</v>
      </c>
      <c r="R216" t="s">
        <v>145</v>
      </c>
      <c r="S216">
        <v>0</v>
      </c>
    </row>
    <row r="217" spans="1:19">
      <c r="A217" t="s">
        <v>223</v>
      </c>
      <c r="B217" t="s">
        <v>5071</v>
      </c>
      <c r="C217">
        <f>"41041"</f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 s="2">
        <v>0</v>
      </c>
      <c r="M217">
        <v>0</v>
      </c>
      <c r="N217" s="2">
        <v>0</v>
      </c>
      <c r="O217">
        <v>0</v>
      </c>
      <c r="P217" t="s">
        <v>100</v>
      </c>
      <c r="Q217">
        <v>0</v>
      </c>
      <c r="R217" t="s">
        <v>145</v>
      </c>
      <c r="S217">
        <v>0</v>
      </c>
    </row>
    <row r="218" spans="1:19">
      <c r="A218" t="s">
        <v>223</v>
      </c>
      <c r="B218" t="s">
        <v>5070</v>
      </c>
      <c r="C218">
        <f>"4623100"</f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 s="2">
        <v>0</v>
      </c>
      <c r="M218">
        <v>0</v>
      </c>
      <c r="N218" s="2">
        <v>0</v>
      </c>
      <c r="O218">
        <v>0</v>
      </c>
      <c r="P218" t="s">
        <v>100</v>
      </c>
      <c r="Q218">
        <v>0</v>
      </c>
      <c r="R218" t="s">
        <v>145</v>
      </c>
      <c r="S218">
        <v>0</v>
      </c>
    </row>
    <row r="219" spans="1:19">
      <c r="A219" t="s">
        <v>223</v>
      </c>
      <c r="B219" t="s">
        <v>5069</v>
      </c>
      <c r="C219">
        <f>"1235015"</f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 s="2">
        <v>0</v>
      </c>
      <c r="M219">
        <v>0</v>
      </c>
      <c r="N219" s="2">
        <v>0</v>
      </c>
      <c r="O219">
        <v>0</v>
      </c>
      <c r="P219" t="s">
        <v>100</v>
      </c>
      <c r="Q219">
        <v>0</v>
      </c>
      <c r="R219" t="s">
        <v>145</v>
      </c>
      <c r="S219">
        <v>0</v>
      </c>
    </row>
    <row r="220" spans="1:19">
      <c r="A220" t="s">
        <v>223</v>
      </c>
      <c r="B220" t="s">
        <v>5112</v>
      </c>
      <c r="C220">
        <f>"5450310"</f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 s="2">
        <v>0</v>
      </c>
      <c r="M220">
        <v>0</v>
      </c>
      <c r="N220" s="2">
        <v>0</v>
      </c>
      <c r="O220">
        <v>0</v>
      </c>
      <c r="P220" t="s">
        <v>100</v>
      </c>
      <c r="Q220">
        <v>0</v>
      </c>
      <c r="R220" t="s">
        <v>145</v>
      </c>
      <c r="S220">
        <v>0</v>
      </c>
    </row>
    <row r="221" spans="1:19">
      <c r="A221" t="s">
        <v>223</v>
      </c>
      <c r="B221" t="s">
        <v>5111</v>
      </c>
      <c r="C221">
        <f>"5450210"</f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 s="2">
        <v>0</v>
      </c>
      <c r="M221">
        <v>0</v>
      </c>
      <c r="N221" s="2">
        <v>0</v>
      </c>
      <c r="O221">
        <v>0</v>
      </c>
      <c r="P221" t="s">
        <v>100</v>
      </c>
      <c r="Q221">
        <v>0</v>
      </c>
      <c r="R221" t="s">
        <v>145</v>
      </c>
      <c r="S221">
        <v>0</v>
      </c>
    </row>
    <row r="222" spans="1:19">
      <c r="A222" t="s">
        <v>223</v>
      </c>
      <c r="B222" t="s">
        <v>5110</v>
      </c>
      <c r="C222">
        <f>"5450225"</f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 s="2">
        <v>0</v>
      </c>
      <c r="M222">
        <v>0</v>
      </c>
      <c r="N222" s="2">
        <v>0</v>
      </c>
      <c r="O222">
        <v>0</v>
      </c>
      <c r="P222" t="s">
        <v>100</v>
      </c>
      <c r="Q222">
        <v>0</v>
      </c>
      <c r="R222" t="s">
        <v>145</v>
      </c>
      <c r="S222">
        <v>0</v>
      </c>
    </row>
    <row r="223" spans="1:19">
      <c r="A223" t="s">
        <v>223</v>
      </c>
      <c r="B223" t="s">
        <v>5109</v>
      </c>
      <c r="C223">
        <f>"5450410"</f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 s="2">
        <v>0</v>
      </c>
      <c r="M223">
        <v>0</v>
      </c>
      <c r="N223" s="2">
        <v>0</v>
      </c>
      <c r="O223">
        <v>0</v>
      </c>
      <c r="P223" t="s">
        <v>100</v>
      </c>
      <c r="Q223">
        <v>0</v>
      </c>
      <c r="R223" t="s">
        <v>145</v>
      </c>
      <c r="S223">
        <v>0</v>
      </c>
    </row>
    <row r="224" spans="1:19">
      <c r="A224" t="s">
        <v>223</v>
      </c>
      <c r="B224" t="s">
        <v>5108</v>
      </c>
      <c r="C224">
        <f>"5450110"</f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 s="2">
        <v>0</v>
      </c>
      <c r="M224">
        <v>0</v>
      </c>
      <c r="N224" s="2">
        <v>0</v>
      </c>
      <c r="O224">
        <v>0</v>
      </c>
      <c r="P224" t="s">
        <v>100</v>
      </c>
      <c r="Q224">
        <v>0</v>
      </c>
      <c r="R224" t="s">
        <v>145</v>
      </c>
      <c r="S224">
        <v>0</v>
      </c>
    </row>
    <row r="225" spans="1:19">
      <c r="A225" t="s">
        <v>223</v>
      </c>
      <c r="B225" t="s">
        <v>5107</v>
      </c>
      <c r="C225">
        <f>"5450125"</f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 s="2">
        <v>0</v>
      </c>
      <c r="M225">
        <v>0</v>
      </c>
      <c r="N225" s="2">
        <v>0</v>
      </c>
      <c r="O225">
        <v>0</v>
      </c>
      <c r="P225" t="s">
        <v>100</v>
      </c>
      <c r="Q225">
        <v>0</v>
      </c>
      <c r="R225" t="s">
        <v>145</v>
      </c>
      <c r="S225">
        <v>0</v>
      </c>
    </row>
    <row r="226" spans="1:19">
      <c r="A226" t="s">
        <v>223</v>
      </c>
      <c r="B226" t="s">
        <v>5104</v>
      </c>
      <c r="C226">
        <f>"5501708"</f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 s="2">
        <v>0</v>
      </c>
      <c r="M226">
        <v>0</v>
      </c>
      <c r="N226" s="2">
        <v>0</v>
      </c>
      <c r="O226">
        <v>0</v>
      </c>
      <c r="P226" t="s">
        <v>100</v>
      </c>
      <c r="Q226">
        <v>0</v>
      </c>
      <c r="R226" t="s">
        <v>145</v>
      </c>
      <c r="S226">
        <v>0</v>
      </c>
    </row>
    <row r="227" spans="1:19">
      <c r="A227" t="s">
        <v>223</v>
      </c>
      <c r="B227" t="s">
        <v>5103</v>
      </c>
      <c r="C227">
        <f>"5501704"</f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 s="2">
        <v>0</v>
      </c>
      <c r="M227">
        <v>0</v>
      </c>
      <c r="N227" s="2">
        <v>0</v>
      </c>
      <c r="O227">
        <v>0</v>
      </c>
      <c r="P227" t="s">
        <v>100</v>
      </c>
      <c r="Q227">
        <v>0</v>
      </c>
      <c r="R227" t="s">
        <v>145</v>
      </c>
      <c r="S227">
        <v>0</v>
      </c>
    </row>
    <row r="228" spans="1:19">
      <c r="A228" t="s">
        <v>223</v>
      </c>
      <c r="B228" t="s">
        <v>5102</v>
      </c>
      <c r="C228">
        <f>"5501604"</f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 s="2">
        <v>0</v>
      </c>
      <c r="M228">
        <v>0</v>
      </c>
      <c r="N228" s="2">
        <v>0</v>
      </c>
      <c r="O228">
        <v>0</v>
      </c>
      <c r="P228" t="s">
        <v>100</v>
      </c>
      <c r="Q228">
        <v>0</v>
      </c>
      <c r="R228" t="s">
        <v>145</v>
      </c>
      <c r="S228">
        <v>0</v>
      </c>
    </row>
    <row r="229" spans="1:19">
      <c r="A229" t="s">
        <v>223</v>
      </c>
      <c r="B229" t="s">
        <v>5088</v>
      </c>
      <c r="C229">
        <f>"10502619"</f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 s="2">
        <v>0</v>
      </c>
      <c r="M229">
        <v>0</v>
      </c>
      <c r="N229" s="2">
        <v>0</v>
      </c>
      <c r="O229">
        <v>0</v>
      </c>
      <c r="P229" t="s">
        <v>100</v>
      </c>
      <c r="Q229">
        <v>0</v>
      </c>
      <c r="R229" t="s">
        <v>145</v>
      </c>
      <c r="S229">
        <v>0</v>
      </c>
    </row>
    <row r="230" spans="1:19">
      <c r="A230" t="s">
        <v>223</v>
      </c>
      <c r="B230" t="s">
        <v>5087</v>
      </c>
      <c r="C230">
        <f>"5440025"</f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 s="2">
        <v>0</v>
      </c>
      <c r="M230">
        <v>0</v>
      </c>
      <c r="N230" s="2">
        <v>0</v>
      </c>
      <c r="O230">
        <v>0</v>
      </c>
      <c r="P230" t="s">
        <v>100</v>
      </c>
      <c r="Q230">
        <v>0</v>
      </c>
      <c r="R230" t="s">
        <v>145</v>
      </c>
      <c r="S230">
        <v>0</v>
      </c>
    </row>
  </sheetData>
  <autoFilter ref="A2:S230"/>
  <hyperlinks>
    <hyperlink ref="A1" location="'ÍNDICE'!A1" display="⬅ Volver al índice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S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206</v>
      </c>
      <c r="B3" t="s">
        <v>498</v>
      </c>
      <c r="C3">
        <f>"55104"</f>
        <v>0</v>
      </c>
      <c r="D3">
        <v>0</v>
      </c>
      <c r="E3">
        <v>0</v>
      </c>
      <c r="F3">
        <v>2</v>
      </c>
      <c r="G3">
        <v>7</v>
      </c>
      <c r="H3">
        <v>9</v>
      </c>
      <c r="I3">
        <v>1</v>
      </c>
      <c r="J3">
        <v>0</v>
      </c>
      <c r="K3">
        <v>0</v>
      </c>
      <c r="L3" s="2">
        <v>0</v>
      </c>
      <c r="M3">
        <v>4</v>
      </c>
      <c r="N3" s="2">
        <v>0</v>
      </c>
      <c r="O3">
        <v>18</v>
      </c>
      <c r="P3" t="s">
        <v>11233</v>
      </c>
      <c r="Q3">
        <v>33.075</v>
      </c>
      <c r="R3" t="s">
        <v>11156</v>
      </c>
      <c r="S3">
        <v>1</v>
      </c>
    </row>
    <row r="4" spans="1:19">
      <c r="A4" t="s">
        <v>206</v>
      </c>
      <c r="B4" t="s">
        <v>567</v>
      </c>
      <c r="C4">
        <f>"30963"</f>
        <v>0</v>
      </c>
      <c r="D4">
        <v>0</v>
      </c>
      <c r="E4">
        <v>0</v>
      </c>
      <c r="F4">
        <v>2</v>
      </c>
      <c r="G4">
        <v>6</v>
      </c>
      <c r="H4">
        <v>8</v>
      </c>
      <c r="I4">
        <v>1</v>
      </c>
      <c r="J4">
        <v>0</v>
      </c>
      <c r="K4">
        <v>0</v>
      </c>
      <c r="L4" s="2">
        <v>0</v>
      </c>
      <c r="M4">
        <v>4</v>
      </c>
      <c r="N4" s="2">
        <v>0</v>
      </c>
      <c r="O4">
        <v>16</v>
      </c>
      <c r="P4" t="s">
        <v>11234</v>
      </c>
      <c r="Q4">
        <v>13.999</v>
      </c>
      <c r="R4" t="s">
        <v>11237</v>
      </c>
      <c r="S4">
        <v>1</v>
      </c>
    </row>
    <row r="5" spans="1:19">
      <c r="A5" t="s">
        <v>206</v>
      </c>
      <c r="B5" t="s">
        <v>600</v>
      </c>
      <c r="C5">
        <f>"30965"</f>
        <v>0</v>
      </c>
      <c r="D5">
        <v>0</v>
      </c>
      <c r="E5">
        <v>0</v>
      </c>
      <c r="F5">
        <v>1</v>
      </c>
      <c r="G5">
        <v>5</v>
      </c>
      <c r="H5">
        <v>6</v>
      </c>
      <c r="I5">
        <v>0.5</v>
      </c>
      <c r="J5">
        <v>0</v>
      </c>
      <c r="K5">
        <v>0</v>
      </c>
      <c r="L5" s="2">
        <v>0</v>
      </c>
      <c r="M5">
        <v>3</v>
      </c>
      <c r="N5" s="2">
        <v>0</v>
      </c>
      <c r="O5">
        <v>13.5</v>
      </c>
      <c r="P5" t="s">
        <v>11235</v>
      </c>
      <c r="Q5">
        <v>14.31</v>
      </c>
      <c r="R5" t="s">
        <v>11238</v>
      </c>
      <c r="S5">
        <v>1</v>
      </c>
    </row>
    <row r="6" spans="1:19">
      <c r="A6" t="s">
        <v>206</v>
      </c>
      <c r="B6" t="s">
        <v>552</v>
      </c>
      <c r="C6">
        <f>"55105"</f>
        <v>0</v>
      </c>
      <c r="D6">
        <v>1</v>
      </c>
      <c r="E6">
        <v>0</v>
      </c>
      <c r="F6">
        <v>6</v>
      </c>
      <c r="G6">
        <v>3</v>
      </c>
      <c r="H6">
        <v>10</v>
      </c>
      <c r="I6">
        <v>2</v>
      </c>
      <c r="J6">
        <v>0</v>
      </c>
      <c r="K6">
        <v>0</v>
      </c>
      <c r="L6" s="2">
        <v>0</v>
      </c>
      <c r="M6">
        <v>4</v>
      </c>
      <c r="N6" s="2">
        <v>0</v>
      </c>
      <c r="O6">
        <v>8</v>
      </c>
      <c r="P6" t="s">
        <v>11236</v>
      </c>
      <c r="Q6">
        <v>8.391</v>
      </c>
      <c r="R6" t="s">
        <v>11239</v>
      </c>
      <c r="S6">
        <v>0</v>
      </c>
    </row>
    <row r="7" spans="1:19">
      <c r="A7" t="s">
        <v>206</v>
      </c>
      <c r="B7" t="s">
        <v>2693</v>
      </c>
      <c r="C7">
        <f>"36173"</f>
        <v>0</v>
      </c>
      <c r="D7">
        <v>0</v>
      </c>
      <c r="E7">
        <v>0</v>
      </c>
      <c r="F7">
        <v>1</v>
      </c>
      <c r="G7">
        <v>0</v>
      </c>
      <c r="H7">
        <v>1</v>
      </c>
      <c r="I7">
        <v>0</v>
      </c>
      <c r="J7">
        <v>4</v>
      </c>
      <c r="K7">
        <v>41.66</v>
      </c>
      <c r="L7" s="2">
        <v>10</v>
      </c>
      <c r="M7">
        <v>0</v>
      </c>
      <c r="N7" s="2">
        <v>0</v>
      </c>
      <c r="O7">
        <v>-4.8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206</v>
      </c>
      <c r="B8" t="s">
        <v>2414</v>
      </c>
      <c r="C8">
        <f>"36179"</f>
        <v>0</v>
      </c>
      <c r="D8">
        <v>0</v>
      </c>
      <c r="E8">
        <v>0</v>
      </c>
      <c r="F8">
        <v>1</v>
      </c>
      <c r="G8">
        <v>0</v>
      </c>
      <c r="H8">
        <v>1</v>
      </c>
      <c r="I8">
        <v>0</v>
      </c>
      <c r="J8">
        <v>5</v>
      </c>
      <c r="K8">
        <v>44.989</v>
      </c>
      <c r="L8" s="2">
        <v>9</v>
      </c>
      <c r="M8">
        <v>0</v>
      </c>
      <c r="N8" s="2">
        <v>0</v>
      </c>
      <c r="O8">
        <v>-6</v>
      </c>
      <c r="P8" t="s">
        <v>100</v>
      </c>
      <c r="Q8">
        <v>0</v>
      </c>
      <c r="R8" t="s">
        <v>145</v>
      </c>
      <c r="S8">
        <v>0</v>
      </c>
    </row>
  </sheetData>
  <autoFilter ref="A2:S8"/>
  <hyperlinks>
    <hyperlink ref="A1" location="'ÍNDICE'!A1" display="⬅ Volver al índice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S2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232</v>
      </c>
      <c r="B3" t="s">
        <v>6142</v>
      </c>
      <c r="C3">
        <f>"THP13"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232</v>
      </c>
      <c r="B4" t="s">
        <v>6141</v>
      </c>
      <c r="C4">
        <f>"THP2"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232</v>
      </c>
      <c r="B5" t="s">
        <v>6155</v>
      </c>
      <c r="C5">
        <f>"THAP6"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232</v>
      </c>
      <c r="B6" t="s">
        <v>6139</v>
      </c>
      <c r="C6">
        <f>"TGL2"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232</v>
      </c>
      <c r="B7" t="s">
        <v>6138</v>
      </c>
      <c r="C7">
        <f>"TGL7"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232</v>
      </c>
      <c r="B8" t="s">
        <v>6137</v>
      </c>
      <c r="C8">
        <f>"TCPA"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232</v>
      </c>
      <c r="B9" t="s">
        <v>6136</v>
      </c>
      <c r="C9">
        <f>"TPA10"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232</v>
      </c>
      <c r="B10" t="s">
        <v>6135</v>
      </c>
      <c r="C10">
        <f>"TPA2"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232</v>
      </c>
      <c r="B11" t="s">
        <v>6134</v>
      </c>
      <c r="C11">
        <f>"TPA6"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232</v>
      </c>
      <c r="B12" t="s">
        <v>6133</v>
      </c>
      <c r="C12">
        <f>"TPC13"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232</v>
      </c>
      <c r="B13" t="s">
        <v>6132</v>
      </c>
      <c r="C13">
        <f>"TPC2"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232</v>
      </c>
      <c r="B14" t="s">
        <v>6131</v>
      </c>
      <c r="C14">
        <f>"TPC6"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232</v>
      </c>
      <c r="B15" t="s">
        <v>6156</v>
      </c>
      <c r="C15">
        <f>"TFA6"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232</v>
      </c>
      <c r="B16" t="s">
        <v>6140</v>
      </c>
      <c r="C16">
        <f>"TFA2"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232</v>
      </c>
      <c r="B17" t="s">
        <v>6094</v>
      </c>
      <c r="C17">
        <f>"TGM2"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232</v>
      </c>
      <c r="B18" t="s">
        <v>6128</v>
      </c>
      <c r="C18">
        <f>"TGM7"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232</v>
      </c>
      <c r="B19" t="s">
        <v>6127</v>
      </c>
      <c r="C19">
        <f>"TLA2"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232</v>
      </c>
      <c r="B20" t="s">
        <v>6126</v>
      </c>
      <c r="C20">
        <f>"TLA6"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232</v>
      </c>
      <c r="B21" t="s">
        <v>6169</v>
      </c>
      <c r="C21">
        <f>"TCSW"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232</v>
      </c>
      <c r="B22" t="s">
        <v>6184</v>
      </c>
      <c r="C22">
        <f>"TBA2"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</sheetData>
  <autoFilter ref="A2:S22"/>
  <hyperlinks>
    <hyperlink ref="A1" location="'ÍNDICE'!A1" display="⬅ Volver al índice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S10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33</v>
      </c>
      <c r="B3" t="s">
        <v>60</v>
      </c>
      <c r="C3">
        <f>"TOPK92230"</f>
        <v>0</v>
      </c>
      <c r="D3">
        <v>0</v>
      </c>
      <c r="E3">
        <v>0</v>
      </c>
      <c r="F3">
        <v>0</v>
      </c>
      <c r="G3">
        <v>30</v>
      </c>
      <c r="H3">
        <v>30</v>
      </c>
      <c r="I3">
        <v>0</v>
      </c>
      <c r="J3">
        <v>8</v>
      </c>
      <c r="K3">
        <v>12.249</v>
      </c>
      <c r="L3" s="2">
        <v>2</v>
      </c>
      <c r="M3">
        <v>7</v>
      </c>
      <c r="N3" s="2">
        <v>14</v>
      </c>
      <c r="O3">
        <v>53.4</v>
      </c>
      <c r="P3" t="s">
        <v>109</v>
      </c>
      <c r="Q3">
        <v>1.713</v>
      </c>
      <c r="R3" t="s">
        <v>154</v>
      </c>
      <c r="S3">
        <v>1</v>
      </c>
    </row>
    <row r="4" spans="1:19">
      <c r="A4" t="s">
        <v>33</v>
      </c>
      <c r="B4" t="s">
        <v>63</v>
      </c>
      <c r="C4">
        <f>"TOPK92227"</f>
        <v>0</v>
      </c>
      <c r="D4">
        <v>0</v>
      </c>
      <c r="E4">
        <v>0</v>
      </c>
      <c r="F4">
        <v>0</v>
      </c>
      <c r="G4">
        <v>30</v>
      </c>
      <c r="H4">
        <v>30</v>
      </c>
      <c r="I4">
        <v>0</v>
      </c>
      <c r="J4">
        <v>10</v>
      </c>
      <c r="K4">
        <v>15.311</v>
      </c>
      <c r="L4" s="2">
        <v>2</v>
      </c>
      <c r="M4">
        <v>5</v>
      </c>
      <c r="N4" s="2">
        <v>10</v>
      </c>
      <c r="O4">
        <v>51</v>
      </c>
      <c r="P4" t="s">
        <v>109</v>
      </c>
      <c r="Q4">
        <v>1.716</v>
      </c>
      <c r="R4" t="s">
        <v>154</v>
      </c>
      <c r="S4">
        <v>1</v>
      </c>
    </row>
    <row r="5" spans="1:19">
      <c r="A5" t="s">
        <v>33</v>
      </c>
      <c r="B5" t="s">
        <v>78</v>
      </c>
      <c r="C5">
        <f>"DHDH"</f>
        <v>0</v>
      </c>
      <c r="D5">
        <v>22</v>
      </c>
      <c r="E5">
        <v>42</v>
      </c>
      <c r="F5">
        <v>45</v>
      </c>
      <c r="G5">
        <v>0</v>
      </c>
      <c r="H5">
        <v>109</v>
      </c>
      <c r="I5">
        <v>32</v>
      </c>
      <c r="J5">
        <v>0</v>
      </c>
      <c r="K5">
        <v>0</v>
      </c>
      <c r="L5" s="2">
        <v>0</v>
      </c>
      <c r="M5">
        <v>32</v>
      </c>
      <c r="N5" s="2">
        <v>0</v>
      </c>
      <c r="O5">
        <v>32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33</v>
      </c>
      <c r="B6" t="s">
        <v>323</v>
      </c>
      <c r="C6">
        <f>"TOPK93215"</f>
        <v>0</v>
      </c>
      <c r="D6">
        <v>45</v>
      </c>
      <c r="E6">
        <v>17</v>
      </c>
      <c r="F6">
        <v>28</v>
      </c>
      <c r="G6">
        <v>0</v>
      </c>
      <c r="H6">
        <v>90</v>
      </c>
      <c r="I6">
        <v>22.5</v>
      </c>
      <c r="J6">
        <v>0</v>
      </c>
      <c r="K6">
        <v>0</v>
      </c>
      <c r="L6" s="2">
        <v>0</v>
      </c>
      <c r="M6">
        <v>22</v>
      </c>
      <c r="N6" s="2">
        <v>0</v>
      </c>
      <c r="O6">
        <v>22.5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33</v>
      </c>
      <c r="B7" t="s">
        <v>872</v>
      </c>
      <c r="C7">
        <f>"TOPK92039"</f>
        <v>0</v>
      </c>
      <c r="D7">
        <v>1</v>
      </c>
      <c r="E7">
        <v>36</v>
      </c>
      <c r="F7">
        <v>26</v>
      </c>
      <c r="G7">
        <v>11</v>
      </c>
      <c r="H7">
        <v>74</v>
      </c>
      <c r="I7">
        <v>18.5</v>
      </c>
      <c r="J7">
        <v>15</v>
      </c>
      <c r="K7">
        <v>205.909</v>
      </c>
      <c r="L7" s="2">
        <v>14</v>
      </c>
      <c r="M7">
        <v>9</v>
      </c>
      <c r="N7" s="2">
        <v>126</v>
      </c>
      <c r="O7">
        <v>22.5</v>
      </c>
      <c r="P7" t="s">
        <v>11242</v>
      </c>
      <c r="Q7">
        <v>-56.521</v>
      </c>
      <c r="R7" t="s">
        <v>11247</v>
      </c>
      <c r="S7">
        <v>0</v>
      </c>
    </row>
    <row r="8" spans="1:19">
      <c r="A8" t="s">
        <v>33</v>
      </c>
      <c r="B8" t="s">
        <v>348</v>
      </c>
      <c r="C8">
        <f>"TOPK92215"</f>
        <v>0</v>
      </c>
      <c r="D8">
        <v>38</v>
      </c>
      <c r="E8">
        <v>34</v>
      </c>
      <c r="F8">
        <v>0</v>
      </c>
      <c r="G8">
        <v>0</v>
      </c>
      <c r="H8">
        <v>72</v>
      </c>
      <c r="I8">
        <v>17</v>
      </c>
      <c r="J8">
        <v>0</v>
      </c>
      <c r="K8">
        <v>0</v>
      </c>
      <c r="L8" s="2">
        <v>0</v>
      </c>
      <c r="M8">
        <v>17</v>
      </c>
      <c r="N8" s="2">
        <v>0</v>
      </c>
      <c r="O8">
        <v>17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33</v>
      </c>
      <c r="B9" t="s">
        <v>429</v>
      </c>
      <c r="C9">
        <f>"TOPK93200"</f>
        <v>0</v>
      </c>
      <c r="D9">
        <v>15</v>
      </c>
      <c r="E9">
        <v>15</v>
      </c>
      <c r="F9">
        <v>2</v>
      </c>
      <c r="G9">
        <v>0</v>
      </c>
      <c r="H9">
        <v>32</v>
      </c>
      <c r="I9">
        <v>8.5</v>
      </c>
      <c r="J9">
        <v>0</v>
      </c>
      <c r="K9">
        <v>0</v>
      </c>
      <c r="L9" s="2">
        <v>0</v>
      </c>
      <c r="M9">
        <v>8</v>
      </c>
      <c r="N9" s="2">
        <v>0</v>
      </c>
      <c r="O9">
        <v>8.5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33</v>
      </c>
      <c r="B10" t="s">
        <v>309</v>
      </c>
      <c r="C10">
        <f>"VVEGETAL"</f>
        <v>0</v>
      </c>
      <c r="D10">
        <v>88</v>
      </c>
      <c r="E10">
        <v>16</v>
      </c>
      <c r="F10">
        <v>0</v>
      </c>
      <c r="G10">
        <v>0</v>
      </c>
      <c r="H10">
        <v>104</v>
      </c>
      <c r="I10">
        <v>8</v>
      </c>
      <c r="J10">
        <v>0</v>
      </c>
      <c r="K10">
        <v>0</v>
      </c>
      <c r="L10" s="2">
        <v>0</v>
      </c>
      <c r="M10">
        <v>8</v>
      </c>
      <c r="N10" s="2">
        <v>0</v>
      </c>
      <c r="O10">
        <v>8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33</v>
      </c>
      <c r="B11" t="s">
        <v>1851</v>
      </c>
      <c r="C11">
        <f>"TOPK92217"</f>
        <v>0</v>
      </c>
      <c r="D11">
        <v>1</v>
      </c>
      <c r="E11">
        <v>0</v>
      </c>
      <c r="F11">
        <v>1</v>
      </c>
      <c r="G11">
        <v>3</v>
      </c>
      <c r="H11">
        <v>5</v>
      </c>
      <c r="I11">
        <v>1</v>
      </c>
      <c r="J11">
        <v>2</v>
      </c>
      <c r="K11">
        <v>11.908</v>
      </c>
      <c r="L11" s="2">
        <v>6</v>
      </c>
      <c r="M11">
        <v>0</v>
      </c>
      <c r="N11" s="2">
        <v>0</v>
      </c>
      <c r="O11">
        <v>7.6</v>
      </c>
      <c r="P11" t="s">
        <v>11243</v>
      </c>
      <c r="Q11">
        <v>9.340999999999999</v>
      </c>
      <c r="R11" t="s">
        <v>11248</v>
      </c>
      <c r="S11">
        <v>1</v>
      </c>
    </row>
    <row r="12" spans="1:19">
      <c r="A12" t="s">
        <v>33</v>
      </c>
      <c r="B12" t="s">
        <v>495</v>
      </c>
      <c r="C12">
        <f>"TOPK93217"</f>
        <v>0</v>
      </c>
      <c r="D12">
        <v>4</v>
      </c>
      <c r="E12">
        <v>13</v>
      </c>
      <c r="F12">
        <v>1</v>
      </c>
      <c r="G12">
        <v>0</v>
      </c>
      <c r="H12">
        <v>18</v>
      </c>
      <c r="I12">
        <v>2.5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2.5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33</v>
      </c>
      <c r="B13" t="s">
        <v>631</v>
      </c>
      <c r="C13">
        <f>"TOPK92219"</f>
        <v>0</v>
      </c>
      <c r="D13">
        <v>5</v>
      </c>
      <c r="E13">
        <v>0</v>
      </c>
      <c r="F13">
        <v>3</v>
      </c>
      <c r="G13">
        <v>0</v>
      </c>
      <c r="H13">
        <v>8</v>
      </c>
      <c r="I13">
        <v>1.5</v>
      </c>
      <c r="J13">
        <v>0</v>
      </c>
      <c r="K13">
        <v>0</v>
      </c>
      <c r="L13" s="2">
        <v>0</v>
      </c>
      <c r="M13">
        <v>2</v>
      </c>
      <c r="N13" s="2">
        <v>0</v>
      </c>
      <c r="O13">
        <v>1.5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33</v>
      </c>
      <c r="B14" t="s">
        <v>2328</v>
      </c>
      <c r="C14">
        <f>"TOPK92224"</f>
        <v>0</v>
      </c>
      <c r="D14">
        <v>0</v>
      </c>
      <c r="E14">
        <v>0</v>
      </c>
      <c r="F14">
        <v>0</v>
      </c>
      <c r="G14">
        <v>1</v>
      </c>
      <c r="H14">
        <v>1</v>
      </c>
      <c r="I14">
        <v>0</v>
      </c>
      <c r="J14">
        <v>3</v>
      </c>
      <c r="K14">
        <v>20.295</v>
      </c>
      <c r="L14" s="2">
        <v>7</v>
      </c>
      <c r="M14">
        <v>0</v>
      </c>
      <c r="N14" s="2">
        <v>0</v>
      </c>
      <c r="O14">
        <v>1.4</v>
      </c>
      <c r="P14" t="s">
        <v>11244</v>
      </c>
      <c r="Q14">
        <v>2.302</v>
      </c>
      <c r="R14" t="s">
        <v>11249</v>
      </c>
      <c r="S14">
        <v>1</v>
      </c>
    </row>
    <row r="15" spans="1:19">
      <c r="A15" t="s">
        <v>33</v>
      </c>
      <c r="B15" t="s">
        <v>799</v>
      </c>
      <c r="C15">
        <f>"TOPK92218"</f>
        <v>0</v>
      </c>
      <c r="D15">
        <v>0</v>
      </c>
      <c r="E15">
        <v>1</v>
      </c>
      <c r="F15">
        <v>3</v>
      </c>
      <c r="G15">
        <v>0</v>
      </c>
      <c r="H15">
        <v>4</v>
      </c>
      <c r="I15">
        <v>0.5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0.5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33</v>
      </c>
      <c r="B16" t="s">
        <v>6026</v>
      </c>
      <c r="C16">
        <f>"TOPK93207"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33</v>
      </c>
      <c r="B17" t="s">
        <v>1121</v>
      </c>
      <c r="C17">
        <f>"TOPK92174"</f>
        <v>0</v>
      </c>
      <c r="D17">
        <v>2</v>
      </c>
      <c r="E17">
        <v>0</v>
      </c>
      <c r="F17">
        <v>0</v>
      </c>
      <c r="G17">
        <v>0</v>
      </c>
      <c r="H17">
        <v>2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33</v>
      </c>
      <c r="B18" t="s">
        <v>4261</v>
      </c>
      <c r="C18">
        <f>"AGLUT16"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33</v>
      </c>
      <c r="B19" t="s">
        <v>4145</v>
      </c>
      <c r="C19">
        <f>"AGLUT9"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33</v>
      </c>
      <c r="B20" t="s">
        <v>628</v>
      </c>
      <c r="C20">
        <f>"TOPK92226"</f>
        <v>0</v>
      </c>
      <c r="D20">
        <v>0</v>
      </c>
      <c r="E20">
        <v>0</v>
      </c>
      <c r="F20">
        <v>8</v>
      </c>
      <c r="G20">
        <v>0</v>
      </c>
      <c r="H20">
        <v>8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33</v>
      </c>
      <c r="B21" t="s">
        <v>435</v>
      </c>
      <c r="C21">
        <f>"TOPK93202"</f>
        <v>0</v>
      </c>
      <c r="D21">
        <v>28</v>
      </c>
      <c r="E21">
        <v>0</v>
      </c>
      <c r="F21">
        <v>0</v>
      </c>
      <c r="G21">
        <v>0</v>
      </c>
      <c r="H21">
        <v>28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33</v>
      </c>
      <c r="B22" t="s">
        <v>6031</v>
      </c>
      <c r="C22">
        <f>"TOPK93205"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33</v>
      </c>
      <c r="B23" t="s">
        <v>694</v>
      </c>
      <c r="C23">
        <f>"TOPK93201"</f>
        <v>0</v>
      </c>
      <c r="D23">
        <v>6</v>
      </c>
      <c r="E23">
        <v>0</v>
      </c>
      <c r="F23">
        <v>0</v>
      </c>
      <c r="G23">
        <v>0</v>
      </c>
      <c r="H23">
        <v>6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33</v>
      </c>
      <c r="B24" t="s">
        <v>4787</v>
      </c>
      <c r="C24">
        <f>"TOPK92242"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33</v>
      </c>
      <c r="B25" t="s">
        <v>4833</v>
      </c>
      <c r="C25">
        <f>"TOPK92095"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33</v>
      </c>
      <c r="B26" t="s">
        <v>6022</v>
      </c>
      <c r="C26">
        <f>"TOPK93209"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33</v>
      </c>
      <c r="B27" t="s">
        <v>6041</v>
      </c>
      <c r="C27">
        <f>"TOPK93211"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33</v>
      </c>
      <c r="B28" t="s">
        <v>6106</v>
      </c>
      <c r="C28">
        <f>"TOPK92177"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33</v>
      </c>
      <c r="B29" t="s">
        <v>6109</v>
      </c>
      <c r="C29">
        <f>"TOPK92186"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33</v>
      </c>
      <c r="B30" t="s">
        <v>6108</v>
      </c>
      <c r="C30">
        <f>"TOPK92187"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33</v>
      </c>
      <c r="B31" t="s">
        <v>6107</v>
      </c>
      <c r="C31">
        <f>"TOPK92176"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33</v>
      </c>
      <c r="B32" t="s">
        <v>4834</v>
      </c>
      <c r="C32">
        <f>"TOPK92153"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33</v>
      </c>
      <c r="B33" t="s">
        <v>6025</v>
      </c>
      <c r="C33">
        <f>"TOPK93214"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33</v>
      </c>
      <c r="B34" t="s">
        <v>6023</v>
      </c>
      <c r="C34">
        <f>"TOPK93213"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33</v>
      </c>
      <c r="B35" t="s">
        <v>6024</v>
      </c>
      <c r="C35">
        <f>"TOPK93212"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33</v>
      </c>
      <c r="B36" t="s">
        <v>6029</v>
      </c>
      <c r="C36">
        <f>"TOPK93203"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33</v>
      </c>
      <c r="B37" t="s">
        <v>6028</v>
      </c>
      <c r="C37">
        <f>"TOPK93208"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33</v>
      </c>
      <c r="B38" t="s">
        <v>6027</v>
      </c>
      <c r="C38">
        <f>"TOPK93206"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33</v>
      </c>
      <c r="B39" t="s">
        <v>6030</v>
      </c>
      <c r="C39">
        <f>"TOPK93204"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33</v>
      </c>
      <c r="B40" t="s">
        <v>5298</v>
      </c>
      <c r="C40">
        <f>"TOPK92140"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33</v>
      </c>
      <c r="B41" t="s">
        <v>4814</v>
      </c>
      <c r="C41">
        <f>"TOPK92005"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33</v>
      </c>
      <c r="B42" t="s">
        <v>4813</v>
      </c>
      <c r="C42">
        <f>"TOPK92004"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33</v>
      </c>
      <c r="B43" t="s">
        <v>4811</v>
      </c>
      <c r="C43">
        <f>"TOPK92209"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33</v>
      </c>
      <c r="B44" t="s">
        <v>1418</v>
      </c>
      <c r="C44">
        <f>"TOPK92208"</f>
        <v>0</v>
      </c>
      <c r="D44">
        <v>0</v>
      </c>
      <c r="E44">
        <v>0</v>
      </c>
      <c r="F44">
        <v>1</v>
      </c>
      <c r="G44">
        <v>0</v>
      </c>
      <c r="H44">
        <v>1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33</v>
      </c>
      <c r="B45" t="s">
        <v>4744</v>
      </c>
      <c r="C45">
        <f>"TOPK92086"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33</v>
      </c>
      <c r="B46" t="s">
        <v>6099</v>
      </c>
      <c r="C46">
        <f>"TOPK92098"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33</v>
      </c>
      <c r="B47" t="s">
        <v>4783</v>
      </c>
      <c r="C47">
        <f>"TOPK92239"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33</v>
      </c>
      <c r="B48" t="s">
        <v>4839</v>
      </c>
      <c r="C48">
        <f>"TOPK92106"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33</v>
      </c>
      <c r="B49" t="s">
        <v>1420</v>
      </c>
      <c r="C49">
        <f>"TOPK92020"</f>
        <v>0</v>
      </c>
      <c r="D49">
        <v>1</v>
      </c>
      <c r="E49">
        <v>0</v>
      </c>
      <c r="F49">
        <v>0</v>
      </c>
      <c r="G49">
        <v>0</v>
      </c>
      <c r="H49">
        <v>1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33</v>
      </c>
      <c r="B50" t="s">
        <v>4840</v>
      </c>
      <c r="C50">
        <f>"TOPK92241"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33</v>
      </c>
      <c r="B51" t="s">
        <v>4746</v>
      </c>
      <c r="C51">
        <f>"TOPK92100"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33</v>
      </c>
      <c r="B52" t="s">
        <v>4835</v>
      </c>
      <c r="C52">
        <f>"TOPK92017"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33</v>
      </c>
      <c r="B53" t="s">
        <v>4825</v>
      </c>
      <c r="C53">
        <f>"TOPK92229"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33</v>
      </c>
      <c r="B54" t="s">
        <v>4780</v>
      </c>
      <c r="C54">
        <f>"TOPK92220"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33</v>
      </c>
      <c r="B55" t="s">
        <v>4785</v>
      </c>
      <c r="C55">
        <f>"TOPK92238"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33</v>
      </c>
      <c r="B56" t="s">
        <v>4828</v>
      </c>
      <c r="C56">
        <f>"TOPK92103"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33</v>
      </c>
      <c r="B57" t="s">
        <v>4831</v>
      </c>
      <c r="C57">
        <f>"TOPK92110"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33</v>
      </c>
      <c r="B58" t="s">
        <v>4830</v>
      </c>
      <c r="C58">
        <f>"TOPK92101"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33</v>
      </c>
      <c r="B59" t="s">
        <v>4829</v>
      </c>
      <c r="C59">
        <f>"TOPK92010"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33</v>
      </c>
      <c r="B60" t="s">
        <v>4826</v>
      </c>
      <c r="C60">
        <f>"TOPK92091"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33</v>
      </c>
      <c r="B61" t="s">
        <v>4747</v>
      </c>
      <c r="C61">
        <f>"TOPK92009"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 s="2">
        <v>0</v>
      </c>
      <c r="M61">
        <v>0</v>
      </c>
      <c r="N61" s="2">
        <v>0</v>
      </c>
      <c r="O61">
        <v>0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33</v>
      </c>
      <c r="B62" t="s">
        <v>4745</v>
      </c>
      <c r="C62">
        <f>"TOPK92019"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 s="2">
        <v>0</v>
      </c>
      <c r="M62">
        <v>0</v>
      </c>
      <c r="N62" s="2">
        <v>0</v>
      </c>
      <c r="O62">
        <v>0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33</v>
      </c>
      <c r="B63" t="s">
        <v>4832</v>
      </c>
      <c r="C63">
        <f>"TOPK92099"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 s="2">
        <v>0</v>
      </c>
      <c r="M63">
        <v>0</v>
      </c>
      <c r="N63" s="2">
        <v>0</v>
      </c>
      <c r="O63">
        <v>0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33</v>
      </c>
      <c r="B64" t="s">
        <v>4827</v>
      </c>
      <c r="C64">
        <f>"TOPK92258"</f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 s="2">
        <v>0</v>
      </c>
      <c r="M64">
        <v>0</v>
      </c>
      <c r="N64" s="2">
        <v>0</v>
      </c>
      <c r="O64">
        <v>0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33</v>
      </c>
      <c r="B65" t="s">
        <v>4823</v>
      </c>
      <c r="C65">
        <f>"TOPK92000"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 s="2">
        <v>0</v>
      </c>
      <c r="M65">
        <v>0</v>
      </c>
      <c r="N65" s="2">
        <v>0</v>
      </c>
      <c r="O65">
        <v>0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33</v>
      </c>
      <c r="B66" t="s">
        <v>4822</v>
      </c>
      <c r="C66">
        <f>"TOPK92029"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 s="2">
        <v>0</v>
      </c>
      <c r="M66">
        <v>0</v>
      </c>
      <c r="N66" s="2">
        <v>0</v>
      </c>
      <c r="O66">
        <v>0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33</v>
      </c>
      <c r="B67" t="s">
        <v>4731</v>
      </c>
      <c r="C67">
        <f>"TOPK92030"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 s="2">
        <v>0</v>
      </c>
      <c r="M67">
        <v>0</v>
      </c>
      <c r="N67" s="2">
        <v>0</v>
      </c>
      <c r="O67">
        <v>0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33</v>
      </c>
      <c r="B68" t="s">
        <v>4841</v>
      </c>
      <c r="C68">
        <f>"TOPK92094"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 s="2">
        <v>0</v>
      </c>
      <c r="M68">
        <v>0</v>
      </c>
      <c r="N68" s="2">
        <v>0</v>
      </c>
      <c r="O68">
        <v>0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33</v>
      </c>
      <c r="B69" t="s">
        <v>4836</v>
      </c>
      <c r="C69">
        <f>"TOPK92011"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 s="2">
        <v>0</v>
      </c>
      <c r="M69">
        <v>0</v>
      </c>
      <c r="N69" s="2">
        <v>0</v>
      </c>
      <c r="O69">
        <v>0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33</v>
      </c>
      <c r="B70" t="s">
        <v>4837</v>
      </c>
      <c r="C70">
        <f>"TOPK92102"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 s="2">
        <v>0</v>
      </c>
      <c r="M70">
        <v>0</v>
      </c>
      <c r="N70" s="2">
        <v>0</v>
      </c>
      <c r="O70">
        <v>0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33</v>
      </c>
      <c r="B71" t="s">
        <v>4838</v>
      </c>
      <c r="C71">
        <f>"TOPK92025"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 s="2">
        <v>0</v>
      </c>
      <c r="M71">
        <v>0</v>
      </c>
      <c r="N71" s="2">
        <v>0</v>
      </c>
      <c r="O71">
        <v>0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33</v>
      </c>
      <c r="B72" t="s">
        <v>527</v>
      </c>
      <c r="C72">
        <f>"VPAP"</f>
        <v>0</v>
      </c>
      <c r="D72">
        <v>0</v>
      </c>
      <c r="E72">
        <v>14</v>
      </c>
      <c r="F72">
        <v>0</v>
      </c>
      <c r="G72">
        <v>0</v>
      </c>
      <c r="H72">
        <v>14</v>
      </c>
      <c r="I72">
        <v>0</v>
      </c>
      <c r="J72">
        <v>0</v>
      </c>
      <c r="K72">
        <v>0</v>
      </c>
      <c r="L72" s="2">
        <v>0</v>
      </c>
      <c r="M72">
        <v>0</v>
      </c>
      <c r="N72" s="2">
        <v>0</v>
      </c>
      <c r="O72">
        <v>0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33</v>
      </c>
      <c r="B73" t="s">
        <v>4629</v>
      </c>
      <c r="C73">
        <f>"TOPK92144"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 s="2">
        <v>0</v>
      </c>
      <c r="M73">
        <v>0</v>
      </c>
      <c r="N73" s="2">
        <v>0</v>
      </c>
      <c r="O73">
        <v>0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33</v>
      </c>
      <c r="B74" t="s">
        <v>4743</v>
      </c>
      <c r="C74">
        <f>"TOPK92088"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 s="2">
        <v>0</v>
      </c>
      <c r="M74">
        <v>0</v>
      </c>
      <c r="N74" s="2">
        <v>0</v>
      </c>
      <c r="O74">
        <v>0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33</v>
      </c>
      <c r="B75" t="s">
        <v>4742</v>
      </c>
      <c r="C75">
        <f>"TOPK92104"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 s="2">
        <v>0</v>
      </c>
      <c r="M75">
        <v>0</v>
      </c>
      <c r="N75" s="2">
        <v>0</v>
      </c>
      <c r="O75">
        <v>0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33</v>
      </c>
      <c r="B76" t="s">
        <v>407</v>
      </c>
      <c r="C76">
        <f>"TOP2006"</f>
        <v>0</v>
      </c>
      <c r="D76">
        <v>40</v>
      </c>
      <c r="E76">
        <v>0</v>
      </c>
      <c r="F76">
        <v>0</v>
      </c>
      <c r="G76">
        <v>0</v>
      </c>
      <c r="H76">
        <v>40</v>
      </c>
      <c r="I76">
        <v>0</v>
      </c>
      <c r="J76">
        <v>0</v>
      </c>
      <c r="K76">
        <v>0</v>
      </c>
      <c r="L76" s="2">
        <v>0</v>
      </c>
      <c r="M76">
        <v>0</v>
      </c>
      <c r="N76" s="2">
        <v>0</v>
      </c>
      <c r="O76">
        <v>0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33</v>
      </c>
      <c r="B77" t="s">
        <v>4794</v>
      </c>
      <c r="C77">
        <f>"TOPK92284"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 s="2">
        <v>0</v>
      </c>
      <c r="M77">
        <v>0</v>
      </c>
      <c r="N77" s="2">
        <v>0</v>
      </c>
      <c r="O77">
        <v>0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33</v>
      </c>
      <c r="B78" t="s">
        <v>1419</v>
      </c>
      <c r="C78">
        <f>"TOPK92283"</f>
        <v>0</v>
      </c>
      <c r="D78">
        <v>0</v>
      </c>
      <c r="E78">
        <v>1</v>
      </c>
      <c r="F78">
        <v>0</v>
      </c>
      <c r="G78">
        <v>0</v>
      </c>
      <c r="H78">
        <v>1</v>
      </c>
      <c r="I78">
        <v>0</v>
      </c>
      <c r="J78">
        <v>0</v>
      </c>
      <c r="K78">
        <v>0</v>
      </c>
      <c r="L78" s="2">
        <v>0</v>
      </c>
      <c r="M78">
        <v>0</v>
      </c>
      <c r="N78" s="2">
        <v>0</v>
      </c>
      <c r="O78">
        <v>0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33</v>
      </c>
      <c r="B79" t="s">
        <v>4824</v>
      </c>
      <c r="C79">
        <f>"TOPK92092"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 s="2">
        <v>0</v>
      </c>
      <c r="M79">
        <v>0</v>
      </c>
      <c r="N79" s="2">
        <v>0</v>
      </c>
      <c r="O79">
        <v>0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33</v>
      </c>
      <c r="B80" t="s">
        <v>4817</v>
      </c>
      <c r="C80">
        <f>"TOPK92202"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 s="2">
        <v>0</v>
      </c>
      <c r="M80">
        <v>0</v>
      </c>
      <c r="N80" s="2">
        <v>0</v>
      </c>
      <c r="O80">
        <v>0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33</v>
      </c>
      <c r="B81" t="s">
        <v>4820</v>
      </c>
      <c r="C81">
        <f>"TOPK92136"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 s="2">
        <v>0</v>
      </c>
      <c r="M81">
        <v>0</v>
      </c>
      <c r="N81" s="2">
        <v>0</v>
      </c>
      <c r="O81">
        <v>0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33</v>
      </c>
      <c r="B82" t="s">
        <v>4819</v>
      </c>
      <c r="C82">
        <f>"TOPK92203"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 s="2">
        <v>0</v>
      </c>
      <c r="M82">
        <v>0</v>
      </c>
      <c r="N82" s="2">
        <v>0</v>
      </c>
      <c r="O82">
        <v>0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33</v>
      </c>
      <c r="B83" t="s">
        <v>4818</v>
      </c>
      <c r="C83">
        <f>"TOPK92002"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 s="2">
        <v>0</v>
      </c>
      <c r="M83">
        <v>0</v>
      </c>
      <c r="N83" s="2">
        <v>0</v>
      </c>
      <c r="O83">
        <v>0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33</v>
      </c>
      <c r="B84" t="s">
        <v>4815</v>
      </c>
      <c r="C84">
        <f>"TOPK92204"</f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2">
        <v>0</v>
      </c>
      <c r="M84">
        <v>0</v>
      </c>
      <c r="N84" s="2">
        <v>0</v>
      </c>
      <c r="O84">
        <v>0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33</v>
      </c>
      <c r="B85" t="s">
        <v>4816</v>
      </c>
      <c r="C85">
        <f>"TOPK92001"</f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2">
        <v>0</v>
      </c>
      <c r="M85">
        <v>0</v>
      </c>
      <c r="N85" s="2">
        <v>0</v>
      </c>
      <c r="O85">
        <v>0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33</v>
      </c>
      <c r="B86" t="s">
        <v>4730</v>
      </c>
      <c r="C86">
        <f>"TOPK92028"</f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 s="2">
        <v>0</v>
      </c>
      <c r="M86">
        <v>0</v>
      </c>
      <c r="N86" s="2">
        <v>0</v>
      </c>
      <c r="O86">
        <v>0</v>
      </c>
      <c r="P86" t="s">
        <v>100</v>
      </c>
      <c r="Q86">
        <v>0</v>
      </c>
      <c r="R86" t="s">
        <v>145</v>
      </c>
      <c r="S86">
        <v>0</v>
      </c>
    </row>
    <row r="87" spans="1:19">
      <c r="A87" t="s">
        <v>33</v>
      </c>
      <c r="B87" t="s">
        <v>4821</v>
      </c>
      <c r="C87">
        <f>"TOPK92084"</f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 s="2">
        <v>0</v>
      </c>
      <c r="M87">
        <v>0</v>
      </c>
      <c r="N87" s="2">
        <v>0</v>
      </c>
      <c r="O87">
        <v>0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33</v>
      </c>
      <c r="B88" t="s">
        <v>2686</v>
      </c>
      <c r="C88">
        <f>"TOPK92093"</f>
        <v>0</v>
      </c>
      <c r="D88">
        <v>0</v>
      </c>
      <c r="E88">
        <v>0</v>
      </c>
      <c r="F88">
        <v>1</v>
      </c>
      <c r="G88">
        <v>0</v>
      </c>
      <c r="H88">
        <v>1</v>
      </c>
      <c r="I88">
        <v>0</v>
      </c>
      <c r="J88">
        <v>1</v>
      </c>
      <c r="K88">
        <v>8.279999999999999</v>
      </c>
      <c r="L88" s="2">
        <v>8</v>
      </c>
      <c r="M88">
        <v>0</v>
      </c>
      <c r="N88" s="2">
        <v>0</v>
      </c>
      <c r="O88">
        <v>-1.2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33</v>
      </c>
      <c r="B89" t="s">
        <v>2735</v>
      </c>
      <c r="C89">
        <f>"TOPK93210"</f>
        <v>0</v>
      </c>
      <c r="D89">
        <v>0</v>
      </c>
      <c r="E89">
        <v>1</v>
      </c>
      <c r="F89">
        <v>0</v>
      </c>
      <c r="G89">
        <v>0</v>
      </c>
      <c r="H89">
        <v>1</v>
      </c>
      <c r="I89">
        <v>0</v>
      </c>
      <c r="J89">
        <v>1</v>
      </c>
      <c r="K89">
        <v>987</v>
      </c>
      <c r="L89" s="2">
        <v>987</v>
      </c>
      <c r="M89">
        <v>0</v>
      </c>
      <c r="N89" s="2">
        <v>0</v>
      </c>
      <c r="O89">
        <v>-1.2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33</v>
      </c>
      <c r="B90" t="s">
        <v>10233</v>
      </c>
      <c r="C90">
        <f>"TOPK93216"</f>
        <v>0</v>
      </c>
      <c r="D90">
        <v>5</v>
      </c>
      <c r="E90">
        <v>2</v>
      </c>
      <c r="F90">
        <v>8</v>
      </c>
      <c r="G90">
        <v>0</v>
      </c>
      <c r="H90">
        <v>15</v>
      </c>
      <c r="I90">
        <v>3.5</v>
      </c>
      <c r="J90">
        <v>4</v>
      </c>
      <c r="K90">
        <v>1.674</v>
      </c>
      <c r="L90" s="2">
        <v>0</v>
      </c>
      <c r="M90">
        <v>0</v>
      </c>
      <c r="N90" s="2">
        <v>0</v>
      </c>
      <c r="O90">
        <v>-1.3</v>
      </c>
      <c r="P90" t="s">
        <v>11245</v>
      </c>
      <c r="Q90">
        <v>-981</v>
      </c>
      <c r="R90" t="s">
        <v>11250</v>
      </c>
      <c r="S90">
        <v>0</v>
      </c>
    </row>
    <row r="91" spans="1:19">
      <c r="A91" t="s">
        <v>33</v>
      </c>
      <c r="B91" t="s">
        <v>2010</v>
      </c>
      <c r="C91">
        <f>"TOPK92152"</f>
        <v>0</v>
      </c>
      <c r="D91">
        <v>0</v>
      </c>
      <c r="E91">
        <v>2</v>
      </c>
      <c r="F91">
        <v>2</v>
      </c>
      <c r="G91">
        <v>0</v>
      </c>
      <c r="H91">
        <v>4</v>
      </c>
      <c r="I91">
        <v>1</v>
      </c>
      <c r="J91">
        <v>3</v>
      </c>
      <c r="K91">
        <v>22.692</v>
      </c>
      <c r="L91" s="2">
        <v>8</v>
      </c>
      <c r="M91">
        <v>0</v>
      </c>
      <c r="N91" s="2">
        <v>0</v>
      </c>
      <c r="O91">
        <v>-2.6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33</v>
      </c>
      <c r="B92" t="s">
        <v>2058</v>
      </c>
      <c r="C92">
        <f>"TOPK92207"</f>
        <v>0</v>
      </c>
      <c r="D92">
        <v>0</v>
      </c>
      <c r="E92">
        <v>3</v>
      </c>
      <c r="F92">
        <v>0</v>
      </c>
      <c r="G92">
        <v>0</v>
      </c>
      <c r="H92">
        <v>3</v>
      </c>
      <c r="I92">
        <v>0</v>
      </c>
      <c r="J92">
        <v>3</v>
      </c>
      <c r="K92">
        <v>3.59</v>
      </c>
      <c r="L92" s="2">
        <v>1</v>
      </c>
      <c r="M92">
        <v>0</v>
      </c>
      <c r="N92" s="2">
        <v>0</v>
      </c>
      <c r="O92">
        <v>-3.6</v>
      </c>
      <c r="P92" t="s">
        <v>100</v>
      </c>
      <c r="Q92">
        <v>0</v>
      </c>
      <c r="R92" t="s">
        <v>145</v>
      </c>
      <c r="S92">
        <v>0</v>
      </c>
    </row>
    <row r="93" spans="1:19">
      <c r="A93" t="s">
        <v>33</v>
      </c>
      <c r="B93" t="s">
        <v>2723</v>
      </c>
      <c r="C93">
        <f>"TOPK92023"</f>
        <v>0</v>
      </c>
      <c r="D93">
        <v>0</v>
      </c>
      <c r="E93">
        <v>0</v>
      </c>
      <c r="F93">
        <v>1</v>
      </c>
      <c r="G93">
        <v>0</v>
      </c>
      <c r="H93">
        <v>1</v>
      </c>
      <c r="I93">
        <v>0</v>
      </c>
      <c r="J93">
        <v>5</v>
      </c>
      <c r="K93">
        <v>41.4</v>
      </c>
      <c r="L93" s="2">
        <v>8</v>
      </c>
      <c r="M93">
        <v>0</v>
      </c>
      <c r="N93" s="2">
        <v>0</v>
      </c>
      <c r="O93">
        <v>-6</v>
      </c>
      <c r="P93" t="s">
        <v>100</v>
      </c>
      <c r="Q93">
        <v>0</v>
      </c>
      <c r="R93" t="s">
        <v>145</v>
      </c>
      <c r="S93">
        <v>0</v>
      </c>
    </row>
    <row r="94" spans="1:19">
      <c r="A94" t="s">
        <v>33</v>
      </c>
      <c r="B94" t="s">
        <v>4812</v>
      </c>
      <c r="C94">
        <f>"TOPK92285"</f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6</v>
      </c>
      <c r="K94">
        <v>7.176</v>
      </c>
      <c r="L94" s="2">
        <v>1</v>
      </c>
      <c r="M94">
        <v>0</v>
      </c>
      <c r="N94" s="2">
        <v>0</v>
      </c>
      <c r="O94">
        <v>-7.199999999999999</v>
      </c>
      <c r="P94" t="s">
        <v>100</v>
      </c>
      <c r="Q94">
        <v>0</v>
      </c>
      <c r="R94" t="s">
        <v>145</v>
      </c>
      <c r="S94">
        <v>0</v>
      </c>
    </row>
    <row r="95" spans="1:19">
      <c r="A95" t="s">
        <v>33</v>
      </c>
      <c r="B95" t="s">
        <v>5581</v>
      </c>
      <c r="C95">
        <f>"TOPK92173"</f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7</v>
      </c>
      <c r="K95">
        <v>14.154</v>
      </c>
      <c r="L95" s="2">
        <v>2</v>
      </c>
      <c r="M95">
        <v>0</v>
      </c>
      <c r="N95" s="2">
        <v>0</v>
      </c>
      <c r="O95">
        <v>-8.4</v>
      </c>
      <c r="P95" t="s">
        <v>100</v>
      </c>
      <c r="Q95">
        <v>0</v>
      </c>
      <c r="R95" t="s">
        <v>145</v>
      </c>
      <c r="S95">
        <v>0</v>
      </c>
    </row>
    <row r="96" spans="1:19">
      <c r="A96" t="s">
        <v>33</v>
      </c>
      <c r="B96" t="s">
        <v>4784</v>
      </c>
      <c r="C96">
        <f>"TOPK92216"</f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7</v>
      </c>
      <c r="K96">
        <v>47.355</v>
      </c>
      <c r="L96" s="2">
        <v>7</v>
      </c>
      <c r="M96">
        <v>0</v>
      </c>
      <c r="N96" s="2">
        <v>0</v>
      </c>
      <c r="O96">
        <v>-8.4</v>
      </c>
      <c r="P96" t="s">
        <v>100</v>
      </c>
      <c r="Q96">
        <v>0</v>
      </c>
      <c r="R96" t="s">
        <v>145</v>
      </c>
      <c r="S96">
        <v>0</v>
      </c>
    </row>
    <row r="97" spans="1:19">
      <c r="A97" t="s">
        <v>33</v>
      </c>
      <c r="B97" t="s">
        <v>1711</v>
      </c>
      <c r="C97">
        <f>"TOPK92235"</f>
        <v>0</v>
      </c>
      <c r="D97">
        <v>4</v>
      </c>
      <c r="E97">
        <v>13</v>
      </c>
      <c r="F97">
        <v>0</v>
      </c>
      <c r="G97">
        <v>0</v>
      </c>
      <c r="H97">
        <v>17</v>
      </c>
      <c r="I97">
        <v>2</v>
      </c>
      <c r="J97">
        <v>12</v>
      </c>
      <c r="K97">
        <v>36.276</v>
      </c>
      <c r="L97" s="2">
        <v>3</v>
      </c>
      <c r="M97">
        <v>0</v>
      </c>
      <c r="N97" s="2">
        <v>0</v>
      </c>
      <c r="O97">
        <v>-12.4</v>
      </c>
      <c r="P97" t="s">
        <v>100</v>
      </c>
      <c r="Q97">
        <v>0</v>
      </c>
      <c r="R97" t="s">
        <v>145</v>
      </c>
      <c r="S97">
        <v>0</v>
      </c>
    </row>
    <row r="98" spans="1:19">
      <c r="A98" t="s">
        <v>33</v>
      </c>
      <c r="B98" t="s">
        <v>4786</v>
      </c>
      <c r="C98">
        <f>"TOPK92236"</f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22</v>
      </c>
      <c r="K98">
        <v>66.506</v>
      </c>
      <c r="L98" s="2">
        <v>3</v>
      </c>
      <c r="M98">
        <v>0</v>
      </c>
      <c r="N98" s="2">
        <v>0</v>
      </c>
      <c r="O98">
        <v>-26.4</v>
      </c>
      <c r="P98" t="s">
        <v>100</v>
      </c>
      <c r="Q98">
        <v>0</v>
      </c>
      <c r="R98" t="s">
        <v>145</v>
      </c>
      <c r="S98">
        <v>0</v>
      </c>
    </row>
    <row r="99" spans="1:19">
      <c r="A99" t="s">
        <v>33</v>
      </c>
      <c r="B99" t="s">
        <v>1791</v>
      </c>
      <c r="C99">
        <f>"TOPK92151"</f>
        <v>0</v>
      </c>
      <c r="D99">
        <v>1</v>
      </c>
      <c r="E99">
        <v>7</v>
      </c>
      <c r="F99">
        <v>2</v>
      </c>
      <c r="G99">
        <v>0</v>
      </c>
      <c r="H99">
        <v>10</v>
      </c>
      <c r="I99">
        <v>1.5</v>
      </c>
      <c r="J99">
        <v>29</v>
      </c>
      <c r="K99">
        <v>219.356</v>
      </c>
      <c r="L99" s="2">
        <v>8</v>
      </c>
      <c r="M99">
        <v>0</v>
      </c>
      <c r="N99" s="2">
        <v>0</v>
      </c>
      <c r="O99">
        <v>-33.3</v>
      </c>
      <c r="P99" t="s">
        <v>100</v>
      </c>
      <c r="Q99">
        <v>0</v>
      </c>
      <c r="R99" t="s">
        <v>145</v>
      </c>
      <c r="S99">
        <v>0</v>
      </c>
    </row>
    <row r="100" spans="1:19">
      <c r="A100" t="s">
        <v>33</v>
      </c>
      <c r="B100" t="s">
        <v>547</v>
      </c>
      <c r="C100">
        <f>"TOPK92026"</f>
        <v>0</v>
      </c>
      <c r="D100">
        <v>15</v>
      </c>
      <c r="E100">
        <v>12</v>
      </c>
      <c r="F100">
        <v>51</v>
      </c>
      <c r="G100">
        <v>7</v>
      </c>
      <c r="H100">
        <v>85</v>
      </c>
      <c r="I100">
        <v>13.5</v>
      </c>
      <c r="J100">
        <v>62</v>
      </c>
      <c r="K100">
        <v>257.3</v>
      </c>
      <c r="L100" s="2">
        <v>4</v>
      </c>
      <c r="M100">
        <v>0</v>
      </c>
      <c r="N100" s="2">
        <v>0</v>
      </c>
      <c r="O100">
        <v>-46.89999999999999</v>
      </c>
      <c r="P100" t="s">
        <v>11246</v>
      </c>
      <c r="Q100">
        <v>-9.974</v>
      </c>
      <c r="R100" t="s">
        <v>11251</v>
      </c>
      <c r="S100">
        <v>0</v>
      </c>
    </row>
    <row r="101" spans="1:19">
      <c r="A101" t="s">
        <v>33</v>
      </c>
      <c r="B101" t="s">
        <v>2306</v>
      </c>
      <c r="C101">
        <f>"TOPK92233"</f>
        <v>0</v>
      </c>
      <c r="D101">
        <v>1</v>
      </c>
      <c r="E101">
        <v>0</v>
      </c>
      <c r="F101">
        <v>1</v>
      </c>
      <c r="G101">
        <v>0</v>
      </c>
      <c r="H101">
        <v>2</v>
      </c>
      <c r="I101">
        <v>0.5</v>
      </c>
      <c r="J101">
        <v>40</v>
      </c>
      <c r="K101">
        <v>120.92</v>
      </c>
      <c r="L101" s="2">
        <v>3</v>
      </c>
      <c r="M101">
        <v>0</v>
      </c>
      <c r="N101" s="2">
        <v>0</v>
      </c>
      <c r="O101">
        <v>-47.5</v>
      </c>
      <c r="P101" t="s">
        <v>100</v>
      </c>
      <c r="Q101">
        <v>0</v>
      </c>
      <c r="R101" t="s">
        <v>145</v>
      </c>
      <c r="S101">
        <v>0</v>
      </c>
    </row>
    <row r="102" spans="1:19">
      <c r="A102" t="s">
        <v>33</v>
      </c>
      <c r="B102" t="s">
        <v>2619</v>
      </c>
      <c r="C102">
        <f>"TOPK92231"</f>
        <v>0</v>
      </c>
      <c r="D102">
        <v>0</v>
      </c>
      <c r="E102">
        <v>1</v>
      </c>
      <c r="F102">
        <v>0</v>
      </c>
      <c r="G102">
        <v>0</v>
      </c>
      <c r="H102">
        <v>1</v>
      </c>
      <c r="I102">
        <v>0</v>
      </c>
      <c r="J102">
        <v>64</v>
      </c>
      <c r="K102">
        <v>36.746</v>
      </c>
      <c r="L102" s="2">
        <v>1</v>
      </c>
      <c r="M102">
        <v>0</v>
      </c>
      <c r="N102" s="2">
        <v>0</v>
      </c>
      <c r="O102">
        <v>-76.8</v>
      </c>
      <c r="P102" t="s">
        <v>100</v>
      </c>
      <c r="Q102">
        <v>0</v>
      </c>
      <c r="R102" t="s">
        <v>145</v>
      </c>
      <c r="S102">
        <v>0</v>
      </c>
    </row>
    <row r="103" spans="1:19">
      <c r="A103" t="s">
        <v>33</v>
      </c>
      <c r="B103" t="s">
        <v>1886</v>
      </c>
      <c r="C103">
        <f>"TOPK92232"</f>
        <v>0</v>
      </c>
      <c r="D103">
        <v>0</v>
      </c>
      <c r="E103">
        <v>3</v>
      </c>
      <c r="F103">
        <v>3</v>
      </c>
      <c r="G103">
        <v>0</v>
      </c>
      <c r="H103">
        <v>6</v>
      </c>
      <c r="I103">
        <v>1.5</v>
      </c>
      <c r="J103">
        <v>77</v>
      </c>
      <c r="K103">
        <v>232.771</v>
      </c>
      <c r="L103" s="2">
        <v>3</v>
      </c>
      <c r="M103">
        <v>0</v>
      </c>
      <c r="N103" s="2">
        <v>0</v>
      </c>
      <c r="O103">
        <v>-90.89999999999999</v>
      </c>
      <c r="P103" t="s">
        <v>100</v>
      </c>
      <c r="Q103">
        <v>0</v>
      </c>
      <c r="R103" t="s">
        <v>145</v>
      </c>
      <c r="S103">
        <v>0</v>
      </c>
    </row>
  </sheetData>
  <autoFilter ref="A2:S103"/>
  <hyperlinks>
    <hyperlink ref="A1" location="'ÍNDICE'!A1" display="⬅ Volver al índice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S5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0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214</v>
      </c>
      <c r="B3" t="s">
        <v>863</v>
      </c>
      <c r="C3">
        <f>"34035"</f>
        <v>0</v>
      </c>
      <c r="D3">
        <v>0</v>
      </c>
      <c r="E3">
        <v>0</v>
      </c>
      <c r="F3">
        <v>0</v>
      </c>
      <c r="G3">
        <v>3</v>
      </c>
      <c r="H3">
        <v>3</v>
      </c>
      <c r="I3">
        <v>0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9</v>
      </c>
      <c r="P3" t="s">
        <v>11253</v>
      </c>
      <c r="Q3">
        <v>2.673</v>
      </c>
      <c r="R3" t="s">
        <v>10266</v>
      </c>
      <c r="S3">
        <v>1</v>
      </c>
    </row>
    <row r="4" spans="1:19">
      <c r="A4" t="s">
        <v>214</v>
      </c>
      <c r="B4" t="s">
        <v>1908</v>
      </c>
      <c r="C4">
        <f>"34025"</f>
        <v>0</v>
      </c>
      <c r="D4">
        <v>0</v>
      </c>
      <c r="E4">
        <v>0</v>
      </c>
      <c r="F4">
        <v>0</v>
      </c>
      <c r="G4">
        <v>3</v>
      </c>
      <c r="H4">
        <v>3</v>
      </c>
      <c r="I4">
        <v>0</v>
      </c>
      <c r="J4">
        <v>3</v>
      </c>
      <c r="K4">
        <v>17.037</v>
      </c>
      <c r="L4" s="2">
        <v>6</v>
      </c>
      <c r="M4">
        <v>0</v>
      </c>
      <c r="N4" s="2">
        <v>0</v>
      </c>
      <c r="O4">
        <v>5.4</v>
      </c>
      <c r="P4" t="s">
        <v>11254</v>
      </c>
      <c r="Q4">
        <v>10.11</v>
      </c>
      <c r="R4" t="s">
        <v>11256</v>
      </c>
      <c r="S4">
        <v>1</v>
      </c>
    </row>
    <row r="5" spans="1:19">
      <c r="A5" t="s">
        <v>214</v>
      </c>
      <c r="B5" t="s">
        <v>2342</v>
      </c>
      <c r="C5">
        <f>"66423"</f>
        <v>0</v>
      </c>
      <c r="D5">
        <v>0</v>
      </c>
      <c r="E5">
        <v>0</v>
      </c>
      <c r="F5">
        <v>0</v>
      </c>
      <c r="G5">
        <v>1</v>
      </c>
      <c r="H5">
        <v>1</v>
      </c>
      <c r="I5">
        <v>0</v>
      </c>
      <c r="J5">
        <v>1</v>
      </c>
      <c r="K5">
        <v>3.105</v>
      </c>
      <c r="L5" s="2">
        <v>3</v>
      </c>
      <c r="M5">
        <v>0</v>
      </c>
      <c r="N5" s="2">
        <v>0</v>
      </c>
      <c r="O5">
        <v>3.8</v>
      </c>
      <c r="P5" t="s">
        <v>11255</v>
      </c>
      <c r="Q5">
        <v>1.172</v>
      </c>
      <c r="R5" t="s">
        <v>11257</v>
      </c>
      <c r="S5">
        <v>1</v>
      </c>
    </row>
    <row r="6" spans="1:19">
      <c r="A6" t="s">
        <v>214</v>
      </c>
      <c r="B6" t="s">
        <v>5872</v>
      </c>
      <c r="C6">
        <f>"11366"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214</v>
      </c>
      <c r="B7" t="s">
        <v>5907</v>
      </c>
      <c r="C7">
        <f>"33035"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214</v>
      </c>
      <c r="B8" t="s">
        <v>5905</v>
      </c>
      <c r="C8">
        <f>"33135"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214</v>
      </c>
      <c r="B9" t="s">
        <v>9009</v>
      </c>
      <c r="C9">
        <f>"34236"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214</v>
      </c>
      <c r="B10" t="s">
        <v>9906</v>
      </c>
      <c r="C10">
        <f>"34301"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214</v>
      </c>
      <c r="B11" t="s">
        <v>6601</v>
      </c>
      <c r="C11">
        <f>"40655"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214</v>
      </c>
      <c r="B12" t="s">
        <v>6242</v>
      </c>
      <c r="C12">
        <f>"77063"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214</v>
      </c>
      <c r="B13" t="s">
        <v>874</v>
      </c>
      <c r="C13">
        <f>"40374"</f>
        <v>0</v>
      </c>
      <c r="D13">
        <v>3</v>
      </c>
      <c r="E13">
        <v>0</v>
      </c>
      <c r="F13">
        <v>0</v>
      </c>
      <c r="G13">
        <v>0</v>
      </c>
      <c r="H13">
        <v>3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214</v>
      </c>
      <c r="B14" t="s">
        <v>10118</v>
      </c>
      <c r="C14">
        <f>"66426"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214</v>
      </c>
      <c r="B15" t="s">
        <v>10084</v>
      </c>
      <c r="C15">
        <f>"66424"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214</v>
      </c>
      <c r="B16" t="s">
        <v>10145</v>
      </c>
      <c r="C16">
        <f>"77054"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214</v>
      </c>
      <c r="B17" t="s">
        <v>10128</v>
      </c>
      <c r="C17">
        <f>"77053"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214</v>
      </c>
      <c r="B18" t="s">
        <v>8852</v>
      </c>
      <c r="C18">
        <f>"45215"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214</v>
      </c>
      <c r="B19" t="s">
        <v>9672</v>
      </c>
      <c r="C19">
        <f>"34012"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214</v>
      </c>
      <c r="B20" t="s">
        <v>993</v>
      </c>
      <c r="C20">
        <f>"63343"</f>
        <v>0</v>
      </c>
      <c r="D20">
        <v>2</v>
      </c>
      <c r="E20">
        <v>0</v>
      </c>
      <c r="F20">
        <v>0</v>
      </c>
      <c r="G20">
        <v>0</v>
      </c>
      <c r="H20">
        <v>2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214</v>
      </c>
      <c r="B21" t="s">
        <v>1209</v>
      </c>
      <c r="C21">
        <f>"20744"</f>
        <v>0</v>
      </c>
      <c r="D21">
        <v>0</v>
      </c>
      <c r="E21">
        <v>0</v>
      </c>
      <c r="F21">
        <v>1</v>
      </c>
      <c r="G21">
        <v>0</v>
      </c>
      <c r="H21">
        <v>1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214</v>
      </c>
      <c r="B22" t="s">
        <v>5040</v>
      </c>
      <c r="C22">
        <f>"60443"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214</v>
      </c>
      <c r="B23" t="s">
        <v>5039</v>
      </c>
      <c r="C23">
        <f>"60444"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214</v>
      </c>
      <c r="B24" t="s">
        <v>5042</v>
      </c>
      <c r="C24">
        <f>"70431"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214</v>
      </c>
      <c r="B25" t="s">
        <v>1391</v>
      </c>
      <c r="C25">
        <f>"77143"</f>
        <v>0</v>
      </c>
      <c r="D25">
        <v>0</v>
      </c>
      <c r="E25">
        <v>0</v>
      </c>
      <c r="F25">
        <v>1</v>
      </c>
      <c r="G25">
        <v>0</v>
      </c>
      <c r="H25">
        <v>1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214</v>
      </c>
      <c r="B26" t="s">
        <v>5994</v>
      </c>
      <c r="C26">
        <f>"77106"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214</v>
      </c>
      <c r="B27" t="s">
        <v>5992</v>
      </c>
      <c r="C27">
        <f>"77104"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214</v>
      </c>
      <c r="B28" t="s">
        <v>5989</v>
      </c>
      <c r="C28">
        <f>"61421"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214</v>
      </c>
      <c r="B29" t="s">
        <v>5988</v>
      </c>
      <c r="C29">
        <f>"60423"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214</v>
      </c>
      <c r="B30" t="s">
        <v>8849</v>
      </c>
      <c r="C30">
        <f>"45115"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214</v>
      </c>
      <c r="B31" t="s">
        <v>6087</v>
      </c>
      <c r="C31">
        <f>"80106"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214</v>
      </c>
      <c r="B32" t="s">
        <v>5041</v>
      </c>
      <c r="C32">
        <f>"77144"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214</v>
      </c>
      <c r="B33" t="s">
        <v>2187</v>
      </c>
      <c r="C33">
        <f>"40675"</f>
        <v>0</v>
      </c>
      <c r="D33">
        <v>1</v>
      </c>
      <c r="E33">
        <v>0</v>
      </c>
      <c r="F33">
        <v>1</v>
      </c>
      <c r="G33">
        <v>0</v>
      </c>
      <c r="H33">
        <v>2</v>
      </c>
      <c r="I33">
        <v>0.5</v>
      </c>
      <c r="J33">
        <v>1</v>
      </c>
      <c r="K33">
        <v>4.41</v>
      </c>
      <c r="L33" s="2">
        <v>4</v>
      </c>
      <c r="M33">
        <v>0</v>
      </c>
      <c r="N33" s="2">
        <v>0</v>
      </c>
      <c r="O33">
        <v>-0.7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214</v>
      </c>
      <c r="B34" t="s">
        <v>2465</v>
      </c>
      <c r="C34">
        <f>"60474"</f>
        <v>0</v>
      </c>
      <c r="D34">
        <v>0</v>
      </c>
      <c r="E34">
        <v>1</v>
      </c>
      <c r="F34">
        <v>0</v>
      </c>
      <c r="G34">
        <v>0</v>
      </c>
      <c r="H34">
        <v>1</v>
      </c>
      <c r="I34">
        <v>0</v>
      </c>
      <c r="J34">
        <v>1</v>
      </c>
      <c r="K34">
        <v>4.14</v>
      </c>
      <c r="L34" s="2">
        <v>4</v>
      </c>
      <c r="M34">
        <v>0</v>
      </c>
      <c r="N34" s="2">
        <v>0</v>
      </c>
      <c r="O34">
        <v>-1.2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214</v>
      </c>
      <c r="B35" t="s">
        <v>8853</v>
      </c>
      <c r="C35">
        <f>"45218"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</v>
      </c>
      <c r="K35">
        <v>30.69</v>
      </c>
      <c r="L35" s="2">
        <v>31</v>
      </c>
      <c r="M35">
        <v>0</v>
      </c>
      <c r="N35" s="2">
        <v>0</v>
      </c>
      <c r="O35">
        <v>-1.2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214</v>
      </c>
      <c r="B36" t="s">
        <v>2626</v>
      </c>
      <c r="C36">
        <f>"34305"</f>
        <v>0</v>
      </c>
      <c r="D36">
        <v>0</v>
      </c>
      <c r="E36">
        <v>1</v>
      </c>
      <c r="F36">
        <v>0</v>
      </c>
      <c r="G36">
        <v>0</v>
      </c>
      <c r="H36">
        <v>1</v>
      </c>
      <c r="I36">
        <v>0</v>
      </c>
      <c r="J36">
        <v>1</v>
      </c>
      <c r="K36">
        <v>7.191</v>
      </c>
      <c r="L36" s="2">
        <v>7</v>
      </c>
      <c r="M36">
        <v>0</v>
      </c>
      <c r="N36" s="2">
        <v>0</v>
      </c>
      <c r="O36">
        <v>-1.2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214</v>
      </c>
      <c r="B37" t="s">
        <v>2546</v>
      </c>
      <c r="C37">
        <f>"77034"</f>
        <v>0</v>
      </c>
      <c r="D37">
        <v>0</v>
      </c>
      <c r="E37">
        <v>0</v>
      </c>
      <c r="F37">
        <v>1</v>
      </c>
      <c r="G37">
        <v>0</v>
      </c>
      <c r="H37">
        <v>1</v>
      </c>
      <c r="I37">
        <v>0</v>
      </c>
      <c r="J37">
        <v>1</v>
      </c>
      <c r="K37">
        <v>2.511</v>
      </c>
      <c r="L37" s="2">
        <v>3</v>
      </c>
      <c r="M37">
        <v>0</v>
      </c>
      <c r="N37" s="2">
        <v>0</v>
      </c>
      <c r="O37">
        <v>-1.2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214</v>
      </c>
      <c r="B38" t="s">
        <v>9673</v>
      </c>
      <c r="C38">
        <f>"34015"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</v>
      </c>
      <c r="K38">
        <v>4.968</v>
      </c>
      <c r="L38" s="2">
        <v>5</v>
      </c>
      <c r="M38">
        <v>0</v>
      </c>
      <c r="N38" s="2">
        <v>0</v>
      </c>
      <c r="O38">
        <v>-1.2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214</v>
      </c>
      <c r="B39" t="s">
        <v>2586</v>
      </c>
      <c r="C39">
        <f>"77033"</f>
        <v>0</v>
      </c>
      <c r="D39">
        <v>1</v>
      </c>
      <c r="E39">
        <v>0</v>
      </c>
      <c r="F39">
        <v>0</v>
      </c>
      <c r="G39">
        <v>0</v>
      </c>
      <c r="H39">
        <v>1</v>
      </c>
      <c r="I39">
        <v>0</v>
      </c>
      <c r="J39">
        <v>1</v>
      </c>
      <c r="K39">
        <v>1.125</v>
      </c>
      <c r="L39" s="2">
        <v>1</v>
      </c>
      <c r="M39">
        <v>0</v>
      </c>
      <c r="N39" s="2">
        <v>0</v>
      </c>
      <c r="O39">
        <v>-1.2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214</v>
      </c>
      <c r="B40" t="s">
        <v>2663</v>
      </c>
      <c r="C40">
        <f>"60424"</f>
        <v>0</v>
      </c>
      <c r="D40">
        <v>1</v>
      </c>
      <c r="E40">
        <v>0</v>
      </c>
      <c r="F40">
        <v>0</v>
      </c>
      <c r="G40">
        <v>0</v>
      </c>
      <c r="H40">
        <v>1</v>
      </c>
      <c r="I40">
        <v>0</v>
      </c>
      <c r="J40">
        <v>2</v>
      </c>
      <c r="K40">
        <v>11.7</v>
      </c>
      <c r="L40" s="2">
        <v>6</v>
      </c>
      <c r="M40">
        <v>0</v>
      </c>
      <c r="N40" s="2">
        <v>0</v>
      </c>
      <c r="O40">
        <v>-2.4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214</v>
      </c>
      <c r="B41" t="s">
        <v>5999</v>
      </c>
      <c r="C41">
        <f>"65372"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2.97</v>
      </c>
      <c r="L41" s="2">
        <v>1</v>
      </c>
      <c r="M41">
        <v>0</v>
      </c>
      <c r="N41" s="2">
        <v>0</v>
      </c>
      <c r="O41">
        <v>-2.4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214</v>
      </c>
      <c r="B42" t="s">
        <v>5906</v>
      </c>
      <c r="C42">
        <f>"33032"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4.86</v>
      </c>
      <c r="L42" s="2">
        <v>2</v>
      </c>
      <c r="M42">
        <v>0</v>
      </c>
      <c r="N42" s="2">
        <v>0</v>
      </c>
      <c r="O42">
        <v>-2.4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214</v>
      </c>
      <c r="B43" t="s">
        <v>5871</v>
      </c>
      <c r="C43">
        <f>"11363"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2.682</v>
      </c>
      <c r="L43" s="2">
        <v>1</v>
      </c>
      <c r="M43">
        <v>0</v>
      </c>
      <c r="N43" s="2">
        <v>0</v>
      </c>
      <c r="O43">
        <v>-2.4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214</v>
      </c>
      <c r="B44" t="s">
        <v>10163</v>
      </c>
      <c r="C44">
        <f>"60473"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3.42</v>
      </c>
      <c r="L44" s="2">
        <v>2</v>
      </c>
      <c r="M44">
        <v>0</v>
      </c>
      <c r="N44" s="2">
        <v>0</v>
      </c>
      <c r="O44">
        <v>-2.4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214</v>
      </c>
      <c r="B45" t="s">
        <v>2484</v>
      </c>
      <c r="C45">
        <f>"61441"</f>
        <v>0</v>
      </c>
      <c r="D45">
        <v>0</v>
      </c>
      <c r="E45">
        <v>0</v>
      </c>
      <c r="F45">
        <v>1</v>
      </c>
      <c r="G45">
        <v>0</v>
      </c>
      <c r="H45">
        <v>1</v>
      </c>
      <c r="I45">
        <v>0</v>
      </c>
      <c r="J45">
        <v>2</v>
      </c>
      <c r="K45">
        <v>2.97</v>
      </c>
      <c r="L45" s="2">
        <v>1</v>
      </c>
      <c r="M45">
        <v>0</v>
      </c>
      <c r="N45" s="2">
        <v>0</v>
      </c>
      <c r="O45">
        <v>-2.4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214</v>
      </c>
      <c r="B46" t="s">
        <v>5954</v>
      </c>
      <c r="C46">
        <f>"65373"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10.782</v>
      </c>
      <c r="L46" s="2">
        <v>5</v>
      </c>
      <c r="M46">
        <v>0</v>
      </c>
      <c r="N46" s="2">
        <v>0</v>
      </c>
      <c r="O46">
        <v>-2.4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214</v>
      </c>
      <c r="B47" t="s">
        <v>10203</v>
      </c>
      <c r="C47">
        <f>"77173"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5.121</v>
      </c>
      <c r="L47" s="2">
        <v>2</v>
      </c>
      <c r="M47">
        <v>0</v>
      </c>
      <c r="N47" s="2">
        <v>0</v>
      </c>
      <c r="O47">
        <v>-3.6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214</v>
      </c>
      <c r="B48" t="s">
        <v>6149</v>
      </c>
      <c r="C48">
        <f>"77214"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</v>
      </c>
      <c r="K48">
        <v>12.42</v>
      </c>
      <c r="L48" s="2">
        <v>3</v>
      </c>
      <c r="M48">
        <v>0</v>
      </c>
      <c r="N48" s="2">
        <v>0</v>
      </c>
      <c r="O48">
        <v>-4.8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214</v>
      </c>
      <c r="B49" t="s">
        <v>9674</v>
      </c>
      <c r="C49">
        <f>"34105"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</v>
      </c>
      <c r="K49">
        <v>19.8</v>
      </c>
      <c r="L49" s="2">
        <v>5</v>
      </c>
      <c r="M49">
        <v>0</v>
      </c>
      <c r="N49" s="2">
        <v>0</v>
      </c>
      <c r="O49">
        <v>-4.8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214</v>
      </c>
      <c r="B50" t="s">
        <v>1435</v>
      </c>
      <c r="C50">
        <f>"70083"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</v>
      </c>
      <c r="K50">
        <v>6.975</v>
      </c>
      <c r="L50" s="2">
        <v>1</v>
      </c>
      <c r="M50">
        <v>0</v>
      </c>
      <c r="N50" s="2">
        <v>0</v>
      </c>
      <c r="O50">
        <v>-6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214</v>
      </c>
      <c r="B51" t="s">
        <v>5723</v>
      </c>
      <c r="C51">
        <f>"20742"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6</v>
      </c>
      <c r="K51">
        <v>20.79</v>
      </c>
      <c r="L51" s="2">
        <v>3</v>
      </c>
      <c r="M51">
        <v>0</v>
      </c>
      <c r="N51" s="2">
        <v>0</v>
      </c>
      <c r="O51">
        <v>-7.199999999999999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214</v>
      </c>
      <c r="B52" t="s">
        <v>9833</v>
      </c>
      <c r="C52">
        <f>"77335"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6</v>
      </c>
      <c r="K52">
        <v>56.7</v>
      </c>
      <c r="L52" s="2">
        <v>9</v>
      </c>
      <c r="M52">
        <v>0</v>
      </c>
      <c r="N52" s="2">
        <v>0</v>
      </c>
      <c r="O52">
        <v>-7.199999999999999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214</v>
      </c>
      <c r="B53" t="s">
        <v>5870</v>
      </c>
      <c r="C53">
        <f>"11341"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10</v>
      </c>
      <c r="K53">
        <v>7.11</v>
      </c>
      <c r="L53" s="2">
        <v>1</v>
      </c>
      <c r="M53">
        <v>0</v>
      </c>
      <c r="N53" s="2">
        <v>0</v>
      </c>
      <c r="O53">
        <v>-12</v>
      </c>
      <c r="P53" t="s">
        <v>100</v>
      </c>
      <c r="Q53">
        <v>0</v>
      </c>
      <c r="R53" t="s">
        <v>145</v>
      </c>
      <c r="S53">
        <v>0</v>
      </c>
    </row>
  </sheetData>
  <autoFilter ref="A2:S53"/>
  <hyperlinks>
    <hyperlink ref="A1" location="'ÍNDICE'!A1" display="⬅ Volver al índice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S9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3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213</v>
      </c>
      <c r="B3" t="s">
        <v>966</v>
      </c>
      <c r="C3">
        <f>"500907"</f>
        <v>0</v>
      </c>
      <c r="D3">
        <v>0</v>
      </c>
      <c r="E3">
        <v>0</v>
      </c>
      <c r="F3">
        <v>1</v>
      </c>
      <c r="G3">
        <v>2</v>
      </c>
      <c r="H3">
        <v>3</v>
      </c>
      <c r="I3">
        <v>0.5</v>
      </c>
      <c r="J3">
        <v>0</v>
      </c>
      <c r="K3">
        <v>0</v>
      </c>
      <c r="L3" s="2">
        <v>0</v>
      </c>
      <c r="M3">
        <v>2</v>
      </c>
      <c r="N3" s="2">
        <v>0</v>
      </c>
      <c r="O3">
        <v>7.5</v>
      </c>
      <c r="P3" t="s">
        <v>10596</v>
      </c>
      <c r="Q3">
        <v>-3.19</v>
      </c>
      <c r="R3" t="s">
        <v>11261</v>
      </c>
      <c r="S3">
        <v>1</v>
      </c>
    </row>
    <row r="4" spans="1:19">
      <c r="A4" t="s">
        <v>213</v>
      </c>
      <c r="B4" t="s">
        <v>1951</v>
      </c>
      <c r="C4">
        <f>"500780"</f>
        <v>0</v>
      </c>
      <c r="D4">
        <v>1</v>
      </c>
      <c r="E4">
        <v>0</v>
      </c>
      <c r="F4">
        <v>0</v>
      </c>
      <c r="G4">
        <v>2</v>
      </c>
      <c r="H4">
        <v>3</v>
      </c>
      <c r="I4">
        <v>0.5</v>
      </c>
      <c r="J4">
        <v>2</v>
      </c>
      <c r="K4">
        <v>14.388</v>
      </c>
      <c r="L4" s="2">
        <v>7</v>
      </c>
      <c r="M4">
        <v>0</v>
      </c>
      <c r="N4" s="2">
        <v>0</v>
      </c>
      <c r="O4">
        <v>5.1</v>
      </c>
      <c r="P4" t="s">
        <v>10450</v>
      </c>
      <c r="Q4">
        <v>5.763</v>
      </c>
      <c r="R4" t="s">
        <v>11262</v>
      </c>
      <c r="S4">
        <v>1</v>
      </c>
    </row>
    <row r="5" spans="1:19">
      <c r="A5" t="s">
        <v>213</v>
      </c>
      <c r="B5" t="s">
        <v>1942</v>
      </c>
      <c r="C5">
        <f>"402048"</f>
        <v>0</v>
      </c>
      <c r="D5">
        <v>2</v>
      </c>
      <c r="E5">
        <v>1</v>
      </c>
      <c r="F5">
        <v>0</v>
      </c>
      <c r="G5">
        <v>1</v>
      </c>
      <c r="H5">
        <v>4</v>
      </c>
      <c r="I5">
        <v>1</v>
      </c>
      <c r="J5">
        <v>1</v>
      </c>
      <c r="K5">
        <v>7.992</v>
      </c>
      <c r="L5" s="2">
        <v>8</v>
      </c>
      <c r="M5">
        <v>0</v>
      </c>
      <c r="N5" s="2">
        <v>0</v>
      </c>
      <c r="O5">
        <v>4.8</v>
      </c>
      <c r="P5" t="s">
        <v>11034</v>
      </c>
      <c r="Q5">
        <v>2.849</v>
      </c>
      <c r="R5" t="s">
        <v>11263</v>
      </c>
      <c r="S5">
        <v>1</v>
      </c>
    </row>
    <row r="6" spans="1:19">
      <c r="A6" t="s">
        <v>213</v>
      </c>
      <c r="B6" t="s">
        <v>778</v>
      </c>
      <c r="C6">
        <f>"500519"</f>
        <v>0</v>
      </c>
      <c r="D6">
        <v>0</v>
      </c>
      <c r="E6">
        <v>1</v>
      </c>
      <c r="F6">
        <v>1</v>
      </c>
      <c r="G6">
        <v>1</v>
      </c>
      <c r="H6">
        <v>3</v>
      </c>
      <c r="I6">
        <v>1</v>
      </c>
      <c r="J6">
        <v>0</v>
      </c>
      <c r="K6">
        <v>0</v>
      </c>
      <c r="L6" s="2">
        <v>0</v>
      </c>
      <c r="M6">
        <v>2</v>
      </c>
      <c r="N6" s="2">
        <v>0</v>
      </c>
      <c r="O6">
        <v>3</v>
      </c>
      <c r="P6" t="s">
        <v>11259</v>
      </c>
      <c r="Q6">
        <v>4.777</v>
      </c>
      <c r="R6" t="s">
        <v>11264</v>
      </c>
      <c r="S6">
        <v>0</v>
      </c>
    </row>
    <row r="7" spans="1:19">
      <c r="A7" t="s">
        <v>213</v>
      </c>
      <c r="B7" t="s">
        <v>788</v>
      </c>
      <c r="C7">
        <f>"500829"</f>
        <v>0</v>
      </c>
      <c r="D7">
        <v>3</v>
      </c>
      <c r="E7">
        <v>1</v>
      </c>
      <c r="F7">
        <v>0</v>
      </c>
      <c r="G7">
        <v>0</v>
      </c>
      <c r="H7">
        <v>4</v>
      </c>
      <c r="I7">
        <v>0.5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0.5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213</v>
      </c>
      <c r="B8" t="s">
        <v>992</v>
      </c>
      <c r="C8">
        <f>"500968"</f>
        <v>0</v>
      </c>
      <c r="D8">
        <v>1</v>
      </c>
      <c r="E8">
        <v>1</v>
      </c>
      <c r="F8">
        <v>0</v>
      </c>
      <c r="G8">
        <v>0</v>
      </c>
      <c r="H8">
        <v>2</v>
      </c>
      <c r="I8">
        <v>0.5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0.5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213</v>
      </c>
      <c r="B9" t="s">
        <v>2326</v>
      </c>
      <c r="C9">
        <f>"VQM022"</f>
        <v>0</v>
      </c>
      <c r="D9">
        <v>0</v>
      </c>
      <c r="E9">
        <v>0</v>
      </c>
      <c r="F9">
        <v>0</v>
      </c>
      <c r="G9">
        <v>1</v>
      </c>
      <c r="H9">
        <v>1</v>
      </c>
      <c r="I9">
        <v>0</v>
      </c>
      <c r="J9">
        <v>4</v>
      </c>
      <c r="K9">
        <v>25.98</v>
      </c>
      <c r="L9" s="2">
        <v>6</v>
      </c>
      <c r="M9">
        <v>0</v>
      </c>
      <c r="N9" s="2">
        <v>0</v>
      </c>
      <c r="O9">
        <v>0.2000000000000002</v>
      </c>
      <c r="P9" t="s">
        <v>11053</v>
      </c>
      <c r="Q9">
        <v>2.74</v>
      </c>
      <c r="R9" t="s">
        <v>11265</v>
      </c>
      <c r="S9">
        <v>1</v>
      </c>
    </row>
    <row r="10" spans="1:19">
      <c r="A10" t="s">
        <v>213</v>
      </c>
      <c r="B10" t="s">
        <v>1223</v>
      </c>
      <c r="C10">
        <f>"500636"</f>
        <v>0</v>
      </c>
      <c r="D10">
        <v>1</v>
      </c>
      <c r="E10">
        <v>0</v>
      </c>
      <c r="F10">
        <v>0</v>
      </c>
      <c r="G10">
        <v>0</v>
      </c>
      <c r="H10">
        <v>1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213</v>
      </c>
      <c r="B11" t="s">
        <v>8811</v>
      </c>
      <c r="C11">
        <f>"500627"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213</v>
      </c>
      <c r="B12" t="s">
        <v>7224</v>
      </c>
      <c r="C12">
        <f>"402038"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213</v>
      </c>
      <c r="B13" t="s">
        <v>7826</v>
      </c>
      <c r="C13">
        <f>"402049"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213</v>
      </c>
      <c r="B14" t="s">
        <v>7827</v>
      </c>
      <c r="C14">
        <f>"401766"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213</v>
      </c>
      <c r="B15" t="s">
        <v>7427</v>
      </c>
      <c r="C15">
        <f>"500654"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213</v>
      </c>
      <c r="B16" t="s">
        <v>7805</v>
      </c>
      <c r="C16">
        <f>"501023"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213</v>
      </c>
      <c r="B17" t="s">
        <v>6550</v>
      </c>
      <c r="C17">
        <f>"VQM217"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213</v>
      </c>
      <c r="B18" t="s">
        <v>6548</v>
      </c>
      <c r="C18">
        <f>"401767"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213</v>
      </c>
      <c r="B19" t="s">
        <v>6551</v>
      </c>
      <c r="C19">
        <f>"VQM027"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213</v>
      </c>
      <c r="B20" t="s">
        <v>6552</v>
      </c>
      <c r="C20">
        <f>"402039"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213</v>
      </c>
      <c r="B21" t="s">
        <v>1228</v>
      </c>
      <c r="C21">
        <f>"500830"</f>
        <v>0</v>
      </c>
      <c r="D21">
        <v>1</v>
      </c>
      <c r="E21">
        <v>0</v>
      </c>
      <c r="F21">
        <v>0</v>
      </c>
      <c r="G21">
        <v>0</v>
      </c>
      <c r="H21">
        <v>1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213</v>
      </c>
      <c r="B22" t="s">
        <v>9610</v>
      </c>
      <c r="C22">
        <f>"402546"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213</v>
      </c>
      <c r="B23" t="s">
        <v>897</v>
      </c>
      <c r="C23">
        <f>"500521"</f>
        <v>0</v>
      </c>
      <c r="D23">
        <v>3</v>
      </c>
      <c r="E23">
        <v>0</v>
      </c>
      <c r="F23">
        <v>0</v>
      </c>
      <c r="G23">
        <v>0</v>
      </c>
      <c r="H23">
        <v>3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213</v>
      </c>
      <c r="B24" t="s">
        <v>6899</v>
      </c>
      <c r="C24">
        <f>"402161"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213</v>
      </c>
      <c r="B25" t="s">
        <v>1178</v>
      </c>
      <c r="C25">
        <f>"402037"</f>
        <v>0</v>
      </c>
      <c r="D25">
        <v>0</v>
      </c>
      <c r="E25">
        <v>0</v>
      </c>
      <c r="F25">
        <v>1</v>
      </c>
      <c r="G25">
        <v>0</v>
      </c>
      <c r="H25">
        <v>1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213</v>
      </c>
      <c r="B26" t="s">
        <v>8813</v>
      </c>
      <c r="C26">
        <f>"500879"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213</v>
      </c>
      <c r="B27" t="s">
        <v>8815</v>
      </c>
      <c r="C27">
        <f>"500894"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213</v>
      </c>
      <c r="B28" t="s">
        <v>8814</v>
      </c>
      <c r="C28">
        <f>"500635"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213</v>
      </c>
      <c r="B29" t="s">
        <v>5094</v>
      </c>
      <c r="C29">
        <f>"500891"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213</v>
      </c>
      <c r="B30" t="s">
        <v>4722</v>
      </c>
      <c r="C30">
        <f>"501077"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213</v>
      </c>
      <c r="B31" t="s">
        <v>6042</v>
      </c>
      <c r="C31">
        <f>"500520"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213</v>
      </c>
      <c r="B32" t="s">
        <v>6224</v>
      </c>
      <c r="C32">
        <f>"402295"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213</v>
      </c>
      <c r="B33" t="s">
        <v>4721</v>
      </c>
      <c r="C33">
        <f>"501076"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213</v>
      </c>
      <c r="B34" t="s">
        <v>5663</v>
      </c>
      <c r="C34">
        <f>"400722"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213</v>
      </c>
      <c r="B35" t="s">
        <v>5682</v>
      </c>
      <c r="C35">
        <f>"500616"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213</v>
      </c>
      <c r="B36" t="s">
        <v>1088</v>
      </c>
      <c r="C36">
        <f>"500828"</f>
        <v>0</v>
      </c>
      <c r="D36">
        <v>2</v>
      </c>
      <c r="E36">
        <v>0</v>
      </c>
      <c r="F36">
        <v>0</v>
      </c>
      <c r="G36">
        <v>0</v>
      </c>
      <c r="H36">
        <v>2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213</v>
      </c>
      <c r="B37" t="s">
        <v>9968</v>
      </c>
      <c r="C37">
        <f>"501105"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213</v>
      </c>
      <c r="B38" t="s">
        <v>9967</v>
      </c>
      <c r="C38">
        <f>"500994"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213</v>
      </c>
      <c r="B39" t="s">
        <v>9965</v>
      </c>
      <c r="C39">
        <f>"500979"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213</v>
      </c>
      <c r="B40" t="s">
        <v>9966</v>
      </c>
      <c r="C40">
        <f>"501102"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213</v>
      </c>
      <c r="B41" t="s">
        <v>9969</v>
      </c>
      <c r="C41">
        <f>"500978"</f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213</v>
      </c>
      <c r="B42" t="s">
        <v>6900</v>
      </c>
      <c r="C42">
        <f>"402162"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213</v>
      </c>
      <c r="B43" t="s">
        <v>1031</v>
      </c>
      <c r="C43">
        <f>"501174"</f>
        <v>0</v>
      </c>
      <c r="D43">
        <v>2</v>
      </c>
      <c r="E43">
        <v>0</v>
      </c>
      <c r="F43">
        <v>0</v>
      </c>
      <c r="G43">
        <v>0</v>
      </c>
      <c r="H43">
        <v>2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213</v>
      </c>
      <c r="B44" t="s">
        <v>9970</v>
      </c>
      <c r="C44">
        <f>"501101"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213</v>
      </c>
      <c r="B45" t="s">
        <v>8862</v>
      </c>
      <c r="C45">
        <f>"500779"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213</v>
      </c>
      <c r="B46" t="s">
        <v>8863</v>
      </c>
      <c r="C46">
        <f>"500778"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213</v>
      </c>
      <c r="B47" t="s">
        <v>6197</v>
      </c>
      <c r="C47">
        <f>"500825"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213</v>
      </c>
      <c r="B48" t="s">
        <v>6208</v>
      </c>
      <c r="C48">
        <f>"500826"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213</v>
      </c>
      <c r="B49" t="s">
        <v>3029</v>
      </c>
      <c r="C49">
        <f>"500987"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213</v>
      </c>
      <c r="B50" t="s">
        <v>5483</v>
      </c>
      <c r="C50">
        <f>"501087"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213</v>
      </c>
      <c r="B51" t="s">
        <v>5469</v>
      </c>
      <c r="C51">
        <f>"501086"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213</v>
      </c>
      <c r="B52" t="s">
        <v>2962</v>
      </c>
      <c r="C52">
        <f>"501103"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213</v>
      </c>
      <c r="B53" t="s">
        <v>2756</v>
      </c>
      <c r="C53">
        <f>"500989"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213</v>
      </c>
      <c r="B54" t="s">
        <v>3032</v>
      </c>
      <c r="C54">
        <f>"500990"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213</v>
      </c>
      <c r="B55" t="s">
        <v>3031</v>
      </c>
      <c r="C55">
        <f>"501104"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213</v>
      </c>
      <c r="B56" t="s">
        <v>4317</v>
      </c>
      <c r="C56">
        <f>"400575"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213</v>
      </c>
      <c r="B57" t="s">
        <v>3544</v>
      </c>
      <c r="C57">
        <f>"500666"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213</v>
      </c>
      <c r="B58" t="s">
        <v>3511</v>
      </c>
      <c r="C58">
        <f>"500661"</f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213</v>
      </c>
      <c r="B59" t="s">
        <v>3826</v>
      </c>
      <c r="C59">
        <f>"VQM025"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213</v>
      </c>
      <c r="B60" t="s">
        <v>8861</v>
      </c>
      <c r="C60">
        <f>"500781"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213</v>
      </c>
      <c r="B61" t="s">
        <v>5093</v>
      </c>
      <c r="C61">
        <f>"500621"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</v>
      </c>
      <c r="K61">
        <v>16.709</v>
      </c>
      <c r="L61" s="2">
        <v>17</v>
      </c>
      <c r="M61">
        <v>0</v>
      </c>
      <c r="N61" s="2">
        <v>0</v>
      </c>
      <c r="O61">
        <v>-1.2</v>
      </c>
      <c r="P61" t="s">
        <v>100</v>
      </c>
      <c r="Q61">
        <v>0</v>
      </c>
      <c r="R61" t="s">
        <v>145</v>
      </c>
      <c r="S61">
        <v>0</v>
      </c>
    </row>
    <row r="62" spans="1:19">
      <c r="A62" t="s">
        <v>213</v>
      </c>
      <c r="B62" t="s">
        <v>6223</v>
      </c>
      <c r="C62">
        <f>"500827"</f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</v>
      </c>
      <c r="K62">
        <v>5.461</v>
      </c>
      <c r="L62" s="2">
        <v>5</v>
      </c>
      <c r="M62">
        <v>0</v>
      </c>
      <c r="N62" s="2">
        <v>0</v>
      </c>
      <c r="O62">
        <v>-1.2</v>
      </c>
      <c r="P62" t="s">
        <v>100</v>
      </c>
      <c r="Q62">
        <v>0</v>
      </c>
      <c r="R62" t="s">
        <v>145</v>
      </c>
      <c r="S62">
        <v>0</v>
      </c>
    </row>
    <row r="63" spans="1:19">
      <c r="A63" t="s">
        <v>213</v>
      </c>
      <c r="B63" t="s">
        <v>5697</v>
      </c>
      <c r="C63">
        <f>"500610"</f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</v>
      </c>
      <c r="K63">
        <v>19.168</v>
      </c>
      <c r="L63" s="2">
        <v>19</v>
      </c>
      <c r="M63">
        <v>0</v>
      </c>
      <c r="N63" s="2">
        <v>0</v>
      </c>
      <c r="O63">
        <v>-1.2</v>
      </c>
      <c r="P63" t="s">
        <v>100</v>
      </c>
      <c r="Q63">
        <v>0</v>
      </c>
      <c r="R63" t="s">
        <v>145</v>
      </c>
      <c r="S63">
        <v>0</v>
      </c>
    </row>
    <row r="64" spans="1:19">
      <c r="A64" t="s">
        <v>213</v>
      </c>
      <c r="B64" t="s">
        <v>2464</v>
      </c>
      <c r="C64">
        <f>"500822"</f>
        <v>0</v>
      </c>
      <c r="D64">
        <v>0</v>
      </c>
      <c r="E64">
        <v>1</v>
      </c>
      <c r="F64">
        <v>0</v>
      </c>
      <c r="G64">
        <v>0</v>
      </c>
      <c r="H64">
        <v>1</v>
      </c>
      <c r="I64">
        <v>0</v>
      </c>
      <c r="J64">
        <v>1</v>
      </c>
      <c r="K64">
        <v>5.596</v>
      </c>
      <c r="L64" s="2">
        <v>6</v>
      </c>
      <c r="M64">
        <v>0</v>
      </c>
      <c r="N64" s="2">
        <v>0</v>
      </c>
      <c r="O64">
        <v>-1.2</v>
      </c>
      <c r="P64" t="s">
        <v>100</v>
      </c>
      <c r="Q64">
        <v>0</v>
      </c>
      <c r="R64" t="s">
        <v>145</v>
      </c>
      <c r="S64">
        <v>0</v>
      </c>
    </row>
    <row r="65" spans="1:19">
      <c r="A65" t="s">
        <v>213</v>
      </c>
      <c r="B65" t="s">
        <v>8812</v>
      </c>
      <c r="C65">
        <f>"500638"</f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</v>
      </c>
      <c r="K65">
        <v>12.616</v>
      </c>
      <c r="L65" s="2">
        <v>13</v>
      </c>
      <c r="M65">
        <v>0</v>
      </c>
      <c r="N65" s="2">
        <v>0</v>
      </c>
      <c r="O65">
        <v>-1.2</v>
      </c>
      <c r="P65" t="s">
        <v>100</v>
      </c>
      <c r="Q65">
        <v>0</v>
      </c>
      <c r="R65" t="s">
        <v>145</v>
      </c>
      <c r="S65">
        <v>0</v>
      </c>
    </row>
    <row r="66" spans="1:19">
      <c r="A66" t="s">
        <v>213</v>
      </c>
      <c r="B66" t="s">
        <v>8810</v>
      </c>
      <c r="C66">
        <f>"500877"</f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</v>
      </c>
      <c r="K66">
        <v>14.463</v>
      </c>
      <c r="L66" s="2">
        <v>14</v>
      </c>
      <c r="M66">
        <v>0</v>
      </c>
      <c r="N66" s="2">
        <v>0</v>
      </c>
      <c r="O66">
        <v>-1.2</v>
      </c>
      <c r="P66" t="s">
        <v>100</v>
      </c>
      <c r="Q66">
        <v>0</v>
      </c>
      <c r="R66" t="s">
        <v>145</v>
      </c>
      <c r="S66">
        <v>0</v>
      </c>
    </row>
    <row r="67" spans="1:19">
      <c r="A67" t="s">
        <v>213</v>
      </c>
      <c r="B67" t="s">
        <v>8809</v>
      </c>
      <c r="C67">
        <f>"500628"</f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</v>
      </c>
      <c r="K67">
        <v>11.506</v>
      </c>
      <c r="L67" s="2">
        <v>12</v>
      </c>
      <c r="M67">
        <v>0</v>
      </c>
      <c r="N67" s="2">
        <v>0</v>
      </c>
      <c r="O67">
        <v>-1.2</v>
      </c>
      <c r="P67" t="s">
        <v>100</v>
      </c>
      <c r="Q67">
        <v>0</v>
      </c>
      <c r="R67" t="s">
        <v>145</v>
      </c>
      <c r="S67">
        <v>0</v>
      </c>
    </row>
    <row r="68" spans="1:19">
      <c r="A68" t="s">
        <v>213</v>
      </c>
      <c r="B68" t="s">
        <v>6732</v>
      </c>
      <c r="C68">
        <f>"500883"</f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10.211</v>
      </c>
      <c r="L68" s="2">
        <v>10</v>
      </c>
      <c r="M68">
        <v>0</v>
      </c>
      <c r="N68" s="2">
        <v>0</v>
      </c>
      <c r="O68">
        <v>-1.2</v>
      </c>
      <c r="P68" t="s">
        <v>100</v>
      </c>
      <c r="Q68">
        <v>0</v>
      </c>
      <c r="R68" t="s">
        <v>145</v>
      </c>
      <c r="S68">
        <v>0</v>
      </c>
    </row>
    <row r="69" spans="1:19">
      <c r="A69" t="s">
        <v>213</v>
      </c>
      <c r="B69" t="s">
        <v>6736</v>
      </c>
      <c r="C69">
        <f>"500639"</f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</v>
      </c>
      <c r="K69">
        <v>10.105</v>
      </c>
      <c r="L69" s="2">
        <v>10</v>
      </c>
      <c r="M69">
        <v>0</v>
      </c>
      <c r="N69" s="2">
        <v>0</v>
      </c>
      <c r="O69">
        <v>-1.2</v>
      </c>
      <c r="P69" t="s">
        <v>100</v>
      </c>
      <c r="Q69">
        <v>0</v>
      </c>
      <c r="R69" t="s">
        <v>145</v>
      </c>
      <c r="S69">
        <v>0</v>
      </c>
    </row>
    <row r="70" spans="1:19">
      <c r="A70" t="s">
        <v>213</v>
      </c>
      <c r="B70" t="s">
        <v>6733</v>
      </c>
      <c r="C70">
        <f>"500615"</f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</v>
      </c>
      <c r="K70">
        <v>9.542</v>
      </c>
      <c r="L70" s="2">
        <v>10</v>
      </c>
      <c r="M70">
        <v>0</v>
      </c>
      <c r="N70" s="2">
        <v>0</v>
      </c>
      <c r="O70">
        <v>-1.2</v>
      </c>
      <c r="P70" t="s">
        <v>100</v>
      </c>
      <c r="Q70">
        <v>0</v>
      </c>
      <c r="R70" t="s">
        <v>145</v>
      </c>
      <c r="S70">
        <v>0</v>
      </c>
    </row>
    <row r="71" spans="1:19">
      <c r="A71" t="s">
        <v>213</v>
      </c>
      <c r="B71" t="s">
        <v>6735</v>
      </c>
      <c r="C71">
        <f>"500884"</f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</v>
      </c>
      <c r="K71">
        <v>10.698</v>
      </c>
      <c r="L71" s="2">
        <v>11</v>
      </c>
      <c r="M71">
        <v>0</v>
      </c>
      <c r="N71" s="2">
        <v>0</v>
      </c>
      <c r="O71">
        <v>-1.2</v>
      </c>
      <c r="P71" t="s">
        <v>100</v>
      </c>
      <c r="Q71">
        <v>0</v>
      </c>
      <c r="R71" t="s">
        <v>145</v>
      </c>
      <c r="S71">
        <v>0</v>
      </c>
    </row>
    <row r="72" spans="1:19">
      <c r="A72" t="s">
        <v>213</v>
      </c>
      <c r="B72" t="s">
        <v>6734</v>
      </c>
      <c r="C72">
        <f>"500622"</f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</v>
      </c>
      <c r="K72">
        <v>9.542</v>
      </c>
      <c r="L72" s="2">
        <v>10</v>
      </c>
      <c r="M72">
        <v>0</v>
      </c>
      <c r="N72" s="2">
        <v>0</v>
      </c>
      <c r="O72">
        <v>-1.2</v>
      </c>
      <c r="P72" t="s">
        <v>100</v>
      </c>
      <c r="Q72">
        <v>0</v>
      </c>
      <c r="R72" t="s">
        <v>145</v>
      </c>
      <c r="S72">
        <v>0</v>
      </c>
    </row>
    <row r="73" spans="1:19">
      <c r="A73" t="s">
        <v>213</v>
      </c>
      <c r="B73" t="s">
        <v>6731</v>
      </c>
      <c r="C73">
        <f>"500887"</f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</v>
      </c>
      <c r="K73">
        <v>9.151</v>
      </c>
      <c r="L73" s="2">
        <v>9</v>
      </c>
      <c r="M73">
        <v>0</v>
      </c>
      <c r="N73" s="2">
        <v>0</v>
      </c>
      <c r="O73">
        <v>-1.2</v>
      </c>
      <c r="P73" t="s">
        <v>100</v>
      </c>
      <c r="Q73">
        <v>0</v>
      </c>
      <c r="R73" t="s">
        <v>145</v>
      </c>
      <c r="S73">
        <v>0</v>
      </c>
    </row>
    <row r="74" spans="1:19">
      <c r="A74" t="s">
        <v>213</v>
      </c>
      <c r="B74" t="s">
        <v>6738</v>
      </c>
      <c r="C74">
        <f>"500881"</f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</v>
      </c>
      <c r="K74">
        <v>11.671</v>
      </c>
      <c r="L74" s="2">
        <v>12</v>
      </c>
      <c r="M74">
        <v>0</v>
      </c>
      <c r="N74" s="2">
        <v>0</v>
      </c>
      <c r="O74">
        <v>-1.2</v>
      </c>
      <c r="P74" t="s">
        <v>100</v>
      </c>
      <c r="Q74">
        <v>0</v>
      </c>
      <c r="R74" t="s">
        <v>145</v>
      </c>
      <c r="S74">
        <v>0</v>
      </c>
    </row>
    <row r="75" spans="1:19">
      <c r="A75" t="s">
        <v>213</v>
      </c>
      <c r="B75" t="s">
        <v>6737</v>
      </c>
      <c r="C75">
        <f>"500655"</f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</v>
      </c>
      <c r="K75">
        <v>10.105</v>
      </c>
      <c r="L75" s="2">
        <v>10</v>
      </c>
      <c r="M75">
        <v>0</v>
      </c>
      <c r="N75" s="2">
        <v>0</v>
      </c>
      <c r="O75">
        <v>-1.2</v>
      </c>
      <c r="P75" t="s">
        <v>100</v>
      </c>
      <c r="Q75">
        <v>0</v>
      </c>
      <c r="R75" t="s">
        <v>145</v>
      </c>
      <c r="S75">
        <v>0</v>
      </c>
    </row>
    <row r="76" spans="1:19">
      <c r="A76" t="s">
        <v>213</v>
      </c>
      <c r="B76" t="s">
        <v>6776</v>
      </c>
      <c r="C76">
        <f>"500623"</f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9.151</v>
      </c>
      <c r="L76" s="2">
        <v>9</v>
      </c>
      <c r="M76">
        <v>0</v>
      </c>
      <c r="N76" s="2">
        <v>0</v>
      </c>
      <c r="O76">
        <v>-1.2</v>
      </c>
      <c r="P76" t="s">
        <v>100</v>
      </c>
      <c r="Q76">
        <v>0</v>
      </c>
      <c r="R76" t="s">
        <v>145</v>
      </c>
      <c r="S76">
        <v>0</v>
      </c>
    </row>
    <row r="77" spans="1:19">
      <c r="A77" t="s">
        <v>213</v>
      </c>
      <c r="B77" t="s">
        <v>6196</v>
      </c>
      <c r="C77">
        <f>"500824"</f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</v>
      </c>
      <c r="K77">
        <v>2.995</v>
      </c>
      <c r="L77" s="2">
        <v>3</v>
      </c>
      <c r="M77">
        <v>0</v>
      </c>
      <c r="N77" s="2">
        <v>0</v>
      </c>
      <c r="O77">
        <v>-1.2</v>
      </c>
      <c r="P77" t="s">
        <v>100</v>
      </c>
      <c r="Q77">
        <v>0</v>
      </c>
      <c r="R77" t="s">
        <v>145</v>
      </c>
      <c r="S77">
        <v>0</v>
      </c>
    </row>
    <row r="78" spans="1:19">
      <c r="A78" t="s">
        <v>213</v>
      </c>
      <c r="B78" t="s">
        <v>1962</v>
      </c>
      <c r="C78">
        <f>"402034"</f>
        <v>0</v>
      </c>
      <c r="D78">
        <v>1</v>
      </c>
      <c r="E78">
        <v>0</v>
      </c>
      <c r="F78">
        <v>3</v>
      </c>
      <c r="G78">
        <v>0</v>
      </c>
      <c r="H78">
        <v>4</v>
      </c>
      <c r="I78">
        <v>0.5</v>
      </c>
      <c r="J78">
        <v>2</v>
      </c>
      <c r="K78">
        <v>8.98</v>
      </c>
      <c r="L78" s="2">
        <v>4</v>
      </c>
      <c r="M78">
        <v>0</v>
      </c>
      <c r="N78" s="2">
        <v>0</v>
      </c>
      <c r="O78">
        <v>-1.9</v>
      </c>
      <c r="P78" t="s">
        <v>100</v>
      </c>
      <c r="Q78">
        <v>0</v>
      </c>
      <c r="R78" t="s">
        <v>145</v>
      </c>
      <c r="S78">
        <v>0</v>
      </c>
    </row>
    <row r="79" spans="1:19">
      <c r="A79" t="s">
        <v>213</v>
      </c>
      <c r="B79" t="s">
        <v>7791</v>
      </c>
      <c r="C79">
        <f>"500966"</f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34.93</v>
      </c>
      <c r="L79" s="2">
        <v>17</v>
      </c>
      <c r="M79">
        <v>0</v>
      </c>
      <c r="N79" s="2">
        <v>0</v>
      </c>
      <c r="O79">
        <v>-2.4</v>
      </c>
      <c r="P79" t="s">
        <v>100</v>
      </c>
      <c r="Q79">
        <v>0</v>
      </c>
      <c r="R79" t="s">
        <v>145</v>
      </c>
      <c r="S79">
        <v>0</v>
      </c>
    </row>
    <row r="80" spans="1:19">
      <c r="A80" t="s">
        <v>213</v>
      </c>
      <c r="B80" t="s">
        <v>3873</v>
      </c>
      <c r="C80">
        <f>"500614"</f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23.01</v>
      </c>
      <c r="L80" s="2">
        <v>12</v>
      </c>
      <c r="M80">
        <v>0</v>
      </c>
      <c r="N80" s="2">
        <v>0</v>
      </c>
      <c r="O80">
        <v>-2.4</v>
      </c>
      <c r="P80" t="s">
        <v>100</v>
      </c>
      <c r="Q80">
        <v>0</v>
      </c>
      <c r="R80" t="s">
        <v>145</v>
      </c>
      <c r="S80">
        <v>0</v>
      </c>
    </row>
    <row r="81" spans="1:19">
      <c r="A81" t="s">
        <v>213</v>
      </c>
      <c r="B81" t="s">
        <v>5092</v>
      </c>
      <c r="C81">
        <f>"500644"</f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33.419</v>
      </c>
      <c r="L81" s="2">
        <v>17</v>
      </c>
      <c r="M81">
        <v>0</v>
      </c>
      <c r="N81" s="2">
        <v>0</v>
      </c>
      <c r="O81">
        <v>-2.4</v>
      </c>
      <c r="P81" t="s">
        <v>100</v>
      </c>
      <c r="Q81">
        <v>0</v>
      </c>
      <c r="R81" t="s">
        <v>145</v>
      </c>
      <c r="S81">
        <v>0</v>
      </c>
    </row>
    <row r="82" spans="1:19">
      <c r="A82" t="s">
        <v>213</v>
      </c>
      <c r="B82" t="s">
        <v>4252</v>
      </c>
      <c r="C82">
        <f>"400611"</f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13.82</v>
      </c>
      <c r="L82" s="2">
        <v>7</v>
      </c>
      <c r="M82">
        <v>0</v>
      </c>
      <c r="N82" s="2">
        <v>0</v>
      </c>
      <c r="O82">
        <v>-2.4</v>
      </c>
      <c r="P82" t="s">
        <v>100</v>
      </c>
      <c r="Q82">
        <v>0</v>
      </c>
      <c r="R82" t="s">
        <v>145</v>
      </c>
      <c r="S82">
        <v>0</v>
      </c>
    </row>
    <row r="83" spans="1:19">
      <c r="A83" t="s">
        <v>213</v>
      </c>
      <c r="B83" t="s">
        <v>5470</v>
      </c>
      <c r="C83">
        <f>"501085"</f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29.46</v>
      </c>
      <c r="L83" s="2">
        <v>15</v>
      </c>
      <c r="M83">
        <v>0</v>
      </c>
      <c r="N83" s="2">
        <v>0</v>
      </c>
      <c r="O83">
        <v>-2.4</v>
      </c>
      <c r="P83" t="s">
        <v>100</v>
      </c>
      <c r="Q83">
        <v>0</v>
      </c>
      <c r="R83" t="s">
        <v>145</v>
      </c>
      <c r="S83">
        <v>0</v>
      </c>
    </row>
    <row r="84" spans="1:19">
      <c r="A84" t="s">
        <v>213</v>
      </c>
      <c r="B84" t="s">
        <v>2656</v>
      </c>
      <c r="C84">
        <f>"VQM021"</f>
        <v>0</v>
      </c>
      <c r="D84">
        <v>0</v>
      </c>
      <c r="E84">
        <v>0</v>
      </c>
      <c r="F84">
        <v>1</v>
      </c>
      <c r="G84">
        <v>0</v>
      </c>
      <c r="H84">
        <v>1</v>
      </c>
      <c r="I84">
        <v>0</v>
      </c>
      <c r="J84">
        <v>2</v>
      </c>
      <c r="K84">
        <v>14.384</v>
      </c>
      <c r="L84" s="2">
        <v>7</v>
      </c>
      <c r="M84">
        <v>0</v>
      </c>
      <c r="N84" s="2">
        <v>0</v>
      </c>
      <c r="O84">
        <v>-2.4</v>
      </c>
      <c r="P84" t="s">
        <v>100</v>
      </c>
      <c r="Q84">
        <v>0</v>
      </c>
      <c r="R84" t="s">
        <v>145</v>
      </c>
      <c r="S84">
        <v>0</v>
      </c>
    </row>
    <row r="85" spans="1:19">
      <c r="A85" t="s">
        <v>213</v>
      </c>
      <c r="B85" t="s">
        <v>2203</v>
      </c>
      <c r="C85">
        <f>"401450"</f>
        <v>0</v>
      </c>
      <c r="D85">
        <v>1</v>
      </c>
      <c r="E85">
        <v>0</v>
      </c>
      <c r="F85">
        <v>1</v>
      </c>
      <c r="G85">
        <v>0</v>
      </c>
      <c r="H85">
        <v>2</v>
      </c>
      <c r="I85">
        <v>0.5</v>
      </c>
      <c r="J85">
        <v>3</v>
      </c>
      <c r="K85">
        <v>22.47</v>
      </c>
      <c r="L85" s="2">
        <v>7</v>
      </c>
      <c r="M85">
        <v>0</v>
      </c>
      <c r="N85" s="2">
        <v>0</v>
      </c>
      <c r="O85">
        <v>-3.1</v>
      </c>
      <c r="P85" t="s">
        <v>100</v>
      </c>
      <c r="Q85">
        <v>0</v>
      </c>
      <c r="R85" t="s">
        <v>145</v>
      </c>
      <c r="S85">
        <v>0</v>
      </c>
    </row>
    <row r="86" spans="1:19">
      <c r="A86" t="s">
        <v>213</v>
      </c>
      <c r="B86" t="s">
        <v>1877</v>
      </c>
      <c r="C86">
        <f>"50192828"</f>
        <v>0</v>
      </c>
      <c r="D86">
        <v>0</v>
      </c>
      <c r="E86">
        <v>2</v>
      </c>
      <c r="F86">
        <v>1</v>
      </c>
      <c r="G86">
        <v>2</v>
      </c>
      <c r="H86">
        <v>5</v>
      </c>
      <c r="I86">
        <v>1.5</v>
      </c>
      <c r="J86">
        <v>10</v>
      </c>
      <c r="K86">
        <v>71.925</v>
      </c>
      <c r="L86" s="2">
        <v>7</v>
      </c>
      <c r="M86">
        <v>0</v>
      </c>
      <c r="N86" s="2">
        <v>0</v>
      </c>
      <c r="O86">
        <v>-3.5</v>
      </c>
      <c r="P86" t="s">
        <v>11260</v>
      </c>
      <c r="Q86">
        <v>5.581</v>
      </c>
      <c r="R86" t="s">
        <v>11266</v>
      </c>
      <c r="S86">
        <v>1</v>
      </c>
    </row>
    <row r="87" spans="1:19">
      <c r="A87" t="s">
        <v>213</v>
      </c>
      <c r="B87" t="s">
        <v>2317</v>
      </c>
      <c r="C87">
        <f>"500831"</f>
        <v>0</v>
      </c>
      <c r="D87">
        <v>0</v>
      </c>
      <c r="E87">
        <v>2</v>
      </c>
      <c r="F87">
        <v>0</v>
      </c>
      <c r="G87">
        <v>0</v>
      </c>
      <c r="H87">
        <v>2</v>
      </c>
      <c r="I87">
        <v>0</v>
      </c>
      <c r="J87">
        <v>3</v>
      </c>
      <c r="K87">
        <v>29.985</v>
      </c>
      <c r="L87" s="2">
        <v>10</v>
      </c>
      <c r="M87">
        <v>0</v>
      </c>
      <c r="N87" s="2">
        <v>0</v>
      </c>
      <c r="O87">
        <v>-3.6</v>
      </c>
      <c r="P87" t="s">
        <v>100</v>
      </c>
      <c r="Q87">
        <v>0</v>
      </c>
      <c r="R87" t="s">
        <v>145</v>
      </c>
      <c r="S87">
        <v>0</v>
      </c>
    </row>
    <row r="88" spans="1:19">
      <c r="A88" t="s">
        <v>213</v>
      </c>
      <c r="B88" t="s">
        <v>7790</v>
      </c>
      <c r="C88">
        <f>"500965"</f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</v>
      </c>
      <c r="K88">
        <v>32.877</v>
      </c>
      <c r="L88" s="2">
        <v>11</v>
      </c>
      <c r="M88">
        <v>0</v>
      </c>
      <c r="N88" s="2">
        <v>0</v>
      </c>
      <c r="O88">
        <v>-3.6</v>
      </c>
      <c r="P88" t="s">
        <v>100</v>
      </c>
      <c r="Q88">
        <v>0</v>
      </c>
      <c r="R88" t="s">
        <v>145</v>
      </c>
      <c r="S88">
        <v>0</v>
      </c>
    </row>
    <row r="89" spans="1:19">
      <c r="A89" t="s">
        <v>213</v>
      </c>
      <c r="B89" t="s">
        <v>3774</v>
      </c>
      <c r="C89">
        <f>"138112"</f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</v>
      </c>
      <c r="K89">
        <v>3</v>
      </c>
      <c r="L89" s="2">
        <v>1</v>
      </c>
      <c r="M89">
        <v>0</v>
      </c>
      <c r="N89" s="2">
        <v>0</v>
      </c>
      <c r="O89">
        <v>-3.6</v>
      </c>
      <c r="P89" t="s">
        <v>100</v>
      </c>
      <c r="Q89">
        <v>0</v>
      </c>
      <c r="R89" t="s">
        <v>145</v>
      </c>
      <c r="S89">
        <v>0</v>
      </c>
    </row>
    <row r="90" spans="1:19">
      <c r="A90" t="s">
        <v>213</v>
      </c>
      <c r="B90" t="s">
        <v>6192</v>
      </c>
      <c r="C90">
        <f>"500821"</f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</v>
      </c>
      <c r="K90">
        <v>10.905</v>
      </c>
      <c r="L90" s="2">
        <v>4</v>
      </c>
      <c r="M90">
        <v>0</v>
      </c>
      <c r="N90" s="2">
        <v>0</v>
      </c>
      <c r="O90">
        <v>-3.6</v>
      </c>
      <c r="P90" t="s">
        <v>100</v>
      </c>
      <c r="Q90">
        <v>0</v>
      </c>
      <c r="R90" t="s">
        <v>145</v>
      </c>
      <c r="S90">
        <v>0</v>
      </c>
    </row>
    <row r="91" spans="1:19">
      <c r="A91" t="s">
        <v>213</v>
      </c>
      <c r="B91" t="s">
        <v>2093</v>
      </c>
      <c r="C91">
        <f>"50192626"</f>
        <v>0</v>
      </c>
      <c r="D91">
        <v>0</v>
      </c>
      <c r="E91">
        <v>3</v>
      </c>
      <c r="F91">
        <v>0</v>
      </c>
      <c r="G91">
        <v>0</v>
      </c>
      <c r="H91">
        <v>3</v>
      </c>
      <c r="I91">
        <v>0</v>
      </c>
      <c r="J91">
        <v>12</v>
      </c>
      <c r="K91">
        <v>55.283</v>
      </c>
      <c r="L91" s="2">
        <v>5</v>
      </c>
      <c r="M91">
        <v>0</v>
      </c>
      <c r="N91" s="2">
        <v>0</v>
      </c>
      <c r="O91">
        <v>-14.4</v>
      </c>
      <c r="P91" t="s">
        <v>100</v>
      </c>
      <c r="Q91">
        <v>0</v>
      </c>
      <c r="R91" t="s">
        <v>145</v>
      </c>
      <c r="S91">
        <v>0</v>
      </c>
    </row>
    <row r="92" spans="1:19">
      <c r="A92" t="s">
        <v>213</v>
      </c>
      <c r="B92" t="s">
        <v>2095</v>
      </c>
      <c r="C92">
        <f>"50192727"</f>
        <v>0</v>
      </c>
      <c r="D92">
        <v>0</v>
      </c>
      <c r="E92">
        <v>3</v>
      </c>
      <c r="F92">
        <v>0</v>
      </c>
      <c r="G92">
        <v>0</v>
      </c>
      <c r="H92">
        <v>3</v>
      </c>
      <c r="I92">
        <v>0</v>
      </c>
      <c r="J92">
        <v>20</v>
      </c>
      <c r="K92">
        <v>127.35</v>
      </c>
      <c r="L92" s="2">
        <v>6</v>
      </c>
      <c r="M92">
        <v>0</v>
      </c>
      <c r="N92" s="2">
        <v>0</v>
      </c>
      <c r="O92">
        <v>-24</v>
      </c>
      <c r="P92" t="s">
        <v>100</v>
      </c>
      <c r="Q92">
        <v>0</v>
      </c>
      <c r="R92" t="s">
        <v>145</v>
      </c>
      <c r="S92">
        <v>0</v>
      </c>
    </row>
  </sheetData>
  <autoFilter ref="A2:S92"/>
  <hyperlinks>
    <hyperlink ref="A1" location="'ÍNDICE'!A1" display="⬅ Volver al índice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S3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39</v>
      </c>
      <c r="B3" t="s">
        <v>86</v>
      </c>
      <c r="C3">
        <f>"VALIM01017"</f>
        <v>0</v>
      </c>
      <c r="D3">
        <v>2</v>
      </c>
      <c r="E3">
        <v>14</v>
      </c>
      <c r="F3">
        <v>6</v>
      </c>
      <c r="G3">
        <v>9</v>
      </c>
      <c r="H3">
        <v>31</v>
      </c>
      <c r="I3">
        <v>7.5</v>
      </c>
      <c r="J3">
        <v>0</v>
      </c>
      <c r="K3">
        <v>0</v>
      </c>
      <c r="L3" s="2">
        <v>0</v>
      </c>
      <c r="M3">
        <v>12</v>
      </c>
      <c r="N3" s="2">
        <v>0</v>
      </c>
      <c r="O3">
        <v>28.5</v>
      </c>
      <c r="P3" t="s">
        <v>132</v>
      </c>
      <c r="Q3">
        <v>21.249</v>
      </c>
      <c r="R3" t="s">
        <v>177</v>
      </c>
      <c r="S3">
        <v>1</v>
      </c>
    </row>
    <row r="4" spans="1:19">
      <c r="A4" t="s">
        <v>39</v>
      </c>
      <c r="B4" t="s">
        <v>442</v>
      </c>
      <c r="C4">
        <f>"VALIM09003"</f>
        <v>0</v>
      </c>
      <c r="D4">
        <v>0</v>
      </c>
      <c r="E4">
        <v>13</v>
      </c>
      <c r="F4">
        <v>5</v>
      </c>
      <c r="G4">
        <v>8</v>
      </c>
      <c r="H4">
        <v>26</v>
      </c>
      <c r="I4">
        <v>6.5</v>
      </c>
      <c r="J4">
        <v>0</v>
      </c>
      <c r="K4">
        <v>0</v>
      </c>
      <c r="L4" s="2">
        <v>0</v>
      </c>
      <c r="M4">
        <v>10</v>
      </c>
      <c r="N4" s="2">
        <v>0</v>
      </c>
      <c r="O4">
        <v>25.5</v>
      </c>
      <c r="P4" t="s">
        <v>100</v>
      </c>
      <c r="Q4">
        <v>0</v>
      </c>
      <c r="R4" t="s">
        <v>145</v>
      </c>
      <c r="S4">
        <v>1</v>
      </c>
    </row>
    <row r="5" spans="1:19">
      <c r="A5" t="s">
        <v>39</v>
      </c>
      <c r="B5" t="s">
        <v>432</v>
      </c>
      <c r="C5">
        <f>"VALIM01028"</f>
        <v>0</v>
      </c>
      <c r="D5">
        <v>3</v>
      </c>
      <c r="E5">
        <v>11</v>
      </c>
      <c r="F5">
        <v>0</v>
      </c>
      <c r="G5">
        <v>6</v>
      </c>
      <c r="H5">
        <v>20</v>
      </c>
      <c r="I5">
        <v>4.5</v>
      </c>
      <c r="J5">
        <v>0</v>
      </c>
      <c r="K5">
        <v>0</v>
      </c>
      <c r="L5" s="2">
        <v>0</v>
      </c>
      <c r="M5">
        <v>8</v>
      </c>
      <c r="N5" s="2">
        <v>0</v>
      </c>
      <c r="O5">
        <v>19.5</v>
      </c>
      <c r="P5" t="s">
        <v>11268</v>
      </c>
      <c r="Q5">
        <v>38.266</v>
      </c>
      <c r="R5" t="s">
        <v>11277</v>
      </c>
      <c r="S5">
        <v>1</v>
      </c>
    </row>
    <row r="6" spans="1:19">
      <c r="A6" t="s">
        <v>39</v>
      </c>
      <c r="B6" t="s">
        <v>437</v>
      </c>
      <c r="C6">
        <f>"VALIM01019"</f>
        <v>0</v>
      </c>
      <c r="D6">
        <v>1</v>
      </c>
      <c r="E6">
        <v>10</v>
      </c>
      <c r="F6">
        <v>8</v>
      </c>
      <c r="G6">
        <v>6</v>
      </c>
      <c r="H6">
        <v>25</v>
      </c>
      <c r="I6">
        <v>7</v>
      </c>
      <c r="J6">
        <v>0</v>
      </c>
      <c r="K6">
        <v>0</v>
      </c>
      <c r="L6" s="2">
        <v>0</v>
      </c>
      <c r="M6">
        <v>10</v>
      </c>
      <c r="N6" s="2">
        <v>0</v>
      </c>
      <c r="O6">
        <v>19</v>
      </c>
      <c r="P6" t="s">
        <v>11269</v>
      </c>
      <c r="Q6">
        <v>11.346</v>
      </c>
      <c r="R6" t="s">
        <v>11278</v>
      </c>
      <c r="S6">
        <v>0</v>
      </c>
    </row>
    <row r="7" spans="1:19">
      <c r="A7" t="s">
        <v>39</v>
      </c>
      <c r="B7" t="s">
        <v>644</v>
      </c>
      <c r="C7">
        <f>"VIRBA01070"</f>
        <v>0</v>
      </c>
      <c r="D7">
        <v>4</v>
      </c>
      <c r="E7">
        <v>4</v>
      </c>
      <c r="F7">
        <v>15</v>
      </c>
      <c r="G7">
        <v>7</v>
      </c>
      <c r="H7">
        <v>30</v>
      </c>
      <c r="I7">
        <v>5.5</v>
      </c>
      <c r="J7">
        <v>3</v>
      </c>
      <c r="K7">
        <v>40.5</v>
      </c>
      <c r="L7" s="2">
        <v>14</v>
      </c>
      <c r="M7">
        <v>6</v>
      </c>
      <c r="N7" s="2">
        <v>84</v>
      </c>
      <c r="O7">
        <v>15.9</v>
      </c>
      <c r="P7" t="s">
        <v>11270</v>
      </c>
      <c r="Q7">
        <v>22.561</v>
      </c>
      <c r="R7" t="s">
        <v>11279</v>
      </c>
      <c r="S7">
        <v>0</v>
      </c>
    </row>
    <row r="8" spans="1:19">
      <c r="A8" t="s">
        <v>39</v>
      </c>
      <c r="B8" t="s">
        <v>1871</v>
      </c>
      <c r="C8">
        <f>"VALIM02039"</f>
        <v>0</v>
      </c>
      <c r="D8">
        <v>0</v>
      </c>
      <c r="E8">
        <v>1</v>
      </c>
      <c r="F8">
        <v>0</v>
      </c>
      <c r="G8">
        <v>3</v>
      </c>
      <c r="H8">
        <v>4</v>
      </c>
      <c r="I8">
        <v>0.5</v>
      </c>
      <c r="J8">
        <v>1</v>
      </c>
      <c r="K8">
        <v>16.916</v>
      </c>
      <c r="L8" s="2">
        <v>17</v>
      </c>
      <c r="M8">
        <v>1</v>
      </c>
      <c r="N8" s="2">
        <v>17</v>
      </c>
      <c r="O8">
        <v>8.300000000000001</v>
      </c>
      <c r="P8" t="s">
        <v>11271</v>
      </c>
      <c r="Q8">
        <v>10.159</v>
      </c>
      <c r="R8" t="s">
        <v>11280</v>
      </c>
      <c r="S8">
        <v>1</v>
      </c>
    </row>
    <row r="9" spans="1:19">
      <c r="A9" t="s">
        <v>39</v>
      </c>
      <c r="B9" t="s">
        <v>1702</v>
      </c>
      <c r="C9">
        <f>"VALIM01021"</f>
        <v>0</v>
      </c>
      <c r="D9">
        <v>1</v>
      </c>
      <c r="E9">
        <v>5</v>
      </c>
      <c r="F9">
        <v>1</v>
      </c>
      <c r="G9">
        <v>2</v>
      </c>
      <c r="H9">
        <v>9</v>
      </c>
      <c r="I9">
        <v>1.5</v>
      </c>
      <c r="J9">
        <v>2</v>
      </c>
      <c r="K9">
        <v>32.974</v>
      </c>
      <c r="L9" s="2">
        <v>16</v>
      </c>
      <c r="M9">
        <v>0</v>
      </c>
      <c r="N9" s="2">
        <v>0</v>
      </c>
      <c r="O9">
        <v>6.1</v>
      </c>
      <c r="P9" t="s">
        <v>11272</v>
      </c>
      <c r="Q9">
        <v>5.666</v>
      </c>
      <c r="R9" t="s">
        <v>11281</v>
      </c>
      <c r="S9">
        <v>1</v>
      </c>
    </row>
    <row r="10" spans="1:19">
      <c r="A10" t="s">
        <v>39</v>
      </c>
      <c r="B10" t="s">
        <v>1739</v>
      </c>
      <c r="C10">
        <f>"VALIM01012"</f>
        <v>0</v>
      </c>
      <c r="D10">
        <v>0</v>
      </c>
      <c r="E10">
        <v>4</v>
      </c>
      <c r="F10">
        <v>4</v>
      </c>
      <c r="G10">
        <v>3</v>
      </c>
      <c r="H10">
        <v>11</v>
      </c>
      <c r="I10">
        <v>3.5</v>
      </c>
      <c r="J10">
        <v>4</v>
      </c>
      <c r="K10">
        <v>90.354</v>
      </c>
      <c r="L10" s="2">
        <v>23</v>
      </c>
      <c r="M10">
        <v>1</v>
      </c>
      <c r="N10" s="2">
        <v>23</v>
      </c>
      <c r="O10">
        <v>4.7</v>
      </c>
      <c r="P10" t="s">
        <v>11273</v>
      </c>
      <c r="Q10">
        <v>11.622</v>
      </c>
      <c r="R10" t="s">
        <v>11282</v>
      </c>
      <c r="S10">
        <v>0</v>
      </c>
    </row>
    <row r="11" spans="1:19">
      <c r="A11" t="s">
        <v>39</v>
      </c>
      <c r="B11" t="s">
        <v>255</v>
      </c>
      <c r="C11">
        <f>"VALIM02045"</f>
        <v>0</v>
      </c>
      <c r="D11">
        <v>0</v>
      </c>
      <c r="E11">
        <v>5</v>
      </c>
      <c r="F11">
        <v>0</v>
      </c>
      <c r="G11">
        <v>2</v>
      </c>
      <c r="H11">
        <v>7</v>
      </c>
      <c r="I11">
        <v>1</v>
      </c>
      <c r="J11">
        <v>3</v>
      </c>
      <c r="K11">
        <v>59.142</v>
      </c>
      <c r="L11" s="2">
        <v>20</v>
      </c>
      <c r="M11">
        <v>0</v>
      </c>
      <c r="N11" s="2">
        <v>0</v>
      </c>
      <c r="O11">
        <v>4.4</v>
      </c>
      <c r="P11" t="s">
        <v>10684</v>
      </c>
      <c r="Q11">
        <v>891</v>
      </c>
      <c r="R11" t="s">
        <v>11283</v>
      </c>
      <c r="S11">
        <v>1</v>
      </c>
    </row>
    <row r="12" spans="1:19">
      <c r="A12" t="s">
        <v>39</v>
      </c>
      <c r="B12" t="s">
        <v>1584</v>
      </c>
      <c r="C12">
        <f>"VALIM09004"</f>
        <v>0</v>
      </c>
      <c r="D12">
        <v>0</v>
      </c>
      <c r="E12">
        <v>8</v>
      </c>
      <c r="F12">
        <v>7</v>
      </c>
      <c r="G12">
        <v>0</v>
      </c>
      <c r="H12">
        <v>15</v>
      </c>
      <c r="I12">
        <v>3.5</v>
      </c>
      <c r="J12">
        <v>2</v>
      </c>
      <c r="K12">
        <v>0</v>
      </c>
      <c r="L12" s="2">
        <v>0</v>
      </c>
      <c r="M12">
        <v>2</v>
      </c>
      <c r="N12" s="2">
        <v>0</v>
      </c>
      <c r="O12">
        <v>1.1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39</v>
      </c>
      <c r="B13" t="s">
        <v>1938</v>
      </c>
      <c r="C13">
        <f>"VALIM01034"</f>
        <v>0</v>
      </c>
      <c r="D13">
        <v>1</v>
      </c>
      <c r="E13">
        <v>0</v>
      </c>
      <c r="F13">
        <v>2</v>
      </c>
      <c r="G13">
        <v>1</v>
      </c>
      <c r="H13">
        <v>4</v>
      </c>
      <c r="I13">
        <v>1</v>
      </c>
      <c r="J13">
        <v>2</v>
      </c>
      <c r="K13">
        <v>30.874</v>
      </c>
      <c r="L13" s="2">
        <v>15</v>
      </c>
      <c r="M13">
        <v>0</v>
      </c>
      <c r="N13" s="2">
        <v>0</v>
      </c>
      <c r="O13">
        <v>0.6000000000000001</v>
      </c>
      <c r="P13" t="s">
        <v>11274</v>
      </c>
      <c r="Q13">
        <v>3.882</v>
      </c>
      <c r="R13" t="s">
        <v>11284</v>
      </c>
      <c r="S13">
        <v>0</v>
      </c>
    </row>
    <row r="14" spans="1:19">
      <c r="A14" t="s">
        <v>39</v>
      </c>
      <c r="B14" t="s">
        <v>1952</v>
      </c>
      <c r="C14">
        <f>"980305"</f>
        <v>0</v>
      </c>
      <c r="D14">
        <v>0</v>
      </c>
      <c r="E14">
        <v>1</v>
      </c>
      <c r="F14">
        <v>2</v>
      </c>
      <c r="G14">
        <v>1</v>
      </c>
      <c r="H14">
        <v>4</v>
      </c>
      <c r="I14">
        <v>1</v>
      </c>
      <c r="J14">
        <v>2</v>
      </c>
      <c r="K14">
        <v>8.507</v>
      </c>
      <c r="L14" s="2">
        <v>4</v>
      </c>
      <c r="M14">
        <v>0</v>
      </c>
      <c r="N14" s="2">
        <v>0</v>
      </c>
      <c r="O14">
        <v>0.6000000000000001</v>
      </c>
      <c r="P14" t="s">
        <v>11275</v>
      </c>
      <c r="Q14">
        <v>1.453</v>
      </c>
      <c r="R14" t="s">
        <v>11285</v>
      </c>
      <c r="S14">
        <v>0</v>
      </c>
    </row>
    <row r="15" spans="1:19">
      <c r="A15" t="s">
        <v>39</v>
      </c>
      <c r="B15" t="s">
        <v>5374</v>
      </c>
      <c r="C15">
        <f>"VALIM01037"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39</v>
      </c>
      <c r="B16" t="s">
        <v>3545</v>
      </c>
      <c r="C16">
        <f>"VIRBA01073"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</v>
      </c>
      <c r="K16">
        <v>16.5</v>
      </c>
      <c r="L16" s="2">
        <v>16</v>
      </c>
      <c r="M16">
        <v>0</v>
      </c>
      <c r="N16" s="2">
        <v>0</v>
      </c>
      <c r="O16">
        <v>-1.2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39</v>
      </c>
      <c r="B17" t="s">
        <v>3546</v>
      </c>
      <c r="C17">
        <f>"VIRBA01072"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</v>
      </c>
      <c r="K17">
        <v>18</v>
      </c>
      <c r="L17" s="2">
        <v>18</v>
      </c>
      <c r="M17">
        <v>0</v>
      </c>
      <c r="N17" s="2">
        <v>0</v>
      </c>
      <c r="O17">
        <v>-1.2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39</v>
      </c>
      <c r="B18" t="s">
        <v>2057</v>
      </c>
      <c r="C18">
        <f>"VALIM01016"</f>
        <v>0</v>
      </c>
      <c r="D18">
        <v>1</v>
      </c>
      <c r="E18">
        <v>0</v>
      </c>
      <c r="F18">
        <v>2</v>
      </c>
      <c r="G18">
        <v>0</v>
      </c>
      <c r="H18">
        <v>3</v>
      </c>
      <c r="I18">
        <v>0.5</v>
      </c>
      <c r="J18">
        <v>2</v>
      </c>
      <c r="K18">
        <v>33.984</v>
      </c>
      <c r="L18" s="2">
        <v>17</v>
      </c>
      <c r="M18">
        <v>0</v>
      </c>
      <c r="N18" s="2">
        <v>0</v>
      </c>
      <c r="O18">
        <v>-1.9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39</v>
      </c>
      <c r="B19" t="s">
        <v>2075</v>
      </c>
      <c r="C19">
        <f>"VALIM02055"</f>
        <v>0</v>
      </c>
      <c r="D19">
        <v>0</v>
      </c>
      <c r="E19">
        <v>1</v>
      </c>
      <c r="F19">
        <v>2</v>
      </c>
      <c r="G19">
        <v>0</v>
      </c>
      <c r="H19">
        <v>3</v>
      </c>
      <c r="I19">
        <v>0.5</v>
      </c>
      <c r="J19">
        <v>2</v>
      </c>
      <c r="K19">
        <v>117.178</v>
      </c>
      <c r="L19" s="2">
        <v>59</v>
      </c>
      <c r="M19">
        <v>0</v>
      </c>
      <c r="N19" s="2">
        <v>0</v>
      </c>
      <c r="O19">
        <v>-1.9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39</v>
      </c>
      <c r="B20" t="s">
        <v>2422</v>
      </c>
      <c r="C20">
        <f>"VALIM01035"</f>
        <v>0</v>
      </c>
      <c r="D20">
        <v>0</v>
      </c>
      <c r="E20">
        <v>1</v>
      </c>
      <c r="F20">
        <v>0</v>
      </c>
      <c r="G20">
        <v>0</v>
      </c>
      <c r="H20">
        <v>1</v>
      </c>
      <c r="I20">
        <v>0</v>
      </c>
      <c r="J20">
        <v>2</v>
      </c>
      <c r="K20">
        <v>49.31</v>
      </c>
      <c r="L20" s="2">
        <v>25</v>
      </c>
      <c r="M20">
        <v>0</v>
      </c>
      <c r="N20" s="2">
        <v>0</v>
      </c>
      <c r="O20">
        <v>-2.4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39</v>
      </c>
      <c r="B21" t="s">
        <v>2423</v>
      </c>
      <c r="C21">
        <f>"VALIM02056"</f>
        <v>0</v>
      </c>
      <c r="D21">
        <v>0</v>
      </c>
      <c r="E21">
        <v>1</v>
      </c>
      <c r="F21">
        <v>0</v>
      </c>
      <c r="G21">
        <v>0</v>
      </c>
      <c r="H21">
        <v>1</v>
      </c>
      <c r="I21">
        <v>0</v>
      </c>
      <c r="J21">
        <v>3</v>
      </c>
      <c r="K21">
        <v>82.134</v>
      </c>
      <c r="L21" s="2">
        <v>27</v>
      </c>
      <c r="M21">
        <v>0</v>
      </c>
      <c r="N21" s="2">
        <v>0</v>
      </c>
      <c r="O21">
        <v>-3.6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39</v>
      </c>
      <c r="B22" t="s">
        <v>9858</v>
      </c>
      <c r="C22">
        <f>"VALIM02002"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</v>
      </c>
      <c r="K22">
        <v>41.472</v>
      </c>
      <c r="L22" s="2">
        <v>14</v>
      </c>
      <c r="M22">
        <v>0</v>
      </c>
      <c r="N22" s="2">
        <v>0</v>
      </c>
      <c r="O22">
        <v>-3.6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39</v>
      </c>
      <c r="B23" t="s">
        <v>5770</v>
      </c>
      <c r="C23">
        <f>"VALIM01001"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</v>
      </c>
      <c r="K23">
        <v>35.043</v>
      </c>
      <c r="L23" s="2">
        <v>12</v>
      </c>
      <c r="M23">
        <v>0</v>
      </c>
      <c r="N23" s="2">
        <v>0</v>
      </c>
      <c r="O23">
        <v>-3.6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39</v>
      </c>
      <c r="B24" t="s">
        <v>1660</v>
      </c>
      <c r="C24">
        <f>"VALIM02038"</f>
        <v>0</v>
      </c>
      <c r="D24">
        <v>3</v>
      </c>
      <c r="E24">
        <v>13</v>
      </c>
      <c r="F24">
        <v>8</v>
      </c>
      <c r="G24">
        <v>0</v>
      </c>
      <c r="H24">
        <v>24</v>
      </c>
      <c r="I24">
        <v>5.5</v>
      </c>
      <c r="J24">
        <v>8</v>
      </c>
      <c r="K24">
        <v>405.784</v>
      </c>
      <c r="L24" s="2">
        <v>51</v>
      </c>
      <c r="M24">
        <v>0</v>
      </c>
      <c r="N24" s="2">
        <v>0</v>
      </c>
      <c r="O24">
        <v>-4.1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39</v>
      </c>
      <c r="B25" t="s">
        <v>1884</v>
      </c>
      <c r="C25">
        <f>"VALIM01029"</f>
        <v>0</v>
      </c>
      <c r="D25">
        <v>0</v>
      </c>
      <c r="E25">
        <v>5</v>
      </c>
      <c r="F25">
        <v>1</v>
      </c>
      <c r="G25">
        <v>0</v>
      </c>
      <c r="H25">
        <v>6</v>
      </c>
      <c r="I25">
        <v>0.5</v>
      </c>
      <c r="J25">
        <v>4</v>
      </c>
      <c r="K25">
        <v>60.526</v>
      </c>
      <c r="L25" s="2">
        <v>15</v>
      </c>
      <c r="M25">
        <v>0</v>
      </c>
      <c r="N25" s="2">
        <v>0</v>
      </c>
      <c r="O25">
        <v>-4.3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39</v>
      </c>
      <c r="B26" t="s">
        <v>1958</v>
      </c>
      <c r="C26">
        <f>"VALIM01006"</f>
        <v>0</v>
      </c>
      <c r="D26">
        <v>0</v>
      </c>
      <c r="E26">
        <v>0</v>
      </c>
      <c r="F26">
        <v>2</v>
      </c>
      <c r="G26">
        <v>1</v>
      </c>
      <c r="H26">
        <v>3</v>
      </c>
      <c r="I26">
        <v>0.5</v>
      </c>
      <c r="J26">
        <v>6</v>
      </c>
      <c r="K26">
        <v>136.434</v>
      </c>
      <c r="L26" s="2">
        <v>23</v>
      </c>
      <c r="M26">
        <v>0</v>
      </c>
      <c r="N26" s="2">
        <v>0</v>
      </c>
      <c r="O26">
        <v>-4.699999999999999</v>
      </c>
      <c r="P26" t="s">
        <v>10881</v>
      </c>
      <c r="Q26">
        <v>4.143</v>
      </c>
      <c r="R26" t="s">
        <v>11286</v>
      </c>
      <c r="S26">
        <v>0</v>
      </c>
    </row>
    <row r="27" spans="1:19">
      <c r="A27" t="s">
        <v>39</v>
      </c>
      <c r="B27" t="s">
        <v>1788</v>
      </c>
      <c r="C27">
        <f>"5005051"</f>
        <v>0</v>
      </c>
      <c r="D27">
        <v>5</v>
      </c>
      <c r="E27">
        <v>5</v>
      </c>
      <c r="F27">
        <v>0</v>
      </c>
      <c r="G27">
        <v>0</v>
      </c>
      <c r="H27">
        <v>10</v>
      </c>
      <c r="I27">
        <v>2.5</v>
      </c>
      <c r="J27">
        <v>6</v>
      </c>
      <c r="K27">
        <v>29.7</v>
      </c>
      <c r="L27" s="2">
        <v>5</v>
      </c>
      <c r="M27">
        <v>0</v>
      </c>
      <c r="N27" s="2">
        <v>0</v>
      </c>
      <c r="O27">
        <v>-4.699999999999999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39</v>
      </c>
      <c r="B28" t="s">
        <v>1800</v>
      </c>
      <c r="C28">
        <f>"VALIM01009"</f>
        <v>0</v>
      </c>
      <c r="D28">
        <v>8</v>
      </c>
      <c r="E28">
        <v>1</v>
      </c>
      <c r="F28">
        <v>1</v>
      </c>
      <c r="G28">
        <v>0</v>
      </c>
      <c r="H28">
        <v>10</v>
      </c>
      <c r="I28">
        <v>1</v>
      </c>
      <c r="J28">
        <v>5</v>
      </c>
      <c r="K28">
        <v>113.195</v>
      </c>
      <c r="L28" s="2">
        <v>23</v>
      </c>
      <c r="M28">
        <v>0</v>
      </c>
      <c r="N28" s="2">
        <v>0</v>
      </c>
      <c r="O28">
        <v>-5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39</v>
      </c>
      <c r="B29" t="s">
        <v>1743</v>
      </c>
      <c r="C29">
        <f>"VALIM02037"</f>
        <v>0</v>
      </c>
      <c r="D29">
        <v>9</v>
      </c>
      <c r="E29">
        <v>1</v>
      </c>
      <c r="F29">
        <v>2</v>
      </c>
      <c r="G29">
        <v>1</v>
      </c>
      <c r="H29">
        <v>13</v>
      </c>
      <c r="I29">
        <v>1.5</v>
      </c>
      <c r="J29">
        <v>8</v>
      </c>
      <c r="K29">
        <v>152.072</v>
      </c>
      <c r="L29" s="2">
        <v>19</v>
      </c>
      <c r="M29">
        <v>0</v>
      </c>
      <c r="N29" s="2">
        <v>0</v>
      </c>
      <c r="O29">
        <v>-6.1</v>
      </c>
      <c r="P29" t="s">
        <v>11276</v>
      </c>
      <c r="Q29">
        <v>1.991</v>
      </c>
      <c r="R29" t="s">
        <v>11287</v>
      </c>
      <c r="S29">
        <v>0</v>
      </c>
    </row>
    <row r="30" spans="1:19">
      <c r="A30" t="s">
        <v>39</v>
      </c>
      <c r="B30" t="s">
        <v>6944</v>
      </c>
      <c r="C30">
        <f>"VALIM02049"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6</v>
      </c>
      <c r="K30">
        <v>116.472</v>
      </c>
      <c r="L30" s="2">
        <v>19</v>
      </c>
      <c r="M30">
        <v>0</v>
      </c>
      <c r="N30" s="2">
        <v>0</v>
      </c>
      <c r="O30">
        <v>-7.199999999999999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39</v>
      </c>
      <c r="B31" t="s">
        <v>1742</v>
      </c>
      <c r="C31">
        <f>"VALIM01030"</f>
        <v>0</v>
      </c>
      <c r="D31">
        <v>3</v>
      </c>
      <c r="E31">
        <v>2</v>
      </c>
      <c r="F31">
        <v>5</v>
      </c>
      <c r="G31">
        <v>2</v>
      </c>
      <c r="H31">
        <v>12</v>
      </c>
      <c r="I31">
        <v>2.5</v>
      </c>
      <c r="J31">
        <v>24</v>
      </c>
      <c r="K31">
        <v>498.487</v>
      </c>
      <c r="L31" s="2">
        <v>21</v>
      </c>
      <c r="M31">
        <v>0</v>
      </c>
      <c r="N31" s="2">
        <v>0</v>
      </c>
      <c r="O31">
        <v>-22.3</v>
      </c>
      <c r="P31" t="s">
        <v>10696</v>
      </c>
      <c r="Q31">
        <v>6.135</v>
      </c>
      <c r="R31" t="s">
        <v>11288</v>
      </c>
      <c r="S31">
        <v>0</v>
      </c>
    </row>
    <row r="32" spans="1:19">
      <c r="A32" t="s">
        <v>39</v>
      </c>
      <c r="B32" t="s">
        <v>2045</v>
      </c>
      <c r="C32">
        <f>"VALIM01018"</f>
        <v>0</v>
      </c>
      <c r="D32">
        <v>0</v>
      </c>
      <c r="E32">
        <v>0</v>
      </c>
      <c r="F32">
        <v>2</v>
      </c>
      <c r="G32">
        <v>1</v>
      </c>
      <c r="H32">
        <v>3</v>
      </c>
      <c r="I32">
        <v>0.5</v>
      </c>
      <c r="J32">
        <v>22</v>
      </c>
      <c r="K32">
        <v>337.247</v>
      </c>
      <c r="L32" s="2">
        <v>15</v>
      </c>
      <c r="M32">
        <v>0</v>
      </c>
      <c r="N32" s="2">
        <v>0</v>
      </c>
      <c r="O32">
        <v>-23.9</v>
      </c>
      <c r="P32" t="s">
        <v>10689</v>
      </c>
      <c r="Q32">
        <v>1.424</v>
      </c>
      <c r="R32" t="s">
        <v>11289</v>
      </c>
      <c r="S32">
        <v>0</v>
      </c>
    </row>
    <row r="33" spans="1:19">
      <c r="A33" t="s">
        <v>39</v>
      </c>
      <c r="B33" t="s">
        <v>1725</v>
      </c>
      <c r="C33">
        <f>"VIRBA01067"</f>
        <v>0</v>
      </c>
      <c r="D33">
        <v>5</v>
      </c>
      <c r="E33">
        <v>8</v>
      </c>
      <c r="F33">
        <v>3</v>
      </c>
      <c r="G33">
        <v>0</v>
      </c>
      <c r="H33">
        <v>16</v>
      </c>
      <c r="I33">
        <v>4</v>
      </c>
      <c r="J33">
        <v>30</v>
      </c>
      <c r="K33">
        <v>150</v>
      </c>
      <c r="L33" s="2">
        <v>5</v>
      </c>
      <c r="M33">
        <v>0</v>
      </c>
      <c r="N33" s="2">
        <v>0</v>
      </c>
      <c r="O33">
        <v>-32</v>
      </c>
      <c r="P33" t="s">
        <v>100</v>
      </c>
      <c r="Q33">
        <v>0</v>
      </c>
      <c r="R33" t="s">
        <v>145</v>
      </c>
      <c r="S33">
        <v>0</v>
      </c>
    </row>
  </sheetData>
  <autoFilter ref="A2:S33"/>
  <hyperlinks>
    <hyperlink ref="A1" location="'ÍNDICE'!A1" display="⬅ Volver al índice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9.7109375" customWidth="1"/>
    <col min="2" max="2" width="42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221</v>
      </c>
      <c r="B3" t="s">
        <v>1950</v>
      </c>
      <c r="C3">
        <f>"70013"</f>
        <v>0</v>
      </c>
      <c r="D3">
        <v>1</v>
      </c>
      <c r="E3">
        <v>2</v>
      </c>
      <c r="F3">
        <v>0</v>
      </c>
      <c r="G3">
        <v>1</v>
      </c>
      <c r="H3">
        <v>4</v>
      </c>
      <c r="I3">
        <v>1</v>
      </c>
      <c r="J3">
        <v>4</v>
      </c>
      <c r="K3">
        <v>56.7</v>
      </c>
      <c r="L3" s="2">
        <v>14</v>
      </c>
      <c r="M3">
        <v>0</v>
      </c>
      <c r="N3" s="2">
        <v>0</v>
      </c>
      <c r="O3">
        <v>1.2</v>
      </c>
      <c r="P3" t="s">
        <v>10346</v>
      </c>
      <c r="Q3">
        <v>1.783</v>
      </c>
      <c r="R3" t="s">
        <v>11291</v>
      </c>
      <c r="S3">
        <v>1</v>
      </c>
    </row>
    <row r="4" spans="1:19">
      <c r="A4" t="s">
        <v>221</v>
      </c>
      <c r="B4" t="s">
        <v>8369</v>
      </c>
      <c r="C4">
        <f>"11937"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221</v>
      </c>
      <c r="B5" t="s">
        <v>6095</v>
      </c>
      <c r="C5">
        <f>"40301"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</v>
      </c>
      <c r="K5">
        <v>53.815</v>
      </c>
      <c r="L5" s="2">
        <v>54</v>
      </c>
      <c r="M5">
        <v>0</v>
      </c>
      <c r="N5" s="2">
        <v>0</v>
      </c>
      <c r="O5">
        <v>-1.2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221</v>
      </c>
      <c r="B6" t="s">
        <v>6079</v>
      </c>
      <c r="C6">
        <f>"40601"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</v>
      </c>
      <c r="K6">
        <v>45.034</v>
      </c>
      <c r="L6" s="2">
        <v>45</v>
      </c>
      <c r="M6">
        <v>0</v>
      </c>
      <c r="N6" s="2">
        <v>0</v>
      </c>
      <c r="O6">
        <v>-1.2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221</v>
      </c>
      <c r="B7" t="s">
        <v>1913</v>
      </c>
      <c r="C7">
        <f>"50600"</f>
        <v>0</v>
      </c>
      <c r="D7">
        <v>1</v>
      </c>
      <c r="E7">
        <v>1</v>
      </c>
      <c r="F7">
        <v>3</v>
      </c>
      <c r="G7">
        <v>0</v>
      </c>
      <c r="H7">
        <v>5</v>
      </c>
      <c r="I7">
        <v>1</v>
      </c>
      <c r="J7">
        <v>2</v>
      </c>
      <c r="K7">
        <v>30.022</v>
      </c>
      <c r="L7" s="2">
        <v>15</v>
      </c>
      <c r="M7">
        <v>0</v>
      </c>
      <c r="N7" s="2">
        <v>0</v>
      </c>
      <c r="O7">
        <v>-1.4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221</v>
      </c>
      <c r="B8" t="s">
        <v>1763</v>
      </c>
      <c r="C8">
        <f>"13779"</f>
        <v>0</v>
      </c>
      <c r="D8">
        <v>7</v>
      </c>
      <c r="E8">
        <v>5</v>
      </c>
      <c r="F8">
        <v>0</v>
      </c>
      <c r="G8">
        <v>0</v>
      </c>
      <c r="H8">
        <v>12</v>
      </c>
      <c r="I8">
        <v>2.5</v>
      </c>
      <c r="J8">
        <v>4</v>
      </c>
      <c r="K8">
        <v>112.839</v>
      </c>
      <c r="L8" s="2">
        <v>28</v>
      </c>
      <c r="M8">
        <v>0</v>
      </c>
      <c r="N8" s="2">
        <v>0</v>
      </c>
      <c r="O8">
        <v>-2.3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221</v>
      </c>
      <c r="B9" t="s">
        <v>2288</v>
      </c>
      <c r="C9">
        <f>"40300"</f>
        <v>0</v>
      </c>
      <c r="D9">
        <v>2</v>
      </c>
      <c r="E9">
        <v>0</v>
      </c>
      <c r="F9">
        <v>0</v>
      </c>
      <c r="G9">
        <v>0</v>
      </c>
      <c r="H9">
        <v>2</v>
      </c>
      <c r="I9">
        <v>0</v>
      </c>
      <c r="J9">
        <v>2</v>
      </c>
      <c r="K9">
        <v>26.057</v>
      </c>
      <c r="L9" s="2">
        <v>13</v>
      </c>
      <c r="M9">
        <v>0</v>
      </c>
      <c r="N9" s="2">
        <v>0</v>
      </c>
      <c r="O9">
        <v>-2.4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221</v>
      </c>
      <c r="B10" t="s">
        <v>1840</v>
      </c>
      <c r="C10">
        <f>"21307"</f>
        <v>0</v>
      </c>
      <c r="D10">
        <v>0</v>
      </c>
      <c r="E10">
        <v>8</v>
      </c>
      <c r="F10">
        <v>0</v>
      </c>
      <c r="G10">
        <v>0</v>
      </c>
      <c r="H10">
        <v>8</v>
      </c>
      <c r="I10">
        <v>0</v>
      </c>
      <c r="J10">
        <v>4</v>
      </c>
      <c r="K10">
        <v>127.583</v>
      </c>
      <c r="L10" s="2">
        <v>32</v>
      </c>
      <c r="M10">
        <v>0</v>
      </c>
      <c r="N10" s="2">
        <v>0</v>
      </c>
      <c r="O10">
        <v>-4.8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221</v>
      </c>
      <c r="B11" t="s">
        <v>2506</v>
      </c>
      <c r="C11">
        <f>"13777"</f>
        <v>0</v>
      </c>
      <c r="D11">
        <v>0</v>
      </c>
      <c r="E11">
        <v>1</v>
      </c>
      <c r="F11">
        <v>0</v>
      </c>
      <c r="G11">
        <v>0</v>
      </c>
      <c r="H11">
        <v>1</v>
      </c>
      <c r="I11">
        <v>0</v>
      </c>
      <c r="J11">
        <v>4</v>
      </c>
      <c r="K11">
        <v>103.532</v>
      </c>
      <c r="L11" s="2">
        <v>26</v>
      </c>
      <c r="M11">
        <v>0</v>
      </c>
      <c r="N11" s="2">
        <v>0</v>
      </c>
      <c r="O11">
        <v>-4.8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221</v>
      </c>
      <c r="B12" t="s">
        <v>1997</v>
      </c>
      <c r="C12">
        <f>"132134"</f>
        <v>0</v>
      </c>
      <c r="D12">
        <v>0</v>
      </c>
      <c r="E12">
        <v>4</v>
      </c>
      <c r="F12">
        <v>0</v>
      </c>
      <c r="G12">
        <v>0</v>
      </c>
      <c r="H12">
        <v>4</v>
      </c>
      <c r="I12">
        <v>0</v>
      </c>
      <c r="J12">
        <v>12</v>
      </c>
      <c r="K12">
        <v>26.682</v>
      </c>
      <c r="L12" s="2">
        <v>2</v>
      </c>
      <c r="M12">
        <v>0</v>
      </c>
      <c r="N12" s="2">
        <v>0</v>
      </c>
      <c r="O12">
        <v>-14.4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221</v>
      </c>
      <c r="B13" t="s">
        <v>1679</v>
      </c>
      <c r="C13">
        <f>"132190"</f>
        <v>0</v>
      </c>
      <c r="D13">
        <v>9</v>
      </c>
      <c r="E13">
        <v>5</v>
      </c>
      <c r="F13">
        <v>6</v>
      </c>
      <c r="G13">
        <v>0</v>
      </c>
      <c r="H13">
        <v>20</v>
      </c>
      <c r="I13">
        <v>5.5</v>
      </c>
      <c r="J13">
        <v>19</v>
      </c>
      <c r="K13">
        <v>30.811</v>
      </c>
      <c r="L13" s="2">
        <v>2</v>
      </c>
      <c r="M13">
        <v>0</v>
      </c>
      <c r="N13" s="2">
        <v>0</v>
      </c>
      <c r="O13">
        <v>-17.3</v>
      </c>
      <c r="P13" t="s">
        <v>100</v>
      </c>
      <c r="Q13">
        <v>0</v>
      </c>
      <c r="R13" t="s">
        <v>145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S61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33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210</v>
      </c>
      <c r="B3" t="s">
        <v>735</v>
      </c>
      <c r="C3">
        <f>"1011500MAS3K"</f>
        <v>0</v>
      </c>
      <c r="D3">
        <v>3</v>
      </c>
      <c r="E3">
        <v>2</v>
      </c>
      <c r="F3">
        <v>0</v>
      </c>
      <c r="G3">
        <v>0</v>
      </c>
      <c r="H3">
        <v>5</v>
      </c>
      <c r="I3">
        <v>1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1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210</v>
      </c>
      <c r="B4" t="s">
        <v>1042</v>
      </c>
      <c r="C4">
        <f>"7016617"</f>
        <v>0</v>
      </c>
      <c r="D4">
        <v>0</v>
      </c>
      <c r="E4">
        <v>1</v>
      </c>
      <c r="F4">
        <v>1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210</v>
      </c>
      <c r="B5" t="s">
        <v>6256</v>
      </c>
      <c r="C5">
        <f>"347016"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210</v>
      </c>
      <c r="B6" t="s">
        <v>5647</v>
      </c>
      <c r="C6">
        <f>"110302051000"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210</v>
      </c>
      <c r="B7" t="s">
        <v>5924</v>
      </c>
      <c r="C7">
        <f>"110302010150"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210</v>
      </c>
      <c r="B8" t="s">
        <v>5923</v>
      </c>
      <c r="C8">
        <f>"110302011000"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210</v>
      </c>
      <c r="B9" t="s">
        <v>5922</v>
      </c>
      <c r="C9">
        <f>"110302040150"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210</v>
      </c>
      <c r="B10" t="s">
        <v>5921</v>
      </c>
      <c r="C10">
        <f>"110302041000"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210</v>
      </c>
      <c r="B11" t="s">
        <v>5920</v>
      </c>
      <c r="C11">
        <f>"110302030150"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210</v>
      </c>
      <c r="B12" t="s">
        <v>5649</v>
      </c>
      <c r="C12">
        <f>"346996"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210</v>
      </c>
      <c r="B13" t="s">
        <v>5648</v>
      </c>
      <c r="C13">
        <f>"110302050150"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210</v>
      </c>
      <c r="B14" t="s">
        <v>5917</v>
      </c>
      <c r="C14">
        <f>"501102141"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 s="2">
        <v>0</v>
      </c>
      <c r="M14">
        <v>0</v>
      </c>
      <c r="N14" s="2">
        <v>0</v>
      </c>
      <c r="O14">
        <v>0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210</v>
      </c>
      <c r="B15" t="s">
        <v>5916</v>
      </c>
      <c r="C15">
        <f>"501102142"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 s="2">
        <v>0</v>
      </c>
      <c r="M15">
        <v>0</v>
      </c>
      <c r="N15" s="2">
        <v>0</v>
      </c>
      <c r="O15">
        <v>0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210</v>
      </c>
      <c r="B16" t="s">
        <v>5915</v>
      </c>
      <c r="C16">
        <f>"110501102111"</f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 s="2">
        <v>0</v>
      </c>
      <c r="M16">
        <v>0</v>
      </c>
      <c r="N16" s="2">
        <v>0</v>
      </c>
      <c r="O16">
        <v>0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210</v>
      </c>
      <c r="B17" t="s">
        <v>5640</v>
      </c>
      <c r="C17">
        <f>"7798075342417"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 s="2">
        <v>0</v>
      </c>
      <c r="M17">
        <v>0</v>
      </c>
      <c r="N17" s="2">
        <v>0</v>
      </c>
      <c r="O17">
        <v>0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210</v>
      </c>
      <c r="B18" t="s">
        <v>5639</v>
      </c>
      <c r="C18">
        <f>"110501201121"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 s="2">
        <v>0</v>
      </c>
      <c r="M18">
        <v>0</v>
      </c>
      <c r="N18" s="2">
        <v>0</v>
      </c>
      <c r="O18">
        <v>0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210</v>
      </c>
      <c r="B19" t="s">
        <v>1349</v>
      </c>
      <c r="C19">
        <f>"110301011501"</f>
        <v>0</v>
      </c>
      <c r="D19">
        <v>1</v>
      </c>
      <c r="E19">
        <v>0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 s="2">
        <v>0</v>
      </c>
      <c r="M19">
        <v>0</v>
      </c>
      <c r="N19" s="2">
        <v>0</v>
      </c>
      <c r="O19">
        <v>0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210</v>
      </c>
      <c r="B20" t="s">
        <v>5524</v>
      </c>
      <c r="C20">
        <f>"7798075341304"</f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 s="2">
        <v>0</v>
      </c>
      <c r="M20">
        <v>0</v>
      </c>
      <c r="N20" s="2">
        <v>0</v>
      </c>
      <c r="O20">
        <v>0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210</v>
      </c>
      <c r="B21" t="s">
        <v>5523</v>
      </c>
      <c r="C21">
        <f>"110301011500"</f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 s="2">
        <v>0</v>
      </c>
      <c r="M21">
        <v>0</v>
      </c>
      <c r="N21" s="2">
        <v>0</v>
      </c>
      <c r="O21">
        <v>0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210</v>
      </c>
      <c r="B22" t="s">
        <v>5522</v>
      </c>
      <c r="C22">
        <f>"7798075343025"</f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 s="2">
        <v>0</v>
      </c>
      <c r="M22">
        <v>0</v>
      </c>
      <c r="N22" s="2">
        <v>0</v>
      </c>
      <c r="O22">
        <v>0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210</v>
      </c>
      <c r="B23" t="s">
        <v>5732</v>
      </c>
      <c r="C23">
        <f>"7798075343094"</f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 s="2">
        <v>0</v>
      </c>
      <c r="M23">
        <v>0</v>
      </c>
      <c r="N23" s="2">
        <v>0</v>
      </c>
      <c r="O23">
        <v>0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210</v>
      </c>
      <c r="B24" t="s">
        <v>5731</v>
      </c>
      <c r="C24">
        <f>"AGPCAB15KG"</f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 s="2">
        <v>0</v>
      </c>
      <c r="M24">
        <v>0</v>
      </c>
      <c r="N24" s="2">
        <v>0</v>
      </c>
      <c r="O24">
        <v>0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210</v>
      </c>
      <c r="B25" t="s">
        <v>5730</v>
      </c>
      <c r="C25">
        <f>"110301021530"</f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 s="2">
        <v>0</v>
      </c>
      <c r="M25">
        <v>0</v>
      </c>
      <c r="N25" s="2">
        <v>0</v>
      </c>
      <c r="O25">
        <v>0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210</v>
      </c>
      <c r="B26" t="s">
        <v>4380</v>
      </c>
      <c r="C26">
        <f>"0781159795275"</f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 s="2">
        <v>0</v>
      </c>
      <c r="M26">
        <v>0</v>
      </c>
      <c r="N26" s="2">
        <v>0</v>
      </c>
      <c r="O26">
        <v>0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210</v>
      </c>
      <c r="B27" t="s">
        <v>4379</v>
      </c>
      <c r="C27">
        <f>"976927"</f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210</v>
      </c>
      <c r="B28" t="s">
        <v>5919</v>
      </c>
      <c r="C28">
        <f>"110302031000"</f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210</v>
      </c>
      <c r="B29" t="s">
        <v>5918</v>
      </c>
      <c r="C29">
        <f>"5343230"</f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210</v>
      </c>
      <c r="B30" t="s">
        <v>4152</v>
      </c>
      <c r="C30">
        <f>"140802102000"</f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210</v>
      </c>
      <c r="B31" t="s">
        <v>2869</v>
      </c>
      <c r="C31">
        <f>"1408021041"</f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210</v>
      </c>
      <c r="B32" t="s">
        <v>4259</v>
      </c>
      <c r="C32">
        <f>"6253899"</f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210</v>
      </c>
      <c r="B33" t="s">
        <v>4151</v>
      </c>
      <c r="C33">
        <f>"140802102002"</f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210</v>
      </c>
      <c r="B34" t="s">
        <v>4257</v>
      </c>
      <c r="C34">
        <f>"6268169B"</f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210</v>
      </c>
      <c r="B35" t="s">
        <v>4256</v>
      </c>
      <c r="C35">
        <f>"6268169C"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210</v>
      </c>
      <c r="B36" t="s">
        <v>4255</v>
      </c>
      <c r="C36">
        <f>"6268169L"</f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210</v>
      </c>
      <c r="B37" t="s">
        <v>4276</v>
      </c>
      <c r="C37">
        <f>"6253875"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210</v>
      </c>
      <c r="B38" t="s">
        <v>4254</v>
      </c>
      <c r="C38">
        <f>"6268169R"</f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210</v>
      </c>
      <c r="B39" t="s">
        <v>4253</v>
      </c>
      <c r="C39">
        <f>"6268169S"</f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210</v>
      </c>
      <c r="B40" t="s">
        <v>7034</v>
      </c>
      <c r="C40">
        <f>"1011500"</f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210</v>
      </c>
      <c r="B41" t="s">
        <v>1414</v>
      </c>
      <c r="C41">
        <f>"110201021500"</f>
        <v>0</v>
      </c>
      <c r="D41">
        <v>1</v>
      </c>
      <c r="E41">
        <v>0</v>
      </c>
      <c r="F41">
        <v>0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210</v>
      </c>
      <c r="B42" t="s">
        <v>4413</v>
      </c>
      <c r="C42">
        <f>"7014682"</f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 s="2">
        <v>0</v>
      </c>
      <c r="M42">
        <v>0</v>
      </c>
      <c r="N42" s="2">
        <v>0</v>
      </c>
      <c r="O42">
        <v>0</v>
      </c>
      <c r="P42" t="s">
        <v>100</v>
      </c>
      <c r="Q42">
        <v>0</v>
      </c>
      <c r="R42" t="s">
        <v>145</v>
      </c>
      <c r="S42">
        <v>0</v>
      </c>
    </row>
    <row r="43" spans="1:19">
      <c r="A43" t="s">
        <v>210</v>
      </c>
      <c r="B43" t="s">
        <v>4412</v>
      </c>
      <c r="C43">
        <f>"7016044"</f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 s="2">
        <v>0</v>
      </c>
      <c r="M43">
        <v>0</v>
      </c>
      <c r="N43" s="2">
        <v>0</v>
      </c>
      <c r="O43">
        <v>0</v>
      </c>
      <c r="P43" t="s">
        <v>100</v>
      </c>
      <c r="Q43">
        <v>0</v>
      </c>
      <c r="R43" t="s">
        <v>145</v>
      </c>
      <c r="S43">
        <v>0</v>
      </c>
    </row>
    <row r="44" spans="1:19">
      <c r="A44" t="s">
        <v>210</v>
      </c>
      <c r="B44" t="s">
        <v>4411</v>
      </c>
      <c r="C44">
        <f>"7016167"</f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 s="2">
        <v>0</v>
      </c>
      <c r="M44">
        <v>0</v>
      </c>
      <c r="N44" s="2">
        <v>0</v>
      </c>
      <c r="O44">
        <v>0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210</v>
      </c>
      <c r="B45" t="s">
        <v>4258</v>
      </c>
      <c r="C45">
        <f>"6253882"</f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2">
        <v>0</v>
      </c>
      <c r="M45">
        <v>0</v>
      </c>
      <c r="N45" s="2">
        <v>0</v>
      </c>
      <c r="O45">
        <v>0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210</v>
      </c>
      <c r="B46" t="s">
        <v>4410</v>
      </c>
      <c r="C46">
        <f>"7016174"</f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 s="2">
        <v>0</v>
      </c>
      <c r="M46">
        <v>0</v>
      </c>
      <c r="N46" s="2">
        <v>0</v>
      </c>
      <c r="O46">
        <v>0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210</v>
      </c>
      <c r="B47" t="s">
        <v>4409</v>
      </c>
      <c r="C47">
        <f>"7016259"</f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 s="2">
        <v>0</v>
      </c>
      <c r="M47">
        <v>0</v>
      </c>
      <c r="N47" s="2">
        <v>0</v>
      </c>
      <c r="O47">
        <v>0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210</v>
      </c>
      <c r="B48" t="s">
        <v>4387</v>
      </c>
      <c r="C48">
        <f>"7016198"</f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 s="2">
        <v>0</v>
      </c>
      <c r="M48">
        <v>0</v>
      </c>
      <c r="N48" s="2">
        <v>0</v>
      </c>
      <c r="O48">
        <v>0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210</v>
      </c>
      <c r="B49" t="s">
        <v>4388</v>
      </c>
      <c r="C49">
        <f>"7016266"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 s="2">
        <v>0</v>
      </c>
      <c r="M49">
        <v>0</v>
      </c>
      <c r="N49" s="2">
        <v>0</v>
      </c>
      <c r="O49">
        <v>0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210</v>
      </c>
      <c r="B50" t="s">
        <v>4386</v>
      </c>
      <c r="C50">
        <f>"7016204"</f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 s="2">
        <v>0</v>
      </c>
      <c r="M50">
        <v>0</v>
      </c>
      <c r="N50" s="2">
        <v>0</v>
      </c>
      <c r="O50">
        <v>0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210</v>
      </c>
      <c r="B51" t="s">
        <v>4373</v>
      </c>
      <c r="C51">
        <f>"7016273"</f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 s="2">
        <v>0</v>
      </c>
      <c r="M51">
        <v>0</v>
      </c>
      <c r="N51" s="2">
        <v>0</v>
      </c>
      <c r="O51">
        <v>0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210</v>
      </c>
      <c r="B52" t="s">
        <v>4372</v>
      </c>
      <c r="C52">
        <f>"7016280"</f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 s="2">
        <v>0</v>
      </c>
      <c r="M52">
        <v>0</v>
      </c>
      <c r="N52" s="2">
        <v>0</v>
      </c>
      <c r="O52">
        <v>0</v>
      </c>
      <c r="P52" t="s">
        <v>100</v>
      </c>
      <c r="Q52">
        <v>0</v>
      </c>
      <c r="R52" t="s">
        <v>145</v>
      </c>
      <c r="S52">
        <v>0</v>
      </c>
    </row>
    <row r="53" spans="1:19">
      <c r="A53" t="s">
        <v>210</v>
      </c>
      <c r="B53" t="s">
        <v>4371</v>
      </c>
      <c r="C53">
        <f>"7016624"</f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 s="2">
        <v>0</v>
      </c>
      <c r="M53">
        <v>0</v>
      </c>
      <c r="N53" s="2">
        <v>0</v>
      </c>
      <c r="O53">
        <v>0</v>
      </c>
      <c r="P53" t="s">
        <v>100</v>
      </c>
      <c r="Q53">
        <v>0</v>
      </c>
      <c r="R53" t="s">
        <v>145</v>
      </c>
      <c r="S53">
        <v>0</v>
      </c>
    </row>
    <row r="54" spans="1:19">
      <c r="A54" t="s">
        <v>210</v>
      </c>
      <c r="B54" t="s">
        <v>4370</v>
      </c>
      <c r="C54">
        <f>"7016426"</f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 s="2">
        <v>0</v>
      </c>
      <c r="M54">
        <v>0</v>
      </c>
      <c r="N54" s="2">
        <v>0</v>
      </c>
      <c r="O54">
        <v>0</v>
      </c>
      <c r="P54" t="s">
        <v>100</v>
      </c>
      <c r="Q54">
        <v>0</v>
      </c>
      <c r="R54" t="s">
        <v>145</v>
      </c>
      <c r="S54">
        <v>0</v>
      </c>
    </row>
    <row r="55" spans="1:19">
      <c r="A55" t="s">
        <v>210</v>
      </c>
      <c r="B55" t="s">
        <v>4369</v>
      </c>
      <c r="C55">
        <f>"7016419"</f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 s="2">
        <v>0</v>
      </c>
      <c r="M55">
        <v>0</v>
      </c>
      <c r="N55" s="2">
        <v>0</v>
      </c>
      <c r="O55">
        <v>0</v>
      </c>
      <c r="P55" t="s">
        <v>100</v>
      </c>
      <c r="Q55">
        <v>0</v>
      </c>
      <c r="R55" t="s">
        <v>145</v>
      </c>
      <c r="S55">
        <v>0</v>
      </c>
    </row>
    <row r="56" spans="1:19">
      <c r="A56" t="s">
        <v>210</v>
      </c>
      <c r="B56" t="s">
        <v>4368</v>
      </c>
      <c r="C56">
        <f>"7016921"</f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 s="2">
        <v>0</v>
      </c>
      <c r="M56">
        <v>0</v>
      </c>
      <c r="N56" s="2">
        <v>0</v>
      </c>
      <c r="O56">
        <v>0</v>
      </c>
      <c r="P56" t="s">
        <v>100</v>
      </c>
      <c r="Q56">
        <v>0</v>
      </c>
      <c r="R56" t="s">
        <v>145</v>
      </c>
      <c r="S56">
        <v>0</v>
      </c>
    </row>
    <row r="57" spans="1:19">
      <c r="A57" t="s">
        <v>210</v>
      </c>
      <c r="B57" t="s">
        <v>4404</v>
      </c>
      <c r="C57">
        <f>"7016952"</f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 s="2">
        <v>0</v>
      </c>
      <c r="M57">
        <v>0</v>
      </c>
      <c r="N57" s="2">
        <v>0</v>
      </c>
      <c r="O57">
        <v>0</v>
      </c>
      <c r="P57" t="s">
        <v>100</v>
      </c>
      <c r="Q57">
        <v>0</v>
      </c>
      <c r="R57" t="s">
        <v>145</v>
      </c>
      <c r="S57">
        <v>0</v>
      </c>
    </row>
    <row r="58" spans="1:19">
      <c r="A58" t="s">
        <v>210</v>
      </c>
      <c r="B58" t="s">
        <v>1302</v>
      </c>
      <c r="C58">
        <f>"7016945"</f>
        <v>0</v>
      </c>
      <c r="D58">
        <v>0</v>
      </c>
      <c r="E58">
        <v>0</v>
      </c>
      <c r="F58">
        <v>1</v>
      </c>
      <c r="G58">
        <v>0</v>
      </c>
      <c r="H58">
        <v>1</v>
      </c>
      <c r="I58">
        <v>0</v>
      </c>
      <c r="J58">
        <v>0</v>
      </c>
      <c r="K58">
        <v>0</v>
      </c>
      <c r="L58" s="2">
        <v>0</v>
      </c>
      <c r="M58">
        <v>0</v>
      </c>
      <c r="N58" s="2">
        <v>0</v>
      </c>
      <c r="O58">
        <v>0</v>
      </c>
      <c r="P58" t="s">
        <v>100</v>
      </c>
      <c r="Q58">
        <v>0</v>
      </c>
      <c r="R58" t="s">
        <v>145</v>
      </c>
      <c r="S58">
        <v>0</v>
      </c>
    </row>
    <row r="59" spans="1:19">
      <c r="A59" t="s">
        <v>210</v>
      </c>
      <c r="B59" t="s">
        <v>4403</v>
      </c>
      <c r="C59">
        <f>"7016938"</f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 s="2">
        <v>0</v>
      </c>
      <c r="M59">
        <v>0</v>
      </c>
      <c r="N59" s="2">
        <v>0</v>
      </c>
      <c r="O59">
        <v>0</v>
      </c>
      <c r="P59" t="s">
        <v>100</v>
      </c>
      <c r="Q59">
        <v>0</v>
      </c>
      <c r="R59" t="s">
        <v>145</v>
      </c>
      <c r="S59">
        <v>0</v>
      </c>
    </row>
    <row r="60" spans="1:19">
      <c r="A60" t="s">
        <v>210</v>
      </c>
      <c r="B60" t="s">
        <v>5890</v>
      </c>
      <c r="C60">
        <f>"110401011500"</f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 s="2">
        <v>0</v>
      </c>
      <c r="M60">
        <v>0</v>
      </c>
      <c r="N60" s="2">
        <v>0</v>
      </c>
      <c r="O60">
        <v>0</v>
      </c>
      <c r="P60" t="s">
        <v>100</v>
      </c>
      <c r="Q60">
        <v>0</v>
      </c>
      <c r="R60" t="s">
        <v>145</v>
      </c>
      <c r="S60">
        <v>0</v>
      </c>
    </row>
    <row r="61" spans="1:19">
      <c r="A61" t="s">
        <v>210</v>
      </c>
      <c r="B61" t="s">
        <v>5889</v>
      </c>
      <c r="C61">
        <f>"11040102500"</f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42.224</v>
      </c>
      <c r="L61" s="2">
        <v>21</v>
      </c>
      <c r="M61">
        <v>0</v>
      </c>
      <c r="N61" s="2">
        <v>0</v>
      </c>
      <c r="O61">
        <v>-2.4</v>
      </c>
      <c r="P61" t="s">
        <v>100</v>
      </c>
      <c r="Q61">
        <v>0</v>
      </c>
      <c r="R61" t="s">
        <v>145</v>
      </c>
      <c r="S61">
        <v>0</v>
      </c>
    </row>
  </sheetData>
  <autoFilter ref="A2:S61"/>
  <hyperlinks>
    <hyperlink ref="A1" location="'ÍNDICE'!A1" display="⬅ Volver al índice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S1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9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208</v>
      </c>
      <c r="B3" t="s">
        <v>1524</v>
      </c>
      <c r="C3">
        <f>"VITAHEM01"</f>
        <v>0</v>
      </c>
      <c r="D3">
        <v>4</v>
      </c>
      <c r="E3">
        <v>5</v>
      </c>
      <c r="F3">
        <v>17</v>
      </c>
      <c r="G3">
        <v>8</v>
      </c>
      <c r="H3">
        <v>34</v>
      </c>
      <c r="I3">
        <v>6.5</v>
      </c>
      <c r="J3">
        <v>5</v>
      </c>
      <c r="K3">
        <v>44.307</v>
      </c>
      <c r="L3" s="2">
        <v>9</v>
      </c>
      <c r="M3">
        <v>6</v>
      </c>
      <c r="N3" s="2">
        <v>54</v>
      </c>
      <c r="O3">
        <v>16.5</v>
      </c>
      <c r="P3" t="s">
        <v>11293</v>
      </c>
      <c r="Q3">
        <v>20.996</v>
      </c>
      <c r="R3" t="s">
        <v>11300</v>
      </c>
      <c r="S3">
        <v>0</v>
      </c>
    </row>
    <row r="4" spans="1:19">
      <c r="A4" t="s">
        <v>208</v>
      </c>
      <c r="B4" t="s">
        <v>1141</v>
      </c>
      <c r="C4">
        <f>"1021642"</f>
        <v>0</v>
      </c>
      <c r="D4">
        <v>6</v>
      </c>
      <c r="E4">
        <v>25</v>
      </c>
      <c r="F4">
        <v>16</v>
      </c>
      <c r="G4">
        <v>13</v>
      </c>
      <c r="H4">
        <v>60</v>
      </c>
      <c r="I4">
        <v>14.5</v>
      </c>
      <c r="J4">
        <v>24</v>
      </c>
      <c r="K4">
        <v>480.48</v>
      </c>
      <c r="L4" s="2">
        <v>20</v>
      </c>
      <c r="M4">
        <v>0</v>
      </c>
      <c r="N4" s="2">
        <v>0</v>
      </c>
      <c r="O4">
        <v>11.7</v>
      </c>
      <c r="P4" t="s">
        <v>11294</v>
      </c>
      <c r="Q4">
        <v>45.513</v>
      </c>
      <c r="R4" t="s">
        <v>11301</v>
      </c>
      <c r="S4">
        <v>0</v>
      </c>
    </row>
    <row r="5" spans="1:19">
      <c r="A5" t="s">
        <v>208</v>
      </c>
      <c r="B5" t="s">
        <v>639</v>
      </c>
      <c r="C5">
        <f>"VITAARTI01"</f>
        <v>0</v>
      </c>
      <c r="D5">
        <v>33</v>
      </c>
      <c r="E5">
        <v>29</v>
      </c>
      <c r="F5">
        <v>10</v>
      </c>
      <c r="G5">
        <v>3</v>
      </c>
      <c r="H5">
        <v>75</v>
      </c>
      <c r="I5">
        <v>19.5</v>
      </c>
      <c r="J5">
        <v>19</v>
      </c>
      <c r="K5">
        <v>200.281</v>
      </c>
      <c r="L5" s="2">
        <v>11</v>
      </c>
      <c r="M5">
        <v>2</v>
      </c>
      <c r="N5" s="2">
        <v>22</v>
      </c>
      <c r="O5">
        <v>2.699999999999999</v>
      </c>
      <c r="P5" t="s">
        <v>10593</v>
      </c>
      <c r="Q5">
        <v>11.208</v>
      </c>
      <c r="R5" t="s">
        <v>11302</v>
      </c>
      <c r="S5">
        <v>0</v>
      </c>
    </row>
    <row r="6" spans="1:19">
      <c r="A6" t="s">
        <v>208</v>
      </c>
      <c r="B6" t="s">
        <v>1547</v>
      </c>
      <c r="C6">
        <f>"5007632"</f>
        <v>0</v>
      </c>
      <c r="D6">
        <v>13</v>
      </c>
      <c r="E6">
        <v>17</v>
      </c>
      <c r="F6">
        <v>18</v>
      </c>
      <c r="G6">
        <v>8</v>
      </c>
      <c r="H6">
        <v>56</v>
      </c>
      <c r="I6">
        <v>15</v>
      </c>
      <c r="J6">
        <v>30</v>
      </c>
      <c r="K6">
        <v>385.193</v>
      </c>
      <c r="L6" s="2">
        <v>13</v>
      </c>
      <c r="M6">
        <v>0</v>
      </c>
      <c r="N6" s="2">
        <v>0</v>
      </c>
      <c r="O6">
        <v>-5</v>
      </c>
      <c r="P6" t="s">
        <v>11295</v>
      </c>
      <c r="Q6">
        <v>18.224</v>
      </c>
      <c r="R6" t="s">
        <v>11303</v>
      </c>
      <c r="S6">
        <v>0</v>
      </c>
    </row>
    <row r="7" spans="1:19">
      <c r="A7" t="s">
        <v>208</v>
      </c>
      <c r="B7" t="s">
        <v>1536</v>
      </c>
      <c r="C7">
        <f>"5000363"</f>
        <v>0</v>
      </c>
      <c r="D7">
        <v>18</v>
      </c>
      <c r="E7">
        <v>4</v>
      </c>
      <c r="F7">
        <v>38</v>
      </c>
      <c r="G7">
        <v>4</v>
      </c>
      <c r="H7">
        <v>64</v>
      </c>
      <c r="I7">
        <v>11</v>
      </c>
      <c r="J7">
        <v>24</v>
      </c>
      <c r="K7">
        <v>238.245</v>
      </c>
      <c r="L7" s="2">
        <v>10</v>
      </c>
      <c r="M7">
        <v>0</v>
      </c>
      <c r="N7" s="2">
        <v>0</v>
      </c>
      <c r="O7">
        <v>-9.799999999999997</v>
      </c>
      <c r="P7" t="s">
        <v>11296</v>
      </c>
      <c r="Q7">
        <v>3.957</v>
      </c>
      <c r="R7" t="s">
        <v>11200</v>
      </c>
      <c r="S7">
        <v>0</v>
      </c>
    </row>
    <row r="8" spans="1:19">
      <c r="A8" t="s">
        <v>208</v>
      </c>
      <c r="B8" t="s">
        <v>1726</v>
      </c>
      <c r="C8">
        <f>"5005102"</f>
        <v>0</v>
      </c>
      <c r="D8">
        <v>9</v>
      </c>
      <c r="E8">
        <v>1</v>
      </c>
      <c r="F8">
        <v>6</v>
      </c>
      <c r="G8">
        <v>0</v>
      </c>
      <c r="H8">
        <v>16</v>
      </c>
      <c r="I8">
        <v>3.5</v>
      </c>
      <c r="J8">
        <v>21</v>
      </c>
      <c r="K8">
        <v>69.98999999999999</v>
      </c>
      <c r="L8" s="2">
        <v>3</v>
      </c>
      <c r="M8">
        <v>0</v>
      </c>
      <c r="N8" s="2">
        <v>0</v>
      </c>
      <c r="O8">
        <v>-21.7</v>
      </c>
      <c r="P8" t="s">
        <v>11297</v>
      </c>
      <c r="Q8">
        <v>-1.28</v>
      </c>
      <c r="R8" t="s">
        <v>11111</v>
      </c>
      <c r="S8">
        <v>0</v>
      </c>
    </row>
    <row r="9" spans="1:19">
      <c r="A9" t="s">
        <v>208</v>
      </c>
      <c r="B9" t="s">
        <v>1738</v>
      </c>
      <c r="C9">
        <f>"500723"</f>
        <v>0</v>
      </c>
      <c r="D9">
        <v>2</v>
      </c>
      <c r="E9">
        <v>1</v>
      </c>
      <c r="F9">
        <v>11</v>
      </c>
      <c r="G9">
        <v>0</v>
      </c>
      <c r="H9">
        <v>14</v>
      </c>
      <c r="I9">
        <v>1.5</v>
      </c>
      <c r="J9">
        <v>32</v>
      </c>
      <c r="K9">
        <v>126.308</v>
      </c>
      <c r="L9" s="2">
        <v>4</v>
      </c>
      <c r="M9">
        <v>0</v>
      </c>
      <c r="N9" s="2">
        <v>0</v>
      </c>
      <c r="O9">
        <v>-36.9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208</v>
      </c>
      <c r="B10" t="s">
        <v>1607</v>
      </c>
      <c r="C10">
        <f>"5000373"</f>
        <v>0</v>
      </c>
      <c r="D10">
        <v>20</v>
      </c>
      <c r="E10">
        <v>16</v>
      </c>
      <c r="F10">
        <v>0</v>
      </c>
      <c r="G10">
        <v>1</v>
      </c>
      <c r="H10">
        <v>37</v>
      </c>
      <c r="I10">
        <v>8.5</v>
      </c>
      <c r="J10">
        <v>48</v>
      </c>
      <c r="K10">
        <v>191.1</v>
      </c>
      <c r="L10" s="2">
        <v>4</v>
      </c>
      <c r="M10">
        <v>0</v>
      </c>
      <c r="N10" s="2">
        <v>0</v>
      </c>
      <c r="O10">
        <v>-44.09999999999999</v>
      </c>
      <c r="P10" t="s">
        <v>11298</v>
      </c>
      <c r="Q10">
        <v>1.473</v>
      </c>
      <c r="R10" t="s">
        <v>11304</v>
      </c>
      <c r="S10">
        <v>1</v>
      </c>
    </row>
    <row r="11" spans="1:19">
      <c r="A11" t="s">
        <v>208</v>
      </c>
      <c r="B11" t="s">
        <v>1769</v>
      </c>
      <c r="C11">
        <f>"5007631"</f>
        <v>0</v>
      </c>
      <c r="D11">
        <v>2</v>
      </c>
      <c r="E11">
        <v>4</v>
      </c>
      <c r="F11">
        <v>3</v>
      </c>
      <c r="G11">
        <v>2</v>
      </c>
      <c r="H11">
        <v>11</v>
      </c>
      <c r="I11">
        <v>2.5</v>
      </c>
      <c r="J11">
        <v>43</v>
      </c>
      <c r="K11">
        <v>252.313</v>
      </c>
      <c r="L11" s="2">
        <v>6</v>
      </c>
      <c r="M11">
        <v>0</v>
      </c>
      <c r="N11" s="2">
        <v>0</v>
      </c>
      <c r="O11">
        <v>-45.1</v>
      </c>
      <c r="P11" t="s">
        <v>11299</v>
      </c>
      <c r="Q11">
        <v>2.533</v>
      </c>
      <c r="R11" t="s">
        <v>11305</v>
      </c>
      <c r="S11">
        <v>0</v>
      </c>
    </row>
    <row r="12" spans="1:19">
      <c r="A12" t="s">
        <v>208</v>
      </c>
      <c r="B12" t="s">
        <v>1777</v>
      </c>
      <c r="C12">
        <f>"5002716"</f>
        <v>0</v>
      </c>
      <c r="D12">
        <v>9</v>
      </c>
      <c r="E12">
        <v>0</v>
      </c>
      <c r="F12">
        <v>2</v>
      </c>
      <c r="G12">
        <v>0</v>
      </c>
      <c r="H12">
        <v>11</v>
      </c>
      <c r="I12">
        <v>1</v>
      </c>
      <c r="J12">
        <v>40</v>
      </c>
      <c r="K12">
        <v>405.58</v>
      </c>
      <c r="L12" s="2">
        <v>10</v>
      </c>
      <c r="M12">
        <v>0</v>
      </c>
      <c r="N12" s="2">
        <v>0</v>
      </c>
      <c r="O12">
        <v>-47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208</v>
      </c>
      <c r="B13" t="s">
        <v>2022</v>
      </c>
      <c r="C13">
        <f>"50072323"</f>
        <v>0</v>
      </c>
      <c r="D13">
        <v>0</v>
      </c>
      <c r="E13">
        <v>2</v>
      </c>
      <c r="F13">
        <v>2</v>
      </c>
      <c r="G13">
        <v>0</v>
      </c>
      <c r="H13">
        <v>4</v>
      </c>
      <c r="I13">
        <v>1</v>
      </c>
      <c r="J13">
        <v>46</v>
      </c>
      <c r="K13">
        <v>472.052</v>
      </c>
      <c r="L13" s="2">
        <v>10</v>
      </c>
      <c r="M13">
        <v>0</v>
      </c>
      <c r="N13" s="2">
        <v>0</v>
      </c>
      <c r="O13">
        <v>-54.2</v>
      </c>
      <c r="P13" t="s">
        <v>100</v>
      </c>
      <c r="Q13">
        <v>0</v>
      </c>
      <c r="R13" t="s">
        <v>145</v>
      </c>
      <c r="S13">
        <v>0</v>
      </c>
    </row>
  </sheetData>
  <autoFilter ref="A2:S13"/>
  <hyperlinks>
    <hyperlink ref="A1" location="'ÍNDICE'!A1" display="⬅ Volver al índice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S10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2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230</v>
      </c>
      <c r="B3" t="s">
        <v>5080</v>
      </c>
      <c r="C3">
        <f>"FA31"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  <row r="4" spans="1:19">
      <c r="A4" t="s">
        <v>230</v>
      </c>
      <c r="B4" t="s">
        <v>5079</v>
      </c>
      <c r="C4">
        <f>"MA04S"</f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230</v>
      </c>
      <c r="B5" t="s">
        <v>5078</v>
      </c>
      <c r="C5">
        <f>"CA04S01"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230</v>
      </c>
      <c r="B6" t="s">
        <v>5077</v>
      </c>
      <c r="C6">
        <f>"DA02S01"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230</v>
      </c>
      <c r="B7" t="s">
        <v>5076</v>
      </c>
      <c r="C7">
        <f>"DA02S"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230</v>
      </c>
      <c r="B8" t="s">
        <v>5075</v>
      </c>
      <c r="C8">
        <f>"LA03S"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230</v>
      </c>
      <c r="B9" t="s">
        <v>5074</v>
      </c>
      <c r="C9">
        <f>"DB16"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230</v>
      </c>
      <c r="B10" t="s">
        <v>5073</v>
      </c>
      <c r="C10">
        <f>"VA01H"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</sheetData>
  <autoFilter ref="A2:S10"/>
  <hyperlinks>
    <hyperlink ref="A1" location="'ÍNDICE'!A1" display="⬅ Volver al índice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S19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5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200</v>
      </c>
      <c r="B3" t="s">
        <v>362</v>
      </c>
      <c r="C3">
        <f>"ER024"</f>
        <v>0</v>
      </c>
      <c r="D3">
        <v>7</v>
      </c>
      <c r="E3">
        <v>0</v>
      </c>
      <c r="F3">
        <v>0</v>
      </c>
      <c r="G3">
        <v>1</v>
      </c>
      <c r="H3">
        <v>8</v>
      </c>
      <c r="I3">
        <v>0.5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5.5</v>
      </c>
      <c r="P3" t="s">
        <v>11308</v>
      </c>
      <c r="Q3">
        <v>224</v>
      </c>
      <c r="R3" t="s">
        <v>10379</v>
      </c>
      <c r="S3">
        <v>1</v>
      </c>
    </row>
    <row r="4" spans="1:19">
      <c r="A4" t="s">
        <v>200</v>
      </c>
      <c r="B4" t="s">
        <v>1108</v>
      </c>
      <c r="C4">
        <f>"PS04004"</f>
        <v>0</v>
      </c>
      <c r="D4">
        <v>0</v>
      </c>
      <c r="E4">
        <v>1</v>
      </c>
      <c r="F4">
        <v>1</v>
      </c>
      <c r="G4">
        <v>0</v>
      </c>
      <c r="H4">
        <v>2</v>
      </c>
      <c r="I4">
        <v>0.5</v>
      </c>
      <c r="J4">
        <v>0</v>
      </c>
      <c r="K4">
        <v>0</v>
      </c>
      <c r="L4" s="2">
        <v>0</v>
      </c>
      <c r="M4">
        <v>0</v>
      </c>
      <c r="N4" s="2">
        <v>0</v>
      </c>
      <c r="O4">
        <v>0.5</v>
      </c>
      <c r="P4" t="s">
        <v>100</v>
      </c>
      <c r="Q4">
        <v>0</v>
      </c>
      <c r="R4" t="s">
        <v>145</v>
      </c>
      <c r="S4">
        <v>0</v>
      </c>
    </row>
    <row r="5" spans="1:19">
      <c r="A5" t="s">
        <v>200</v>
      </c>
      <c r="B5" t="s">
        <v>9096</v>
      </c>
      <c r="C5">
        <f>"ZRD2014014"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">
        <v>0</v>
      </c>
      <c r="M5">
        <v>0</v>
      </c>
      <c r="N5" s="2">
        <v>0</v>
      </c>
      <c r="O5">
        <v>0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200</v>
      </c>
      <c r="B6" t="s">
        <v>3118</v>
      </c>
      <c r="C6">
        <f>"ER034"</f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">
        <v>0</v>
      </c>
      <c r="M6">
        <v>0</v>
      </c>
      <c r="N6" s="2">
        <v>0</v>
      </c>
      <c r="O6">
        <v>0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200</v>
      </c>
      <c r="B7" t="s">
        <v>3119</v>
      </c>
      <c r="C7">
        <f>"ER032"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 s="2">
        <v>0</v>
      </c>
      <c r="M7">
        <v>0</v>
      </c>
      <c r="N7" s="2">
        <v>0</v>
      </c>
      <c r="O7">
        <v>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200</v>
      </c>
      <c r="B8" t="s">
        <v>8334</v>
      </c>
      <c r="C8">
        <f>"ER021"</f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 s="2">
        <v>0</v>
      </c>
      <c r="M8">
        <v>0</v>
      </c>
      <c r="N8" s="2">
        <v>0</v>
      </c>
      <c r="O8">
        <v>0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200</v>
      </c>
      <c r="B9" t="s">
        <v>8317</v>
      </c>
      <c r="C9">
        <f>"ER003"</f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 s="2">
        <v>0</v>
      </c>
      <c r="M9">
        <v>0</v>
      </c>
      <c r="N9" s="2">
        <v>0</v>
      </c>
      <c r="O9">
        <v>0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200</v>
      </c>
      <c r="B10" t="s">
        <v>3703</v>
      </c>
      <c r="C10">
        <f>"W0010"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 s="2">
        <v>0</v>
      </c>
      <c r="M10">
        <v>0</v>
      </c>
      <c r="N10" s="2">
        <v>0</v>
      </c>
      <c r="O10">
        <v>0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200</v>
      </c>
      <c r="B11" t="s">
        <v>8406</v>
      </c>
      <c r="C11">
        <f>"PS06062"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 s="2">
        <v>0</v>
      </c>
      <c r="M11">
        <v>0</v>
      </c>
      <c r="N11" s="2">
        <v>0</v>
      </c>
      <c r="O11">
        <v>0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200</v>
      </c>
      <c r="B12" t="s">
        <v>8401</v>
      </c>
      <c r="C12">
        <f>"PS04003"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 s="2">
        <v>0</v>
      </c>
      <c r="M12">
        <v>0</v>
      </c>
      <c r="N12" s="2">
        <v>0</v>
      </c>
      <c r="O12">
        <v>0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200</v>
      </c>
      <c r="B13" t="s">
        <v>8466</v>
      </c>
      <c r="C13">
        <f>"PS05038"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 s="2">
        <v>0</v>
      </c>
      <c r="M13">
        <v>0</v>
      </c>
      <c r="N13" s="2">
        <v>0</v>
      </c>
      <c r="O13">
        <v>0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200</v>
      </c>
      <c r="B14" t="s">
        <v>2252</v>
      </c>
      <c r="C14">
        <f>"W0005"</f>
        <v>0</v>
      </c>
      <c r="D14">
        <v>0</v>
      </c>
      <c r="E14">
        <v>2</v>
      </c>
      <c r="F14">
        <v>0</v>
      </c>
      <c r="G14">
        <v>0</v>
      </c>
      <c r="H14">
        <v>2</v>
      </c>
      <c r="I14">
        <v>0</v>
      </c>
      <c r="J14">
        <v>1</v>
      </c>
      <c r="K14">
        <v>1.944</v>
      </c>
      <c r="L14" s="2">
        <v>2</v>
      </c>
      <c r="M14">
        <v>0</v>
      </c>
      <c r="N14" s="2">
        <v>0</v>
      </c>
      <c r="O14">
        <v>-1.2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200</v>
      </c>
      <c r="B15" t="s">
        <v>3120</v>
      </c>
      <c r="C15">
        <f>"ER152"</f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</v>
      </c>
      <c r="K15">
        <v>3.06</v>
      </c>
      <c r="L15" s="2">
        <v>3</v>
      </c>
      <c r="M15">
        <v>0</v>
      </c>
      <c r="N15" s="2">
        <v>0</v>
      </c>
      <c r="O15">
        <v>-1.2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200</v>
      </c>
      <c r="B16" t="s">
        <v>2620</v>
      </c>
      <c r="C16">
        <f>"W0006"</f>
        <v>0</v>
      </c>
      <c r="D16">
        <v>0</v>
      </c>
      <c r="E16">
        <v>1</v>
      </c>
      <c r="F16">
        <v>0</v>
      </c>
      <c r="G16">
        <v>0</v>
      </c>
      <c r="H16">
        <v>1</v>
      </c>
      <c r="I16">
        <v>0</v>
      </c>
      <c r="J16">
        <v>1</v>
      </c>
      <c r="K16">
        <v>3.375</v>
      </c>
      <c r="L16" s="2">
        <v>3</v>
      </c>
      <c r="M16">
        <v>0</v>
      </c>
      <c r="N16" s="2">
        <v>0</v>
      </c>
      <c r="O16">
        <v>-1.2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200</v>
      </c>
      <c r="B17" t="s">
        <v>3121</v>
      </c>
      <c r="C17">
        <f>"ER153"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7.182</v>
      </c>
      <c r="L17" s="2">
        <v>4</v>
      </c>
      <c r="M17">
        <v>0</v>
      </c>
      <c r="N17" s="2">
        <v>0</v>
      </c>
      <c r="O17">
        <v>-2.4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200</v>
      </c>
      <c r="B18" t="s">
        <v>2524</v>
      </c>
      <c r="C18">
        <f>"W0008"</f>
        <v>0</v>
      </c>
      <c r="D18">
        <v>0</v>
      </c>
      <c r="E18">
        <v>1</v>
      </c>
      <c r="F18">
        <v>0</v>
      </c>
      <c r="G18">
        <v>0</v>
      </c>
      <c r="H18">
        <v>1</v>
      </c>
      <c r="I18">
        <v>0</v>
      </c>
      <c r="J18">
        <v>2</v>
      </c>
      <c r="K18">
        <v>5.76</v>
      </c>
      <c r="L18" s="2">
        <v>3</v>
      </c>
      <c r="M18">
        <v>0</v>
      </c>
      <c r="N18" s="2">
        <v>0</v>
      </c>
      <c r="O18">
        <v>-2.4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200</v>
      </c>
      <c r="B19" t="s">
        <v>8634</v>
      </c>
      <c r="C19">
        <f>"W0007"</f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</v>
      </c>
      <c r="K19">
        <v>15.93</v>
      </c>
      <c r="L19" s="2">
        <v>5</v>
      </c>
      <c r="M19">
        <v>0</v>
      </c>
      <c r="N19" s="2">
        <v>0</v>
      </c>
      <c r="O19">
        <v>-3.6</v>
      </c>
      <c r="P19" t="s">
        <v>100</v>
      </c>
      <c r="Q19">
        <v>0</v>
      </c>
      <c r="R19" t="s">
        <v>145</v>
      </c>
      <c r="S19">
        <v>0</v>
      </c>
    </row>
  </sheetData>
  <autoFilter ref="A2:S19"/>
  <hyperlinks>
    <hyperlink ref="A1" location="'ÍNDICE'!A1" display="⬅ Volver al í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S52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42.7109375" customWidth="1"/>
    <col min="3" max="3" width="18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40</v>
      </c>
      <c r="B3" t="s">
        <v>88</v>
      </c>
      <c r="C3">
        <f>"V101144"</f>
        <v>0</v>
      </c>
      <c r="D3">
        <v>19</v>
      </c>
      <c r="E3">
        <v>18</v>
      </c>
      <c r="F3">
        <v>0</v>
      </c>
      <c r="G3">
        <v>6</v>
      </c>
      <c r="H3">
        <v>43</v>
      </c>
      <c r="I3">
        <v>12</v>
      </c>
      <c r="J3">
        <v>0</v>
      </c>
      <c r="K3">
        <v>0</v>
      </c>
      <c r="L3" s="2">
        <v>0</v>
      </c>
      <c r="M3">
        <v>15</v>
      </c>
      <c r="N3" s="2">
        <v>0</v>
      </c>
      <c r="O3">
        <v>27</v>
      </c>
      <c r="P3" t="s">
        <v>134</v>
      </c>
      <c r="Q3">
        <v>659</v>
      </c>
      <c r="R3" t="s">
        <v>179</v>
      </c>
      <c r="S3">
        <v>1</v>
      </c>
    </row>
    <row r="4" spans="1:19">
      <c r="A4" t="s">
        <v>40</v>
      </c>
      <c r="B4" t="s">
        <v>275</v>
      </c>
      <c r="C4">
        <f>"V100864"</f>
        <v>0</v>
      </c>
      <c r="D4">
        <v>19</v>
      </c>
      <c r="E4">
        <v>13</v>
      </c>
      <c r="F4">
        <v>3</v>
      </c>
      <c r="G4">
        <v>4</v>
      </c>
      <c r="H4">
        <v>39</v>
      </c>
      <c r="I4">
        <v>8.5</v>
      </c>
      <c r="J4">
        <v>0</v>
      </c>
      <c r="K4">
        <v>0</v>
      </c>
      <c r="L4" s="2">
        <v>0</v>
      </c>
      <c r="M4">
        <v>10</v>
      </c>
      <c r="N4" s="2">
        <v>0</v>
      </c>
      <c r="O4">
        <v>19.5</v>
      </c>
      <c r="P4" t="s">
        <v>10282</v>
      </c>
      <c r="Q4">
        <v>384</v>
      </c>
      <c r="R4" t="s">
        <v>10293</v>
      </c>
      <c r="S4">
        <v>1</v>
      </c>
    </row>
    <row r="5" spans="1:19">
      <c r="A5" t="s">
        <v>40</v>
      </c>
      <c r="B5" t="s">
        <v>566</v>
      </c>
      <c r="C5">
        <f>"v100972"</f>
        <v>0</v>
      </c>
      <c r="D5">
        <v>2</v>
      </c>
      <c r="E5">
        <v>2</v>
      </c>
      <c r="F5">
        <v>0</v>
      </c>
      <c r="G5">
        <v>7</v>
      </c>
      <c r="H5">
        <v>11</v>
      </c>
      <c r="I5">
        <v>2</v>
      </c>
      <c r="J5">
        <v>0</v>
      </c>
      <c r="K5">
        <v>0</v>
      </c>
      <c r="L5" s="2">
        <v>0</v>
      </c>
      <c r="M5">
        <v>6</v>
      </c>
      <c r="N5" s="2">
        <v>0</v>
      </c>
      <c r="O5">
        <v>19</v>
      </c>
      <c r="P5" t="s">
        <v>10283</v>
      </c>
      <c r="Q5">
        <v>2.356</v>
      </c>
      <c r="R5" t="s">
        <v>10294</v>
      </c>
      <c r="S5">
        <v>1</v>
      </c>
    </row>
    <row r="6" spans="1:19">
      <c r="A6" t="s">
        <v>40</v>
      </c>
      <c r="B6" t="s">
        <v>271</v>
      </c>
      <c r="C6">
        <f>"V100557"</f>
        <v>0</v>
      </c>
      <c r="D6">
        <v>12</v>
      </c>
      <c r="E6">
        <v>34</v>
      </c>
      <c r="F6">
        <v>4</v>
      </c>
      <c r="G6">
        <v>1</v>
      </c>
      <c r="H6">
        <v>51</v>
      </c>
      <c r="I6">
        <v>8</v>
      </c>
      <c r="J6">
        <v>0</v>
      </c>
      <c r="K6">
        <v>0</v>
      </c>
      <c r="L6" s="2">
        <v>0</v>
      </c>
      <c r="M6">
        <v>8</v>
      </c>
      <c r="N6" s="2">
        <v>0</v>
      </c>
      <c r="O6">
        <v>10</v>
      </c>
      <c r="P6" t="s">
        <v>10284</v>
      </c>
      <c r="Q6">
        <v>350</v>
      </c>
      <c r="R6" t="s">
        <v>10295</v>
      </c>
      <c r="S6">
        <v>0</v>
      </c>
    </row>
    <row r="7" spans="1:19">
      <c r="A7" t="s">
        <v>40</v>
      </c>
      <c r="B7" t="s">
        <v>388</v>
      </c>
      <c r="C7">
        <f>"V101146"</f>
        <v>0</v>
      </c>
      <c r="D7">
        <v>17</v>
      </c>
      <c r="E7">
        <v>30</v>
      </c>
      <c r="F7">
        <v>3</v>
      </c>
      <c r="G7">
        <v>0</v>
      </c>
      <c r="H7">
        <v>50</v>
      </c>
      <c r="I7">
        <v>10</v>
      </c>
      <c r="J7">
        <v>0</v>
      </c>
      <c r="K7">
        <v>0</v>
      </c>
      <c r="L7" s="2">
        <v>0</v>
      </c>
      <c r="M7">
        <v>10</v>
      </c>
      <c r="N7" s="2">
        <v>0</v>
      </c>
      <c r="O7">
        <v>10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40</v>
      </c>
      <c r="B8" t="s">
        <v>412</v>
      </c>
      <c r="C8">
        <f>"V101148"</f>
        <v>0</v>
      </c>
      <c r="D8">
        <v>17</v>
      </c>
      <c r="E8">
        <v>21</v>
      </c>
      <c r="F8">
        <v>0</v>
      </c>
      <c r="G8">
        <v>0</v>
      </c>
      <c r="H8">
        <v>38</v>
      </c>
      <c r="I8">
        <v>8.5</v>
      </c>
      <c r="J8">
        <v>0</v>
      </c>
      <c r="K8">
        <v>0</v>
      </c>
      <c r="L8" s="2">
        <v>0</v>
      </c>
      <c r="M8">
        <v>8</v>
      </c>
      <c r="N8" s="2">
        <v>0</v>
      </c>
      <c r="O8">
        <v>8.5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40</v>
      </c>
      <c r="B9" t="s">
        <v>475</v>
      </c>
      <c r="C9">
        <f>"V101151"</f>
        <v>0</v>
      </c>
      <c r="D9">
        <v>3</v>
      </c>
      <c r="E9">
        <v>0</v>
      </c>
      <c r="F9">
        <v>0</v>
      </c>
      <c r="G9">
        <v>2</v>
      </c>
      <c r="H9">
        <v>5</v>
      </c>
      <c r="I9">
        <v>1</v>
      </c>
      <c r="J9">
        <v>0</v>
      </c>
      <c r="K9">
        <v>0</v>
      </c>
      <c r="L9" s="2">
        <v>0</v>
      </c>
      <c r="M9">
        <v>2</v>
      </c>
      <c r="N9" s="2">
        <v>0</v>
      </c>
      <c r="O9">
        <v>8</v>
      </c>
      <c r="P9" t="s">
        <v>10285</v>
      </c>
      <c r="Q9">
        <v>63</v>
      </c>
      <c r="R9" t="s">
        <v>10296</v>
      </c>
      <c r="S9">
        <v>1</v>
      </c>
    </row>
    <row r="10" spans="1:19">
      <c r="A10" t="s">
        <v>40</v>
      </c>
      <c r="B10" t="s">
        <v>1820</v>
      </c>
      <c r="C10">
        <f>"V100837"</f>
        <v>0</v>
      </c>
      <c r="D10">
        <v>2</v>
      </c>
      <c r="E10">
        <v>2</v>
      </c>
      <c r="F10">
        <v>0</v>
      </c>
      <c r="G10">
        <v>2</v>
      </c>
      <c r="H10">
        <v>6</v>
      </c>
      <c r="I10">
        <v>2</v>
      </c>
      <c r="J10">
        <v>2</v>
      </c>
      <c r="K10">
        <v>75.61799999999999</v>
      </c>
      <c r="L10" s="2">
        <v>38</v>
      </c>
      <c r="M10">
        <v>1</v>
      </c>
      <c r="N10" s="2">
        <v>38</v>
      </c>
      <c r="O10">
        <v>6.6</v>
      </c>
      <c r="P10" t="s">
        <v>10286</v>
      </c>
      <c r="Q10">
        <v>11.76</v>
      </c>
      <c r="R10" t="s">
        <v>10297</v>
      </c>
      <c r="S10">
        <v>1</v>
      </c>
    </row>
    <row r="11" spans="1:19">
      <c r="A11" t="s">
        <v>40</v>
      </c>
      <c r="B11" t="s">
        <v>397</v>
      </c>
      <c r="C11">
        <f>"V101147"</f>
        <v>0</v>
      </c>
      <c r="D11">
        <v>35</v>
      </c>
      <c r="E11">
        <v>1</v>
      </c>
      <c r="F11">
        <v>0</v>
      </c>
      <c r="G11">
        <v>1</v>
      </c>
      <c r="H11">
        <v>37</v>
      </c>
      <c r="I11">
        <v>1</v>
      </c>
      <c r="J11">
        <v>0</v>
      </c>
      <c r="K11">
        <v>0</v>
      </c>
      <c r="L11" s="2">
        <v>0</v>
      </c>
      <c r="M11">
        <v>2</v>
      </c>
      <c r="N11" s="2">
        <v>0</v>
      </c>
      <c r="O11">
        <v>6</v>
      </c>
      <c r="P11" t="s">
        <v>10271</v>
      </c>
      <c r="Q11">
        <v>32</v>
      </c>
      <c r="R11" t="s">
        <v>10298</v>
      </c>
      <c r="S11">
        <v>1</v>
      </c>
    </row>
    <row r="12" spans="1:19">
      <c r="A12" t="s">
        <v>40</v>
      </c>
      <c r="B12" t="s">
        <v>770</v>
      </c>
      <c r="C12">
        <f>"v101252"</f>
        <v>0</v>
      </c>
      <c r="D12">
        <v>2</v>
      </c>
      <c r="E12">
        <v>1</v>
      </c>
      <c r="F12">
        <v>0</v>
      </c>
      <c r="G12">
        <v>1</v>
      </c>
      <c r="H12">
        <v>4</v>
      </c>
      <c r="I12">
        <v>1</v>
      </c>
      <c r="J12">
        <v>0</v>
      </c>
      <c r="K12">
        <v>0</v>
      </c>
      <c r="L12" s="2">
        <v>0</v>
      </c>
      <c r="M12">
        <v>2</v>
      </c>
      <c r="N12" s="2">
        <v>0</v>
      </c>
      <c r="O12">
        <v>6</v>
      </c>
      <c r="P12" t="s">
        <v>10287</v>
      </c>
      <c r="Q12">
        <v>3.21</v>
      </c>
      <c r="R12" t="s">
        <v>10299</v>
      </c>
      <c r="S12">
        <v>1</v>
      </c>
    </row>
    <row r="13" spans="1:19">
      <c r="A13" t="s">
        <v>40</v>
      </c>
      <c r="B13" t="s">
        <v>585</v>
      </c>
      <c r="C13">
        <f>"V101149"</f>
        <v>0</v>
      </c>
      <c r="D13">
        <v>1</v>
      </c>
      <c r="E13">
        <v>0</v>
      </c>
      <c r="F13">
        <v>0</v>
      </c>
      <c r="G13">
        <v>1</v>
      </c>
      <c r="H13">
        <v>2</v>
      </c>
      <c r="I13">
        <v>0.5</v>
      </c>
      <c r="J13">
        <v>0</v>
      </c>
      <c r="K13">
        <v>0</v>
      </c>
      <c r="L13" s="2">
        <v>0</v>
      </c>
      <c r="M13">
        <v>1</v>
      </c>
      <c r="N13" s="2">
        <v>0</v>
      </c>
      <c r="O13">
        <v>5.5</v>
      </c>
      <c r="P13" t="s">
        <v>10288</v>
      </c>
      <c r="Q13">
        <v>33</v>
      </c>
      <c r="R13" t="s">
        <v>10300</v>
      </c>
      <c r="S13">
        <v>1</v>
      </c>
    </row>
    <row r="14" spans="1:19">
      <c r="A14" t="s">
        <v>40</v>
      </c>
      <c r="B14" t="s">
        <v>1537</v>
      </c>
      <c r="C14">
        <f>"V100785"</f>
        <v>0</v>
      </c>
      <c r="D14">
        <v>1</v>
      </c>
      <c r="E14">
        <v>3</v>
      </c>
      <c r="F14">
        <v>8</v>
      </c>
      <c r="G14">
        <v>2</v>
      </c>
      <c r="H14">
        <v>14</v>
      </c>
      <c r="I14">
        <v>2.5</v>
      </c>
      <c r="J14">
        <v>1</v>
      </c>
      <c r="K14">
        <v>15.75</v>
      </c>
      <c r="L14" s="2">
        <v>16</v>
      </c>
      <c r="M14">
        <v>2</v>
      </c>
      <c r="N14" s="2">
        <v>32</v>
      </c>
      <c r="O14">
        <v>5.3</v>
      </c>
      <c r="P14" t="s">
        <v>10289</v>
      </c>
      <c r="Q14">
        <v>3.778</v>
      </c>
      <c r="R14" t="s">
        <v>10301</v>
      </c>
      <c r="S14">
        <v>0</v>
      </c>
    </row>
    <row r="15" spans="1:19">
      <c r="A15" t="s">
        <v>40</v>
      </c>
      <c r="B15" t="s">
        <v>2143</v>
      </c>
      <c r="C15">
        <f>"v101250"</f>
        <v>0</v>
      </c>
      <c r="D15">
        <v>0</v>
      </c>
      <c r="E15">
        <v>1</v>
      </c>
      <c r="F15">
        <v>0</v>
      </c>
      <c r="G15">
        <v>1</v>
      </c>
      <c r="H15">
        <v>2</v>
      </c>
      <c r="I15">
        <v>0.5</v>
      </c>
      <c r="J15">
        <v>2</v>
      </c>
      <c r="K15">
        <v>18.344</v>
      </c>
      <c r="L15" s="2">
        <v>9</v>
      </c>
      <c r="M15">
        <v>0</v>
      </c>
      <c r="N15" s="2">
        <v>0</v>
      </c>
      <c r="O15">
        <v>3.1</v>
      </c>
      <c r="P15" t="s">
        <v>10290</v>
      </c>
      <c r="Q15">
        <v>3.089</v>
      </c>
      <c r="R15" t="s">
        <v>10302</v>
      </c>
      <c r="S15">
        <v>1</v>
      </c>
    </row>
    <row r="16" spans="1:19">
      <c r="A16" t="s">
        <v>40</v>
      </c>
      <c r="B16" t="s">
        <v>455</v>
      </c>
      <c r="C16">
        <f>"V101145"</f>
        <v>0</v>
      </c>
      <c r="D16">
        <v>6</v>
      </c>
      <c r="E16">
        <v>17</v>
      </c>
      <c r="F16">
        <v>0</v>
      </c>
      <c r="G16">
        <v>0</v>
      </c>
      <c r="H16">
        <v>23</v>
      </c>
      <c r="I16">
        <v>3</v>
      </c>
      <c r="J16">
        <v>0</v>
      </c>
      <c r="K16">
        <v>0</v>
      </c>
      <c r="L16" s="2">
        <v>0</v>
      </c>
      <c r="M16">
        <v>3</v>
      </c>
      <c r="N16" s="2">
        <v>0</v>
      </c>
      <c r="O16">
        <v>3</v>
      </c>
      <c r="P16" t="s">
        <v>100</v>
      </c>
      <c r="Q16">
        <v>0</v>
      </c>
      <c r="R16" t="s">
        <v>145</v>
      </c>
      <c r="S16">
        <v>0</v>
      </c>
    </row>
    <row r="17" spans="1:19">
      <c r="A17" t="s">
        <v>40</v>
      </c>
      <c r="B17" t="s">
        <v>562</v>
      </c>
      <c r="C17">
        <f>"V100858"</f>
        <v>0</v>
      </c>
      <c r="D17">
        <v>2</v>
      </c>
      <c r="E17">
        <v>7</v>
      </c>
      <c r="F17">
        <v>3</v>
      </c>
      <c r="G17">
        <v>0</v>
      </c>
      <c r="H17">
        <v>12</v>
      </c>
      <c r="I17">
        <v>2.5</v>
      </c>
      <c r="J17">
        <v>0</v>
      </c>
      <c r="K17">
        <v>0</v>
      </c>
      <c r="L17" s="2">
        <v>0</v>
      </c>
      <c r="M17">
        <v>2</v>
      </c>
      <c r="N17" s="2">
        <v>0</v>
      </c>
      <c r="O17">
        <v>2.5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40</v>
      </c>
      <c r="B18" t="s">
        <v>541</v>
      </c>
      <c r="C18">
        <f>"V100797"</f>
        <v>0</v>
      </c>
      <c r="D18">
        <v>0</v>
      </c>
      <c r="E18">
        <v>5</v>
      </c>
      <c r="F18">
        <v>8</v>
      </c>
      <c r="G18">
        <v>0</v>
      </c>
      <c r="H18">
        <v>13</v>
      </c>
      <c r="I18">
        <v>2.5</v>
      </c>
      <c r="J18">
        <v>0</v>
      </c>
      <c r="K18">
        <v>0</v>
      </c>
      <c r="L18" s="2">
        <v>0</v>
      </c>
      <c r="M18">
        <v>2</v>
      </c>
      <c r="N18" s="2">
        <v>0</v>
      </c>
      <c r="O18">
        <v>2.5</v>
      </c>
      <c r="P18" t="s">
        <v>100</v>
      </c>
      <c r="Q18">
        <v>0</v>
      </c>
      <c r="R18" t="s">
        <v>145</v>
      </c>
      <c r="S18">
        <v>0</v>
      </c>
    </row>
    <row r="19" spans="1:19">
      <c r="A19" t="s">
        <v>40</v>
      </c>
      <c r="B19" t="s">
        <v>477</v>
      </c>
      <c r="C19">
        <f>"v100784"</f>
        <v>0</v>
      </c>
      <c r="D19">
        <v>4</v>
      </c>
      <c r="E19">
        <v>16</v>
      </c>
      <c r="F19">
        <v>0</v>
      </c>
      <c r="G19">
        <v>0</v>
      </c>
      <c r="H19">
        <v>20</v>
      </c>
      <c r="I19">
        <v>2</v>
      </c>
      <c r="J19">
        <v>0</v>
      </c>
      <c r="K19">
        <v>0</v>
      </c>
      <c r="L19" s="2">
        <v>0</v>
      </c>
      <c r="M19">
        <v>2</v>
      </c>
      <c r="N19" s="2">
        <v>0</v>
      </c>
      <c r="O19">
        <v>2</v>
      </c>
      <c r="P19" t="s">
        <v>100</v>
      </c>
      <c r="Q19">
        <v>0</v>
      </c>
      <c r="R19" t="s">
        <v>145</v>
      </c>
      <c r="S19">
        <v>0</v>
      </c>
    </row>
    <row r="20" spans="1:19">
      <c r="A20" t="s">
        <v>40</v>
      </c>
      <c r="B20" t="s">
        <v>561</v>
      </c>
      <c r="C20">
        <f>"V100840"</f>
        <v>0</v>
      </c>
      <c r="D20">
        <v>4</v>
      </c>
      <c r="E20">
        <v>8</v>
      </c>
      <c r="F20">
        <v>0</v>
      </c>
      <c r="G20">
        <v>0</v>
      </c>
      <c r="H20">
        <v>12</v>
      </c>
      <c r="I20">
        <v>2</v>
      </c>
      <c r="J20">
        <v>0</v>
      </c>
      <c r="K20">
        <v>0</v>
      </c>
      <c r="L20" s="2">
        <v>0</v>
      </c>
      <c r="M20">
        <v>2</v>
      </c>
      <c r="N20" s="2">
        <v>0</v>
      </c>
      <c r="O20">
        <v>2</v>
      </c>
      <c r="P20" t="s">
        <v>100</v>
      </c>
      <c r="Q20">
        <v>0</v>
      </c>
      <c r="R20" t="s">
        <v>145</v>
      </c>
      <c r="S20">
        <v>0</v>
      </c>
    </row>
    <row r="21" spans="1:19">
      <c r="A21" t="s">
        <v>40</v>
      </c>
      <c r="B21" t="s">
        <v>666</v>
      </c>
      <c r="C21">
        <f>"v100809"</f>
        <v>0</v>
      </c>
      <c r="D21">
        <v>0</v>
      </c>
      <c r="E21">
        <v>4</v>
      </c>
      <c r="F21">
        <v>3</v>
      </c>
      <c r="G21">
        <v>0</v>
      </c>
      <c r="H21">
        <v>7</v>
      </c>
      <c r="I21">
        <v>1.5</v>
      </c>
      <c r="J21">
        <v>0</v>
      </c>
      <c r="K21">
        <v>0</v>
      </c>
      <c r="L21" s="2">
        <v>0</v>
      </c>
      <c r="M21">
        <v>2</v>
      </c>
      <c r="N21" s="2">
        <v>0</v>
      </c>
      <c r="O21">
        <v>1.5</v>
      </c>
      <c r="P21" t="s">
        <v>100</v>
      </c>
      <c r="Q21">
        <v>0</v>
      </c>
      <c r="R21" t="s">
        <v>145</v>
      </c>
      <c r="S21">
        <v>0</v>
      </c>
    </row>
    <row r="22" spans="1:19">
      <c r="A22" t="s">
        <v>40</v>
      </c>
      <c r="B22" t="s">
        <v>713</v>
      </c>
      <c r="C22">
        <f>"V100849"</f>
        <v>0</v>
      </c>
      <c r="D22">
        <v>2</v>
      </c>
      <c r="E22">
        <v>1</v>
      </c>
      <c r="F22">
        <v>3</v>
      </c>
      <c r="G22">
        <v>0</v>
      </c>
      <c r="H22">
        <v>6</v>
      </c>
      <c r="I22">
        <v>1.5</v>
      </c>
      <c r="J22">
        <v>0</v>
      </c>
      <c r="K22">
        <v>0</v>
      </c>
      <c r="L22" s="2">
        <v>0</v>
      </c>
      <c r="M22">
        <v>2</v>
      </c>
      <c r="N22" s="2">
        <v>0</v>
      </c>
      <c r="O22">
        <v>1.5</v>
      </c>
      <c r="P22" t="s">
        <v>100</v>
      </c>
      <c r="Q22">
        <v>0</v>
      </c>
      <c r="R22" t="s">
        <v>145</v>
      </c>
      <c r="S22">
        <v>0</v>
      </c>
    </row>
    <row r="23" spans="1:19">
      <c r="A23" t="s">
        <v>40</v>
      </c>
      <c r="B23" t="s">
        <v>530</v>
      </c>
      <c r="C23">
        <f>"V100974"</f>
        <v>0</v>
      </c>
      <c r="D23">
        <v>11</v>
      </c>
      <c r="E23">
        <v>3</v>
      </c>
      <c r="F23">
        <v>0</v>
      </c>
      <c r="G23">
        <v>0</v>
      </c>
      <c r="H23">
        <v>14</v>
      </c>
      <c r="I23">
        <v>1.5</v>
      </c>
      <c r="J23">
        <v>0</v>
      </c>
      <c r="K23">
        <v>0</v>
      </c>
      <c r="L23" s="2">
        <v>0</v>
      </c>
      <c r="M23">
        <v>2</v>
      </c>
      <c r="N23" s="2">
        <v>0</v>
      </c>
      <c r="O23">
        <v>1.5</v>
      </c>
      <c r="P23" t="s">
        <v>100</v>
      </c>
      <c r="Q23">
        <v>0</v>
      </c>
      <c r="R23" t="s">
        <v>145</v>
      </c>
      <c r="S23">
        <v>0</v>
      </c>
    </row>
    <row r="24" spans="1:19">
      <c r="A24" t="s">
        <v>40</v>
      </c>
      <c r="B24" t="s">
        <v>749</v>
      </c>
      <c r="C24">
        <f>"V101246"</f>
        <v>0</v>
      </c>
      <c r="D24">
        <v>0</v>
      </c>
      <c r="E24">
        <v>2</v>
      </c>
      <c r="F24">
        <v>3</v>
      </c>
      <c r="G24">
        <v>0</v>
      </c>
      <c r="H24">
        <v>5</v>
      </c>
      <c r="I24">
        <v>1</v>
      </c>
      <c r="J24">
        <v>0</v>
      </c>
      <c r="K24">
        <v>0</v>
      </c>
      <c r="L24" s="2">
        <v>0</v>
      </c>
      <c r="M24">
        <v>1</v>
      </c>
      <c r="N24" s="2">
        <v>0</v>
      </c>
      <c r="O24">
        <v>1</v>
      </c>
      <c r="P24" t="s">
        <v>100</v>
      </c>
      <c r="Q24">
        <v>0</v>
      </c>
      <c r="R24" t="s">
        <v>145</v>
      </c>
      <c r="S24">
        <v>0</v>
      </c>
    </row>
    <row r="25" spans="1:19">
      <c r="A25" t="s">
        <v>40</v>
      </c>
      <c r="B25" t="s">
        <v>667</v>
      </c>
      <c r="C25">
        <f>"V100104"</f>
        <v>0</v>
      </c>
      <c r="D25">
        <v>2</v>
      </c>
      <c r="E25">
        <v>5</v>
      </c>
      <c r="F25">
        <v>0</v>
      </c>
      <c r="G25">
        <v>0</v>
      </c>
      <c r="H25">
        <v>7</v>
      </c>
      <c r="I25">
        <v>1</v>
      </c>
      <c r="J25">
        <v>0</v>
      </c>
      <c r="K25">
        <v>0</v>
      </c>
      <c r="L25" s="2">
        <v>0</v>
      </c>
      <c r="M25">
        <v>1</v>
      </c>
      <c r="N25" s="2">
        <v>0</v>
      </c>
      <c r="O25">
        <v>1</v>
      </c>
      <c r="P25" t="s">
        <v>100</v>
      </c>
      <c r="Q25">
        <v>0</v>
      </c>
      <c r="R25" t="s">
        <v>145</v>
      </c>
      <c r="S25">
        <v>0</v>
      </c>
    </row>
    <row r="26" spans="1:19">
      <c r="A26" t="s">
        <v>40</v>
      </c>
      <c r="B26" t="s">
        <v>622</v>
      </c>
      <c r="C26">
        <f>"v100702"</f>
        <v>0</v>
      </c>
      <c r="D26">
        <v>2</v>
      </c>
      <c r="E26">
        <v>6</v>
      </c>
      <c r="F26">
        <v>0</v>
      </c>
      <c r="G26">
        <v>0</v>
      </c>
      <c r="H26">
        <v>8</v>
      </c>
      <c r="I26">
        <v>1</v>
      </c>
      <c r="J26">
        <v>0</v>
      </c>
      <c r="K26">
        <v>0</v>
      </c>
      <c r="L26" s="2">
        <v>0</v>
      </c>
      <c r="M26">
        <v>1</v>
      </c>
      <c r="N26" s="2">
        <v>0</v>
      </c>
      <c r="O26">
        <v>1</v>
      </c>
      <c r="P26" t="s">
        <v>100</v>
      </c>
      <c r="Q26">
        <v>0</v>
      </c>
      <c r="R26" t="s">
        <v>145</v>
      </c>
      <c r="S26">
        <v>0</v>
      </c>
    </row>
    <row r="27" spans="1:19">
      <c r="A27" t="s">
        <v>40</v>
      </c>
      <c r="B27" t="s">
        <v>915</v>
      </c>
      <c r="C27">
        <f>"V100798"</f>
        <v>0</v>
      </c>
      <c r="D27">
        <v>1</v>
      </c>
      <c r="E27">
        <v>2</v>
      </c>
      <c r="F27">
        <v>0</v>
      </c>
      <c r="G27">
        <v>0</v>
      </c>
      <c r="H27">
        <v>3</v>
      </c>
      <c r="I27">
        <v>0.5</v>
      </c>
      <c r="J27">
        <v>0</v>
      </c>
      <c r="K27">
        <v>0</v>
      </c>
      <c r="L27" s="2">
        <v>0</v>
      </c>
      <c r="M27">
        <v>0</v>
      </c>
      <c r="N27" s="2">
        <v>0</v>
      </c>
      <c r="O27">
        <v>0.5</v>
      </c>
      <c r="P27" t="s">
        <v>100</v>
      </c>
      <c r="Q27">
        <v>0</v>
      </c>
      <c r="R27" t="s">
        <v>145</v>
      </c>
      <c r="S27">
        <v>0</v>
      </c>
    </row>
    <row r="28" spans="1:19">
      <c r="A28" t="s">
        <v>40</v>
      </c>
      <c r="B28" t="s">
        <v>824</v>
      </c>
      <c r="C28">
        <f>"1759261396216"</f>
        <v>0</v>
      </c>
      <c r="D28">
        <v>3</v>
      </c>
      <c r="E28">
        <v>1</v>
      </c>
      <c r="F28">
        <v>0</v>
      </c>
      <c r="G28">
        <v>0</v>
      </c>
      <c r="H28">
        <v>4</v>
      </c>
      <c r="I28">
        <v>0.5</v>
      </c>
      <c r="J28">
        <v>0</v>
      </c>
      <c r="K28">
        <v>0</v>
      </c>
      <c r="L28" s="2">
        <v>0</v>
      </c>
      <c r="M28">
        <v>0</v>
      </c>
      <c r="N28" s="2">
        <v>0</v>
      </c>
      <c r="O28">
        <v>0.5</v>
      </c>
      <c r="P28" t="s">
        <v>100</v>
      </c>
      <c r="Q28">
        <v>0</v>
      </c>
      <c r="R28" t="s">
        <v>145</v>
      </c>
      <c r="S28">
        <v>0</v>
      </c>
    </row>
    <row r="29" spans="1:19">
      <c r="A29" t="s">
        <v>40</v>
      </c>
      <c r="B29" t="s">
        <v>798</v>
      </c>
      <c r="C29">
        <f>"V100851"</f>
        <v>0</v>
      </c>
      <c r="D29">
        <v>0</v>
      </c>
      <c r="E29">
        <v>3</v>
      </c>
      <c r="F29">
        <v>1</v>
      </c>
      <c r="G29">
        <v>0</v>
      </c>
      <c r="H29">
        <v>4</v>
      </c>
      <c r="I29">
        <v>0.5</v>
      </c>
      <c r="J29">
        <v>0</v>
      </c>
      <c r="K29">
        <v>0</v>
      </c>
      <c r="L29" s="2">
        <v>0</v>
      </c>
      <c r="M29">
        <v>0</v>
      </c>
      <c r="N29" s="2">
        <v>0</v>
      </c>
      <c r="O29">
        <v>0.5</v>
      </c>
      <c r="P29" t="s">
        <v>100</v>
      </c>
      <c r="Q29">
        <v>0</v>
      </c>
      <c r="R29" t="s">
        <v>145</v>
      </c>
      <c r="S29">
        <v>0</v>
      </c>
    </row>
    <row r="30" spans="1:19">
      <c r="A30" t="s">
        <v>40</v>
      </c>
      <c r="B30" t="s">
        <v>803</v>
      </c>
      <c r="C30">
        <f>"V100558"</f>
        <v>0</v>
      </c>
      <c r="D30">
        <v>3</v>
      </c>
      <c r="E30">
        <v>1</v>
      </c>
      <c r="F30">
        <v>0</v>
      </c>
      <c r="G30">
        <v>0</v>
      </c>
      <c r="H30">
        <v>4</v>
      </c>
      <c r="I30">
        <v>0.5</v>
      </c>
      <c r="J30">
        <v>0</v>
      </c>
      <c r="K30">
        <v>0</v>
      </c>
      <c r="L30" s="2">
        <v>0</v>
      </c>
      <c r="M30">
        <v>0</v>
      </c>
      <c r="N30" s="2">
        <v>0</v>
      </c>
      <c r="O30">
        <v>0.5</v>
      </c>
      <c r="P30" t="s">
        <v>100</v>
      </c>
      <c r="Q30">
        <v>0</v>
      </c>
      <c r="R30" t="s">
        <v>145</v>
      </c>
      <c r="S30">
        <v>0</v>
      </c>
    </row>
    <row r="31" spans="1:19">
      <c r="A31" t="s">
        <v>40</v>
      </c>
      <c r="B31" t="s">
        <v>748</v>
      </c>
      <c r="C31">
        <f>"V100839"</f>
        <v>0</v>
      </c>
      <c r="D31">
        <v>1</v>
      </c>
      <c r="E31">
        <v>4</v>
      </c>
      <c r="F31">
        <v>0</v>
      </c>
      <c r="G31">
        <v>0</v>
      </c>
      <c r="H31">
        <v>5</v>
      </c>
      <c r="I31">
        <v>0.5</v>
      </c>
      <c r="J31">
        <v>0</v>
      </c>
      <c r="K31">
        <v>0</v>
      </c>
      <c r="L31" s="2">
        <v>0</v>
      </c>
      <c r="M31">
        <v>0</v>
      </c>
      <c r="N31" s="2">
        <v>0</v>
      </c>
      <c r="O31">
        <v>0.5</v>
      </c>
      <c r="P31" t="s">
        <v>100</v>
      </c>
      <c r="Q31">
        <v>0</v>
      </c>
      <c r="R31" t="s">
        <v>145</v>
      </c>
      <c r="S31">
        <v>0</v>
      </c>
    </row>
    <row r="32" spans="1:19">
      <c r="A32" t="s">
        <v>40</v>
      </c>
      <c r="B32" t="s">
        <v>558</v>
      </c>
      <c r="C32">
        <f>"V101150"</f>
        <v>0</v>
      </c>
      <c r="D32">
        <v>12</v>
      </c>
      <c r="E32">
        <v>0</v>
      </c>
      <c r="F32">
        <v>0</v>
      </c>
      <c r="G32">
        <v>0</v>
      </c>
      <c r="H32">
        <v>12</v>
      </c>
      <c r="I32">
        <v>0</v>
      </c>
      <c r="J32">
        <v>0</v>
      </c>
      <c r="K32">
        <v>0</v>
      </c>
      <c r="L32" s="2">
        <v>0</v>
      </c>
      <c r="M32">
        <v>0</v>
      </c>
      <c r="N32" s="2">
        <v>0</v>
      </c>
      <c r="O32">
        <v>0</v>
      </c>
      <c r="P32" t="s">
        <v>100</v>
      </c>
      <c r="Q32">
        <v>0</v>
      </c>
      <c r="R32" t="s">
        <v>145</v>
      </c>
      <c r="S32">
        <v>0</v>
      </c>
    </row>
    <row r="33" spans="1:19">
      <c r="A33" t="s">
        <v>40</v>
      </c>
      <c r="B33" t="s">
        <v>665</v>
      </c>
      <c r="C33">
        <f>"V100850"</f>
        <v>0</v>
      </c>
      <c r="D33">
        <v>7</v>
      </c>
      <c r="E33">
        <v>0</v>
      </c>
      <c r="F33">
        <v>0</v>
      </c>
      <c r="G33">
        <v>0</v>
      </c>
      <c r="H33">
        <v>7</v>
      </c>
      <c r="I33">
        <v>0</v>
      </c>
      <c r="J33">
        <v>0</v>
      </c>
      <c r="K33">
        <v>0</v>
      </c>
      <c r="L33" s="2">
        <v>0</v>
      </c>
      <c r="M33">
        <v>0</v>
      </c>
      <c r="N33" s="2">
        <v>0</v>
      </c>
      <c r="O33">
        <v>0</v>
      </c>
      <c r="P33" t="s">
        <v>100</v>
      </c>
      <c r="Q33">
        <v>0</v>
      </c>
      <c r="R33" t="s">
        <v>145</v>
      </c>
      <c r="S33">
        <v>0</v>
      </c>
    </row>
    <row r="34" spans="1:19">
      <c r="A34" t="s">
        <v>40</v>
      </c>
      <c r="B34" t="s">
        <v>1436</v>
      </c>
      <c r="C34">
        <f>"v100973"</f>
        <v>0</v>
      </c>
      <c r="D34">
        <v>1</v>
      </c>
      <c r="E34">
        <v>0</v>
      </c>
      <c r="F34">
        <v>0</v>
      </c>
      <c r="G34">
        <v>0</v>
      </c>
      <c r="H34">
        <v>1</v>
      </c>
      <c r="I34">
        <v>0</v>
      </c>
      <c r="J34">
        <v>0</v>
      </c>
      <c r="K34">
        <v>0</v>
      </c>
      <c r="L34" s="2">
        <v>0</v>
      </c>
      <c r="M34">
        <v>0</v>
      </c>
      <c r="N34" s="2">
        <v>0</v>
      </c>
      <c r="O34">
        <v>0</v>
      </c>
      <c r="P34" t="s">
        <v>100</v>
      </c>
      <c r="Q34">
        <v>0</v>
      </c>
      <c r="R34" t="s">
        <v>145</v>
      </c>
      <c r="S34">
        <v>0</v>
      </c>
    </row>
    <row r="35" spans="1:19">
      <c r="A35" t="s">
        <v>40</v>
      </c>
      <c r="B35" t="s">
        <v>8187</v>
      </c>
      <c r="C35">
        <f>"V100763"</f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 s="2">
        <v>0</v>
      </c>
      <c r="M35">
        <v>0</v>
      </c>
      <c r="N35" s="2">
        <v>0</v>
      </c>
      <c r="O35">
        <v>0</v>
      </c>
      <c r="P35" t="s">
        <v>100</v>
      </c>
      <c r="Q35">
        <v>0</v>
      </c>
      <c r="R35" t="s">
        <v>145</v>
      </c>
      <c r="S35">
        <v>0</v>
      </c>
    </row>
    <row r="36" spans="1:19">
      <c r="A36" t="s">
        <v>40</v>
      </c>
      <c r="B36" t="s">
        <v>517</v>
      </c>
      <c r="C36">
        <f>"V100975"</f>
        <v>0</v>
      </c>
      <c r="D36">
        <v>15</v>
      </c>
      <c r="E36">
        <v>0</v>
      </c>
      <c r="F36">
        <v>0</v>
      </c>
      <c r="G36">
        <v>0</v>
      </c>
      <c r="H36">
        <v>15</v>
      </c>
      <c r="I36">
        <v>0</v>
      </c>
      <c r="J36">
        <v>0</v>
      </c>
      <c r="K36">
        <v>0</v>
      </c>
      <c r="L36" s="2">
        <v>0</v>
      </c>
      <c r="M36">
        <v>0</v>
      </c>
      <c r="N36" s="2">
        <v>0</v>
      </c>
      <c r="O36">
        <v>0</v>
      </c>
      <c r="P36" t="s">
        <v>100</v>
      </c>
      <c r="Q36">
        <v>0</v>
      </c>
      <c r="R36" t="s">
        <v>145</v>
      </c>
      <c r="S36">
        <v>0</v>
      </c>
    </row>
    <row r="37" spans="1:19">
      <c r="A37" t="s">
        <v>40</v>
      </c>
      <c r="B37" t="s">
        <v>5361</v>
      </c>
      <c r="C37">
        <f>"V100878"</f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 s="2">
        <v>0</v>
      </c>
      <c r="M37">
        <v>0</v>
      </c>
      <c r="N37" s="2">
        <v>0</v>
      </c>
      <c r="O37">
        <v>0</v>
      </c>
      <c r="P37" t="s">
        <v>100</v>
      </c>
      <c r="Q37">
        <v>0</v>
      </c>
      <c r="R37" t="s">
        <v>145</v>
      </c>
      <c r="S37">
        <v>0</v>
      </c>
    </row>
    <row r="38" spans="1:19">
      <c r="A38" t="s">
        <v>40</v>
      </c>
      <c r="B38" t="s">
        <v>634</v>
      </c>
      <c r="C38">
        <f>"V100229"</f>
        <v>0</v>
      </c>
      <c r="D38">
        <v>8</v>
      </c>
      <c r="E38">
        <v>0</v>
      </c>
      <c r="F38">
        <v>0</v>
      </c>
      <c r="G38">
        <v>0</v>
      </c>
      <c r="H38">
        <v>8</v>
      </c>
      <c r="I38">
        <v>0</v>
      </c>
      <c r="J38">
        <v>0</v>
      </c>
      <c r="K38">
        <v>0</v>
      </c>
      <c r="L38" s="2">
        <v>0</v>
      </c>
      <c r="M38">
        <v>0</v>
      </c>
      <c r="N38" s="2">
        <v>0</v>
      </c>
      <c r="O38">
        <v>0</v>
      </c>
      <c r="P38" t="s">
        <v>100</v>
      </c>
      <c r="Q38">
        <v>0</v>
      </c>
      <c r="R38" t="s">
        <v>145</v>
      </c>
      <c r="S38">
        <v>0</v>
      </c>
    </row>
    <row r="39" spans="1:19">
      <c r="A39" t="s">
        <v>40</v>
      </c>
      <c r="B39" t="s">
        <v>972</v>
      </c>
      <c r="C39">
        <f>"v100810"</f>
        <v>0</v>
      </c>
      <c r="D39">
        <v>0</v>
      </c>
      <c r="E39">
        <v>2</v>
      </c>
      <c r="F39">
        <v>0</v>
      </c>
      <c r="G39">
        <v>0</v>
      </c>
      <c r="H39">
        <v>2</v>
      </c>
      <c r="I39">
        <v>0</v>
      </c>
      <c r="J39">
        <v>0</v>
      </c>
      <c r="K39">
        <v>0</v>
      </c>
      <c r="L39" s="2">
        <v>0</v>
      </c>
      <c r="M39">
        <v>0</v>
      </c>
      <c r="N39" s="2">
        <v>0</v>
      </c>
      <c r="O39">
        <v>0</v>
      </c>
      <c r="P39" t="s">
        <v>100</v>
      </c>
      <c r="Q39">
        <v>0</v>
      </c>
      <c r="R39" t="s">
        <v>145</v>
      </c>
      <c r="S39">
        <v>0</v>
      </c>
    </row>
    <row r="40" spans="1:19">
      <c r="A40" t="s">
        <v>40</v>
      </c>
      <c r="B40" t="s">
        <v>750</v>
      </c>
      <c r="C40">
        <f>"v101247"</f>
        <v>0</v>
      </c>
      <c r="D40">
        <v>5</v>
      </c>
      <c r="E40">
        <v>0</v>
      </c>
      <c r="F40">
        <v>0</v>
      </c>
      <c r="G40">
        <v>0</v>
      </c>
      <c r="H40">
        <v>5</v>
      </c>
      <c r="I40">
        <v>0</v>
      </c>
      <c r="J40">
        <v>0</v>
      </c>
      <c r="K40">
        <v>0</v>
      </c>
      <c r="L40" s="2">
        <v>0</v>
      </c>
      <c r="M40">
        <v>0</v>
      </c>
      <c r="N40" s="2">
        <v>0</v>
      </c>
      <c r="O40">
        <v>0</v>
      </c>
      <c r="P40" t="s">
        <v>100</v>
      </c>
      <c r="Q40">
        <v>0</v>
      </c>
      <c r="R40" t="s">
        <v>145</v>
      </c>
      <c r="S40">
        <v>0</v>
      </c>
    </row>
    <row r="41" spans="1:19">
      <c r="A41" t="s">
        <v>40</v>
      </c>
      <c r="B41" t="s">
        <v>1303</v>
      </c>
      <c r="C41">
        <f>"v100783"</f>
        <v>0</v>
      </c>
      <c r="D41">
        <v>0</v>
      </c>
      <c r="E41">
        <v>0</v>
      </c>
      <c r="F41">
        <v>1</v>
      </c>
      <c r="G41">
        <v>0</v>
      </c>
      <c r="H41">
        <v>1</v>
      </c>
      <c r="I41">
        <v>0</v>
      </c>
      <c r="J41">
        <v>0</v>
      </c>
      <c r="K41">
        <v>0</v>
      </c>
      <c r="L41" s="2">
        <v>0</v>
      </c>
      <c r="M41">
        <v>0</v>
      </c>
      <c r="N41" s="2">
        <v>0</v>
      </c>
      <c r="O41">
        <v>0</v>
      </c>
      <c r="P41" t="s">
        <v>100</v>
      </c>
      <c r="Q41">
        <v>0</v>
      </c>
      <c r="R41" t="s">
        <v>145</v>
      </c>
      <c r="S41">
        <v>0</v>
      </c>
    </row>
    <row r="42" spans="1:19">
      <c r="A42" t="s">
        <v>40</v>
      </c>
      <c r="B42" t="s">
        <v>305</v>
      </c>
      <c r="C42">
        <f>"V100852"</f>
        <v>0</v>
      </c>
      <c r="D42">
        <v>3</v>
      </c>
      <c r="E42">
        <v>4</v>
      </c>
      <c r="F42">
        <v>2</v>
      </c>
      <c r="G42">
        <v>1</v>
      </c>
      <c r="H42">
        <v>10</v>
      </c>
      <c r="I42">
        <v>2.5</v>
      </c>
      <c r="J42">
        <v>5</v>
      </c>
      <c r="K42">
        <v>16.355</v>
      </c>
      <c r="L42" s="2">
        <v>3</v>
      </c>
      <c r="M42">
        <v>0</v>
      </c>
      <c r="N42" s="2">
        <v>0</v>
      </c>
      <c r="O42">
        <v>-1.5</v>
      </c>
      <c r="P42" t="s">
        <v>10291</v>
      </c>
      <c r="Q42">
        <v>670</v>
      </c>
      <c r="R42" t="s">
        <v>178</v>
      </c>
      <c r="S42">
        <v>0</v>
      </c>
    </row>
    <row r="43" spans="1:19">
      <c r="A43" t="s">
        <v>40</v>
      </c>
      <c r="B43" t="s">
        <v>2145</v>
      </c>
      <c r="C43">
        <f>"V100831"</f>
        <v>0</v>
      </c>
      <c r="D43">
        <v>0</v>
      </c>
      <c r="E43">
        <v>0</v>
      </c>
      <c r="F43">
        <v>0</v>
      </c>
      <c r="G43">
        <v>1</v>
      </c>
      <c r="H43">
        <v>1</v>
      </c>
      <c r="I43">
        <v>0</v>
      </c>
      <c r="J43">
        <v>7</v>
      </c>
      <c r="K43">
        <v>265.842</v>
      </c>
      <c r="L43" s="2">
        <v>38</v>
      </c>
      <c r="M43">
        <v>0</v>
      </c>
      <c r="N43" s="2">
        <v>0</v>
      </c>
      <c r="O43">
        <v>-3.4</v>
      </c>
      <c r="P43" t="s">
        <v>10292</v>
      </c>
      <c r="Q43">
        <v>6.561</v>
      </c>
      <c r="R43" t="s">
        <v>10303</v>
      </c>
      <c r="S43">
        <v>1</v>
      </c>
    </row>
    <row r="44" spans="1:19">
      <c r="A44" t="s">
        <v>40</v>
      </c>
      <c r="B44" t="s">
        <v>2381</v>
      </c>
      <c r="C44">
        <f>"V100811"</f>
        <v>0</v>
      </c>
      <c r="D44">
        <v>0</v>
      </c>
      <c r="E44">
        <v>1</v>
      </c>
      <c r="F44">
        <v>0</v>
      </c>
      <c r="G44">
        <v>0</v>
      </c>
      <c r="H44">
        <v>1</v>
      </c>
      <c r="I44">
        <v>0</v>
      </c>
      <c r="J44">
        <v>3</v>
      </c>
      <c r="K44">
        <v>37.797</v>
      </c>
      <c r="L44" s="2">
        <v>13</v>
      </c>
      <c r="M44">
        <v>0</v>
      </c>
      <c r="N44" s="2">
        <v>0</v>
      </c>
      <c r="O44">
        <v>-3.6</v>
      </c>
      <c r="P44" t="s">
        <v>100</v>
      </c>
      <c r="Q44">
        <v>0</v>
      </c>
      <c r="R44" t="s">
        <v>145</v>
      </c>
      <c r="S44">
        <v>0</v>
      </c>
    </row>
    <row r="45" spans="1:19">
      <c r="A45" t="s">
        <v>40</v>
      </c>
      <c r="B45" t="s">
        <v>2593</v>
      </c>
      <c r="C45">
        <f>"V100855"</f>
        <v>0</v>
      </c>
      <c r="D45">
        <v>0</v>
      </c>
      <c r="E45">
        <v>0</v>
      </c>
      <c r="F45">
        <v>1</v>
      </c>
      <c r="G45">
        <v>0</v>
      </c>
      <c r="H45">
        <v>1</v>
      </c>
      <c r="I45">
        <v>0</v>
      </c>
      <c r="J45">
        <v>4</v>
      </c>
      <c r="K45">
        <v>6.54</v>
      </c>
      <c r="L45" s="2">
        <v>2</v>
      </c>
      <c r="M45">
        <v>0</v>
      </c>
      <c r="N45" s="2">
        <v>0</v>
      </c>
      <c r="O45">
        <v>-4.8</v>
      </c>
      <c r="P45" t="s">
        <v>100</v>
      </c>
      <c r="Q45">
        <v>0</v>
      </c>
      <c r="R45" t="s">
        <v>145</v>
      </c>
      <c r="S45">
        <v>0</v>
      </c>
    </row>
    <row r="46" spans="1:19">
      <c r="A46" t="s">
        <v>40</v>
      </c>
      <c r="B46" t="s">
        <v>2364</v>
      </c>
      <c r="C46">
        <f>"V100832"</f>
        <v>0</v>
      </c>
      <c r="D46">
        <v>1</v>
      </c>
      <c r="E46">
        <v>0</v>
      </c>
      <c r="F46">
        <v>0</v>
      </c>
      <c r="G46">
        <v>0</v>
      </c>
      <c r="H46">
        <v>1</v>
      </c>
      <c r="I46">
        <v>0</v>
      </c>
      <c r="J46">
        <v>5</v>
      </c>
      <c r="K46">
        <v>252.07</v>
      </c>
      <c r="L46" s="2">
        <v>50</v>
      </c>
      <c r="M46">
        <v>0</v>
      </c>
      <c r="N46" s="2">
        <v>0</v>
      </c>
      <c r="O46">
        <v>-6</v>
      </c>
      <c r="P46" t="s">
        <v>100</v>
      </c>
      <c r="Q46">
        <v>0</v>
      </c>
      <c r="R46" t="s">
        <v>145</v>
      </c>
      <c r="S46">
        <v>0</v>
      </c>
    </row>
    <row r="47" spans="1:19">
      <c r="A47" t="s">
        <v>40</v>
      </c>
      <c r="B47" t="s">
        <v>1933</v>
      </c>
      <c r="C47">
        <f>"V100853"</f>
        <v>0</v>
      </c>
      <c r="D47">
        <v>3</v>
      </c>
      <c r="E47">
        <v>1</v>
      </c>
      <c r="F47">
        <v>1</v>
      </c>
      <c r="G47">
        <v>0</v>
      </c>
      <c r="H47">
        <v>5</v>
      </c>
      <c r="I47">
        <v>1</v>
      </c>
      <c r="J47">
        <v>6</v>
      </c>
      <c r="K47">
        <v>19.626</v>
      </c>
      <c r="L47" s="2">
        <v>3</v>
      </c>
      <c r="M47">
        <v>0</v>
      </c>
      <c r="N47" s="2">
        <v>0</v>
      </c>
      <c r="O47">
        <v>-6.199999999999999</v>
      </c>
      <c r="P47" t="s">
        <v>100</v>
      </c>
      <c r="Q47">
        <v>0</v>
      </c>
      <c r="R47" t="s">
        <v>145</v>
      </c>
      <c r="S47">
        <v>0</v>
      </c>
    </row>
    <row r="48" spans="1:19">
      <c r="A48" t="s">
        <v>40</v>
      </c>
      <c r="B48" t="s">
        <v>1857</v>
      </c>
      <c r="C48">
        <f>"V100857"</f>
        <v>0</v>
      </c>
      <c r="D48">
        <v>0</v>
      </c>
      <c r="E48">
        <v>1</v>
      </c>
      <c r="F48">
        <v>6</v>
      </c>
      <c r="G48">
        <v>0</v>
      </c>
      <c r="H48">
        <v>7</v>
      </c>
      <c r="I48">
        <v>0.5</v>
      </c>
      <c r="J48">
        <v>10</v>
      </c>
      <c r="K48">
        <v>16.35</v>
      </c>
      <c r="L48" s="2">
        <v>2</v>
      </c>
      <c r="M48">
        <v>0</v>
      </c>
      <c r="N48" s="2">
        <v>0</v>
      </c>
      <c r="O48">
        <v>-11.5</v>
      </c>
      <c r="P48" t="s">
        <v>100</v>
      </c>
      <c r="Q48">
        <v>0</v>
      </c>
      <c r="R48" t="s">
        <v>145</v>
      </c>
      <c r="S48">
        <v>0</v>
      </c>
    </row>
    <row r="49" spans="1:19">
      <c r="A49" t="s">
        <v>40</v>
      </c>
      <c r="B49" t="s">
        <v>7899</v>
      </c>
      <c r="C49">
        <f>"V100856"</f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10</v>
      </c>
      <c r="K49">
        <v>16.35</v>
      </c>
      <c r="L49" s="2">
        <v>2</v>
      </c>
      <c r="M49">
        <v>0</v>
      </c>
      <c r="N49" s="2">
        <v>0</v>
      </c>
      <c r="O49">
        <v>-12</v>
      </c>
      <c r="P49" t="s">
        <v>100</v>
      </c>
      <c r="Q49">
        <v>0</v>
      </c>
      <c r="R49" t="s">
        <v>145</v>
      </c>
      <c r="S49">
        <v>0</v>
      </c>
    </row>
    <row r="50" spans="1:19">
      <c r="A50" t="s">
        <v>40</v>
      </c>
      <c r="B50" t="s">
        <v>2162</v>
      </c>
      <c r="C50">
        <f>"V100776"</f>
        <v>0</v>
      </c>
      <c r="D50">
        <v>0</v>
      </c>
      <c r="E50">
        <v>0</v>
      </c>
      <c r="F50">
        <v>2</v>
      </c>
      <c r="G50">
        <v>0</v>
      </c>
      <c r="H50">
        <v>2</v>
      </c>
      <c r="I50">
        <v>0</v>
      </c>
      <c r="J50">
        <v>11</v>
      </c>
      <c r="K50">
        <v>173.25</v>
      </c>
      <c r="L50" s="2">
        <v>16</v>
      </c>
      <c r="M50">
        <v>0</v>
      </c>
      <c r="N50" s="2">
        <v>0</v>
      </c>
      <c r="O50">
        <v>-13.2</v>
      </c>
      <c r="P50" t="s">
        <v>100</v>
      </c>
      <c r="Q50">
        <v>0</v>
      </c>
      <c r="R50" t="s">
        <v>145</v>
      </c>
      <c r="S50">
        <v>0</v>
      </c>
    </row>
    <row r="51" spans="1:19">
      <c r="A51" t="s">
        <v>40</v>
      </c>
      <c r="B51" t="s">
        <v>2310</v>
      </c>
      <c r="C51">
        <f>"V100854"</f>
        <v>0</v>
      </c>
      <c r="D51">
        <v>2</v>
      </c>
      <c r="E51">
        <v>0</v>
      </c>
      <c r="F51">
        <v>0</v>
      </c>
      <c r="G51">
        <v>0</v>
      </c>
      <c r="H51">
        <v>2</v>
      </c>
      <c r="I51">
        <v>0</v>
      </c>
      <c r="J51">
        <v>13</v>
      </c>
      <c r="K51">
        <v>21.255</v>
      </c>
      <c r="L51" s="2">
        <v>2</v>
      </c>
      <c r="M51">
        <v>0</v>
      </c>
      <c r="N51" s="2">
        <v>0</v>
      </c>
      <c r="O51">
        <v>-15.6</v>
      </c>
      <c r="P51" t="s">
        <v>100</v>
      </c>
      <c r="Q51">
        <v>0</v>
      </c>
      <c r="R51" t="s">
        <v>145</v>
      </c>
      <c r="S51">
        <v>0</v>
      </c>
    </row>
    <row r="52" spans="1:19">
      <c r="A52" t="s">
        <v>40</v>
      </c>
      <c r="B52" t="s">
        <v>1905</v>
      </c>
      <c r="C52">
        <f>"V100803"</f>
        <v>0</v>
      </c>
      <c r="D52">
        <v>1</v>
      </c>
      <c r="E52">
        <v>4</v>
      </c>
      <c r="F52">
        <v>1</v>
      </c>
      <c r="G52">
        <v>0</v>
      </c>
      <c r="H52">
        <v>6</v>
      </c>
      <c r="I52">
        <v>1</v>
      </c>
      <c r="J52">
        <v>14</v>
      </c>
      <c r="K52">
        <v>441</v>
      </c>
      <c r="L52" s="2">
        <v>32</v>
      </c>
      <c r="M52">
        <v>0</v>
      </c>
      <c r="N52" s="2">
        <v>0</v>
      </c>
      <c r="O52">
        <v>-15.8</v>
      </c>
      <c r="P52" t="s">
        <v>100</v>
      </c>
      <c r="Q52">
        <v>0</v>
      </c>
      <c r="R52" t="s">
        <v>145</v>
      </c>
      <c r="S52">
        <v>0</v>
      </c>
    </row>
  </sheetData>
  <autoFilter ref="A2:S52"/>
  <hyperlinks>
    <hyperlink ref="A1" location="'ÍNDICE'!A1" display="⬅ Volver al índice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S18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21.7109375" customWidth="1"/>
    <col min="2" max="2" width="40.7109375" customWidth="1"/>
    <col min="3" max="3" width="11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2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217</v>
      </c>
      <c r="B3" t="s">
        <v>949</v>
      </c>
      <c r="C3">
        <f>"TATP45"</f>
        <v>0</v>
      </c>
      <c r="D3">
        <v>0</v>
      </c>
      <c r="E3">
        <v>0</v>
      </c>
      <c r="F3">
        <v>0</v>
      </c>
      <c r="G3">
        <v>2</v>
      </c>
      <c r="H3">
        <v>2</v>
      </c>
      <c r="I3">
        <v>0</v>
      </c>
      <c r="J3">
        <v>0</v>
      </c>
      <c r="K3">
        <v>0</v>
      </c>
      <c r="L3" s="2">
        <v>0</v>
      </c>
      <c r="M3">
        <v>1</v>
      </c>
      <c r="N3" s="2">
        <v>0</v>
      </c>
      <c r="O3">
        <v>7</v>
      </c>
      <c r="P3" t="s">
        <v>10305</v>
      </c>
      <c r="Q3">
        <v>3.669</v>
      </c>
      <c r="R3" t="s">
        <v>10266</v>
      </c>
      <c r="S3">
        <v>1</v>
      </c>
    </row>
    <row r="4" spans="1:19">
      <c r="A4" t="s">
        <v>217</v>
      </c>
      <c r="B4" t="s">
        <v>1867</v>
      </c>
      <c r="C4">
        <f>"MCMX10"</f>
        <v>0</v>
      </c>
      <c r="D4">
        <v>1</v>
      </c>
      <c r="E4">
        <v>1</v>
      </c>
      <c r="F4">
        <v>1</v>
      </c>
      <c r="G4">
        <v>2</v>
      </c>
      <c r="H4">
        <v>5</v>
      </c>
      <c r="I4">
        <v>1</v>
      </c>
      <c r="J4">
        <v>3</v>
      </c>
      <c r="K4">
        <v>43.482</v>
      </c>
      <c r="L4" s="2">
        <v>14</v>
      </c>
      <c r="M4">
        <v>0</v>
      </c>
      <c r="N4" s="2">
        <v>0</v>
      </c>
      <c r="O4">
        <v>4.4</v>
      </c>
      <c r="P4" t="s">
        <v>10306</v>
      </c>
      <c r="Q4">
        <v>7.911</v>
      </c>
      <c r="R4" t="s">
        <v>10308</v>
      </c>
      <c r="S4">
        <v>1</v>
      </c>
    </row>
    <row r="5" spans="1:19">
      <c r="A5" t="s">
        <v>217</v>
      </c>
      <c r="B5" t="s">
        <v>7286</v>
      </c>
      <c r="C5">
        <f>"CR0500"</f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</v>
      </c>
      <c r="K5">
        <v>35.174</v>
      </c>
      <c r="L5" s="2">
        <v>35</v>
      </c>
      <c r="M5">
        <v>0</v>
      </c>
      <c r="N5" s="2">
        <v>0</v>
      </c>
      <c r="O5">
        <v>-1.2</v>
      </c>
      <c r="P5" t="s">
        <v>100</v>
      </c>
      <c r="Q5">
        <v>0</v>
      </c>
      <c r="R5" t="s">
        <v>145</v>
      </c>
      <c r="S5">
        <v>0</v>
      </c>
    </row>
    <row r="6" spans="1:19">
      <c r="A6" t="s">
        <v>217</v>
      </c>
      <c r="B6" t="s">
        <v>2235</v>
      </c>
      <c r="C6">
        <f>"SH0120"</f>
        <v>0</v>
      </c>
      <c r="D6">
        <v>1</v>
      </c>
      <c r="E6">
        <v>0</v>
      </c>
      <c r="F6">
        <v>1</v>
      </c>
      <c r="G6">
        <v>0</v>
      </c>
      <c r="H6">
        <v>2</v>
      </c>
      <c r="I6">
        <v>0.5</v>
      </c>
      <c r="J6">
        <v>2</v>
      </c>
      <c r="K6">
        <v>14.458</v>
      </c>
      <c r="L6" s="2">
        <v>7</v>
      </c>
      <c r="M6">
        <v>0</v>
      </c>
      <c r="N6" s="2">
        <v>0</v>
      </c>
      <c r="O6">
        <v>-1.9</v>
      </c>
      <c r="P6" t="s">
        <v>100</v>
      </c>
      <c r="Q6">
        <v>0</v>
      </c>
      <c r="R6" t="s">
        <v>145</v>
      </c>
      <c r="S6">
        <v>0</v>
      </c>
    </row>
    <row r="7" spans="1:19">
      <c r="A7" t="s">
        <v>217</v>
      </c>
      <c r="B7" t="s">
        <v>4024</v>
      </c>
      <c r="C7">
        <f>"PP0100"</f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12.81</v>
      </c>
      <c r="L7" s="2">
        <v>6</v>
      </c>
      <c r="M7">
        <v>0</v>
      </c>
      <c r="N7" s="2">
        <v>0</v>
      </c>
      <c r="O7">
        <v>-2.4</v>
      </c>
      <c r="P7" t="s">
        <v>100</v>
      </c>
      <c r="Q7">
        <v>0</v>
      </c>
      <c r="R7" t="s">
        <v>145</v>
      </c>
      <c r="S7">
        <v>0</v>
      </c>
    </row>
    <row r="8" spans="1:19">
      <c r="A8" t="s">
        <v>217</v>
      </c>
      <c r="B8" t="s">
        <v>2118</v>
      </c>
      <c r="C8">
        <f>"MT0100"</f>
        <v>0</v>
      </c>
      <c r="D8">
        <v>0</v>
      </c>
      <c r="E8">
        <v>2</v>
      </c>
      <c r="F8">
        <v>1</v>
      </c>
      <c r="G8">
        <v>0</v>
      </c>
      <c r="H8">
        <v>3</v>
      </c>
      <c r="I8">
        <v>0.5</v>
      </c>
      <c r="J8">
        <v>3</v>
      </c>
      <c r="K8">
        <v>19.983</v>
      </c>
      <c r="L8" s="2">
        <v>7</v>
      </c>
      <c r="M8">
        <v>0</v>
      </c>
      <c r="N8" s="2">
        <v>0</v>
      </c>
      <c r="O8">
        <v>-3.1</v>
      </c>
      <c r="P8" t="s">
        <v>100</v>
      </c>
      <c r="Q8">
        <v>0</v>
      </c>
      <c r="R8" t="s">
        <v>145</v>
      </c>
      <c r="S8">
        <v>0</v>
      </c>
    </row>
    <row r="9" spans="1:19">
      <c r="A9" t="s">
        <v>217</v>
      </c>
      <c r="B9" t="s">
        <v>2395</v>
      </c>
      <c r="C9">
        <f>"MXT012"</f>
        <v>0</v>
      </c>
      <c r="D9">
        <v>1</v>
      </c>
      <c r="E9">
        <v>0</v>
      </c>
      <c r="F9">
        <v>0</v>
      </c>
      <c r="G9">
        <v>0</v>
      </c>
      <c r="H9">
        <v>1</v>
      </c>
      <c r="I9">
        <v>0</v>
      </c>
      <c r="J9">
        <v>3</v>
      </c>
      <c r="K9">
        <v>21.066</v>
      </c>
      <c r="L9" s="2">
        <v>7</v>
      </c>
      <c r="M9">
        <v>0</v>
      </c>
      <c r="N9" s="2">
        <v>0</v>
      </c>
      <c r="O9">
        <v>-3.6</v>
      </c>
      <c r="P9" t="s">
        <v>100</v>
      </c>
      <c r="Q9">
        <v>0</v>
      </c>
      <c r="R9" t="s">
        <v>145</v>
      </c>
      <c r="S9">
        <v>0</v>
      </c>
    </row>
    <row r="10" spans="1:19">
      <c r="A10" t="s">
        <v>217</v>
      </c>
      <c r="B10" t="s">
        <v>9535</v>
      </c>
      <c r="C10">
        <f>"EP0001"</f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27.006</v>
      </c>
      <c r="L10" s="2">
        <v>9</v>
      </c>
      <c r="M10">
        <v>0</v>
      </c>
      <c r="N10" s="2">
        <v>0</v>
      </c>
      <c r="O10">
        <v>-3.6</v>
      </c>
      <c r="P10" t="s">
        <v>100</v>
      </c>
      <c r="Q10">
        <v>0</v>
      </c>
      <c r="R10" t="s">
        <v>145</v>
      </c>
      <c r="S10">
        <v>0</v>
      </c>
    </row>
    <row r="11" spans="1:19">
      <c r="A11" t="s">
        <v>217</v>
      </c>
      <c r="B11" t="s">
        <v>9790</v>
      </c>
      <c r="C11">
        <f>"HLMX10"</f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</v>
      </c>
      <c r="K11">
        <v>55.149</v>
      </c>
      <c r="L11" s="2">
        <v>14</v>
      </c>
      <c r="M11">
        <v>0</v>
      </c>
      <c r="N11" s="2">
        <v>0</v>
      </c>
      <c r="O11">
        <v>-4.8</v>
      </c>
      <c r="P11" t="s">
        <v>100</v>
      </c>
      <c r="Q11">
        <v>0</v>
      </c>
      <c r="R11" t="s">
        <v>145</v>
      </c>
      <c r="S11">
        <v>0</v>
      </c>
    </row>
    <row r="12" spans="1:19">
      <c r="A12" t="s">
        <v>217</v>
      </c>
      <c r="B12" t="s">
        <v>9734</v>
      </c>
      <c r="C12">
        <f>"HP0100"</f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</v>
      </c>
      <c r="K12">
        <v>42.375</v>
      </c>
      <c r="L12" s="2">
        <v>8</v>
      </c>
      <c r="M12">
        <v>0</v>
      </c>
      <c r="N12" s="2">
        <v>0</v>
      </c>
      <c r="O12">
        <v>-6</v>
      </c>
      <c r="P12" t="s">
        <v>100</v>
      </c>
      <c r="Q12">
        <v>0</v>
      </c>
      <c r="R12" t="s">
        <v>145</v>
      </c>
      <c r="S12">
        <v>0</v>
      </c>
    </row>
    <row r="13" spans="1:19">
      <c r="A13" t="s">
        <v>217</v>
      </c>
      <c r="B13" t="s">
        <v>8710</v>
      </c>
      <c r="C13">
        <f>"IVT100"</f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6</v>
      </c>
      <c r="K13">
        <v>75.86</v>
      </c>
      <c r="L13" s="2">
        <v>13</v>
      </c>
      <c r="M13">
        <v>0</v>
      </c>
      <c r="N13" s="2">
        <v>0</v>
      </c>
      <c r="O13">
        <v>-7.199999999999999</v>
      </c>
      <c r="P13" t="s">
        <v>100</v>
      </c>
      <c r="Q13">
        <v>0</v>
      </c>
      <c r="R13" t="s">
        <v>145</v>
      </c>
      <c r="S13">
        <v>0</v>
      </c>
    </row>
    <row r="14" spans="1:19">
      <c r="A14" t="s">
        <v>217</v>
      </c>
      <c r="B14" t="s">
        <v>8721</v>
      </c>
      <c r="C14">
        <f>"IV0100"</f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6</v>
      </c>
      <c r="K14">
        <v>28.905</v>
      </c>
      <c r="L14" s="2">
        <v>5</v>
      </c>
      <c r="M14">
        <v>0</v>
      </c>
      <c r="N14" s="2">
        <v>0</v>
      </c>
      <c r="O14">
        <v>-7.199999999999999</v>
      </c>
      <c r="P14" t="s">
        <v>100</v>
      </c>
      <c r="Q14">
        <v>0</v>
      </c>
      <c r="R14" t="s">
        <v>145</v>
      </c>
      <c r="S14">
        <v>0</v>
      </c>
    </row>
    <row r="15" spans="1:19">
      <c r="A15" t="s">
        <v>217</v>
      </c>
      <c r="B15" t="s">
        <v>1895</v>
      </c>
      <c r="C15">
        <f>"BP0001"</f>
        <v>0</v>
      </c>
      <c r="D15">
        <v>6</v>
      </c>
      <c r="E15">
        <v>0</v>
      </c>
      <c r="F15">
        <v>0</v>
      </c>
      <c r="G15">
        <v>0</v>
      </c>
      <c r="H15">
        <v>6</v>
      </c>
      <c r="I15">
        <v>0</v>
      </c>
      <c r="J15">
        <v>7</v>
      </c>
      <c r="K15">
        <v>28.363</v>
      </c>
      <c r="L15" s="2">
        <v>4</v>
      </c>
      <c r="M15">
        <v>0</v>
      </c>
      <c r="N15" s="2">
        <v>0</v>
      </c>
      <c r="O15">
        <v>-8.4</v>
      </c>
      <c r="P15" t="s">
        <v>100</v>
      </c>
      <c r="Q15">
        <v>0</v>
      </c>
      <c r="R15" t="s">
        <v>145</v>
      </c>
      <c r="S15">
        <v>0</v>
      </c>
    </row>
    <row r="16" spans="1:19">
      <c r="A16" t="s">
        <v>217</v>
      </c>
      <c r="B16" t="s">
        <v>1728</v>
      </c>
      <c r="C16">
        <f>"GL0100"</f>
        <v>0</v>
      </c>
      <c r="D16">
        <v>0</v>
      </c>
      <c r="E16">
        <v>2</v>
      </c>
      <c r="F16">
        <v>12</v>
      </c>
      <c r="G16">
        <v>1</v>
      </c>
      <c r="H16">
        <v>15</v>
      </c>
      <c r="I16">
        <v>1.5</v>
      </c>
      <c r="J16">
        <v>12</v>
      </c>
      <c r="K16">
        <v>62.02</v>
      </c>
      <c r="L16" s="2">
        <v>5</v>
      </c>
      <c r="M16">
        <v>0</v>
      </c>
      <c r="N16" s="2">
        <v>0</v>
      </c>
      <c r="O16">
        <v>-10.9</v>
      </c>
      <c r="P16" t="s">
        <v>10307</v>
      </c>
      <c r="Q16">
        <v>1.54</v>
      </c>
      <c r="R16" t="s">
        <v>10309</v>
      </c>
      <c r="S16">
        <v>0</v>
      </c>
    </row>
    <row r="17" spans="1:19">
      <c r="A17" t="s">
        <v>217</v>
      </c>
      <c r="B17" t="s">
        <v>9907</v>
      </c>
      <c r="C17">
        <f>"AT0040"</f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10</v>
      </c>
      <c r="K17">
        <v>103.084</v>
      </c>
      <c r="L17" s="2">
        <v>10</v>
      </c>
      <c r="M17">
        <v>0</v>
      </c>
      <c r="N17" s="2">
        <v>0</v>
      </c>
      <c r="O17">
        <v>-12</v>
      </c>
      <c r="P17" t="s">
        <v>100</v>
      </c>
      <c r="Q17">
        <v>0</v>
      </c>
      <c r="R17" t="s">
        <v>145</v>
      </c>
      <c r="S17">
        <v>0</v>
      </c>
    </row>
    <row r="18" spans="1:19">
      <c r="A18" t="s">
        <v>217</v>
      </c>
      <c r="B18" t="s">
        <v>2961</v>
      </c>
      <c r="C18">
        <f>"PL0100"</f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21</v>
      </c>
      <c r="K18">
        <v>101.433</v>
      </c>
      <c r="L18" s="2">
        <v>5</v>
      </c>
      <c r="M18">
        <v>0</v>
      </c>
      <c r="N18" s="2">
        <v>0</v>
      </c>
      <c r="O18">
        <v>-25.2</v>
      </c>
      <c r="P18" t="s">
        <v>100</v>
      </c>
      <c r="Q18">
        <v>0</v>
      </c>
      <c r="R18" t="s">
        <v>145</v>
      </c>
      <c r="S18">
        <v>0</v>
      </c>
    </row>
  </sheetData>
  <autoFilter ref="A2:S18"/>
  <hyperlinks>
    <hyperlink ref="A1" location="'ÍNDICE'!A1" display="⬅ Volver al í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pane ySplit="2" topLeftCell="A3" activePane="bottomLeft" state="frozen"/>
      <selection pane="bottomLeft"/>
    </sheetView>
  </sheetViews>
  <sheetFormatPr defaultRowHeight="15"/>
  <cols>
    <col min="1" max="1" width="18.7109375" customWidth="1"/>
    <col min="2" max="2" width="32.7109375" customWidth="1"/>
    <col min="3" max="3" width="14.7109375" customWidth="1"/>
    <col min="4" max="7" width="8.7109375" customWidth="1"/>
    <col min="8" max="8" width="12.7109375" customWidth="1"/>
    <col min="9" max="10" width="14.7109375" customWidth="1"/>
    <col min="11" max="11" width="24.7109375" customWidth="1"/>
    <col min="12" max="12" width="14.7109375" style="2" customWidth="1"/>
    <col min="13" max="13" width="17.7109375" customWidth="1"/>
    <col min="14" max="14" width="14.7109375" style="2" customWidth="1"/>
    <col min="15" max="15" width="11.7109375" customWidth="1"/>
    <col min="16" max="16" width="30.7109375" customWidth="1"/>
    <col min="17" max="17" width="19.7109375" customWidth="1"/>
    <col min="18" max="18" width="21.7109375" customWidth="1"/>
    <col min="19" max="19" width="10.7109375" customWidth="1"/>
  </cols>
  <sheetData>
    <row r="1" spans="1:19">
      <c r="A1" s="1" t="s">
        <v>183</v>
      </c>
    </row>
    <row r="2" spans="1:19">
      <c r="A2" s="3" t="s">
        <v>5</v>
      </c>
      <c r="B2" s="3" t="s">
        <v>6</v>
      </c>
      <c r="C2" s="3" t="s">
        <v>7</v>
      </c>
      <c r="D2" s="3" t="s">
        <v>8</v>
      </c>
      <c r="E2" s="3" t="s">
        <v>9</v>
      </c>
      <c r="F2" s="3" t="s">
        <v>10</v>
      </c>
      <c r="G2" s="3" t="s">
        <v>11</v>
      </c>
      <c r="H2" s="3" t="s">
        <v>12</v>
      </c>
      <c r="I2" s="3" t="s">
        <v>13</v>
      </c>
      <c r="J2" s="3" t="s">
        <v>14</v>
      </c>
      <c r="K2" s="3" t="s">
        <v>15</v>
      </c>
      <c r="L2" s="3" t="s">
        <v>16</v>
      </c>
      <c r="M2" s="3" t="s">
        <v>17</v>
      </c>
      <c r="N2" s="3" t="s">
        <v>18</v>
      </c>
      <c r="O2" s="3" t="s">
        <v>19</v>
      </c>
      <c r="P2" s="3" t="s">
        <v>20</v>
      </c>
      <c r="Q2" s="3" t="s">
        <v>21</v>
      </c>
      <c r="R2" s="3" t="s">
        <v>22</v>
      </c>
      <c r="S2" s="3" t="s">
        <v>23</v>
      </c>
    </row>
    <row r="3" spans="1:19">
      <c r="A3" t="s">
        <v>224</v>
      </c>
      <c r="B3" t="s">
        <v>2838</v>
      </c>
      <c r="C3">
        <f>"ANSADUL20"</f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 s="2">
        <v>0</v>
      </c>
      <c r="M3">
        <v>0</v>
      </c>
      <c r="N3" s="2">
        <v>0</v>
      </c>
      <c r="O3">
        <v>0</v>
      </c>
      <c r="P3" t="s">
        <v>100</v>
      </c>
      <c r="Q3">
        <v>0</v>
      </c>
      <c r="R3" t="s">
        <v>145</v>
      </c>
      <c r="S3">
        <v>0</v>
      </c>
    </row>
  </sheetData>
  <autoFilter ref="A2:S3"/>
  <hyperlinks>
    <hyperlink ref="A1" location="'ÍNDICE'!A1" display="⬅ Volver al índice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ÍNDICE</vt:lpstr>
      <vt:lpstr>Crítico</vt:lpstr>
      <vt:lpstr>80-20</vt:lpstr>
      <vt:lpstr>ACANA Y ORIJEN</vt:lpstr>
      <vt:lpstr>ACUARISTICA</vt:lpstr>
      <vt:lpstr>AGILITY - OWNAT - DOG EVOLUTION</vt:lpstr>
      <vt:lpstr>AGROVET</vt:lpstr>
      <vt:lpstr>ALTA TECNOLOGIA VET</vt:lpstr>
      <vt:lpstr>Ancestral</vt:lpstr>
      <vt:lpstr>ANDIS</vt:lpstr>
      <vt:lpstr>ANIMALES PEQUEÑOS</vt:lpstr>
      <vt:lpstr>AVES</vt:lpstr>
      <vt:lpstr>BILJAC</vt:lpstr>
      <vt:lpstr>BIOLINE</vt:lpstr>
      <vt:lpstr>BOEHRINGER</vt:lpstr>
      <vt:lpstr>BRAVERY</vt:lpstr>
      <vt:lpstr>BRIT CARE</vt:lpstr>
      <vt:lpstr>CHURU</vt:lpstr>
      <vt:lpstr>DRAG PHARMA</vt:lpstr>
      <vt:lpstr>DROGUERIA ÑUÑOA</vt:lpstr>
      <vt:lpstr>EASY CLEAN</vt:lpstr>
      <vt:lpstr>ELANCO</vt:lpstr>
      <vt:lpstr>FARMACIA</vt:lpstr>
      <vt:lpstr>FELLINI</vt:lpstr>
      <vt:lpstr>FEMA</vt:lpstr>
      <vt:lpstr>FIT FORMULA</vt:lpstr>
      <vt:lpstr>FROST</vt:lpstr>
      <vt:lpstr>GOOFY</vt:lpstr>
      <vt:lpstr>GORCHEN</vt:lpstr>
      <vt:lpstr>HAPPYCAT</vt:lpstr>
      <vt:lpstr>HILL'S SCIENCE DIET</vt:lpstr>
      <vt:lpstr>INSUFARMA</vt:lpstr>
      <vt:lpstr>JOSERA</vt:lpstr>
      <vt:lpstr>KETUNPET</vt:lpstr>
      <vt:lpstr>KOBOR</vt:lpstr>
      <vt:lpstr>LEONARDO Y BELCANDO</vt:lpstr>
      <vt:lpstr>Mascotas</vt:lpstr>
      <vt:lpstr>NATURAL FOOD</vt:lpstr>
      <vt:lpstr>NOMADE</vt:lpstr>
      <vt:lpstr>NUTRA GOLD</vt:lpstr>
      <vt:lpstr>NUTRAM</vt:lpstr>
      <vt:lpstr>ovenbaked</vt:lpstr>
      <vt:lpstr>PATAGON</vt:lpstr>
      <vt:lpstr>PECES</vt:lpstr>
      <vt:lpstr>Peluquería canina</vt:lpstr>
      <vt:lpstr>PEPOLLI</vt:lpstr>
      <vt:lpstr>PERROS Y GATOS</vt:lpstr>
      <vt:lpstr>PETHOME</vt:lpstr>
      <vt:lpstr>POEMA</vt:lpstr>
      <vt:lpstr>PRODAC</vt:lpstr>
      <vt:lpstr>PROPLAN</vt:lpstr>
      <vt:lpstr>ROYAL CANIN</vt:lpstr>
      <vt:lpstr>SMILE FOR PETS</vt:lpstr>
      <vt:lpstr>TASTE OF THE WILD</vt:lpstr>
      <vt:lpstr>TOPK9</vt:lpstr>
      <vt:lpstr>TROPICAL</vt:lpstr>
      <vt:lpstr>VETERQUIMICA</vt:lpstr>
      <vt:lpstr>VIRBAC</vt:lpstr>
      <vt:lpstr>VITALCAN QUIROMAS</vt:lpstr>
      <vt:lpstr>VITANIMAL</vt:lpstr>
      <vt:lpstr>WANPY</vt:lpstr>
      <vt:lpstr>WARRIOR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2026-03-11T21:48:33Z</dcterms:created>
  <dcterms:modified xsi:type="dcterms:W3CDTF">2026-03-11T21:48:33Z</dcterms:modified>
</cp:coreProperties>
</file>